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How to use" sheetId="1" state="visible" r:id="rId1"/>
    <sheet xmlns:r="http://schemas.openxmlformats.org/officeDocument/2006/relationships" name="2. Talent Mapping" sheetId="2" state="visible" r:id="rId2"/>
    <sheet xmlns:r="http://schemas.openxmlformats.org/officeDocument/2006/relationships" name="3. Raw Data" sheetId="3" state="visible" r:id="rId3"/>
    <sheet xmlns:r="http://schemas.openxmlformats.org/officeDocument/2006/relationships" name="4. Market Benchmark" sheetId="4" state="visible" r:id="rId4"/>
    <sheet xmlns:r="http://schemas.openxmlformats.org/officeDocument/2006/relationships" name="5. Department Ladder" sheetId="5" state="visible" r:id="rId5"/>
    <sheet xmlns:r="http://schemas.openxmlformats.org/officeDocument/2006/relationships" name="RB · Administration, Legal &amp; Se" sheetId="6" state="visible" r:id="rId6"/>
    <sheet xmlns:r="http://schemas.openxmlformats.org/officeDocument/2006/relationships" name="RB · Business Analysis" sheetId="7" state="visible" r:id="rId7"/>
    <sheet xmlns:r="http://schemas.openxmlformats.org/officeDocument/2006/relationships" name="RB · Consulting &amp; Professional" sheetId="8" state="visible" r:id="rId8"/>
    <sheet xmlns:r="http://schemas.openxmlformats.org/officeDocument/2006/relationships" name="RB · Customer Success &amp; Support" sheetId="9" state="visible" r:id="rId9"/>
    <sheet xmlns:r="http://schemas.openxmlformats.org/officeDocument/2006/relationships" name="RB · Data &amp; Analytics" sheetId="10" state="visible" r:id="rId10"/>
    <sheet xmlns:r="http://schemas.openxmlformats.org/officeDocument/2006/relationships" name="RB · Data Operations &amp; Digitiza" sheetId="11" state="visible" r:id="rId11"/>
    <sheet xmlns:r="http://schemas.openxmlformats.org/officeDocument/2006/relationships" name="RB · Design &amp; Creative" sheetId="12" state="visible" r:id="rId12"/>
    <sheet xmlns:r="http://schemas.openxmlformats.org/officeDocument/2006/relationships" name="RB · Engineering &amp; Architecture" sheetId="13" state="visible" r:id="rId13"/>
    <sheet xmlns:r="http://schemas.openxmlformats.org/officeDocument/2006/relationships" name="RB · Engineering &amp; Development" sheetId="14" state="visible" r:id="rId14"/>
    <sheet xmlns:r="http://schemas.openxmlformats.org/officeDocument/2006/relationships" name="RB · Enterprise Leadership" sheetId="15" state="visible" r:id="rId15"/>
    <sheet xmlns:r="http://schemas.openxmlformats.org/officeDocument/2006/relationships" name="RB · Executive Leadership" sheetId="16" state="visible" r:id="rId16"/>
    <sheet xmlns:r="http://schemas.openxmlformats.org/officeDocument/2006/relationships" name="RB · Finance &amp; Accounts" sheetId="17" state="visible" r:id="rId17"/>
    <sheet xmlns:r="http://schemas.openxmlformats.org/officeDocument/2006/relationships" name="RB · Human Resources" sheetId="18" state="visible" r:id="rId18"/>
    <sheet xmlns:r="http://schemas.openxmlformats.org/officeDocument/2006/relationships" name="RB · IT &amp; Infrastructure" sheetId="19" state="visible" r:id="rId19"/>
    <sheet xmlns:r="http://schemas.openxmlformats.org/officeDocument/2006/relationships" name="RB · Marketing &amp; Communications" sheetId="20" state="visible" r:id="rId20"/>
    <sheet xmlns:r="http://schemas.openxmlformats.org/officeDocument/2006/relationships" name="RB · Product Management" sheetId="21" state="visible" r:id="rId21"/>
    <sheet xmlns:r="http://schemas.openxmlformats.org/officeDocument/2006/relationships" name="RB · Project &amp; Program Manageme" sheetId="22" state="visible" r:id="rId22"/>
    <sheet xmlns:r="http://schemas.openxmlformats.org/officeDocument/2006/relationships" name="RB · Quality Assurance" sheetId="23" state="visible" r:id="rId23"/>
    <sheet xmlns:r="http://schemas.openxmlformats.org/officeDocument/2006/relationships" name="RB · Sales &amp; Business Developme" sheetId="24" state="visible" r:id="rId24"/>
    <sheet xmlns:r="http://schemas.openxmlformats.org/officeDocument/2006/relationships" name="RB · Solution Consulting &amp; Impl" sheetId="25" state="visible" r:id="rId25"/>
    <sheet xmlns:r="http://schemas.openxmlformats.org/officeDocument/2006/relationships" name="RB · Unassigned" sheetId="26" state="visible" r:id="rId26"/>
    <sheet xmlns:r="http://schemas.openxmlformats.org/officeDocument/2006/relationships" name="Backend Data" sheetId="27" state="visible" r:id="rId27"/>
  </sheets>
  <definedNames>
    <definedName name="LMH_KEY">'Backend Data'!$A$7:$A$9</definedName>
    <definedName name="LMH_PTS">'Backend Data'!$C$7:$C$9</definedName>
    <definedName name="LMH_STEP">'Backend Data'!$D$7:$D$9</definedName>
    <definedName name="B_LVL">'Backend Data'!$A$14:$A$30</definedName>
    <definedName name="B_VAL">'Backend Data'!$B$14:$B$30</definedName>
    <definedName name="B_RANK">'Backend Data'!$D$14:$D$30</definedName>
    <definedName name="LAD_STD">'Backend Data'!$E$14:$E$25</definedName>
    <definedName name="LAD_PC">'Backend Data'!$F$14:$F$27</definedName>
    <definedName name="LIST_LEVELS">'Backend Data'!$A$14:$A$30</definedName>
    <definedName name="RBD_KEY">'Backend Data'!$A$34:$A$432</definedName>
    <definedName name="RBD_C">'Backend Data'!$E$34:$E$432</definedName>
    <definedName name="RBD_Au">'Backend Data'!$F$34:$F$432</definedName>
    <definedName name="RBD_Ac">'Backend Data'!$G$34:$G$432</definedName>
    <definedName name="RBD_L">'Backend Data'!$H$34:$H$432</definedName>
    <definedName name="RBD_BI">'Backend Data'!$I$34:$I$432</definedName>
    <definedName name="RBD_Exp">'Backend Data'!$J$34:$J$432</definedName>
    <definedName name="RBD_Edu">'Backend Data'!$K$34:$K$432</definedName>
    <definedName name="LIST_LMH">'Backend Data'!$A$435:$A$437</definedName>
    <definedName name="DL_KEY">'5. Department Ladder'!$Y$7:$Y$297</definedName>
    <definedName name="DL_C">'5. Department Ladder'!$J$7:$J$297</definedName>
    <definedName name="DL_Au">'5. Department Ladder'!$K$7:$K$297</definedName>
    <definedName name="DL_Ac">'5. Department Ladder'!$L$7:$L$297</definedName>
    <definedName name="DL_L">'5. Department Ladder'!$M$7:$M$297</definedName>
    <definedName name="DL_BI">'5. Department Ladder'!$N$7:$N$297</definedName>
    <definedName name="DL_Exp">'5. Department Ladder'!$O$7:$O$297</definedName>
    <definedName name="DL_Edu">'5. Department Ladder'!$P$7:$P$297</definedName>
    <definedName name="_xlnm._FilterDatabase" localSheetId="1" hidden="1">'2. Talent Mapping'!$A$6:$CA$592</definedName>
    <definedName name="_xlnm._FilterDatabase" localSheetId="2" hidden="1">'3. Raw Data'!$A$6:$FU$612</definedName>
    <definedName name="_xlnm._FilterDatabase" localSheetId="4" hidden="1">'5. Department Ladder'!$A$6:$Y$297</definedName>
    <definedName name="_xlnm._FilterDatabase" localSheetId="5" hidden="1">'RB · Administration, Legal &amp; Se'!$A$5:$AL$24</definedName>
    <definedName name="_xlnm._FilterDatabase" localSheetId="6" hidden="1">'RB · Business Analysis'!$A$5:$AL$24</definedName>
    <definedName name="_xlnm._FilterDatabase" localSheetId="7" hidden="1">'RB · Consulting &amp; Professional'!$A$5:$AL$24</definedName>
    <definedName name="_xlnm._FilterDatabase" localSheetId="8" hidden="1">'RB · Customer Success &amp; Support'!$A$5:$AL$24</definedName>
    <definedName name="_xlnm._FilterDatabase" localSheetId="9" hidden="1">'RB · Data &amp; Analytics'!$A$5:$AL$24</definedName>
    <definedName name="_xlnm._FilterDatabase" localSheetId="10" hidden="1">'RB · Data Operations &amp; Digitiza'!$A$5:$AL$24</definedName>
    <definedName name="_xlnm._FilterDatabase" localSheetId="11" hidden="1">'RB · Design &amp; Creative'!$A$5:$AL$24</definedName>
    <definedName name="_xlnm._FilterDatabase" localSheetId="12" hidden="1">'RB · Engineering &amp; Architecture'!$A$5:$AL$24</definedName>
    <definedName name="_xlnm._FilterDatabase" localSheetId="13" hidden="1">'RB · Engineering &amp; Development'!$A$5:$AL$24</definedName>
    <definedName name="_xlnm._FilterDatabase" localSheetId="14" hidden="1">'RB · Enterprise Leadership'!$A$5:$AL$24</definedName>
    <definedName name="_xlnm._FilterDatabase" localSheetId="15" hidden="1">'RB · Executive Leadership'!$A$5:$AL$24</definedName>
    <definedName name="_xlnm._FilterDatabase" localSheetId="16" hidden="1">'RB · Finance &amp; Accounts'!$A$5:$AL$24</definedName>
    <definedName name="_xlnm._FilterDatabase" localSheetId="17" hidden="1">'RB · Human Resources'!$A$5:$AL$24</definedName>
    <definedName name="_xlnm._FilterDatabase" localSheetId="18" hidden="1">'RB · IT &amp; Infrastructure'!$A$5:$AL$24</definedName>
    <definedName name="_xlnm._FilterDatabase" localSheetId="19" hidden="1">'RB · Marketing &amp; Communications'!$A$5:$AL$24</definedName>
    <definedName name="_xlnm._FilterDatabase" localSheetId="20" hidden="1">'RB · Product Management'!$A$5:$AL$24</definedName>
    <definedName name="_xlnm._FilterDatabase" localSheetId="21" hidden="1">'RB · Project &amp; Program Manageme'!$A$5:$AL$24</definedName>
    <definedName name="_xlnm._FilterDatabase" localSheetId="22" hidden="1">'RB · Quality Assurance'!$A$5:$AL$24</definedName>
    <definedName name="_xlnm._FilterDatabase" localSheetId="23" hidden="1">'RB · Sales &amp; Business Developme'!$A$14:$AL$33</definedName>
    <definedName name="_xlnm._FilterDatabase" localSheetId="24" hidden="1">'RB · Solution Consulting &amp; Impl'!$A$5:$AL$24</definedName>
    <definedName name="_xlnm._FilterDatabase" localSheetId="25" hidden="1">'RB · Unassigned'!$A$5:$AL$24</definedName>
  </definedNames>
  <calcPr calcId="124519" fullCalcOnLoad="1"/>
</workbook>
</file>

<file path=xl/styles.xml><?xml version="1.0" encoding="utf-8"?>
<styleSheet xmlns="http://schemas.openxmlformats.org/spreadsheetml/2006/main">
  <numFmts count="1">
    <numFmt numFmtId="164" formatCode="yyyy-mm-dd h:mm:ss"/>
  </numFmts>
  <fonts count="18">
    <font>
      <name val="Calibri"/>
      <family val="2"/>
      <color theme="1"/>
      <sz val="11"/>
      <scheme val="minor"/>
    </font>
    <font>
      <name val="Calibri"/>
      <b val="1"/>
      <color rgb="001F3864"/>
      <sz val="16"/>
    </font>
    <font>
      <name val="Calibri"/>
      <color rgb="00404040"/>
      <sz val="10"/>
    </font>
    <font>
      <name val="Calibri"/>
      <i val="1"/>
      <color rgb="00808080"/>
      <sz val="8"/>
    </font>
    <font>
      <name val="Calibri"/>
      <color rgb="000563C1"/>
      <sz val="9"/>
      <u val="single"/>
    </font>
    <font>
      <name val="Calibri"/>
      <b val="1"/>
      <color rgb="00FFFFFF"/>
      <sz val="10"/>
    </font>
    <font>
      <name val="Calibri"/>
      <b val="1"/>
      <color rgb="00FFFFFF"/>
      <sz val="9"/>
    </font>
    <font>
      <name val="Calibri"/>
      <color rgb="00000000"/>
      <sz val="9"/>
    </font>
    <font>
      <name val="Calibri"/>
      <b val="1"/>
      <color rgb="00000000"/>
      <sz val="9"/>
    </font>
    <font>
      <name val="Calibri"/>
      <b val="1"/>
      <color rgb="00000000"/>
      <sz val="10"/>
    </font>
    <font>
      <name val="Calibri"/>
      <b val="1"/>
      <color rgb="00404040"/>
      <sz val="8"/>
    </font>
    <font>
      <name val="Calibri"/>
      <color rgb="009C0006"/>
      <sz val="9"/>
    </font>
    <font>
      <name val="Calibri"/>
      <b val="1"/>
      <color rgb="000563C1"/>
      <sz val="9"/>
      <u val="single"/>
    </font>
    <font>
      <name val="Calibri"/>
      <b val="1"/>
      <color rgb="00000000"/>
      <sz val="11"/>
    </font>
    <font>
      <name val="Calibri"/>
      <b val="1"/>
      <color rgb="00FFFFFF"/>
      <sz val="11"/>
    </font>
    <font>
      <name val="Calibri"/>
      <b val="1"/>
      <i val="1"/>
      <color rgb="00375623"/>
      <sz val="8"/>
    </font>
    <font>
      <name val="Calibri"/>
      <b val="1"/>
      <color rgb="001F3864"/>
      <sz val="10"/>
    </font>
    <font>
      <name val="Calibri"/>
      <color rgb="00000000"/>
      <sz val="10"/>
    </font>
  </fonts>
  <fills count="34">
    <fill>
      <patternFill/>
    </fill>
    <fill>
      <patternFill patternType="gray125"/>
    </fill>
    <fill>
      <patternFill patternType="solid">
        <fgColor rgb="001F3864"/>
      </patternFill>
    </fill>
    <fill>
      <patternFill patternType="solid">
        <fgColor rgb="00595959"/>
      </patternFill>
    </fill>
    <fill>
      <patternFill patternType="solid">
        <fgColor rgb="00FFFFFF"/>
      </patternFill>
    </fill>
    <fill>
      <patternFill patternType="solid">
        <fgColor rgb="00FFF2CC"/>
      </patternFill>
    </fill>
    <fill>
      <patternFill patternType="solid">
        <fgColor rgb="00806000"/>
      </patternFill>
    </fill>
    <fill>
      <patternFill patternType="solid">
        <fgColor rgb="00375623"/>
      </patternFill>
    </fill>
    <fill>
      <patternFill patternType="solid">
        <fgColor rgb="002E75B6"/>
      </patternFill>
    </fill>
    <fill>
      <patternFill patternType="solid">
        <fgColor rgb="003A3838"/>
      </patternFill>
    </fill>
    <fill>
      <patternFill patternType="solid">
        <fgColor rgb="00EEF2F9"/>
      </patternFill>
    </fill>
    <fill>
      <patternFill patternType="solid">
        <fgColor rgb="00EDE7DD"/>
      </patternFill>
    </fill>
    <fill>
      <patternFill patternType="solid">
        <fgColor rgb="00F8F4E6"/>
      </patternFill>
    </fill>
    <fill>
      <patternFill patternType="solid">
        <fgColor rgb="00EAF2E6"/>
      </patternFill>
    </fill>
    <fill>
      <patternFill patternType="solid">
        <fgColor rgb="00EAF3FB"/>
      </patternFill>
    </fill>
    <fill>
      <patternFill patternType="solid">
        <fgColor rgb="00F2F2F2"/>
      </patternFill>
    </fill>
    <fill>
      <patternFill patternType="solid">
        <fgColor rgb="00E4DFEC"/>
      </patternFill>
    </fill>
    <fill>
      <patternFill patternType="solid">
        <fgColor rgb="00A9D08E"/>
      </patternFill>
    </fill>
    <fill>
      <patternFill patternType="solid">
        <fgColor rgb="00D0E8E5"/>
      </patternFill>
    </fill>
    <fill>
      <patternFill patternType="solid">
        <fgColor rgb="00C6E0B4"/>
      </patternFill>
    </fill>
    <fill>
      <patternFill patternType="solid">
        <fgColor rgb="00E2EFDA"/>
      </patternFill>
    </fill>
    <fill>
      <patternFill patternType="solid">
        <fgColor rgb="00DDEBF7"/>
      </patternFill>
    </fill>
    <fill>
      <patternFill patternType="solid">
        <fgColor rgb="00C00000"/>
      </patternFill>
    </fill>
    <fill>
      <patternFill patternType="solid">
        <fgColor rgb="00FDECEC"/>
      </patternFill>
    </fill>
    <fill>
      <patternFill patternType="solid">
        <fgColor rgb="00D9E1F2"/>
      </patternFill>
    </fill>
    <fill>
      <patternFill patternType="solid">
        <fgColor rgb="00F8CBAD"/>
      </patternFill>
    </fill>
    <fill>
      <patternFill patternType="solid">
        <fgColor rgb="00C6EFCE"/>
      </patternFill>
    </fill>
    <fill>
      <patternFill patternType="solid">
        <fgColor rgb="00FFEB9C"/>
      </patternFill>
    </fill>
    <fill>
      <patternFill patternType="solid">
        <fgColor rgb="00FFC7CE"/>
      </patternFill>
    </fill>
    <fill>
      <patternFill patternType="solid">
        <fgColor rgb="00EDEDED"/>
      </patternFill>
    </fill>
    <fill>
      <patternFill patternType="solid">
        <fgColor rgb="00BF8F00"/>
      </patternFill>
    </fill>
    <fill>
      <patternFill patternType="solid">
        <fgColor rgb="007030A0"/>
      </patternFill>
    </fill>
    <fill>
      <patternFill patternType="solid">
        <fgColor rgb="00F4EEF9"/>
      </patternFill>
    </fill>
    <fill>
      <patternFill patternType="solid">
        <fgColor rgb="00548235"/>
      </patternFill>
    </fill>
  </fills>
  <borders count="7">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
      <left style="medium">
        <color rgb="001F3864"/>
      </left>
      <right style="thin">
        <color rgb="00BFBFBF"/>
      </right>
      <top style="thin">
        <color rgb="00BFBFBF"/>
      </top>
      <bottom style="thin">
        <color rgb="00BFBFBF"/>
      </bottom>
    </border>
  </borders>
  <cellStyleXfs count="1">
    <xf numFmtId="0" fontId="0" fillId="0" borderId="0"/>
  </cellStyleXfs>
  <cellXfs count="93">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16" fillId="0" borderId="0" applyAlignment="1" pivotButton="0" quotePrefix="0" xfId="0">
      <alignment vertical="top" wrapText="1"/>
    </xf>
    <xf numFmtId="0" fontId="17" fillId="0" borderId="0" applyAlignment="1" pivotButton="0" quotePrefix="0" xfId="0">
      <alignment vertical="top" wrapText="1"/>
    </xf>
    <xf numFmtId="0" fontId="5" fillId="2" borderId="1" applyAlignment="1" pivotButton="0" quotePrefix="0" xfId="0">
      <alignment horizontal="left" vertical="center" wrapText="1"/>
    </xf>
    <xf numFmtId="0" fontId="4" fillId="0" borderId="0" pivotButton="0" quotePrefix="0" xfId="0"/>
    <xf numFmtId="0" fontId="10" fillId="24" borderId="0" applyAlignment="1" pivotButton="0" quotePrefix="0" xfId="0">
      <alignment vertical="center" wrapText="1"/>
    </xf>
    <xf numFmtId="0" fontId="10" fillId="25" borderId="0" applyAlignment="1" pivotButton="0" quotePrefix="0" xfId="0">
      <alignment vertical="center" wrapText="1"/>
    </xf>
    <xf numFmtId="0" fontId="10" fillId="26" borderId="0" applyAlignment="1" pivotButton="0" quotePrefix="0" xfId="0">
      <alignment vertical="center" wrapText="1"/>
    </xf>
    <xf numFmtId="0" fontId="10" fillId="27" borderId="0" applyAlignment="1" pivotButton="0" quotePrefix="0" xfId="0">
      <alignment vertical="center" wrapText="1"/>
    </xf>
    <xf numFmtId="0" fontId="10" fillId="21" borderId="0" applyAlignment="1" pivotButton="0" quotePrefix="0" xfId="0">
      <alignment vertical="center" wrapText="1"/>
    </xf>
    <xf numFmtId="0" fontId="10" fillId="19" borderId="0" applyAlignment="1" pivotButton="0" quotePrefix="0" xfId="0">
      <alignment vertical="center" wrapText="1"/>
    </xf>
    <xf numFmtId="0" fontId="10" fillId="28" borderId="0" applyAlignment="1" pivotButton="0" quotePrefix="0" xfId="0">
      <alignment vertical="center" wrapText="1"/>
    </xf>
    <xf numFmtId="0" fontId="10" fillId="5" borderId="0" applyAlignment="1" pivotButton="0" quotePrefix="0" xfId="0">
      <alignment vertical="center" wrapText="1"/>
    </xf>
    <xf numFmtId="0" fontId="10" fillId="29" borderId="0" applyAlignment="1" pivotButton="0" quotePrefix="0" xfId="0">
      <alignment vertical="center" wrapText="1"/>
    </xf>
    <xf numFmtId="0" fontId="5" fillId="31" borderId="1" applyAlignment="1" pivotButton="0" quotePrefix="0" xfId="0">
      <alignment horizontal="left" vertical="center" wrapText="1"/>
    </xf>
    <xf numFmtId="0" fontId="5" fillId="30" borderId="1" applyAlignment="1" pivotButton="0" quotePrefix="0" xfId="0">
      <alignment horizontal="left" vertical="center" wrapText="1"/>
    </xf>
    <xf numFmtId="0" fontId="5" fillId="22" borderId="1" applyAlignment="1" pivotButton="0" quotePrefix="0" xfId="0">
      <alignment horizontal="left" vertical="center" wrapText="1"/>
    </xf>
    <xf numFmtId="0" fontId="5" fillId="9" borderId="1" applyAlignment="1" pivotButton="0" quotePrefix="0" xfId="0">
      <alignment horizontal="left" vertical="center" wrapText="1"/>
    </xf>
    <xf numFmtId="0" fontId="5" fillId="3" borderId="1" applyAlignment="1" pivotButton="0" quotePrefix="0" xfId="0">
      <alignment horizontal="left" vertical="center" wrapText="1"/>
    </xf>
    <xf numFmtId="0" fontId="6" fillId="2" borderId="1" applyAlignment="1" pivotButton="0" quotePrefix="0" xfId="0">
      <alignment horizontal="left" vertical="center" wrapText="1"/>
    </xf>
    <xf numFmtId="0" fontId="6" fillId="31" borderId="1" applyAlignment="1" pivotButton="0" quotePrefix="0" xfId="0">
      <alignment horizontal="left" vertical="center" wrapText="1"/>
    </xf>
    <xf numFmtId="0" fontId="6" fillId="30" borderId="1" applyAlignment="1" pivotButton="0" quotePrefix="0" xfId="0">
      <alignment horizontal="left" vertical="center" wrapText="1"/>
    </xf>
    <xf numFmtId="0" fontId="6" fillId="22" borderId="1" applyAlignment="1" pivotButton="0" quotePrefix="0" xfId="0">
      <alignment horizontal="left" vertical="center" wrapText="1"/>
    </xf>
    <xf numFmtId="0" fontId="6" fillId="9" borderId="1" applyAlignment="1" pivotButton="0" quotePrefix="0" xfId="0">
      <alignment horizontal="left" vertical="center" wrapText="1"/>
    </xf>
    <xf numFmtId="0" fontId="6" fillId="3" borderId="1" applyAlignment="1" pivotButton="0" quotePrefix="0" xfId="0">
      <alignment horizontal="left" vertical="center" wrapText="1"/>
    </xf>
    <xf numFmtId="0" fontId="7" fillId="10" borderId="6" applyAlignment="1" pivotButton="0" quotePrefix="0" xfId="0">
      <alignment horizontal="left" vertical="top" wrapText="1"/>
    </xf>
    <xf numFmtId="0" fontId="7" fillId="10" borderId="1" applyAlignment="1" pivotButton="0" quotePrefix="0" xfId="0">
      <alignment horizontal="left" vertical="top" wrapText="1"/>
    </xf>
    <xf numFmtId="0" fontId="7" fillId="32" borderId="6" applyAlignment="1" pivotButton="0" quotePrefix="0" xfId="0">
      <alignment horizontal="left" vertical="top" wrapText="1"/>
    </xf>
    <xf numFmtId="0" fontId="7" fillId="32" borderId="1" applyAlignment="1" pivotButton="0" quotePrefix="0" xfId="0">
      <alignment horizontal="left" vertical="top" wrapText="1"/>
    </xf>
    <xf numFmtId="0" fontId="11" fillId="28" borderId="1" applyAlignment="1" pivotButton="0" quotePrefix="0" xfId="0">
      <alignment horizontal="left" vertical="top" wrapText="1"/>
    </xf>
    <xf numFmtId="0" fontId="12" fillId="32" borderId="1" applyAlignment="1" pivotButton="0" quotePrefix="0" xfId="0">
      <alignment horizontal="left" vertical="top" wrapText="1"/>
    </xf>
    <xf numFmtId="0" fontId="9" fillId="5" borderId="6" applyAlignment="1" pivotButton="0" quotePrefix="0" xfId="0">
      <alignment horizontal="center" vertical="top"/>
    </xf>
    <xf numFmtId="0" fontId="9" fillId="5" borderId="1" applyAlignment="1" pivotButton="0" quotePrefix="0" xfId="0">
      <alignment horizontal="center" vertical="top"/>
    </xf>
    <xf numFmtId="9" fontId="7" fillId="15" borderId="6" applyAlignment="1" pivotButton="0" quotePrefix="0" xfId="0">
      <alignment horizontal="left" vertical="top" wrapText="1"/>
    </xf>
    <xf numFmtId="9" fontId="7" fillId="15" borderId="1" applyAlignment="1" pivotButton="0" quotePrefix="0" xfId="0">
      <alignment horizontal="left" vertical="top" wrapText="1"/>
    </xf>
    <xf numFmtId="0" fontId="7" fillId="15" borderId="1" applyAlignment="1" pivotButton="0" quotePrefix="0" xfId="0">
      <alignment horizontal="left" vertical="top" wrapText="1"/>
    </xf>
    <xf numFmtId="0" fontId="13" fillId="23" borderId="6" applyAlignment="1" pivotButton="0" quotePrefix="0" xfId="0">
      <alignment horizontal="center" vertical="top"/>
    </xf>
    <xf numFmtId="0" fontId="7" fillId="23" borderId="1" applyAlignment="1" pivotButton="0" quotePrefix="0" xfId="0">
      <alignment horizontal="left" vertical="top" wrapText="1"/>
    </xf>
    <xf numFmtId="0" fontId="13" fillId="23" borderId="1" applyAlignment="1" pivotButton="0" quotePrefix="0" xfId="0">
      <alignment horizontal="center" vertical="top"/>
    </xf>
    <xf numFmtId="2" fontId="7" fillId="23" borderId="1" applyAlignment="1" pivotButton="0" quotePrefix="0" xfId="0">
      <alignment horizontal="left" vertical="top" wrapText="1"/>
    </xf>
    <xf numFmtId="0" fontId="7" fillId="5" borderId="1" applyAlignment="1" pivotButton="0" quotePrefix="0" xfId="0">
      <alignment horizontal="left" vertical="top" wrapText="1"/>
    </xf>
    <xf numFmtId="0" fontId="7" fillId="15" borderId="6" applyAlignment="1" pivotButton="0" quotePrefix="0" xfId="0">
      <alignment horizontal="left" vertical="top" wrapText="1"/>
    </xf>
    <xf numFmtId="0" fontId="5" fillId="6" borderId="1" applyAlignment="1" pivotButton="0" quotePrefix="0" xfId="0">
      <alignment horizontal="left" vertical="center" wrapText="1"/>
    </xf>
    <xf numFmtId="0" fontId="5" fillId="33" borderId="1" applyAlignment="1" pivotButton="0" quotePrefix="0" xfId="0">
      <alignment horizontal="left" vertical="center" wrapText="1"/>
    </xf>
    <xf numFmtId="0" fontId="5" fillId="7" borderId="1" applyAlignment="1" pivotButton="0" quotePrefix="0" xfId="0">
      <alignment horizontal="left" vertical="center" wrapText="1"/>
    </xf>
    <xf numFmtId="0" fontId="6" fillId="6" borderId="1" applyAlignment="1" pivotButton="0" quotePrefix="0" xfId="0">
      <alignment horizontal="left" vertical="center" wrapText="1"/>
    </xf>
    <xf numFmtId="0" fontId="6" fillId="33" borderId="1" applyAlignment="1" pivotButton="0" quotePrefix="0" xfId="0">
      <alignment horizontal="left" vertical="center" wrapText="1"/>
    </xf>
    <xf numFmtId="0" fontId="6" fillId="7" borderId="1" applyAlignment="1" pivotButton="0" quotePrefix="0" xfId="0">
      <alignment horizontal="left" vertical="center" wrapText="1"/>
    </xf>
    <xf numFmtId="0" fontId="12" fillId="10" borderId="6" applyAlignment="1" pivotButton="0" quotePrefix="0" xfId="0">
      <alignment horizontal="left" vertical="top" wrapText="1"/>
    </xf>
    <xf numFmtId="0" fontId="7" fillId="4" borderId="6" applyAlignment="1" pivotButton="0" quotePrefix="0" xfId="0">
      <alignment horizontal="left" vertical="top" wrapText="1"/>
    </xf>
    <xf numFmtId="0" fontId="7" fillId="4" borderId="1" applyAlignment="1" pivotButton="0" quotePrefix="0" xfId="0">
      <alignment horizontal="left" vertical="top" wrapText="1"/>
    </xf>
    <xf numFmtId="164" fontId="7" fillId="4" borderId="1" applyAlignment="1" pivotButton="0" quotePrefix="0" xfId="0">
      <alignment horizontal="left" vertical="top" wrapText="1"/>
    </xf>
    <xf numFmtId="0" fontId="11" fillId="28" borderId="6" applyAlignment="1" pivotButton="0" quotePrefix="0" xfId="0">
      <alignment horizontal="left" vertical="top" wrapText="1"/>
    </xf>
    <xf numFmtId="0" fontId="7" fillId="13" borderId="1" applyAlignment="1" pivotButton="0" quotePrefix="0" xfId="0">
      <alignment horizontal="left" vertical="top" wrapText="1"/>
    </xf>
    <xf numFmtId="0" fontId="7" fillId="13" borderId="6" applyAlignment="1" pivotButton="0" quotePrefix="0" xfId="0">
      <alignment horizontal="left" vertical="top" wrapText="1"/>
    </xf>
    <xf numFmtId="0" fontId="7" fillId="28" borderId="6" applyAlignment="1" pivotButton="0" quotePrefix="0" xfId="0">
      <alignment horizontal="left" vertical="top" wrapText="1"/>
    </xf>
    <xf numFmtId="0" fontId="8" fillId="28" borderId="1" applyAlignment="1" pivotButton="0" quotePrefix="0" xfId="0">
      <alignment horizontal="left" vertical="top" wrapText="1"/>
    </xf>
    <xf numFmtId="0" fontId="14" fillId="2" borderId="1" applyAlignment="1" pivotButton="0" quotePrefix="0" xfId="0">
      <alignment horizontal="left" vertical="center" wrapText="1"/>
    </xf>
    <xf numFmtId="0" fontId="0" fillId="0" borderId="4" pivotButton="0" quotePrefix="0" xfId="0"/>
    <xf numFmtId="0" fontId="0" fillId="0" borderId="5" pivotButton="0" quotePrefix="0" xfId="0"/>
    <xf numFmtId="0" fontId="15" fillId="0" borderId="0" pivotButton="0" quotePrefix="0" xfId="0"/>
    <xf numFmtId="0" fontId="8" fillId="4" borderId="1" applyAlignment="1" pivotButton="0" quotePrefix="0" xfId="0">
      <alignment horizontal="left" vertical="top" wrapText="1"/>
    </xf>
    <xf numFmtId="9" fontId="7" fillId="4" borderId="1" applyAlignment="1" pivotButton="0" quotePrefix="0" xfId="0">
      <alignment horizontal="left" vertical="top" wrapText="1"/>
    </xf>
    <xf numFmtId="0" fontId="8" fillId="5" borderId="1" applyAlignment="1" pivotButton="0" quotePrefix="0" xfId="0">
      <alignment horizontal="left" vertical="top" wrapText="1"/>
    </xf>
    <xf numFmtId="9" fontId="7" fillId="5" borderId="1" applyAlignment="1" pivotButton="0" quotePrefix="0" xfId="0">
      <alignment horizontal="left" vertical="top" wrapText="1"/>
    </xf>
    <xf numFmtId="0" fontId="8" fillId="13" borderId="1" applyAlignment="1" pivotButton="0" quotePrefix="0" xfId="0">
      <alignment horizontal="left" vertical="top" wrapText="1"/>
    </xf>
    <xf numFmtId="9" fontId="7" fillId="13" borderId="1" applyAlignment="1" pivotButton="0" quotePrefix="0" xfId="0">
      <alignment horizontal="left" vertical="top" wrapText="1"/>
    </xf>
    <xf numFmtId="0" fontId="7" fillId="0" borderId="0" applyAlignment="1" pivotButton="0" quotePrefix="0" xfId="0">
      <alignment vertical="top" wrapText="1"/>
    </xf>
    <xf numFmtId="0" fontId="8" fillId="10" borderId="1" applyAlignment="1" pivotButton="0" quotePrefix="0" xfId="0">
      <alignment horizontal="left" vertical="top" wrapText="1"/>
    </xf>
    <xf numFmtId="0" fontId="9" fillId="20" borderId="1" applyAlignment="1" pivotButton="0" quotePrefix="0" xfId="0">
      <alignment horizontal="left" vertical="top" wrapText="1"/>
    </xf>
    <xf numFmtId="9" fontId="7" fillId="12" borderId="6" applyAlignment="1" pivotButton="0" quotePrefix="0" xfId="0">
      <alignment horizontal="left" vertical="top" wrapText="1"/>
    </xf>
    <xf numFmtId="9" fontId="7" fillId="12" borderId="1" applyAlignment="1" pivotButton="0" quotePrefix="0" xfId="0">
      <alignment horizontal="left" vertical="top" wrapText="1"/>
    </xf>
    <xf numFmtId="0" fontId="9" fillId="21" borderId="1" applyAlignment="1" pivotButton="0" quotePrefix="0" xfId="0">
      <alignment horizontal="left" vertical="top" wrapText="1"/>
    </xf>
    <xf numFmtId="0" fontId="9" fillId="29" borderId="1" applyAlignment="1" pivotButton="0" quotePrefix="0" xfId="0">
      <alignment horizontal="left" vertical="top" wrapText="1"/>
    </xf>
    <xf numFmtId="0" fontId="9" fillId="11" borderId="1" applyAlignment="1" pivotButton="0" quotePrefix="0" xfId="0">
      <alignment horizontal="left" vertical="top" wrapText="1"/>
    </xf>
    <xf numFmtId="0" fontId="9" fillId="18" borderId="1" applyAlignment="1" pivotButton="0" quotePrefix="0" xfId="0">
      <alignment horizontal="left" vertical="top" wrapText="1"/>
    </xf>
    <xf numFmtId="0" fontId="9" fillId="16" borderId="1" applyAlignment="1" pivotButton="0" quotePrefix="0" xfId="0">
      <alignment horizontal="left" vertical="top" wrapText="1"/>
    </xf>
    <xf numFmtId="0" fontId="9" fillId="19" borderId="1" applyAlignment="1" pivotButton="0" quotePrefix="0" xfId="0">
      <alignment horizontal="left" vertical="top" wrapText="1"/>
    </xf>
    <xf numFmtId="0" fontId="5" fillId="8" borderId="1" applyAlignment="1" pivotButton="0" quotePrefix="0" xfId="0">
      <alignment horizontal="left" vertical="center" wrapText="1"/>
    </xf>
    <xf numFmtId="0" fontId="6" fillId="8" borderId="1" applyAlignment="1" pivotButton="0" quotePrefix="0" xfId="0">
      <alignment horizontal="left" vertical="center" wrapText="1"/>
    </xf>
    <xf numFmtId="0" fontId="9" fillId="11" borderId="6" applyAlignment="1" pivotButton="0" quotePrefix="0" xfId="0">
      <alignment horizontal="left" vertical="top" wrapText="1"/>
    </xf>
    <xf numFmtId="0" fontId="7" fillId="12" borderId="1" applyAlignment="1" pivotButton="0" quotePrefix="0" xfId="0">
      <alignment horizontal="left" vertical="top" wrapText="1"/>
    </xf>
    <xf numFmtId="0" fontId="7" fillId="14" borderId="1" applyAlignment="1" pivotButton="0" quotePrefix="0" xfId="0">
      <alignment horizontal="left" vertical="top" wrapText="1"/>
    </xf>
    <xf numFmtId="0" fontId="9" fillId="16" borderId="6" applyAlignment="1" pivotButton="0" quotePrefix="0" xfId="0">
      <alignment horizontal="left" vertical="top" wrapText="1"/>
    </xf>
    <xf numFmtId="0" fontId="9" fillId="17" borderId="6" applyAlignment="1" pivotButton="0" quotePrefix="0" xfId="0">
      <alignment horizontal="left" vertical="top" wrapText="1"/>
    </xf>
    <xf numFmtId="0" fontId="9" fillId="18" borderId="6" applyAlignment="1" pivotButton="0" quotePrefix="0" xfId="0">
      <alignment horizontal="left" vertical="top" wrapText="1"/>
    </xf>
    <xf numFmtId="0" fontId="9" fillId="19" borderId="6" applyAlignment="1" pivotButton="0" quotePrefix="0" xfId="0">
      <alignment horizontal="left" vertical="top" wrapText="1"/>
    </xf>
    <xf numFmtId="0" fontId="9" fillId="20" borderId="6" applyAlignment="1" pivotButton="0" quotePrefix="0" xfId="0">
      <alignment horizontal="left" vertical="top" wrapText="1"/>
    </xf>
    <xf numFmtId="0" fontId="9" fillId="21" borderId="6" applyAlignment="1" pivotButton="0" quotePrefix="0" xfId="0">
      <alignment horizontal="left" vertical="top" wrapText="1"/>
    </xf>
    <xf numFmtId="0" fontId="8" fillId="2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1. How to use'!A1" TargetMode="External" Id="rId1"/><Relationship Type="http://schemas.openxmlformats.org/officeDocument/2006/relationships/hyperlink" Target="#'2. Talent Mapping'!A1" TargetMode="External" Id="rId2"/><Relationship Type="http://schemas.openxmlformats.org/officeDocument/2006/relationships/hyperlink" Target="#'3. Raw Data'!A1" TargetMode="External" Id="rId3"/><Relationship Type="http://schemas.openxmlformats.org/officeDocument/2006/relationships/hyperlink" Target="#'4. Market Benchmark'!A1" TargetMode="External" Id="rId4"/><Relationship Type="http://schemas.openxmlformats.org/officeDocument/2006/relationships/hyperlink" Target="#'5. Department Ladder'!A1" TargetMode="External" Id="rId5"/><Relationship Type="http://schemas.openxmlformats.org/officeDocument/2006/relationships/hyperlink" Target="#'RB &#183; Administration, Legal &amp; Se'!A1" TargetMode="External" Id="rId6"/><Relationship Type="http://schemas.openxmlformats.org/officeDocument/2006/relationships/hyperlink" Target="#'RB &#183; Business Analysis'!A1" TargetMode="External" Id="rId7"/><Relationship Type="http://schemas.openxmlformats.org/officeDocument/2006/relationships/hyperlink" Target="#'RB &#183; Consulting &amp; Professional'!A1" TargetMode="External" Id="rId8"/><Relationship Type="http://schemas.openxmlformats.org/officeDocument/2006/relationships/hyperlink" Target="#'RB &#183; Customer Success &amp; Support'!A1" TargetMode="External" Id="rId9"/><Relationship Type="http://schemas.openxmlformats.org/officeDocument/2006/relationships/hyperlink" Target="#'RB &#183; Data &amp; Analytics'!A1" TargetMode="External" Id="rId10"/><Relationship Type="http://schemas.openxmlformats.org/officeDocument/2006/relationships/hyperlink" Target="#'RB &#183; Data Operations &amp; Digitiza'!A1" TargetMode="External" Id="rId11"/><Relationship Type="http://schemas.openxmlformats.org/officeDocument/2006/relationships/hyperlink" Target="#'RB &#183; Design &amp; Creative'!A1" TargetMode="External" Id="rId12"/><Relationship Type="http://schemas.openxmlformats.org/officeDocument/2006/relationships/hyperlink" Target="#'RB &#183; Engineering &amp; Architecture'!A1" TargetMode="External" Id="rId13"/><Relationship Type="http://schemas.openxmlformats.org/officeDocument/2006/relationships/hyperlink" Target="#'RB &#183; Engineering &amp; Development'!A1" TargetMode="External" Id="rId14"/><Relationship Type="http://schemas.openxmlformats.org/officeDocument/2006/relationships/hyperlink" Target="#'RB &#183; Enterprise Leadership'!A1" TargetMode="External" Id="rId15"/><Relationship Type="http://schemas.openxmlformats.org/officeDocument/2006/relationships/hyperlink" Target="#'RB &#183; Executive Leadership'!A1" TargetMode="External" Id="rId16"/><Relationship Type="http://schemas.openxmlformats.org/officeDocument/2006/relationships/hyperlink" Target="#'RB &#183; Finance &amp; Accounts'!A1" TargetMode="External" Id="rId17"/><Relationship Type="http://schemas.openxmlformats.org/officeDocument/2006/relationships/hyperlink" Target="#'RB &#183; Human Resources'!A1" TargetMode="External" Id="rId18"/><Relationship Type="http://schemas.openxmlformats.org/officeDocument/2006/relationships/hyperlink" Target="#'RB &#183; IT &amp; Infrastructure'!A1" TargetMode="External" Id="rId19"/><Relationship Type="http://schemas.openxmlformats.org/officeDocument/2006/relationships/hyperlink" Target="#'RB &#183; Marketing &amp; Communications'!A1" TargetMode="External" Id="rId20"/><Relationship Type="http://schemas.openxmlformats.org/officeDocument/2006/relationships/hyperlink" Target="#'RB &#183; Product Management'!A1" TargetMode="External" Id="rId21"/><Relationship Type="http://schemas.openxmlformats.org/officeDocument/2006/relationships/hyperlink" Target="#'RB &#183; Project &amp; Program Manageme'!A1" TargetMode="External" Id="rId22"/><Relationship Type="http://schemas.openxmlformats.org/officeDocument/2006/relationships/hyperlink" Target="#'RB &#183; Quality Assurance'!A1" TargetMode="External" Id="rId23"/><Relationship Type="http://schemas.openxmlformats.org/officeDocument/2006/relationships/hyperlink" Target="#'RB &#183; Sales &amp; Business Developme'!A1" TargetMode="External" Id="rId24"/><Relationship Type="http://schemas.openxmlformats.org/officeDocument/2006/relationships/hyperlink" Target="#'RB &#183; Solution Consulting &amp; Impl'!A1" TargetMode="External" Id="rId25"/><Relationship Type="http://schemas.openxmlformats.org/officeDocument/2006/relationships/hyperlink" Target="#'RB &#183; Unassigned'!A1" TargetMode="External" Id="rId26"/><Relationship Type="http://schemas.openxmlformats.org/officeDocument/2006/relationships/hyperlink" Target="#'Backend Data'!A1" TargetMode="External" Id="rId27"/></Relationships>
</file>

<file path=xl/worksheets/_rels/sheet2.xml.rels><Relationships xmlns="http://schemas.openxmlformats.org/package/2006/relationships"><Relationship Type="http://schemas.openxmlformats.org/officeDocument/2006/relationships/hyperlink" Target="#'1. Framework &amp; Model'!A1" TargetMode="External" Id="rId1"/><Relationship Type="http://schemas.openxmlformats.org/officeDocument/2006/relationships/hyperlink" Target="#'3. Raw Data'!A7" TargetMode="External" Id="rId2"/><Relationship Type="http://schemas.openxmlformats.org/officeDocument/2006/relationships/hyperlink" Target="#'3. Raw Data'!A8" TargetMode="External" Id="rId3"/><Relationship Type="http://schemas.openxmlformats.org/officeDocument/2006/relationships/hyperlink" Target="#'3. Raw Data'!A9" TargetMode="External" Id="rId4"/><Relationship Type="http://schemas.openxmlformats.org/officeDocument/2006/relationships/hyperlink" Target="#'3. Raw Data'!A10" TargetMode="External" Id="rId5"/><Relationship Type="http://schemas.openxmlformats.org/officeDocument/2006/relationships/hyperlink" Target="#'3. Raw Data'!A11" TargetMode="External" Id="rId6"/><Relationship Type="http://schemas.openxmlformats.org/officeDocument/2006/relationships/hyperlink" Target="#'3. Raw Data'!A12" TargetMode="External" Id="rId7"/><Relationship Type="http://schemas.openxmlformats.org/officeDocument/2006/relationships/hyperlink" Target="#'3. Raw Data'!A13" TargetMode="External" Id="rId8"/><Relationship Type="http://schemas.openxmlformats.org/officeDocument/2006/relationships/hyperlink" Target="#'3. Raw Data'!A14" TargetMode="External" Id="rId9"/><Relationship Type="http://schemas.openxmlformats.org/officeDocument/2006/relationships/hyperlink" Target="#'3. Raw Data'!A15" TargetMode="External" Id="rId10"/><Relationship Type="http://schemas.openxmlformats.org/officeDocument/2006/relationships/hyperlink" Target="#'3. Raw Data'!A16" TargetMode="External" Id="rId11"/><Relationship Type="http://schemas.openxmlformats.org/officeDocument/2006/relationships/hyperlink" Target="#'3. Raw Data'!A17" TargetMode="External" Id="rId12"/><Relationship Type="http://schemas.openxmlformats.org/officeDocument/2006/relationships/hyperlink" Target="#'3. Raw Data'!A18" TargetMode="External" Id="rId13"/><Relationship Type="http://schemas.openxmlformats.org/officeDocument/2006/relationships/hyperlink" Target="#'3. Raw Data'!A19" TargetMode="External" Id="rId14"/><Relationship Type="http://schemas.openxmlformats.org/officeDocument/2006/relationships/hyperlink" Target="#'3. Raw Data'!A20" TargetMode="External" Id="rId15"/><Relationship Type="http://schemas.openxmlformats.org/officeDocument/2006/relationships/hyperlink" Target="#'3. Raw Data'!A21" TargetMode="External" Id="rId16"/><Relationship Type="http://schemas.openxmlformats.org/officeDocument/2006/relationships/hyperlink" Target="#'3. Raw Data'!A22" TargetMode="External" Id="rId17"/><Relationship Type="http://schemas.openxmlformats.org/officeDocument/2006/relationships/hyperlink" Target="#'3. Raw Data'!A23" TargetMode="External" Id="rId18"/><Relationship Type="http://schemas.openxmlformats.org/officeDocument/2006/relationships/hyperlink" Target="#'3. Raw Data'!A24" TargetMode="External" Id="rId19"/><Relationship Type="http://schemas.openxmlformats.org/officeDocument/2006/relationships/hyperlink" Target="#'3. Raw Data'!A25" TargetMode="External" Id="rId20"/><Relationship Type="http://schemas.openxmlformats.org/officeDocument/2006/relationships/hyperlink" Target="#'3. Raw Data'!A26" TargetMode="External" Id="rId21"/><Relationship Type="http://schemas.openxmlformats.org/officeDocument/2006/relationships/hyperlink" Target="#'3. Raw Data'!A27" TargetMode="External" Id="rId22"/><Relationship Type="http://schemas.openxmlformats.org/officeDocument/2006/relationships/hyperlink" Target="#'3. Raw Data'!A28" TargetMode="External" Id="rId23"/><Relationship Type="http://schemas.openxmlformats.org/officeDocument/2006/relationships/hyperlink" Target="#'3. Raw Data'!A29" TargetMode="External" Id="rId24"/><Relationship Type="http://schemas.openxmlformats.org/officeDocument/2006/relationships/hyperlink" Target="#'3. Raw Data'!A30" TargetMode="External" Id="rId25"/><Relationship Type="http://schemas.openxmlformats.org/officeDocument/2006/relationships/hyperlink" Target="#'3. Raw Data'!A31" TargetMode="External" Id="rId26"/><Relationship Type="http://schemas.openxmlformats.org/officeDocument/2006/relationships/hyperlink" Target="#'3. Raw Data'!A32" TargetMode="External" Id="rId27"/><Relationship Type="http://schemas.openxmlformats.org/officeDocument/2006/relationships/hyperlink" Target="#'3. Raw Data'!A33" TargetMode="External" Id="rId28"/><Relationship Type="http://schemas.openxmlformats.org/officeDocument/2006/relationships/hyperlink" Target="#'3. Raw Data'!A34" TargetMode="External" Id="rId29"/><Relationship Type="http://schemas.openxmlformats.org/officeDocument/2006/relationships/hyperlink" Target="#'3. Raw Data'!A35" TargetMode="External" Id="rId30"/><Relationship Type="http://schemas.openxmlformats.org/officeDocument/2006/relationships/hyperlink" Target="#'3. Raw Data'!A36" TargetMode="External" Id="rId31"/><Relationship Type="http://schemas.openxmlformats.org/officeDocument/2006/relationships/hyperlink" Target="#'3. Raw Data'!A37" TargetMode="External" Id="rId32"/><Relationship Type="http://schemas.openxmlformats.org/officeDocument/2006/relationships/hyperlink" Target="#'3. Raw Data'!A38" TargetMode="External" Id="rId33"/><Relationship Type="http://schemas.openxmlformats.org/officeDocument/2006/relationships/hyperlink" Target="#'3. Raw Data'!A39" TargetMode="External" Id="rId34"/><Relationship Type="http://schemas.openxmlformats.org/officeDocument/2006/relationships/hyperlink" Target="#'3. Raw Data'!A40" TargetMode="External" Id="rId35"/><Relationship Type="http://schemas.openxmlformats.org/officeDocument/2006/relationships/hyperlink" Target="#'3. Raw Data'!A41" TargetMode="External" Id="rId36"/><Relationship Type="http://schemas.openxmlformats.org/officeDocument/2006/relationships/hyperlink" Target="#'3. Raw Data'!A42" TargetMode="External" Id="rId37"/><Relationship Type="http://schemas.openxmlformats.org/officeDocument/2006/relationships/hyperlink" Target="#'3. Raw Data'!A43" TargetMode="External" Id="rId38"/><Relationship Type="http://schemas.openxmlformats.org/officeDocument/2006/relationships/hyperlink" Target="#'3. Raw Data'!A44" TargetMode="External" Id="rId39"/><Relationship Type="http://schemas.openxmlformats.org/officeDocument/2006/relationships/hyperlink" Target="#'3. Raw Data'!A45" TargetMode="External" Id="rId40"/><Relationship Type="http://schemas.openxmlformats.org/officeDocument/2006/relationships/hyperlink" Target="#'3. Raw Data'!A46" TargetMode="External" Id="rId41"/><Relationship Type="http://schemas.openxmlformats.org/officeDocument/2006/relationships/hyperlink" Target="#'3. Raw Data'!A47" TargetMode="External" Id="rId42"/><Relationship Type="http://schemas.openxmlformats.org/officeDocument/2006/relationships/hyperlink" Target="#'3. Raw Data'!A48" TargetMode="External" Id="rId43"/><Relationship Type="http://schemas.openxmlformats.org/officeDocument/2006/relationships/hyperlink" Target="#'3. Raw Data'!A49" TargetMode="External" Id="rId44"/><Relationship Type="http://schemas.openxmlformats.org/officeDocument/2006/relationships/hyperlink" Target="#'3. Raw Data'!A50" TargetMode="External" Id="rId45"/><Relationship Type="http://schemas.openxmlformats.org/officeDocument/2006/relationships/hyperlink" Target="#'3. Raw Data'!A51" TargetMode="External" Id="rId46"/><Relationship Type="http://schemas.openxmlformats.org/officeDocument/2006/relationships/hyperlink" Target="#'3. Raw Data'!A52" TargetMode="External" Id="rId47"/><Relationship Type="http://schemas.openxmlformats.org/officeDocument/2006/relationships/hyperlink" Target="#'3. Raw Data'!A53" TargetMode="External" Id="rId48"/><Relationship Type="http://schemas.openxmlformats.org/officeDocument/2006/relationships/hyperlink" Target="#'3. Raw Data'!A54" TargetMode="External" Id="rId49"/><Relationship Type="http://schemas.openxmlformats.org/officeDocument/2006/relationships/hyperlink" Target="#'3. Raw Data'!A55" TargetMode="External" Id="rId50"/><Relationship Type="http://schemas.openxmlformats.org/officeDocument/2006/relationships/hyperlink" Target="#'3. Raw Data'!A56" TargetMode="External" Id="rId51"/><Relationship Type="http://schemas.openxmlformats.org/officeDocument/2006/relationships/hyperlink" Target="#'3. Raw Data'!A57" TargetMode="External" Id="rId52"/><Relationship Type="http://schemas.openxmlformats.org/officeDocument/2006/relationships/hyperlink" Target="#'3. Raw Data'!A58" TargetMode="External" Id="rId53"/><Relationship Type="http://schemas.openxmlformats.org/officeDocument/2006/relationships/hyperlink" Target="#'3. Raw Data'!A59" TargetMode="External" Id="rId54"/><Relationship Type="http://schemas.openxmlformats.org/officeDocument/2006/relationships/hyperlink" Target="#'3. Raw Data'!A60" TargetMode="External" Id="rId55"/><Relationship Type="http://schemas.openxmlformats.org/officeDocument/2006/relationships/hyperlink" Target="#'3. Raw Data'!A61" TargetMode="External" Id="rId56"/><Relationship Type="http://schemas.openxmlformats.org/officeDocument/2006/relationships/hyperlink" Target="#'3. Raw Data'!A62" TargetMode="External" Id="rId57"/><Relationship Type="http://schemas.openxmlformats.org/officeDocument/2006/relationships/hyperlink" Target="#'3. Raw Data'!A63" TargetMode="External" Id="rId58"/><Relationship Type="http://schemas.openxmlformats.org/officeDocument/2006/relationships/hyperlink" Target="#'3. Raw Data'!A64" TargetMode="External" Id="rId59"/><Relationship Type="http://schemas.openxmlformats.org/officeDocument/2006/relationships/hyperlink" Target="#'3. Raw Data'!A65" TargetMode="External" Id="rId60"/><Relationship Type="http://schemas.openxmlformats.org/officeDocument/2006/relationships/hyperlink" Target="#'3. Raw Data'!A66" TargetMode="External" Id="rId61"/><Relationship Type="http://schemas.openxmlformats.org/officeDocument/2006/relationships/hyperlink" Target="#'3. Raw Data'!A67" TargetMode="External" Id="rId62"/><Relationship Type="http://schemas.openxmlformats.org/officeDocument/2006/relationships/hyperlink" Target="#'3. Raw Data'!A68" TargetMode="External" Id="rId63"/><Relationship Type="http://schemas.openxmlformats.org/officeDocument/2006/relationships/hyperlink" Target="#'3. Raw Data'!A69" TargetMode="External" Id="rId64"/><Relationship Type="http://schemas.openxmlformats.org/officeDocument/2006/relationships/hyperlink" Target="#'3. Raw Data'!A70" TargetMode="External" Id="rId65"/><Relationship Type="http://schemas.openxmlformats.org/officeDocument/2006/relationships/hyperlink" Target="#'3. Raw Data'!A71" TargetMode="External" Id="rId66"/><Relationship Type="http://schemas.openxmlformats.org/officeDocument/2006/relationships/hyperlink" Target="#'3. Raw Data'!A72" TargetMode="External" Id="rId67"/><Relationship Type="http://schemas.openxmlformats.org/officeDocument/2006/relationships/hyperlink" Target="#'3. Raw Data'!A73" TargetMode="External" Id="rId68"/><Relationship Type="http://schemas.openxmlformats.org/officeDocument/2006/relationships/hyperlink" Target="#'3. Raw Data'!A74" TargetMode="External" Id="rId69"/><Relationship Type="http://schemas.openxmlformats.org/officeDocument/2006/relationships/hyperlink" Target="#'3. Raw Data'!A75" TargetMode="External" Id="rId70"/><Relationship Type="http://schemas.openxmlformats.org/officeDocument/2006/relationships/hyperlink" Target="#'3. Raw Data'!A76" TargetMode="External" Id="rId71"/><Relationship Type="http://schemas.openxmlformats.org/officeDocument/2006/relationships/hyperlink" Target="#'3. Raw Data'!A77" TargetMode="External" Id="rId72"/><Relationship Type="http://schemas.openxmlformats.org/officeDocument/2006/relationships/hyperlink" Target="#'3. Raw Data'!A78" TargetMode="External" Id="rId73"/><Relationship Type="http://schemas.openxmlformats.org/officeDocument/2006/relationships/hyperlink" Target="#'3. Raw Data'!A79" TargetMode="External" Id="rId74"/><Relationship Type="http://schemas.openxmlformats.org/officeDocument/2006/relationships/hyperlink" Target="#'3. Raw Data'!A80" TargetMode="External" Id="rId75"/><Relationship Type="http://schemas.openxmlformats.org/officeDocument/2006/relationships/hyperlink" Target="#'3. Raw Data'!A81" TargetMode="External" Id="rId76"/><Relationship Type="http://schemas.openxmlformats.org/officeDocument/2006/relationships/hyperlink" Target="#'3. Raw Data'!A82" TargetMode="External" Id="rId77"/><Relationship Type="http://schemas.openxmlformats.org/officeDocument/2006/relationships/hyperlink" Target="#'3. Raw Data'!A83" TargetMode="External" Id="rId78"/><Relationship Type="http://schemas.openxmlformats.org/officeDocument/2006/relationships/hyperlink" Target="#'3. Raw Data'!A84" TargetMode="External" Id="rId79"/><Relationship Type="http://schemas.openxmlformats.org/officeDocument/2006/relationships/hyperlink" Target="#'3. Raw Data'!A85" TargetMode="External" Id="rId80"/><Relationship Type="http://schemas.openxmlformats.org/officeDocument/2006/relationships/hyperlink" Target="#'3. Raw Data'!A86" TargetMode="External" Id="rId81"/><Relationship Type="http://schemas.openxmlformats.org/officeDocument/2006/relationships/hyperlink" Target="#'3. Raw Data'!A87" TargetMode="External" Id="rId82"/><Relationship Type="http://schemas.openxmlformats.org/officeDocument/2006/relationships/hyperlink" Target="#'3. Raw Data'!A88" TargetMode="External" Id="rId83"/><Relationship Type="http://schemas.openxmlformats.org/officeDocument/2006/relationships/hyperlink" Target="#'3. Raw Data'!A89" TargetMode="External" Id="rId84"/><Relationship Type="http://schemas.openxmlformats.org/officeDocument/2006/relationships/hyperlink" Target="#'3. Raw Data'!A90" TargetMode="External" Id="rId85"/><Relationship Type="http://schemas.openxmlformats.org/officeDocument/2006/relationships/hyperlink" Target="#'3. Raw Data'!A91" TargetMode="External" Id="rId86"/><Relationship Type="http://schemas.openxmlformats.org/officeDocument/2006/relationships/hyperlink" Target="#'3. Raw Data'!A92" TargetMode="External" Id="rId87"/><Relationship Type="http://schemas.openxmlformats.org/officeDocument/2006/relationships/hyperlink" Target="#'3. Raw Data'!A93" TargetMode="External" Id="rId88"/><Relationship Type="http://schemas.openxmlformats.org/officeDocument/2006/relationships/hyperlink" Target="#'3. Raw Data'!A94" TargetMode="External" Id="rId89"/><Relationship Type="http://schemas.openxmlformats.org/officeDocument/2006/relationships/hyperlink" Target="#'3. Raw Data'!A95" TargetMode="External" Id="rId90"/><Relationship Type="http://schemas.openxmlformats.org/officeDocument/2006/relationships/hyperlink" Target="#'3. Raw Data'!A96" TargetMode="External" Id="rId91"/><Relationship Type="http://schemas.openxmlformats.org/officeDocument/2006/relationships/hyperlink" Target="#'3. Raw Data'!A97" TargetMode="External" Id="rId92"/><Relationship Type="http://schemas.openxmlformats.org/officeDocument/2006/relationships/hyperlink" Target="#'3. Raw Data'!A98" TargetMode="External" Id="rId93"/><Relationship Type="http://schemas.openxmlformats.org/officeDocument/2006/relationships/hyperlink" Target="#'3. Raw Data'!A99" TargetMode="External" Id="rId94"/><Relationship Type="http://schemas.openxmlformats.org/officeDocument/2006/relationships/hyperlink" Target="#'3. Raw Data'!A100" TargetMode="External" Id="rId95"/><Relationship Type="http://schemas.openxmlformats.org/officeDocument/2006/relationships/hyperlink" Target="#'3. Raw Data'!A101" TargetMode="External" Id="rId96"/><Relationship Type="http://schemas.openxmlformats.org/officeDocument/2006/relationships/hyperlink" Target="#'3. Raw Data'!A102" TargetMode="External" Id="rId97"/><Relationship Type="http://schemas.openxmlformats.org/officeDocument/2006/relationships/hyperlink" Target="#'3. Raw Data'!A103" TargetMode="External" Id="rId98"/><Relationship Type="http://schemas.openxmlformats.org/officeDocument/2006/relationships/hyperlink" Target="#'3. Raw Data'!A104" TargetMode="External" Id="rId99"/><Relationship Type="http://schemas.openxmlformats.org/officeDocument/2006/relationships/hyperlink" Target="#'3. Raw Data'!A105" TargetMode="External" Id="rId100"/><Relationship Type="http://schemas.openxmlformats.org/officeDocument/2006/relationships/hyperlink" Target="#'3. Raw Data'!A106" TargetMode="External" Id="rId101"/><Relationship Type="http://schemas.openxmlformats.org/officeDocument/2006/relationships/hyperlink" Target="#'3. Raw Data'!A107" TargetMode="External" Id="rId102"/><Relationship Type="http://schemas.openxmlformats.org/officeDocument/2006/relationships/hyperlink" Target="#'3. Raw Data'!A108" TargetMode="External" Id="rId103"/><Relationship Type="http://schemas.openxmlformats.org/officeDocument/2006/relationships/hyperlink" Target="#'3. Raw Data'!A109" TargetMode="External" Id="rId104"/><Relationship Type="http://schemas.openxmlformats.org/officeDocument/2006/relationships/hyperlink" Target="#'3. Raw Data'!A110" TargetMode="External" Id="rId105"/><Relationship Type="http://schemas.openxmlformats.org/officeDocument/2006/relationships/hyperlink" Target="#'3. Raw Data'!A111" TargetMode="External" Id="rId106"/><Relationship Type="http://schemas.openxmlformats.org/officeDocument/2006/relationships/hyperlink" Target="#'3. Raw Data'!A112" TargetMode="External" Id="rId107"/><Relationship Type="http://schemas.openxmlformats.org/officeDocument/2006/relationships/hyperlink" Target="#'3. Raw Data'!A113" TargetMode="External" Id="rId108"/><Relationship Type="http://schemas.openxmlformats.org/officeDocument/2006/relationships/hyperlink" Target="#'3. Raw Data'!A114" TargetMode="External" Id="rId109"/><Relationship Type="http://schemas.openxmlformats.org/officeDocument/2006/relationships/hyperlink" Target="#'3. Raw Data'!A115" TargetMode="External" Id="rId110"/><Relationship Type="http://schemas.openxmlformats.org/officeDocument/2006/relationships/hyperlink" Target="#'3. Raw Data'!A116" TargetMode="External" Id="rId111"/><Relationship Type="http://schemas.openxmlformats.org/officeDocument/2006/relationships/hyperlink" Target="#'3. Raw Data'!A117" TargetMode="External" Id="rId112"/><Relationship Type="http://schemas.openxmlformats.org/officeDocument/2006/relationships/hyperlink" Target="#'3. Raw Data'!A118" TargetMode="External" Id="rId113"/><Relationship Type="http://schemas.openxmlformats.org/officeDocument/2006/relationships/hyperlink" Target="#'3. Raw Data'!A119" TargetMode="External" Id="rId114"/><Relationship Type="http://schemas.openxmlformats.org/officeDocument/2006/relationships/hyperlink" Target="#'3. Raw Data'!A120" TargetMode="External" Id="rId115"/><Relationship Type="http://schemas.openxmlformats.org/officeDocument/2006/relationships/hyperlink" Target="#'3. Raw Data'!A121" TargetMode="External" Id="rId116"/><Relationship Type="http://schemas.openxmlformats.org/officeDocument/2006/relationships/hyperlink" Target="#'3. Raw Data'!A122" TargetMode="External" Id="rId117"/><Relationship Type="http://schemas.openxmlformats.org/officeDocument/2006/relationships/hyperlink" Target="#'3. Raw Data'!A123" TargetMode="External" Id="rId118"/><Relationship Type="http://schemas.openxmlformats.org/officeDocument/2006/relationships/hyperlink" Target="#'3. Raw Data'!A124" TargetMode="External" Id="rId119"/><Relationship Type="http://schemas.openxmlformats.org/officeDocument/2006/relationships/hyperlink" Target="#'3. Raw Data'!A125" TargetMode="External" Id="rId120"/><Relationship Type="http://schemas.openxmlformats.org/officeDocument/2006/relationships/hyperlink" Target="#'3. Raw Data'!A126" TargetMode="External" Id="rId121"/><Relationship Type="http://schemas.openxmlformats.org/officeDocument/2006/relationships/hyperlink" Target="#'3. Raw Data'!A127" TargetMode="External" Id="rId122"/><Relationship Type="http://schemas.openxmlformats.org/officeDocument/2006/relationships/hyperlink" Target="#'3. Raw Data'!A128" TargetMode="External" Id="rId123"/><Relationship Type="http://schemas.openxmlformats.org/officeDocument/2006/relationships/hyperlink" Target="#'3. Raw Data'!A129" TargetMode="External" Id="rId124"/><Relationship Type="http://schemas.openxmlformats.org/officeDocument/2006/relationships/hyperlink" Target="#'3. Raw Data'!A130" TargetMode="External" Id="rId125"/><Relationship Type="http://schemas.openxmlformats.org/officeDocument/2006/relationships/hyperlink" Target="#'3. Raw Data'!A131" TargetMode="External" Id="rId126"/><Relationship Type="http://schemas.openxmlformats.org/officeDocument/2006/relationships/hyperlink" Target="#'3. Raw Data'!A132" TargetMode="External" Id="rId127"/><Relationship Type="http://schemas.openxmlformats.org/officeDocument/2006/relationships/hyperlink" Target="#'3. Raw Data'!A133" TargetMode="External" Id="rId128"/><Relationship Type="http://schemas.openxmlformats.org/officeDocument/2006/relationships/hyperlink" Target="#'3. Raw Data'!A134" TargetMode="External" Id="rId129"/><Relationship Type="http://schemas.openxmlformats.org/officeDocument/2006/relationships/hyperlink" Target="#'3. Raw Data'!A135" TargetMode="External" Id="rId130"/><Relationship Type="http://schemas.openxmlformats.org/officeDocument/2006/relationships/hyperlink" Target="#'3. Raw Data'!A136" TargetMode="External" Id="rId131"/><Relationship Type="http://schemas.openxmlformats.org/officeDocument/2006/relationships/hyperlink" Target="#'3. Raw Data'!A137" TargetMode="External" Id="rId132"/><Relationship Type="http://schemas.openxmlformats.org/officeDocument/2006/relationships/hyperlink" Target="#'3. Raw Data'!A138" TargetMode="External" Id="rId133"/><Relationship Type="http://schemas.openxmlformats.org/officeDocument/2006/relationships/hyperlink" Target="#'3. Raw Data'!A139" TargetMode="External" Id="rId134"/><Relationship Type="http://schemas.openxmlformats.org/officeDocument/2006/relationships/hyperlink" Target="#'3. Raw Data'!A140" TargetMode="External" Id="rId135"/><Relationship Type="http://schemas.openxmlformats.org/officeDocument/2006/relationships/hyperlink" Target="#'3. Raw Data'!A141" TargetMode="External" Id="rId136"/><Relationship Type="http://schemas.openxmlformats.org/officeDocument/2006/relationships/hyperlink" Target="#'3. Raw Data'!A142" TargetMode="External" Id="rId137"/><Relationship Type="http://schemas.openxmlformats.org/officeDocument/2006/relationships/hyperlink" Target="#'3. Raw Data'!A143" TargetMode="External" Id="rId138"/><Relationship Type="http://schemas.openxmlformats.org/officeDocument/2006/relationships/hyperlink" Target="#'3. Raw Data'!A144" TargetMode="External" Id="rId139"/><Relationship Type="http://schemas.openxmlformats.org/officeDocument/2006/relationships/hyperlink" Target="#'3. Raw Data'!A145" TargetMode="External" Id="rId140"/><Relationship Type="http://schemas.openxmlformats.org/officeDocument/2006/relationships/hyperlink" Target="#'3. Raw Data'!A146" TargetMode="External" Id="rId141"/><Relationship Type="http://schemas.openxmlformats.org/officeDocument/2006/relationships/hyperlink" Target="#'3. Raw Data'!A147" TargetMode="External" Id="rId142"/><Relationship Type="http://schemas.openxmlformats.org/officeDocument/2006/relationships/hyperlink" Target="#'3. Raw Data'!A148" TargetMode="External" Id="rId143"/><Relationship Type="http://schemas.openxmlformats.org/officeDocument/2006/relationships/hyperlink" Target="#'3. Raw Data'!A149" TargetMode="External" Id="rId144"/><Relationship Type="http://schemas.openxmlformats.org/officeDocument/2006/relationships/hyperlink" Target="#'3. Raw Data'!A150" TargetMode="External" Id="rId145"/><Relationship Type="http://schemas.openxmlformats.org/officeDocument/2006/relationships/hyperlink" Target="#'3. Raw Data'!A151" TargetMode="External" Id="rId146"/><Relationship Type="http://schemas.openxmlformats.org/officeDocument/2006/relationships/hyperlink" Target="#'3. Raw Data'!A152" TargetMode="External" Id="rId147"/><Relationship Type="http://schemas.openxmlformats.org/officeDocument/2006/relationships/hyperlink" Target="#'3. Raw Data'!A153" TargetMode="External" Id="rId148"/><Relationship Type="http://schemas.openxmlformats.org/officeDocument/2006/relationships/hyperlink" Target="#'3. Raw Data'!A154" TargetMode="External" Id="rId149"/><Relationship Type="http://schemas.openxmlformats.org/officeDocument/2006/relationships/hyperlink" Target="#'3. Raw Data'!A155" TargetMode="External" Id="rId150"/><Relationship Type="http://schemas.openxmlformats.org/officeDocument/2006/relationships/hyperlink" Target="#'3. Raw Data'!A156" TargetMode="External" Id="rId151"/><Relationship Type="http://schemas.openxmlformats.org/officeDocument/2006/relationships/hyperlink" Target="#'3. Raw Data'!A157" TargetMode="External" Id="rId152"/><Relationship Type="http://schemas.openxmlformats.org/officeDocument/2006/relationships/hyperlink" Target="#'3. Raw Data'!A158" TargetMode="External" Id="rId153"/><Relationship Type="http://schemas.openxmlformats.org/officeDocument/2006/relationships/hyperlink" Target="#'3. Raw Data'!A159" TargetMode="External" Id="rId154"/><Relationship Type="http://schemas.openxmlformats.org/officeDocument/2006/relationships/hyperlink" Target="#'3. Raw Data'!A160" TargetMode="External" Id="rId155"/><Relationship Type="http://schemas.openxmlformats.org/officeDocument/2006/relationships/hyperlink" Target="#'3. Raw Data'!A161" TargetMode="External" Id="rId156"/><Relationship Type="http://schemas.openxmlformats.org/officeDocument/2006/relationships/hyperlink" Target="#'3. Raw Data'!A162" TargetMode="External" Id="rId157"/><Relationship Type="http://schemas.openxmlformats.org/officeDocument/2006/relationships/hyperlink" Target="#'3. Raw Data'!A163" TargetMode="External" Id="rId158"/><Relationship Type="http://schemas.openxmlformats.org/officeDocument/2006/relationships/hyperlink" Target="#'3. Raw Data'!A164" TargetMode="External" Id="rId159"/><Relationship Type="http://schemas.openxmlformats.org/officeDocument/2006/relationships/hyperlink" Target="#'3. Raw Data'!A165" TargetMode="External" Id="rId160"/><Relationship Type="http://schemas.openxmlformats.org/officeDocument/2006/relationships/hyperlink" Target="#'3. Raw Data'!A166" TargetMode="External" Id="rId161"/><Relationship Type="http://schemas.openxmlformats.org/officeDocument/2006/relationships/hyperlink" Target="#'3. Raw Data'!A167" TargetMode="External" Id="rId162"/><Relationship Type="http://schemas.openxmlformats.org/officeDocument/2006/relationships/hyperlink" Target="#'3. Raw Data'!A168" TargetMode="External" Id="rId163"/><Relationship Type="http://schemas.openxmlformats.org/officeDocument/2006/relationships/hyperlink" Target="#'3. Raw Data'!A169" TargetMode="External" Id="rId164"/><Relationship Type="http://schemas.openxmlformats.org/officeDocument/2006/relationships/hyperlink" Target="#'3. Raw Data'!A170" TargetMode="External" Id="rId165"/><Relationship Type="http://schemas.openxmlformats.org/officeDocument/2006/relationships/hyperlink" Target="#'3. Raw Data'!A171" TargetMode="External" Id="rId166"/><Relationship Type="http://schemas.openxmlformats.org/officeDocument/2006/relationships/hyperlink" Target="#'3. Raw Data'!A172" TargetMode="External" Id="rId167"/><Relationship Type="http://schemas.openxmlformats.org/officeDocument/2006/relationships/hyperlink" Target="#'3. Raw Data'!A173" TargetMode="External" Id="rId168"/><Relationship Type="http://schemas.openxmlformats.org/officeDocument/2006/relationships/hyperlink" Target="#'3. Raw Data'!A174" TargetMode="External" Id="rId169"/><Relationship Type="http://schemas.openxmlformats.org/officeDocument/2006/relationships/hyperlink" Target="#'3. Raw Data'!A175" TargetMode="External" Id="rId170"/><Relationship Type="http://schemas.openxmlformats.org/officeDocument/2006/relationships/hyperlink" Target="#'3. Raw Data'!A176" TargetMode="External" Id="rId171"/><Relationship Type="http://schemas.openxmlformats.org/officeDocument/2006/relationships/hyperlink" Target="#'3. Raw Data'!A177" TargetMode="External" Id="rId172"/><Relationship Type="http://schemas.openxmlformats.org/officeDocument/2006/relationships/hyperlink" Target="#'3. Raw Data'!A178" TargetMode="External" Id="rId173"/><Relationship Type="http://schemas.openxmlformats.org/officeDocument/2006/relationships/hyperlink" Target="#'3. Raw Data'!A179" TargetMode="External" Id="rId174"/><Relationship Type="http://schemas.openxmlformats.org/officeDocument/2006/relationships/hyperlink" Target="#'3. Raw Data'!A180" TargetMode="External" Id="rId175"/><Relationship Type="http://schemas.openxmlformats.org/officeDocument/2006/relationships/hyperlink" Target="#'3. Raw Data'!A181" TargetMode="External" Id="rId176"/><Relationship Type="http://schemas.openxmlformats.org/officeDocument/2006/relationships/hyperlink" Target="#'3. Raw Data'!A182" TargetMode="External" Id="rId177"/><Relationship Type="http://schemas.openxmlformats.org/officeDocument/2006/relationships/hyperlink" Target="#'3. Raw Data'!A183" TargetMode="External" Id="rId178"/><Relationship Type="http://schemas.openxmlformats.org/officeDocument/2006/relationships/hyperlink" Target="#'3. Raw Data'!A184" TargetMode="External" Id="rId179"/><Relationship Type="http://schemas.openxmlformats.org/officeDocument/2006/relationships/hyperlink" Target="#'3. Raw Data'!A185" TargetMode="External" Id="rId180"/><Relationship Type="http://schemas.openxmlformats.org/officeDocument/2006/relationships/hyperlink" Target="#'3. Raw Data'!A186" TargetMode="External" Id="rId181"/><Relationship Type="http://schemas.openxmlformats.org/officeDocument/2006/relationships/hyperlink" Target="#'3. Raw Data'!A187" TargetMode="External" Id="rId182"/><Relationship Type="http://schemas.openxmlformats.org/officeDocument/2006/relationships/hyperlink" Target="#'3. Raw Data'!A188" TargetMode="External" Id="rId183"/><Relationship Type="http://schemas.openxmlformats.org/officeDocument/2006/relationships/hyperlink" Target="#'3. Raw Data'!A189" TargetMode="External" Id="rId184"/><Relationship Type="http://schemas.openxmlformats.org/officeDocument/2006/relationships/hyperlink" Target="#'3. Raw Data'!A190" TargetMode="External" Id="rId185"/><Relationship Type="http://schemas.openxmlformats.org/officeDocument/2006/relationships/hyperlink" Target="#'3. Raw Data'!A191" TargetMode="External" Id="rId186"/><Relationship Type="http://schemas.openxmlformats.org/officeDocument/2006/relationships/hyperlink" Target="#'3. Raw Data'!A192" TargetMode="External" Id="rId187"/><Relationship Type="http://schemas.openxmlformats.org/officeDocument/2006/relationships/hyperlink" Target="#'3. Raw Data'!A193" TargetMode="External" Id="rId188"/><Relationship Type="http://schemas.openxmlformats.org/officeDocument/2006/relationships/hyperlink" Target="#'3. Raw Data'!A194" TargetMode="External" Id="rId189"/><Relationship Type="http://schemas.openxmlformats.org/officeDocument/2006/relationships/hyperlink" Target="#'3. Raw Data'!A195" TargetMode="External" Id="rId190"/><Relationship Type="http://schemas.openxmlformats.org/officeDocument/2006/relationships/hyperlink" Target="#'3. Raw Data'!A196" TargetMode="External" Id="rId191"/><Relationship Type="http://schemas.openxmlformats.org/officeDocument/2006/relationships/hyperlink" Target="#'3. Raw Data'!A197" TargetMode="External" Id="rId192"/><Relationship Type="http://schemas.openxmlformats.org/officeDocument/2006/relationships/hyperlink" Target="#'3. Raw Data'!A198" TargetMode="External" Id="rId193"/><Relationship Type="http://schemas.openxmlformats.org/officeDocument/2006/relationships/hyperlink" Target="#'3. Raw Data'!A199" TargetMode="External" Id="rId194"/><Relationship Type="http://schemas.openxmlformats.org/officeDocument/2006/relationships/hyperlink" Target="#'3. Raw Data'!A200" TargetMode="External" Id="rId195"/><Relationship Type="http://schemas.openxmlformats.org/officeDocument/2006/relationships/hyperlink" Target="#'3. Raw Data'!A201" TargetMode="External" Id="rId196"/><Relationship Type="http://schemas.openxmlformats.org/officeDocument/2006/relationships/hyperlink" Target="#'3. Raw Data'!A202" TargetMode="External" Id="rId197"/><Relationship Type="http://schemas.openxmlformats.org/officeDocument/2006/relationships/hyperlink" Target="#'3. Raw Data'!A203" TargetMode="External" Id="rId198"/><Relationship Type="http://schemas.openxmlformats.org/officeDocument/2006/relationships/hyperlink" Target="#'3. Raw Data'!A204" TargetMode="External" Id="rId199"/><Relationship Type="http://schemas.openxmlformats.org/officeDocument/2006/relationships/hyperlink" Target="#'3. Raw Data'!A205" TargetMode="External" Id="rId200"/><Relationship Type="http://schemas.openxmlformats.org/officeDocument/2006/relationships/hyperlink" Target="#'3. Raw Data'!A206" TargetMode="External" Id="rId201"/><Relationship Type="http://schemas.openxmlformats.org/officeDocument/2006/relationships/hyperlink" Target="#'3. Raw Data'!A207" TargetMode="External" Id="rId202"/><Relationship Type="http://schemas.openxmlformats.org/officeDocument/2006/relationships/hyperlink" Target="#'3. Raw Data'!A208" TargetMode="External" Id="rId203"/><Relationship Type="http://schemas.openxmlformats.org/officeDocument/2006/relationships/hyperlink" Target="#'3. Raw Data'!A209" TargetMode="External" Id="rId204"/><Relationship Type="http://schemas.openxmlformats.org/officeDocument/2006/relationships/hyperlink" Target="#'3. Raw Data'!A210" TargetMode="External" Id="rId205"/><Relationship Type="http://schemas.openxmlformats.org/officeDocument/2006/relationships/hyperlink" Target="#'3. Raw Data'!A211" TargetMode="External" Id="rId206"/><Relationship Type="http://schemas.openxmlformats.org/officeDocument/2006/relationships/hyperlink" Target="#'3. Raw Data'!A212" TargetMode="External" Id="rId207"/><Relationship Type="http://schemas.openxmlformats.org/officeDocument/2006/relationships/hyperlink" Target="#'3. Raw Data'!A213" TargetMode="External" Id="rId208"/><Relationship Type="http://schemas.openxmlformats.org/officeDocument/2006/relationships/hyperlink" Target="#'3. Raw Data'!A214" TargetMode="External" Id="rId209"/><Relationship Type="http://schemas.openxmlformats.org/officeDocument/2006/relationships/hyperlink" Target="#'3. Raw Data'!A215" TargetMode="External" Id="rId210"/><Relationship Type="http://schemas.openxmlformats.org/officeDocument/2006/relationships/hyperlink" Target="#'3. Raw Data'!A216" TargetMode="External" Id="rId211"/><Relationship Type="http://schemas.openxmlformats.org/officeDocument/2006/relationships/hyperlink" Target="#'3. Raw Data'!A217" TargetMode="External" Id="rId212"/><Relationship Type="http://schemas.openxmlformats.org/officeDocument/2006/relationships/hyperlink" Target="#'3. Raw Data'!A218" TargetMode="External" Id="rId213"/><Relationship Type="http://schemas.openxmlformats.org/officeDocument/2006/relationships/hyperlink" Target="#'3. Raw Data'!A219" TargetMode="External" Id="rId214"/><Relationship Type="http://schemas.openxmlformats.org/officeDocument/2006/relationships/hyperlink" Target="#'3. Raw Data'!A220" TargetMode="External" Id="rId215"/><Relationship Type="http://schemas.openxmlformats.org/officeDocument/2006/relationships/hyperlink" Target="#'3. Raw Data'!A221" TargetMode="External" Id="rId216"/><Relationship Type="http://schemas.openxmlformats.org/officeDocument/2006/relationships/hyperlink" Target="#'3. Raw Data'!A222" TargetMode="External" Id="rId217"/><Relationship Type="http://schemas.openxmlformats.org/officeDocument/2006/relationships/hyperlink" Target="#'3. Raw Data'!A223" TargetMode="External" Id="rId218"/><Relationship Type="http://schemas.openxmlformats.org/officeDocument/2006/relationships/hyperlink" Target="#'3. Raw Data'!A224" TargetMode="External" Id="rId219"/><Relationship Type="http://schemas.openxmlformats.org/officeDocument/2006/relationships/hyperlink" Target="#'3. Raw Data'!A225" TargetMode="External" Id="rId220"/><Relationship Type="http://schemas.openxmlformats.org/officeDocument/2006/relationships/hyperlink" Target="#'3. Raw Data'!A226" TargetMode="External" Id="rId221"/><Relationship Type="http://schemas.openxmlformats.org/officeDocument/2006/relationships/hyperlink" Target="#'3. Raw Data'!A227" TargetMode="External" Id="rId222"/><Relationship Type="http://schemas.openxmlformats.org/officeDocument/2006/relationships/hyperlink" Target="#'3. Raw Data'!A228" TargetMode="External" Id="rId223"/><Relationship Type="http://schemas.openxmlformats.org/officeDocument/2006/relationships/hyperlink" Target="#'3. Raw Data'!A229" TargetMode="External" Id="rId224"/><Relationship Type="http://schemas.openxmlformats.org/officeDocument/2006/relationships/hyperlink" Target="#'3. Raw Data'!A230" TargetMode="External" Id="rId225"/><Relationship Type="http://schemas.openxmlformats.org/officeDocument/2006/relationships/hyperlink" Target="#'3. Raw Data'!A231" TargetMode="External" Id="rId226"/><Relationship Type="http://schemas.openxmlformats.org/officeDocument/2006/relationships/hyperlink" Target="#'3. Raw Data'!A232" TargetMode="External" Id="rId227"/><Relationship Type="http://schemas.openxmlformats.org/officeDocument/2006/relationships/hyperlink" Target="#'3. Raw Data'!A233" TargetMode="External" Id="rId228"/><Relationship Type="http://schemas.openxmlformats.org/officeDocument/2006/relationships/hyperlink" Target="#'3. Raw Data'!A234" TargetMode="External" Id="rId229"/><Relationship Type="http://schemas.openxmlformats.org/officeDocument/2006/relationships/hyperlink" Target="#'3. Raw Data'!A235" TargetMode="External" Id="rId230"/><Relationship Type="http://schemas.openxmlformats.org/officeDocument/2006/relationships/hyperlink" Target="#'3. Raw Data'!A236" TargetMode="External" Id="rId231"/><Relationship Type="http://schemas.openxmlformats.org/officeDocument/2006/relationships/hyperlink" Target="#'3. Raw Data'!A237" TargetMode="External" Id="rId232"/><Relationship Type="http://schemas.openxmlformats.org/officeDocument/2006/relationships/hyperlink" Target="#'3. Raw Data'!A238" TargetMode="External" Id="rId233"/><Relationship Type="http://schemas.openxmlformats.org/officeDocument/2006/relationships/hyperlink" Target="#'3. Raw Data'!A239" TargetMode="External" Id="rId234"/><Relationship Type="http://schemas.openxmlformats.org/officeDocument/2006/relationships/hyperlink" Target="#'3. Raw Data'!A240" TargetMode="External" Id="rId235"/><Relationship Type="http://schemas.openxmlformats.org/officeDocument/2006/relationships/hyperlink" Target="#'3. Raw Data'!A241" TargetMode="External" Id="rId236"/><Relationship Type="http://schemas.openxmlformats.org/officeDocument/2006/relationships/hyperlink" Target="#'3. Raw Data'!A242" TargetMode="External" Id="rId237"/><Relationship Type="http://schemas.openxmlformats.org/officeDocument/2006/relationships/hyperlink" Target="#'3. Raw Data'!A243" TargetMode="External" Id="rId238"/><Relationship Type="http://schemas.openxmlformats.org/officeDocument/2006/relationships/hyperlink" Target="#'3. Raw Data'!A244" TargetMode="External" Id="rId239"/><Relationship Type="http://schemas.openxmlformats.org/officeDocument/2006/relationships/hyperlink" Target="#'3. Raw Data'!A245" TargetMode="External" Id="rId240"/><Relationship Type="http://schemas.openxmlformats.org/officeDocument/2006/relationships/hyperlink" Target="#'3. Raw Data'!A246" TargetMode="External" Id="rId241"/><Relationship Type="http://schemas.openxmlformats.org/officeDocument/2006/relationships/hyperlink" Target="#'3. Raw Data'!A247" TargetMode="External" Id="rId242"/><Relationship Type="http://schemas.openxmlformats.org/officeDocument/2006/relationships/hyperlink" Target="#'3. Raw Data'!A248" TargetMode="External" Id="rId243"/><Relationship Type="http://schemas.openxmlformats.org/officeDocument/2006/relationships/hyperlink" Target="#'3. Raw Data'!A249" TargetMode="External" Id="rId244"/><Relationship Type="http://schemas.openxmlformats.org/officeDocument/2006/relationships/hyperlink" Target="#'3. Raw Data'!A250" TargetMode="External" Id="rId245"/><Relationship Type="http://schemas.openxmlformats.org/officeDocument/2006/relationships/hyperlink" Target="#'3. Raw Data'!A251" TargetMode="External" Id="rId246"/><Relationship Type="http://schemas.openxmlformats.org/officeDocument/2006/relationships/hyperlink" Target="#'3. Raw Data'!A252" TargetMode="External" Id="rId247"/><Relationship Type="http://schemas.openxmlformats.org/officeDocument/2006/relationships/hyperlink" Target="#'3. Raw Data'!A253" TargetMode="External" Id="rId248"/><Relationship Type="http://schemas.openxmlformats.org/officeDocument/2006/relationships/hyperlink" Target="#'3. Raw Data'!A254" TargetMode="External" Id="rId249"/><Relationship Type="http://schemas.openxmlformats.org/officeDocument/2006/relationships/hyperlink" Target="#'3. Raw Data'!A255" TargetMode="External" Id="rId250"/><Relationship Type="http://schemas.openxmlformats.org/officeDocument/2006/relationships/hyperlink" Target="#'3. Raw Data'!A256" TargetMode="External" Id="rId251"/><Relationship Type="http://schemas.openxmlformats.org/officeDocument/2006/relationships/hyperlink" Target="#'3. Raw Data'!A257" TargetMode="External" Id="rId252"/><Relationship Type="http://schemas.openxmlformats.org/officeDocument/2006/relationships/hyperlink" Target="#'3. Raw Data'!A258" TargetMode="External" Id="rId253"/><Relationship Type="http://schemas.openxmlformats.org/officeDocument/2006/relationships/hyperlink" Target="#'3. Raw Data'!A259" TargetMode="External" Id="rId254"/><Relationship Type="http://schemas.openxmlformats.org/officeDocument/2006/relationships/hyperlink" Target="#'3. Raw Data'!A260" TargetMode="External" Id="rId255"/><Relationship Type="http://schemas.openxmlformats.org/officeDocument/2006/relationships/hyperlink" Target="#'3. Raw Data'!A261" TargetMode="External" Id="rId256"/><Relationship Type="http://schemas.openxmlformats.org/officeDocument/2006/relationships/hyperlink" Target="#'3. Raw Data'!A262" TargetMode="External" Id="rId257"/><Relationship Type="http://schemas.openxmlformats.org/officeDocument/2006/relationships/hyperlink" Target="#'3. Raw Data'!A263" TargetMode="External" Id="rId258"/><Relationship Type="http://schemas.openxmlformats.org/officeDocument/2006/relationships/hyperlink" Target="#'3. Raw Data'!A264" TargetMode="External" Id="rId259"/><Relationship Type="http://schemas.openxmlformats.org/officeDocument/2006/relationships/hyperlink" Target="#'3. Raw Data'!A265" TargetMode="External" Id="rId260"/><Relationship Type="http://schemas.openxmlformats.org/officeDocument/2006/relationships/hyperlink" Target="#'3. Raw Data'!A266" TargetMode="External" Id="rId261"/><Relationship Type="http://schemas.openxmlformats.org/officeDocument/2006/relationships/hyperlink" Target="#'3. Raw Data'!A267" TargetMode="External" Id="rId262"/><Relationship Type="http://schemas.openxmlformats.org/officeDocument/2006/relationships/hyperlink" Target="#'3. Raw Data'!A268" TargetMode="External" Id="rId263"/><Relationship Type="http://schemas.openxmlformats.org/officeDocument/2006/relationships/hyperlink" Target="#'3. Raw Data'!A269" TargetMode="External" Id="rId264"/><Relationship Type="http://schemas.openxmlformats.org/officeDocument/2006/relationships/hyperlink" Target="#'3. Raw Data'!A270" TargetMode="External" Id="rId265"/><Relationship Type="http://schemas.openxmlformats.org/officeDocument/2006/relationships/hyperlink" Target="#'3. Raw Data'!A271" TargetMode="External" Id="rId266"/><Relationship Type="http://schemas.openxmlformats.org/officeDocument/2006/relationships/hyperlink" Target="#'3. Raw Data'!A272" TargetMode="External" Id="rId267"/><Relationship Type="http://schemas.openxmlformats.org/officeDocument/2006/relationships/hyperlink" Target="#'3. Raw Data'!A273" TargetMode="External" Id="rId268"/><Relationship Type="http://schemas.openxmlformats.org/officeDocument/2006/relationships/hyperlink" Target="#'3. Raw Data'!A274" TargetMode="External" Id="rId269"/><Relationship Type="http://schemas.openxmlformats.org/officeDocument/2006/relationships/hyperlink" Target="#'3. Raw Data'!A275" TargetMode="External" Id="rId270"/><Relationship Type="http://schemas.openxmlformats.org/officeDocument/2006/relationships/hyperlink" Target="#'3. Raw Data'!A276" TargetMode="External" Id="rId271"/><Relationship Type="http://schemas.openxmlformats.org/officeDocument/2006/relationships/hyperlink" Target="#'3. Raw Data'!A277" TargetMode="External" Id="rId272"/><Relationship Type="http://schemas.openxmlformats.org/officeDocument/2006/relationships/hyperlink" Target="#'3. Raw Data'!A278" TargetMode="External" Id="rId273"/><Relationship Type="http://schemas.openxmlformats.org/officeDocument/2006/relationships/hyperlink" Target="#'3. Raw Data'!A279" TargetMode="External" Id="rId274"/><Relationship Type="http://schemas.openxmlformats.org/officeDocument/2006/relationships/hyperlink" Target="#'3. Raw Data'!A280" TargetMode="External" Id="rId275"/><Relationship Type="http://schemas.openxmlformats.org/officeDocument/2006/relationships/hyperlink" Target="#'3. Raw Data'!A281" TargetMode="External" Id="rId276"/><Relationship Type="http://schemas.openxmlformats.org/officeDocument/2006/relationships/hyperlink" Target="#'3. Raw Data'!A282" TargetMode="External" Id="rId277"/><Relationship Type="http://schemas.openxmlformats.org/officeDocument/2006/relationships/hyperlink" Target="#'3. Raw Data'!A283" TargetMode="External" Id="rId278"/><Relationship Type="http://schemas.openxmlformats.org/officeDocument/2006/relationships/hyperlink" Target="#'3. Raw Data'!A284" TargetMode="External" Id="rId279"/><Relationship Type="http://schemas.openxmlformats.org/officeDocument/2006/relationships/hyperlink" Target="#'3. Raw Data'!A285" TargetMode="External" Id="rId280"/><Relationship Type="http://schemas.openxmlformats.org/officeDocument/2006/relationships/hyperlink" Target="#'3. Raw Data'!A286" TargetMode="External" Id="rId281"/><Relationship Type="http://schemas.openxmlformats.org/officeDocument/2006/relationships/hyperlink" Target="#'3. Raw Data'!A287" TargetMode="External" Id="rId282"/><Relationship Type="http://schemas.openxmlformats.org/officeDocument/2006/relationships/hyperlink" Target="#'3. Raw Data'!A288" TargetMode="External" Id="rId283"/><Relationship Type="http://schemas.openxmlformats.org/officeDocument/2006/relationships/hyperlink" Target="#'3. Raw Data'!A289" TargetMode="External" Id="rId284"/><Relationship Type="http://schemas.openxmlformats.org/officeDocument/2006/relationships/hyperlink" Target="#'3. Raw Data'!A290" TargetMode="External" Id="rId285"/><Relationship Type="http://schemas.openxmlformats.org/officeDocument/2006/relationships/hyperlink" Target="#'3. Raw Data'!A291" TargetMode="External" Id="rId286"/><Relationship Type="http://schemas.openxmlformats.org/officeDocument/2006/relationships/hyperlink" Target="#'3. Raw Data'!A292" TargetMode="External" Id="rId287"/><Relationship Type="http://schemas.openxmlformats.org/officeDocument/2006/relationships/hyperlink" Target="#'3. Raw Data'!A293" TargetMode="External" Id="rId288"/><Relationship Type="http://schemas.openxmlformats.org/officeDocument/2006/relationships/hyperlink" Target="#'3. Raw Data'!A294" TargetMode="External" Id="rId289"/><Relationship Type="http://schemas.openxmlformats.org/officeDocument/2006/relationships/hyperlink" Target="#'3. Raw Data'!A295" TargetMode="External" Id="rId290"/><Relationship Type="http://schemas.openxmlformats.org/officeDocument/2006/relationships/hyperlink" Target="#'3. Raw Data'!A296" TargetMode="External" Id="rId291"/><Relationship Type="http://schemas.openxmlformats.org/officeDocument/2006/relationships/hyperlink" Target="#'3. Raw Data'!A297" TargetMode="External" Id="rId292"/><Relationship Type="http://schemas.openxmlformats.org/officeDocument/2006/relationships/hyperlink" Target="#'3. Raw Data'!A298" TargetMode="External" Id="rId293"/><Relationship Type="http://schemas.openxmlformats.org/officeDocument/2006/relationships/hyperlink" Target="#'3. Raw Data'!A299" TargetMode="External" Id="rId294"/><Relationship Type="http://schemas.openxmlformats.org/officeDocument/2006/relationships/hyperlink" Target="#'3. Raw Data'!A300" TargetMode="External" Id="rId295"/><Relationship Type="http://schemas.openxmlformats.org/officeDocument/2006/relationships/hyperlink" Target="#'3. Raw Data'!A301" TargetMode="External" Id="rId296"/><Relationship Type="http://schemas.openxmlformats.org/officeDocument/2006/relationships/hyperlink" Target="#'3. Raw Data'!A302" TargetMode="External" Id="rId297"/><Relationship Type="http://schemas.openxmlformats.org/officeDocument/2006/relationships/hyperlink" Target="#'3. Raw Data'!A303" TargetMode="External" Id="rId298"/><Relationship Type="http://schemas.openxmlformats.org/officeDocument/2006/relationships/hyperlink" Target="#'3. Raw Data'!A304" TargetMode="External" Id="rId299"/><Relationship Type="http://schemas.openxmlformats.org/officeDocument/2006/relationships/hyperlink" Target="#'3. Raw Data'!A305" TargetMode="External" Id="rId300"/><Relationship Type="http://schemas.openxmlformats.org/officeDocument/2006/relationships/hyperlink" Target="#'3. Raw Data'!A306" TargetMode="External" Id="rId301"/><Relationship Type="http://schemas.openxmlformats.org/officeDocument/2006/relationships/hyperlink" Target="#'3. Raw Data'!A307" TargetMode="External" Id="rId302"/><Relationship Type="http://schemas.openxmlformats.org/officeDocument/2006/relationships/hyperlink" Target="#'3. Raw Data'!A308" TargetMode="External" Id="rId303"/><Relationship Type="http://schemas.openxmlformats.org/officeDocument/2006/relationships/hyperlink" Target="#'3. Raw Data'!A309" TargetMode="External" Id="rId304"/><Relationship Type="http://schemas.openxmlformats.org/officeDocument/2006/relationships/hyperlink" Target="#'3. Raw Data'!A310" TargetMode="External" Id="rId305"/><Relationship Type="http://schemas.openxmlformats.org/officeDocument/2006/relationships/hyperlink" Target="#'3. Raw Data'!A311" TargetMode="External" Id="rId306"/><Relationship Type="http://schemas.openxmlformats.org/officeDocument/2006/relationships/hyperlink" Target="#'3. Raw Data'!A312" TargetMode="External" Id="rId307"/><Relationship Type="http://schemas.openxmlformats.org/officeDocument/2006/relationships/hyperlink" Target="#'3. Raw Data'!A313" TargetMode="External" Id="rId308"/><Relationship Type="http://schemas.openxmlformats.org/officeDocument/2006/relationships/hyperlink" Target="#'3. Raw Data'!A314" TargetMode="External" Id="rId309"/><Relationship Type="http://schemas.openxmlformats.org/officeDocument/2006/relationships/hyperlink" Target="#'3. Raw Data'!A315" TargetMode="External" Id="rId310"/><Relationship Type="http://schemas.openxmlformats.org/officeDocument/2006/relationships/hyperlink" Target="#'3. Raw Data'!A316" TargetMode="External" Id="rId311"/><Relationship Type="http://schemas.openxmlformats.org/officeDocument/2006/relationships/hyperlink" Target="#'3. Raw Data'!A317" TargetMode="External" Id="rId312"/><Relationship Type="http://schemas.openxmlformats.org/officeDocument/2006/relationships/hyperlink" Target="#'3. Raw Data'!A318" TargetMode="External" Id="rId313"/><Relationship Type="http://schemas.openxmlformats.org/officeDocument/2006/relationships/hyperlink" Target="#'3. Raw Data'!A319" TargetMode="External" Id="rId314"/><Relationship Type="http://schemas.openxmlformats.org/officeDocument/2006/relationships/hyperlink" Target="#'3. Raw Data'!A320" TargetMode="External" Id="rId315"/><Relationship Type="http://schemas.openxmlformats.org/officeDocument/2006/relationships/hyperlink" Target="#'3. Raw Data'!A321" TargetMode="External" Id="rId316"/><Relationship Type="http://schemas.openxmlformats.org/officeDocument/2006/relationships/hyperlink" Target="#'3. Raw Data'!A322" TargetMode="External" Id="rId317"/><Relationship Type="http://schemas.openxmlformats.org/officeDocument/2006/relationships/hyperlink" Target="#'3. Raw Data'!A323" TargetMode="External" Id="rId318"/><Relationship Type="http://schemas.openxmlformats.org/officeDocument/2006/relationships/hyperlink" Target="#'3. Raw Data'!A324" TargetMode="External" Id="rId319"/><Relationship Type="http://schemas.openxmlformats.org/officeDocument/2006/relationships/hyperlink" Target="#'3. Raw Data'!A325" TargetMode="External" Id="rId320"/><Relationship Type="http://schemas.openxmlformats.org/officeDocument/2006/relationships/hyperlink" Target="#'3. Raw Data'!A326" TargetMode="External" Id="rId321"/><Relationship Type="http://schemas.openxmlformats.org/officeDocument/2006/relationships/hyperlink" Target="#'3. Raw Data'!A327" TargetMode="External" Id="rId322"/><Relationship Type="http://schemas.openxmlformats.org/officeDocument/2006/relationships/hyperlink" Target="#'3. Raw Data'!A328" TargetMode="External" Id="rId323"/><Relationship Type="http://schemas.openxmlformats.org/officeDocument/2006/relationships/hyperlink" Target="#'3. Raw Data'!A329" TargetMode="External" Id="rId324"/><Relationship Type="http://schemas.openxmlformats.org/officeDocument/2006/relationships/hyperlink" Target="#'3. Raw Data'!A330" TargetMode="External" Id="rId325"/><Relationship Type="http://schemas.openxmlformats.org/officeDocument/2006/relationships/hyperlink" Target="#'3. Raw Data'!A331" TargetMode="External" Id="rId326"/><Relationship Type="http://schemas.openxmlformats.org/officeDocument/2006/relationships/hyperlink" Target="#'3. Raw Data'!A332" TargetMode="External" Id="rId327"/><Relationship Type="http://schemas.openxmlformats.org/officeDocument/2006/relationships/hyperlink" Target="#'3. Raw Data'!A333" TargetMode="External" Id="rId328"/><Relationship Type="http://schemas.openxmlformats.org/officeDocument/2006/relationships/hyperlink" Target="#'3. Raw Data'!A334" TargetMode="External" Id="rId329"/><Relationship Type="http://schemas.openxmlformats.org/officeDocument/2006/relationships/hyperlink" Target="#'3. Raw Data'!A335" TargetMode="External" Id="rId330"/><Relationship Type="http://schemas.openxmlformats.org/officeDocument/2006/relationships/hyperlink" Target="#'3. Raw Data'!A336" TargetMode="External" Id="rId331"/><Relationship Type="http://schemas.openxmlformats.org/officeDocument/2006/relationships/hyperlink" Target="#'3. Raw Data'!A337" TargetMode="External" Id="rId332"/><Relationship Type="http://schemas.openxmlformats.org/officeDocument/2006/relationships/hyperlink" Target="#'3. Raw Data'!A338" TargetMode="External" Id="rId333"/><Relationship Type="http://schemas.openxmlformats.org/officeDocument/2006/relationships/hyperlink" Target="#'3. Raw Data'!A339" TargetMode="External" Id="rId334"/><Relationship Type="http://schemas.openxmlformats.org/officeDocument/2006/relationships/hyperlink" Target="#'3. Raw Data'!A340" TargetMode="External" Id="rId335"/><Relationship Type="http://schemas.openxmlformats.org/officeDocument/2006/relationships/hyperlink" Target="#'3. Raw Data'!A341" TargetMode="External" Id="rId336"/><Relationship Type="http://schemas.openxmlformats.org/officeDocument/2006/relationships/hyperlink" Target="#'3. Raw Data'!A342" TargetMode="External" Id="rId337"/><Relationship Type="http://schemas.openxmlformats.org/officeDocument/2006/relationships/hyperlink" Target="#'3. Raw Data'!A343" TargetMode="External" Id="rId338"/><Relationship Type="http://schemas.openxmlformats.org/officeDocument/2006/relationships/hyperlink" Target="#'3. Raw Data'!A344" TargetMode="External" Id="rId339"/><Relationship Type="http://schemas.openxmlformats.org/officeDocument/2006/relationships/hyperlink" Target="#'3. Raw Data'!A345" TargetMode="External" Id="rId340"/><Relationship Type="http://schemas.openxmlformats.org/officeDocument/2006/relationships/hyperlink" Target="#'3. Raw Data'!A346" TargetMode="External" Id="rId341"/><Relationship Type="http://schemas.openxmlformats.org/officeDocument/2006/relationships/hyperlink" Target="#'3. Raw Data'!A347" TargetMode="External" Id="rId342"/><Relationship Type="http://schemas.openxmlformats.org/officeDocument/2006/relationships/hyperlink" Target="#'3. Raw Data'!A348" TargetMode="External" Id="rId343"/><Relationship Type="http://schemas.openxmlformats.org/officeDocument/2006/relationships/hyperlink" Target="#'3. Raw Data'!A349" TargetMode="External" Id="rId344"/><Relationship Type="http://schemas.openxmlformats.org/officeDocument/2006/relationships/hyperlink" Target="#'3. Raw Data'!A350" TargetMode="External" Id="rId345"/><Relationship Type="http://schemas.openxmlformats.org/officeDocument/2006/relationships/hyperlink" Target="#'3. Raw Data'!A351" TargetMode="External" Id="rId346"/><Relationship Type="http://schemas.openxmlformats.org/officeDocument/2006/relationships/hyperlink" Target="#'3. Raw Data'!A352" TargetMode="External" Id="rId347"/><Relationship Type="http://schemas.openxmlformats.org/officeDocument/2006/relationships/hyperlink" Target="#'3. Raw Data'!A353" TargetMode="External" Id="rId348"/><Relationship Type="http://schemas.openxmlformats.org/officeDocument/2006/relationships/hyperlink" Target="#'3. Raw Data'!A354" TargetMode="External" Id="rId349"/><Relationship Type="http://schemas.openxmlformats.org/officeDocument/2006/relationships/hyperlink" Target="#'3. Raw Data'!A355" TargetMode="External" Id="rId350"/><Relationship Type="http://schemas.openxmlformats.org/officeDocument/2006/relationships/hyperlink" Target="#'3. Raw Data'!A356" TargetMode="External" Id="rId351"/><Relationship Type="http://schemas.openxmlformats.org/officeDocument/2006/relationships/hyperlink" Target="#'3. Raw Data'!A357" TargetMode="External" Id="rId352"/><Relationship Type="http://schemas.openxmlformats.org/officeDocument/2006/relationships/hyperlink" Target="#'3. Raw Data'!A358" TargetMode="External" Id="rId353"/><Relationship Type="http://schemas.openxmlformats.org/officeDocument/2006/relationships/hyperlink" Target="#'3. Raw Data'!A359" TargetMode="External" Id="rId354"/><Relationship Type="http://schemas.openxmlformats.org/officeDocument/2006/relationships/hyperlink" Target="#'3. Raw Data'!A360" TargetMode="External" Id="rId355"/><Relationship Type="http://schemas.openxmlformats.org/officeDocument/2006/relationships/hyperlink" Target="#'3. Raw Data'!A361" TargetMode="External" Id="rId356"/><Relationship Type="http://schemas.openxmlformats.org/officeDocument/2006/relationships/hyperlink" Target="#'3. Raw Data'!A362" TargetMode="External" Id="rId357"/><Relationship Type="http://schemas.openxmlformats.org/officeDocument/2006/relationships/hyperlink" Target="#'3. Raw Data'!A363" TargetMode="External" Id="rId358"/><Relationship Type="http://schemas.openxmlformats.org/officeDocument/2006/relationships/hyperlink" Target="#'3. Raw Data'!A364" TargetMode="External" Id="rId359"/><Relationship Type="http://schemas.openxmlformats.org/officeDocument/2006/relationships/hyperlink" Target="#'3. Raw Data'!A365" TargetMode="External" Id="rId360"/><Relationship Type="http://schemas.openxmlformats.org/officeDocument/2006/relationships/hyperlink" Target="#'3. Raw Data'!A366" TargetMode="External" Id="rId361"/><Relationship Type="http://schemas.openxmlformats.org/officeDocument/2006/relationships/hyperlink" Target="#'3. Raw Data'!A367" TargetMode="External" Id="rId362"/><Relationship Type="http://schemas.openxmlformats.org/officeDocument/2006/relationships/hyperlink" Target="#'3. Raw Data'!A368" TargetMode="External" Id="rId363"/><Relationship Type="http://schemas.openxmlformats.org/officeDocument/2006/relationships/hyperlink" Target="#'3. Raw Data'!A369" TargetMode="External" Id="rId364"/><Relationship Type="http://schemas.openxmlformats.org/officeDocument/2006/relationships/hyperlink" Target="#'3. Raw Data'!A370" TargetMode="External" Id="rId365"/><Relationship Type="http://schemas.openxmlformats.org/officeDocument/2006/relationships/hyperlink" Target="#'3. Raw Data'!A371" TargetMode="External" Id="rId366"/><Relationship Type="http://schemas.openxmlformats.org/officeDocument/2006/relationships/hyperlink" Target="#'3. Raw Data'!A372" TargetMode="External" Id="rId367"/><Relationship Type="http://schemas.openxmlformats.org/officeDocument/2006/relationships/hyperlink" Target="#'3. Raw Data'!A373" TargetMode="External" Id="rId368"/><Relationship Type="http://schemas.openxmlformats.org/officeDocument/2006/relationships/hyperlink" Target="#'3. Raw Data'!A374" TargetMode="External" Id="rId369"/><Relationship Type="http://schemas.openxmlformats.org/officeDocument/2006/relationships/hyperlink" Target="#'3. Raw Data'!A375" TargetMode="External" Id="rId370"/><Relationship Type="http://schemas.openxmlformats.org/officeDocument/2006/relationships/hyperlink" Target="#'3. Raw Data'!A376" TargetMode="External" Id="rId371"/><Relationship Type="http://schemas.openxmlformats.org/officeDocument/2006/relationships/hyperlink" Target="#'3. Raw Data'!A377" TargetMode="External" Id="rId372"/><Relationship Type="http://schemas.openxmlformats.org/officeDocument/2006/relationships/hyperlink" Target="#'3. Raw Data'!A378" TargetMode="External" Id="rId373"/><Relationship Type="http://schemas.openxmlformats.org/officeDocument/2006/relationships/hyperlink" Target="#'3. Raw Data'!A379" TargetMode="External" Id="rId374"/><Relationship Type="http://schemas.openxmlformats.org/officeDocument/2006/relationships/hyperlink" Target="#'3. Raw Data'!A380" TargetMode="External" Id="rId375"/><Relationship Type="http://schemas.openxmlformats.org/officeDocument/2006/relationships/hyperlink" Target="#'3. Raw Data'!A381" TargetMode="External" Id="rId376"/><Relationship Type="http://schemas.openxmlformats.org/officeDocument/2006/relationships/hyperlink" Target="#'3. Raw Data'!A382" TargetMode="External" Id="rId377"/><Relationship Type="http://schemas.openxmlformats.org/officeDocument/2006/relationships/hyperlink" Target="#'3. Raw Data'!A383" TargetMode="External" Id="rId378"/><Relationship Type="http://schemas.openxmlformats.org/officeDocument/2006/relationships/hyperlink" Target="#'3. Raw Data'!A384" TargetMode="External" Id="rId379"/><Relationship Type="http://schemas.openxmlformats.org/officeDocument/2006/relationships/hyperlink" Target="#'3. Raw Data'!A385" TargetMode="External" Id="rId380"/><Relationship Type="http://schemas.openxmlformats.org/officeDocument/2006/relationships/hyperlink" Target="#'3. Raw Data'!A386" TargetMode="External" Id="rId381"/><Relationship Type="http://schemas.openxmlformats.org/officeDocument/2006/relationships/hyperlink" Target="#'3. Raw Data'!A387" TargetMode="External" Id="rId382"/><Relationship Type="http://schemas.openxmlformats.org/officeDocument/2006/relationships/hyperlink" Target="#'3. Raw Data'!A388" TargetMode="External" Id="rId383"/><Relationship Type="http://schemas.openxmlformats.org/officeDocument/2006/relationships/hyperlink" Target="#'3. Raw Data'!A389" TargetMode="External" Id="rId384"/><Relationship Type="http://schemas.openxmlformats.org/officeDocument/2006/relationships/hyperlink" Target="#'3. Raw Data'!A390" TargetMode="External" Id="rId385"/><Relationship Type="http://schemas.openxmlformats.org/officeDocument/2006/relationships/hyperlink" Target="#'3. Raw Data'!A391" TargetMode="External" Id="rId386"/><Relationship Type="http://schemas.openxmlformats.org/officeDocument/2006/relationships/hyperlink" Target="#'3. Raw Data'!A392" TargetMode="External" Id="rId387"/><Relationship Type="http://schemas.openxmlformats.org/officeDocument/2006/relationships/hyperlink" Target="#'3. Raw Data'!A393" TargetMode="External" Id="rId388"/><Relationship Type="http://schemas.openxmlformats.org/officeDocument/2006/relationships/hyperlink" Target="#'3. Raw Data'!A394" TargetMode="External" Id="rId389"/><Relationship Type="http://schemas.openxmlformats.org/officeDocument/2006/relationships/hyperlink" Target="#'3. Raw Data'!A395" TargetMode="External" Id="rId390"/><Relationship Type="http://schemas.openxmlformats.org/officeDocument/2006/relationships/hyperlink" Target="#'3. Raw Data'!A396" TargetMode="External" Id="rId391"/><Relationship Type="http://schemas.openxmlformats.org/officeDocument/2006/relationships/hyperlink" Target="#'3. Raw Data'!A397" TargetMode="External" Id="rId392"/><Relationship Type="http://schemas.openxmlformats.org/officeDocument/2006/relationships/hyperlink" Target="#'3. Raw Data'!A398" TargetMode="External" Id="rId393"/><Relationship Type="http://schemas.openxmlformats.org/officeDocument/2006/relationships/hyperlink" Target="#'3. Raw Data'!A399" TargetMode="External" Id="rId394"/><Relationship Type="http://schemas.openxmlformats.org/officeDocument/2006/relationships/hyperlink" Target="#'3. Raw Data'!A400" TargetMode="External" Id="rId395"/><Relationship Type="http://schemas.openxmlformats.org/officeDocument/2006/relationships/hyperlink" Target="#'3. Raw Data'!A401" TargetMode="External" Id="rId396"/><Relationship Type="http://schemas.openxmlformats.org/officeDocument/2006/relationships/hyperlink" Target="#'3. Raw Data'!A402" TargetMode="External" Id="rId397"/><Relationship Type="http://schemas.openxmlformats.org/officeDocument/2006/relationships/hyperlink" Target="#'3. Raw Data'!A403" TargetMode="External" Id="rId398"/><Relationship Type="http://schemas.openxmlformats.org/officeDocument/2006/relationships/hyperlink" Target="#'3. Raw Data'!A404" TargetMode="External" Id="rId399"/><Relationship Type="http://schemas.openxmlformats.org/officeDocument/2006/relationships/hyperlink" Target="#'3. Raw Data'!A405" TargetMode="External" Id="rId400"/><Relationship Type="http://schemas.openxmlformats.org/officeDocument/2006/relationships/hyperlink" Target="#'3. Raw Data'!A406" TargetMode="External" Id="rId401"/><Relationship Type="http://schemas.openxmlformats.org/officeDocument/2006/relationships/hyperlink" Target="#'3. Raw Data'!A407" TargetMode="External" Id="rId402"/><Relationship Type="http://schemas.openxmlformats.org/officeDocument/2006/relationships/hyperlink" Target="#'3. Raw Data'!A408" TargetMode="External" Id="rId403"/><Relationship Type="http://schemas.openxmlformats.org/officeDocument/2006/relationships/hyperlink" Target="#'3. Raw Data'!A409" TargetMode="External" Id="rId404"/><Relationship Type="http://schemas.openxmlformats.org/officeDocument/2006/relationships/hyperlink" Target="#'3. Raw Data'!A410" TargetMode="External" Id="rId405"/><Relationship Type="http://schemas.openxmlformats.org/officeDocument/2006/relationships/hyperlink" Target="#'3. Raw Data'!A411" TargetMode="External" Id="rId406"/><Relationship Type="http://schemas.openxmlformats.org/officeDocument/2006/relationships/hyperlink" Target="#'3. Raw Data'!A412" TargetMode="External" Id="rId407"/><Relationship Type="http://schemas.openxmlformats.org/officeDocument/2006/relationships/hyperlink" Target="#'3. Raw Data'!A413" TargetMode="External" Id="rId408"/><Relationship Type="http://schemas.openxmlformats.org/officeDocument/2006/relationships/hyperlink" Target="#'3. Raw Data'!A414" TargetMode="External" Id="rId409"/><Relationship Type="http://schemas.openxmlformats.org/officeDocument/2006/relationships/hyperlink" Target="#'3. Raw Data'!A415" TargetMode="External" Id="rId410"/><Relationship Type="http://schemas.openxmlformats.org/officeDocument/2006/relationships/hyperlink" Target="#'3. Raw Data'!A416" TargetMode="External" Id="rId411"/><Relationship Type="http://schemas.openxmlformats.org/officeDocument/2006/relationships/hyperlink" Target="#'3. Raw Data'!A417" TargetMode="External" Id="rId412"/><Relationship Type="http://schemas.openxmlformats.org/officeDocument/2006/relationships/hyperlink" Target="#'3. Raw Data'!A418" TargetMode="External" Id="rId413"/><Relationship Type="http://schemas.openxmlformats.org/officeDocument/2006/relationships/hyperlink" Target="#'3. Raw Data'!A419" TargetMode="External" Id="rId414"/><Relationship Type="http://schemas.openxmlformats.org/officeDocument/2006/relationships/hyperlink" Target="#'3. Raw Data'!A420" TargetMode="External" Id="rId415"/><Relationship Type="http://schemas.openxmlformats.org/officeDocument/2006/relationships/hyperlink" Target="#'3. Raw Data'!A421" TargetMode="External" Id="rId416"/><Relationship Type="http://schemas.openxmlformats.org/officeDocument/2006/relationships/hyperlink" Target="#'3. Raw Data'!A422" TargetMode="External" Id="rId417"/><Relationship Type="http://schemas.openxmlformats.org/officeDocument/2006/relationships/hyperlink" Target="#'3. Raw Data'!A423" TargetMode="External" Id="rId418"/><Relationship Type="http://schemas.openxmlformats.org/officeDocument/2006/relationships/hyperlink" Target="#'3. Raw Data'!A424" TargetMode="External" Id="rId419"/><Relationship Type="http://schemas.openxmlformats.org/officeDocument/2006/relationships/hyperlink" Target="#'3. Raw Data'!A425" TargetMode="External" Id="rId420"/><Relationship Type="http://schemas.openxmlformats.org/officeDocument/2006/relationships/hyperlink" Target="#'3. Raw Data'!A426" TargetMode="External" Id="rId421"/><Relationship Type="http://schemas.openxmlformats.org/officeDocument/2006/relationships/hyperlink" Target="#'3. Raw Data'!A427" TargetMode="External" Id="rId422"/><Relationship Type="http://schemas.openxmlformats.org/officeDocument/2006/relationships/hyperlink" Target="#'3. Raw Data'!A428" TargetMode="External" Id="rId423"/><Relationship Type="http://schemas.openxmlformats.org/officeDocument/2006/relationships/hyperlink" Target="#'3. Raw Data'!A429" TargetMode="External" Id="rId424"/><Relationship Type="http://schemas.openxmlformats.org/officeDocument/2006/relationships/hyperlink" Target="#'3. Raw Data'!A430" TargetMode="External" Id="rId425"/><Relationship Type="http://schemas.openxmlformats.org/officeDocument/2006/relationships/hyperlink" Target="#'3. Raw Data'!A431" TargetMode="External" Id="rId426"/><Relationship Type="http://schemas.openxmlformats.org/officeDocument/2006/relationships/hyperlink" Target="#'3. Raw Data'!A432" TargetMode="External" Id="rId427"/><Relationship Type="http://schemas.openxmlformats.org/officeDocument/2006/relationships/hyperlink" Target="#'3. Raw Data'!A433" TargetMode="External" Id="rId428"/><Relationship Type="http://schemas.openxmlformats.org/officeDocument/2006/relationships/hyperlink" Target="#'3. Raw Data'!A434" TargetMode="External" Id="rId429"/><Relationship Type="http://schemas.openxmlformats.org/officeDocument/2006/relationships/hyperlink" Target="#'3. Raw Data'!A435" TargetMode="External" Id="rId430"/><Relationship Type="http://schemas.openxmlformats.org/officeDocument/2006/relationships/hyperlink" Target="#'3. Raw Data'!A436" TargetMode="External" Id="rId431"/><Relationship Type="http://schemas.openxmlformats.org/officeDocument/2006/relationships/hyperlink" Target="#'3. Raw Data'!A437" TargetMode="External" Id="rId432"/><Relationship Type="http://schemas.openxmlformats.org/officeDocument/2006/relationships/hyperlink" Target="#'3. Raw Data'!A438" TargetMode="External" Id="rId433"/><Relationship Type="http://schemas.openxmlformats.org/officeDocument/2006/relationships/hyperlink" Target="#'3. Raw Data'!A439" TargetMode="External" Id="rId434"/><Relationship Type="http://schemas.openxmlformats.org/officeDocument/2006/relationships/hyperlink" Target="#'3. Raw Data'!A440" TargetMode="External" Id="rId435"/><Relationship Type="http://schemas.openxmlformats.org/officeDocument/2006/relationships/hyperlink" Target="#'3. Raw Data'!A441" TargetMode="External" Id="rId436"/><Relationship Type="http://schemas.openxmlformats.org/officeDocument/2006/relationships/hyperlink" Target="#'3. Raw Data'!A442" TargetMode="External" Id="rId437"/><Relationship Type="http://schemas.openxmlformats.org/officeDocument/2006/relationships/hyperlink" Target="#'3. Raw Data'!A443" TargetMode="External" Id="rId438"/><Relationship Type="http://schemas.openxmlformats.org/officeDocument/2006/relationships/hyperlink" Target="#'3. Raw Data'!A444" TargetMode="External" Id="rId439"/><Relationship Type="http://schemas.openxmlformats.org/officeDocument/2006/relationships/hyperlink" Target="#'3. Raw Data'!A445" TargetMode="External" Id="rId440"/><Relationship Type="http://schemas.openxmlformats.org/officeDocument/2006/relationships/hyperlink" Target="#'3. Raw Data'!A446" TargetMode="External" Id="rId441"/><Relationship Type="http://schemas.openxmlformats.org/officeDocument/2006/relationships/hyperlink" Target="#'3. Raw Data'!A447" TargetMode="External" Id="rId442"/><Relationship Type="http://schemas.openxmlformats.org/officeDocument/2006/relationships/hyperlink" Target="#'3. Raw Data'!A448" TargetMode="External" Id="rId443"/><Relationship Type="http://schemas.openxmlformats.org/officeDocument/2006/relationships/hyperlink" Target="#'3. Raw Data'!A449" TargetMode="External" Id="rId444"/><Relationship Type="http://schemas.openxmlformats.org/officeDocument/2006/relationships/hyperlink" Target="#'3. Raw Data'!A450" TargetMode="External" Id="rId445"/><Relationship Type="http://schemas.openxmlformats.org/officeDocument/2006/relationships/hyperlink" Target="#'3. Raw Data'!A451" TargetMode="External" Id="rId446"/><Relationship Type="http://schemas.openxmlformats.org/officeDocument/2006/relationships/hyperlink" Target="#'3. Raw Data'!A452" TargetMode="External" Id="rId447"/><Relationship Type="http://schemas.openxmlformats.org/officeDocument/2006/relationships/hyperlink" Target="#'3. Raw Data'!A453" TargetMode="External" Id="rId448"/><Relationship Type="http://schemas.openxmlformats.org/officeDocument/2006/relationships/hyperlink" Target="#'3. Raw Data'!A454" TargetMode="External" Id="rId449"/><Relationship Type="http://schemas.openxmlformats.org/officeDocument/2006/relationships/hyperlink" Target="#'3. Raw Data'!A455" TargetMode="External" Id="rId450"/><Relationship Type="http://schemas.openxmlformats.org/officeDocument/2006/relationships/hyperlink" Target="#'3. Raw Data'!A456" TargetMode="External" Id="rId451"/><Relationship Type="http://schemas.openxmlformats.org/officeDocument/2006/relationships/hyperlink" Target="#'3. Raw Data'!A457" TargetMode="External" Id="rId452"/><Relationship Type="http://schemas.openxmlformats.org/officeDocument/2006/relationships/hyperlink" Target="#'3. Raw Data'!A458" TargetMode="External" Id="rId453"/><Relationship Type="http://schemas.openxmlformats.org/officeDocument/2006/relationships/hyperlink" Target="#'3. Raw Data'!A459" TargetMode="External" Id="rId454"/><Relationship Type="http://schemas.openxmlformats.org/officeDocument/2006/relationships/hyperlink" Target="#'3. Raw Data'!A460" TargetMode="External" Id="rId455"/><Relationship Type="http://schemas.openxmlformats.org/officeDocument/2006/relationships/hyperlink" Target="#'3. Raw Data'!A461" TargetMode="External" Id="rId456"/><Relationship Type="http://schemas.openxmlformats.org/officeDocument/2006/relationships/hyperlink" Target="#'3. Raw Data'!A462" TargetMode="External" Id="rId457"/><Relationship Type="http://schemas.openxmlformats.org/officeDocument/2006/relationships/hyperlink" Target="#'3. Raw Data'!A463" TargetMode="External" Id="rId458"/><Relationship Type="http://schemas.openxmlformats.org/officeDocument/2006/relationships/hyperlink" Target="#'3. Raw Data'!A464" TargetMode="External" Id="rId459"/><Relationship Type="http://schemas.openxmlformats.org/officeDocument/2006/relationships/hyperlink" Target="#'3. Raw Data'!A465" TargetMode="External" Id="rId460"/><Relationship Type="http://schemas.openxmlformats.org/officeDocument/2006/relationships/hyperlink" Target="#'3. Raw Data'!A466" TargetMode="External" Id="rId461"/><Relationship Type="http://schemas.openxmlformats.org/officeDocument/2006/relationships/hyperlink" Target="#'3. Raw Data'!A467" TargetMode="External" Id="rId462"/><Relationship Type="http://schemas.openxmlformats.org/officeDocument/2006/relationships/hyperlink" Target="#'3. Raw Data'!A468" TargetMode="External" Id="rId463"/><Relationship Type="http://schemas.openxmlformats.org/officeDocument/2006/relationships/hyperlink" Target="#'3. Raw Data'!A469" TargetMode="External" Id="rId464"/><Relationship Type="http://schemas.openxmlformats.org/officeDocument/2006/relationships/hyperlink" Target="#'3. Raw Data'!A470" TargetMode="External" Id="rId465"/><Relationship Type="http://schemas.openxmlformats.org/officeDocument/2006/relationships/hyperlink" Target="#'3. Raw Data'!A471" TargetMode="External" Id="rId466"/><Relationship Type="http://schemas.openxmlformats.org/officeDocument/2006/relationships/hyperlink" Target="#'3. Raw Data'!A472" TargetMode="External" Id="rId467"/><Relationship Type="http://schemas.openxmlformats.org/officeDocument/2006/relationships/hyperlink" Target="#'3. Raw Data'!A473" TargetMode="External" Id="rId468"/><Relationship Type="http://schemas.openxmlformats.org/officeDocument/2006/relationships/hyperlink" Target="#'3. Raw Data'!A474" TargetMode="External" Id="rId469"/><Relationship Type="http://schemas.openxmlformats.org/officeDocument/2006/relationships/hyperlink" Target="#'3. Raw Data'!A475" TargetMode="External" Id="rId470"/><Relationship Type="http://schemas.openxmlformats.org/officeDocument/2006/relationships/hyperlink" Target="#'3. Raw Data'!A476" TargetMode="External" Id="rId471"/><Relationship Type="http://schemas.openxmlformats.org/officeDocument/2006/relationships/hyperlink" Target="#'3. Raw Data'!A477" TargetMode="External" Id="rId472"/><Relationship Type="http://schemas.openxmlformats.org/officeDocument/2006/relationships/hyperlink" Target="#'3. Raw Data'!A478" TargetMode="External" Id="rId473"/><Relationship Type="http://schemas.openxmlformats.org/officeDocument/2006/relationships/hyperlink" Target="#'3. Raw Data'!A479" TargetMode="External" Id="rId474"/><Relationship Type="http://schemas.openxmlformats.org/officeDocument/2006/relationships/hyperlink" Target="#'3. Raw Data'!A480" TargetMode="External" Id="rId475"/><Relationship Type="http://schemas.openxmlformats.org/officeDocument/2006/relationships/hyperlink" Target="#'3. Raw Data'!A481" TargetMode="External" Id="rId476"/><Relationship Type="http://schemas.openxmlformats.org/officeDocument/2006/relationships/hyperlink" Target="#'3. Raw Data'!A482" TargetMode="External" Id="rId477"/><Relationship Type="http://schemas.openxmlformats.org/officeDocument/2006/relationships/hyperlink" Target="#'3. Raw Data'!A483" TargetMode="External" Id="rId478"/><Relationship Type="http://schemas.openxmlformats.org/officeDocument/2006/relationships/hyperlink" Target="#'3. Raw Data'!A484" TargetMode="External" Id="rId479"/><Relationship Type="http://schemas.openxmlformats.org/officeDocument/2006/relationships/hyperlink" Target="#'3. Raw Data'!A485" TargetMode="External" Id="rId480"/><Relationship Type="http://schemas.openxmlformats.org/officeDocument/2006/relationships/hyperlink" Target="#'3. Raw Data'!A486" TargetMode="External" Id="rId481"/><Relationship Type="http://schemas.openxmlformats.org/officeDocument/2006/relationships/hyperlink" Target="#'3. Raw Data'!A487" TargetMode="External" Id="rId482"/><Relationship Type="http://schemas.openxmlformats.org/officeDocument/2006/relationships/hyperlink" Target="#'3. Raw Data'!A488" TargetMode="External" Id="rId483"/><Relationship Type="http://schemas.openxmlformats.org/officeDocument/2006/relationships/hyperlink" Target="#'3. Raw Data'!A489" TargetMode="External" Id="rId484"/><Relationship Type="http://schemas.openxmlformats.org/officeDocument/2006/relationships/hyperlink" Target="#'3. Raw Data'!A490" TargetMode="External" Id="rId485"/><Relationship Type="http://schemas.openxmlformats.org/officeDocument/2006/relationships/hyperlink" Target="#'3. Raw Data'!A491" TargetMode="External" Id="rId486"/><Relationship Type="http://schemas.openxmlformats.org/officeDocument/2006/relationships/hyperlink" Target="#'3. Raw Data'!A492" TargetMode="External" Id="rId487"/><Relationship Type="http://schemas.openxmlformats.org/officeDocument/2006/relationships/hyperlink" Target="#'3. Raw Data'!A493" TargetMode="External" Id="rId488"/><Relationship Type="http://schemas.openxmlformats.org/officeDocument/2006/relationships/hyperlink" Target="#'3. Raw Data'!A494" TargetMode="External" Id="rId489"/><Relationship Type="http://schemas.openxmlformats.org/officeDocument/2006/relationships/hyperlink" Target="#'3. Raw Data'!A495" TargetMode="External" Id="rId490"/><Relationship Type="http://schemas.openxmlformats.org/officeDocument/2006/relationships/hyperlink" Target="#'3. Raw Data'!A496" TargetMode="External" Id="rId491"/><Relationship Type="http://schemas.openxmlformats.org/officeDocument/2006/relationships/hyperlink" Target="#'3. Raw Data'!A497" TargetMode="External" Id="rId492"/><Relationship Type="http://schemas.openxmlformats.org/officeDocument/2006/relationships/hyperlink" Target="#'3. Raw Data'!A498" TargetMode="External" Id="rId493"/><Relationship Type="http://schemas.openxmlformats.org/officeDocument/2006/relationships/hyperlink" Target="#'3. Raw Data'!A499" TargetMode="External" Id="rId494"/><Relationship Type="http://schemas.openxmlformats.org/officeDocument/2006/relationships/hyperlink" Target="#'3. Raw Data'!A500" TargetMode="External" Id="rId495"/><Relationship Type="http://schemas.openxmlformats.org/officeDocument/2006/relationships/hyperlink" Target="#'3. Raw Data'!A501" TargetMode="External" Id="rId496"/><Relationship Type="http://schemas.openxmlformats.org/officeDocument/2006/relationships/hyperlink" Target="#'3. Raw Data'!A502" TargetMode="External" Id="rId497"/><Relationship Type="http://schemas.openxmlformats.org/officeDocument/2006/relationships/hyperlink" Target="#'3. Raw Data'!A503" TargetMode="External" Id="rId498"/><Relationship Type="http://schemas.openxmlformats.org/officeDocument/2006/relationships/hyperlink" Target="#'3. Raw Data'!A504" TargetMode="External" Id="rId499"/><Relationship Type="http://schemas.openxmlformats.org/officeDocument/2006/relationships/hyperlink" Target="#'3. Raw Data'!A505" TargetMode="External" Id="rId500"/><Relationship Type="http://schemas.openxmlformats.org/officeDocument/2006/relationships/hyperlink" Target="#'3. Raw Data'!A506" TargetMode="External" Id="rId501"/><Relationship Type="http://schemas.openxmlformats.org/officeDocument/2006/relationships/hyperlink" Target="#'3. Raw Data'!A507" TargetMode="External" Id="rId502"/><Relationship Type="http://schemas.openxmlformats.org/officeDocument/2006/relationships/hyperlink" Target="#'3. Raw Data'!A508" TargetMode="External" Id="rId503"/><Relationship Type="http://schemas.openxmlformats.org/officeDocument/2006/relationships/hyperlink" Target="#'3. Raw Data'!A509" TargetMode="External" Id="rId504"/><Relationship Type="http://schemas.openxmlformats.org/officeDocument/2006/relationships/hyperlink" Target="#'3. Raw Data'!A510" TargetMode="External" Id="rId505"/><Relationship Type="http://schemas.openxmlformats.org/officeDocument/2006/relationships/hyperlink" Target="#'3. Raw Data'!A511" TargetMode="External" Id="rId506"/><Relationship Type="http://schemas.openxmlformats.org/officeDocument/2006/relationships/hyperlink" Target="#'3. Raw Data'!A512" TargetMode="External" Id="rId507"/><Relationship Type="http://schemas.openxmlformats.org/officeDocument/2006/relationships/hyperlink" Target="#'3. Raw Data'!A513" TargetMode="External" Id="rId508"/><Relationship Type="http://schemas.openxmlformats.org/officeDocument/2006/relationships/hyperlink" Target="#'3. Raw Data'!A514" TargetMode="External" Id="rId509"/><Relationship Type="http://schemas.openxmlformats.org/officeDocument/2006/relationships/hyperlink" Target="#'3. Raw Data'!A515" TargetMode="External" Id="rId510"/><Relationship Type="http://schemas.openxmlformats.org/officeDocument/2006/relationships/hyperlink" Target="#'3. Raw Data'!A516" TargetMode="External" Id="rId511"/><Relationship Type="http://schemas.openxmlformats.org/officeDocument/2006/relationships/hyperlink" Target="#'3. Raw Data'!A517" TargetMode="External" Id="rId512"/><Relationship Type="http://schemas.openxmlformats.org/officeDocument/2006/relationships/hyperlink" Target="#'3. Raw Data'!A518" TargetMode="External" Id="rId513"/><Relationship Type="http://schemas.openxmlformats.org/officeDocument/2006/relationships/hyperlink" Target="#'3. Raw Data'!A519" TargetMode="External" Id="rId514"/><Relationship Type="http://schemas.openxmlformats.org/officeDocument/2006/relationships/hyperlink" Target="#'3. Raw Data'!A520" TargetMode="External" Id="rId515"/><Relationship Type="http://schemas.openxmlformats.org/officeDocument/2006/relationships/hyperlink" Target="#'3. Raw Data'!A521" TargetMode="External" Id="rId516"/><Relationship Type="http://schemas.openxmlformats.org/officeDocument/2006/relationships/hyperlink" Target="#'3. Raw Data'!A522" TargetMode="External" Id="rId517"/><Relationship Type="http://schemas.openxmlformats.org/officeDocument/2006/relationships/hyperlink" Target="#'3. Raw Data'!A523" TargetMode="External" Id="rId518"/><Relationship Type="http://schemas.openxmlformats.org/officeDocument/2006/relationships/hyperlink" Target="#'3. Raw Data'!A524" TargetMode="External" Id="rId519"/><Relationship Type="http://schemas.openxmlformats.org/officeDocument/2006/relationships/hyperlink" Target="#'3. Raw Data'!A525" TargetMode="External" Id="rId520"/><Relationship Type="http://schemas.openxmlformats.org/officeDocument/2006/relationships/hyperlink" Target="#'3. Raw Data'!A526" TargetMode="External" Id="rId521"/><Relationship Type="http://schemas.openxmlformats.org/officeDocument/2006/relationships/hyperlink" Target="#'3. Raw Data'!A527" TargetMode="External" Id="rId522"/><Relationship Type="http://schemas.openxmlformats.org/officeDocument/2006/relationships/hyperlink" Target="#'3. Raw Data'!A528" TargetMode="External" Id="rId523"/><Relationship Type="http://schemas.openxmlformats.org/officeDocument/2006/relationships/hyperlink" Target="#'3. Raw Data'!A529" TargetMode="External" Id="rId524"/><Relationship Type="http://schemas.openxmlformats.org/officeDocument/2006/relationships/hyperlink" Target="#'3. Raw Data'!A530" TargetMode="External" Id="rId525"/><Relationship Type="http://schemas.openxmlformats.org/officeDocument/2006/relationships/hyperlink" Target="#'3. Raw Data'!A531" TargetMode="External" Id="rId526"/><Relationship Type="http://schemas.openxmlformats.org/officeDocument/2006/relationships/hyperlink" Target="#'3. Raw Data'!A532" TargetMode="External" Id="rId527"/><Relationship Type="http://schemas.openxmlformats.org/officeDocument/2006/relationships/hyperlink" Target="#'3. Raw Data'!A533" TargetMode="External" Id="rId528"/><Relationship Type="http://schemas.openxmlformats.org/officeDocument/2006/relationships/hyperlink" Target="#'3. Raw Data'!A534" TargetMode="External" Id="rId529"/><Relationship Type="http://schemas.openxmlformats.org/officeDocument/2006/relationships/hyperlink" Target="#'3. Raw Data'!A535" TargetMode="External" Id="rId530"/><Relationship Type="http://schemas.openxmlformats.org/officeDocument/2006/relationships/hyperlink" Target="#'3. Raw Data'!A536" TargetMode="External" Id="rId531"/><Relationship Type="http://schemas.openxmlformats.org/officeDocument/2006/relationships/hyperlink" Target="#'3. Raw Data'!A537" TargetMode="External" Id="rId532"/><Relationship Type="http://schemas.openxmlformats.org/officeDocument/2006/relationships/hyperlink" Target="#'3. Raw Data'!A538" TargetMode="External" Id="rId533"/><Relationship Type="http://schemas.openxmlformats.org/officeDocument/2006/relationships/hyperlink" Target="#'3. Raw Data'!A539" TargetMode="External" Id="rId534"/><Relationship Type="http://schemas.openxmlformats.org/officeDocument/2006/relationships/hyperlink" Target="#'3. Raw Data'!A540" TargetMode="External" Id="rId535"/><Relationship Type="http://schemas.openxmlformats.org/officeDocument/2006/relationships/hyperlink" Target="#'3. Raw Data'!A541" TargetMode="External" Id="rId536"/><Relationship Type="http://schemas.openxmlformats.org/officeDocument/2006/relationships/hyperlink" Target="#'3. Raw Data'!A542" TargetMode="External" Id="rId537"/><Relationship Type="http://schemas.openxmlformats.org/officeDocument/2006/relationships/hyperlink" Target="#'3. Raw Data'!A543" TargetMode="External" Id="rId538"/><Relationship Type="http://schemas.openxmlformats.org/officeDocument/2006/relationships/hyperlink" Target="#'3. Raw Data'!A544" TargetMode="External" Id="rId539"/><Relationship Type="http://schemas.openxmlformats.org/officeDocument/2006/relationships/hyperlink" Target="#'3. Raw Data'!A545" TargetMode="External" Id="rId540"/><Relationship Type="http://schemas.openxmlformats.org/officeDocument/2006/relationships/hyperlink" Target="#'3. Raw Data'!A546" TargetMode="External" Id="rId541"/><Relationship Type="http://schemas.openxmlformats.org/officeDocument/2006/relationships/hyperlink" Target="#'3. Raw Data'!A547" TargetMode="External" Id="rId542"/><Relationship Type="http://schemas.openxmlformats.org/officeDocument/2006/relationships/hyperlink" Target="#'3. Raw Data'!A548" TargetMode="External" Id="rId543"/><Relationship Type="http://schemas.openxmlformats.org/officeDocument/2006/relationships/hyperlink" Target="#'3. Raw Data'!A549" TargetMode="External" Id="rId544"/><Relationship Type="http://schemas.openxmlformats.org/officeDocument/2006/relationships/hyperlink" Target="#'3. Raw Data'!A550" TargetMode="External" Id="rId545"/><Relationship Type="http://schemas.openxmlformats.org/officeDocument/2006/relationships/hyperlink" Target="#'3. Raw Data'!A551" TargetMode="External" Id="rId546"/><Relationship Type="http://schemas.openxmlformats.org/officeDocument/2006/relationships/hyperlink" Target="#'3. Raw Data'!A552" TargetMode="External" Id="rId547"/><Relationship Type="http://schemas.openxmlformats.org/officeDocument/2006/relationships/hyperlink" Target="#'3. Raw Data'!A553" TargetMode="External" Id="rId548"/><Relationship Type="http://schemas.openxmlformats.org/officeDocument/2006/relationships/hyperlink" Target="#'3. Raw Data'!A554" TargetMode="External" Id="rId549"/><Relationship Type="http://schemas.openxmlformats.org/officeDocument/2006/relationships/hyperlink" Target="#'3. Raw Data'!A555" TargetMode="External" Id="rId550"/><Relationship Type="http://schemas.openxmlformats.org/officeDocument/2006/relationships/hyperlink" Target="#'3. Raw Data'!A556" TargetMode="External" Id="rId551"/><Relationship Type="http://schemas.openxmlformats.org/officeDocument/2006/relationships/hyperlink" Target="#'3. Raw Data'!A557" TargetMode="External" Id="rId552"/><Relationship Type="http://schemas.openxmlformats.org/officeDocument/2006/relationships/hyperlink" Target="#'3. Raw Data'!A558" TargetMode="External" Id="rId553"/><Relationship Type="http://schemas.openxmlformats.org/officeDocument/2006/relationships/hyperlink" Target="#'3. Raw Data'!A559" TargetMode="External" Id="rId554"/><Relationship Type="http://schemas.openxmlformats.org/officeDocument/2006/relationships/hyperlink" Target="#'3. Raw Data'!A560" TargetMode="External" Id="rId555"/><Relationship Type="http://schemas.openxmlformats.org/officeDocument/2006/relationships/hyperlink" Target="#'3. Raw Data'!A561" TargetMode="External" Id="rId556"/><Relationship Type="http://schemas.openxmlformats.org/officeDocument/2006/relationships/hyperlink" Target="#'3. Raw Data'!A562" TargetMode="External" Id="rId557"/><Relationship Type="http://schemas.openxmlformats.org/officeDocument/2006/relationships/hyperlink" Target="#'3. Raw Data'!A563" TargetMode="External" Id="rId558"/><Relationship Type="http://schemas.openxmlformats.org/officeDocument/2006/relationships/hyperlink" Target="#'3. Raw Data'!A564" TargetMode="External" Id="rId559"/><Relationship Type="http://schemas.openxmlformats.org/officeDocument/2006/relationships/hyperlink" Target="#'3. Raw Data'!A565" TargetMode="External" Id="rId560"/><Relationship Type="http://schemas.openxmlformats.org/officeDocument/2006/relationships/hyperlink" Target="#'3. Raw Data'!A566" TargetMode="External" Id="rId561"/><Relationship Type="http://schemas.openxmlformats.org/officeDocument/2006/relationships/hyperlink" Target="#'3. Raw Data'!A567" TargetMode="External" Id="rId562"/><Relationship Type="http://schemas.openxmlformats.org/officeDocument/2006/relationships/hyperlink" Target="#'3. Raw Data'!A568" TargetMode="External" Id="rId563"/><Relationship Type="http://schemas.openxmlformats.org/officeDocument/2006/relationships/hyperlink" Target="#'3. Raw Data'!A569" TargetMode="External" Id="rId564"/><Relationship Type="http://schemas.openxmlformats.org/officeDocument/2006/relationships/hyperlink" Target="#'3. Raw Data'!A570" TargetMode="External" Id="rId565"/><Relationship Type="http://schemas.openxmlformats.org/officeDocument/2006/relationships/hyperlink" Target="#'3. Raw Data'!A571" TargetMode="External" Id="rId566"/><Relationship Type="http://schemas.openxmlformats.org/officeDocument/2006/relationships/hyperlink" Target="#'3. Raw Data'!A572" TargetMode="External" Id="rId567"/><Relationship Type="http://schemas.openxmlformats.org/officeDocument/2006/relationships/hyperlink" Target="#'3. Raw Data'!A573" TargetMode="External" Id="rId568"/><Relationship Type="http://schemas.openxmlformats.org/officeDocument/2006/relationships/hyperlink" Target="#'3. Raw Data'!A574" TargetMode="External" Id="rId569"/><Relationship Type="http://schemas.openxmlformats.org/officeDocument/2006/relationships/hyperlink" Target="#'3. Raw Data'!A575" TargetMode="External" Id="rId570"/><Relationship Type="http://schemas.openxmlformats.org/officeDocument/2006/relationships/hyperlink" Target="#'3. Raw Data'!A576" TargetMode="External" Id="rId571"/><Relationship Type="http://schemas.openxmlformats.org/officeDocument/2006/relationships/hyperlink" Target="#'3. Raw Data'!A577" TargetMode="External" Id="rId572"/><Relationship Type="http://schemas.openxmlformats.org/officeDocument/2006/relationships/hyperlink" Target="#'3. Raw Data'!A578" TargetMode="External" Id="rId573"/><Relationship Type="http://schemas.openxmlformats.org/officeDocument/2006/relationships/hyperlink" Target="#'3. Raw Data'!A579" TargetMode="External" Id="rId574"/><Relationship Type="http://schemas.openxmlformats.org/officeDocument/2006/relationships/hyperlink" Target="#'3. Raw Data'!A580" TargetMode="External" Id="rId575"/><Relationship Type="http://schemas.openxmlformats.org/officeDocument/2006/relationships/hyperlink" Target="#'3. Raw Data'!A581" TargetMode="External" Id="rId576"/><Relationship Type="http://schemas.openxmlformats.org/officeDocument/2006/relationships/hyperlink" Target="#'3. Raw Data'!A582" TargetMode="External" Id="rId577"/><Relationship Type="http://schemas.openxmlformats.org/officeDocument/2006/relationships/hyperlink" Target="#'3. Raw Data'!A583" TargetMode="External" Id="rId578"/><Relationship Type="http://schemas.openxmlformats.org/officeDocument/2006/relationships/hyperlink" Target="#'3. Raw Data'!A584" TargetMode="External" Id="rId579"/><Relationship Type="http://schemas.openxmlformats.org/officeDocument/2006/relationships/hyperlink" Target="#'3. Raw Data'!A585" TargetMode="External" Id="rId580"/><Relationship Type="http://schemas.openxmlformats.org/officeDocument/2006/relationships/hyperlink" Target="#'3. Raw Data'!A586" TargetMode="External" Id="rId581"/><Relationship Type="http://schemas.openxmlformats.org/officeDocument/2006/relationships/hyperlink" Target="#'3. Raw Data'!A587" TargetMode="External" Id="rId582"/><Relationship Type="http://schemas.openxmlformats.org/officeDocument/2006/relationships/hyperlink" Target="#'3. Raw Data'!A588" TargetMode="External" Id="rId583"/><Relationship Type="http://schemas.openxmlformats.org/officeDocument/2006/relationships/hyperlink" Target="#'3. Raw Data'!A589" TargetMode="External" Id="rId584"/><Relationship Type="http://schemas.openxmlformats.org/officeDocument/2006/relationships/hyperlink" Target="#'3. Raw Data'!A590" TargetMode="External" Id="rId585"/><Relationship Type="http://schemas.openxmlformats.org/officeDocument/2006/relationships/hyperlink" Target="#'3. Raw Data'!A591" TargetMode="External" Id="rId586"/><Relationship Type="http://schemas.openxmlformats.org/officeDocument/2006/relationships/hyperlink" Target="#'3. Raw Data'!A592" TargetMode="External" Id="rId587"/></Relationships>
</file>

<file path=xl/worksheets/_rels/sheet3.xml.rels><Relationships xmlns="http://schemas.openxmlformats.org/package/2006/relationships"><Relationship Type="http://schemas.openxmlformats.org/officeDocument/2006/relationships/hyperlink" Target="#'1. Framework &amp; Model'!A1" TargetMode="External" Id="rId1"/><Relationship Type="http://schemas.openxmlformats.org/officeDocument/2006/relationships/hyperlink" Target="#'2. Talent Mapping'!A7" TargetMode="External" Id="rId2"/><Relationship Type="http://schemas.openxmlformats.org/officeDocument/2006/relationships/hyperlink" Target="#'2. Talent Mapping'!A8" TargetMode="External" Id="rId3"/><Relationship Type="http://schemas.openxmlformats.org/officeDocument/2006/relationships/hyperlink" Target="#'2. Talent Mapping'!A9" TargetMode="External" Id="rId4"/><Relationship Type="http://schemas.openxmlformats.org/officeDocument/2006/relationships/hyperlink" Target="#'2. Talent Mapping'!A10" TargetMode="External" Id="rId5"/><Relationship Type="http://schemas.openxmlformats.org/officeDocument/2006/relationships/hyperlink" Target="#'2. Talent Mapping'!A11" TargetMode="External" Id="rId6"/><Relationship Type="http://schemas.openxmlformats.org/officeDocument/2006/relationships/hyperlink" Target="#'2. Talent Mapping'!A12" TargetMode="External" Id="rId7"/><Relationship Type="http://schemas.openxmlformats.org/officeDocument/2006/relationships/hyperlink" Target="#'2. Talent Mapping'!A13" TargetMode="External" Id="rId8"/><Relationship Type="http://schemas.openxmlformats.org/officeDocument/2006/relationships/hyperlink" Target="#'2. Talent Mapping'!A14" TargetMode="External" Id="rId9"/><Relationship Type="http://schemas.openxmlformats.org/officeDocument/2006/relationships/hyperlink" Target="#'2. Talent Mapping'!A15" TargetMode="External" Id="rId10"/><Relationship Type="http://schemas.openxmlformats.org/officeDocument/2006/relationships/hyperlink" Target="#'2. Talent Mapping'!A16" TargetMode="External" Id="rId11"/><Relationship Type="http://schemas.openxmlformats.org/officeDocument/2006/relationships/hyperlink" Target="#'2. Talent Mapping'!A17" TargetMode="External" Id="rId12"/><Relationship Type="http://schemas.openxmlformats.org/officeDocument/2006/relationships/hyperlink" Target="#'2. Talent Mapping'!A18" TargetMode="External" Id="rId13"/><Relationship Type="http://schemas.openxmlformats.org/officeDocument/2006/relationships/hyperlink" Target="#'2. Talent Mapping'!A19" TargetMode="External" Id="rId14"/><Relationship Type="http://schemas.openxmlformats.org/officeDocument/2006/relationships/hyperlink" Target="#'2. Talent Mapping'!A20" TargetMode="External" Id="rId15"/><Relationship Type="http://schemas.openxmlformats.org/officeDocument/2006/relationships/hyperlink" Target="#'2. Talent Mapping'!A21" TargetMode="External" Id="rId16"/><Relationship Type="http://schemas.openxmlformats.org/officeDocument/2006/relationships/hyperlink" Target="#'2. Talent Mapping'!A22" TargetMode="External" Id="rId17"/><Relationship Type="http://schemas.openxmlformats.org/officeDocument/2006/relationships/hyperlink" Target="#'2. Talent Mapping'!A23" TargetMode="External" Id="rId18"/><Relationship Type="http://schemas.openxmlformats.org/officeDocument/2006/relationships/hyperlink" Target="#'2. Talent Mapping'!A24" TargetMode="External" Id="rId19"/><Relationship Type="http://schemas.openxmlformats.org/officeDocument/2006/relationships/hyperlink" Target="#'2. Talent Mapping'!A25" TargetMode="External" Id="rId20"/><Relationship Type="http://schemas.openxmlformats.org/officeDocument/2006/relationships/hyperlink" Target="#'2. Talent Mapping'!A26" TargetMode="External" Id="rId21"/><Relationship Type="http://schemas.openxmlformats.org/officeDocument/2006/relationships/hyperlink" Target="#'2. Talent Mapping'!A27" TargetMode="External" Id="rId22"/><Relationship Type="http://schemas.openxmlformats.org/officeDocument/2006/relationships/hyperlink" Target="#'2. Talent Mapping'!A28" TargetMode="External" Id="rId23"/><Relationship Type="http://schemas.openxmlformats.org/officeDocument/2006/relationships/hyperlink" Target="#'2. Talent Mapping'!A29" TargetMode="External" Id="rId24"/><Relationship Type="http://schemas.openxmlformats.org/officeDocument/2006/relationships/hyperlink" Target="#'2. Talent Mapping'!A30" TargetMode="External" Id="rId25"/><Relationship Type="http://schemas.openxmlformats.org/officeDocument/2006/relationships/hyperlink" Target="#'2. Talent Mapping'!A31" TargetMode="External" Id="rId26"/><Relationship Type="http://schemas.openxmlformats.org/officeDocument/2006/relationships/hyperlink" Target="#'2. Talent Mapping'!A32" TargetMode="External" Id="rId27"/><Relationship Type="http://schemas.openxmlformats.org/officeDocument/2006/relationships/hyperlink" Target="#'2. Talent Mapping'!A33" TargetMode="External" Id="rId28"/><Relationship Type="http://schemas.openxmlformats.org/officeDocument/2006/relationships/hyperlink" Target="#'2. Talent Mapping'!A34" TargetMode="External" Id="rId29"/><Relationship Type="http://schemas.openxmlformats.org/officeDocument/2006/relationships/hyperlink" Target="#'2. Talent Mapping'!A35" TargetMode="External" Id="rId30"/><Relationship Type="http://schemas.openxmlformats.org/officeDocument/2006/relationships/hyperlink" Target="#'2. Talent Mapping'!A36" TargetMode="External" Id="rId31"/><Relationship Type="http://schemas.openxmlformats.org/officeDocument/2006/relationships/hyperlink" Target="#'2. Talent Mapping'!A37" TargetMode="External" Id="rId32"/><Relationship Type="http://schemas.openxmlformats.org/officeDocument/2006/relationships/hyperlink" Target="#'2. Talent Mapping'!A38" TargetMode="External" Id="rId33"/><Relationship Type="http://schemas.openxmlformats.org/officeDocument/2006/relationships/hyperlink" Target="#'2. Talent Mapping'!A39" TargetMode="External" Id="rId34"/><Relationship Type="http://schemas.openxmlformats.org/officeDocument/2006/relationships/hyperlink" Target="#'2. Talent Mapping'!A40" TargetMode="External" Id="rId35"/><Relationship Type="http://schemas.openxmlformats.org/officeDocument/2006/relationships/hyperlink" Target="#'2. Talent Mapping'!A41" TargetMode="External" Id="rId36"/><Relationship Type="http://schemas.openxmlformats.org/officeDocument/2006/relationships/hyperlink" Target="#'2. Talent Mapping'!A42" TargetMode="External" Id="rId37"/><Relationship Type="http://schemas.openxmlformats.org/officeDocument/2006/relationships/hyperlink" Target="#'2. Talent Mapping'!A43" TargetMode="External" Id="rId38"/><Relationship Type="http://schemas.openxmlformats.org/officeDocument/2006/relationships/hyperlink" Target="#'2. Talent Mapping'!A44" TargetMode="External" Id="rId39"/><Relationship Type="http://schemas.openxmlformats.org/officeDocument/2006/relationships/hyperlink" Target="#'2. Talent Mapping'!A45" TargetMode="External" Id="rId40"/><Relationship Type="http://schemas.openxmlformats.org/officeDocument/2006/relationships/hyperlink" Target="#'2. Talent Mapping'!A46" TargetMode="External" Id="rId41"/><Relationship Type="http://schemas.openxmlformats.org/officeDocument/2006/relationships/hyperlink" Target="#'2. Talent Mapping'!A47" TargetMode="External" Id="rId42"/><Relationship Type="http://schemas.openxmlformats.org/officeDocument/2006/relationships/hyperlink" Target="#'2. Talent Mapping'!A48" TargetMode="External" Id="rId43"/><Relationship Type="http://schemas.openxmlformats.org/officeDocument/2006/relationships/hyperlink" Target="#'2. Talent Mapping'!A49" TargetMode="External" Id="rId44"/><Relationship Type="http://schemas.openxmlformats.org/officeDocument/2006/relationships/hyperlink" Target="#'2. Talent Mapping'!A50" TargetMode="External" Id="rId45"/><Relationship Type="http://schemas.openxmlformats.org/officeDocument/2006/relationships/hyperlink" Target="#'2. Talent Mapping'!A51" TargetMode="External" Id="rId46"/><Relationship Type="http://schemas.openxmlformats.org/officeDocument/2006/relationships/hyperlink" Target="#'2. Talent Mapping'!A52" TargetMode="External" Id="rId47"/><Relationship Type="http://schemas.openxmlformats.org/officeDocument/2006/relationships/hyperlink" Target="#'2. Talent Mapping'!A53" TargetMode="External" Id="rId48"/><Relationship Type="http://schemas.openxmlformats.org/officeDocument/2006/relationships/hyperlink" Target="#'2. Talent Mapping'!A54" TargetMode="External" Id="rId49"/><Relationship Type="http://schemas.openxmlformats.org/officeDocument/2006/relationships/hyperlink" Target="#'2. Talent Mapping'!A55" TargetMode="External" Id="rId50"/><Relationship Type="http://schemas.openxmlformats.org/officeDocument/2006/relationships/hyperlink" Target="#'2. Talent Mapping'!A56" TargetMode="External" Id="rId51"/><Relationship Type="http://schemas.openxmlformats.org/officeDocument/2006/relationships/hyperlink" Target="#'2. Talent Mapping'!A57" TargetMode="External" Id="rId52"/><Relationship Type="http://schemas.openxmlformats.org/officeDocument/2006/relationships/hyperlink" Target="#'2. Talent Mapping'!A58" TargetMode="External" Id="rId53"/><Relationship Type="http://schemas.openxmlformats.org/officeDocument/2006/relationships/hyperlink" Target="#'2. Talent Mapping'!A59" TargetMode="External" Id="rId54"/><Relationship Type="http://schemas.openxmlformats.org/officeDocument/2006/relationships/hyperlink" Target="#'2. Talent Mapping'!A60" TargetMode="External" Id="rId55"/><Relationship Type="http://schemas.openxmlformats.org/officeDocument/2006/relationships/hyperlink" Target="#'2. Talent Mapping'!A61" TargetMode="External" Id="rId56"/><Relationship Type="http://schemas.openxmlformats.org/officeDocument/2006/relationships/hyperlink" Target="#'2. Talent Mapping'!A62" TargetMode="External" Id="rId57"/><Relationship Type="http://schemas.openxmlformats.org/officeDocument/2006/relationships/hyperlink" Target="#'2. Talent Mapping'!A63" TargetMode="External" Id="rId58"/><Relationship Type="http://schemas.openxmlformats.org/officeDocument/2006/relationships/hyperlink" Target="#'2. Talent Mapping'!A64" TargetMode="External" Id="rId59"/><Relationship Type="http://schemas.openxmlformats.org/officeDocument/2006/relationships/hyperlink" Target="#'2. Talent Mapping'!A65" TargetMode="External" Id="rId60"/><Relationship Type="http://schemas.openxmlformats.org/officeDocument/2006/relationships/hyperlink" Target="#'2. Talent Mapping'!A66" TargetMode="External" Id="rId61"/><Relationship Type="http://schemas.openxmlformats.org/officeDocument/2006/relationships/hyperlink" Target="#'2. Talent Mapping'!A67" TargetMode="External" Id="rId62"/><Relationship Type="http://schemas.openxmlformats.org/officeDocument/2006/relationships/hyperlink" Target="#'2. Talent Mapping'!A68" TargetMode="External" Id="rId63"/><Relationship Type="http://schemas.openxmlformats.org/officeDocument/2006/relationships/hyperlink" Target="#'2. Talent Mapping'!A69" TargetMode="External" Id="rId64"/><Relationship Type="http://schemas.openxmlformats.org/officeDocument/2006/relationships/hyperlink" Target="#'2. Talent Mapping'!A70" TargetMode="External" Id="rId65"/><Relationship Type="http://schemas.openxmlformats.org/officeDocument/2006/relationships/hyperlink" Target="#'2. Talent Mapping'!A71" TargetMode="External" Id="rId66"/><Relationship Type="http://schemas.openxmlformats.org/officeDocument/2006/relationships/hyperlink" Target="#'2. Talent Mapping'!A72" TargetMode="External" Id="rId67"/><Relationship Type="http://schemas.openxmlformats.org/officeDocument/2006/relationships/hyperlink" Target="#'2. Talent Mapping'!A73" TargetMode="External" Id="rId68"/><Relationship Type="http://schemas.openxmlformats.org/officeDocument/2006/relationships/hyperlink" Target="#'2. Talent Mapping'!A74" TargetMode="External" Id="rId69"/><Relationship Type="http://schemas.openxmlformats.org/officeDocument/2006/relationships/hyperlink" Target="#'2. Talent Mapping'!A75" TargetMode="External" Id="rId70"/><Relationship Type="http://schemas.openxmlformats.org/officeDocument/2006/relationships/hyperlink" Target="#'2. Talent Mapping'!A76" TargetMode="External" Id="rId71"/><Relationship Type="http://schemas.openxmlformats.org/officeDocument/2006/relationships/hyperlink" Target="#'2. Talent Mapping'!A77" TargetMode="External" Id="rId72"/><Relationship Type="http://schemas.openxmlformats.org/officeDocument/2006/relationships/hyperlink" Target="#'2. Talent Mapping'!A78" TargetMode="External" Id="rId73"/><Relationship Type="http://schemas.openxmlformats.org/officeDocument/2006/relationships/hyperlink" Target="#'2. Talent Mapping'!A79" TargetMode="External" Id="rId74"/><Relationship Type="http://schemas.openxmlformats.org/officeDocument/2006/relationships/hyperlink" Target="#'2. Talent Mapping'!A80" TargetMode="External" Id="rId75"/><Relationship Type="http://schemas.openxmlformats.org/officeDocument/2006/relationships/hyperlink" Target="#'2. Talent Mapping'!A81" TargetMode="External" Id="rId76"/><Relationship Type="http://schemas.openxmlformats.org/officeDocument/2006/relationships/hyperlink" Target="#'2. Talent Mapping'!A82" TargetMode="External" Id="rId77"/><Relationship Type="http://schemas.openxmlformats.org/officeDocument/2006/relationships/hyperlink" Target="#'2. Talent Mapping'!A83" TargetMode="External" Id="rId78"/><Relationship Type="http://schemas.openxmlformats.org/officeDocument/2006/relationships/hyperlink" Target="#'2. Talent Mapping'!A84" TargetMode="External" Id="rId79"/><Relationship Type="http://schemas.openxmlformats.org/officeDocument/2006/relationships/hyperlink" Target="#'2. Talent Mapping'!A85" TargetMode="External" Id="rId80"/><Relationship Type="http://schemas.openxmlformats.org/officeDocument/2006/relationships/hyperlink" Target="#'2. Talent Mapping'!A86" TargetMode="External" Id="rId81"/><Relationship Type="http://schemas.openxmlformats.org/officeDocument/2006/relationships/hyperlink" Target="#'2. Talent Mapping'!A87" TargetMode="External" Id="rId82"/><Relationship Type="http://schemas.openxmlformats.org/officeDocument/2006/relationships/hyperlink" Target="#'2. Talent Mapping'!A88" TargetMode="External" Id="rId83"/><Relationship Type="http://schemas.openxmlformats.org/officeDocument/2006/relationships/hyperlink" Target="#'2. Talent Mapping'!A89" TargetMode="External" Id="rId84"/><Relationship Type="http://schemas.openxmlformats.org/officeDocument/2006/relationships/hyperlink" Target="#'2. Talent Mapping'!A90" TargetMode="External" Id="rId85"/><Relationship Type="http://schemas.openxmlformats.org/officeDocument/2006/relationships/hyperlink" Target="#'2. Talent Mapping'!A91" TargetMode="External" Id="rId86"/><Relationship Type="http://schemas.openxmlformats.org/officeDocument/2006/relationships/hyperlink" Target="#'2. Talent Mapping'!A92" TargetMode="External" Id="rId87"/><Relationship Type="http://schemas.openxmlformats.org/officeDocument/2006/relationships/hyperlink" Target="#'2. Talent Mapping'!A93" TargetMode="External" Id="rId88"/><Relationship Type="http://schemas.openxmlformats.org/officeDocument/2006/relationships/hyperlink" Target="#'2. Talent Mapping'!A94" TargetMode="External" Id="rId89"/><Relationship Type="http://schemas.openxmlformats.org/officeDocument/2006/relationships/hyperlink" Target="#'2. Talent Mapping'!A95" TargetMode="External" Id="rId90"/><Relationship Type="http://schemas.openxmlformats.org/officeDocument/2006/relationships/hyperlink" Target="#'2. Talent Mapping'!A96" TargetMode="External" Id="rId91"/><Relationship Type="http://schemas.openxmlformats.org/officeDocument/2006/relationships/hyperlink" Target="#'2. Talent Mapping'!A97" TargetMode="External" Id="rId92"/><Relationship Type="http://schemas.openxmlformats.org/officeDocument/2006/relationships/hyperlink" Target="#'2. Talent Mapping'!A98" TargetMode="External" Id="rId93"/><Relationship Type="http://schemas.openxmlformats.org/officeDocument/2006/relationships/hyperlink" Target="#'2. Talent Mapping'!A99" TargetMode="External" Id="rId94"/><Relationship Type="http://schemas.openxmlformats.org/officeDocument/2006/relationships/hyperlink" Target="#'2. Talent Mapping'!A100" TargetMode="External" Id="rId95"/><Relationship Type="http://schemas.openxmlformats.org/officeDocument/2006/relationships/hyperlink" Target="#'2. Talent Mapping'!A101" TargetMode="External" Id="rId96"/><Relationship Type="http://schemas.openxmlformats.org/officeDocument/2006/relationships/hyperlink" Target="#'2. Talent Mapping'!A102" TargetMode="External" Id="rId97"/><Relationship Type="http://schemas.openxmlformats.org/officeDocument/2006/relationships/hyperlink" Target="#'2. Talent Mapping'!A103" TargetMode="External" Id="rId98"/><Relationship Type="http://schemas.openxmlformats.org/officeDocument/2006/relationships/hyperlink" Target="#'2. Talent Mapping'!A104" TargetMode="External" Id="rId99"/><Relationship Type="http://schemas.openxmlformats.org/officeDocument/2006/relationships/hyperlink" Target="#'2. Talent Mapping'!A105" TargetMode="External" Id="rId100"/><Relationship Type="http://schemas.openxmlformats.org/officeDocument/2006/relationships/hyperlink" Target="#'2. Talent Mapping'!A106" TargetMode="External" Id="rId101"/><Relationship Type="http://schemas.openxmlformats.org/officeDocument/2006/relationships/hyperlink" Target="#'2. Talent Mapping'!A107" TargetMode="External" Id="rId102"/><Relationship Type="http://schemas.openxmlformats.org/officeDocument/2006/relationships/hyperlink" Target="#'2. Talent Mapping'!A108" TargetMode="External" Id="rId103"/><Relationship Type="http://schemas.openxmlformats.org/officeDocument/2006/relationships/hyperlink" Target="#'2. Talent Mapping'!A109" TargetMode="External" Id="rId104"/><Relationship Type="http://schemas.openxmlformats.org/officeDocument/2006/relationships/hyperlink" Target="#'2. Talent Mapping'!A110" TargetMode="External" Id="rId105"/><Relationship Type="http://schemas.openxmlformats.org/officeDocument/2006/relationships/hyperlink" Target="#'2. Talent Mapping'!A111" TargetMode="External" Id="rId106"/><Relationship Type="http://schemas.openxmlformats.org/officeDocument/2006/relationships/hyperlink" Target="#'2. Talent Mapping'!A112" TargetMode="External" Id="rId107"/><Relationship Type="http://schemas.openxmlformats.org/officeDocument/2006/relationships/hyperlink" Target="#'2. Talent Mapping'!A113" TargetMode="External" Id="rId108"/><Relationship Type="http://schemas.openxmlformats.org/officeDocument/2006/relationships/hyperlink" Target="#'2. Talent Mapping'!A114" TargetMode="External" Id="rId109"/><Relationship Type="http://schemas.openxmlformats.org/officeDocument/2006/relationships/hyperlink" Target="#'2. Talent Mapping'!A115" TargetMode="External" Id="rId110"/><Relationship Type="http://schemas.openxmlformats.org/officeDocument/2006/relationships/hyperlink" Target="#'2. Talent Mapping'!A116" TargetMode="External" Id="rId111"/><Relationship Type="http://schemas.openxmlformats.org/officeDocument/2006/relationships/hyperlink" Target="#'2. Talent Mapping'!A117" TargetMode="External" Id="rId112"/><Relationship Type="http://schemas.openxmlformats.org/officeDocument/2006/relationships/hyperlink" Target="#'2. Talent Mapping'!A118" TargetMode="External" Id="rId113"/><Relationship Type="http://schemas.openxmlformats.org/officeDocument/2006/relationships/hyperlink" Target="#'2. Talent Mapping'!A119" TargetMode="External" Id="rId114"/><Relationship Type="http://schemas.openxmlformats.org/officeDocument/2006/relationships/hyperlink" Target="#'2. Talent Mapping'!A120" TargetMode="External" Id="rId115"/><Relationship Type="http://schemas.openxmlformats.org/officeDocument/2006/relationships/hyperlink" Target="#'2. Talent Mapping'!A121" TargetMode="External" Id="rId116"/><Relationship Type="http://schemas.openxmlformats.org/officeDocument/2006/relationships/hyperlink" Target="#'2. Talent Mapping'!A122" TargetMode="External" Id="rId117"/><Relationship Type="http://schemas.openxmlformats.org/officeDocument/2006/relationships/hyperlink" Target="#'2. Talent Mapping'!A123" TargetMode="External" Id="rId118"/><Relationship Type="http://schemas.openxmlformats.org/officeDocument/2006/relationships/hyperlink" Target="#'2. Talent Mapping'!A124" TargetMode="External" Id="rId119"/><Relationship Type="http://schemas.openxmlformats.org/officeDocument/2006/relationships/hyperlink" Target="#'2. Talent Mapping'!A125" TargetMode="External" Id="rId120"/><Relationship Type="http://schemas.openxmlformats.org/officeDocument/2006/relationships/hyperlink" Target="#'2. Talent Mapping'!A126" TargetMode="External" Id="rId121"/><Relationship Type="http://schemas.openxmlformats.org/officeDocument/2006/relationships/hyperlink" Target="#'2. Talent Mapping'!A127" TargetMode="External" Id="rId122"/><Relationship Type="http://schemas.openxmlformats.org/officeDocument/2006/relationships/hyperlink" Target="#'2. Talent Mapping'!A128" TargetMode="External" Id="rId123"/><Relationship Type="http://schemas.openxmlformats.org/officeDocument/2006/relationships/hyperlink" Target="#'2. Talent Mapping'!A129" TargetMode="External" Id="rId124"/><Relationship Type="http://schemas.openxmlformats.org/officeDocument/2006/relationships/hyperlink" Target="#'2. Talent Mapping'!A130" TargetMode="External" Id="rId125"/><Relationship Type="http://schemas.openxmlformats.org/officeDocument/2006/relationships/hyperlink" Target="#'2. Talent Mapping'!A131" TargetMode="External" Id="rId126"/><Relationship Type="http://schemas.openxmlformats.org/officeDocument/2006/relationships/hyperlink" Target="#'2. Talent Mapping'!A132" TargetMode="External" Id="rId127"/><Relationship Type="http://schemas.openxmlformats.org/officeDocument/2006/relationships/hyperlink" Target="#'2. Talent Mapping'!A133" TargetMode="External" Id="rId128"/><Relationship Type="http://schemas.openxmlformats.org/officeDocument/2006/relationships/hyperlink" Target="#'2. Talent Mapping'!A134" TargetMode="External" Id="rId129"/><Relationship Type="http://schemas.openxmlformats.org/officeDocument/2006/relationships/hyperlink" Target="#'2. Talent Mapping'!A135" TargetMode="External" Id="rId130"/><Relationship Type="http://schemas.openxmlformats.org/officeDocument/2006/relationships/hyperlink" Target="#'2. Talent Mapping'!A136" TargetMode="External" Id="rId131"/><Relationship Type="http://schemas.openxmlformats.org/officeDocument/2006/relationships/hyperlink" Target="#'2. Talent Mapping'!A137" TargetMode="External" Id="rId132"/><Relationship Type="http://schemas.openxmlformats.org/officeDocument/2006/relationships/hyperlink" Target="#'2. Talent Mapping'!A138" TargetMode="External" Id="rId133"/><Relationship Type="http://schemas.openxmlformats.org/officeDocument/2006/relationships/hyperlink" Target="#'2. Talent Mapping'!A139" TargetMode="External" Id="rId134"/><Relationship Type="http://schemas.openxmlformats.org/officeDocument/2006/relationships/hyperlink" Target="#'2. Talent Mapping'!A140" TargetMode="External" Id="rId135"/><Relationship Type="http://schemas.openxmlformats.org/officeDocument/2006/relationships/hyperlink" Target="#'2. Talent Mapping'!A141" TargetMode="External" Id="rId136"/><Relationship Type="http://schemas.openxmlformats.org/officeDocument/2006/relationships/hyperlink" Target="#'2. Talent Mapping'!A142" TargetMode="External" Id="rId137"/><Relationship Type="http://schemas.openxmlformats.org/officeDocument/2006/relationships/hyperlink" Target="#'2. Talent Mapping'!A143" TargetMode="External" Id="rId138"/><Relationship Type="http://schemas.openxmlformats.org/officeDocument/2006/relationships/hyperlink" Target="#'2. Talent Mapping'!A144" TargetMode="External" Id="rId139"/><Relationship Type="http://schemas.openxmlformats.org/officeDocument/2006/relationships/hyperlink" Target="#'2. Talent Mapping'!A145" TargetMode="External" Id="rId140"/><Relationship Type="http://schemas.openxmlformats.org/officeDocument/2006/relationships/hyperlink" Target="#'2. Talent Mapping'!A146" TargetMode="External" Id="rId141"/><Relationship Type="http://schemas.openxmlformats.org/officeDocument/2006/relationships/hyperlink" Target="#'2. Talent Mapping'!A147" TargetMode="External" Id="rId142"/><Relationship Type="http://schemas.openxmlformats.org/officeDocument/2006/relationships/hyperlink" Target="#'2. Talent Mapping'!A148" TargetMode="External" Id="rId143"/><Relationship Type="http://schemas.openxmlformats.org/officeDocument/2006/relationships/hyperlink" Target="#'2. Talent Mapping'!A149" TargetMode="External" Id="rId144"/><Relationship Type="http://schemas.openxmlformats.org/officeDocument/2006/relationships/hyperlink" Target="#'2. Talent Mapping'!A150" TargetMode="External" Id="rId145"/><Relationship Type="http://schemas.openxmlformats.org/officeDocument/2006/relationships/hyperlink" Target="#'2. Talent Mapping'!A151" TargetMode="External" Id="rId146"/><Relationship Type="http://schemas.openxmlformats.org/officeDocument/2006/relationships/hyperlink" Target="#'2. Talent Mapping'!A152" TargetMode="External" Id="rId147"/><Relationship Type="http://schemas.openxmlformats.org/officeDocument/2006/relationships/hyperlink" Target="#'2. Talent Mapping'!A153" TargetMode="External" Id="rId148"/><Relationship Type="http://schemas.openxmlformats.org/officeDocument/2006/relationships/hyperlink" Target="#'2. Talent Mapping'!A154" TargetMode="External" Id="rId149"/><Relationship Type="http://schemas.openxmlformats.org/officeDocument/2006/relationships/hyperlink" Target="#'2. Talent Mapping'!A155" TargetMode="External" Id="rId150"/><Relationship Type="http://schemas.openxmlformats.org/officeDocument/2006/relationships/hyperlink" Target="#'2. Talent Mapping'!A156" TargetMode="External" Id="rId151"/><Relationship Type="http://schemas.openxmlformats.org/officeDocument/2006/relationships/hyperlink" Target="#'2. Talent Mapping'!A157" TargetMode="External" Id="rId152"/><Relationship Type="http://schemas.openxmlformats.org/officeDocument/2006/relationships/hyperlink" Target="#'2. Talent Mapping'!A158" TargetMode="External" Id="rId153"/><Relationship Type="http://schemas.openxmlformats.org/officeDocument/2006/relationships/hyperlink" Target="#'2. Talent Mapping'!A159" TargetMode="External" Id="rId154"/><Relationship Type="http://schemas.openxmlformats.org/officeDocument/2006/relationships/hyperlink" Target="#'2. Talent Mapping'!A160" TargetMode="External" Id="rId155"/><Relationship Type="http://schemas.openxmlformats.org/officeDocument/2006/relationships/hyperlink" Target="#'2. Talent Mapping'!A161" TargetMode="External" Id="rId156"/><Relationship Type="http://schemas.openxmlformats.org/officeDocument/2006/relationships/hyperlink" Target="#'2. Talent Mapping'!A162" TargetMode="External" Id="rId157"/><Relationship Type="http://schemas.openxmlformats.org/officeDocument/2006/relationships/hyperlink" Target="#'2. Talent Mapping'!A163" TargetMode="External" Id="rId158"/><Relationship Type="http://schemas.openxmlformats.org/officeDocument/2006/relationships/hyperlink" Target="#'2. Talent Mapping'!A164" TargetMode="External" Id="rId159"/><Relationship Type="http://schemas.openxmlformats.org/officeDocument/2006/relationships/hyperlink" Target="#'2. Talent Mapping'!A165" TargetMode="External" Id="rId160"/><Relationship Type="http://schemas.openxmlformats.org/officeDocument/2006/relationships/hyperlink" Target="#'2. Talent Mapping'!A166" TargetMode="External" Id="rId161"/><Relationship Type="http://schemas.openxmlformats.org/officeDocument/2006/relationships/hyperlink" Target="#'2. Talent Mapping'!A167" TargetMode="External" Id="rId162"/><Relationship Type="http://schemas.openxmlformats.org/officeDocument/2006/relationships/hyperlink" Target="#'2. Talent Mapping'!A168" TargetMode="External" Id="rId163"/><Relationship Type="http://schemas.openxmlformats.org/officeDocument/2006/relationships/hyperlink" Target="#'2. Talent Mapping'!A169" TargetMode="External" Id="rId164"/><Relationship Type="http://schemas.openxmlformats.org/officeDocument/2006/relationships/hyperlink" Target="#'2. Talent Mapping'!A170" TargetMode="External" Id="rId165"/><Relationship Type="http://schemas.openxmlformats.org/officeDocument/2006/relationships/hyperlink" Target="#'2. Talent Mapping'!A171" TargetMode="External" Id="rId166"/><Relationship Type="http://schemas.openxmlformats.org/officeDocument/2006/relationships/hyperlink" Target="#'2. Talent Mapping'!A172" TargetMode="External" Id="rId167"/><Relationship Type="http://schemas.openxmlformats.org/officeDocument/2006/relationships/hyperlink" Target="#'2. Talent Mapping'!A173" TargetMode="External" Id="rId168"/><Relationship Type="http://schemas.openxmlformats.org/officeDocument/2006/relationships/hyperlink" Target="#'2. Talent Mapping'!A174" TargetMode="External" Id="rId169"/><Relationship Type="http://schemas.openxmlformats.org/officeDocument/2006/relationships/hyperlink" Target="#'2. Talent Mapping'!A175" TargetMode="External" Id="rId170"/><Relationship Type="http://schemas.openxmlformats.org/officeDocument/2006/relationships/hyperlink" Target="#'2. Talent Mapping'!A176" TargetMode="External" Id="rId171"/><Relationship Type="http://schemas.openxmlformats.org/officeDocument/2006/relationships/hyperlink" Target="#'2. Talent Mapping'!A177" TargetMode="External" Id="rId172"/><Relationship Type="http://schemas.openxmlformats.org/officeDocument/2006/relationships/hyperlink" Target="#'2. Talent Mapping'!A178" TargetMode="External" Id="rId173"/><Relationship Type="http://schemas.openxmlformats.org/officeDocument/2006/relationships/hyperlink" Target="#'2. Talent Mapping'!A179" TargetMode="External" Id="rId174"/><Relationship Type="http://schemas.openxmlformats.org/officeDocument/2006/relationships/hyperlink" Target="#'2. Talent Mapping'!A180" TargetMode="External" Id="rId175"/><Relationship Type="http://schemas.openxmlformats.org/officeDocument/2006/relationships/hyperlink" Target="#'2. Talent Mapping'!A181" TargetMode="External" Id="rId176"/><Relationship Type="http://schemas.openxmlformats.org/officeDocument/2006/relationships/hyperlink" Target="#'2. Talent Mapping'!A182" TargetMode="External" Id="rId177"/><Relationship Type="http://schemas.openxmlformats.org/officeDocument/2006/relationships/hyperlink" Target="#'2. Talent Mapping'!A183" TargetMode="External" Id="rId178"/><Relationship Type="http://schemas.openxmlformats.org/officeDocument/2006/relationships/hyperlink" Target="#'2. Talent Mapping'!A184" TargetMode="External" Id="rId179"/><Relationship Type="http://schemas.openxmlformats.org/officeDocument/2006/relationships/hyperlink" Target="#'2. Talent Mapping'!A185" TargetMode="External" Id="rId180"/><Relationship Type="http://schemas.openxmlformats.org/officeDocument/2006/relationships/hyperlink" Target="#'2. Talent Mapping'!A186" TargetMode="External" Id="rId181"/><Relationship Type="http://schemas.openxmlformats.org/officeDocument/2006/relationships/hyperlink" Target="#'2. Talent Mapping'!A187" TargetMode="External" Id="rId182"/><Relationship Type="http://schemas.openxmlformats.org/officeDocument/2006/relationships/hyperlink" Target="#'2. Talent Mapping'!A188" TargetMode="External" Id="rId183"/><Relationship Type="http://schemas.openxmlformats.org/officeDocument/2006/relationships/hyperlink" Target="#'2. Talent Mapping'!A189" TargetMode="External" Id="rId184"/><Relationship Type="http://schemas.openxmlformats.org/officeDocument/2006/relationships/hyperlink" Target="#'2. Talent Mapping'!A190" TargetMode="External" Id="rId185"/><Relationship Type="http://schemas.openxmlformats.org/officeDocument/2006/relationships/hyperlink" Target="#'2. Talent Mapping'!A191" TargetMode="External" Id="rId186"/><Relationship Type="http://schemas.openxmlformats.org/officeDocument/2006/relationships/hyperlink" Target="#'2. Talent Mapping'!A192" TargetMode="External" Id="rId187"/><Relationship Type="http://schemas.openxmlformats.org/officeDocument/2006/relationships/hyperlink" Target="#'2. Talent Mapping'!A193" TargetMode="External" Id="rId188"/><Relationship Type="http://schemas.openxmlformats.org/officeDocument/2006/relationships/hyperlink" Target="#'2. Talent Mapping'!A194" TargetMode="External" Id="rId189"/><Relationship Type="http://schemas.openxmlformats.org/officeDocument/2006/relationships/hyperlink" Target="#'2. Talent Mapping'!A195" TargetMode="External" Id="rId190"/><Relationship Type="http://schemas.openxmlformats.org/officeDocument/2006/relationships/hyperlink" Target="#'2. Talent Mapping'!A196" TargetMode="External" Id="rId191"/><Relationship Type="http://schemas.openxmlformats.org/officeDocument/2006/relationships/hyperlink" Target="#'2. Talent Mapping'!A197" TargetMode="External" Id="rId192"/><Relationship Type="http://schemas.openxmlformats.org/officeDocument/2006/relationships/hyperlink" Target="#'2. Talent Mapping'!A198" TargetMode="External" Id="rId193"/><Relationship Type="http://schemas.openxmlformats.org/officeDocument/2006/relationships/hyperlink" Target="#'2. Talent Mapping'!A199" TargetMode="External" Id="rId194"/><Relationship Type="http://schemas.openxmlformats.org/officeDocument/2006/relationships/hyperlink" Target="#'2. Talent Mapping'!A200" TargetMode="External" Id="rId195"/><Relationship Type="http://schemas.openxmlformats.org/officeDocument/2006/relationships/hyperlink" Target="#'2. Talent Mapping'!A201" TargetMode="External" Id="rId196"/><Relationship Type="http://schemas.openxmlformats.org/officeDocument/2006/relationships/hyperlink" Target="#'2. Talent Mapping'!A202" TargetMode="External" Id="rId197"/><Relationship Type="http://schemas.openxmlformats.org/officeDocument/2006/relationships/hyperlink" Target="#'2. Talent Mapping'!A203" TargetMode="External" Id="rId198"/><Relationship Type="http://schemas.openxmlformats.org/officeDocument/2006/relationships/hyperlink" Target="#'2. Talent Mapping'!A204" TargetMode="External" Id="rId199"/><Relationship Type="http://schemas.openxmlformats.org/officeDocument/2006/relationships/hyperlink" Target="#'2. Talent Mapping'!A205" TargetMode="External" Id="rId200"/><Relationship Type="http://schemas.openxmlformats.org/officeDocument/2006/relationships/hyperlink" Target="#'2. Talent Mapping'!A206" TargetMode="External" Id="rId201"/><Relationship Type="http://schemas.openxmlformats.org/officeDocument/2006/relationships/hyperlink" Target="#'2. Talent Mapping'!A207" TargetMode="External" Id="rId202"/><Relationship Type="http://schemas.openxmlformats.org/officeDocument/2006/relationships/hyperlink" Target="#'2. Talent Mapping'!A208" TargetMode="External" Id="rId203"/><Relationship Type="http://schemas.openxmlformats.org/officeDocument/2006/relationships/hyperlink" Target="#'2. Talent Mapping'!A209" TargetMode="External" Id="rId204"/><Relationship Type="http://schemas.openxmlformats.org/officeDocument/2006/relationships/hyperlink" Target="#'2. Talent Mapping'!A210" TargetMode="External" Id="rId205"/><Relationship Type="http://schemas.openxmlformats.org/officeDocument/2006/relationships/hyperlink" Target="#'2. Talent Mapping'!A211" TargetMode="External" Id="rId206"/><Relationship Type="http://schemas.openxmlformats.org/officeDocument/2006/relationships/hyperlink" Target="#'2. Talent Mapping'!A212" TargetMode="External" Id="rId207"/><Relationship Type="http://schemas.openxmlformats.org/officeDocument/2006/relationships/hyperlink" Target="#'2. Talent Mapping'!A213" TargetMode="External" Id="rId208"/><Relationship Type="http://schemas.openxmlformats.org/officeDocument/2006/relationships/hyperlink" Target="#'2. Talent Mapping'!A214" TargetMode="External" Id="rId209"/><Relationship Type="http://schemas.openxmlformats.org/officeDocument/2006/relationships/hyperlink" Target="#'2. Talent Mapping'!A215" TargetMode="External" Id="rId210"/><Relationship Type="http://schemas.openxmlformats.org/officeDocument/2006/relationships/hyperlink" Target="#'2. Talent Mapping'!A216" TargetMode="External" Id="rId211"/><Relationship Type="http://schemas.openxmlformats.org/officeDocument/2006/relationships/hyperlink" Target="#'2. Talent Mapping'!A217" TargetMode="External" Id="rId212"/><Relationship Type="http://schemas.openxmlformats.org/officeDocument/2006/relationships/hyperlink" Target="#'2. Talent Mapping'!A218" TargetMode="External" Id="rId213"/><Relationship Type="http://schemas.openxmlformats.org/officeDocument/2006/relationships/hyperlink" Target="#'2. Talent Mapping'!A219" TargetMode="External" Id="rId214"/><Relationship Type="http://schemas.openxmlformats.org/officeDocument/2006/relationships/hyperlink" Target="#'2. Talent Mapping'!A220" TargetMode="External" Id="rId215"/><Relationship Type="http://schemas.openxmlformats.org/officeDocument/2006/relationships/hyperlink" Target="#'2. Talent Mapping'!A221" TargetMode="External" Id="rId216"/><Relationship Type="http://schemas.openxmlformats.org/officeDocument/2006/relationships/hyperlink" Target="#'2. Talent Mapping'!A222" TargetMode="External" Id="rId217"/><Relationship Type="http://schemas.openxmlformats.org/officeDocument/2006/relationships/hyperlink" Target="#'2. Talent Mapping'!A223" TargetMode="External" Id="rId218"/><Relationship Type="http://schemas.openxmlformats.org/officeDocument/2006/relationships/hyperlink" Target="#'2. Talent Mapping'!A224" TargetMode="External" Id="rId219"/><Relationship Type="http://schemas.openxmlformats.org/officeDocument/2006/relationships/hyperlink" Target="#'2. Talent Mapping'!A225" TargetMode="External" Id="rId220"/><Relationship Type="http://schemas.openxmlformats.org/officeDocument/2006/relationships/hyperlink" Target="#'2. Talent Mapping'!A226" TargetMode="External" Id="rId221"/><Relationship Type="http://schemas.openxmlformats.org/officeDocument/2006/relationships/hyperlink" Target="#'2. Talent Mapping'!A227" TargetMode="External" Id="rId222"/><Relationship Type="http://schemas.openxmlformats.org/officeDocument/2006/relationships/hyperlink" Target="#'2. Talent Mapping'!A228" TargetMode="External" Id="rId223"/><Relationship Type="http://schemas.openxmlformats.org/officeDocument/2006/relationships/hyperlink" Target="#'2. Talent Mapping'!A229" TargetMode="External" Id="rId224"/><Relationship Type="http://schemas.openxmlformats.org/officeDocument/2006/relationships/hyperlink" Target="#'2. Talent Mapping'!A230" TargetMode="External" Id="rId225"/><Relationship Type="http://schemas.openxmlformats.org/officeDocument/2006/relationships/hyperlink" Target="#'2. Talent Mapping'!A231" TargetMode="External" Id="rId226"/><Relationship Type="http://schemas.openxmlformats.org/officeDocument/2006/relationships/hyperlink" Target="#'2. Talent Mapping'!A232" TargetMode="External" Id="rId227"/><Relationship Type="http://schemas.openxmlformats.org/officeDocument/2006/relationships/hyperlink" Target="#'2. Talent Mapping'!A233" TargetMode="External" Id="rId228"/><Relationship Type="http://schemas.openxmlformats.org/officeDocument/2006/relationships/hyperlink" Target="#'2. Talent Mapping'!A234" TargetMode="External" Id="rId229"/><Relationship Type="http://schemas.openxmlformats.org/officeDocument/2006/relationships/hyperlink" Target="#'2. Talent Mapping'!A235" TargetMode="External" Id="rId230"/><Relationship Type="http://schemas.openxmlformats.org/officeDocument/2006/relationships/hyperlink" Target="#'2. Talent Mapping'!A236" TargetMode="External" Id="rId231"/><Relationship Type="http://schemas.openxmlformats.org/officeDocument/2006/relationships/hyperlink" Target="#'2. Talent Mapping'!A237" TargetMode="External" Id="rId232"/><Relationship Type="http://schemas.openxmlformats.org/officeDocument/2006/relationships/hyperlink" Target="#'2. Talent Mapping'!A238" TargetMode="External" Id="rId233"/><Relationship Type="http://schemas.openxmlformats.org/officeDocument/2006/relationships/hyperlink" Target="#'2. Talent Mapping'!A239" TargetMode="External" Id="rId234"/><Relationship Type="http://schemas.openxmlformats.org/officeDocument/2006/relationships/hyperlink" Target="#'2. Talent Mapping'!A240" TargetMode="External" Id="rId235"/><Relationship Type="http://schemas.openxmlformats.org/officeDocument/2006/relationships/hyperlink" Target="#'2. Talent Mapping'!A241" TargetMode="External" Id="rId236"/><Relationship Type="http://schemas.openxmlformats.org/officeDocument/2006/relationships/hyperlink" Target="#'2. Talent Mapping'!A242" TargetMode="External" Id="rId237"/><Relationship Type="http://schemas.openxmlformats.org/officeDocument/2006/relationships/hyperlink" Target="#'2. Talent Mapping'!A243" TargetMode="External" Id="rId238"/><Relationship Type="http://schemas.openxmlformats.org/officeDocument/2006/relationships/hyperlink" Target="#'2. Talent Mapping'!A244" TargetMode="External" Id="rId239"/><Relationship Type="http://schemas.openxmlformats.org/officeDocument/2006/relationships/hyperlink" Target="#'2. Talent Mapping'!A245" TargetMode="External" Id="rId240"/><Relationship Type="http://schemas.openxmlformats.org/officeDocument/2006/relationships/hyperlink" Target="#'2. Talent Mapping'!A246" TargetMode="External" Id="rId241"/><Relationship Type="http://schemas.openxmlformats.org/officeDocument/2006/relationships/hyperlink" Target="#'2. Talent Mapping'!A247" TargetMode="External" Id="rId242"/><Relationship Type="http://schemas.openxmlformats.org/officeDocument/2006/relationships/hyperlink" Target="#'2. Talent Mapping'!A248" TargetMode="External" Id="rId243"/><Relationship Type="http://schemas.openxmlformats.org/officeDocument/2006/relationships/hyperlink" Target="#'2. Talent Mapping'!A249" TargetMode="External" Id="rId244"/><Relationship Type="http://schemas.openxmlformats.org/officeDocument/2006/relationships/hyperlink" Target="#'2. Talent Mapping'!A250" TargetMode="External" Id="rId245"/><Relationship Type="http://schemas.openxmlformats.org/officeDocument/2006/relationships/hyperlink" Target="#'2. Talent Mapping'!A251" TargetMode="External" Id="rId246"/><Relationship Type="http://schemas.openxmlformats.org/officeDocument/2006/relationships/hyperlink" Target="#'2. Talent Mapping'!A252" TargetMode="External" Id="rId247"/><Relationship Type="http://schemas.openxmlformats.org/officeDocument/2006/relationships/hyperlink" Target="#'2. Talent Mapping'!A253" TargetMode="External" Id="rId248"/><Relationship Type="http://schemas.openxmlformats.org/officeDocument/2006/relationships/hyperlink" Target="#'2. Talent Mapping'!A254" TargetMode="External" Id="rId249"/><Relationship Type="http://schemas.openxmlformats.org/officeDocument/2006/relationships/hyperlink" Target="#'2. Talent Mapping'!A255" TargetMode="External" Id="rId250"/><Relationship Type="http://schemas.openxmlformats.org/officeDocument/2006/relationships/hyperlink" Target="#'2. Talent Mapping'!A256" TargetMode="External" Id="rId251"/><Relationship Type="http://schemas.openxmlformats.org/officeDocument/2006/relationships/hyperlink" Target="#'2. Talent Mapping'!A257" TargetMode="External" Id="rId252"/><Relationship Type="http://schemas.openxmlformats.org/officeDocument/2006/relationships/hyperlink" Target="#'2. Talent Mapping'!A258" TargetMode="External" Id="rId253"/><Relationship Type="http://schemas.openxmlformats.org/officeDocument/2006/relationships/hyperlink" Target="#'2. Talent Mapping'!A259" TargetMode="External" Id="rId254"/><Relationship Type="http://schemas.openxmlformats.org/officeDocument/2006/relationships/hyperlink" Target="#'2. Talent Mapping'!A260" TargetMode="External" Id="rId255"/><Relationship Type="http://schemas.openxmlformats.org/officeDocument/2006/relationships/hyperlink" Target="#'2. Talent Mapping'!A261" TargetMode="External" Id="rId256"/><Relationship Type="http://schemas.openxmlformats.org/officeDocument/2006/relationships/hyperlink" Target="#'2. Talent Mapping'!A262" TargetMode="External" Id="rId257"/><Relationship Type="http://schemas.openxmlformats.org/officeDocument/2006/relationships/hyperlink" Target="#'2. Talent Mapping'!A263" TargetMode="External" Id="rId258"/><Relationship Type="http://schemas.openxmlformats.org/officeDocument/2006/relationships/hyperlink" Target="#'2. Talent Mapping'!A264" TargetMode="External" Id="rId259"/><Relationship Type="http://schemas.openxmlformats.org/officeDocument/2006/relationships/hyperlink" Target="#'2. Talent Mapping'!A265" TargetMode="External" Id="rId260"/><Relationship Type="http://schemas.openxmlformats.org/officeDocument/2006/relationships/hyperlink" Target="#'2. Talent Mapping'!A266" TargetMode="External" Id="rId261"/><Relationship Type="http://schemas.openxmlformats.org/officeDocument/2006/relationships/hyperlink" Target="#'2. Talent Mapping'!A267" TargetMode="External" Id="rId262"/><Relationship Type="http://schemas.openxmlformats.org/officeDocument/2006/relationships/hyperlink" Target="#'2. Talent Mapping'!A268" TargetMode="External" Id="rId263"/><Relationship Type="http://schemas.openxmlformats.org/officeDocument/2006/relationships/hyperlink" Target="#'2. Talent Mapping'!A269" TargetMode="External" Id="rId264"/><Relationship Type="http://schemas.openxmlformats.org/officeDocument/2006/relationships/hyperlink" Target="#'2. Talent Mapping'!A270" TargetMode="External" Id="rId265"/><Relationship Type="http://schemas.openxmlformats.org/officeDocument/2006/relationships/hyperlink" Target="#'2. Talent Mapping'!A271" TargetMode="External" Id="rId266"/><Relationship Type="http://schemas.openxmlformats.org/officeDocument/2006/relationships/hyperlink" Target="#'2. Talent Mapping'!A272" TargetMode="External" Id="rId267"/><Relationship Type="http://schemas.openxmlformats.org/officeDocument/2006/relationships/hyperlink" Target="#'2. Talent Mapping'!A273" TargetMode="External" Id="rId268"/><Relationship Type="http://schemas.openxmlformats.org/officeDocument/2006/relationships/hyperlink" Target="#'2. Talent Mapping'!A274" TargetMode="External" Id="rId269"/><Relationship Type="http://schemas.openxmlformats.org/officeDocument/2006/relationships/hyperlink" Target="#'2. Talent Mapping'!A275" TargetMode="External" Id="rId270"/><Relationship Type="http://schemas.openxmlformats.org/officeDocument/2006/relationships/hyperlink" Target="#'2. Talent Mapping'!A276" TargetMode="External" Id="rId271"/><Relationship Type="http://schemas.openxmlformats.org/officeDocument/2006/relationships/hyperlink" Target="#'2. Talent Mapping'!A277" TargetMode="External" Id="rId272"/><Relationship Type="http://schemas.openxmlformats.org/officeDocument/2006/relationships/hyperlink" Target="#'2. Talent Mapping'!A278" TargetMode="External" Id="rId273"/><Relationship Type="http://schemas.openxmlformats.org/officeDocument/2006/relationships/hyperlink" Target="#'2. Talent Mapping'!A279" TargetMode="External" Id="rId274"/><Relationship Type="http://schemas.openxmlformats.org/officeDocument/2006/relationships/hyperlink" Target="#'2. Talent Mapping'!A280" TargetMode="External" Id="rId275"/><Relationship Type="http://schemas.openxmlformats.org/officeDocument/2006/relationships/hyperlink" Target="#'2. Talent Mapping'!A281" TargetMode="External" Id="rId276"/><Relationship Type="http://schemas.openxmlformats.org/officeDocument/2006/relationships/hyperlink" Target="#'2. Talent Mapping'!A282" TargetMode="External" Id="rId277"/><Relationship Type="http://schemas.openxmlformats.org/officeDocument/2006/relationships/hyperlink" Target="#'2. Talent Mapping'!A283" TargetMode="External" Id="rId278"/><Relationship Type="http://schemas.openxmlformats.org/officeDocument/2006/relationships/hyperlink" Target="#'2. Talent Mapping'!A284" TargetMode="External" Id="rId279"/><Relationship Type="http://schemas.openxmlformats.org/officeDocument/2006/relationships/hyperlink" Target="#'2. Talent Mapping'!A285" TargetMode="External" Id="rId280"/><Relationship Type="http://schemas.openxmlformats.org/officeDocument/2006/relationships/hyperlink" Target="#'2. Talent Mapping'!A286" TargetMode="External" Id="rId281"/><Relationship Type="http://schemas.openxmlformats.org/officeDocument/2006/relationships/hyperlink" Target="#'2. Talent Mapping'!A287" TargetMode="External" Id="rId282"/><Relationship Type="http://schemas.openxmlformats.org/officeDocument/2006/relationships/hyperlink" Target="#'2. Talent Mapping'!A288" TargetMode="External" Id="rId283"/><Relationship Type="http://schemas.openxmlformats.org/officeDocument/2006/relationships/hyperlink" Target="#'2. Talent Mapping'!A289" TargetMode="External" Id="rId284"/><Relationship Type="http://schemas.openxmlformats.org/officeDocument/2006/relationships/hyperlink" Target="#'2. Talent Mapping'!A290" TargetMode="External" Id="rId285"/><Relationship Type="http://schemas.openxmlformats.org/officeDocument/2006/relationships/hyperlink" Target="#'2. Talent Mapping'!A291" TargetMode="External" Id="rId286"/><Relationship Type="http://schemas.openxmlformats.org/officeDocument/2006/relationships/hyperlink" Target="#'2. Talent Mapping'!A292" TargetMode="External" Id="rId287"/><Relationship Type="http://schemas.openxmlformats.org/officeDocument/2006/relationships/hyperlink" Target="#'2. Talent Mapping'!A293" TargetMode="External" Id="rId288"/><Relationship Type="http://schemas.openxmlformats.org/officeDocument/2006/relationships/hyperlink" Target="#'2. Talent Mapping'!A294" TargetMode="External" Id="rId289"/><Relationship Type="http://schemas.openxmlformats.org/officeDocument/2006/relationships/hyperlink" Target="#'2. Talent Mapping'!A295" TargetMode="External" Id="rId290"/><Relationship Type="http://schemas.openxmlformats.org/officeDocument/2006/relationships/hyperlink" Target="#'2. Talent Mapping'!A296" TargetMode="External" Id="rId291"/><Relationship Type="http://schemas.openxmlformats.org/officeDocument/2006/relationships/hyperlink" Target="#'2. Talent Mapping'!A297" TargetMode="External" Id="rId292"/><Relationship Type="http://schemas.openxmlformats.org/officeDocument/2006/relationships/hyperlink" Target="#'2. Talent Mapping'!A298" TargetMode="External" Id="rId293"/><Relationship Type="http://schemas.openxmlformats.org/officeDocument/2006/relationships/hyperlink" Target="#'2. Talent Mapping'!A299" TargetMode="External" Id="rId294"/><Relationship Type="http://schemas.openxmlformats.org/officeDocument/2006/relationships/hyperlink" Target="#'2. Talent Mapping'!A300" TargetMode="External" Id="rId295"/><Relationship Type="http://schemas.openxmlformats.org/officeDocument/2006/relationships/hyperlink" Target="#'2. Talent Mapping'!A301" TargetMode="External" Id="rId296"/><Relationship Type="http://schemas.openxmlformats.org/officeDocument/2006/relationships/hyperlink" Target="#'2. Talent Mapping'!A302" TargetMode="External" Id="rId297"/><Relationship Type="http://schemas.openxmlformats.org/officeDocument/2006/relationships/hyperlink" Target="#'2. Talent Mapping'!A303" TargetMode="External" Id="rId298"/><Relationship Type="http://schemas.openxmlformats.org/officeDocument/2006/relationships/hyperlink" Target="#'2. Talent Mapping'!A304" TargetMode="External" Id="rId299"/><Relationship Type="http://schemas.openxmlformats.org/officeDocument/2006/relationships/hyperlink" Target="#'2. Talent Mapping'!A305" TargetMode="External" Id="rId300"/><Relationship Type="http://schemas.openxmlformats.org/officeDocument/2006/relationships/hyperlink" Target="#'2. Talent Mapping'!A306" TargetMode="External" Id="rId301"/><Relationship Type="http://schemas.openxmlformats.org/officeDocument/2006/relationships/hyperlink" Target="#'2. Talent Mapping'!A307" TargetMode="External" Id="rId302"/><Relationship Type="http://schemas.openxmlformats.org/officeDocument/2006/relationships/hyperlink" Target="#'2. Talent Mapping'!A308" TargetMode="External" Id="rId303"/><Relationship Type="http://schemas.openxmlformats.org/officeDocument/2006/relationships/hyperlink" Target="#'2. Talent Mapping'!A309" TargetMode="External" Id="rId304"/><Relationship Type="http://schemas.openxmlformats.org/officeDocument/2006/relationships/hyperlink" Target="#'2. Talent Mapping'!A310" TargetMode="External" Id="rId305"/><Relationship Type="http://schemas.openxmlformats.org/officeDocument/2006/relationships/hyperlink" Target="#'2. Talent Mapping'!A311" TargetMode="External" Id="rId306"/><Relationship Type="http://schemas.openxmlformats.org/officeDocument/2006/relationships/hyperlink" Target="#'2. Talent Mapping'!A312" TargetMode="External" Id="rId307"/><Relationship Type="http://schemas.openxmlformats.org/officeDocument/2006/relationships/hyperlink" Target="#'2. Talent Mapping'!A313" TargetMode="External" Id="rId308"/><Relationship Type="http://schemas.openxmlformats.org/officeDocument/2006/relationships/hyperlink" Target="#'2. Talent Mapping'!A314" TargetMode="External" Id="rId309"/><Relationship Type="http://schemas.openxmlformats.org/officeDocument/2006/relationships/hyperlink" Target="#'2. Talent Mapping'!A315" TargetMode="External" Id="rId310"/><Relationship Type="http://schemas.openxmlformats.org/officeDocument/2006/relationships/hyperlink" Target="#'2. Talent Mapping'!A316" TargetMode="External" Id="rId311"/><Relationship Type="http://schemas.openxmlformats.org/officeDocument/2006/relationships/hyperlink" Target="#'2. Talent Mapping'!A317" TargetMode="External" Id="rId312"/><Relationship Type="http://schemas.openxmlformats.org/officeDocument/2006/relationships/hyperlink" Target="#'2. Talent Mapping'!A318" TargetMode="External" Id="rId313"/><Relationship Type="http://schemas.openxmlformats.org/officeDocument/2006/relationships/hyperlink" Target="#'2. Talent Mapping'!A319" TargetMode="External" Id="rId314"/><Relationship Type="http://schemas.openxmlformats.org/officeDocument/2006/relationships/hyperlink" Target="#'2. Talent Mapping'!A320" TargetMode="External" Id="rId315"/><Relationship Type="http://schemas.openxmlformats.org/officeDocument/2006/relationships/hyperlink" Target="#'2. Talent Mapping'!A321" TargetMode="External" Id="rId316"/><Relationship Type="http://schemas.openxmlformats.org/officeDocument/2006/relationships/hyperlink" Target="#'2. Talent Mapping'!A322" TargetMode="External" Id="rId317"/><Relationship Type="http://schemas.openxmlformats.org/officeDocument/2006/relationships/hyperlink" Target="#'2. Talent Mapping'!A323" TargetMode="External" Id="rId318"/><Relationship Type="http://schemas.openxmlformats.org/officeDocument/2006/relationships/hyperlink" Target="#'2. Talent Mapping'!A324" TargetMode="External" Id="rId319"/><Relationship Type="http://schemas.openxmlformats.org/officeDocument/2006/relationships/hyperlink" Target="#'2. Talent Mapping'!A325" TargetMode="External" Id="rId320"/><Relationship Type="http://schemas.openxmlformats.org/officeDocument/2006/relationships/hyperlink" Target="#'2. Talent Mapping'!A326" TargetMode="External" Id="rId321"/><Relationship Type="http://schemas.openxmlformats.org/officeDocument/2006/relationships/hyperlink" Target="#'2. Talent Mapping'!A327" TargetMode="External" Id="rId322"/><Relationship Type="http://schemas.openxmlformats.org/officeDocument/2006/relationships/hyperlink" Target="#'2. Talent Mapping'!A328" TargetMode="External" Id="rId323"/><Relationship Type="http://schemas.openxmlformats.org/officeDocument/2006/relationships/hyperlink" Target="#'2. Talent Mapping'!A329" TargetMode="External" Id="rId324"/><Relationship Type="http://schemas.openxmlformats.org/officeDocument/2006/relationships/hyperlink" Target="#'2. Talent Mapping'!A330" TargetMode="External" Id="rId325"/><Relationship Type="http://schemas.openxmlformats.org/officeDocument/2006/relationships/hyperlink" Target="#'2. Talent Mapping'!A331" TargetMode="External" Id="rId326"/><Relationship Type="http://schemas.openxmlformats.org/officeDocument/2006/relationships/hyperlink" Target="#'2. Talent Mapping'!A332" TargetMode="External" Id="rId327"/><Relationship Type="http://schemas.openxmlformats.org/officeDocument/2006/relationships/hyperlink" Target="#'2. Talent Mapping'!A333" TargetMode="External" Id="rId328"/><Relationship Type="http://schemas.openxmlformats.org/officeDocument/2006/relationships/hyperlink" Target="#'2. Talent Mapping'!A334" TargetMode="External" Id="rId329"/><Relationship Type="http://schemas.openxmlformats.org/officeDocument/2006/relationships/hyperlink" Target="#'2. Talent Mapping'!A335" TargetMode="External" Id="rId330"/><Relationship Type="http://schemas.openxmlformats.org/officeDocument/2006/relationships/hyperlink" Target="#'2. Talent Mapping'!A336" TargetMode="External" Id="rId331"/><Relationship Type="http://schemas.openxmlformats.org/officeDocument/2006/relationships/hyperlink" Target="#'2. Talent Mapping'!A337" TargetMode="External" Id="rId332"/><Relationship Type="http://schemas.openxmlformats.org/officeDocument/2006/relationships/hyperlink" Target="#'2. Talent Mapping'!A338" TargetMode="External" Id="rId333"/><Relationship Type="http://schemas.openxmlformats.org/officeDocument/2006/relationships/hyperlink" Target="#'2. Talent Mapping'!A339" TargetMode="External" Id="rId334"/><Relationship Type="http://schemas.openxmlformats.org/officeDocument/2006/relationships/hyperlink" Target="#'2. Talent Mapping'!A340" TargetMode="External" Id="rId335"/><Relationship Type="http://schemas.openxmlformats.org/officeDocument/2006/relationships/hyperlink" Target="#'2. Talent Mapping'!A341" TargetMode="External" Id="rId336"/><Relationship Type="http://schemas.openxmlformats.org/officeDocument/2006/relationships/hyperlink" Target="#'2. Talent Mapping'!A342" TargetMode="External" Id="rId337"/><Relationship Type="http://schemas.openxmlformats.org/officeDocument/2006/relationships/hyperlink" Target="#'2. Talent Mapping'!A343" TargetMode="External" Id="rId338"/><Relationship Type="http://schemas.openxmlformats.org/officeDocument/2006/relationships/hyperlink" Target="#'2. Talent Mapping'!A344" TargetMode="External" Id="rId339"/><Relationship Type="http://schemas.openxmlformats.org/officeDocument/2006/relationships/hyperlink" Target="#'2. Talent Mapping'!A345" TargetMode="External" Id="rId340"/><Relationship Type="http://schemas.openxmlformats.org/officeDocument/2006/relationships/hyperlink" Target="#'2. Talent Mapping'!A346" TargetMode="External" Id="rId341"/><Relationship Type="http://schemas.openxmlformats.org/officeDocument/2006/relationships/hyperlink" Target="#'2. Talent Mapping'!A347" TargetMode="External" Id="rId342"/><Relationship Type="http://schemas.openxmlformats.org/officeDocument/2006/relationships/hyperlink" Target="#'2. Talent Mapping'!A348" TargetMode="External" Id="rId343"/><Relationship Type="http://schemas.openxmlformats.org/officeDocument/2006/relationships/hyperlink" Target="#'2. Talent Mapping'!A349" TargetMode="External" Id="rId344"/><Relationship Type="http://schemas.openxmlformats.org/officeDocument/2006/relationships/hyperlink" Target="#'2. Talent Mapping'!A350" TargetMode="External" Id="rId345"/><Relationship Type="http://schemas.openxmlformats.org/officeDocument/2006/relationships/hyperlink" Target="#'2. Talent Mapping'!A351" TargetMode="External" Id="rId346"/><Relationship Type="http://schemas.openxmlformats.org/officeDocument/2006/relationships/hyperlink" Target="#'2. Talent Mapping'!A352" TargetMode="External" Id="rId347"/><Relationship Type="http://schemas.openxmlformats.org/officeDocument/2006/relationships/hyperlink" Target="#'2. Talent Mapping'!A353" TargetMode="External" Id="rId348"/><Relationship Type="http://schemas.openxmlformats.org/officeDocument/2006/relationships/hyperlink" Target="#'2. Talent Mapping'!A354" TargetMode="External" Id="rId349"/><Relationship Type="http://schemas.openxmlformats.org/officeDocument/2006/relationships/hyperlink" Target="#'2. Talent Mapping'!A355" TargetMode="External" Id="rId350"/><Relationship Type="http://schemas.openxmlformats.org/officeDocument/2006/relationships/hyperlink" Target="#'2. Talent Mapping'!A356" TargetMode="External" Id="rId351"/><Relationship Type="http://schemas.openxmlformats.org/officeDocument/2006/relationships/hyperlink" Target="#'2. Talent Mapping'!A357" TargetMode="External" Id="rId352"/><Relationship Type="http://schemas.openxmlformats.org/officeDocument/2006/relationships/hyperlink" Target="#'2. Talent Mapping'!A358" TargetMode="External" Id="rId353"/><Relationship Type="http://schemas.openxmlformats.org/officeDocument/2006/relationships/hyperlink" Target="#'2. Talent Mapping'!A359" TargetMode="External" Id="rId354"/><Relationship Type="http://schemas.openxmlformats.org/officeDocument/2006/relationships/hyperlink" Target="#'2. Talent Mapping'!A360" TargetMode="External" Id="rId355"/><Relationship Type="http://schemas.openxmlformats.org/officeDocument/2006/relationships/hyperlink" Target="#'2. Talent Mapping'!A361" TargetMode="External" Id="rId356"/><Relationship Type="http://schemas.openxmlformats.org/officeDocument/2006/relationships/hyperlink" Target="#'2. Talent Mapping'!A362" TargetMode="External" Id="rId357"/><Relationship Type="http://schemas.openxmlformats.org/officeDocument/2006/relationships/hyperlink" Target="#'2. Talent Mapping'!A363" TargetMode="External" Id="rId358"/><Relationship Type="http://schemas.openxmlformats.org/officeDocument/2006/relationships/hyperlink" Target="#'2. Talent Mapping'!A364" TargetMode="External" Id="rId359"/><Relationship Type="http://schemas.openxmlformats.org/officeDocument/2006/relationships/hyperlink" Target="#'2. Talent Mapping'!A365" TargetMode="External" Id="rId360"/><Relationship Type="http://schemas.openxmlformats.org/officeDocument/2006/relationships/hyperlink" Target="#'2. Talent Mapping'!A366" TargetMode="External" Id="rId361"/><Relationship Type="http://schemas.openxmlformats.org/officeDocument/2006/relationships/hyperlink" Target="#'2. Talent Mapping'!A367" TargetMode="External" Id="rId362"/><Relationship Type="http://schemas.openxmlformats.org/officeDocument/2006/relationships/hyperlink" Target="#'2. Talent Mapping'!A368" TargetMode="External" Id="rId363"/><Relationship Type="http://schemas.openxmlformats.org/officeDocument/2006/relationships/hyperlink" Target="#'2. Talent Mapping'!A369" TargetMode="External" Id="rId364"/><Relationship Type="http://schemas.openxmlformats.org/officeDocument/2006/relationships/hyperlink" Target="#'2. Talent Mapping'!A370" TargetMode="External" Id="rId365"/><Relationship Type="http://schemas.openxmlformats.org/officeDocument/2006/relationships/hyperlink" Target="#'2. Talent Mapping'!A371" TargetMode="External" Id="rId366"/><Relationship Type="http://schemas.openxmlformats.org/officeDocument/2006/relationships/hyperlink" Target="#'2. Talent Mapping'!A372" TargetMode="External" Id="rId367"/><Relationship Type="http://schemas.openxmlformats.org/officeDocument/2006/relationships/hyperlink" Target="#'2. Talent Mapping'!A373" TargetMode="External" Id="rId368"/><Relationship Type="http://schemas.openxmlformats.org/officeDocument/2006/relationships/hyperlink" Target="#'2. Talent Mapping'!A374" TargetMode="External" Id="rId369"/><Relationship Type="http://schemas.openxmlformats.org/officeDocument/2006/relationships/hyperlink" Target="#'2. Talent Mapping'!A375" TargetMode="External" Id="rId370"/><Relationship Type="http://schemas.openxmlformats.org/officeDocument/2006/relationships/hyperlink" Target="#'2. Talent Mapping'!A376" TargetMode="External" Id="rId371"/><Relationship Type="http://schemas.openxmlformats.org/officeDocument/2006/relationships/hyperlink" Target="#'2. Talent Mapping'!A377" TargetMode="External" Id="rId372"/><Relationship Type="http://schemas.openxmlformats.org/officeDocument/2006/relationships/hyperlink" Target="#'2. Talent Mapping'!A378" TargetMode="External" Id="rId373"/><Relationship Type="http://schemas.openxmlformats.org/officeDocument/2006/relationships/hyperlink" Target="#'2. Talent Mapping'!A379" TargetMode="External" Id="rId374"/><Relationship Type="http://schemas.openxmlformats.org/officeDocument/2006/relationships/hyperlink" Target="#'2. Talent Mapping'!A380" TargetMode="External" Id="rId375"/><Relationship Type="http://schemas.openxmlformats.org/officeDocument/2006/relationships/hyperlink" Target="#'2. Talent Mapping'!A381" TargetMode="External" Id="rId376"/><Relationship Type="http://schemas.openxmlformats.org/officeDocument/2006/relationships/hyperlink" Target="#'2. Talent Mapping'!A382" TargetMode="External" Id="rId377"/><Relationship Type="http://schemas.openxmlformats.org/officeDocument/2006/relationships/hyperlink" Target="#'2. Talent Mapping'!A383" TargetMode="External" Id="rId378"/><Relationship Type="http://schemas.openxmlformats.org/officeDocument/2006/relationships/hyperlink" Target="#'2. Talent Mapping'!A384" TargetMode="External" Id="rId379"/><Relationship Type="http://schemas.openxmlformats.org/officeDocument/2006/relationships/hyperlink" Target="#'2. Talent Mapping'!A385" TargetMode="External" Id="rId380"/><Relationship Type="http://schemas.openxmlformats.org/officeDocument/2006/relationships/hyperlink" Target="#'2. Talent Mapping'!A386" TargetMode="External" Id="rId381"/><Relationship Type="http://schemas.openxmlformats.org/officeDocument/2006/relationships/hyperlink" Target="#'2. Talent Mapping'!A387" TargetMode="External" Id="rId382"/><Relationship Type="http://schemas.openxmlformats.org/officeDocument/2006/relationships/hyperlink" Target="#'2. Talent Mapping'!A388" TargetMode="External" Id="rId383"/><Relationship Type="http://schemas.openxmlformats.org/officeDocument/2006/relationships/hyperlink" Target="#'2. Talent Mapping'!A389" TargetMode="External" Id="rId384"/><Relationship Type="http://schemas.openxmlformats.org/officeDocument/2006/relationships/hyperlink" Target="#'2. Talent Mapping'!A390" TargetMode="External" Id="rId385"/><Relationship Type="http://schemas.openxmlformats.org/officeDocument/2006/relationships/hyperlink" Target="#'2. Talent Mapping'!A391" TargetMode="External" Id="rId386"/><Relationship Type="http://schemas.openxmlformats.org/officeDocument/2006/relationships/hyperlink" Target="#'2. Talent Mapping'!A392" TargetMode="External" Id="rId387"/><Relationship Type="http://schemas.openxmlformats.org/officeDocument/2006/relationships/hyperlink" Target="#'2. Talent Mapping'!A393" TargetMode="External" Id="rId388"/><Relationship Type="http://schemas.openxmlformats.org/officeDocument/2006/relationships/hyperlink" Target="#'2. Talent Mapping'!A394" TargetMode="External" Id="rId389"/><Relationship Type="http://schemas.openxmlformats.org/officeDocument/2006/relationships/hyperlink" Target="#'2. Talent Mapping'!A395" TargetMode="External" Id="rId390"/><Relationship Type="http://schemas.openxmlformats.org/officeDocument/2006/relationships/hyperlink" Target="#'2. Talent Mapping'!A396" TargetMode="External" Id="rId391"/><Relationship Type="http://schemas.openxmlformats.org/officeDocument/2006/relationships/hyperlink" Target="#'2. Talent Mapping'!A397" TargetMode="External" Id="rId392"/><Relationship Type="http://schemas.openxmlformats.org/officeDocument/2006/relationships/hyperlink" Target="#'2. Talent Mapping'!A398" TargetMode="External" Id="rId393"/><Relationship Type="http://schemas.openxmlformats.org/officeDocument/2006/relationships/hyperlink" Target="#'2. Talent Mapping'!A399" TargetMode="External" Id="rId394"/><Relationship Type="http://schemas.openxmlformats.org/officeDocument/2006/relationships/hyperlink" Target="#'2. Talent Mapping'!A400" TargetMode="External" Id="rId395"/><Relationship Type="http://schemas.openxmlformats.org/officeDocument/2006/relationships/hyperlink" Target="#'2. Talent Mapping'!A401" TargetMode="External" Id="rId396"/><Relationship Type="http://schemas.openxmlformats.org/officeDocument/2006/relationships/hyperlink" Target="#'2. Talent Mapping'!A402" TargetMode="External" Id="rId397"/><Relationship Type="http://schemas.openxmlformats.org/officeDocument/2006/relationships/hyperlink" Target="#'2. Talent Mapping'!A403" TargetMode="External" Id="rId398"/><Relationship Type="http://schemas.openxmlformats.org/officeDocument/2006/relationships/hyperlink" Target="#'2. Talent Mapping'!A404" TargetMode="External" Id="rId399"/><Relationship Type="http://schemas.openxmlformats.org/officeDocument/2006/relationships/hyperlink" Target="#'2. Talent Mapping'!A405" TargetMode="External" Id="rId400"/><Relationship Type="http://schemas.openxmlformats.org/officeDocument/2006/relationships/hyperlink" Target="#'2. Talent Mapping'!A406" TargetMode="External" Id="rId401"/><Relationship Type="http://schemas.openxmlformats.org/officeDocument/2006/relationships/hyperlink" Target="#'2. Talent Mapping'!A407" TargetMode="External" Id="rId402"/><Relationship Type="http://schemas.openxmlformats.org/officeDocument/2006/relationships/hyperlink" Target="#'2. Talent Mapping'!A408" TargetMode="External" Id="rId403"/><Relationship Type="http://schemas.openxmlformats.org/officeDocument/2006/relationships/hyperlink" Target="#'2. Talent Mapping'!A409" TargetMode="External" Id="rId404"/><Relationship Type="http://schemas.openxmlformats.org/officeDocument/2006/relationships/hyperlink" Target="#'2. Talent Mapping'!A410" TargetMode="External" Id="rId405"/><Relationship Type="http://schemas.openxmlformats.org/officeDocument/2006/relationships/hyperlink" Target="#'2. Talent Mapping'!A411" TargetMode="External" Id="rId406"/><Relationship Type="http://schemas.openxmlformats.org/officeDocument/2006/relationships/hyperlink" Target="#'2. Talent Mapping'!A412" TargetMode="External" Id="rId407"/><Relationship Type="http://schemas.openxmlformats.org/officeDocument/2006/relationships/hyperlink" Target="#'2. Talent Mapping'!A413" TargetMode="External" Id="rId408"/><Relationship Type="http://schemas.openxmlformats.org/officeDocument/2006/relationships/hyperlink" Target="#'2. Talent Mapping'!A414" TargetMode="External" Id="rId409"/><Relationship Type="http://schemas.openxmlformats.org/officeDocument/2006/relationships/hyperlink" Target="#'2. Talent Mapping'!A415" TargetMode="External" Id="rId410"/><Relationship Type="http://schemas.openxmlformats.org/officeDocument/2006/relationships/hyperlink" Target="#'2. Talent Mapping'!A416" TargetMode="External" Id="rId411"/><Relationship Type="http://schemas.openxmlformats.org/officeDocument/2006/relationships/hyperlink" Target="#'2. Talent Mapping'!A417" TargetMode="External" Id="rId412"/><Relationship Type="http://schemas.openxmlformats.org/officeDocument/2006/relationships/hyperlink" Target="#'2. Talent Mapping'!A418" TargetMode="External" Id="rId413"/><Relationship Type="http://schemas.openxmlformats.org/officeDocument/2006/relationships/hyperlink" Target="#'2. Talent Mapping'!A419" TargetMode="External" Id="rId414"/><Relationship Type="http://schemas.openxmlformats.org/officeDocument/2006/relationships/hyperlink" Target="#'2. Talent Mapping'!A420" TargetMode="External" Id="rId415"/><Relationship Type="http://schemas.openxmlformats.org/officeDocument/2006/relationships/hyperlink" Target="#'2. Talent Mapping'!A421" TargetMode="External" Id="rId416"/><Relationship Type="http://schemas.openxmlformats.org/officeDocument/2006/relationships/hyperlink" Target="#'2. Talent Mapping'!A422" TargetMode="External" Id="rId417"/><Relationship Type="http://schemas.openxmlformats.org/officeDocument/2006/relationships/hyperlink" Target="#'2. Talent Mapping'!A423" TargetMode="External" Id="rId418"/><Relationship Type="http://schemas.openxmlformats.org/officeDocument/2006/relationships/hyperlink" Target="#'2. Talent Mapping'!A424" TargetMode="External" Id="rId419"/><Relationship Type="http://schemas.openxmlformats.org/officeDocument/2006/relationships/hyperlink" Target="#'2. Talent Mapping'!A425" TargetMode="External" Id="rId420"/><Relationship Type="http://schemas.openxmlformats.org/officeDocument/2006/relationships/hyperlink" Target="#'2. Talent Mapping'!A426" TargetMode="External" Id="rId421"/><Relationship Type="http://schemas.openxmlformats.org/officeDocument/2006/relationships/hyperlink" Target="#'2. Talent Mapping'!A427" TargetMode="External" Id="rId422"/><Relationship Type="http://schemas.openxmlformats.org/officeDocument/2006/relationships/hyperlink" Target="#'2. Talent Mapping'!A428" TargetMode="External" Id="rId423"/><Relationship Type="http://schemas.openxmlformats.org/officeDocument/2006/relationships/hyperlink" Target="#'2. Talent Mapping'!A429" TargetMode="External" Id="rId424"/><Relationship Type="http://schemas.openxmlformats.org/officeDocument/2006/relationships/hyperlink" Target="#'2. Talent Mapping'!A430" TargetMode="External" Id="rId425"/><Relationship Type="http://schemas.openxmlformats.org/officeDocument/2006/relationships/hyperlink" Target="#'2. Talent Mapping'!A431" TargetMode="External" Id="rId426"/><Relationship Type="http://schemas.openxmlformats.org/officeDocument/2006/relationships/hyperlink" Target="#'2. Talent Mapping'!A432" TargetMode="External" Id="rId427"/><Relationship Type="http://schemas.openxmlformats.org/officeDocument/2006/relationships/hyperlink" Target="#'2. Talent Mapping'!A433" TargetMode="External" Id="rId428"/><Relationship Type="http://schemas.openxmlformats.org/officeDocument/2006/relationships/hyperlink" Target="#'2. Talent Mapping'!A434" TargetMode="External" Id="rId429"/><Relationship Type="http://schemas.openxmlformats.org/officeDocument/2006/relationships/hyperlink" Target="#'2. Talent Mapping'!A435" TargetMode="External" Id="rId430"/><Relationship Type="http://schemas.openxmlformats.org/officeDocument/2006/relationships/hyperlink" Target="#'2. Talent Mapping'!A436" TargetMode="External" Id="rId431"/><Relationship Type="http://schemas.openxmlformats.org/officeDocument/2006/relationships/hyperlink" Target="#'2. Talent Mapping'!A437" TargetMode="External" Id="rId432"/><Relationship Type="http://schemas.openxmlformats.org/officeDocument/2006/relationships/hyperlink" Target="#'2. Talent Mapping'!A438" TargetMode="External" Id="rId433"/><Relationship Type="http://schemas.openxmlformats.org/officeDocument/2006/relationships/hyperlink" Target="#'2. Talent Mapping'!A439" TargetMode="External" Id="rId434"/><Relationship Type="http://schemas.openxmlformats.org/officeDocument/2006/relationships/hyperlink" Target="#'2. Talent Mapping'!A440" TargetMode="External" Id="rId435"/><Relationship Type="http://schemas.openxmlformats.org/officeDocument/2006/relationships/hyperlink" Target="#'2. Talent Mapping'!A441" TargetMode="External" Id="rId436"/><Relationship Type="http://schemas.openxmlformats.org/officeDocument/2006/relationships/hyperlink" Target="#'2. Talent Mapping'!A442" TargetMode="External" Id="rId437"/><Relationship Type="http://schemas.openxmlformats.org/officeDocument/2006/relationships/hyperlink" Target="#'2. Talent Mapping'!A443" TargetMode="External" Id="rId438"/><Relationship Type="http://schemas.openxmlformats.org/officeDocument/2006/relationships/hyperlink" Target="#'2. Talent Mapping'!A444" TargetMode="External" Id="rId439"/><Relationship Type="http://schemas.openxmlformats.org/officeDocument/2006/relationships/hyperlink" Target="#'2. Talent Mapping'!A445" TargetMode="External" Id="rId440"/><Relationship Type="http://schemas.openxmlformats.org/officeDocument/2006/relationships/hyperlink" Target="#'2. Talent Mapping'!A446" TargetMode="External" Id="rId441"/><Relationship Type="http://schemas.openxmlformats.org/officeDocument/2006/relationships/hyperlink" Target="#'2. Talent Mapping'!A447" TargetMode="External" Id="rId442"/><Relationship Type="http://schemas.openxmlformats.org/officeDocument/2006/relationships/hyperlink" Target="#'2. Talent Mapping'!A448" TargetMode="External" Id="rId443"/><Relationship Type="http://schemas.openxmlformats.org/officeDocument/2006/relationships/hyperlink" Target="#'2. Talent Mapping'!A449" TargetMode="External" Id="rId444"/><Relationship Type="http://schemas.openxmlformats.org/officeDocument/2006/relationships/hyperlink" Target="#'2. Talent Mapping'!A450" TargetMode="External" Id="rId445"/><Relationship Type="http://schemas.openxmlformats.org/officeDocument/2006/relationships/hyperlink" Target="#'2. Talent Mapping'!A451" TargetMode="External" Id="rId446"/><Relationship Type="http://schemas.openxmlformats.org/officeDocument/2006/relationships/hyperlink" Target="#'2. Talent Mapping'!A452" TargetMode="External" Id="rId447"/><Relationship Type="http://schemas.openxmlformats.org/officeDocument/2006/relationships/hyperlink" Target="#'2. Talent Mapping'!A453" TargetMode="External" Id="rId448"/><Relationship Type="http://schemas.openxmlformats.org/officeDocument/2006/relationships/hyperlink" Target="#'2. Talent Mapping'!A454" TargetMode="External" Id="rId449"/><Relationship Type="http://schemas.openxmlformats.org/officeDocument/2006/relationships/hyperlink" Target="#'2. Talent Mapping'!A455" TargetMode="External" Id="rId450"/><Relationship Type="http://schemas.openxmlformats.org/officeDocument/2006/relationships/hyperlink" Target="#'2. Talent Mapping'!A456" TargetMode="External" Id="rId451"/><Relationship Type="http://schemas.openxmlformats.org/officeDocument/2006/relationships/hyperlink" Target="#'2. Talent Mapping'!A457" TargetMode="External" Id="rId452"/><Relationship Type="http://schemas.openxmlformats.org/officeDocument/2006/relationships/hyperlink" Target="#'2. Talent Mapping'!A458" TargetMode="External" Id="rId453"/><Relationship Type="http://schemas.openxmlformats.org/officeDocument/2006/relationships/hyperlink" Target="#'2. Talent Mapping'!A459" TargetMode="External" Id="rId454"/><Relationship Type="http://schemas.openxmlformats.org/officeDocument/2006/relationships/hyperlink" Target="#'2. Talent Mapping'!A460" TargetMode="External" Id="rId455"/><Relationship Type="http://schemas.openxmlformats.org/officeDocument/2006/relationships/hyperlink" Target="#'2. Talent Mapping'!A461" TargetMode="External" Id="rId456"/><Relationship Type="http://schemas.openxmlformats.org/officeDocument/2006/relationships/hyperlink" Target="#'2. Talent Mapping'!A462" TargetMode="External" Id="rId457"/><Relationship Type="http://schemas.openxmlformats.org/officeDocument/2006/relationships/hyperlink" Target="#'2. Talent Mapping'!A463" TargetMode="External" Id="rId458"/><Relationship Type="http://schemas.openxmlformats.org/officeDocument/2006/relationships/hyperlink" Target="#'2. Talent Mapping'!A464" TargetMode="External" Id="rId459"/><Relationship Type="http://schemas.openxmlformats.org/officeDocument/2006/relationships/hyperlink" Target="#'2. Talent Mapping'!A465" TargetMode="External" Id="rId460"/><Relationship Type="http://schemas.openxmlformats.org/officeDocument/2006/relationships/hyperlink" Target="#'2. Talent Mapping'!A466" TargetMode="External" Id="rId461"/><Relationship Type="http://schemas.openxmlformats.org/officeDocument/2006/relationships/hyperlink" Target="#'2. Talent Mapping'!A467" TargetMode="External" Id="rId462"/><Relationship Type="http://schemas.openxmlformats.org/officeDocument/2006/relationships/hyperlink" Target="#'2. Talent Mapping'!A468" TargetMode="External" Id="rId463"/><Relationship Type="http://schemas.openxmlformats.org/officeDocument/2006/relationships/hyperlink" Target="#'2. Talent Mapping'!A469" TargetMode="External" Id="rId464"/><Relationship Type="http://schemas.openxmlformats.org/officeDocument/2006/relationships/hyperlink" Target="#'2. Talent Mapping'!A470" TargetMode="External" Id="rId465"/><Relationship Type="http://schemas.openxmlformats.org/officeDocument/2006/relationships/hyperlink" Target="#'2. Talent Mapping'!A471" TargetMode="External" Id="rId466"/><Relationship Type="http://schemas.openxmlformats.org/officeDocument/2006/relationships/hyperlink" Target="#'2. Talent Mapping'!A472" TargetMode="External" Id="rId467"/><Relationship Type="http://schemas.openxmlformats.org/officeDocument/2006/relationships/hyperlink" Target="#'2. Talent Mapping'!A473" TargetMode="External" Id="rId468"/><Relationship Type="http://schemas.openxmlformats.org/officeDocument/2006/relationships/hyperlink" Target="#'2. Talent Mapping'!A474" TargetMode="External" Id="rId469"/><Relationship Type="http://schemas.openxmlformats.org/officeDocument/2006/relationships/hyperlink" Target="#'2. Talent Mapping'!A475" TargetMode="External" Id="rId470"/><Relationship Type="http://schemas.openxmlformats.org/officeDocument/2006/relationships/hyperlink" Target="#'2. Talent Mapping'!A476" TargetMode="External" Id="rId471"/><Relationship Type="http://schemas.openxmlformats.org/officeDocument/2006/relationships/hyperlink" Target="#'2. Talent Mapping'!A477" TargetMode="External" Id="rId472"/><Relationship Type="http://schemas.openxmlformats.org/officeDocument/2006/relationships/hyperlink" Target="#'2. Talent Mapping'!A478" TargetMode="External" Id="rId473"/><Relationship Type="http://schemas.openxmlformats.org/officeDocument/2006/relationships/hyperlink" Target="#'2. Talent Mapping'!A479" TargetMode="External" Id="rId474"/><Relationship Type="http://schemas.openxmlformats.org/officeDocument/2006/relationships/hyperlink" Target="#'2. Talent Mapping'!A480" TargetMode="External" Id="rId475"/><Relationship Type="http://schemas.openxmlformats.org/officeDocument/2006/relationships/hyperlink" Target="#'2. Talent Mapping'!A481" TargetMode="External" Id="rId476"/><Relationship Type="http://schemas.openxmlformats.org/officeDocument/2006/relationships/hyperlink" Target="#'2. Talent Mapping'!A482" TargetMode="External" Id="rId477"/><Relationship Type="http://schemas.openxmlformats.org/officeDocument/2006/relationships/hyperlink" Target="#'2. Talent Mapping'!A483" TargetMode="External" Id="rId478"/><Relationship Type="http://schemas.openxmlformats.org/officeDocument/2006/relationships/hyperlink" Target="#'2. Talent Mapping'!A484" TargetMode="External" Id="rId479"/><Relationship Type="http://schemas.openxmlformats.org/officeDocument/2006/relationships/hyperlink" Target="#'2. Talent Mapping'!A485" TargetMode="External" Id="rId480"/><Relationship Type="http://schemas.openxmlformats.org/officeDocument/2006/relationships/hyperlink" Target="#'2. Talent Mapping'!A486" TargetMode="External" Id="rId481"/><Relationship Type="http://schemas.openxmlformats.org/officeDocument/2006/relationships/hyperlink" Target="#'2. Talent Mapping'!A487" TargetMode="External" Id="rId482"/><Relationship Type="http://schemas.openxmlformats.org/officeDocument/2006/relationships/hyperlink" Target="#'2. Talent Mapping'!A488" TargetMode="External" Id="rId483"/><Relationship Type="http://schemas.openxmlformats.org/officeDocument/2006/relationships/hyperlink" Target="#'2. Talent Mapping'!A489" TargetMode="External" Id="rId484"/><Relationship Type="http://schemas.openxmlformats.org/officeDocument/2006/relationships/hyperlink" Target="#'2. Talent Mapping'!A490" TargetMode="External" Id="rId485"/><Relationship Type="http://schemas.openxmlformats.org/officeDocument/2006/relationships/hyperlink" Target="#'2. Talent Mapping'!A491" TargetMode="External" Id="rId486"/><Relationship Type="http://schemas.openxmlformats.org/officeDocument/2006/relationships/hyperlink" Target="#'2. Talent Mapping'!A492" TargetMode="External" Id="rId487"/><Relationship Type="http://schemas.openxmlformats.org/officeDocument/2006/relationships/hyperlink" Target="#'2. Talent Mapping'!A493" TargetMode="External" Id="rId488"/><Relationship Type="http://schemas.openxmlformats.org/officeDocument/2006/relationships/hyperlink" Target="#'2. Talent Mapping'!A494" TargetMode="External" Id="rId489"/><Relationship Type="http://schemas.openxmlformats.org/officeDocument/2006/relationships/hyperlink" Target="#'2. Talent Mapping'!A495" TargetMode="External" Id="rId490"/><Relationship Type="http://schemas.openxmlformats.org/officeDocument/2006/relationships/hyperlink" Target="#'2. Talent Mapping'!A496" TargetMode="External" Id="rId491"/><Relationship Type="http://schemas.openxmlformats.org/officeDocument/2006/relationships/hyperlink" Target="#'2. Talent Mapping'!A497" TargetMode="External" Id="rId492"/><Relationship Type="http://schemas.openxmlformats.org/officeDocument/2006/relationships/hyperlink" Target="#'2. Talent Mapping'!A498" TargetMode="External" Id="rId493"/><Relationship Type="http://schemas.openxmlformats.org/officeDocument/2006/relationships/hyperlink" Target="#'2. Talent Mapping'!A499" TargetMode="External" Id="rId494"/><Relationship Type="http://schemas.openxmlformats.org/officeDocument/2006/relationships/hyperlink" Target="#'2. Talent Mapping'!A500" TargetMode="External" Id="rId495"/><Relationship Type="http://schemas.openxmlformats.org/officeDocument/2006/relationships/hyperlink" Target="#'2. Talent Mapping'!A501" TargetMode="External" Id="rId496"/><Relationship Type="http://schemas.openxmlformats.org/officeDocument/2006/relationships/hyperlink" Target="#'2. Talent Mapping'!A502" TargetMode="External" Id="rId497"/><Relationship Type="http://schemas.openxmlformats.org/officeDocument/2006/relationships/hyperlink" Target="#'2. Talent Mapping'!A503" TargetMode="External" Id="rId498"/><Relationship Type="http://schemas.openxmlformats.org/officeDocument/2006/relationships/hyperlink" Target="#'2. Talent Mapping'!A504" TargetMode="External" Id="rId499"/><Relationship Type="http://schemas.openxmlformats.org/officeDocument/2006/relationships/hyperlink" Target="#'2. Talent Mapping'!A505" TargetMode="External" Id="rId500"/><Relationship Type="http://schemas.openxmlformats.org/officeDocument/2006/relationships/hyperlink" Target="#'2. Talent Mapping'!A506" TargetMode="External" Id="rId501"/><Relationship Type="http://schemas.openxmlformats.org/officeDocument/2006/relationships/hyperlink" Target="#'2. Talent Mapping'!A507" TargetMode="External" Id="rId502"/><Relationship Type="http://schemas.openxmlformats.org/officeDocument/2006/relationships/hyperlink" Target="#'2. Talent Mapping'!A508" TargetMode="External" Id="rId503"/><Relationship Type="http://schemas.openxmlformats.org/officeDocument/2006/relationships/hyperlink" Target="#'2. Talent Mapping'!A509" TargetMode="External" Id="rId504"/><Relationship Type="http://schemas.openxmlformats.org/officeDocument/2006/relationships/hyperlink" Target="#'2. Talent Mapping'!A510" TargetMode="External" Id="rId505"/><Relationship Type="http://schemas.openxmlformats.org/officeDocument/2006/relationships/hyperlink" Target="#'2. Talent Mapping'!A511" TargetMode="External" Id="rId506"/><Relationship Type="http://schemas.openxmlformats.org/officeDocument/2006/relationships/hyperlink" Target="#'2. Talent Mapping'!A512" TargetMode="External" Id="rId507"/><Relationship Type="http://schemas.openxmlformats.org/officeDocument/2006/relationships/hyperlink" Target="#'2. Talent Mapping'!A513" TargetMode="External" Id="rId508"/><Relationship Type="http://schemas.openxmlformats.org/officeDocument/2006/relationships/hyperlink" Target="#'2. Talent Mapping'!A514" TargetMode="External" Id="rId509"/><Relationship Type="http://schemas.openxmlformats.org/officeDocument/2006/relationships/hyperlink" Target="#'2. Talent Mapping'!A515" TargetMode="External" Id="rId510"/><Relationship Type="http://schemas.openxmlformats.org/officeDocument/2006/relationships/hyperlink" Target="#'2. Talent Mapping'!A516" TargetMode="External" Id="rId511"/><Relationship Type="http://schemas.openxmlformats.org/officeDocument/2006/relationships/hyperlink" Target="#'2. Talent Mapping'!A517" TargetMode="External" Id="rId512"/><Relationship Type="http://schemas.openxmlformats.org/officeDocument/2006/relationships/hyperlink" Target="#'2. Talent Mapping'!A518" TargetMode="External" Id="rId513"/><Relationship Type="http://schemas.openxmlformats.org/officeDocument/2006/relationships/hyperlink" Target="#'2. Talent Mapping'!A519" TargetMode="External" Id="rId514"/><Relationship Type="http://schemas.openxmlformats.org/officeDocument/2006/relationships/hyperlink" Target="#'2. Talent Mapping'!A520" TargetMode="External" Id="rId515"/><Relationship Type="http://schemas.openxmlformats.org/officeDocument/2006/relationships/hyperlink" Target="#'2. Talent Mapping'!A521" TargetMode="External" Id="rId516"/><Relationship Type="http://schemas.openxmlformats.org/officeDocument/2006/relationships/hyperlink" Target="#'2. Talent Mapping'!A522" TargetMode="External" Id="rId517"/><Relationship Type="http://schemas.openxmlformats.org/officeDocument/2006/relationships/hyperlink" Target="#'2. Talent Mapping'!A523" TargetMode="External" Id="rId518"/><Relationship Type="http://schemas.openxmlformats.org/officeDocument/2006/relationships/hyperlink" Target="#'2. Talent Mapping'!A524" TargetMode="External" Id="rId519"/><Relationship Type="http://schemas.openxmlformats.org/officeDocument/2006/relationships/hyperlink" Target="#'2. Talent Mapping'!A525" TargetMode="External" Id="rId520"/><Relationship Type="http://schemas.openxmlformats.org/officeDocument/2006/relationships/hyperlink" Target="#'2. Talent Mapping'!A526" TargetMode="External" Id="rId521"/><Relationship Type="http://schemas.openxmlformats.org/officeDocument/2006/relationships/hyperlink" Target="#'2. Talent Mapping'!A527" TargetMode="External" Id="rId522"/><Relationship Type="http://schemas.openxmlformats.org/officeDocument/2006/relationships/hyperlink" Target="#'2. Talent Mapping'!A528" TargetMode="External" Id="rId523"/><Relationship Type="http://schemas.openxmlformats.org/officeDocument/2006/relationships/hyperlink" Target="#'2. Talent Mapping'!A529" TargetMode="External" Id="rId524"/><Relationship Type="http://schemas.openxmlformats.org/officeDocument/2006/relationships/hyperlink" Target="#'2. Talent Mapping'!A530" TargetMode="External" Id="rId525"/><Relationship Type="http://schemas.openxmlformats.org/officeDocument/2006/relationships/hyperlink" Target="#'2. Talent Mapping'!A531" TargetMode="External" Id="rId526"/><Relationship Type="http://schemas.openxmlformats.org/officeDocument/2006/relationships/hyperlink" Target="#'2. Talent Mapping'!A532" TargetMode="External" Id="rId527"/><Relationship Type="http://schemas.openxmlformats.org/officeDocument/2006/relationships/hyperlink" Target="#'2. Talent Mapping'!A533" TargetMode="External" Id="rId528"/><Relationship Type="http://schemas.openxmlformats.org/officeDocument/2006/relationships/hyperlink" Target="#'2. Talent Mapping'!A534" TargetMode="External" Id="rId529"/><Relationship Type="http://schemas.openxmlformats.org/officeDocument/2006/relationships/hyperlink" Target="#'2. Talent Mapping'!A535" TargetMode="External" Id="rId530"/><Relationship Type="http://schemas.openxmlformats.org/officeDocument/2006/relationships/hyperlink" Target="#'2. Talent Mapping'!A536" TargetMode="External" Id="rId531"/><Relationship Type="http://schemas.openxmlformats.org/officeDocument/2006/relationships/hyperlink" Target="#'2. Talent Mapping'!A537" TargetMode="External" Id="rId532"/><Relationship Type="http://schemas.openxmlformats.org/officeDocument/2006/relationships/hyperlink" Target="#'2. Talent Mapping'!A538" TargetMode="External" Id="rId533"/><Relationship Type="http://schemas.openxmlformats.org/officeDocument/2006/relationships/hyperlink" Target="#'2. Talent Mapping'!A539" TargetMode="External" Id="rId534"/><Relationship Type="http://schemas.openxmlformats.org/officeDocument/2006/relationships/hyperlink" Target="#'2. Talent Mapping'!A540" TargetMode="External" Id="rId535"/><Relationship Type="http://schemas.openxmlformats.org/officeDocument/2006/relationships/hyperlink" Target="#'2. Talent Mapping'!A541" TargetMode="External" Id="rId536"/><Relationship Type="http://schemas.openxmlformats.org/officeDocument/2006/relationships/hyperlink" Target="#'2. Talent Mapping'!A542" TargetMode="External" Id="rId537"/><Relationship Type="http://schemas.openxmlformats.org/officeDocument/2006/relationships/hyperlink" Target="#'2. Talent Mapping'!A543" TargetMode="External" Id="rId538"/><Relationship Type="http://schemas.openxmlformats.org/officeDocument/2006/relationships/hyperlink" Target="#'2. Talent Mapping'!A544" TargetMode="External" Id="rId539"/><Relationship Type="http://schemas.openxmlformats.org/officeDocument/2006/relationships/hyperlink" Target="#'2. Talent Mapping'!A545" TargetMode="External" Id="rId540"/><Relationship Type="http://schemas.openxmlformats.org/officeDocument/2006/relationships/hyperlink" Target="#'2. Talent Mapping'!A546" TargetMode="External" Id="rId541"/><Relationship Type="http://schemas.openxmlformats.org/officeDocument/2006/relationships/hyperlink" Target="#'2. Talent Mapping'!A547" TargetMode="External" Id="rId542"/><Relationship Type="http://schemas.openxmlformats.org/officeDocument/2006/relationships/hyperlink" Target="#'2. Talent Mapping'!A548" TargetMode="External" Id="rId543"/><Relationship Type="http://schemas.openxmlformats.org/officeDocument/2006/relationships/hyperlink" Target="#'2. Talent Mapping'!A549" TargetMode="External" Id="rId544"/><Relationship Type="http://schemas.openxmlformats.org/officeDocument/2006/relationships/hyperlink" Target="#'2. Talent Mapping'!A550" TargetMode="External" Id="rId545"/><Relationship Type="http://schemas.openxmlformats.org/officeDocument/2006/relationships/hyperlink" Target="#'2. Talent Mapping'!A551" TargetMode="External" Id="rId546"/><Relationship Type="http://schemas.openxmlformats.org/officeDocument/2006/relationships/hyperlink" Target="#'2. Talent Mapping'!A552" TargetMode="External" Id="rId547"/><Relationship Type="http://schemas.openxmlformats.org/officeDocument/2006/relationships/hyperlink" Target="#'2. Talent Mapping'!A553" TargetMode="External" Id="rId548"/><Relationship Type="http://schemas.openxmlformats.org/officeDocument/2006/relationships/hyperlink" Target="#'2. Talent Mapping'!A554" TargetMode="External" Id="rId549"/><Relationship Type="http://schemas.openxmlformats.org/officeDocument/2006/relationships/hyperlink" Target="#'2. Talent Mapping'!A555" TargetMode="External" Id="rId550"/><Relationship Type="http://schemas.openxmlformats.org/officeDocument/2006/relationships/hyperlink" Target="#'2. Talent Mapping'!A556" TargetMode="External" Id="rId551"/><Relationship Type="http://schemas.openxmlformats.org/officeDocument/2006/relationships/hyperlink" Target="#'2. Talent Mapping'!A557" TargetMode="External" Id="rId552"/><Relationship Type="http://schemas.openxmlformats.org/officeDocument/2006/relationships/hyperlink" Target="#'2. Talent Mapping'!A558" TargetMode="External" Id="rId553"/><Relationship Type="http://schemas.openxmlformats.org/officeDocument/2006/relationships/hyperlink" Target="#'2. Talent Mapping'!A559" TargetMode="External" Id="rId554"/><Relationship Type="http://schemas.openxmlformats.org/officeDocument/2006/relationships/hyperlink" Target="#'2. Talent Mapping'!A560" TargetMode="External" Id="rId555"/><Relationship Type="http://schemas.openxmlformats.org/officeDocument/2006/relationships/hyperlink" Target="#'2. Talent Mapping'!A561" TargetMode="External" Id="rId556"/><Relationship Type="http://schemas.openxmlformats.org/officeDocument/2006/relationships/hyperlink" Target="#'2. Talent Mapping'!A562" TargetMode="External" Id="rId557"/><Relationship Type="http://schemas.openxmlformats.org/officeDocument/2006/relationships/hyperlink" Target="#'2. Talent Mapping'!A563" TargetMode="External" Id="rId558"/><Relationship Type="http://schemas.openxmlformats.org/officeDocument/2006/relationships/hyperlink" Target="#'2. Talent Mapping'!A564" TargetMode="External" Id="rId559"/><Relationship Type="http://schemas.openxmlformats.org/officeDocument/2006/relationships/hyperlink" Target="#'2. Talent Mapping'!A565" TargetMode="External" Id="rId560"/><Relationship Type="http://schemas.openxmlformats.org/officeDocument/2006/relationships/hyperlink" Target="#'2. Talent Mapping'!A566" TargetMode="External" Id="rId561"/><Relationship Type="http://schemas.openxmlformats.org/officeDocument/2006/relationships/hyperlink" Target="#'2. Talent Mapping'!A567" TargetMode="External" Id="rId562"/><Relationship Type="http://schemas.openxmlformats.org/officeDocument/2006/relationships/hyperlink" Target="#'2. Talent Mapping'!A568" TargetMode="External" Id="rId563"/><Relationship Type="http://schemas.openxmlformats.org/officeDocument/2006/relationships/hyperlink" Target="#'2. Talent Mapping'!A569" TargetMode="External" Id="rId564"/><Relationship Type="http://schemas.openxmlformats.org/officeDocument/2006/relationships/hyperlink" Target="#'2. Talent Mapping'!A570" TargetMode="External" Id="rId565"/><Relationship Type="http://schemas.openxmlformats.org/officeDocument/2006/relationships/hyperlink" Target="#'2. Talent Mapping'!A571" TargetMode="External" Id="rId566"/><Relationship Type="http://schemas.openxmlformats.org/officeDocument/2006/relationships/hyperlink" Target="#'2. Talent Mapping'!A572" TargetMode="External" Id="rId567"/><Relationship Type="http://schemas.openxmlformats.org/officeDocument/2006/relationships/hyperlink" Target="#'2. Talent Mapping'!A573" TargetMode="External" Id="rId568"/><Relationship Type="http://schemas.openxmlformats.org/officeDocument/2006/relationships/hyperlink" Target="#'2. Talent Mapping'!A574" TargetMode="External" Id="rId569"/><Relationship Type="http://schemas.openxmlformats.org/officeDocument/2006/relationships/hyperlink" Target="#'2. Talent Mapping'!A575" TargetMode="External" Id="rId570"/><Relationship Type="http://schemas.openxmlformats.org/officeDocument/2006/relationships/hyperlink" Target="#'2. Talent Mapping'!A576" TargetMode="External" Id="rId571"/><Relationship Type="http://schemas.openxmlformats.org/officeDocument/2006/relationships/hyperlink" Target="#'2. Talent Mapping'!A577" TargetMode="External" Id="rId572"/><Relationship Type="http://schemas.openxmlformats.org/officeDocument/2006/relationships/hyperlink" Target="#'2. Talent Mapping'!A578" TargetMode="External" Id="rId573"/><Relationship Type="http://schemas.openxmlformats.org/officeDocument/2006/relationships/hyperlink" Target="#'2. Talent Mapping'!A579" TargetMode="External" Id="rId574"/><Relationship Type="http://schemas.openxmlformats.org/officeDocument/2006/relationships/hyperlink" Target="#'2. Talent Mapping'!A580" TargetMode="External" Id="rId575"/><Relationship Type="http://schemas.openxmlformats.org/officeDocument/2006/relationships/hyperlink" Target="#'2. Talent Mapping'!A581" TargetMode="External" Id="rId576"/><Relationship Type="http://schemas.openxmlformats.org/officeDocument/2006/relationships/hyperlink" Target="#'2. Talent Mapping'!A582" TargetMode="External" Id="rId577"/><Relationship Type="http://schemas.openxmlformats.org/officeDocument/2006/relationships/hyperlink" Target="#'2. Talent Mapping'!A583" TargetMode="External" Id="rId578"/><Relationship Type="http://schemas.openxmlformats.org/officeDocument/2006/relationships/hyperlink" Target="#'2. Talent Mapping'!A584" TargetMode="External" Id="rId579"/><Relationship Type="http://schemas.openxmlformats.org/officeDocument/2006/relationships/hyperlink" Target="#'2. Talent Mapping'!A585" TargetMode="External" Id="rId580"/><Relationship Type="http://schemas.openxmlformats.org/officeDocument/2006/relationships/hyperlink" Target="#'2. Talent Mapping'!A586" TargetMode="External" Id="rId581"/><Relationship Type="http://schemas.openxmlformats.org/officeDocument/2006/relationships/hyperlink" Target="#'2. Talent Mapping'!A587" TargetMode="External" Id="rId582"/><Relationship Type="http://schemas.openxmlformats.org/officeDocument/2006/relationships/hyperlink" Target="#'2. Talent Mapping'!A588" TargetMode="External" Id="rId583"/><Relationship Type="http://schemas.openxmlformats.org/officeDocument/2006/relationships/hyperlink" Target="#'2. Talent Mapping'!A589" TargetMode="External" Id="rId584"/><Relationship Type="http://schemas.openxmlformats.org/officeDocument/2006/relationships/hyperlink" Target="#'2. Talent Mapping'!A590" TargetMode="External" Id="rId585"/><Relationship Type="http://schemas.openxmlformats.org/officeDocument/2006/relationships/hyperlink" Target="#'2. Talent Mapping'!A591" TargetMode="External" Id="rId586"/><Relationship Type="http://schemas.openxmlformats.org/officeDocument/2006/relationships/hyperlink" Target="#'2. Talent Mapping'!A592" TargetMode="External" Id="rId587"/></Relationships>
</file>

<file path=xl/worksheets/_rels/sheet4.xml.rels><Relationships xmlns="http://schemas.openxmlformats.org/package/2006/relationships"><Relationship Type="http://schemas.openxmlformats.org/officeDocument/2006/relationships/hyperlink" Target="#'1. Framework &amp; Model'!A1" TargetMode="External" Id="rId1"/></Relationships>
</file>

<file path=xl/worksheets/_rels/sheet5.xml.rels><Relationships xmlns="http://schemas.openxmlformats.org/package/2006/relationships"><Relationship Type="http://schemas.openxmlformats.org/officeDocument/2006/relationships/hyperlink" Target="#'1. Framework &amp; Model'!A1" TargetMode="External" Id="rId1"/></Relationships>
</file>

<file path=xl/worksheets/_rels/sheet6.xml.rels><Relationships xmlns="http://schemas.openxmlformats.org/package/2006/relationships"><Relationship Type="http://schemas.openxmlformats.org/officeDocument/2006/relationships/hyperlink" Target="#'1. Framework &amp; Model'!A1" TargetMode="External" Id="rId1"/></Relationships>
</file>

<file path=xl/worksheets/_rels/sheet7.xml.rels><Relationships xmlns="http://schemas.openxmlformats.org/package/2006/relationships"><Relationship Type="http://schemas.openxmlformats.org/officeDocument/2006/relationships/hyperlink" Target="#'1. Framework &amp; Model'!A1" TargetMode="External" Id="rId1"/></Relationships>
</file>

<file path=xl/worksheets/_rels/sheet8.xml.rels><Relationships xmlns="http://schemas.openxmlformats.org/package/2006/relationships"><Relationship Type="http://schemas.openxmlformats.org/officeDocument/2006/relationships/hyperlink" Target="#'1. Framework &amp; Model'!A1" TargetMode="External" Id="rId1"/></Relationships>
</file>

<file path=xl/worksheets/_rels/sheet9.xml.rels><Relationships xmlns="http://schemas.openxmlformats.org/package/2006/relationships"><Relationship Type="http://schemas.openxmlformats.org/officeDocument/2006/relationships/hyperlink" Target="#'1. Framework &amp; Model'!A1" TargetMode="External" Id="rId1"/></Relationships>
</file>

<file path=xl/worksheets/_rels/sheet10.xml.rels><Relationships xmlns="http://schemas.openxmlformats.org/package/2006/relationships"><Relationship Type="http://schemas.openxmlformats.org/officeDocument/2006/relationships/hyperlink" Target="#'1. Framework &amp; Model'!A1" TargetMode="External" Id="rId1"/></Relationships>
</file>

<file path=xl/worksheets/_rels/sheet11.xml.rels><Relationships xmlns="http://schemas.openxmlformats.org/package/2006/relationships"><Relationship Type="http://schemas.openxmlformats.org/officeDocument/2006/relationships/hyperlink" Target="#'1. Framework &amp; Model'!A1" TargetMode="External" Id="rId1"/></Relationships>
</file>

<file path=xl/worksheets/_rels/sheet12.xml.rels><Relationships xmlns="http://schemas.openxmlformats.org/package/2006/relationships"><Relationship Type="http://schemas.openxmlformats.org/officeDocument/2006/relationships/hyperlink" Target="#'1. Framework &amp; Model'!A1" TargetMode="External" Id="rId1"/></Relationships>
</file>

<file path=xl/worksheets/_rels/sheet13.xml.rels><Relationships xmlns="http://schemas.openxmlformats.org/package/2006/relationships"><Relationship Type="http://schemas.openxmlformats.org/officeDocument/2006/relationships/hyperlink" Target="#'1. Framework &amp; Model'!A1" TargetMode="External" Id="rId1"/></Relationships>
</file>

<file path=xl/worksheets/_rels/sheet14.xml.rels><Relationships xmlns="http://schemas.openxmlformats.org/package/2006/relationships"><Relationship Type="http://schemas.openxmlformats.org/officeDocument/2006/relationships/hyperlink" Target="#'1. Framework &amp; Model'!A1" TargetMode="External" Id="rId1"/></Relationships>
</file>

<file path=xl/worksheets/_rels/sheet15.xml.rels><Relationships xmlns="http://schemas.openxmlformats.org/package/2006/relationships"><Relationship Type="http://schemas.openxmlformats.org/officeDocument/2006/relationships/hyperlink" Target="#'1. Framework &amp; Model'!A1" TargetMode="External" Id="rId1"/></Relationships>
</file>

<file path=xl/worksheets/_rels/sheet16.xml.rels><Relationships xmlns="http://schemas.openxmlformats.org/package/2006/relationships"><Relationship Type="http://schemas.openxmlformats.org/officeDocument/2006/relationships/hyperlink" Target="#'1. Framework &amp; Model'!A1" TargetMode="External" Id="rId1"/></Relationships>
</file>

<file path=xl/worksheets/_rels/sheet17.xml.rels><Relationships xmlns="http://schemas.openxmlformats.org/package/2006/relationships"><Relationship Type="http://schemas.openxmlformats.org/officeDocument/2006/relationships/hyperlink" Target="#'1. Framework &amp; Model'!A1" TargetMode="External" Id="rId1"/></Relationships>
</file>

<file path=xl/worksheets/_rels/sheet18.xml.rels><Relationships xmlns="http://schemas.openxmlformats.org/package/2006/relationships"><Relationship Type="http://schemas.openxmlformats.org/officeDocument/2006/relationships/hyperlink" Target="#'1. Framework &amp; Model'!A1" TargetMode="External" Id="rId1"/></Relationships>
</file>

<file path=xl/worksheets/_rels/sheet19.xml.rels><Relationships xmlns="http://schemas.openxmlformats.org/package/2006/relationships"><Relationship Type="http://schemas.openxmlformats.org/officeDocument/2006/relationships/hyperlink" Target="#'1. Framework &amp; Model'!A1" TargetMode="External" Id="rId1"/></Relationships>
</file>

<file path=xl/worksheets/_rels/sheet20.xml.rels><Relationships xmlns="http://schemas.openxmlformats.org/package/2006/relationships"><Relationship Type="http://schemas.openxmlformats.org/officeDocument/2006/relationships/hyperlink" Target="#'1. Framework &amp; Model'!A1" TargetMode="External" Id="rId1"/></Relationships>
</file>

<file path=xl/worksheets/_rels/sheet21.xml.rels><Relationships xmlns="http://schemas.openxmlformats.org/package/2006/relationships"><Relationship Type="http://schemas.openxmlformats.org/officeDocument/2006/relationships/hyperlink" Target="#'1. Framework &amp; Model'!A1" TargetMode="External" Id="rId1"/></Relationships>
</file>

<file path=xl/worksheets/_rels/sheet22.xml.rels><Relationships xmlns="http://schemas.openxmlformats.org/package/2006/relationships"><Relationship Type="http://schemas.openxmlformats.org/officeDocument/2006/relationships/hyperlink" Target="#'1. Framework &amp; Model'!A1" TargetMode="External" Id="rId1"/></Relationships>
</file>

<file path=xl/worksheets/_rels/sheet23.xml.rels><Relationships xmlns="http://schemas.openxmlformats.org/package/2006/relationships"><Relationship Type="http://schemas.openxmlformats.org/officeDocument/2006/relationships/hyperlink" Target="#'1. Framework &amp; Model'!A1" TargetMode="External" Id="rId1"/></Relationships>
</file>

<file path=xl/worksheets/_rels/sheet24.xml.rels><Relationships xmlns="http://schemas.openxmlformats.org/package/2006/relationships"><Relationship Type="http://schemas.openxmlformats.org/officeDocument/2006/relationships/hyperlink" Target="#'1. Framework &amp; Model'!A1" TargetMode="External" Id="rId1"/></Relationships>
</file>

<file path=xl/worksheets/_rels/sheet25.xml.rels><Relationships xmlns="http://schemas.openxmlformats.org/package/2006/relationships"><Relationship Type="http://schemas.openxmlformats.org/officeDocument/2006/relationships/hyperlink" Target="#'1. Framework &amp; Model'!A1" TargetMode="External" Id="rId1"/></Relationships>
</file>

<file path=xl/worksheets/_rels/sheet26.xml.rels><Relationships xmlns="http://schemas.openxmlformats.org/package/2006/relationships"><Relationship Type="http://schemas.openxmlformats.org/officeDocument/2006/relationships/hyperlink" Target="#'1. Framework &amp; Model'!A1" TargetMode="External" Id="rId1"/></Relationships>
</file>

<file path=xl/worksheets/_rels/sheet27.xml.rels><Relationships xmlns="http://schemas.openxmlformats.org/package/2006/relationships"><Relationship Type="http://schemas.openxmlformats.org/officeDocument/2006/relationships/hyperlink" Target="#'1. Framework &amp; Model'!A1" TargetMode="External" Id="rId1"/></Relationships>
</file>

<file path=xl/worksheets/sheet1.xml><?xml version="1.0" encoding="utf-8"?>
<worksheet xmlns="http://schemas.openxmlformats.org/spreadsheetml/2006/main">
  <sheetPr>
    <outlinePr summaryBelow="1" summaryRight="1"/>
    <pageSetUpPr/>
  </sheetPr>
  <dimension ref="A1:H44"/>
  <sheetViews>
    <sheetView workbookViewId="0">
      <selection activeCell="A1" sqref="A1"/>
    </sheetView>
  </sheetViews>
  <sheetFormatPr baseColWidth="8" defaultRowHeight="15"/>
  <cols>
    <col width="30"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ht="24" customHeight="1">
      <c r="A1" s="1" t="inlineStr">
        <is>
          <t>Business-Head Workbook — how to use it</t>
        </is>
      </c>
    </row>
    <row r="2" ht="30" customHeight="1">
      <c r="A2" s="2" t="inlineStr">
        <is>
          <t>Read this first · five minutes.</t>
        </is>
      </c>
    </row>
    <row r="3">
      <c r="A3" s="3" t="inlineStr">
        <is>
          <t>IRIS · Job Architecture &amp; Job Design · Final v1.15 · October 2026 · Internal — Confidential · HR only</t>
        </is>
      </c>
    </row>
    <row r="5" ht="31" customHeight="1">
      <c r="A5" s="4" t="inlineStr">
        <is>
          <t>What this is</t>
        </is>
      </c>
      <c r="B5" s="5" t="inlineStr">
        <is>
          <t>Every person at IRIS, top down from the CEO, with the band HR proposes and the evidence behind it. You review it, weigh what matters for each role, assess each person, and the final proposed band updates itself.</t>
        </is>
      </c>
    </row>
    <row r="6" ht="31" customHeight="1">
      <c r="A6" s="4" t="inlineStr">
        <is>
          <t>1 · Read the row</t>
        </is>
      </c>
      <c r="B6" s="5" t="inlineStr">
        <is>
          <t>Core details, then what the employee and their manager told us. 'All their data ▸' opens everything we hold on the person in 3. Raw Data; '◂ Back' returns.</t>
        </is>
      </c>
    </row>
    <row r="7" ht="59" customHeight="1">
      <c r="A7" s="4" t="inlineStr">
        <is>
          <t>2 · Weightage · L / M / H</t>
        </is>
      </c>
      <c r="B7" s="5" t="inlineStr">
        <is>
          <t>How much each of the seven parameters counts for the role: Complexity &amp; Expertise, Autonomy &amp; Decision, Accountability &amp; Impact, Leadership &amp; Strategy, Business Impact, Experience, Education. It comes from 5. Department Ladder, which starts from the family's RB sheet. Change it there for a whole role, or type L, M or H on a person's row for that person only.</t>
        </is>
      </c>
    </row>
    <row r="8" ht="45" customHeight="1">
      <c r="A8" s="4" t="inlineStr">
        <is>
          <t>3 · Your assessment · L / M / H</t>
        </is>
      </c>
      <c r="B8" s="5" t="inlineStr">
        <is>
          <t>Against what the RB sheet describes for the HR proposed band: Medium = meets it, Low = works at the level below on that parameter, High = already works at the level above. Everything starts at Medium, so the final band equals HR's until you change something. 'What the data shows' gives our reading of the evidence to start from.</t>
        </is>
      </c>
    </row>
    <row r="9" ht="31" customHeight="1">
      <c r="A9" s="4" t="inlineStr">
        <is>
          <t>4 · The band moves live</t>
        </is>
      </c>
      <c r="B9" s="5" t="inlineStr">
        <is>
          <t>Weighted net = Σ weightage × assessment ÷ Σ weightage, from −1 to +1. At +0.5 or more the person moves one level up; at −0.5 or less one level down. Use the override for any other band, and say why in your comment.</t>
        </is>
      </c>
    </row>
    <row r="10" ht="45" customHeight="1">
      <c r="A10" s="4" t="inlineStr">
        <is>
          <t>5 · The manager check</t>
        </is>
      </c>
      <c r="B10" s="5" t="inlineStr">
        <is>
          <t>Shown live on every row: under a head at C1 or above a reportee sits in a lower band; below C1 a reportee sits at least one level below the manager; CEO with CXOs is the agreed exception. A ⚠ means your change breaks it — adjust the person or their manager.</t>
        </is>
      </c>
    </row>
    <row r="11" ht="31" customHeight="1">
      <c r="A11" s="4" t="inlineStr">
        <is>
          <t>Market benchmark</t>
        </is>
      </c>
      <c r="B11" s="5" t="inlineStr">
        <is>
          <t>Each row shows the market weight of each parameter for the role group, the market experience range, the education and span norms and the market codes — sheet 4 has every source.</t>
        </is>
      </c>
    </row>
    <row r="12" ht="59" customHeight="1">
      <c r="A12" s="4" t="inlineStr">
        <is>
          <t>HR proposed band</t>
        </is>
      </c>
      <c r="B12" s="5" t="inlineStr">
        <is>
          <t>From the model · six ratings × market-derived weights and rules R1–R13 · then the top-down manager rule HR agreed on 12 October 2026: 68 people move down, pay and title protected for one cycle, 8 move up. Band E sits in its own job family, Enterprise Leadership · E2 Chief Executive · E1 Chief Officers · CXO; department and function heads at C1–D2 sit in Executive Leadership · Business Head.</t>
        </is>
      </c>
    </row>
    <row r="13" ht="31" customHeight="1">
      <c r="A13" s="4" t="inlineStr">
        <is>
          <t>Input from benchmarking</t>
        </is>
      </c>
      <c r="B13" s="5" t="inlineStr">
        <is>
          <t>The same six ratings on the plain market-average weights, without IRIS's adjustments, rounded to a level, with the person's experience against the market range for it.</t>
        </is>
      </c>
    </row>
    <row r="14" ht="17" customHeight="1">
      <c r="A14" s="4" t="inlineStr">
        <is>
          <t>Colours</t>
        </is>
      </c>
      <c r="B14" s="5" t="inlineStr">
        <is>
          <t>Yellow = yours to edit · red = something missing · band colours on levels.</t>
        </is>
      </c>
    </row>
    <row r="15" ht="17" customHeight="1">
      <c r="A15" s="4" t="inlineStr">
        <is>
          <t>Privacy</t>
        </is>
      </c>
      <c r="B15" s="5" t="inlineStr">
        <is>
          <t>HR and business heads only. Survey content is shown against names by HR's decision. Pay is not in this file.</t>
        </is>
      </c>
    </row>
    <row r="17">
      <c r="A17" s="6" t="inlineStr">
        <is>
          <t>Sheets</t>
        </is>
      </c>
    </row>
    <row r="18">
      <c r="A18" s="7" t="inlineStr">
        <is>
          <t>1. How to use</t>
        </is>
      </c>
    </row>
    <row r="19">
      <c r="A19" s="7" t="inlineStr">
        <is>
          <t>2. Talent Mapping</t>
        </is>
      </c>
    </row>
    <row r="20">
      <c r="A20" s="7" t="inlineStr">
        <is>
          <t>3. Raw Data</t>
        </is>
      </c>
    </row>
    <row r="21">
      <c r="A21" s="7" t="inlineStr">
        <is>
          <t>4. Market Benchmark</t>
        </is>
      </c>
    </row>
    <row r="22">
      <c r="A22" s="7" t="inlineStr">
        <is>
          <t>5. Department Ladder</t>
        </is>
      </c>
    </row>
    <row r="23">
      <c r="A23" s="7" t="inlineStr">
        <is>
          <t>RB · Administration, Legal &amp; Se</t>
        </is>
      </c>
    </row>
    <row r="24">
      <c r="A24" s="7" t="inlineStr">
        <is>
          <t>RB · Business Analysis</t>
        </is>
      </c>
    </row>
    <row r="25">
      <c r="A25" s="7" t="inlineStr">
        <is>
          <t>RB · Consulting &amp; Professional</t>
        </is>
      </c>
    </row>
    <row r="26">
      <c r="A26" s="7" t="inlineStr">
        <is>
          <t>RB · Customer Success &amp; Support</t>
        </is>
      </c>
    </row>
    <row r="27">
      <c r="A27" s="7" t="inlineStr">
        <is>
          <t>RB · Data &amp; Analytics</t>
        </is>
      </c>
    </row>
    <row r="28">
      <c r="A28" s="7" t="inlineStr">
        <is>
          <t>RB · Data Operations &amp; Digitiza</t>
        </is>
      </c>
    </row>
    <row r="29">
      <c r="A29" s="7" t="inlineStr">
        <is>
          <t>RB · Design &amp; Creative</t>
        </is>
      </c>
    </row>
    <row r="30">
      <c r="A30" s="7" t="inlineStr">
        <is>
          <t>RB · Engineering &amp; Architecture</t>
        </is>
      </c>
    </row>
    <row r="31">
      <c r="A31" s="7" t="inlineStr">
        <is>
          <t>RB · Engineering &amp; Development</t>
        </is>
      </c>
    </row>
    <row r="32">
      <c r="A32" s="7" t="inlineStr">
        <is>
          <t>RB · Enterprise Leadership</t>
        </is>
      </c>
    </row>
    <row r="33">
      <c r="A33" s="7" t="inlineStr">
        <is>
          <t>RB · Executive Leadership</t>
        </is>
      </c>
    </row>
    <row r="34">
      <c r="A34" s="7" t="inlineStr">
        <is>
          <t>RB · Finance &amp; Accounts</t>
        </is>
      </c>
    </row>
    <row r="35">
      <c r="A35" s="7" t="inlineStr">
        <is>
          <t>RB · Human Resources</t>
        </is>
      </c>
    </row>
    <row r="36">
      <c r="A36" s="7" t="inlineStr">
        <is>
          <t>RB · IT &amp; Infrastructure</t>
        </is>
      </c>
    </row>
    <row r="37">
      <c r="A37" s="7" t="inlineStr">
        <is>
          <t>RB · Marketing &amp; Communications</t>
        </is>
      </c>
    </row>
    <row r="38">
      <c r="A38" s="7" t="inlineStr">
        <is>
          <t>RB · Product Management</t>
        </is>
      </c>
    </row>
    <row r="39">
      <c r="A39" s="7" t="inlineStr">
        <is>
          <t>RB · Project &amp; Program Manageme</t>
        </is>
      </c>
    </row>
    <row r="40">
      <c r="A40" s="7" t="inlineStr">
        <is>
          <t>RB · Quality Assurance</t>
        </is>
      </c>
    </row>
    <row r="41">
      <c r="A41" s="7" t="inlineStr">
        <is>
          <t>RB · Sales &amp; Business Developme</t>
        </is>
      </c>
    </row>
    <row r="42">
      <c r="A42" s="7" t="inlineStr">
        <is>
          <t>RB · Solution Consulting &amp; Impl</t>
        </is>
      </c>
    </row>
    <row r="43">
      <c r="A43" s="7" t="inlineStr">
        <is>
          <t>RB · Unassigned</t>
        </is>
      </c>
    </row>
    <row r="44">
      <c r="A44" s="7" t="inlineStr">
        <is>
          <t>Backend Data</t>
        </is>
      </c>
    </row>
  </sheetData>
  <mergeCells count="12">
    <mergeCell ref="B8:H8"/>
    <mergeCell ref="B14:H14"/>
    <mergeCell ref="B9:H9"/>
    <mergeCell ref="B13:H13"/>
    <mergeCell ref="A2:H2"/>
    <mergeCell ref="B12:H12"/>
    <mergeCell ref="B6:H6"/>
    <mergeCell ref="B15:H15"/>
    <mergeCell ref="B7:H7"/>
    <mergeCell ref="B10:H10"/>
    <mergeCell ref="B11:H11"/>
    <mergeCell ref="B5:H5"/>
  </mergeCells>
  <hyperlinks>
    <hyperlink xmlns:r="http://schemas.openxmlformats.org/officeDocument/2006/relationships" ref="A18" r:id="rId1"/>
    <hyperlink xmlns:r="http://schemas.openxmlformats.org/officeDocument/2006/relationships" ref="A19" r:id="rId2"/>
    <hyperlink xmlns:r="http://schemas.openxmlformats.org/officeDocument/2006/relationships" ref="A20" r:id="rId3"/>
    <hyperlink xmlns:r="http://schemas.openxmlformats.org/officeDocument/2006/relationships" ref="A21" r:id="rId4"/>
    <hyperlink xmlns:r="http://schemas.openxmlformats.org/officeDocument/2006/relationships" ref="A22" r:id="rId5"/>
    <hyperlink xmlns:r="http://schemas.openxmlformats.org/officeDocument/2006/relationships" ref="A23" r:id="rId6"/>
    <hyperlink xmlns:r="http://schemas.openxmlformats.org/officeDocument/2006/relationships" ref="A24" r:id="rId7"/>
    <hyperlink xmlns:r="http://schemas.openxmlformats.org/officeDocument/2006/relationships" ref="A25" r:id="rId8"/>
    <hyperlink xmlns:r="http://schemas.openxmlformats.org/officeDocument/2006/relationships" ref="A26" r:id="rId9"/>
    <hyperlink xmlns:r="http://schemas.openxmlformats.org/officeDocument/2006/relationships" ref="A27" r:id="rId10"/>
    <hyperlink xmlns:r="http://schemas.openxmlformats.org/officeDocument/2006/relationships" ref="A28" r:id="rId11"/>
    <hyperlink xmlns:r="http://schemas.openxmlformats.org/officeDocument/2006/relationships" ref="A29" r:id="rId12"/>
    <hyperlink xmlns:r="http://schemas.openxmlformats.org/officeDocument/2006/relationships" ref="A30" r:id="rId13"/>
    <hyperlink xmlns:r="http://schemas.openxmlformats.org/officeDocument/2006/relationships" ref="A31" r:id="rId14"/>
    <hyperlink xmlns:r="http://schemas.openxmlformats.org/officeDocument/2006/relationships" ref="A32" r:id="rId15"/>
    <hyperlink xmlns:r="http://schemas.openxmlformats.org/officeDocument/2006/relationships" ref="A33" r:id="rId16"/>
    <hyperlink xmlns:r="http://schemas.openxmlformats.org/officeDocument/2006/relationships" ref="A34" r:id="rId17"/>
    <hyperlink xmlns:r="http://schemas.openxmlformats.org/officeDocument/2006/relationships" ref="A35" r:id="rId18"/>
    <hyperlink xmlns:r="http://schemas.openxmlformats.org/officeDocument/2006/relationships" ref="A36" r:id="rId19"/>
    <hyperlink xmlns:r="http://schemas.openxmlformats.org/officeDocument/2006/relationships" ref="A37" r:id="rId20"/>
    <hyperlink xmlns:r="http://schemas.openxmlformats.org/officeDocument/2006/relationships" ref="A38" r:id="rId21"/>
    <hyperlink xmlns:r="http://schemas.openxmlformats.org/officeDocument/2006/relationships" ref="A39" r:id="rId22"/>
    <hyperlink xmlns:r="http://schemas.openxmlformats.org/officeDocument/2006/relationships" ref="A40" r:id="rId23"/>
    <hyperlink xmlns:r="http://schemas.openxmlformats.org/officeDocument/2006/relationships" ref="A41" r:id="rId24"/>
    <hyperlink xmlns:r="http://schemas.openxmlformats.org/officeDocument/2006/relationships" ref="A42" r:id="rId25"/>
    <hyperlink xmlns:r="http://schemas.openxmlformats.org/officeDocument/2006/relationships" ref="A43" r:id="rId26"/>
    <hyperlink xmlns:r="http://schemas.openxmlformats.org/officeDocument/2006/relationships" ref="A44" r:id="rId2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592"/>
  <sheetViews>
    <sheetView zoomScale="85" workbookViewId="0">
      <pane xSplit="5" ySplit="6" topLeftCell="F7"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7" customWidth="1" min="3" max="3"/>
    <col width="12" customWidth="1" min="4" max="4"/>
    <col width="22" customWidth="1" min="5" max="5"/>
    <col width="24" customWidth="1" min="6" max="6"/>
    <col width="26" customWidth="1" min="7" max="7"/>
    <col width="20" customWidth="1" min="8" max="8"/>
    <col width="22" customWidth="1" min="9" max="9"/>
    <col width="12" customWidth="1" min="10" max="10"/>
    <col width="10" customWidth="1" min="11" max="11"/>
    <col width="20" customWidth="1" min="12" max="12"/>
    <col width="12" customWidth="1" min="13" max="13"/>
    <col width="8" customWidth="1" min="14" max="14"/>
    <col width="8" customWidth="1" min="15" max="15"/>
    <col width="16" customWidth="1" min="16" max="16"/>
    <col width="9" customWidth="1" min="17" max="17"/>
    <col width="9" customWidth="1" min="18" max="18"/>
    <col width="9" customWidth="1" min="19" max="19"/>
    <col width="48" customWidth="1" min="20" max="20"/>
    <col width="48" customWidth="1" min="21" max="21"/>
    <col width="26" customWidth="1" min="22" max="22"/>
    <col width="34" customWidth="1" min="23" max="23"/>
    <col width="12"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 width="10" customWidth="1" min="36" max="36"/>
    <col width="10" customWidth="1" min="37" max="37"/>
    <col width="10" customWidth="1" min="38" max="38"/>
    <col width="9" customWidth="1" min="39" max="39"/>
    <col width="9" customWidth="1" min="40" max="40"/>
    <col width="9" customWidth="1" min="41" max="41"/>
    <col width="9" customWidth="1" min="42" max="42"/>
    <col width="9" customWidth="1" min="43" max="43"/>
    <col width="9" customWidth="1" min="44" max="44"/>
    <col width="9" customWidth="1" min="45" max="45"/>
    <col width="12" customWidth="1" min="46" max="46"/>
    <col width="24" customWidth="1" min="47" max="47"/>
    <col width="20" customWidth="1" min="48" max="48"/>
    <col width="16" customWidth="1" min="49" max="49"/>
    <col width="30" customWidth="1" min="50" max="50"/>
    <col width="10" customWidth="1" min="51" max="51"/>
    <col width="26" customWidth="1" min="52" max="52"/>
    <col width="40" customWidth="1" min="53" max="53"/>
    <col width="10" customWidth="1" min="54" max="54"/>
    <col width="40" customWidth="1" min="55" max="55"/>
    <col width="10" customWidth="1" min="56" max="56"/>
    <col width="11" customWidth="1" min="57" max="57"/>
    <col width="11" customWidth="1" min="58" max="58"/>
    <col width="11" customWidth="1" min="59" max="59"/>
    <col width="16" customWidth="1" min="60" max="60"/>
    <col width="14" customWidth="1" min="61" max="61"/>
    <col width="11" customWidth="1" min="62" max="62"/>
    <col width="22" customWidth="1" min="63" max="63"/>
    <col width="30" customWidth="1" min="64" max="64"/>
    <col hidden="1" width="6" customWidth="1" min="65" max="65"/>
    <col hidden="1" width="6" customWidth="1" min="66" max="66"/>
    <col hidden="1" width="6" customWidth="1" min="67" max="67"/>
    <col hidden="1" width="6" customWidth="1" min="68" max="68"/>
    <col hidden="1" width="6" customWidth="1" min="69" max="69"/>
    <col hidden="1" width="6" customWidth="1" min="70" max="70"/>
    <col hidden="1" width="6" customWidth="1" min="71" max="71"/>
    <col hidden="1" width="6" customWidth="1" min="72" max="72"/>
    <col hidden="1" width="6" customWidth="1" min="73" max="73"/>
    <col hidden="1" width="6" customWidth="1" min="74" max="74"/>
    <col hidden="1" width="6" customWidth="1" min="75" max="75"/>
    <col hidden="1" width="6" customWidth="1" min="76" max="76"/>
    <col hidden="1" width="6" customWidth="1" min="77" max="77"/>
    <col hidden="1" width="6" customWidth="1" min="78" max="78"/>
    <col hidden="1" width="30" customWidth="1" min="79" max="79"/>
  </cols>
  <sheetData>
    <row r="1" ht="24" customHeight="1">
      <c r="A1" s="1" t="inlineStr">
        <is>
          <t>Talent Mapping — business heads: review, weigh and propose the band</t>
        </is>
      </c>
      <c r="Q1" s="7" t="inlineStr">
        <is>
          <t>◂ Start</t>
        </is>
      </c>
    </row>
    <row r="2" ht="30" customHeight="1">
      <c r="A2" s="2" t="inlineStr">
        <is>
          <t>Sheet 2 · One row per person, top down from the CEO. Read left to right: who → what they and their manager told us, with a link to all their data → how much each parameter counts · L/M/H → your assessment against the band · L/M/H → the market benchmark → HR's proposed band → what benchmarking says → the final proposed band, which updates the moment you change any L, M or H. Yellow = yours to edit.</t>
        </is>
      </c>
    </row>
    <row r="3">
      <c r="A3" s="3" t="inlineStr">
        <is>
          <t>IRIS · Job Architecture &amp; Job Design · Final v1.15 · October 2026 · Internal — Confidential · HR only</t>
        </is>
      </c>
    </row>
    <row r="4" ht="30" customHeight="1">
      <c r="A4" s="8" t="inlineStr">
        <is>
          <t>Section colours: each column group has its own header colour and a matching light tint</t>
        </is>
      </c>
      <c r="E4" s="9" t="inlineStr">
        <is>
          <t>Changed vs current</t>
        </is>
      </c>
      <c r="G4" s="10" t="inlineStr">
        <is>
          <t>Level up</t>
        </is>
      </c>
      <c r="H4" s="11" t="inlineStr">
        <is>
          <t>Level down · pay &amp; title protected</t>
        </is>
      </c>
      <c r="J4" s="12" t="inlineStr">
        <is>
          <t>Newly mapped</t>
        </is>
      </c>
      <c r="K4" s="13" t="inlineStr">
        <is>
          <t>Player-Coach · B+ · C+</t>
        </is>
      </c>
      <c r="M4" s="14" t="inlineStr">
        <is>
          <t>RED = critical input needed · says what and who</t>
        </is>
      </c>
      <c r="P4" s="15" t="inlineStr">
        <is>
          <t>YELLOW = to complete or edit</t>
        </is>
      </c>
      <c r="R4" s="16" t="inlineStr">
        <is>
          <t>GREY = pay · set later</t>
        </is>
      </c>
    </row>
    <row r="5" ht="30" customHeight="1">
      <c r="A5" s="6" t="inlineStr">
        <is>
          <t>CORE EMPLOYEE DETAILS</t>
        </is>
      </c>
      <c r="B5" s="6" t="n"/>
      <c r="C5" s="6" t="n"/>
      <c r="D5" s="6" t="n"/>
      <c r="E5" s="6" t="n"/>
      <c r="F5" s="6" t="n"/>
      <c r="G5" s="6" t="n"/>
      <c r="H5" s="6" t="n"/>
      <c r="I5" s="6" t="n"/>
      <c r="J5" s="6" t="n"/>
      <c r="K5" s="6" t="n"/>
      <c r="L5" s="6" t="n"/>
      <c r="M5" s="6" t="n"/>
      <c r="N5" s="6" t="n"/>
      <c r="O5" s="6" t="n"/>
      <c r="P5" s="6" t="n"/>
      <c r="Q5" s="6" t="n"/>
      <c r="R5" s="6" t="n"/>
      <c r="S5" s="17" t="inlineStr">
        <is>
          <t>SUMMARY OF RESPONSES RECEIVED — full detail in 3. Raw Data</t>
        </is>
      </c>
      <c r="T5" s="17" t="n"/>
      <c r="U5" s="17" t="n"/>
      <c r="V5" s="17" t="n"/>
      <c r="W5" s="17" t="n"/>
      <c r="X5" s="17" t="n"/>
      <c r="Y5" s="18" t="inlineStr">
        <is>
          <t>WEIGHTAGE · L / M / H — from 5. Department Ladder; overwrite for this person</t>
        </is>
      </c>
      <c r="Z5" s="18" t="n"/>
      <c r="AA5" s="18" t="n"/>
      <c r="AB5" s="18" t="n"/>
      <c r="AC5" s="18" t="n"/>
      <c r="AD5" s="18" t="n"/>
      <c r="AE5" s="18" t="n"/>
      <c r="AF5" s="19" t="inlineStr">
        <is>
          <t>YOUR ASSESSMENT · L / M / H against the band — Medium = meets it</t>
        </is>
      </c>
      <c r="AG5" s="19" t="n"/>
      <c r="AH5" s="19" t="n"/>
      <c r="AI5" s="19" t="n"/>
      <c r="AJ5" s="19" t="n"/>
      <c r="AK5" s="19" t="n"/>
      <c r="AL5" s="19" t="n"/>
      <c r="AM5" s="20" t="inlineStr">
        <is>
          <t>MARKET BENCHMARK — this role group at the HR proposed level</t>
        </is>
      </c>
      <c r="AN5" s="20" t="n"/>
      <c r="AO5" s="20" t="n"/>
      <c r="AP5" s="20" t="n"/>
      <c r="AQ5" s="20" t="n"/>
      <c r="AR5" s="20" t="n"/>
      <c r="AS5" s="20" t="n"/>
      <c r="AT5" s="20" t="n"/>
      <c r="AU5" s="20" t="n"/>
      <c r="AV5" s="20" t="n"/>
      <c r="AW5" s="20" t="n"/>
      <c r="AX5" s="20" t="n"/>
      <c r="AY5" s="19" t="inlineStr">
        <is>
          <t>PROPOSAL</t>
        </is>
      </c>
      <c r="AZ5" s="19" t="n"/>
      <c r="BA5" s="19" t="n"/>
      <c r="BB5" s="19" t="n"/>
      <c r="BC5" s="19" t="n"/>
      <c r="BD5" s="19" t="n"/>
      <c r="BE5" s="19" t="n"/>
      <c r="BF5" s="19" t="n"/>
      <c r="BG5" s="19" t="n"/>
      <c r="BH5" s="19" t="n"/>
      <c r="BI5" s="19" t="n"/>
      <c r="BJ5" s="19" t="n"/>
      <c r="BK5" s="19" t="n"/>
      <c r="BL5" s="19" t="n"/>
      <c r="BM5" s="21" t="inlineStr">
        <is>
          <t>ENGINE — points and steps, live</t>
        </is>
      </c>
      <c r="BN5" s="21" t="n"/>
      <c r="BO5" s="21" t="n"/>
      <c r="BP5" s="21" t="n"/>
      <c r="BQ5" s="21" t="n"/>
      <c r="BR5" s="21" t="n"/>
      <c r="BS5" s="21" t="n"/>
      <c r="BT5" s="21" t="n"/>
      <c r="BU5" s="21" t="n"/>
      <c r="BV5" s="21" t="n"/>
      <c r="BW5" s="21" t="n"/>
      <c r="BX5" s="21" t="n"/>
      <c r="BY5" s="21" t="n"/>
      <c r="BZ5" s="21" t="n"/>
      <c r="CA5" s="21" t="n"/>
    </row>
    <row r="6" ht="60" customHeight="1">
      <c r="A6" s="22" t="inlineStr">
        <is>
          <t>Business</t>
        </is>
      </c>
      <c r="B6" s="22" t="inlineStr">
        <is>
          <t>Department</t>
        </is>
      </c>
      <c r="C6" s="22" t="inlineStr">
        <is>
          <t>Layer from the CEO</t>
        </is>
      </c>
      <c r="D6" s="22" t="inlineStr">
        <is>
          <t>Emp ID</t>
        </is>
      </c>
      <c r="E6" s="22" t="inlineStr">
        <is>
          <t>Employee name</t>
        </is>
      </c>
      <c r="F6" s="22" t="inlineStr">
        <is>
          <t>Current designation</t>
        </is>
      </c>
      <c r="G6" s="22" t="inlineStr">
        <is>
          <t>Proposed designation</t>
        </is>
      </c>
      <c r="H6" s="22" t="inlineStr">
        <is>
          <t>Job family</t>
        </is>
      </c>
      <c r="I6" s="22" t="inlineStr">
        <is>
          <t>Sub-family</t>
        </is>
      </c>
      <c r="J6" s="22" t="inlineStr">
        <is>
          <t>Track</t>
        </is>
      </c>
      <c r="K6" s="22" t="inlineStr">
        <is>
          <t>Role ID</t>
        </is>
      </c>
      <c r="L6" s="22" t="inlineStr">
        <is>
          <t>Reporting manager</t>
        </is>
      </c>
      <c r="M6" s="22" t="inlineStr">
        <is>
          <t>Manager Emp ID</t>
        </is>
      </c>
      <c r="N6" s="22" t="inlineStr">
        <is>
          <t>Total exp. · yrs</t>
        </is>
      </c>
      <c r="O6" s="22" t="inlineStr">
        <is>
          <t>Exp. at IRIS · yrs</t>
        </is>
      </c>
      <c r="P6" s="22" t="inlineStr">
        <is>
          <t>Qualification</t>
        </is>
      </c>
      <c r="Q6" s="22" t="inlineStr">
        <is>
          <t>Current level · as is</t>
        </is>
      </c>
      <c r="R6" s="22" t="inlineStr">
        <is>
          <t>Model level · v1.13</t>
        </is>
      </c>
      <c r="S6" s="23" t="inlineStr">
        <is>
          <t>Survey · questions answered</t>
        </is>
      </c>
      <c r="T6" s="23" t="inlineStr">
        <is>
          <t>What they shared · summary</t>
        </is>
      </c>
      <c r="U6" s="23" t="inlineStr">
        <is>
          <t>KRAs received · summary</t>
        </is>
      </c>
      <c r="V6" s="23" t="inlineStr">
        <is>
          <t>Manager talent mapping · rating · potential · 9-box · readiness</t>
        </is>
      </c>
      <c r="W6" s="23" t="inlineStr">
        <is>
          <t>What the data shows · vs HR proposed band</t>
        </is>
      </c>
      <c r="X6" s="23" t="inlineStr">
        <is>
          <t>All their data ▸</t>
        </is>
      </c>
      <c r="Y6" s="24" t="inlineStr">
        <is>
          <t>Complexity &amp; Expertise · weightage</t>
        </is>
      </c>
      <c r="Z6" s="24" t="inlineStr">
        <is>
          <t>Autonomy &amp; Decision · weightage</t>
        </is>
      </c>
      <c r="AA6" s="24" t="inlineStr">
        <is>
          <t>Accountability &amp; Impact · weightage</t>
        </is>
      </c>
      <c r="AB6" s="24" t="inlineStr">
        <is>
          <t>Leadership &amp; Strategy · weightage</t>
        </is>
      </c>
      <c r="AC6" s="24" t="inlineStr">
        <is>
          <t>Business Impact · weightage</t>
        </is>
      </c>
      <c r="AD6" s="24" t="inlineStr">
        <is>
          <t>Experience · weightage</t>
        </is>
      </c>
      <c r="AE6" s="24" t="inlineStr">
        <is>
          <t>Education · weightage</t>
        </is>
      </c>
      <c r="AF6" s="25" t="inlineStr">
        <is>
          <t>Complexity &amp; Expertise · assessment</t>
        </is>
      </c>
      <c r="AG6" s="25" t="inlineStr">
        <is>
          <t>Autonomy &amp; Decision · assessment</t>
        </is>
      </c>
      <c r="AH6" s="25" t="inlineStr">
        <is>
          <t>Accountability &amp; Impact · assessment</t>
        </is>
      </c>
      <c r="AI6" s="25" t="inlineStr">
        <is>
          <t>Leadership &amp; Strategy · assessment</t>
        </is>
      </c>
      <c r="AJ6" s="25" t="inlineStr">
        <is>
          <t>Business Impact · assessment</t>
        </is>
      </c>
      <c r="AK6" s="25" t="inlineStr">
        <is>
          <t>Experience · assessment</t>
        </is>
      </c>
      <c r="AL6" s="25" t="inlineStr">
        <is>
          <t>Education · assessment</t>
        </is>
      </c>
      <c r="AM6" s="26" t="inlineStr">
        <is>
          <t>Market weight · Complexity &amp; Expertise %</t>
        </is>
      </c>
      <c r="AN6" s="26" t="inlineStr">
        <is>
          <t>Market weight · Autonomy &amp; Decision %</t>
        </is>
      </c>
      <c r="AO6" s="26" t="inlineStr">
        <is>
          <t>Market weight · Accountability &amp; Impact %</t>
        </is>
      </c>
      <c r="AP6" s="26" t="inlineStr">
        <is>
          <t>Market weight · Leadership &amp; Strategy %</t>
        </is>
      </c>
      <c r="AQ6" s="26" t="inlineStr">
        <is>
          <t>Market weight · Business Impact %</t>
        </is>
      </c>
      <c r="AR6" s="26" t="inlineStr">
        <is>
          <t>Market weight · Experience %</t>
        </is>
      </c>
      <c r="AS6" s="26" t="inlineStr">
        <is>
          <t>Market weight · Education %</t>
        </is>
      </c>
      <c r="AT6" s="26" t="inlineStr">
        <is>
          <t>Market experience · yrs</t>
        </is>
      </c>
      <c r="AU6" s="26" t="inlineStr">
        <is>
          <t>Education norm</t>
        </is>
      </c>
      <c r="AV6" s="26" t="inlineStr">
        <is>
          <t>Span norm</t>
        </is>
      </c>
      <c r="AW6" s="26" t="inlineStr">
        <is>
          <t>Radford / Mercer · SFIA 9</t>
        </is>
      </c>
      <c r="AX6" s="26" t="inlineStr">
        <is>
          <t>References</t>
        </is>
      </c>
      <c r="AY6" s="25" t="inlineStr">
        <is>
          <t>HR proposed band · market benchmark and people inputs</t>
        </is>
      </c>
      <c r="AZ6" s="25" t="inlineStr">
        <is>
          <t>HR proposed · band and title</t>
        </is>
      </c>
      <c r="BA6" s="25" t="inlineStr">
        <is>
          <t>How HR set it</t>
        </is>
      </c>
      <c r="BB6" s="25" t="inlineStr">
        <is>
          <t>Input from benchmarking</t>
        </is>
      </c>
      <c r="BC6" s="25" t="inlineStr">
        <is>
          <t>Benchmarking · how</t>
        </is>
      </c>
      <c r="BD6" s="25" t="inlineStr">
        <is>
          <t>Weighted net · −1 to +1, live</t>
        </is>
      </c>
      <c r="BE6" s="25" t="inlineStr">
        <is>
          <t>Final proposed band · business inputs, live</t>
        </is>
      </c>
      <c r="BF6" s="25" t="inlineStr">
        <is>
          <t>Business head override · optional</t>
        </is>
      </c>
      <c r="BG6" s="25" t="inlineStr">
        <is>
          <t>FINAL PROPOSED BAND</t>
        </is>
      </c>
      <c r="BH6" s="25" t="inlineStr">
        <is>
          <t>Band</t>
        </is>
      </c>
      <c r="BI6" s="25" t="inlineStr">
        <is>
          <t>Move vs HR proposed</t>
        </is>
      </c>
      <c r="BJ6" s="25" t="inlineStr">
        <is>
          <t>Manager's final proposed band</t>
        </is>
      </c>
      <c r="BK6" s="25" t="inlineStr">
        <is>
          <t>Manager rule check · live</t>
        </is>
      </c>
      <c r="BL6" s="25" t="inlineStr">
        <is>
          <t>Business head comment</t>
        </is>
      </c>
      <c r="BM6" s="27" t="inlineStr">
        <is>
          <t>C points</t>
        </is>
      </c>
      <c r="BN6" s="27" t="inlineStr">
        <is>
          <t>Au points</t>
        </is>
      </c>
      <c r="BO6" s="27" t="inlineStr">
        <is>
          <t>Ac points</t>
        </is>
      </c>
      <c r="BP6" s="27" t="inlineStr">
        <is>
          <t>L points</t>
        </is>
      </c>
      <c r="BQ6" s="27" t="inlineStr">
        <is>
          <t>BI points</t>
        </is>
      </c>
      <c r="BR6" s="27" t="inlineStr">
        <is>
          <t>Exp points</t>
        </is>
      </c>
      <c r="BS6" s="27" t="inlineStr">
        <is>
          <t>Edu points</t>
        </is>
      </c>
      <c r="BT6" s="27" t="inlineStr">
        <is>
          <t>C step</t>
        </is>
      </c>
      <c r="BU6" s="27" t="inlineStr">
        <is>
          <t>Au step</t>
        </is>
      </c>
      <c r="BV6" s="27" t="inlineStr">
        <is>
          <t>Ac step</t>
        </is>
      </c>
      <c r="BW6" s="27" t="inlineStr">
        <is>
          <t>L step</t>
        </is>
      </c>
      <c r="BX6" s="27" t="inlineStr">
        <is>
          <t>BI step</t>
        </is>
      </c>
      <c r="BY6" s="27" t="inlineStr">
        <is>
          <t>Exp step</t>
        </is>
      </c>
      <c r="BZ6" s="27" t="inlineStr">
        <is>
          <t>Edu step</t>
        </is>
      </c>
      <c r="CA6" s="27" t="inlineStr">
        <is>
          <t>Ladder key</t>
        </is>
      </c>
    </row>
    <row r="7" ht="110" customHeight="1">
      <c r="A7" s="28" t="inlineStr">
        <is>
          <t>Corporate</t>
        </is>
      </c>
      <c r="B7" s="29" t="inlineStr">
        <is>
          <t>Management</t>
        </is>
      </c>
      <c r="C7" s="29" t="n">
        <v>0</v>
      </c>
      <c r="D7" s="29" t="inlineStr">
        <is>
          <t>IRIS0001</t>
        </is>
      </c>
      <c r="E7" s="29" t="inlineStr">
        <is>
          <t>Balachandran K</t>
        </is>
      </c>
      <c r="F7" s="29" t="inlineStr">
        <is>
          <t>CEO</t>
        </is>
      </c>
      <c r="G7" s="29" t="inlineStr">
        <is>
          <t>Chief Executive Officer</t>
        </is>
      </c>
      <c r="H7" s="29" t="inlineStr">
        <is>
          <t>Enterprise Leadership</t>
        </is>
      </c>
      <c r="I7" s="29" t="inlineStr">
        <is>
          <t>Chief Executive</t>
        </is>
      </c>
      <c r="J7" s="29" t="inlineStr">
        <is>
          <t>People Manager</t>
        </is>
      </c>
      <c r="K7" s="29" t="inlineStr">
        <is>
          <t>RC-EN-CE-E2</t>
        </is>
      </c>
      <c r="L7" s="29" t="inlineStr">
        <is>
          <t>— · top of the organisation</t>
        </is>
      </c>
      <c r="M7" s="29" t="inlineStr">
        <is>
          <t>Not in this file</t>
        </is>
      </c>
      <c r="N7" s="29" t="n">
        <v>32.1</v>
      </c>
      <c r="O7" s="29" t="n">
        <v>22.1</v>
      </c>
      <c r="P7" s="29" t="inlineStr">
        <is>
          <t>MBA</t>
        </is>
      </c>
      <c r="Q7" s="29" t="inlineStr">
        <is>
          <t>Not in current mapping files</t>
        </is>
      </c>
      <c r="R7" s="29" t="inlineStr">
        <is>
          <t>E2</t>
        </is>
      </c>
      <c r="S7" s="30" t="inlineStr">
        <is>
          <t>0 of 20</t>
        </is>
      </c>
      <c r="T7" s="31"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t>
        </is>
      </c>
      <c r="U7" s="32" t="inlineStr">
        <is>
          <t>KRAs not received · manager to supply</t>
        </is>
      </c>
      <c r="V7" s="31" t="inlineStr">
        <is>
          <t>Latest rating: Not rated · manager · 9-box: Not placed · manager · Readiness: No rating data</t>
        </is>
      </c>
      <c r="W7" s="31" t="inlineStr">
        <is>
          <t>C M · Au M · Ac M · L M · BI M · Exp M · 32.1 yrs vs 20+ yrs · Edu M · MBA</t>
        </is>
      </c>
      <c r="X7" s="33" t="inlineStr">
        <is>
          <t>Open ▸</t>
        </is>
      </c>
      <c r="Y7" s="34" t="str">
        <f>IFERROR(INDEX(DL_C,MATCH($CA7,DL_KEY,0)),"M")</f>
        <v>H</v>
      </c>
      <c r="Z7" s="35" t="str">
        <f>IFERROR(INDEX(DL_Au,MATCH($CA7,DL_KEY,0)),"M")</f>
        <v>M</v>
      </c>
      <c r="AA7" s="35" t="str">
        <f>IFERROR(INDEX(DL_Ac,MATCH($CA7,DL_KEY,0)),"M")</f>
        <v>M</v>
      </c>
      <c r="AB7" s="35" t="str">
        <f>IFERROR(INDEX(DL_L,MATCH($CA7,DL_KEY,0)),"M")</f>
        <v>M</v>
      </c>
      <c r="AC7" s="35" t="str">
        <f>IFERROR(INDEX(DL_BI,MATCH($CA7,DL_KEY,0)),"M")</f>
        <v>L</v>
      </c>
      <c r="AD7" s="35" t="str">
        <f>IFERROR(INDEX(DL_Exp,MATCH($CA7,DL_KEY,0)),"M")</f>
        <v>L</v>
      </c>
      <c r="AE7" s="35" t="str">
        <f>IFERROR(INDEX(DL_Edu,MATCH($CA7,DL_KEY,0)),"M")</f>
        <v>L</v>
      </c>
      <c r="AF7" s="34" t="inlineStr">
        <is>
          <t>M</t>
        </is>
      </c>
      <c r="AG7" s="35" t="inlineStr">
        <is>
          <t>M</t>
        </is>
      </c>
      <c r="AH7" s="35" t="inlineStr">
        <is>
          <t>M</t>
        </is>
      </c>
      <c r="AI7" s="35" t="inlineStr">
        <is>
          <t>M</t>
        </is>
      </c>
      <c r="AJ7" s="35" t="inlineStr">
        <is>
          <t>M</t>
        </is>
      </c>
      <c r="AK7" s="35" t="inlineStr">
        <is>
          <t>M</t>
        </is>
      </c>
      <c r="AL7" s="35" t="inlineStr">
        <is>
          <t>M</t>
        </is>
      </c>
      <c r="AM7" s="36" t="n">
        <v>0.363</v>
      </c>
      <c r="AN7" s="37" t="n">
        <v>0.19</v>
      </c>
      <c r="AO7" s="37" t="n">
        <v>0.113</v>
      </c>
      <c r="AP7" s="37" t="n">
        <v>0.2</v>
      </c>
      <c r="AQ7" s="37" t="n">
        <v>0.08699999999999999</v>
      </c>
      <c r="AR7" s="37" t="n">
        <v>0.04</v>
      </c>
      <c r="AS7" s="37" t="n">
        <v>0.01</v>
      </c>
      <c r="AT7" s="38" t="inlineStr">
        <is>
          <t>20+ yrs</t>
        </is>
      </c>
      <c r="AU7" s="38" t="inlineStr">
        <is>
          <t>Postgraduate / professional qualification; proven business leadership</t>
        </is>
      </c>
      <c r="AV7" s="38" t="inlineStr">
        <is>
          <t>Executive team</t>
        </is>
      </c>
      <c r="AW7" s="38" t="inlineStr">
        <is>
          <t>E6 · SFIA 7</t>
        </is>
      </c>
      <c r="AX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7" s="39" t="inlineStr">
        <is>
          <t>E2</t>
        </is>
      </c>
      <c r="AZ7" s="40" t="inlineStr">
        <is>
          <t>Band E · Enterprise leadership · Chief Executive Officer</t>
        </is>
      </c>
      <c r="BA7" s="40" t="inlineStr">
        <is>
          <t>Model E2 from the six ratings, the market-derived weights and rules R1–R13 · then Top of the reporting line</t>
        </is>
      </c>
      <c r="BB7" s="41" t="inlineStr">
        <is>
          <t>E2</t>
        </is>
      </c>
      <c r="BC7" s="40" t="inlineStr">
        <is>
          <t>The six ratings on the market-average weights of Bands D–E · Leadership score 12.00 → E2 · Hay, Mercer IPE and public plans · experience 32.1 yrs vs the E2 market range 20+ yrs</t>
        </is>
      </c>
      <c r="BD7" s="42">
        <f>IF(SUM(BM7,BN7,BO7,BP7,BQ7,BR7,BS7)=0,0,(BM7*BT7+BN7*BU7+BO7*BV7+BP7*BW7+BQ7*BX7+BR7*BY7+BS7*BZ7)/SUM(BM7,BN7,BO7,BP7,BQ7,BR7,BS7))</f>
        <v>0</v>
      </c>
      <c r="BE7" s="41" t="str">
        <f>IF(LEFT(AY7,1)="X",AY7,IF(OR(AY7="B+",AY7="C+"),INDEX(LAD_PC,MAX(1,MIN(14,MATCH(AY7,LAD_PC,0)+IF(BD7&gt;=0.5,1,IF(BD7&lt;=-0.5,-1,0))))),INDEX(LAD_STD,MAX(1,MIN(12,MATCH(AY7,LAD_STD,0)+IF(BD7&gt;=0.5,1,IF(BD7&lt;=-0.5,-1,0)))))))</f>
        <v>E2</v>
      </c>
      <c r="BF7" s="43" t="n"/>
      <c r="BG7" s="41" t="str">
        <f>IF(BF7&lt;&gt;"",BF7,BE7)</f>
        <v>E2</v>
      </c>
      <c r="BH7" s="40" t="str">
        <f>IFERROR(CHOOSE(INDEX(B_RANK,MATCH(BG7,B_LVL,0)),"Band A","Band B","B+ · Player-Coach","Band C","C+ · Player-Coach","Band D","Band E"),"Band X · Consultant")</f>
        <v>Band E</v>
      </c>
      <c r="BI7" s="40" t="str">
        <f>IF(BG7=AY7,"• Same",IF(INDEX(B_VAL,MATCH(BG7,B_LVL,0))&gt;INDEX(B_VAL,MATCH(AY7,B_LVL,0)),"▲ Up","▼ Down"))</f>
        <v>• Same</v>
      </c>
      <c r="BJ7" s="40" t="str">
        <f>IF(OR($M7="",$M7="—",$M7="Not in this file"),"",IFERROR(INDEX($BG$7:$BG$592,MATCH($M7,$D$7:$D$592,0)),""))</f>
        <v/>
      </c>
      <c r="BK7" s="40" t="str">
        <f>IFERROR(IF(BJ7="","—",IF(OR(LEFT(BG7,1)="X",LEFT(BJ7,1)="X"),"—",IF(AND(LEFT(BG7,1)="E",LEFT(BJ7,1)="E"),"Exception · Band E",IF(AND(INDEX(B_VAL,MATCH(BJ7,B_LVL,0))&gt;=7,INDEX(B_RANK,MATCH(BG7,B_LVL,0))&gt;=INDEX(B_RANK,MATCH(BJ7,B_LVL,0))),"⚠ Same band as a head manager",IF(INDEX(B_VAL,MATCH(BG7,B_LVL,0))&gt;=INDEX(B_VAL,MATCH(BJ7,B_LVL,0)),"⚠ At or above the manager's level","OK"))))),"—")</f>
        <v>—</v>
      </c>
      <c r="BL7" s="43" t="n"/>
      <c r="BM7" s="44">
        <f>IFERROR(INDEX(LMH_PTS,MATCH(Y7,LMH_KEY,0)),0)</f>
        <v>9</v>
      </c>
      <c r="BN7" s="38">
        <f>IFERROR(INDEX(LMH_PTS,MATCH(Z7,LMH_KEY,0)),0)</f>
        <v>3</v>
      </c>
      <c r="BO7" s="38">
        <f>IFERROR(INDEX(LMH_PTS,MATCH(AA7,LMH_KEY,0)),0)</f>
        <v>3</v>
      </c>
      <c r="BP7" s="38">
        <f>IFERROR(INDEX(LMH_PTS,MATCH(AB7,LMH_KEY,0)),0)</f>
        <v>3</v>
      </c>
      <c r="BQ7" s="38">
        <f>IFERROR(INDEX(LMH_PTS,MATCH(AC7,LMH_KEY,0)),0)</f>
        <v>1</v>
      </c>
      <c r="BR7" s="38">
        <f>IFERROR(INDEX(LMH_PTS,MATCH(AD7,LMH_KEY,0)),0)</f>
        <v>1</v>
      </c>
      <c r="BS7" s="38">
        <f>IFERROR(INDEX(LMH_PTS,MATCH(AE7,LMH_KEY,0)),0)</f>
        <v>1</v>
      </c>
      <c r="BT7" s="38">
        <f>IFERROR(INDEX(LMH_STEP,MATCH(AF7,LMH_KEY,0)),0)</f>
        <v>0</v>
      </c>
      <c r="BU7" s="38">
        <f>IFERROR(INDEX(LMH_STEP,MATCH(AG7,LMH_KEY,0)),0)</f>
        <v>0</v>
      </c>
      <c r="BV7" s="38">
        <f>IFERROR(INDEX(LMH_STEP,MATCH(AH7,LMH_KEY,0)),0)</f>
        <v>0</v>
      </c>
      <c r="BW7" s="38">
        <f>IFERROR(INDEX(LMH_STEP,MATCH(AI7,LMH_KEY,0)),0)</f>
        <v>0</v>
      </c>
      <c r="BX7" s="38">
        <f>IFERROR(INDEX(LMH_STEP,MATCH(AJ7,LMH_KEY,0)),0)</f>
        <v>0</v>
      </c>
      <c r="BY7" s="38">
        <f>IFERROR(INDEX(LMH_STEP,MATCH(AK7,LMH_KEY,0)),0)</f>
        <v>0</v>
      </c>
      <c r="BZ7" s="38">
        <f>IFERROR(INDEX(LMH_STEP,MATCH(AL7,LMH_KEY,0)),0)</f>
        <v>0</v>
      </c>
      <c r="CA7" s="38" t="inlineStr">
        <is>
          <t>Corporate|Management|Chief Executive Officer|E2|DE</t>
        </is>
      </c>
    </row>
    <row r="8" ht="110" customHeight="1">
      <c r="A8" s="28" t="inlineStr">
        <is>
          <t>CARBON</t>
        </is>
      </c>
      <c r="B8" s="29" t="inlineStr">
        <is>
          <t>CRO - Carbon</t>
        </is>
      </c>
      <c r="C8" s="29" t="n">
        <v>1</v>
      </c>
      <c r="D8" s="29" t="inlineStr">
        <is>
          <t>IRIS2478</t>
        </is>
      </c>
      <c r="E8" s="29" t="inlineStr">
        <is>
          <t>Dixit Jasani</t>
        </is>
      </c>
      <c r="F8" s="29" t="inlineStr">
        <is>
          <t>Chief Revenue Officer- Enterprise Division</t>
        </is>
      </c>
      <c r="G8" s="29" t="inlineStr">
        <is>
          <t>Chief Revenue Officer</t>
        </is>
      </c>
      <c r="H8" s="29" t="inlineStr">
        <is>
          <t>Enterprise Leadership</t>
        </is>
      </c>
      <c r="I8" s="29" t="inlineStr">
        <is>
          <t>Chief Officers · CXO</t>
        </is>
      </c>
      <c r="J8" s="29" t="inlineStr">
        <is>
          <t>People Manager</t>
        </is>
      </c>
      <c r="K8" s="29" t="inlineStr">
        <is>
          <t>RC-EN-CO-E1</t>
        </is>
      </c>
      <c r="L8" s="29" t="inlineStr">
        <is>
          <t>Balachandran K</t>
        </is>
      </c>
      <c r="M8" s="29" t="inlineStr">
        <is>
          <t>IRIS0001</t>
        </is>
      </c>
      <c r="N8" s="29" t="n">
        <v>27.9</v>
      </c>
      <c r="O8" s="29" t="n">
        <v>0.6</v>
      </c>
      <c r="P8" s="29" t="inlineStr">
        <is>
          <t>PGDM</t>
        </is>
      </c>
      <c r="Q8" s="29" t="inlineStr">
        <is>
          <t>Not in current mapping files</t>
        </is>
      </c>
      <c r="R8" s="29" t="inlineStr">
        <is>
          <t>E1</t>
        </is>
      </c>
      <c r="S8" s="30" t="inlineStr">
        <is>
          <t>0 of 20</t>
        </is>
      </c>
      <c r="T8" s="31"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t>
        </is>
      </c>
      <c r="U8" s="32" t="inlineStr">
        <is>
          <t>KRAs not received · manager to supply</t>
        </is>
      </c>
      <c r="V8" s="31" t="inlineStr">
        <is>
          <t>Latest rating: Not rated · manager · 9-box: Not placed · manager · Readiness: No rating data</t>
        </is>
      </c>
      <c r="W8" s="31" t="inlineStr">
        <is>
          <t>C M · Au M · Ac M · L M · BI M · Exp M · 27.9 yrs vs 20+ yrs · Edu M · PGDM</t>
        </is>
      </c>
      <c r="X8" s="33" t="inlineStr">
        <is>
          <t>Open ▸</t>
        </is>
      </c>
      <c r="Y8" s="34" t="str">
        <f>IFERROR(INDEX(DL_C,MATCH($CA8,DL_KEY,0)),"M")</f>
        <v>H</v>
      </c>
      <c r="Z8" s="35" t="str">
        <f>IFERROR(INDEX(DL_Au,MATCH($CA8,DL_KEY,0)),"M")</f>
        <v>M</v>
      </c>
      <c r="AA8" s="35" t="str">
        <f>IFERROR(INDEX(DL_Ac,MATCH($CA8,DL_KEY,0)),"M")</f>
        <v>M</v>
      </c>
      <c r="AB8" s="35" t="str">
        <f>IFERROR(INDEX(DL_L,MATCH($CA8,DL_KEY,0)),"M")</f>
        <v>M</v>
      </c>
      <c r="AC8" s="35" t="str">
        <f>IFERROR(INDEX(DL_BI,MATCH($CA8,DL_KEY,0)),"M")</f>
        <v>L</v>
      </c>
      <c r="AD8" s="35" t="str">
        <f>IFERROR(INDEX(DL_Exp,MATCH($CA8,DL_KEY,0)),"M")</f>
        <v>L</v>
      </c>
      <c r="AE8" s="35" t="str">
        <f>IFERROR(INDEX(DL_Edu,MATCH($CA8,DL_KEY,0)),"M")</f>
        <v>L</v>
      </c>
      <c r="AF8" s="34" t="inlineStr">
        <is>
          <t>M</t>
        </is>
      </c>
      <c r="AG8" s="35" t="inlineStr">
        <is>
          <t>M</t>
        </is>
      </c>
      <c r="AH8" s="35" t="inlineStr">
        <is>
          <t>M</t>
        </is>
      </c>
      <c r="AI8" s="35" t="inlineStr">
        <is>
          <t>M</t>
        </is>
      </c>
      <c r="AJ8" s="35" t="inlineStr">
        <is>
          <t>M</t>
        </is>
      </c>
      <c r="AK8" s="35" t="inlineStr">
        <is>
          <t>M</t>
        </is>
      </c>
      <c r="AL8" s="35" t="inlineStr">
        <is>
          <t>M</t>
        </is>
      </c>
      <c r="AM8" s="36" t="n">
        <v>0.363</v>
      </c>
      <c r="AN8" s="37" t="n">
        <v>0.19</v>
      </c>
      <c r="AO8" s="37" t="n">
        <v>0.113</v>
      </c>
      <c r="AP8" s="37" t="n">
        <v>0.2</v>
      </c>
      <c r="AQ8" s="37" t="n">
        <v>0.08699999999999999</v>
      </c>
      <c r="AR8" s="37" t="n">
        <v>0.04</v>
      </c>
      <c r="AS8" s="37" t="n">
        <v>0.01</v>
      </c>
      <c r="AT8" s="38" t="inlineStr">
        <is>
          <t>20+ yrs</t>
        </is>
      </c>
      <c r="AU8" s="38" t="inlineStr">
        <is>
          <t>Postgraduate / professional qualification; business leadership record</t>
        </is>
      </c>
      <c r="AV8" s="38" t="inlineStr">
        <is>
          <t>5–8 function heads</t>
        </is>
      </c>
      <c r="AW8" s="38" t="inlineStr">
        <is>
          <t>E5 · SFIA 7</t>
        </is>
      </c>
      <c r="AX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8" s="39" t="inlineStr">
        <is>
          <t>E1</t>
        </is>
      </c>
      <c r="AZ8" s="40" t="inlineStr">
        <is>
          <t>Band E · Enterprise leadership · CXO / President</t>
        </is>
      </c>
      <c r="BA8" s="40" t="inlineStr">
        <is>
          <t>Model E1 from the six ratings, the market-derived weights and rules R1–R13 · then Band E with Band E · agreed exception · manager E2</t>
        </is>
      </c>
      <c r="BB8" s="41" t="inlineStr">
        <is>
          <t>E1</t>
        </is>
      </c>
      <c r="BC8" s="40" t="inlineStr">
        <is>
          <t>The six ratings on the market-average weights of Bands D–E · Leadership score 11.05 → E1 · Hay, Mercer IPE and public plans · experience 27.9 yrs vs the E1 market range 20+ yrs</t>
        </is>
      </c>
      <c r="BD8" s="42">
        <f>IF(SUM(BM8,BN8,BO8,BP8,BQ8,BR8,BS8)=0,0,(BM8*BT8+BN8*BU8+BO8*BV8+BP8*BW8+BQ8*BX8+BR8*BY8+BS8*BZ8)/SUM(BM8,BN8,BO8,BP8,BQ8,BR8,BS8))</f>
        <v>0</v>
      </c>
      <c r="BE8" s="41" t="str">
        <f>IF(LEFT(AY8,1)="X",AY8,IF(OR(AY8="B+",AY8="C+"),INDEX(LAD_PC,MAX(1,MIN(14,MATCH(AY8,LAD_PC,0)+IF(BD8&gt;=0.5,1,IF(BD8&lt;=-0.5,-1,0))))),INDEX(LAD_STD,MAX(1,MIN(12,MATCH(AY8,LAD_STD,0)+IF(BD8&gt;=0.5,1,IF(BD8&lt;=-0.5,-1,0)))))))</f>
        <v>E1</v>
      </c>
      <c r="BF8" s="43" t="n"/>
      <c r="BG8" s="41" t="str">
        <f>IF(BF8&lt;&gt;"",BF8,BE8)</f>
        <v>E1</v>
      </c>
      <c r="BH8" s="40" t="str">
        <f>IFERROR(CHOOSE(INDEX(B_RANK,MATCH(BG8,B_LVL,0)),"Band A","Band B","B+ · Player-Coach","Band C","C+ · Player-Coach","Band D","Band E"),"Band X · Consultant")</f>
        <v>Band E</v>
      </c>
      <c r="BI8" s="40" t="str">
        <f>IF(BG8=AY8,"• Same",IF(INDEX(B_VAL,MATCH(BG8,B_LVL,0))&gt;INDEX(B_VAL,MATCH(AY8,B_LVL,0)),"▲ Up","▼ Down"))</f>
        <v>• Same</v>
      </c>
      <c r="BJ8" s="40" t="str">
        <f>IF(OR($M8="",$M8="—",$M8="Not in this file"),"",IFERROR(INDEX($BG$7:$BG$592,MATCH($M8,$D$7:$D$592,0)),""))</f>
        <v>E2</v>
      </c>
      <c r="BK8" s="40" t="str">
        <f>IFERROR(IF(BJ8="","—",IF(OR(LEFT(BG8,1)="X",LEFT(BJ8,1)="X"),"—",IF(AND(LEFT(BG8,1)="E",LEFT(BJ8,1)="E"),"Exception · Band E",IF(AND(INDEX(B_VAL,MATCH(BJ8,B_LVL,0))&gt;=7,INDEX(B_RANK,MATCH(BG8,B_LVL,0))&gt;=INDEX(B_RANK,MATCH(BJ8,B_LVL,0))),"⚠ Same band as a head manager",IF(INDEX(B_VAL,MATCH(BG8,B_LVL,0))&gt;=INDEX(B_VAL,MATCH(BJ8,B_LVL,0)),"⚠ At or above the manager's level","OK"))))),"—")</f>
        <v>Exception · Band E</v>
      </c>
      <c r="BL8" s="43" t="n"/>
      <c r="BM8" s="44">
        <f>IFERROR(INDEX(LMH_PTS,MATCH(Y8,LMH_KEY,0)),0)</f>
        <v>9</v>
      </c>
      <c r="BN8" s="38">
        <f>IFERROR(INDEX(LMH_PTS,MATCH(Z8,LMH_KEY,0)),0)</f>
        <v>3</v>
      </c>
      <c r="BO8" s="38">
        <f>IFERROR(INDEX(LMH_PTS,MATCH(AA8,LMH_KEY,0)),0)</f>
        <v>3</v>
      </c>
      <c r="BP8" s="38">
        <f>IFERROR(INDEX(LMH_PTS,MATCH(AB8,LMH_KEY,0)),0)</f>
        <v>3</v>
      </c>
      <c r="BQ8" s="38">
        <f>IFERROR(INDEX(LMH_PTS,MATCH(AC8,LMH_KEY,0)),0)</f>
        <v>1</v>
      </c>
      <c r="BR8" s="38">
        <f>IFERROR(INDEX(LMH_PTS,MATCH(AD8,LMH_KEY,0)),0)</f>
        <v>1</v>
      </c>
      <c r="BS8" s="38">
        <f>IFERROR(INDEX(LMH_PTS,MATCH(AE8,LMH_KEY,0)),0)</f>
        <v>1</v>
      </c>
      <c r="BT8" s="38">
        <f>IFERROR(INDEX(LMH_STEP,MATCH(AF8,LMH_KEY,0)),0)</f>
        <v>0</v>
      </c>
      <c r="BU8" s="38">
        <f>IFERROR(INDEX(LMH_STEP,MATCH(AG8,LMH_KEY,0)),0)</f>
        <v>0</v>
      </c>
      <c r="BV8" s="38">
        <f>IFERROR(INDEX(LMH_STEP,MATCH(AH8,LMH_KEY,0)),0)</f>
        <v>0</v>
      </c>
      <c r="BW8" s="38">
        <f>IFERROR(INDEX(LMH_STEP,MATCH(AI8,LMH_KEY,0)),0)</f>
        <v>0</v>
      </c>
      <c r="BX8" s="38">
        <f>IFERROR(INDEX(LMH_STEP,MATCH(AJ8,LMH_KEY,0)),0)</f>
        <v>0</v>
      </c>
      <c r="BY8" s="38">
        <f>IFERROR(INDEX(LMH_STEP,MATCH(AK8,LMH_KEY,0)),0)</f>
        <v>0</v>
      </c>
      <c r="BZ8" s="38">
        <f>IFERROR(INDEX(LMH_STEP,MATCH(AL8,LMH_KEY,0)),0)</f>
        <v>0</v>
      </c>
      <c r="CA8" s="38" t="inlineStr">
        <is>
          <t>CARBON|CRO - Carbon|Chief Revenue Officer|E1|DE</t>
        </is>
      </c>
    </row>
    <row r="9" ht="110" customHeight="1">
      <c r="A9" s="28" t="inlineStr">
        <is>
          <t>CARBON</t>
        </is>
      </c>
      <c r="B9" s="29" t="inlineStr">
        <is>
          <t>CARBON Business Head</t>
        </is>
      </c>
      <c r="C9" s="29" t="n">
        <v>2</v>
      </c>
      <c r="D9" s="29" t="inlineStr">
        <is>
          <t>IRIS0391</t>
        </is>
      </c>
      <c r="E9" s="29" t="inlineStr">
        <is>
          <t>Anuradha RK</t>
        </is>
      </c>
      <c r="F9" s="29" t="inlineStr">
        <is>
          <t>Business Head</t>
        </is>
      </c>
      <c r="G9" s="29" t="inlineStr">
        <is>
          <t>Business Head</t>
        </is>
      </c>
      <c r="H9" s="29" t="inlineStr">
        <is>
          <t>Executive Leadership</t>
        </is>
      </c>
      <c r="I9" s="29" t="inlineStr">
        <is>
          <t>Business Head</t>
        </is>
      </c>
      <c r="J9" s="29" t="inlineStr">
        <is>
          <t>People Manager</t>
        </is>
      </c>
      <c r="K9" s="29" t="inlineStr">
        <is>
          <t>RC-EL-BH-D2</t>
        </is>
      </c>
      <c r="L9" s="29" t="inlineStr">
        <is>
          <t>Dixit Jasani</t>
        </is>
      </c>
      <c r="M9" s="29" t="inlineStr">
        <is>
          <t>IRIS2478</t>
        </is>
      </c>
      <c r="N9" s="29" t="n">
        <v>17.1</v>
      </c>
      <c r="O9" s="29" t="n">
        <v>16.4</v>
      </c>
      <c r="P9" s="29" t="inlineStr">
        <is>
          <t>MBA</t>
        </is>
      </c>
      <c r="Q9" s="29" t="inlineStr">
        <is>
          <t>Not in current mapping files</t>
        </is>
      </c>
      <c r="R9" s="29" t="inlineStr">
        <is>
          <t>D2</t>
        </is>
      </c>
      <c r="S9" s="30" t="inlineStr">
        <is>
          <t>0 of 20</t>
        </is>
      </c>
      <c r="T9" s="31"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t>
        </is>
      </c>
      <c r="U9" s="32" t="inlineStr">
        <is>
          <t>KRAs not received · manager to supply</t>
        </is>
      </c>
      <c r="V9" s="31" t="inlineStr">
        <is>
          <t>Latest rating: Not rated · manager · 9-box: Not placed · manager · Readiness: No rating data</t>
        </is>
      </c>
      <c r="W9" s="31" t="inlineStr">
        <is>
          <t>C L · Au L · Ac L · L L · BI L · Exp L · 17.1 yrs vs 18–24 yrs · Edu M · MBA</t>
        </is>
      </c>
      <c r="X9" s="33" t="inlineStr">
        <is>
          <t>Open ▸</t>
        </is>
      </c>
      <c r="Y9" s="34" t="str">
        <f>IFERROR(INDEX(DL_C,MATCH($CA9,DL_KEY,0)),"M")</f>
        <v>H</v>
      </c>
      <c r="Z9" s="35" t="str">
        <f>IFERROR(INDEX(DL_Au,MATCH($CA9,DL_KEY,0)),"M")</f>
        <v>M</v>
      </c>
      <c r="AA9" s="35" t="str">
        <f>IFERROR(INDEX(DL_Ac,MATCH($CA9,DL_KEY,0)),"M")</f>
        <v>M</v>
      </c>
      <c r="AB9" s="35" t="str">
        <f>IFERROR(INDEX(DL_L,MATCH($CA9,DL_KEY,0)),"M")</f>
        <v>M</v>
      </c>
      <c r="AC9" s="35" t="str">
        <f>IFERROR(INDEX(DL_BI,MATCH($CA9,DL_KEY,0)),"M")</f>
        <v>L</v>
      </c>
      <c r="AD9" s="35" t="str">
        <f>IFERROR(INDEX(DL_Exp,MATCH($CA9,DL_KEY,0)),"M")</f>
        <v>L</v>
      </c>
      <c r="AE9" s="35" t="str">
        <f>IFERROR(INDEX(DL_Edu,MATCH($CA9,DL_KEY,0)),"M")</f>
        <v>L</v>
      </c>
      <c r="AF9" s="34" t="inlineStr">
        <is>
          <t>M</t>
        </is>
      </c>
      <c r="AG9" s="35" t="inlineStr">
        <is>
          <t>M</t>
        </is>
      </c>
      <c r="AH9" s="35" t="inlineStr">
        <is>
          <t>M</t>
        </is>
      </c>
      <c r="AI9" s="35" t="inlineStr">
        <is>
          <t>M</t>
        </is>
      </c>
      <c r="AJ9" s="35" t="inlineStr">
        <is>
          <t>M</t>
        </is>
      </c>
      <c r="AK9" s="35" t="inlineStr">
        <is>
          <t>M</t>
        </is>
      </c>
      <c r="AL9" s="35" t="inlineStr">
        <is>
          <t>M</t>
        </is>
      </c>
      <c r="AM9" s="36" t="n">
        <v>0.363</v>
      </c>
      <c r="AN9" s="37" t="n">
        <v>0.19</v>
      </c>
      <c r="AO9" s="37" t="n">
        <v>0.113</v>
      </c>
      <c r="AP9" s="37" t="n">
        <v>0.2</v>
      </c>
      <c r="AQ9" s="37" t="n">
        <v>0.08699999999999999</v>
      </c>
      <c r="AR9" s="37" t="n">
        <v>0.04</v>
      </c>
      <c r="AS9" s="37" t="n">
        <v>0.01</v>
      </c>
      <c r="AT9" s="38" t="inlineStr">
        <is>
          <t>18–24 yrs</t>
        </is>
      </c>
      <c r="AU9" s="38" t="inlineStr">
        <is>
          <t>Postgraduate / professional qualification preferred</t>
        </is>
      </c>
      <c r="AV9" s="38" t="inlineStr">
        <is>
          <t>5–8 AVPs / heads</t>
        </is>
      </c>
      <c r="AW9" s="38" t="inlineStr">
        <is>
          <t>E3–E4 · SFIA 7 Set strategy</t>
        </is>
      </c>
      <c r="AX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9" s="39" t="inlineStr">
        <is>
          <t>D2</t>
        </is>
      </c>
      <c r="AZ9" s="40" t="inlineStr">
        <is>
          <t>Band D · Business leadership · Senior Vice President / Business Head</t>
        </is>
      </c>
      <c r="BA9" s="40" t="inlineStr">
        <is>
          <t>Model D2 from the six ratings, the market-derived weights and rules R1–R13 · then No change · already below the manager</t>
        </is>
      </c>
      <c r="BB9" s="41" t="inlineStr">
        <is>
          <t>D1</t>
        </is>
      </c>
      <c r="BC9" s="40" t="inlineStr">
        <is>
          <t>The six ratings on the market-average weights of Bands D–E · Leadership score 9.02 → D1 · Hay, Mercer IPE and public plans · experience 17.1 yrs vs the D1 market range 15–20 yrs</t>
        </is>
      </c>
      <c r="BD9" s="42">
        <f>IF(SUM(BM9,BN9,BO9,BP9,BQ9,BR9,BS9)=0,0,(BM9*BT9+BN9*BU9+BO9*BV9+BP9*BW9+BQ9*BX9+BR9*BY9+BS9*BZ9)/SUM(BM9,BN9,BO9,BP9,BQ9,BR9,BS9))</f>
        <v>0</v>
      </c>
      <c r="BE9" s="41" t="str">
        <f>IF(LEFT(AY9,1)="X",AY9,IF(OR(AY9="B+",AY9="C+"),INDEX(LAD_PC,MAX(1,MIN(14,MATCH(AY9,LAD_PC,0)+IF(BD9&gt;=0.5,1,IF(BD9&lt;=-0.5,-1,0))))),INDEX(LAD_STD,MAX(1,MIN(12,MATCH(AY9,LAD_STD,0)+IF(BD9&gt;=0.5,1,IF(BD9&lt;=-0.5,-1,0)))))))</f>
        <v>D2</v>
      </c>
      <c r="BF9" s="43" t="n"/>
      <c r="BG9" s="41" t="str">
        <f>IF(BF9&lt;&gt;"",BF9,BE9)</f>
        <v>D2</v>
      </c>
      <c r="BH9" s="40" t="str">
        <f>IFERROR(CHOOSE(INDEX(B_RANK,MATCH(BG9,B_LVL,0)),"Band A","Band B","B+ · Player-Coach","Band C","C+ · Player-Coach","Band D","Band E"),"Band X · Consultant")</f>
        <v>Band D</v>
      </c>
      <c r="BI9" s="40" t="str">
        <f>IF(BG9=AY9,"• Same",IF(INDEX(B_VAL,MATCH(BG9,B_LVL,0))&gt;INDEX(B_VAL,MATCH(AY9,B_LVL,0)),"▲ Up","▼ Down"))</f>
        <v>• Same</v>
      </c>
      <c r="BJ9" s="40" t="str">
        <f>IF(OR($M9="",$M9="—",$M9="Not in this file"),"",IFERROR(INDEX($BG$7:$BG$592,MATCH($M9,$D$7:$D$592,0)),""))</f>
        <v>E1</v>
      </c>
      <c r="BK9" s="40" t="str">
        <f>IFERROR(IF(BJ9="","—",IF(OR(LEFT(BG9,1)="X",LEFT(BJ9,1)="X"),"—",IF(AND(LEFT(BG9,1)="E",LEFT(BJ9,1)="E"),"Exception · Band E",IF(AND(INDEX(B_VAL,MATCH(BJ9,B_LVL,0))&gt;=7,INDEX(B_RANK,MATCH(BG9,B_LVL,0))&gt;=INDEX(B_RANK,MATCH(BJ9,B_LVL,0))),"⚠ Same band as a head manager",IF(INDEX(B_VAL,MATCH(BG9,B_LVL,0))&gt;=INDEX(B_VAL,MATCH(BJ9,B_LVL,0)),"⚠ At or above the manager's level","OK"))))),"—")</f>
        <v>OK</v>
      </c>
      <c r="BL9" s="43" t="n"/>
      <c r="BM9" s="44">
        <f>IFERROR(INDEX(LMH_PTS,MATCH(Y9,LMH_KEY,0)),0)</f>
        <v>9</v>
      </c>
      <c r="BN9" s="38">
        <f>IFERROR(INDEX(LMH_PTS,MATCH(Z9,LMH_KEY,0)),0)</f>
        <v>3</v>
      </c>
      <c r="BO9" s="38">
        <f>IFERROR(INDEX(LMH_PTS,MATCH(AA9,LMH_KEY,0)),0)</f>
        <v>3</v>
      </c>
      <c r="BP9" s="38">
        <f>IFERROR(INDEX(LMH_PTS,MATCH(AB9,LMH_KEY,0)),0)</f>
        <v>3</v>
      </c>
      <c r="BQ9" s="38">
        <f>IFERROR(INDEX(LMH_PTS,MATCH(AC9,LMH_KEY,0)),0)</f>
        <v>1</v>
      </c>
      <c r="BR9" s="38">
        <f>IFERROR(INDEX(LMH_PTS,MATCH(AD9,LMH_KEY,0)),0)</f>
        <v>1</v>
      </c>
      <c r="BS9" s="38">
        <f>IFERROR(INDEX(LMH_PTS,MATCH(AE9,LMH_KEY,0)),0)</f>
        <v>1</v>
      </c>
      <c r="BT9" s="38">
        <f>IFERROR(INDEX(LMH_STEP,MATCH(AF9,LMH_KEY,0)),0)</f>
        <v>0</v>
      </c>
      <c r="BU9" s="38">
        <f>IFERROR(INDEX(LMH_STEP,MATCH(AG9,LMH_KEY,0)),0)</f>
        <v>0</v>
      </c>
      <c r="BV9" s="38">
        <f>IFERROR(INDEX(LMH_STEP,MATCH(AH9,LMH_KEY,0)),0)</f>
        <v>0</v>
      </c>
      <c r="BW9" s="38">
        <f>IFERROR(INDEX(LMH_STEP,MATCH(AI9,LMH_KEY,0)),0)</f>
        <v>0</v>
      </c>
      <c r="BX9" s="38">
        <f>IFERROR(INDEX(LMH_STEP,MATCH(AJ9,LMH_KEY,0)),0)</f>
        <v>0</v>
      </c>
      <c r="BY9" s="38">
        <f>IFERROR(INDEX(LMH_STEP,MATCH(AK9,LMH_KEY,0)),0)</f>
        <v>0</v>
      </c>
      <c r="BZ9" s="38">
        <f>IFERROR(INDEX(LMH_STEP,MATCH(AL9,LMH_KEY,0)),0)</f>
        <v>0</v>
      </c>
      <c r="CA9" s="38" t="inlineStr">
        <is>
          <t>CARBON|CARBON Business Head|Business Head|D2|DE</t>
        </is>
      </c>
    </row>
    <row r="10" ht="110" customHeight="1">
      <c r="A10" s="28" t="inlineStr">
        <is>
          <t>CARBON</t>
        </is>
      </c>
      <c r="B10" s="29" t="inlineStr">
        <is>
          <t>Customer Experience</t>
        </is>
      </c>
      <c r="C10" s="29" t="n">
        <v>3</v>
      </c>
      <c r="D10" s="29" t="inlineStr">
        <is>
          <t>IRIS2359</t>
        </is>
      </c>
      <c r="E10" s="29" t="inlineStr">
        <is>
          <t>Suman Adhikary</t>
        </is>
      </c>
      <c r="F10" s="29" t="inlineStr">
        <is>
          <t>Senior Vice President - Customer Experience</t>
        </is>
      </c>
      <c r="G10" s="29" t="inlineStr">
        <is>
          <t>Senior Vice President – Customer Experience</t>
        </is>
      </c>
      <c r="H10" s="29" t="inlineStr">
        <is>
          <t>Executive Leadership</t>
        </is>
      </c>
      <c r="I10" s="29" t="inlineStr">
        <is>
          <t>Business Head</t>
        </is>
      </c>
      <c r="J10" s="29" t="inlineStr">
        <is>
          <t>People Manager</t>
        </is>
      </c>
      <c r="K10" s="29" t="inlineStr">
        <is>
          <t>RC-EL-BH-D1</t>
        </is>
      </c>
      <c r="L10" s="29" t="inlineStr">
        <is>
          <t>Anuradha RK</t>
        </is>
      </c>
      <c r="M10" s="29" t="inlineStr">
        <is>
          <t>IRIS0391</t>
        </is>
      </c>
      <c r="N10" s="29" t="n">
        <v>28.7</v>
      </c>
      <c r="O10" s="29" t="n">
        <v>1.5</v>
      </c>
      <c r="P10" s="29" t="inlineStr">
        <is>
          <t>B.E</t>
        </is>
      </c>
      <c r="Q10" s="29" t="inlineStr">
        <is>
          <t>Not in current mapping files</t>
        </is>
      </c>
      <c r="R10" s="29" t="inlineStr">
        <is>
          <t>D1</t>
        </is>
      </c>
      <c r="S10" s="30" t="inlineStr">
        <is>
          <t>0 of 20</t>
        </is>
      </c>
      <c r="T10" s="31"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t>
        </is>
      </c>
      <c r="U10" s="32" t="inlineStr">
        <is>
          <t>KRAs not received · manager to supply</t>
        </is>
      </c>
      <c r="V10" s="31" t="inlineStr">
        <is>
          <t>Latest rating: Not rated · manager · 9-box: Underperformer / Exit Risk · Readiness: No rating data</t>
        </is>
      </c>
      <c r="W10" s="31" t="inlineStr">
        <is>
          <t>C H · Au H · Ac H · L H · BI H · Exp H · 28.7 yrs vs 12–17 yrs · Edu L · B.E</t>
        </is>
      </c>
      <c r="X10" s="33" t="inlineStr">
        <is>
          <t>Open ▸</t>
        </is>
      </c>
      <c r="Y10" s="34" t="str">
        <f>IFERROR(INDEX(DL_C,MATCH($CA10,DL_KEY,0)),"M")</f>
        <v>H</v>
      </c>
      <c r="Z10" s="35" t="str">
        <f>IFERROR(INDEX(DL_Au,MATCH($CA10,DL_KEY,0)),"M")</f>
        <v>M</v>
      </c>
      <c r="AA10" s="35" t="str">
        <f>IFERROR(INDEX(DL_Ac,MATCH($CA10,DL_KEY,0)),"M")</f>
        <v>M</v>
      </c>
      <c r="AB10" s="35" t="str">
        <f>IFERROR(INDEX(DL_L,MATCH($CA10,DL_KEY,0)),"M")</f>
        <v>M</v>
      </c>
      <c r="AC10" s="35" t="str">
        <f>IFERROR(INDEX(DL_BI,MATCH($CA10,DL_KEY,0)),"M")</f>
        <v>L</v>
      </c>
      <c r="AD10" s="35" t="str">
        <f>IFERROR(INDEX(DL_Exp,MATCH($CA10,DL_KEY,0)),"M")</f>
        <v>L</v>
      </c>
      <c r="AE10" s="35" t="str">
        <f>IFERROR(INDEX(DL_Edu,MATCH($CA10,DL_KEY,0)),"M")</f>
        <v>L</v>
      </c>
      <c r="AF10" s="34" t="inlineStr">
        <is>
          <t>M</t>
        </is>
      </c>
      <c r="AG10" s="35" t="inlineStr">
        <is>
          <t>M</t>
        </is>
      </c>
      <c r="AH10" s="35" t="inlineStr">
        <is>
          <t>M</t>
        </is>
      </c>
      <c r="AI10" s="35" t="inlineStr">
        <is>
          <t>M</t>
        </is>
      </c>
      <c r="AJ10" s="35" t="inlineStr">
        <is>
          <t>M</t>
        </is>
      </c>
      <c r="AK10" s="35" t="inlineStr">
        <is>
          <t>M</t>
        </is>
      </c>
      <c r="AL10" s="35" t="inlineStr">
        <is>
          <t>M</t>
        </is>
      </c>
      <c r="AM10" s="36" t="n">
        <v>0.433</v>
      </c>
      <c r="AN10" s="37" t="n">
        <v>0.18</v>
      </c>
      <c r="AO10" s="37" t="n">
        <v>0.107</v>
      </c>
      <c r="AP10" s="37" t="n">
        <v>0.15</v>
      </c>
      <c r="AQ10" s="37" t="n">
        <v>0.08</v>
      </c>
      <c r="AR10" s="37" t="n">
        <v>0.04</v>
      </c>
      <c r="AS10" s="37" t="n">
        <v>0.01</v>
      </c>
      <c r="AT10" s="38" t="inlineStr">
        <is>
          <t>12–17 yrs</t>
        </is>
      </c>
      <c r="AU10" s="38" t="inlineStr">
        <is>
          <t>Postgraduate / professional qualification preferred</t>
        </is>
      </c>
      <c r="AV10" s="38" t="inlineStr">
        <is>
          <t>5–8 managers / associate heads</t>
        </is>
      </c>
      <c r="AW10" s="38" t="inlineStr">
        <is>
          <t>P7 / M6 · SFIA 6 Initiate, influence</t>
        </is>
      </c>
      <c r="AX1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0" s="39" t="inlineStr">
        <is>
          <t>C2</t>
        </is>
      </c>
      <c r="AZ10" s="40" t="inlineStr">
        <is>
          <t>Band C · Principal / Head · Head of Function</t>
        </is>
      </c>
      <c r="BA10" s="40" t="inlineStr">
        <is>
          <t>Model D1 from the six ratings, the market-derived weights and rules R1–R13 · then Band rule: manager D2 is a head in Band D · Business leadership; a reportee sits in a lower band · D1 → C2 · move down · pay and title protected for one cycle</t>
        </is>
      </c>
      <c r="BB10" s="41" t="inlineStr">
        <is>
          <t>D2</t>
        </is>
      </c>
      <c r="BC10" s="40" t="inlineStr">
        <is>
          <t>The six ratings on the market-average weights of Band C · Head / manager score 10.10 → D2 · Hay, Mercer IPE and public plans · experience 28.7 yrs vs the D2 market range 18–24 yrs</t>
        </is>
      </c>
      <c r="BD10" s="42">
        <f>IF(SUM(BM10,BN10,BO10,BP10,BQ10,BR10,BS10)=0,0,(BM10*BT10+BN10*BU10+BO10*BV10+BP10*BW10+BQ10*BX10+BR10*BY10+BS10*BZ10)/SUM(BM10,BN10,BO10,BP10,BQ10,BR10,BS10))</f>
        <v>0</v>
      </c>
      <c r="BE10" s="41" t="str">
        <f>IF(LEFT(AY10,1)="X",AY10,IF(OR(AY10="B+",AY10="C+"),INDEX(LAD_PC,MAX(1,MIN(14,MATCH(AY10,LAD_PC,0)+IF(BD10&gt;=0.5,1,IF(BD10&lt;=-0.5,-1,0))))),INDEX(LAD_STD,MAX(1,MIN(12,MATCH(AY10,LAD_STD,0)+IF(BD10&gt;=0.5,1,IF(BD10&lt;=-0.5,-1,0)))))))</f>
        <v>C2</v>
      </c>
      <c r="BF10" s="43" t="n"/>
      <c r="BG10" s="41" t="str">
        <f>IF(BF10&lt;&gt;"",BF10,BE10)</f>
        <v>C2</v>
      </c>
      <c r="BH10" s="40" t="str">
        <f>IFERROR(CHOOSE(INDEX(B_RANK,MATCH(BG10,B_LVL,0)),"Band A","Band B","B+ · Player-Coach","Band C","C+ · Player-Coach","Band D","Band E"),"Band X · Consultant")</f>
        <v>Band C</v>
      </c>
      <c r="BI10" s="40" t="str">
        <f>IF(BG10=AY10,"• Same",IF(INDEX(B_VAL,MATCH(BG10,B_LVL,0))&gt;INDEX(B_VAL,MATCH(AY10,B_LVL,0)),"▲ Up","▼ Down"))</f>
        <v>• Same</v>
      </c>
      <c r="BJ10" s="40" t="str">
        <f>IF(OR($M10="",$M10="—",$M10="Not in this file"),"",IFERROR(INDEX($BG$7:$BG$592,MATCH($M10,$D$7:$D$592,0)),""))</f>
        <v>D2</v>
      </c>
      <c r="BK10" s="40" t="str">
        <f>IFERROR(IF(BJ10="","—",IF(OR(LEFT(BG10,1)="X",LEFT(BJ10,1)="X"),"—",IF(AND(LEFT(BG10,1)="E",LEFT(BJ10,1)="E"),"Exception · Band E",IF(AND(INDEX(B_VAL,MATCH(BJ10,B_LVL,0))&gt;=7,INDEX(B_RANK,MATCH(BG10,B_LVL,0))&gt;=INDEX(B_RANK,MATCH(BJ10,B_LVL,0))),"⚠ Same band as a head manager",IF(INDEX(B_VAL,MATCH(BG10,B_LVL,0))&gt;=INDEX(B_VAL,MATCH(BJ10,B_LVL,0)),"⚠ At or above the manager's level","OK"))))),"—")</f>
        <v>OK</v>
      </c>
      <c r="BL10" s="43" t="n"/>
      <c r="BM10" s="44">
        <f>IFERROR(INDEX(LMH_PTS,MATCH(Y10,LMH_KEY,0)),0)</f>
        <v>9</v>
      </c>
      <c r="BN10" s="38">
        <f>IFERROR(INDEX(LMH_PTS,MATCH(Z10,LMH_KEY,0)),0)</f>
        <v>3</v>
      </c>
      <c r="BO10" s="38">
        <f>IFERROR(INDEX(LMH_PTS,MATCH(AA10,LMH_KEY,0)),0)</f>
        <v>3</v>
      </c>
      <c r="BP10" s="38">
        <f>IFERROR(INDEX(LMH_PTS,MATCH(AB10,LMH_KEY,0)),0)</f>
        <v>3</v>
      </c>
      <c r="BQ10" s="38">
        <f>IFERROR(INDEX(LMH_PTS,MATCH(AC10,LMH_KEY,0)),0)</f>
        <v>1</v>
      </c>
      <c r="BR10" s="38">
        <f>IFERROR(INDEX(LMH_PTS,MATCH(AD10,LMH_KEY,0)),0)</f>
        <v>1</v>
      </c>
      <c r="BS10" s="38">
        <f>IFERROR(INDEX(LMH_PTS,MATCH(AE10,LMH_KEY,0)),0)</f>
        <v>1</v>
      </c>
      <c r="BT10" s="38">
        <f>IFERROR(INDEX(LMH_STEP,MATCH(AF10,LMH_KEY,0)),0)</f>
        <v>0</v>
      </c>
      <c r="BU10" s="38">
        <f>IFERROR(INDEX(LMH_STEP,MATCH(AG10,LMH_KEY,0)),0)</f>
        <v>0</v>
      </c>
      <c r="BV10" s="38">
        <f>IFERROR(INDEX(LMH_STEP,MATCH(AH10,LMH_KEY,0)),0)</f>
        <v>0</v>
      </c>
      <c r="BW10" s="38">
        <f>IFERROR(INDEX(LMH_STEP,MATCH(AI10,LMH_KEY,0)),0)</f>
        <v>0</v>
      </c>
      <c r="BX10" s="38">
        <f>IFERROR(INDEX(LMH_STEP,MATCH(AJ10,LMH_KEY,0)),0)</f>
        <v>0</v>
      </c>
      <c r="BY10" s="38">
        <f>IFERROR(INDEX(LMH_STEP,MATCH(AK10,LMH_KEY,0)),0)</f>
        <v>0</v>
      </c>
      <c r="BZ10" s="38">
        <f>IFERROR(INDEX(LMH_STEP,MATCH(AL10,LMH_KEY,0)),0)</f>
        <v>0</v>
      </c>
      <c r="CA10" s="38" t="inlineStr">
        <is>
          <t>CARBON|Customer Experience|Senior Vice President – Customer Experience|C2|C-M</t>
        </is>
      </c>
    </row>
    <row r="11" ht="110" customHeight="1">
      <c r="A11" s="28" t="inlineStr">
        <is>
          <t>CARBON</t>
        </is>
      </c>
      <c r="B11" s="29" t="inlineStr">
        <is>
          <t>Support</t>
        </is>
      </c>
      <c r="C11" s="29" t="n">
        <v>4</v>
      </c>
      <c r="D11" s="29" t="inlineStr">
        <is>
          <t>IRIS1335</t>
        </is>
      </c>
      <c r="E11" s="29" t="inlineStr">
        <is>
          <t>Anushree Aparajit</t>
        </is>
      </c>
      <c r="F11" s="29" t="inlineStr">
        <is>
          <t>Global Customer Success Head</t>
        </is>
      </c>
      <c r="G11" s="29" t="inlineStr">
        <is>
          <t>Associate Head – Customer Success</t>
        </is>
      </c>
      <c r="H11" s="29" t="inlineStr">
        <is>
          <t>Executive Leadership</t>
        </is>
      </c>
      <c r="I11" s="29" t="inlineStr">
        <is>
          <t>Business Head</t>
        </is>
      </c>
      <c r="J11" s="29" t="inlineStr">
        <is>
          <t>People Manager</t>
        </is>
      </c>
      <c r="K11" s="29" t="inlineStr">
        <is>
          <t>RC-EL-BH-C1</t>
        </is>
      </c>
      <c r="L11" s="29" t="inlineStr">
        <is>
          <t>Suman Adhikary</t>
        </is>
      </c>
      <c r="M11" s="29" t="inlineStr">
        <is>
          <t>IRIS2359</t>
        </is>
      </c>
      <c r="N11" s="29" t="n">
        <v>14.6</v>
      </c>
      <c r="O11" s="29" t="n">
        <v>13.3</v>
      </c>
      <c r="P11" s="29" t="inlineStr">
        <is>
          <t>CA</t>
        </is>
      </c>
      <c r="Q11" s="29" t="inlineStr">
        <is>
          <t>L7 – Head / Sr Director</t>
        </is>
      </c>
      <c r="R11" s="29" t="inlineStr">
        <is>
          <t>C1</t>
        </is>
      </c>
      <c r="S11" s="30" t="inlineStr">
        <is>
          <t>0 of 20</t>
        </is>
      </c>
      <c r="T11" s="31"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t>
        </is>
      </c>
      <c r="U11" s="31" t="inlineStr">
        <is>
          <t>Received · manager annual · Net Revenue Retention ≥100–105%
Target ARR - to be achieved - INR 2.35 CR
90% reach value milestone in 90 days
Develop advocates · Promoter per CEM
Produce case studies annually
CSAT ≥90%
NPS ≥30
100% QBR coverage for accounts
100% CRM hygiene maintained
Renewal forecast accuracy ≥95%
Outstanding receivables ≤45 …</t>
        </is>
      </c>
      <c r="V11" s="31" t="inlineStr">
        <is>
          <t>Latest rating: 4 · Potential: Medium · 9-box: High Impact / Growth Talent · Readiness: Ready in 6–12 months</t>
        </is>
      </c>
      <c r="W11" s="31" t="inlineStr">
        <is>
          <t>C H · Au H · Ac M · L H · BI H · Exp H · 14.6 yrs vs 8–12 yrs · Edu H · CA</t>
        </is>
      </c>
      <c r="X11" s="33" t="inlineStr">
        <is>
          <t>Open ▸</t>
        </is>
      </c>
      <c r="Y11" s="34" t="str">
        <f>IFERROR(INDEX(DL_C,MATCH($CA11,DL_KEY,0)),"M")</f>
        <v>H</v>
      </c>
      <c r="Z11" s="35" t="str">
        <f>IFERROR(INDEX(DL_Au,MATCH($CA11,DL_KEY,0)),"M")</f>
        <v>M</v>
      </c>
      <c r="AA11" s="35" t="str">
        <f>IFERROR(INDEX(DL_Ac,MATCH($CA11,DL_KEY,0)),"M")</f>
        <v>M</v>
      </c>
      <c r="AB11" s="35" t="str">
        <f>IFERROR(INDEX(DL_L,MATCH($CA11,DL_KEY,0)),"M")</f>
        <v>M</v>
      </c>
      <c r="AC11" s="35" t="str">
        <f>IFERROR(INDEX(DL_BI,MATCH($CA11,DL_KEY,0)),"M")</f>
        <v>L</v>
      </c>
      <c r="AD11" s="35" t="str">
        <f>IFERROR(INDEX(DL_Exp,MATCH($CA11,DL_KEY,0)),"M")</f>
        <v>L</v>
      </c>
      <c r="AE11" s="35" t="str">
        <f>IFERROR(INDEX(DL_Edu,MATCH($CA11,DL_KEY,0)),"M")</f>
        <v>L</v>
      </c>
      <c r="AF11" s="34" t="inlineStr">
        <is>
          <t>M</t>
        </is>
      </c>
      <c r="AG11" s="35" t="inlineStr">
        <is>
          <t>M</t>
        </is>
      </c>
      <c r="AH11" s="35" t="inlineStr">
        <is>
          <t>M</t>
        </is>
      </c>
      <c r="AI11" s="35" t="inlineStr">
        <is>
          <t>M</t>
        </is>
      </c>
      <c r="AJ11" s="35" t="inlineStr">
        <is>
          <t>M</t>
        </is>
      </c>
      <c r="AK11" s="35" t="inlineStr">
        <is>
          <t>M</t>
        </is>
      </c>
      <c r="AL11" s="35" t="inlineStr">
        <is>
          <t>M</t>
        </is>
      </c>
      <c r="AM11" s="36" t="n">
        <v>0.37</v>
      </c>
      <c r="AN11" s="37" t="n">
        <v>0.183</v>
      </c>
      <c r="AO11" s="37" t="n">
        <v>0.113</v>
      </c>
      <c r="AP11" s="37" t="n">
        <v>0.15</v>
      </c>
      <c r="AQ11" s="37" t="n">
        <v>0.08699999999999999</v>
      </c>
      <c r="AR11" s="37" t="n">
        <v>0.06</v>
      </c>
      <c r="AS11" s="37" t="n">
        <v>0.04</v>
      </c>
      <c r="AT11" s="38" t="inlineStr">
        <is>
          <t>8–13</t>
        </is>
      </c>
      <c r="AU11" s="38" t="inlineStr">
        <is>
          <t>Postgraduate or professional qualification preferred</t>
        </is>
      </c>
      <c r="AV11" s="38" t="inlineStr">
        <is>
          <t>IC: none · People: 5–8 incl. team leads</t>
        </is>
      </c>
      <c r="AW11" s="38" t="inlineStr">
        <is>
          <t>P5 / M4 · SFIA 5 Ensure, advise</t>
        </is>
      </c>
      <c r="AX1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1" s="39" t="inlineStr">
        <is>
          <t>B3</t>
        </is>
      </c>
      <c r="AZ11" s="40" t="inlineStr">
        <is>
          <t>Band B · Specialist / Manager · Senior Manager</t>
        </is>
      </c>
      <c r="BA11" s="40" t="inlineStr">
        <is>
          <t>Model C1 from the six ratings, the market-derived weights and rules R1–R13 · then Band rule: manager C2 is a head in Band C · Principal / Head; a reportee sits in a lower band · C1 → B3 · move down · pay and title protected for one cycle</t>
        </is>
      </c>
      <c r="BB11" s="41" t="inlineStr">
        <is>
          <t>C2</t>
        </is>
      </c>
      <c r="BC11" s="40" t="inlineStr">
        <is>
          <t>The six ratings on the market-average weights of Band B · People Manager score 7.69 → C2 · Hay, Mercer IPE and public plans · experience 14.6 yrs vs the C2 market range 12–17 yrs</t>
        </is>
      </c>
      <c r="BD11" s="42">
        <f>IF(SUM(BM11,BN11,BO11,BP11,BQ11,BR11,BS11)=0,0,(BM11*BT11+BN11*BU11+BO11*BV11+BP11*BW11+BQ11*BX11+BR11*BY11+BS11*BZ11)/SUM(BM11,BN11,BO11,BP11,BQ11,BR11,BS11))</f>
        <v>0</v>
      </c>
      <c r="BE11" s="41" t="str">
        <f>IF(LEFT(AY11,1)="X",AY11,IF(OR(AY11="B+",AY11="C+"),INDEX(LAD_PC,MAX(1,MIN(14,MATCH(AY11,LAD_PC,0)+IF(BD11&gt;=0.5,1,IF(BD11&lt;=-0.5,-1,0))))),INDEX(LAD_STD,MAX(1,MIN(12,MATCH(AY11,LAD_STD,0)+IF(BD11&gt;=0.5,1,IF(BD11&lt;=-0.5,-1,0)))))))</f>
        <v>B3</v>
      </c>
      <c r="BF11" s="43" t="n"/>
      <c r="BG11" s="41" t="str">
        <f>IF(BF11&lt;&gt;"",BF11,BE11)</f>
        <v>B3</v>
      </c>
      <c r="BH11" s="40" t="str">
        <f>IFERROR(CHOOSE(INDEX(B_RANK,MATCH(BG11,B_LVL,0)),"Band A","Band B","B+ · Player-Coach","Band C","C+ · Player-Coach","Band D","Band E"),"Band X · Consultant")</f>
        <v>Band B</v>
      </c>
      <c r="BI11" s="40" t="str">
        <f>IF(BG11=AY11,"• Same",IF(INDEX(B_VAL,MATCH(BG11,B_LVL,0))&gt;INDEX(B_VAL,MATCH(AY11,B_LVL,0)),"▲ Up","▼ Down"))</f>
        <v>• Same</v>
      </c>
      <c r="BJ11" s="40" t="str">
        <f>IF(OR($M11="",$M11="—",$M11="Not in this file"),"",IFERROR(INDEX($BG$7:$BG$592,MATCH($M11,$D$7:$D$592,0)),""))</f>
        <v>C2</v>
      </c>
      <c r="BK11" s="40" t="str">
        <f>IFERROR(IF(BJ11="","—",IF(OR(LEFT(BG11,1)="X",LEFT(BJ11,1)="X"),"—",IF(AND(LEFT(BG11,1)="E",LEFT(BJ11,1)="E"),"Exception · Band E",IF(AND(INDEX(B_VAL,MATCH(BJ11,B_LVL,0))&gt;=7,INDEX(B_RANK,MATCH(BG11,B_LVL,0))&gt;=INDEX(B_RANK,MATCH(BJ11,B_LVL,0))),"⚠ Same band as a head manager",IF(INDEX(B_VAL,MATCH(BG11,B_LVL,0))&gt;=INDEX(B_VAL,MATCH(BJ11,B_LVL,0)),"⚠ At or above the manager's level","OK"))))),"—")</f>
        <v>OK</v>
      </c>
      <c r="BL11" s="43" t="n"/>
      <c r="BM11" s="44">
        <f>IFERROR(INDEX(LMH_PTS,MATCH(Y11,LMH_KEY,0)),0)</f>
        <v>9</v>
      </c>
      <c r="BN11" s="38">
        <f>IFERROR(INDEX(LMH_PTS,MATCH(Z11,LMH_KEY,0)),0)</f>
        <v>3</v>
      </c>
      <c r="BO11" s="38">
        <f>IFERROR(INDEX(LMH_PTS,MATCH(AA11,LMH_KEY,0)),0)</f>
        <v>3</v>
      </c>
      <c r="BP11" s="38">
        <f>IFERROR(INDEX(LMH_PTS,MATCH(AB11,LMH_KEY,0)),0)</f>
        <v>3</v>
      </c>
      <c r="BQ11" s="38">
        <f>IFERROR(INDEX(LMH_PTS,MATCH(AC11,LMH_KEY,0)),0)</f>
        <v>1</v>
      </c>
      <c r="BR11" s="38">
        <f>IFERROR(INDEX(LMH_PTS,MATCH(AD11,LMH_KEY,0)),0)</f>
        <v>1</v>
      </c>
      <c r="BS11" s="38">
        <f>IFERROR(INDEX(LMH_PTS,MATCH(AE11,LMH_KEY,0)),0)</f>
        <v>1</v>
      </c>
      <c r="BT11" s="38">
        <f>IFERROR(INDEX(LMH_STEP,MATCH(AF11,LMH_KEY,0)),0)</f>
        <v>0</v>
      </c>
      <c r="BU11" s="38">
        <f>IFERROR(INDEX(LMH_STEP,MATCH(AG11,LMH_KEY,0)),0)</f>
        <v>0</v>
      </c>
      <c r="BV11" s="38">
        <f>IFERROR(INDEX(LMH_STEP,MATCH(AH11,LMH_KEY,0)),0)</f>
        <v>0</v>
      </c>
      <c r="BW11" s="38">
        <f>IFERROR(INDEX(LMH_STEP,MATCH(AI11,LMH_KEY,0)),0)</f>
        <v>0</v>
      </c>
      <c r="BX11" s="38">
        <f>IFERROR(INDEX(LMH_STEP,MATCH(AJ11,LMH_KEY,0)),0)</f>
        <v>0</v>
      </c>
      <c r="BY11" s="38">
        <f>IFERROR(INDEX(LMH_STEP,MATCH(AK11,LMH_KEY,0)),0)</f>
        <v>0</v>
      </c>
      <c r="BZ11" s="38">
        <f>IFERROR(INDEX(LMH_STEP,MATCH(AL11,LMH_KEY,0)),0)</f>
        <v>0</v>
      </c>
      <c r="CA11" s="38" t="inlineStr">
        <is>
          <t>CARBON|Support|Associate Head – Customer Success|B3|B-M</t>
        </is>
      </c>
    </row>
    <row r="12" ht="110" customHeight="1">
      <c r="A12" s="28" t="inlineStr">
        <is>
          <t>CARBON</t>
        </is>
      </c>
      <c r="B12" s="29" t="inlineStr">
        <is>
          <t>Support</t>
        </is>
      </c>
      <c r="C12" s="29" t="n">
        <v>5</v>
      </c>
      <c r="D12" s="29" t="inlineStr">
        <is>
          <t>IRIS1935</t>
        </is>
      </c>
      <c r="E12" s="29" t="inlineStr">
        <is>
          <t>Chinmayi Patil</t>
        </is>
      </c>
      <c r="F12" s="29" t="inlineStr">
        <is>
          <t>Customer Success Manager</t>
        </is>
      </c>
      <c r="G12" s="29" t="inlineStr">
        <is>
          <t>Customer Success Specialist</t>
        </is>
      </c>
      <c r="H12" s="29" t="inlineStr">
        <is>
          <t>Customer Success &amp; Support</t>
        </is>
      </c>
      <c r="I12" s="29" t="inlineStr">
        <is>
          <t>Customer Success &amp; Account Management</t>
        </is>
      </c>
      <c r="J12" s="29" t="inlineStr">
        <is>
          <t>IC</t>
        </is>
      </c>
      <c r="K12" s="29" t="inlineStr">
        <is>
          <t>RC-036</t>
        </is>
      </c>
      <c r="L12" s="29" t="inlineStr">
        <is>
          <t>Anushree Aparajit</t>
        </is>
      </c>
      <c r="M12" s="29" t="inlineStr">
        <is>
          <t>IRIS1335</t>
        </is>
      </c>
      <c r="N12" s="29" t="n">
        <v>5.2</v>
      </c>
      <c r="O12" s="29" t="n">
        <v>5.2</v>
      </c>
      <c r="P12" s="29" t="inlineStr">
        <is>
          <t>MMS</t>
        </is>
      </c>
      <c r="Q12" s="29" t="inlineStr">
        <is>
          <t>L5 – Manager</t>
        </is>
      </c>
      <c r="R12" s="29" t="inlineStr">
        <is>
          <t>B2</t>
        </is>
      </c>
      <c r="S12" s="30" t="inlineStr">
        <is>
          <t>20 of 20</t>
        </is>
      </c>
      <c r="T12" s="31" t="inlineStr">
        <is>
          <t>• Role / sub-team: Support — Customer Success Manager.
• Core purpose: Post sales customer journey, retention and renewal, up sell and cross sell of other products for account expansion and revenue growth.
• Decision-making autonomy: Can independently product training material.
• Is this something only they do: Most of us.
• What's different about this …</t>
        </is>
      </c>
      <c r="U12" s="31" t="inlineStr">
        <is>
          <t>Received · manager annual · Net Revenue Retention ≥100–105%
Target ARR - to be achieved: INR 3000000
90% reach value milestone in 90 days
Develop advocates · Promoter per CEM
Produce case studies annually
CSAT ≥90%
NPS ≥30
100% QBR coverage for accounts
100% CRM hygiene maintained
Renewal forecast accuracy ≥95%
Outstanding receivables ≤45 …</t>
        </is>
      </c>
      <c r="V12" s="31" t="inlineStr">
        <is>
          <t>Latest rating: 4 · Potential: High · 9-box: Future Leader · Readiness: Ready now</t>
        </is>
      </c>
      <c r="W12" s="31" t="inlineStr">
        <is>
          <t>C M · Au M · Ac M · L L · BI M · Exp L · 5.2 yrs vs 6–9 yrs · Edu H · MMS</t>
        </is>
      </c>
      <c r="X12" s="33" t="inlineStr">
        <is>
          <t>Open ▸</t>
        </is>
      </c>
      <c r="Y12" s="34" t="str">
        <f>IFERROR(INDEX(DL_C,MATCH($CA12,DL_KEY,0)),"M")</f>
        <v>H</v>
      </c>
      <c r="Z12" s="35" t="str">
        <f>IFERROR(INDEX(DL_Au,MATCH($CA12,DL_KEY,0)),"M")</f>
        <v>M</v>
      </c>
      <c r="AA12" s="35" t="str">
        <f>IFERROR(INDEX(DL_Ac,MATCH($CA12,DL_KEY,0)),"M")</f>
        <v>M</v>
      </c>
      <c r="AB12" s="35" t="str">
        <f>IFERROR(INDEX(DL_L,MATCH($CA12,DL_KEY,0)),"M")</f>
        <v>L</v>
      </c>
      <c r="AC12" s="35" t="str">
        <f>IFERROR(INDEX(DL_BI,MATCH($CA12,DL_KEY,0)),"M")</f>
        <v>M</v>
      </c>
      <c r="AD12" s="35" t="str">
        <f>IFERROR(INDEX(DL_Exp,MATCH($CA12,DL_KEY,0)),"M")</f>
        <v>L</v>
      </c>
      <c r="AE12" s="35" t="str">
        <f>IFERROR(INDEX(DL_Edu,MATCH($CA12,DL_KEY,0)),"M")</f>
        <v>L</v>
      </c>
      <c r="AF12" s="34" t="inlineStr">
        <is>
          <t>M</t>
        </is>
      </c>
      <c r="AG12" s="35" t="inlineStr">
        <is>
          <t>M</t>
        </is>
      </c>
      <c r="AH12" s="35" t="inlineStr">
        <is>
          <t>M</t>
        </is>
      </c>
      <c r="AI12" s="35" t="inlineStr">
        <is>
          <t>M</t>
        </is>
      </c>
      <c r="AJ12" s="35" t="inlineStr">
        <is>
          <t>M</t>
        </is>
      </c>
      <c r="AK12" s="35" t="inlineStr">
        <is>
          <t>M</t>
        </is>
      </c>
      <c r="AL12" s="35" t="inlineStr">
        <is>
          <t>M</t>
        </is>
      </c>
      <c r="AM12" s="36" t="n">
        <v>0.513</v>
      </c>
      <c r="AN12" s="37" t="n">
        <v>0.173</v>
      </c>
      <c r="AO12" s="37" t="n">
        <v>0.09699999999999999</v>
      </c>
      <c r="AP12" s="37" t="n">
        <v>0.05</v>
      </c>
      <c r="AQ12" s="37" t="n">
        <v>0.07000000000000001</v>
      </c>
      <c r="AR12" s="37" t="n">
        <v>0.06</v>
      </c>
      <c r="AS12" s="37" t="n">
        <v>0.04</v>
      </c>
      <c r="AT12" s="38" t="inlineStr">
        <is>
          <t>6–10</t>
        </is>
      </c>
      <c r="AU12" s="38" t="inlineStr">
        <is>
          <t>Graduate or postgraduate; professional qualification preferred</t>
        </is>
      </c>
      <c r="AV12" s="38" t="inlineStr">
        <is>
          <t>IC: none · People: 6–8 knowledge work, 8–12 standardised delivery</t>
        </is>
      </c>
      <c r="AW12" s="38" t="inlineStr">
        <is>
          <t>P4 / M3 · SFIA 4–5</t>
        </is>
      </c>
      <c r="AX1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2" s="39" t="inlineStr">
        <is>
          <t>B2</t>
        </is>
      </c>
      <c r="AZ12" s="40" t="inlineStr">
        <is>
          <t>Band B · Specialist / Manager · Senior Specialist</t>
        </is>
      </c>
      <c r="BA12" s="40" t="inlineStr">
        <is>
          <t>Model B2 from the six ratings, the market-derived weights and rules R1–R13 · then No change · already below the manager</t>
        </is>
      </c>
      <c r="BB12" s="41" t="inlineStr">
        <is>
          <t>B1</t>
        </is>
      </c>
      <c r="BC12" s="40" t="inlineStr">
        <is>
          <t>The six ratings on the market-average weights of Band B · Specialist / POD Lead score 4.49 → B1 · Hay, Mercer IPE and public plans · experience 5.2 yrs vs the B1 market range 4–8</t>
        </is>
      </c>
      <c r="BD12" s="42">
        <f>IF(SUM(BM12,BN12,BO12,BP12,BQ12,BR12,BS12)=0,0,(BM12*BT12+BN12*BU12+BO12*BV12+BP12*BW12+BQ12*BX12+BR12*BY12+BS12*BZ12)/SUM(BM12,BN12,BO12,BP12,BQ12,BR12,BS12))</f>
        <v>0</v>
      </c>
      <c r="BE12" s="41" t="str">
        <f>IF(LEFT(AY12,1)="X",AY12,IF(OR(AY12="B+",AY12="C+"),INDEX(LAD_PC,MAX(1,MIN(14,MATCH(AY12,LAD_PC,0)+IF(BD12&gt;=0.5,1,IF(BD12&lt;=-0.5,-1,0))))),INDEX(LAD_STD,MAX(1,MIN(12,MATCH(AY12,LAD_STD,0)+IF(BD12&gt;=0.5,1,IF(BD12&lt;=-0.5,-1,0)))))))</f>
        <v>B2</v>
      </c>
      <c r="BF12" s="43" t="n"/>
      <c r="BG12" s="41" t="str">
        <f>IF(BF12&lt;&gt;"",BF12,BE12)</f>
        <v>B2</v>
      </c>
      <c r="BH12" s="40" t="str">
        <f>IFERROR(CHOOSE(INDEX(B_RANK,MATCH(BG12,B_LVL,0)),"Band A","Band B","B+ · Player-Coach","Band C","C+ · Player-Coach","Band D","Band E"),"Band X · Consultant")</f>
        <v>Band B</v>
      </c>
      <c r="BI12" s="40" t="str">
        <f>IF(BG12=AY12,"• Same",IF(INDEX(B_VAL,MATCH(BG12,B_LVL,0))&gt;INDEX(B_VAL,MATCH(AY12,B_LVL,0)),"▲ Up","▼ Down"))</f>
        <v>• Same</v>
      </c>
      <c r="BJ12" s="40" t="str">
        <f>IF(OR($M12="",$M12="—",$M12="Not in this file"),"",IFERROR(INDEX($BG$7:$BG$592,MATCH($M12,$D$7:$D$592,0)),""))</f>
        <v>B3</v>
      </c>
      <c r="BK12" s="40" t="str">
        <f>IFERROR(IF(BJ12="","—",IF(OR(LEFT(BG12,1)="X",LEFT(BJ12,1)="X"),"—",IF(AND(LEFT(BG12,1)="E",LEFT(BJ12,1)="E"),"Exception · Band E",IF(AND(INDEX(B_VAL,MATCH(BJ12,B_LVL,0))&gt;=7,INDEX(B_RANK,MATCH(BG12,B_LVL,0))&gt;=INDEX(B_RANK,MATCH(BJ12,B_LVL,0))),"⚠ Same band as a head manager",IF(INDEX(B_VAL,MATCH(BG12,B_LVL,0))&gt;=INDEX(B_VAL,MATCH(BJ12,B_LVL,0)),"⚠ At or above the manager's level","OK"))))),"—")</f>
        <v>OK</v>
      </c>
      <c r="BL12" s="43" t="n"/>
      <c r="BM12" s="44">
        <f>IFERROR(INDEX(LMH_PTS,MATCH(Y12,LMH_KEY,0)),0)</f>
        <v>9</v>
      </c>
      <c r="BN12" s="38">
        <f>IFERROR(INDEX(LMH_PTS,MATCH(Z12,LMH_KEY,0)),0)</f>
        <v>3</v>
      </c>
      <c r="BO12" s="38">
        <f>IFERROR(INDEX(LMH_PTS,MATCH(AA12,LMH_KEY,0)),0)</f>
        <v>3</v>
      </c>
      <c r="BP12" s="38">
        <f>IFERROR(INDEX(LMH_PTS,MATCH(AB12,LMH_KEY,0)),0)</f>
        <v>1</v>
      </c>
      <c r="BQ12" s="38">
        <f>IFERROR(INDEX(LMH_PTS,MATCH(AC12,LMH_KEY,0)),0)</f>
        <v>3</v>
      </c>
      <c r="BR12" s="38">
        <f>IFERROR(INDEX(LMH_PTS,MATCH(AD12,LMH_KEY,0)),0)</f>
        <v>1</v>
      </c>
      <c r="BS12" s="38">
        <f>IFERROR(INDEX(LMH_PTS,MATCH(AE12,LMH_KEY,0)),0)</f>
        <v>1</v>
      </c>
      <c r="BT12" s="38">
        <f>IFERROR(INDEX(LMH_STEP,MATCH(AF12,LMH_KEY,0)),0)</f>
        <v>0</v>
      </c>
      <c r="BU12" s="38">
        <f>IFERROR(INDEX(LMH_STEP,MATCH(AG12,LMH_KEY,0)),0)</f>
        <v>0</v>
      </c>
      <c r="BV12" s="38">
        <f>IFERROR(INDEX(LMH_STEP,MATCH(AH12,LMH_KEY,0)),0)</f>
        <v>0</v>
      </c>
      <c r="BW12" s="38">
        <f>IFERROR(INDEX(LMH_STEP,MATCH(AI12,LMH_KEY,0)),0)</f>
        <v>0</v>
      </c>
      <c r="BX12" s="38">
        <f>IFERROR(INDEX(LMH_STEP,MATCH(AJ12,LMH_KEY,0)),0)</f>
        <v>0</v>
      </c>
      <c r="BY12" s="38">
        <f>IFERROR(INDEX(LMH_STEP,MATCH(AK12,LMH_KEY,0)),0)</f>
        <v>0</v>
      </c>
      <c r="BZ12" s="38">
        <f>IFERROR(INDEX(LMH_STEP,MATCH(AL12,LMH_KEY,0)),0)</f>
        <v>0</v>
      </c>
      <c r="CA12" s="38" t="inlineStr">
        <is>
          <t>CARBON|Support|Customer Success Specialist|B2|B-IC</t>
        </is>
      </c>
    </row>
    <row r="13" ht="110" customHeight="1">
      <c r="A13" s="28" t="inlineStr">
        <is>
          <t>CARBON</t>
        </is>
      </c>
      <c r="B13" s="29" t="inlineStr">
        <is>
          <t>Support</t>
        </is>
      </c>
      <c r="C13" s="29" t="n">
        <v>5</v>
      </c>
      <c r="D13" s="29" t="inlineStr">
        <is>
          <t>IRIS1963</t>
        </is>
      </c>
      <c r="E13" s="29" t="inlineStr">
        <is>
          <t>Neha Gajbhiye</t>
        </is>
      </c>
      <c r="F13" s="29" t="inlineStr">
        <is>
          <t>Manager- Customer Engagement</t>
        </is>
      </c>
      <c r="G13" s="29" t="inlineStr">
        <is>
          <t>Senior Customer Success Specialist – POD Lead</t>
        </is>
      </c>
      <c r="H13" s="29" t="inlineStr">
        <is>
          <t>Customer Success &amp; Support</t>
        </is>
      </c>
      <c r="I13" s="29" t="inlineStr">
        <is>
          <t>Customer Success &amp; Account Management</t>
        </is>
      </c>
      <c r="J13" s="29" t="inlineStr">
        <is>
          <t>POD Lead</t>
        </is>
      </c>
      <c r="K13" s="29" t="inlineStr">
        <is>
          <t>RC-036</t>
        </is>
      </c>
      <c r="L13" s="29" t="inlineStr">
        <is>
          <t>Anushree Aparajit</t>
        </is>
      </c>
      <c r="M13" s="29" t="inlineStr">
        <is>
          <t>IRIS1335</t>
        </is>
      </c>
      <c r="N13" s="29" t="n">
        <v>16.2</v>
      </c>
      <c r="O13" s="29" t="n">
        <v>4.9</v>
      </c>
      <c r="P13" s="29" t="inlineStr">
        <is>
          <t>MBA</t>
        </is>
      </c>
      <c r="Q13" s="29" t="inlineStr">
        <is>
          <t>L5 – Manager</t>
        </is>
      </c>
      <c r="R13" s="29" t="inlineStr">
        <is>
          <t>B2</t>
        </is>
      </c>
      <c r="S13" s="30" t="inlineStr">
        <is>
          <t>20 of 20</t>
        </is>
      </c>
      <c r="T13" s="31" t="inlineStr">
        <is>
          <t>• Role / sub-team: Support — Manager- Customer Engagement.
• Core purpose: Client interaction, Domain expertise, Go live,  platform enablement, training and end to end hypercare.
• Decision-making autonomy: Can independently trainings only.
• Is this something only they do: Everyone does the same but in different geos.
• What's different about this role: …</t>
        </is>
      </c>
      <c r="U13" s="31" t="inlineStr">
        <is>
          <t>Received · manager annual · Net Revenue Retention ≥100–105%
Target ARR - to be achieved: INR 1700000
90% reach value milestone in 90 days
Develop advocates · Promoter per CEM
Produce case studies annually
CSAT ≥90%
NPS ≥30
100% QBR coverage for accounts
100% CRM hygiene maintained
Renewal forecast accuracy ≥95%
Outstanding receivables ≤45 …</t>
        </is>
      </c>
      <c r="V13" s="31" t="inlineStr">
        <is>
          <t>Latest rating: 4 · Potential: High · 9-box: High Impact / Growth Talent · Readiness: Ready now</t>
        </is>
      </c>
      <c r="W13" s="31" t="inlineStr">
        <is>
          <t>C L · Au L · Ac M · L L · BI M · Exp H · 16.2 yrs vs 6–9 yrs · Edu H · MBA</t>
        </is>
      </c>
      <c r="X13" s="33" t="inlineStr">
        <is>
          <t>Open ▸</t>
        </is>
      </c>
      <c r="Y13" s="34" t="str">
        <f>IFERROR(INDEX(DL_C,MATCH($CA13,DL_KEY,0)),"M")</f>
        <v>H</v>
      </c>
      <c r="Z13" s="35" t="str">
        <f>IFERROR(INDEX(DL_Au,MATCH($CA13,DL_KEY,0)),"M")</f>
        <v>M</v>
      </c>
      <c r="AA13" s="35" t="str">
        <f>IFERROR(INDEX(DL_Ac,MATCH($CA13,DL_KEY,0)),"M")</f>
        <v>M</v>
      </c>
      <c r="AB13" s="35" t="str">
        <f>IFERROR(INDEX(DL_L,MATCH($CA13,DL_KEY,0)),"M")</f>
        <v>L</v>
      </c>
      <c r="AC13" s="35" t="str">
        <f>IFERROR(INDEX(DL_BI,MATCH($CA13,DL_KEY,0)),"M")</f>
        <v>M</v>
      </c>
      <c r="AD13" s="35" t="str">
        <f>IFERROR(INDEX(DL_Exp,MATCH($CA13,DL_KEY,0)),"M")</f>
        <v>L</v>
      </c>
      <c r="AE13" s="35" t="str">
        <f>IFERROR(INDEX(DL_Edu,MATCH($CA13,DL_KEY,0)),"M")</f>
        <v>L</v>
      </c>
      <c r="AF13" s="34" t="inlineStr">
        <is>
          <t>M</t>
        </is>
      </c>
      <c r="AG13" s="35" t="inlineStr">
        <is>
          <t>M</t>
        </is>
      </c>
      <c r="AH13" s="35" t="inlineStr">
        <is>
          <t>M</t>
        </is>
      </c>
      <c r="AI13" s="35" t="inlineStr">
        <is>
          <t>M</t>
        </is>
      </c>
      <c r="AJ13" s="35" t="inlineStr">
        <is>
          <t>M</t>
        </is>
      </c>
      <c r="AK13" s="35" t="inlineStr">
        <is>
          <t>M</t>
        </is>
      </c>
      <c r="AL13" s="35" t="inlineStr">
        <is>
          <t>M</t>
        </is>
      </c>
      <c r="AM13" s="36" t="n">
        <v>0.513</v>
      </c>
      <c r="AN13" s="37" t="n">
        <v>0.173</v>
      </c>
      <c r="AO13" s="37" t="n">
        <v>0.09699999999999999</v>
      </c>
      <c r="AP13" s="37" t="n">
        <v>0.05</v>
      </c>
      <c r="AQ13" s="37" t="n">
        <v>0.07000000000000001</v>
      </c>
      <c r="AR13" s="37" t="n">
        <v>0.06</v>
      </c>
      <c r="AS13" s="37" t="n">
        <v>0.04</v>
      </c>
      <c r="AT13" s="38" t="inlineStr">
        <is>
          <t>6–10</t>
        </is>
      </c>
      <c r="AU13" s="38" t="inlineStr">
        <is>
          <t>Graduate or postgraduate; professional qualification preferred</t>
        </is>
      </c>
      <c r="AV13" s="38" t="inlineStr">
        <is>
          <t>IC: none · People: 6–8 knowledge work, 8–12 standardised delivery</t>
        </is>
      </c>
      <c r="AW13" s="38" t="inlineStr">
        <is>
          <t>P4 / M3 · SFIA 4–5</t>
        </is>
      </c>
      <c r="AX1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3" s="39" t="inlineStr">
        <is>
          <t>B2</t>
        </is>
      </c>
      <c r="AZ13" s="40" t="inlineStr">
        <is>
          <t>Band B · Specialist / Manager · Manager</t>
        </is>
      </c>
      <c r="BA13" s="40" t="inlineStr">
        <is>
          <t>Model B2 from the six ratings, the market-derived weights and rules R1–R13 · then No change · already below the manager</t>
        </is>
      </c>
      <c r="BB13" s="41" t="inlineStr">
        <is>
          <t>B2</t>
        </is>
      </c>
      <c r="BC13" s="40" t="inlineStr">
        <is>
          <t>The six ratings on the market-average weights of Band B · Specialist / POD Lead score 4.57 → B2 · Hay, Mercer IPE and public plans · experience 16.2 yrs vs the B2 market range 6–10</t>
        </is>
      </c>
      <c r="BD13" s="42">
        <f>IF(SUM(BM13,BN13,BO13,BP13,BQ13,BR13,BS13)=0,0,(BM13*BT13+BN13*BU13+BO13*BV13+BP13*BW13+BQ13*BX13+BR13*BY13+BS13*BZ13)/SUM(BM13,BN13,BO13,BP13,BQ13,BR13,BS13))</f>
        <v>0</v>
      </c>
      <c r="BE13" s="41" t="str">
        <f>IF(LEFT(AY13,1)="X",AY13,IF(OR(AY13="B+",AY13="C+"),INDEX(LAD_PC,MAX(1,MIN(14,MATCH(AY13,LAD_PC,0)+IF(BD13&gt;=0.5,1,IF(BD13&lt;=-0.5,-1,0))))),INDEX(LAD_STD,MAX(1,MIN(12,MATCH(AY13,LAD_STD,0)+IF(BD13&gt;=0.5,1,IF(BD13&lt;=-0.5,-1,0)))))))</f>
        <v>B2</v>
      </c>
      <c r="BF13" s="43" t="n"/>
      <c r="BG13" s="41" t="str">
        <f>IF(BF13&lt;&gt;"",BF13,BE13)</f>
        <v>B2</v>
      </c>
      <c r="BH13" s="40" t="str">
        <f>IFERROR(CHOOSE(INDEX(B_RANK,MATCH(BG13,B_LVL,0)),"Band A","Band B","B+ · Player-Coach","Band C","C+ · Player-Coach","Band D","Band E"),"Band X · Consultant")</f>
        <v>Band B</v>
      </c>
      <c r="BI13" s="40" t="str">
        <f>IF(BG13=AY13,"• Same",IF(INDEX(B_VAL,MATCH(BG13,B_LVL,0))&gt;INDEX(B_VAL,MATCH(AY13,B_LVL,0)),"▲ Up","▼ Down"))</f>
        <v>• Same</v>
      </c>
      <c r="BJ13" s="40" t="str">
        <f>IF(OR($M13="",$M13="—",$M13="Not in this file"),"",IFERROR(INDEX($BG$7:$BG$592,MATCH($M13,$D$7:$D$592,0)),""))</f>
        <v>B3</v>
      </c>
      <c r="BK13" s="40" t="str">
        <f>IFERROR(IF(BJ13="","—",IF(OR(LEFT(BG13,1)="X",LEFT(BJ13,1)="X"),"—",IF(AND(LEFT(BG13,1)="E",LEFT(BJ13,1)="E"),"Exception · Band E",IF(AND(INDEX(B_VAL,MATCH(BJ13,B_LVL,0))&gt;=7,INDEX(B_RANK,MATCH(BG13,B_LVL,0))&gt;=INDEX(B_RANK,MATCH(BJ13,B_LVL,0))),"⚠ Same band as a head manager",IF(INDEX(B_VAL,MATCH(BG13,B_LVL,0))&gt;=INDEX(B_VAL,MATCH(BJ13,B_LVL,0)),"⚠ At or above the manager's level","OK"))))),"—")</f>
        <v>OK</v>
      </c>
      <c r="BL13" s="43" t="n"/>
      <c r="BM13" s="44">
        <f>IFERROR(INDEX(LMH_PTS,MATCH(Y13,LMH_KEY,0)),0)</f>
        <v>9</v>
      </c>
      <c r="BN13" s="38">
        <f>IFERROR(INDEX(LMH_PTS,MATCH(Z13,LMH_KEY,0)),0)</f>
        <v>3</v>
      </c>
      <c r="BO13" s="38">
        <f>IFERROR(INDEX(LMH_PTS,MATCH(AA13,LMH_KEY,0)),0)</f>
        <v>3</v>
      </c>
      <c r="BP13" s="38">
        <f>IFERROR(INDEX(LMH_PTS,MATCH(AB13,LMH_KEY,0)),0)</f>
        <v>1</v>
      </c>
      <c r="BQ13" s="38">
        <f>IFERROR(INDEX(LMH_PTS,MATCH(AC13,LMH_KEY,0)),0)</f>
        <v>3</v>
      </c>
      <c r="BR13" s="38">
        <f>IFERROR(INDEX(LMH_PTS,MATCH(AD13,LMH_KEY,0)),0)</f>
        <v>1</v>
      </c>
      <c r="BS13" s="38">
        <f>IFERROR(INDEX(LMH_PTS,MATCH(AE13,LMH_KEY,0)),0)</f>
        <v>1</v>
      </c>
      <c r="BT13" s="38">
        <f>IFERROR(INDEX(LMH_STEP,MATCH(AF13,LMH_KEY,0)),0)</f>
        <v>0</v>
      </c>
      <c r="BU13" s="38">
        <f>IFERROR(INDEX(LMH_STEP,MATCH(AG13,LMH_KEY,0)),0)</f>
        <v>0</v>
      </c>
      <c r="BV13" s="38">
        <f>IFERROR(INDEX(LMH_STEP,MATCH(AH13,LMH_KEY,0)),0)</f>
        <v>0</v>
      </c>
      <c r="BW13" s="38">
        <f>IFERROR(INDEX(LMH_STEP,MATCH(AI13,LMH_KEY,0)),0)</f>
        <v>0</v>
      </c>
      <c r="BX13" s="38">
        <f>IFERROR(INDEX(LMH_STEP,MATCH(AJ13,LMH_KEY,0)),0)</f>
        <v>0</v>
      </c>
      <c r="BY13" s="38">
        <f>IFERROR(INDEX(LMH_STEP,MATCH(AK13,LMH_KEY,0)),0)</f>
        <v>0</v>
      </c>
      <c r="BZ13" s="38">
        <f>IFERROR(INDEX(LMH_STEP,MATCH(AL13,LMH_KEY,0)),0)</f>
        <v>0</v>
      </c>
      <c r="CA13" s="38" t="inlineStr">
        <is>
          <t>CARBON|Support|Senior Customer Success Specialist – POD Lead|B2|B-IC</t>
        </is>
      </c>
    </row>
    <row r="14" ht="110" customHeight="1">
      <c r="A14" s="28" t="inlineStr">
        <is>
          <t>CARBON</t>
        </is>
      </c>
      <c r="B14" s="29" t="inlineStr">
        <is>
          <t>Support</t>
        </is>
      </c>
      <c r="C14" s="29" t="n">
        <v>6</v>
      </c>
      <c r="D14" s="29" t="inlineStr">
        <is>
          <t>IRISC184</t>
        </is>
      </c>
      <c r="E14" s="29" t="inlineStr">
        <is>
          <t>Tanya Dhere</t>
        </is>
      </c>
      <c r="F14" s="29" t="inlineStr">
        <is>
          <t>Consultant</t>
        </is>
      </c>
      <c r="G14" s="29" t="inlineStr">
        <is>
          <t>Senior Customer Success Executive</t>
        </is>
      </c>
      <c r="H14" s="29" t="inlineStr">
        <is>
          <t>Customer Success &amp; Support</t>
        </is>
      </c>
      <c r="I14" s="29" t="inlineStr">
        <is>
          <t>Customer Success &amp; Account Management</t>
        </is>
      </c>
      <c r="J14" s="29" t="inlineStr">
        <is>
          <t>IC</t>
        </is>
      </c>
      <c r="K14" s="29" t="inlineStr">
        <is>
          <t>RC-034</t>
        </is>
      </c>
      <c r="L14" s="29" t="inlineStr">
        <is>
          <t>Neha Gajbhiye</t>
        </is>
      </c>
      <c r="M14" s="29" t="inlineStr">
        <is>
          <t>IRIS1963</t>
        </is>
      </c>
      <c r="N14" s="29" t="n">
        <v>13</v>
      </c>
      <c r="O14" s="29" t="n">
        <v>6</v>
      </c>
      <c r="P14" s="29" t="inlineStr">
        <is>
          <t>B.Com</t>
        </is>
      </c>
      <c r="Q14" s="29" t="inlineStr">
        <is>
          <t>L3 – Professional / Associate</t>
        </is>
      </c>
      <c r="R14" s="29" t="inlineStr">
        <is>
          <t>A3</t>
        </is>
      </c>
      <c r="S14" s="30" t="inlineStr">
        <is>
          <t>19 of 20</t>
        </is>
      </c>
      <c r="T14" s="31" t="inlineStr">
        <is>
          <t>• Role / sub-team: PMO Activity, AI Testing.</t>
        </is>
      </c>
      <c r="U14" s="32" t="inlineStr">
        <is>
          <t>KRAs not received · manager to supply</t>
        </is>
      </c>
      <c r="V14" s="31" t="inlineStr">
        <is>
          <t>Latest rating: 3 · Potential: Low · 9-box: Reliable Specialist · Readiness: Develop in role</t>
        </is>
      </c>
      <c r="W14" s="31" t="inlineStr">
        <is>
          <t>C M · Au L · Ac M · L L · BI M · Exp H · 13 yrs vs 2–4 yrs · Edu M · B.Com</t>
        </is>
      </c>
      <c r="X14" s="33" t="inlineStr">
        <is>
          <t>Open ▸</t>
        </is>
      </c>
      <c r="Y14" s="34" t="str">
        <f>IFERROR(INDEX(DL_C,MATCH($CA14,DL_KEY,0)),"M")</f>
        <v>H</v>
      </c>
      <c r="Z14" s="35" t="str">
        <f>IFERROR(INDEX(DL_Au,MATCH($CA14,DL_KEY,0)),"M")</f>
        <v>M</v>
      </c>
      <c r="AA14" s="35" t="str">
        <f>IFERROR(INDEX(DL_Ac,MATCH($CA14,DL_KEY,0)),"M")</f>
        <v>M</v>
      </c>
      <c r="AB14" s="35" t="str">
        <f>IFERROR(INDEX(DL_L,MATCH($CA14,DL_KEY,0)),"M")</f>
        <v>L</v>
      </c>
      <c r="AC14" s="35" t="str">
        <f>IFERROR(INDEX(DL_BI,MATCH($CA14,DL_KEY,0)),"M")</f>
        <v>M</v>
      </c>
      <c r="AD14" s="35" t="str">
        <f>IFERROR(INDEX(DL_Exp,MATCH($CA14,DL_KEY,0)),"M")</f>
        <v>L</v>
      </c>
      <c r="AE14" s="35" t="str">
        <f>IFERROR(INDEX(DL_Edu,MATCH($CA14,DL_KEY,0)),"M")</f>
        <v>L</v>
      </c>
      <c r="AF14" s="34" t="inlineStr">
        <is>
          <t>M</t>
        </is>
      </c>
      <c r="AG14" s="35" t="inlineStr">
        <is>
          <t>M</t>
        </is>
      </c>
      <c r="AH14" s="35" t="inlineStr">
        <is>
          <t>M</t>
        </is>
      </c>
      <c r="AI14" s="35" t="inlineStr">
        <is>
          <t>M</t>
        </is>
      </c>
      <c r="AJ14" s="35" t="inlineStr">
        <is>
          <t>M</t>
        </is>
      </c>
      <c r="AK14" s="35" t="inlineStr">
        <is>
          <t>M</t>
        </is>
      </c>
      <c r="AL14" s="35" t="inlineStr">
        <is>
          <t>M</t>
        </is>
      </c>
      <c r="AM14" s="36" t="n">
        <v>0.583</v>
      </c>
      <c r="AN14" s="37" t="n">
        <v>0.16</v>
      </c>
      <c r="AO14" s="37" t="n">
        <v>0.09</v>
      </c>
      <c r="AP14" s="37" t="n">
        <v>0</v>
      </c>
      <c r="AQ14" s="37" t="n">
        <v>0.063</v>
      </c>
      <c r="AR14" s="37" t="n">
        <v>0.06</v>
      </c>
      <c r="AS14" s="37" t="n">
        <v>0.04</v>
      </c>
      <c r="AT14" s="38" t="inlineStr">
        <is>
          <t>2–5</t>
        </is>
      </c>
      <c r="AU14" s="38" t="inlineStr">
        <is>
          <t>Graduate; relevant certification preferred</t>
        </is>
      </c>
      <c r="AV14" s="38" t="inlineStr">
        <is>
          <t>None · guides 1–3 juniors informally</t>
        </is>
      </c>
      <c r="AW14" s="38" t="inlineStr">
        <is>
          <t>P2 · SFIA 3 Apply</t>
        </is>
      </c>
      <c r="AX1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4" s="39" t="inlineStr">
        <is>
          <t>A3</t>
        </is>
      </c>
      <c r="AZ14" s="40" t="inlineStr">
        <is>
          <t>Band A · Practitioner · Senior Associate</t>
        </is>
      </c>
      <c r="BA14" s="40" t="inlineStr">
        <is>
          <t>Model A3 from the six ratings, the market-derived weights and rules R1–R13 · then No change · already below the manager</t>
        </is>
      </c>
      <c r="BB14" s="41" t="inlineStr">
        <is>
          <t>A3</t>
        </is>
      </c>
      <c r="BC14" s="40" t="inlineStr">
        <is>
          <t>The six ratings on the market-average weights of Band A · all tracks score 2.92 → A3 · Hay, Mercer IPE and public plans · experience 13 yrs vs the A3 market range 2–5</t>
        </is>
      </c>
      <c r="BD14" s="42">
        <f>IF(SUM(BM14,BN14,BO14,BP14,BQ14,BR14,BS14)=0,0,(BM14*BT14+BN14*BU14+BO14*BV14+BP14*BW14+BQ14*BX14+BR14*BY14+BS14*BZ14)/SUM(BM14,BN14,BO14,BP14,BQ14,BR14,BS14))</f>
        <v>0</v>
      </c>
      <c r="BE14" s="41" t="str">
        <f>IF(LEFT(AY14,1)="X",AY14,IF(OR(AY14="B+",AY14="C+"),INDEX(LAD_PC,MAX(1,MIN(14,MATCH(AY14,LAD_PC,0)+IF(BD14&gt;=0.5,1,IF(BD14&lt;=-0.5,-1,0))))),INDEX(LAD_STD,MAX(1,MIN(12,MATCH(AY14,LAD_STD,0)+IF(BD14&gt;=0.5,1,IF(BD14&lt;=-0.5,-1,0)))))))</f>
        <v>A3</v>
      </c>
      <c r="BF14" s="43" t="n"/>
      <c r="BG14" s="41" t="str">
        <f>IF(BF14&lt;&gt;"",BF14,BE14)</f>
        <v>A3</v>
      </c>
      <c r="BH14" s="40" t="str">
        <f>IFERROR(CHOOSE(INDEX(B_RANK,MATCH(BG14,B_LVL,0)),"Band A","Band B","B+ · Player-Coach","Band C","C+ · Player-Coach","Band D","Band E"),"Band X · Consultant")</f>
        <v>Band A</v>
      </c>
      <c r="BI14" s="40" t="str">
        <f>IF(BG14=AY14,"• Same",IF(INDEX(B_VAL,MATCH(BG14,B_LVL,0))&gt;INDEX(B_VAL,MATCH(AY14,B_LVL,0)),"▲ Up","▼ Down"))</f>
        <v>• Same</v>
      </c>
      <c r="BJ14" s="40" t="str">
        <f>IF(OR($M14="",$M14="—",$M14="Not in this file"),"",IFERROR(INDEX($BG$7:$BG$592,MATCH($M14,$D$7:$D$592,0)),""))</f>
        <v>B2</v>
      </c>
      <c r="BK14" s="40" t="str">
        <f>IFERROR(IF(BJ14="","—",IF(OR(LEFT(BG14,1)="X",LEFT(BJ14,1)="X"),"—",IF(AND(LEFT(BG14,1)="E",LEFT(BJ14,1)="E"),"Exception · Band E",IF(AND(INDEX(B_VAL,MATCH(BJ14,B_LVL,0))&gt;=7,INDEX(B_RANK,MATCH(BG14,B_LVL,0))&gt;=INDEX(B_RANK,MATCH(BJ14,B_LVL,0))),"⚠ Same band as a head manager",IF(INDEX(B_VAL,MATCH(BG14,B_LVL,0))&gt;=INDEX(B_VAL,MATCH(BJ14,B_LVL,0)),"⚠ At or above the manager's level","OK"))))),"—")</f>
        <v>OK</v>
      </c>
      <c r="BL14" s="43" t="n"/>
      <c r="BM14" s="44">
        <f>IFERROR(INDEX(LMH_PTS,MATCH(Y14,LMH_KEY,0)),0)</f>
        <v>9</v>
      </c>
      <c r="BN14" s="38">
        <f>IFERROR(INDEX(LMH_PTS,MATCH(Z14,LMH_KEY,0)),0)</f>
        <v>3</v>
      </c>
      <c r="BO14" s="38">
        <f>IFERROR(INDEX(LMH_PTS,MATCH(AA14,LMH_KEY,0)),0)</f>
        <v>3</v>
      </c>
      <c r="BP14" s="38">
        <f>IFERROR(INDEX(LMH_PTS,MATCH(AB14,LMH_KEY,0)),0)</f>
        <v>1</v>
      </c>
      <c r="BQ14" s="38">
        <f>IFERROR(INDEX(LMH_PTS,MATCH(AC14,LMH_KEY,0)),0)</f>
        <v>3</v>
      </c>
      <c r="BR14" s="38">
        <f>IFERROR(INDEX(LMH_PTS,MATCH(AD14,LMH_KEY,0)),0)</f>
        <v>1</v>
      </c>
      <c r="BS14" s="38">
        <f>IFERROR(INDEX(LMH_PTS,MATCH(AE14,LMH_KEY,0)),0)</f>
        <v>1</v>
      </c>
      <c r="BT14" s="38">
        <f>IFERROR(INDEX(LMH_STEP,MATCH(AF14,LMH_KEY,0)),0)</f>
        <v>0</v>
      </c>
      <c r="BU14" s="38">
        <f>IFERROR(INDEX(LMH_STEP,MATCH(AG14,LMH_KEY,0)),0)</f>
        <v>0</v>
      </c>
      <c r="BV14" s="38">
        <f>IFERROR(INDEX(LMH_STEP,MATCH(AH14,LMH_KEY,0)),0)</f>
        <v>0</v>
      </c>
      <c r="BW14" s="38">
        <f>IFERROR(INDEX(LMH_STEP,MATCH(AI14,LMH_KEY,0)),0)</f>
        <v>0</v>
      </c>
      <c r="BX14" s="38">
        <f>IFERROR(INDEX(LMH_STEP,MATCH(AJ14,LMH_KEY,0)),0)</f>
        <v>0</v>
      </c>
      <c r="BY14" s="38">
        <f>IFERROR(INDEX(LMH_STEP,MATCH(AK14,LMH_KEY,0)),0)</f>
        <v>0</v>
      </c>
      <c r="BZ14" s="38">
        <f>IFERROR(INDEX(LMH_STEP,MATCH(AL14,LMH_KEY,0)),0)</f>
        <v>0</v>
      </c>
      <c r="CA14" s="38" t="inlineStr">
        <is>
          <t>CARBON|Support|Senior Customer Success Executive|A3|A</t>
        </is>
      </c>
    </row>
    <row r="15" ht="110" customHeight="1">
      <c r="A15" s="28" t="inlineStr">
        <is>
          <t>CARBON</t>
        </is>
      </c>
      <c r="B15" s="29" t="inlineStr">
        <is>
          <t>Support</t>
        </is>
      </c>
      <c r="C15" s="29" t="n">
        <v>5</v>
      </c>
      <c r="D15" s="29" t="inlineStr">
        <is>
          <t>IRIS1959</t>
        </is>
      </c>
      <c r="E15" s="29" t="inlineStr">
        <is>
          <t>Praveen Kumar Rajpurohit</t>
        </is>
      </c>
      <c r="F15" s="29" t="inlineStr">
        <is>
          <t>Manager- Customer Engagement</t>
        </is>
      </c>
      <c r="G15" s="29" t="inlineStr">
        <is>
          <t>Senior Customer Success Specialist</t>
        </is>
      </c>
      <c r="H15" s="29" t="inlineStr">
        <is>
          <t>Customer Success &amp; Support</t>
        </is>
      </c>
      <c r="I15" s="29" t="inlineStr">
        <is>
          <t>Customer Success &amp; Account Management</t>
        </is>
      </c>
      <c r="J15" s="29" t="inlineStr">
        <is>
          <t>IC</t>
        </is>
      </c>
      <c r="K15" s="29" t="inlineStr">
        <is>
          <t>RC-036</t>
        </is>
      </c>
      <c r="L15" s="29" t="inlineStr">
        <is>
          <t>Anushree Aparajit</t>
        </is>
      </c>
      <c r="M15" s="29" t="inlineStr">
        <is>
          <t>IRIS1335</t>
        </is>
      </c>
      <c r="N15" s="29" t="n">
        <v>14.6</v>
      </c>
      <c r="O15" s="29" t="n">
        <v>5</v>
      </c>
      <c r="P15" s="29" t="inlineStr">
        <is>
          <t>MBA</t>
        </is>
      </c>
      <c r="Q15" s="29" t="inlineStr">
        <is>
          <t>L5 – Manager</t>
        </is>
      </c>
      <c r="R15" s="29" t="inlineStr">
        <is>
          <t>B2</t>
        </is>
      </c>
      <c r="S15" s="30" t="inlineStr">
        <is>
          <t>20 of 20</t>
        </is>
      </c>
      <c r="T15" s="31" t="inlineStr">
        <is>
          <t>• Role / sub-team: Support — Manager- Customer Engagement.
• Core purpose: Managing EU client portfolios to ensure timely ESEF filings, effective use of the Disclosure Management Platform, client retention and renewals, while supporting prospect demos and product feedback.
• Decision-making autonomy: Can independently clients query handling.
• Is this …</t>
        </is>
      </c>
      <c r="U15" s="31" t="inlineStr">
        <is>
          <t>Received · manager annual · Net Revenue Retention ≥100–105%
Target ARR - to be achieved: INR 50,00,000
90% reach value milestone in 90 days
Develop advocates · Promoter per CEM
Produce case studies annually
CSAT ≥90%
NPS ≥30
100% QBR coverage for accounts
100% CRM hygiene maintained
Renewal forecast accuracy ≥95%
Outstanding receivables ≤45 …</t>
        </is>
      </c>
      <c r="V15" s="31" t="inlineStr">
        <is>
          <t>Latest rating: 3 · Potential: Medium · 9-box: Core Contributor · Readiness: Develop in role</t>
        </is>
      </c>
      <c r="W15" s="31" t="inlineStr">
        <is>
          <t>C L · Au L · Ac M · L L · BI M · Exp H · 14.6 yrs vs 6–9 yrs · Edu H · MBA</t>
        </is>
      </c>
      <c r="X15" s="33" t="inlineStr">
        <is>
          <t>Open ▸</t>
        </is>
      </c>
      <c r="Y15" s="34" t="str">
        <f>IFERROR(INDEX(DL_C,MATCH($CA15,DL_KEY,0)),"M")</f>
        <v>H</v>
      </c>
      <c r="Z15" s="35" t="str">
        <f>IFERROR(INDEX(DL_Au,MATCH($CA15,DL_KEY,0)),"M")</f>
        <v>M</v>
      </c>
      <c r="AA15" s="35" t="str">
        <f>IFERROR(INDEX(DL_Ac,MATCH($CA15,DL_KEY,0)),"M")</f>
        <v>M</v>
      </c>
      <c r="AB15" s="35" t="str">
        <f>IFERROR(INDEX(DL_L,MATCH($CA15,DL_KEY,0)),"M")</f>
        <v>L</v>
      </c>
      <c r="AC15" s="35" t="str">
        <f>IFERROR(INDEX(DL_BI,MATCH($CA15,DL_KEY,0)),"M")</f>
        <v>M</v>
      </c>
      <c r="AD15" s="35" t="str">
        <f>IFERROR(INDEX(DL_Exp,MATCH($CA15,DL_KEY,0)),"M")</f>
        <v>L</v>
      </c>
      <c r="AE15" s="35" t="str">
        <f>IFERROR(INDEX(DL_Edu,MATCH($CA15,DL_KEY,0)),"M")</f>
        <v>L</v>
      </c>
      <c r="AF15" s="34" t="inlineStr">
        <is>
          <t>M</t>
        </is>
      </c>
      <c r="AG15" s="35" t="inlineStr">
        <is>
          <t>M</t>
        </is>
      </c>
      <c r="AH15" s="35" t="inlineStr">
        <is>
          <t>M</t>
        </is>
      </c>
      <c r="AI15" s="35" t="inlineStr">
        <is>
          <t>M</t>
        </is>
      </c>
      <c r="AJ15" s="35" t="inlineStr">
        <is>
          <t>M</t>
        </is>
      </c>
      <c r="AK15" s="35" t="inlineStr">
        <is>
          <t>M</t>
        </is>
      </c>
      <c r="AL15" s="35" t="inlineStr">
        <is>
          <t>M</t>
        </is>
      </c>
      <c r="AM15" s="36" t="n">
        <v>0.513</v>
      </c>
      <c r="AN15" s="37" t="n">
        <v>0.173</v>
      </c>
      <c r="AO15" s="37" t="n">
        <v>0.09699999999999999</v>
      </c>
      <c r="AP15" s="37" t="n">
        <v>0.05</v>
      </c>
      <c r="AQ15" s="37" t="n">
        <v>0.07000000000000001</v>
      </c>
      <c r="AR15" s="37" t="n">
        <v>0.06</v>
      </c>
      <c r="AS15" s="37" t="n">
        <v>0.04</v>
      </c>
      <c r="AT15" s="38" t="inlineStr">
        <is>
          <t>6–10</t>
        </is>
      </c>
      <c r="AU15" s="38" t="inlineStr">
        <is>
          <t>Graduate or postgraduate; professional qualification preferred</t>
        </is>
      </c>
      <c r="AV15" s="38" t="inlineStr">
        <is>
          <t>IC: none · People: 6–8 knowledge work, 8–12 standardised delivery</t>
        </is>
      </c>
      <c r="AW15" s="38" t="inlineStr">
        <is>
          <t>P4 / M3 · SFIA 4–5</t>
        </is>
      </c>
      <c r="AX1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5" s="39" t="inlineStr">
        <is>
          <t>B2</t>
        </is>
      </c>
      <c r="AZ15" s="40" t="inlineStr">
        <is>
          <t>Band B · Specialist / Manager · Senior Specialist</t>
        </is>
      </c>
      <c r="BA15" s="40" t="inlineStr">
        <is>
          <t>Model B2 from the six ratings, the market-derived weights and rules R1–R13 · then No change · already below the manager</t>
        </is>
      </c>
      <c r="BB15" s="41" t="inlineStr">
        <is>
          <t>B2</t>
        </is>
      </c>
      <c r="BC15" s="40" t="inlineStr">
        <is>
          <t>The six ratings on the market-average weights of Band B · Specialist / POD Lead score 4.60 → B2 · Hay, Mercer IPE and public plans · experience 14.6 yrs vs the B2 market range 6–10</t>
        </is>
      </c>
      <c r="BD15" s="42">
        <f>IF(SUM(BM15,BN15,BO15,BP15,BQ15,BR15,BS15)=0,0,(BM15*BT15+BN15*BU15+BO15*BV15+BP15*BW15+BQ15*BX15+BR15*BY15+BS15*BZ15)/SUM(BM15,BN15,BO15,BP15,BQ15,BR15,BS15))</f>
        <v>0</v>
      </c>
      <c r="BE15" s="41" t="str">
        <f>IF(LEFT(AY15,1)="X",AY15,IF(OR(AY15="B+",AY15="C+"),INDEX(LAD_PC,MAX(1,MIN(14,MATCH(AY15,LAD_PC,0)+IF(BD15&gt;=0.5,1,IF(BD15&lt;=-0.5,-1,0))))),INDEX(LAD_STD,MAX(1,MIN(12,MATCH(AY15,LAD_STD,0)+IF(BD15&gt;=0.5,1,IF(BD15&lt;=-0.5,-1,0)))))))</f>
        <v>B2</v>
      </c>
      <c r="BF15" s="43" t="n"/>
      <c r="BG15" s="41" t="str">
        <f>IF(BF15&lt;&gt;"",BF15,BE15)</f>
        <v>B2</v>
      </c>
      <c r="BH15" s="40" t="str">
        <f>IFERROR(CHOOSE(INDEX(B_RANK,MATCH(BG15,B_LVL,0)),"Band A","Band B","B+ · Player-Coach","Band C","C+ · Player-Coach","Band D","Band E"),"Band X · Consultant")</f>
        <v>Band B</v>
      </c>
      <c r="BI15" s="40" t="str">
        <f>IF(BG15=AY15,"• Same",IF(INDEX(B_VAL,MATCH(BG15,B_LVL,0))&gt;INDEX(B_VAL,MATCH(AY15,B_LVL,0)),"▲ Up","▼ Down"))</f>
        <v>• Same</v>
      </c>
      <c r="BJ15" s="40" t="str">
        <f>IF(OR($M15="",$M15="—",$M15="Not in this file"),"",IFERROR(INDEX($BG$7:$BG$592,MATCH($M15,$D$7:$D$592,0)),""))</f>
        <v>B3</v>
      </c>
      <c r="BK15" s="40" t="str">
        <f>IFERROR(IF(BJ15="","—",IF(OR(LEFT(BG15,1)="X",LEFT(BJ15,1)="X"),"—",IF(AND(LEFT(BG15,1)="E",LEFT(BJ15,1)="E"),"Exception · Band E",IF(AND(INDEX(B_VAL,MATCH(BJ15,B_LVL,0))&gt;=7,INDEX(B_RANK,MATCH(BG15,B_LVL,0))&gt;=INDEX(B_RANK,MATCH(BJ15,B_LVL,0))),"⚠ Same band as a head manager",IF(INDEX(B_VAL,MATCH(BG15,B_LVL,0))&gt;=INDEX(B_VAL,MATCH(BJ15,B_LVL,0)),"⚠ At or above the manager's level","OK"))))),"—")</f>
        <v>OK</v>
      </c>
      <c r="BL15" s="43" t="n"/>
      <c r="BM15" s="44">
        <f>IFERROR(INDEX(LMH_PTS,MATCH(Y15,LMH_KEY,0)),0)</f>
        <v>9</v>
      </c>
      <c r="BN15" s="38">
        <f>IFERROR(INDEX(LMH_PTS,MATCH(Z15,LMH_KEY,0)),0)</f>
        <v>3</v>
      </c>
      <c r="BO15" s="38">
        <f>IFERROR(INDEX(LMH_PTS,MATCH(AA15,LMH_KEY,0)),0)</f>
        <v>3</v>
      </c>
      <c r="BP15" s="38">
        <f>IFERROR(INDEX(LMH_PTS,MATCH(AB15,LMH_KEY,0)),0)</f>
        <v>1</v>
      </c>
      <c r="BQ15" s="38">
        <f>IFERROR(INDEX(LMH_PTS,MATCH(AC15,LMH_KEY,0)),0)</f>
        <v>3</v>
      </c>
      <c r="BR15" s="38">
        <f>IFERROR(INDEX(LMH_PTS,MATCH(AD15,LMH_KEY,0)),0)</f>
        <v>1</v>
      </c>
      <c r="BS15" s="38">
        <f>IFERROR(INDEX(LMH_PTS,MATCH(AE15,LMH_KEY,0)),0)</f>
        <v>1</v>
      </c>
      <c r="BT15" s="38">
        <f>IFERROR(INDEX(LMH_STEP,MATCH(AF15,LMH_KEY,0)),0)</f>
        <v>0</v>
      </c>
      <c r="BU15" s="38">
        <f>IFERROR(INDEX(LMH_STEP,MATCH(AG15,LMH_KEY,0)),0)</f>
        <v>0</v>
      </c>
      <c r="BV15" s="38">
        <f>IFERROR(INDEX(LMH_STEP,MATCH(AH15,LMH_KEY,0)),0)</f>
        <v>0</v>
      </c>
      <c r="BW15" s="38">
        <f>IFERROR(INDEX(LMH_STEP,MATCH(AI15,LMH_KEY,0)),0)</f>
        <v>0</v>
      </c>
      <c r="BX15" s="38">
        <f>IFERROR(INDEX(LMH_STEP,MATCH(AJ15,LMH_KEY,0)),0)</f>
        <v>0</v>
      </c>
      <c r="BY15" s="38">
        <f>IFERROR(INDEX(LMH_STEP,MATCH(AK15,LMH_KEY,0)),0)</f>
        <v>0</v>
      </c>
      <c r="BZ15" s="38">
        <f>IFERROR(INDEX(LMH_STEP,MATCH(AL15,LMH_KEY,0)),0)</f>
        <v>0</v>
      </c>
      <c r="CA15" s="38" t="inlineStr">
        <is>
          <t>CARBON|Support|Senior Customer Success Specialist|B2|B-IC</t>
        </is>
      </c>
    </row>
    <row r="16" ht="110" customHeight="1">
      <c r="A16" s="28" t="inlineStr">
        <is>
          <t>CARBON</t>
        </is>
      </c>
      <c r="B16" s="29" t="inlineStr">
        <is>
          <t>Support</t>
        </is>
      </c>
      <c r="C16" s="29" t="n">
        <v>5</v>
      </c>
      <c r="D16" s="29" t="inlineStr">
        <is>
          <t>IRIS1967</t>
        </is>
      </c>
      <c r="E16" s="29" t="inlineStr">
        <is>
          <t>Pritam Agarwal</t>
        </is>
      </c>
      <c r="F16" s="29" t="inlineStr">
        <is>
          <t>Manager- Customer Engagement</t>
        </is>
      </c>
      <c r="G16" s="29" t="inlineStr">
        <is>
          <t>Senior Customer Success Specialist</t>
        </is>
      </c>
      <c r="H16" s="29" t="inlineStr">
        <is>
          <t>Customer Success &amp; Support</t>
        </is>
      </c>
      <c r="I16" s="29" t="inlineStr">
        <is>
          <t>Customer Success &amp; Account Management</t>
        </is>
      </c>
      <c r="J16" s="29" t="inlineStr">
        <is>
          <t>IC</t>
        </is>
      </c>
      <c r="K16" s="29" t="inlineStr">
        <is>
          <t>RC-036</t>
        </is>
      </c>
      <c r="L16" s="29" t="inlineStr">
        <is>
          <t>Anushree Aparajit</t>
        </is>
      </c>
      <c r="M16" s="29" t="inlineStr">
        <is>
          <t>IRIS1335</t>
        </is>
      </c>
      <c r="N16" s="29" t="n">
        <v>20.1</v>
      </c>
      <c r="O16" s="29" t="n">
        <v>4.8</v>
      </c>
      <c r="P16" s="29" t="inlineStr">
        <is>
          <t>PGDM</t>
        </is>
      </c>
      <c r="Q16" s="29" t="inlineStr">
        <is>
          <t>L5 – Manager</t>
        </is>
      </c>
      <c r="R16" s="29" t="inlineStr">
        <is>
          <t>B2</t>
        </is>
      </c>
      <c r="S16" s="30" t="inlineStr">
        <is>
          <t>20 of 20</t>
        </is>
      </c>
      <c r="T16" s="31" t="inlineStr">
        <is>
          <t>• Role / sub-team: Support — Manager- Customer Engagement.
• Core purpose: Client communication and Nurturing the client with training and enablement process to work independently.
• Decision-making autonomy: Can independently none of the activity.
• Is this something only they do: Most of us.
• What's different about this role: Geo specific reporting; …</t>
        </is>
      </c>
      <c r="U16" s="31" t="inlineStr">
        <is>
          <t>Received · manager annual · "Net Revenue Retention ≥100–105%
Target ARR - to be achieved: INR 30,00,000
90% reach value milestone in 90 days
Develop advocates · Promoter per CEM
Produce case studies annually
CSAT ≥90%
NPS ≥30
100% QBR coverage for accounts
100% CRM hygiene maintained
Renewal forecast accuracy ≥95%
Outstanding receivables ≤45 …</t>
        </is>
      </c>
      <c r="V16" s="31" t="inlineStr">
        <is>
          <t>Latest rating: 2 · Potential: Medium · 9-box: Core Contributor · Readiness: Performance first</t>
        </is>
      </c>
      <c r="W16" s="31" t="inlineStr">
        <is>
          <t>C M · Au M · Ac M · L L · BI M · Exp H · 20.1 yrs vs 6–9 yrs · Edu H · PGDM</t>
        </is>
      </c>
      <c r="X16" s="33" t="inlineStr">
        <is>
          <t>Open ▸</t>
        </is>
      </c>
      <c r="Y16" s="34" t="str">
        <f>IFERROR(INDEX(DL_C,MATCH($CA16,DL_KEY,0)),"M")</f>
        <v>H</v>
      </c>
      <c r="Z16" s="35" t="str">
        <f>IFERROR(INDEX(DL_Au,MATCH($CA16,DL_KEY,0)),"M")</f>
        <v>M</v>
      </c>
      <c r="AA16" s="35" t="str">
        <f>IFERROR(INDEX(DL_Ac,MATCH($CA16,DL_KEY,0)),"M")</f>
        <v>M</v>
      </c>
      <c r="AB16" s="35" t="str">
        <f>IFERROR(INDEX(DL_L,MATCH($CA16,DL_KEY,0)),"M")</f>
        <v>L</v>
      </c>
      <c r="AC16" s="35" t="str">
        <f>IFERROR(INDEX(DL_BI,MATCH($CA16,DL_KEY,0)),"M")</f>
        <v>M</v>
      </c>
      <c r="AD16" s="35" t="str">
        <f>IFERROR(INDEX(DL_Exp,MATCH($CA16,DL_KEY,0)),"M")</f>
        <v>L</v>
      </c>
      <c r="AE16" s="35" t="str">
        <f>IFERROR(INDEX(DL_Edu,MATCH($CA16,DL_KEY,0)),"M")</f>
        <v>L</v>
      </c>
      <c r="AF16" s="34" t="inlineStr">
        <is>
          <t>M</t>
        </is>
      </c>
      <c r="AG16" s="35" t="inlineStr">
        <is>
          <t>M</t>
        </is>
      </c>
      <c r="AH16" s="35" t="inlineStr">
        <is>
          <t>M</t>
        </is>
      </c>
      <c r="AI16" s="35" t="inlineStr">
        <is>
          <t>M</t>
        </is>
      </c>
      <c r="AJ16" s="35" t="inlineStr">
        <is>
          <t>M</t>
        </is>
      </c>
      <c r="AK16" s="35" t="inlineStr">
        <is>
          <t>M</t>
        </is>
      </c>
      <c r="AL16" s="35" t="inlineStr">
        <is>
          <t>M</t>
        </is>
      </c>
      <c r="AM16" s="36" t="n">
        <v>0.513</v>
      </c>
      <c r="AN16" s="37" t="n">
        <v>0.173</v>
      </c>
      <c r="AO16" s="37" t="n">
        <v>0.09699999999999999</v>
      </c>
      <c r="AP16" s="37" t="n">
        <v>0.05</v>
      </c>
      <c r="AQ16" s="37" t="n">
        <v>0.07000000000000001</v>
      </c>
      <c r="AR16" s="37" t="n">
        <v>0.06</v>
      </c>
      <c r="AS16" s="37" t="n">
        <v>0.04</v>
      </c>
      <c r="AT16" s="38" t="inlineStr">
        <is>
          <t>6–10</t>
        </is>
      </c>
      <c r="AU16" s="38" t="inlineStr">
        <is>
          <t>Graduate or postgraduate; professional qualification preferred</t>
        </is>
      </c>
      <c r="AV16" s="38" t="inlineStr">
        <is>
          <t>IC: none · People: 6–8 knowledge work, 8–12 standardised delivery</t>
        </is>
      </c>
      <c r="AW16" s="38" t="inlineStr">
        <is>
          <t>P4 / M3 · SFIA 4–5</t>
        </is>
      </c>
      <c r="AX1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6" s="39" t="inlineStr">
        <is>
          <t>B2</t>
        </is>
      </c>
      <c r="AZ16" s="40" t="inlineStr">
        <is>
          <t>Band B · Specialist / Manager · Senior Specialist</t>
        </is>
      </c>
      <c r="BA16" s="40" t="inlineStr">
        <is>
          <t>Model B2 from the six ratings, the market-derived weights and rules R1–R13 · then No change · already below the manager</t>
        </is>
      </c>
      <c r="BB16" s="41" t="inlineStr">
        <is>
          <t>B2</t>
        </is>
      </c>
      <c r="BC16" s="40" t="inlineStr">
        <is>
          <t>The six ratings on the market-average weights of Band B · Specialist / POD Lead score 5.03 → B2 · Hay, Mercer IPE and public plans · experience 20.1 yrs vs the B2 market range 6–10</t>
        </is>
      </c>
      <c r="BD16" s="42">
        <f>IF(SUM(BM16,BN16,BO16,BP16,BQ16,BR16,BS16)=0,0,(BM16*BT16+BN16*BU16+BO16*BV16+BP16*BW16+BQ16*BX16+BR16*BY16+BS16*BZ16)/SUM(BM16,BN16,BO16,BP16,BQ16,BR16,BS16))</f>
        <v>0</v>
      </c>
      <c r="BE16" s="41" t="str">
        <f>IF(LEFT(AY16,1)="X",AY16,IF(OR(AY16="B+",AY16="C+"),INDEX(LAD_PC,MAX(1,MIN(14,MATCH(AY16,LAD_PC,0)+IF(BD16&gt;=0.5,1,IF(BD16&lt;=-0.5,-1,0))))),INDEX(LAD_STD,MAX(1,MIN(12,MATCH(AY16,LAD_STD,0)+IF(BD16&gt;=0.5,1,IF(BD16&lt;=-0.5,-1,0)))))))</f>
        <v>B2</v>
      </c>
      <c r="BF16" s="43" t="n"/>
      <c r="BG16" s="41" t="str">
        <f>IF(BF16&lt;&gt;"",BF16,BE16)</f>
        <v>B2</v>
      </c>
      <c r="BH16" s="40" t="str">
        <f>IFERROR(CHOOSE(INDEX(B_RANK,MATCH(BG16,B_LVL,0)),"Band A","Band B","B+ · Player-Coach","Band C","C+ · Player-Coach","Band D","Band E"),"Band X · Consultant")</f>
        <v>Band B</v>
      </c>
      <c r="BI16" s="40" t="str">
        <f>IF(BG16=AY16,"• Same",IF(INDEX(B_VAL,MATCH(BG16,B_LVL,0))&gt;INDEX(B_VAL,MATCH(AY16,B_LVL,0)),"▲ Up","▼ Down"))</f>
        <v>• Same</v>
      </c>
      <c r="BJ16" s="40" t="str">
        <f>IF(OR($M16="",$M16="—",$M16="Not in this file"),"",IFERROR(INDEX($BG$7:$BG$592,MATCH($M16,$D$7:$D$592,0)),""))</f>
        <v>B3</v>
      </c>
      <c r="BK16" s="40" t="str">
        <f>IFERROR(IF(BJ16="","—",IF(OR(LEFT(BG16,1)="X",LEFT(BJ16,1)="X"),"—",IF(AND(LEFT(BG16,1)="E",LEFT(BJ16,1)="E"),"Exception · Band E",IF(AND(INDEX(B_VAL,MATCH(BJ16,B_LVL,0))&gt;=7,INDEX(B_RANK,MATCH(BG16,B_LVL,0))&gt;=INDEX(B_RANK,MATCH(BJ16,B_LVL,0))),"⚠ Same band as a head manager",IF(INDEX(B_VAL,MATCH(BG16,B_LVL,0))&gt;=INDEX(B_VAL,MATCH(BJ16,B_LVL,0)),"⚠ At or above the manager's level","OK"))))),"—")</f>
        <v>OK</v>
      </c>
      <c r="BL16" s="43" t="n"/>
      <c r="BM16" s="44">
        <f>IFERROR(INDEX(LMH_PTS,MATCH(Y16,LMH_KEY,0)),0)</f>
        <v>9</v>
      </c>
      <c r="BN16" s="38">
        <f>IFERROR(INDEX(LMH_PTS,MATCH(Z16,LMH_KEY,0)),0)</f>
        <v>3</v>
      </c>
      <c r="BO16" s="38">
        <f>IFERROR(INDEX(LMH_PTS,MATCH(AA16,LMH_KEY,0)),0)</f>
        <v>3</v>
      </c>
      <c r="BP16" s="38">
        <f>IFERROR(INDEX(LMH_PTS,MATCH(AB16,LMH_KEY,0)),0)</f>
        <v>1</v>
      </c>
      <c r="BQ16" s="38">
        <f>IFERROR(INDEX(LMH_PTS,MATCH(AC16,LMH_KEY,0)),0)</f>
        <v>3</v>
      </c>
      <c r="BR16" s="38">
        <f>IFERROR(INDEX(LMH_PTS,MATCH(AD16,LMH_KEY,0)),0)</f>
        <v>1</v>
      </c>
      <c r="BS16" s="38">
        <f>IFERROR(INDEX(LMH_PTS,MATCH(AE16,LMH_KEY,0)),0)</f>
        <v>1</v>
      </c>
      <c r="BT16" s="38">
        <f>IFERROR(INDEX(LMH_STEP,MATCH(AF16,LMH_KEY,0)),0)</f>
        <v>0</v>
      </c>
      <c r="BU16" s="38">
        <f>IFERROR(INDEX(LMH_STEP,MATCH(AG16,LMH_KEY,0)),0)</f>
        <v>0</v>
      </c>
      <c r="BV16" s="38">
        <f>IFERROR(INDEX(LMH_STEP,MATCH(AH16,LMH_KEY,0)),0)</f>
        <v>0</v>
      </c>
      <c r="BW16" s="38">
        <f>IFERROR(INDEX(LMH_STEP,MATCH(AI16,LMH_KEY,0)),0)</f>
        <v>0</v>
      </c>
      <c r="BX16" s="38">
        <f>IFERROR(INDEX(LMH_STEP,MATCH(AJ16,LMH_KEY,0)),0)</f>
        <v>0</v>
      </c>
      <c r="BY16" s="38">
        <f>IFERROR(INDEX(LMH_STEP,MATCH(AK16,LMH_KEY,0)),0)</f>
        <v>0</v>
      </c>
      <c r="BZ16" s="38">
        <f>IFERROR(INDEX(LMH_STEP,MATCH(AL16,LMH_KEY,0)),0)</f>
        <v>0</v>
      </c>
      <c r="CA16" s="38" t="inlineStr">
        <is>
          <t>CARBON|Support|Senior Customer Success Specialist|B2|B-IC</t>
        </is>
      </c>
    </row>
    <row r="17" ht="110" customHeight="1">
      <c r="A17" s="28" t="inlineStr">
        <is>
          <t>CARBON</t>
        </is>
      </c>
      <c r="B17" s="29" t="inlineStr">
        <is>
          <t>Support</t>
        </is>
      </c>
      <c r="C17" s="29" t="n">
        <v>5</v>
      </c>
      <c r="D17" s="29" t="inlineStr">
        <is>
          <t>IRIS1911</t>
        </is>
      </c>
      <c r="E17" s="29" t="inlineStr">
        <is>
          <t>Varun Bubna</t>
        </is>
      </c>
      <c r="F17" s="29" t="inlineStr">
        <is>
          <t>Customer Success Manager</t>
        </is>
      </c>
      <c r="G17" s="29" t="inlineStr">
        <is>
          <t>Senior Customer Success Specialist</t>
        </is>
      </c>
      <c r="H17" s="29" t="inlineStr">
        <is>
          <t>Customer Success &amp; Support</t>
        </is>
      </c>
      <c r="I17" s="29" t="inlineStr">
        <is>
          <t>Customer Success &amp; Account Management</t>
        </is>
      </c>
      <c r="J17" s="29" t="inlineStr">
        <is>
          <t>IC</t>
        </is>
      </c>
      <c r="K17" s="29" t="inlineStr">
        <is>
          <t>RC-036</t>
        </is>
      </c>
      <c r="L17" s="29" t="inlineStr">
        <is>
          <t>Anushree Aparajit</t>
        </is>
      </c>
      <c r="M17" s="29" t="inlineStr">
        <is>
          <t>IRIS1335</t>
        </is>
      </c>
      <c r="N17" s="29" t="n">
        <v>8.4</v>
      </c>
      <c r="O17" s="29" t="n">
        <v>5.4</v>
      </c>
      <c r="P17" s="29" t="inlineStr">
        <is>
          <t>B.Com</t>
        </is>
      </c>
      <c r="Q17" s="29" t="inlineStr">
        <is>
          <t>L5 – Manager</t>
        </is>
      </c>
      <c r="R17" s="29" t="inlineStr">
        <is>
          <t>B2</t>
        </is>
      </c>
      <c r="S17" s="30" t="inlineStr">
        <is>
          <t>20 of 20</t>
        </is>
      </c>
      <c r="T17" s="31" t="inlineStr">
        <is>
          <t>• Role / sub-team: Support — Customer Success Manager.
• Core purpose: Intersection of Customers, Business, product and technology, helping customers get enabled into the platform and meet their regulatory needs understanding the value of our offering so that they stay.
• Decision-making autonomy: Can independently customer feedback.
• Is this something …</t>
        </is>
      </c>
      <c r="U17" s="31" t="inlineStr">
        <is>
          <t>Received · manager annual · Net Revenue Retention ≥100–105% 
Target ARR - to be achieved Rs. 50,00,000 per year
90% reach value milestone in 90 days
Develop advocates · Promoter per CEM
Produce case studies annually
CSAT ≥90%
NPS ≥30
100% QBR coverage for accounts
100% CRM hygiene maintained
Renewal forecast accuracy ≥95%
Outstanding receivables …</t>
        </is>
      </c>
      <c r="V17" s="31" t="inlineStr">
        <is>
          <t>Latest rating: 4 · Potential: Medium · 9-box: High Impact / Growth Talent · Readiness: Ready in 6–12 months</t>
        </is>
      </c>
      <c r="W17" s="31" t="inlineStr">
        <is>
          <t>C M · Au L · Ac M · L L · BI M · Exp M · 8.4 yrs vs 6–9 yrs · Edu M · B.Com</t>
        </is>
      </c>
      <c r="X17" s="33" t="inlineStr">
        <is>
          <t>Open ▸</t>
        </is>
      </c>
      <c r="Y17" s="34" t="str">
        <f>IFERROR(INDEX(DL_C,MATCH($CA17,DL_KEY,0)),"M")</f>
        <v>H</v>
      </c>
      <c r="Z17" s="35" t="str">
        <f>IFERROR(INDEX(DL_Au,MATCH($CA17,DL_KEY,0)),"M")</f>
        <v>M</v>
      </c>
      <c r="AA17" s="35" t="str">
        <f>IFERROR(INDEX(DL_Ac,MATCH($CA17,DL_KEY,0)),"M")</f>
        <v>M</v>
      </c>
      <c r="AB17" s="35" t="str">
        <f>IFERROR(INDEX(DL_L,MATCH($CA17,DL_KEY,0)),"M")</f>
        <v>L</v>
      </c>
      <c r="AC17" s="35" t="str">
        <f>IFERROR(INDEX(DL_BI,MATCH($CA17,DL_KEY,0)),"M")</f>
        <v>M</v>
      </c>
      <c r="AD17" s="35" t="str">
        <f>IFERROR(INDEX(DL_Exp,MATCH($CA17,DL_KEY,0)),"M")</f>
        <v>L</v>
      </c>
      <c r="AE17" s="35" t="str">
        <f>IFERROR(INDEX(DL_Edu,MATCH($CA17,DL_KEY,0)),"M")</f>
        <v>L</v>
      </c>
      <c r="AF17" s="34" t="inlineStr">
        <is>
          <t>M</t>
        </is>
      </c>
      <c r="AG17" s="35" t="inlineStr">
        <is>
          <t>M</t>
        </is>
      </c>
      <c r="AH17" s="35" t="inlineStr">
        <is>
          <t>M</t>
        </is>
      </c>
      <c r="AI17" s="35" t="inlineStr">
        <is>
          <t>M</t>
        </is>
      </c>
      <c r="AJ17" s="35" t="inlineStr">
        <is>
          <t>M</t>
        </is>
      </c>
      <c r="AK17" s="35" t="inlineStr">
        <is>
          <t>M</t>
        </is>
      </c>
      <c r="AL17" s="35" t="inlineStr">
        <is>
          <t>M</t>
        </is>
      </c>
      <c r="AM17" s="36" t="n">
        <v>0.513</v>
      </c>
      <c r="AN17" s="37" t="n">
        <v>0.173</v>
      </c>
      <c r="AO17" s="37" t="n">
        <v>0.09699999999999999</v>
      </c>
      <c r="AP17" s="37" t="n">
        <v>0.05</v>
      </c>
      <c r="AQ17" s="37" t="n">
        <v>0.07000000000000001</v>
      </c>
      <c r="AR17" s="37" t="n">
        <v>0.06</v>
      </c>
      <c r="AS17" s="37" t="n">
        <v>0.04</v>
      </c>
      <c r="AT17" s="38" t="inlineStr">
        <is>
          <t>6–10</t>
        </is>
      </c>
      <c r="AU17" s="38" t="inlineStr">
        <is>
          <t>Graduate or postgraduate; professional qualification preferred</t>
        </is>
      </c>
      <c r="AV17" s="38" t="inlineStr">
        <is>
          <t>IC: none · People: 6–8 knowledge work, 8–12 standardised delivery</t>
        </is>
      </c>
      <c r="AW17" s="38" t="inlineStr">
        <is>
          <t>P4 / M3 · SFIA 4–5</t>
        </is>
      </c>
      <c r="AX1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7" s="39" t="inlineStr">
        <is>
          <t>B2</t>
        </is>
      </c>
      <c r="AZ17" s="40" t="inlineStr">
        <is>
          <t>Band B · Specialist / Manager · Senior Specialist</t>
        </is>
      </c>
      <c r="BA17" s="40" t="inlineStr">
        <is>
          <t>Model B2 from the six ratings, the market-derived weights and rules R1–R13 · then No change · already below the manager</t>
        </is>
      </c>
      <c r="BB17" s="41" t="inlineStr">
        <is>
          <t>B1</t>
        </is>
      </c>
      <c r="BC17" s="40" t="inlineStr">
        <is>
          <t>The six ratings on the market-average weights of Band B · Specialist / POD Lead score 4.47 → B1 · Hay, Mercer IPE and public plans · experience 8.4 yrs vs the B1 market range 4–8</t>
        </is>
      </c>
      <c r="BD17" s="42">
        <f>IF(SUM(BM17,BN17,BO17,BP17,BQ17,BR17,BS17)=0,0,(BM17*BT17+BN17*BU17+BO17*BV17+BP17*BW17+BQ17*BX17+BR17*BY17+BS17*BZ17)/SUM(BM17,BN17,BO17,BP17,BQ17,BR17,BS17))</f>
        <v>0</v>
      </c>
      <c r="BE17" s="41" t="str">
        <f>IF(LEFT(AY17,1)="X",AY17,IF(OR(AY17="B+",AY17="C+"),INDEX(LAD_PC,MAX(1,MIN(14,MATCH(AY17,LAD_PC,0)+IF(BD17&gt;=0.5,1,IF(BD17&lt;=-0.5,-1,0))))),INDEX(LAD_STD,MAX(1,MIN(12,MATCH(AY17,LAD_STD,0)+IF(BD17&gt;=0.5,1,IF(BD17&lt;=-0.5,-1,0)))))))</f>
        <v>B2</v>
      </c>
      <c r="BF17" s="43" t="n"/>
      <c r="BG17" s="41" t="str">
        <f>IF(BF17&lt;&gt;"",BF17,BE17)</f>
        <v>B2</v>
      </c>
      <c r="BH17" s="40" t="str">
        <f>IFERROR(CHOOSE(INDEX(B_RANK,MATCH(BG17,B_LVL,0)),"Band A","Band B","B+ · Player-Coach","Band C","C+ · Player-Coach","Band D","Band E"),"Band X · Consultant")</f>
        <v>Band B</v>
      </c>
      <c r="BI17" s="40" t="str">
        <f>IF(BG17=AY17,"• Same",IF(INDEX(B_VAL,MATCH(BG17,B_LVL,0))&gt;INDEX(B_VAL,MATCH(AY17,B_LVL,0)),"▲ Up","▼ Down"))</f>
        <v>• Same</v>
      </c>
      <c r="BJ17" s="40" t="str">
        <f>IF(OR($M17="",$M17="—",$M17="Not in this file"),"",IFERROR(INDEX($BG$7:$BG$592,MATCH($M17,$D$7:$D$592,0)),""))</f>
        <v>B3</v>
      </c>
      <c r="BK17" s="40" t="str">
        <f>IFERROR(IF(BJ17="","—",IF(OR(LEFT(BG17,1)="X",LEFT(BJ17,1)="X"),"—",IF(AND(LEFT(BG17,1)="E",LEFT(BJ17,1)="E"),"Exception · Band E",IF(AND(INDEX(B_VAL,MATCH(BJ17,B_LVL,0))&gt;=7,INDEX(B_RANK,MATCH(BG17,B_LVL,0))&gt;=INDEX(B_RANK,MATCH(BJ17,B_LVL,0))),"⚠ Same band as a head manager",IF(INDEX(B_VAL,MATCH(BG17,B_LVL,0))&gt;=INDEX(B_VAL,MATCH(BJ17,B_LVL,0)),"⚠ At or above the manager's level","OK"))))),"—")</f>
        <v>OK</v>
      </c>
      <c r="BL17" s="43" t="n"/>
      <c r="BM17" s="44">
        <f>IFERROR(INDEX(LMH_PTS,MATCH(Y17,LMH_KEY,0)),0)</f>
        <v>9</v>
      </c>
      <c r="BN17" s="38">
        <f>IFERROR(INDEX(LMH_PTS,MATCH(Z17,LMH_KEY,0)),0)</f>
        <v>3</v>
      </c>
      <c r="BO17" s="38">
        <f>IFERROR(INDEX(LMH_PTS,MATCH(AA17,LMH_KEY,0)),0)</f>
        <v>3</v>
      </c>
      <c r="BP17" s="38">
        <f>IFERROR(INDEX(LMH_PTS,MATCH(AB17,LMH_KEY,0)),0)</f>
        <v>1</v>
      </c>
      <c r="BQ17" s="38">
        <f>IFERROR(INDEX(LMH_PTS,MATCH(AC17,LMH_KEY,0)),0)</f>
        <v>3</v>
      </c>
      <c r="BR17" s="38">
        <f>IFERROR(INDEX(LMH_PTS,MATCH(AD17,LMH_KEY,0)),0)</f>
        <v>1</v>
      </c>
      <c r="BS17" s="38">
        <f>IFERROR(INDEX(LMH_PTS,MATCH(AE17,LMH_KEY,0)),0)</f>
        <v>1</v>
      </c>
      <c r="BT17" s="38">
        <f>IFERROR(INDEX(LMH_STEP,MATCH(AF17,LMH_KEY,0)),0)</f>
        <v>0</v>
      </c>
      <c r="BU17" s="38">
        <f>IFERROR(INDEX(LMH_STEP,MATCH(AG17,LMH_KEY,0)),0)</f>
        <v>0</v>
      </c>
      <c r="BV17" s="38">
        <f>IFERROR(INDEX(LMH_STEP,MATCH(AH17,LMH_KEY,0)),0)</f>
        <v>0</v>
      </c>
      <c r="BW17" s="38">
        <f>IFERROR(INDEX(LMH_STEP,MATCH(AI17,LMH_KEY,0)),0)</f>
        <v>0</v>
      </c>
      <c r="BX17" s="38">
        <f>IFERROR(INDEX(LMH_STEP,MATCH(AJ17,LMH_KEY,0)),0)</f>
        <v>0</v>
      </c>
      <c r="BY17" s="38">
        <f>IFERROR(INDEX(LMH_STEP,MATCH(AK17,LMH_KEY,0)),0)</f>
        <v>0</v>
      </c>
      <c r="BZ17" s="38">
        <f>IFERROR(INDEX(LMH_STEP,MATCH(AL17,LMH_KEY,0)),0)</f>
        <v>0</v>
      </c>
      <c r="CA17" s="38" t="inlineStr">
        <is>
          <t>CARBON|Support|Senior Customer Success Specialist|B2|B-IC</t>
        </is>
      </c>
    </row>
    <row r="18" ht="110" customHeight="1">
      <c r="A18" s="28" t="inlineStr">
        <is>
          <t>CARBON</t>
        </is>
      </c>
      <c r="B18" s="29" t="inlineStr">
        <is>
          <t>Support</t>
        </is>
      </c>
      <c r="C18" s="29" t="n">
        <v>5</v>
      </c>
      <c r="D18" s="29" t="inlineStr">
        <is>
          <t>IRIS1939</t>
        </is>
      </c>
      <c r="E18" s="29" t="inlineStr">
        <is>
          <t>Nupur Samantaray</t>
        </is>
      </c>
      <c r="F18" s="29" t="inlineStr">
        <is>
          <t>Manager- Customer Engagement</t>
        </is>
      </c>
      <c r="G18" s="29" t="inlineStr">
        <is>
          <t>Senior Customer Success Specialist</t>
        </is>
      </c>
      <c r="H18" s="29" t="inlineStr">
        <is>
          <t>Customer Success &amp; Support</t>
        </is>
      </c>
      <c r="I18" s="29" t="inlineStr">
        <is>
          <t>Customer Success &amp; Account Management</t>
        </is>
      </c>
      <c r="J18" s="29" t="inlineStr">
        <is>
          <t>IC</t>
        </is>
      </c>
      <c r="K18" s="29" t="inlineStr">
        <is>
          <t>RC-035</t>
        </is>
      </c>
      <c r="L18" s="29" t="inlineStr">
        <is>
          <t>Anushree Aparajit</t>
        </is>
      </c>
      <c r="M18" s="29" t="inlineStr">
        <is>
          <t>IRIS1335</t>
        </is>
      </c>
      <c r="N18" s="29" t="n">
        <v>9.1</v>
      </c>
      <c r="O18" s="29" t="n">
        <v>5.1</v>
      </c>
      <c r="P18" s="29" t="inlineStr">
        <is>
          <t>CA</t>
        </is>
      </c>
      <c r="Q18" s="29" t="inlineStr">
        <is>
          <t>L5 – Manager</t>
        </is>
      </c>
      <c r="R18" s="29" t="inlineStr">
        <is>
          <t>B1</t>
        </is>
      </c>
      <c r="S18" s="30" t="inlineStr">
        <is>
          <t>20 of 20</t>
        </is>
      </c>
      <c r="T18" s="31" t="inlineStr">
        <is>
          <t>• Role / sub-team: Support — Manager- Customer Engagement.
• Core purpose: Act as primary point of contact and understand customer requirements and pass on to product or service team
Coordinate between internal teams
Renewal and customer retention
Upselling.
• Decision-making autonomy: Can independently new logo.
• Is this something only they do: Most of …</t>
        </is>
      </c>
      <c r="U18" s="31" t="inlineStr">
        <is>
          <t>Received · manager annual · Net Revenue Retention ≥100–105%
Target ARR - to be achieved: INR 55,00,000
90% reach value milestone in 90 days
Develop advocates · Promoter per CEM
Produce case studies annually
CSAT ≥90%
NPS ≥30
100% QBR coverage for accounts
100% CRM hygiene maintained
Renewal forecast accuracy ≥95%
Outstanding receivables ≤45 …</t>
        </is>
      </c>
      <c r="V18" s="31" t="inlineStr">
        <is>
          <t>Latest rating: 3 · Potential: Medium · 9-box: Core Contributor · Readiness: Develop in role</t>
        </is>
      </c>
      <c r="W18" s="31" t="inlineStr">
        <is>
          <t>C M · Au M · Ac M · L L · BI H · Exp H · 9.1 yrs vs 4–7 yrs · Edu H · CA</t>
        </is>
      </c>
      <c r="X18" s="33" t="inlineStr">
        <is>
          <t>Open ▸</t>
        </is>
      </c>
      <c r="Y18" s="34" t="str">
        <f>IFERROR(INDEX(DL_C,MATCH($CA18,DL_KEY,0)),"M")</f>
        <v>H</v>
      </c>
      <c r="Z18" s="35" t="str">
        <f>IFERROR(INDEX(DL_Au,MATCH($CA18,DL_KEY,0)),"M")</f>
        <v>M</v>
      </c>
      <c r="AA18" s="35" t="str">
        <f>IFERROR(INDEX(DL_Ac,MATCH($CA18,DL_KEY,0)),"M")</f>
        <v>M</v>
      </c>
      <c r="AB18" s="35" t="str">
        <f>IFERROR(INDEX(DL_L,MATCH($CA18,DL_KEY,0)),"M")</f>
        <v>L</v>
      </c>
      <c r="AC18" s="35" t="str">
        <f>IFERROR(INDEX(DL_BI,MATCH($CA18,DL_KEY,0)),"M")</f>
        <v>M</v>
      </c>
      <c r="AD18" s="35" t="str">
        <f>IFERROR(INDEX(DL_Exp,MATCH($CA18,DL_KEY,0)),"M")</f>
        <v>L</v>
      </c>
      <c r="AE18" s="35" t="str">
        <f>IFERROR(INDEX(DL_Edu,MATCH($CA18,DL_KEY,0)),"M")</f>
        <v>L</v>
      </c>
      <c r="AF18" s="34" t="inlineStr">
        <is>
          <t>M</t>
        </is>
      </c>
      <c r="AG18" s="35" t="inlineStr">
        <is>
          <t>M</t>
        </is>
      </c>
      <c r="AH18" s="35" t="inlineStr">
        <is>
          <t>M</t>
        </is>
      </c>
      <c r="AI18" s="35" t="inlineStr">
        <is>
          <t>M</t>
        </is>
      </c>
      <c r="AJ18" s="35" t="inlineStr">
        <is>
          <t>M</t>
        </is>
      </c>
      <c r="AK18" s="35" t="inlineStr">
        <is>
          <t>M</t>
        </is>
      </c>
      <c r="AL18" s="35" t="inlineStr">
        <is>
          <t>M</t>
        </is>
      </c>
      <c r="AM18" s="36" t="n">
        <v>0.513</v>
      </c>
      <c r="AN18" s="37" t="n">
        <v>0.173</v>
      </c>
      <c r="AO18" s="37" t="n">
        <v>0.09699999999999999</v>
      </c>
      <c r="AP18" s="37" t="n">
        <v>0.05</v>
      </c>
      <c r="AQ18" s="37" t="n">
        <v>0.07000000000000001</v>
      </c>
      <c r="AR18" s="37" t="n">
        <v>0.06</v>
      </c>
      <c r="AS18" s="37" t="n">
        <v>0.04</v>
      </c>
      <c r="AT18" s="38" t="inlineStr">
        <is>
          <t>4–8</t>
        </is>
      </c>
      <c r="AU18" s="38" t="inlineStr">
        <is>
          <t>Graduate + relevant qualification or certification preferred</t>
        </is>
      </c>
      <c r="AV18" s="38" t="inlineStr">
        <is>
          <t>IC: none · Team Lead: 3–5</t>
        </is>
      </c>
      <c r="AW18" s="38" t="inlineStr">
        <is>
          <t>P3 / M2 · SFIA 4 Enable</t>
        </is>
      </c>
      <c r="AX1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8" s="39" t="inlineStr">
        <is>
          <t>B1</t>
        </is>
      </c>
      <c r="AZ18" s="40" t="inlineStr">
        <is>
          <t>Band B · Specialist / Manager · Specialist</t>
        </is>
      </c>
      <c r="BA18" s="40" t="inlineStr">
        <is>
          <t>Model B1 from the six ratings, the market-derived weights and rules R1–R13 · then No change · already below the manager</t>
        </is>
      </c>
      <c r="BB18" s="41" t="inlineStr">
        <is>
          <t>B1</t>
        </is>
      </c>
      <c r="BC18" s="40" t="inlineStr">
        <is>
          <t>The six ratings on the market-average weights of Band B · Specialist / POD Lead score 4.32 → B1 · Hay, Mercer IPE and public plans · experience 9.1 yrs vs the B1 market range 4–8</t>
        </is>
      </c>
      <c r="BD18" s="42">
        <f>IF(SUM(BM18,BN18,BO18,BP18,BQ18,BR18,BS18)=0,0,(BM18*BT18+BN18*BU18+BO18*BV18+BP18*BW18+BQ18*BX18+BR18*BY18+BS18*BZ18)/SUM(BM18,BN18,BO18,BP18,BQ18,BR18,BS18))</f>
        <v>0</v>
      </c>
      <c r="BE18" s="41" t="str">
        <f>IF(LEFT(AY18,1)="X",AY18,IF(OR(AY18="B+",AY18="C+"),INDEX(LAD_PC,MAX(1,MIN(14,MATCH(AY18,LAD_PC,0)+IF(BD18&gt;=0.5,1,IF(BD18&lt;=-0.5,-1,0))))),INDEX(LAD_STD,MAX(1,MIN(12,MATCH(AY18,LAD_STD,0)+IF(BD18&gt;=0.5,1,IF(BD18&lt;=-0.5,-1,0)))))))</f>
        <v>B1</v>
      </c>
      <c r="BF18" s="43" t="n"/>
      <c r="BG18" s="41" t="str">
        <f>IF(BF18&lt;&gt;"",BF18,BE18)</f>
        <v>B1</v>
      </c>
      <c r="BH18" s="40" t="str">
        <f>IFERROR(CHOOSE(INDEX(B_RANK,MATCH(BG18,B_LVL,0)),"Band A","Band B","B+ · Player-Coach","Band C","C+ · Player-Coach","Band D","Band E"),"Band X · Consultant")</f>
        <v>Band B</v>
      </c>
      <c r="BI18" s="40" t="str">
        <f>IF(BG18=AY18,"• Same",IF(INDEX(B_VAL,MATCH(BG18,B_LVL,0))&gt;INDEX(B_VAL,MATCH(AY18,B_LVL,0)),"▲ Up","▼ Down"))</f>
        <v>• Same</v>
      </c>
      <c r="BJ18" s="40" t="str">
        <f>IF(OR($M18="",$M18="—",$M18="Not in this file"),"",IFERROR(INDEX($BG$7:$BG$592,MATCH($M18,$D$7:$D$592,0)),""))</f>
        <v>B3</v>
      </c>
      <c r="BK18" s="40" t="str">
        <f>IFERROR(IF(BJ18="","—",IF(OR(LEFT(BG18,1)="X",LEFT(BJ18,1)="X"),"—",IF(AND(LEFT(BG18,1)="E",LEFT(BJ18,1)="E"),"Exception · Band E",IF(AND(INDEX(B_VAL,MATCH(BJ18,B_LVL,0))&gt;=7,INDEX(B_RANK,MATCH(BG18,B_LVL,0))&gt;=INDEX(B_RANK,MATCH(BJ18,B_LVL,0))),"⚠ Same band as a head manager",IF(INDEX(B_VAL,MATCH(BG18,B_LVL,0))&gt;=INDEX(B_VAL,MATCH(BJ18,B_LVL,0)),"⚠ At or above the manager's level","OK"))))),"—")</f>
        <v>OK</v>
      </c>
      <c r="BL18" s="43" t="n"/>
      <c r="BM18" s="44">
        <f>IFERROR(INDEX(LMH_PTS,MATCH(Y18,LMH_KEY,0)),0)</f>
        <v>9</v>
      </c>
      <c r="BN18" s="38">
        <f>IFERROR(INDEX(LMH_PTS,MATCH(Z18,LMH_KEY,0)),0)</f>
        <v>3</v>
      </c>
      <c r="BO18" s="38">
        <f>IFERROR(INDEX(LMH_PTS,MATCH(AA18,LMH_KEY,0)),0)</f>
        <v>3</v>
      </c>
      <c r="BP18" s="38">
        <f>IFERROR(INDEX(LMH_PTS,MATCH(AB18,LMH_KEY,0)),0)</f>
        <v>1</v>
      </c>
      <c r="BQ18" s="38">
        <f>IFERROR(INDEX(LMH_PTS,MATCH(AC18,LMH_KEY,0)),0)</f>
        <v>3</v>
      </c>
      <c r="BR18" s="38">
        <f>IFERROR(INDEX(LMH_PTS,MATCH(AD18,LMH_KEY,0)),0)</f>
        <v>1</v>
      </c>
      <c r="BS18" s="38">
        <f>IFERROR(INDEX(LMH_PTS,MATCH(AE18,LMH_KEY,0)),0)</f>
        <v>1</v>
      </c>
      <c r="BT18" s="38">
        <f>IFERROR(INDEX(LMH_STEP,MATCH(AF18,LMH_KEY,0)),0)</f>
        <v>0</v>
      </c>
      <c r="BU18" s="38">
        <f>IFERROR(INDEX(LMH_STEP,MATCH(AG18,LMH_KEY,0)),0)</f>
        <v>0</v>
      </c>
      <c r="BV18" s="38">
        <f>IFERROR(INDEX(LMH_STEP,MATCH(AH18,LMH_KEY,0)),0)</f>
        <v>0</v>
      </c>
      <c r="BW18" s="38">
        <f>IFERROR(INDEX(LMH_STEP,MATCH(AI18,LMH_KEY,0)),0)</f>
        <v>0</v>
      </c>
      <c r="BX18" s="38">
        <f>IFERROR(INDEX(LMH_STEP,MATCH(AJ18,LMH_KEY,0)),0)</f>
        <v>0</v>
      </c>
      <c r="BY18" s="38">
        <f>IFERROR(INDEX(LMH_STEP,MATCH(AK18,LMH_KEY,0)),0)</f>
        <v>0</v>
      </c>
      <c r="BZ18" s="38">
        <f>IFERROR(INDEX(LMH_STEP,MATCH(AL18,LMH_KEY,0)),0)</f>
        <v>0</v>
      </c>
      <c r="CA18" s="38" t="inlineStr">
        <is>
          <t>CARBON|Support|Senior Customer Success Specialist|B1|B-IC</t>
        </is>
      </c>
    </row>
    <row r="19" ht="110" customHeight="1">
      <c r="A19" s="28" t="inlineStr">
        <is>
          <t>CARBON</t>
        </is>
      </c>
      <c r="B19" s="29" t="inlineStr">
        <is>
          <t>Support</t>
        </is>
      </c>
      <c r="C19" s="29" t="n">
        <v>5</v>
      </c>
      <c r="D19" s="29" t="inlineStr">
        <is>
          <t>IRIS2448</t>
        </is>
      </c>
      <c r="E19" s="29" t="inlineStr">
        <is>
          <t>Samiksha Kadam</t>
        </is>
      </c>
      <c r="F19" s="29" t="inlineStr">
        <is>
          <t>Customer Engagement Executive</t>
        </is>
      </c>
      <c r="G19" s="29" t="inlineStr">
        <is>
          <t>Senior Customer Success Executive</t>
        </is>
      </c>
      <c r="H19" s="29" t="inlineStr">
        <is>
          <t>Customer Success &amp; Support</t>
        </is>
      </c>
      <c r="I19" s="29" t="inlineStr">
        <is>
          <t>Customer Success &amp; Account Management</t>
        </is>
      </c>
      <c r="J19" s="29" t="inlineStr">
        <is>
          <t>IC</t>
        </is>
      </c>
      <c r="K19" s="29" t="inlineStr">
        <is>
          <t>RC-034</t>
        </is>
      </c>
      <c r="L19" s="29" t="inlineStr">
        <is>
          <t>Anushree Aparajit</t>
        </is>
      </c>
      <c r="M19" s="29" t="inlineStr">
        <is>
          <t>IRIS1335</t>
        </is>
      </c>
      <c r="N19" s="29" t="n">
        <v>9.800000000000001</v>
      </c>
      <c r="O19" s="29" t="n">
        <v>0.8</v>
      </c>
      <c r="P19" s="29" t="inlineStr">
        <is>
          <t>BMS</t>
        </is>
      </c>
      <c r="Q19" s="29" t="inlineStr">
        <is>
          <t>L3 – Professional / Associate</t>
        </is>
      </c>
      <c r="R19" s="29" t="inlineStr">
        <is>
          <t>A3</t>
        </is>
      </c>
      <c r="S19" s="30" t="inlineStr">
        <is>
          <t>20 of 20</t>
        </is>
      </c>
      <c r="T19" s="31" t="inlineStr">
        <is>
          <t>• Role / sub-team: Support — Customer Engagement Executive.
• Core purpose: The role is more focused on Client interaction, business optimisation and retention.
The team is also expected to bring in new logos to the current customer pool apart from upsell and cross sell.
• Decision-making autonomy: Can independently trainings.
• Is this something only they …</t>
        </is>
      </c>
      <c r="U19" s="31" t="inlineStr">
        <is>
          <t>Received · manager annual · Net Revenue Retention - 105%
Target ARR - to be achieved Rs. 10,50,000 per quarter - Cross Sell
90% reach value milestone in 90 days
Develop advocates · Promoter per CEM
Produce case studies annually
CSAT ≥90%
NPS ≥30
100% QBR coverage for accounts
100% CRM hygiene maintained
Renewal forecast accuracy ≥95%
Outstanding …</t>
        </is>
      </c>
      <c r="V19" s="31" t="inlineStr">
        <is>
          <t>Latest rating: 3 · Potential: Medium · 9-box: Core Contributor · Readiness: Develop in role</t>
        </is>
      </c>
      <c r="W19" s="31" t="inlineStr">
        <is>
          <t>C M · Au L · Ac M · L L · BI M · Exp H · 9.8 yrs vs 2–4 yrs · Edu M · BMS</t>
        </is>
      </c>
      <c r="X19" s="33" t="inlineStr">
        <is>
          <t>Open ▸</t>
        </is>
      </c>
      <c r="Y19" s="34" t="str">
        <f>IFERROR(INDEX(DL_C,MATCH($CA19,DL_KEY,0)),"M")</f>
        <v>H</v>
      </c>
      <c r="Z19" s="35" t="str">
        <f>IFERROR(INDEX(DL_Au,MATCH($CA19,DL_KEY,0)),"M")</f>
        <v>M</v>
      </c>
      <c r="AA19" s="35" t="str">
        <f>IFERROR(INDEX(DL_Ac,MATCH($CA19,DL_KEY,0)),"M")</f>
        <v>M</v>
      </c>
      <c r="AB19" s="35" t="str">
        <f>IFERROR(INDEX(DL_L,MATCH($CA19,DL_KEY,0)),"M")</f>
        <v>L</v>
      </c>
      <c r="AC19" s="35" t="str">
        <f>IFERROR(INDEX(DL_BI,MATCH($CA19,DL_KEY,0)),"M")</f>
        <v>M</v>
      </c>
      <c r="AD19" s="35" t="str">
        <f>IFERROR(INDEX(DL_Exp,MATCH($CA19,DL_KEY,0)),"M")</f>
        <v>L</v>
      </c>
      <c r="AE19" s="35" t="str">
        <f>IFERROR(INDEX(DL_Edu,MATCH($CA19,DL_KEY,0)),"M")</f>
        <v>L</v>
      </c>
      <c r="AF19" s="34" t="inlineStr">
        <is>
          <t>M</t>
        </is>
      </c>
      <c r="AG19" s="35" t="inlineStr">
        <is>
          <t>M</t>
        </is>
      </c>
      <c r="AH19" s="35" t="inlineStr">
        <is>
          <t>M</t>
        </is>
      </c>
      <c r="AI19" s="35" t="inlineStr">
        <is>
          <t>M</t>
        </is>
      </c>
      <c r="AJ19" s="35" t="inlineStr">
        <is>
          <t>M</t>
        </is>
      </c>
      <c r="AK19" s="35" t="inlineStr">
        <is>
          <t>M</t>
        </is>
      </c>
      <c r="AL19" s="35" t="inlineStr">
        <is>
          <t>M</t>
        </is>
      </c>
      <c r="AM19" s="36" t="n">
        <v>0.583</v>
      </c>
      <c r="AN19" s="37" t="n">
        <v>0.16</v>
      </c>
      <c r="AO19" s="37" t="n">
        <v>0.09</v>
      </c>
      <c r="AP19" s="37" t="n">
        <v>0</v>
      </c>
      <c r="AQ19" s="37" t="n">
        <v>0.063</v>
      </c>
      <c r="AR19" s="37" t="n">
        <v>0.06</v>
      </c>
      <c r="AS19" s="37" t="n">
        <v>0.04</v>
      </c>
      <c r="AT19" s="38" t="inlineStr">
        <is>
          <t>2–5</t>
        </is>
      </c>
      <c r="AU19" s="38" t="inlineStr">
        <is>
          <t>Graduate; relevant certification preferred</t>
        </is>
      </c>
      <c r="AV19" s="38" t="inlineStr">
        <is>
          <t>None · guides 1–3 juniors informally</t>
        </is>
      </c>
      <c r="AW19" s="38" t="inlineStr">
        <is>
          <t>P2 · SFIA 3 Apply</t>
        </is>
      </c>
      <c r="AX1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9" s="39" t="inlineStr">
        <is>
          <t>A3</t>
        </is>
      </c>
      <c r="AZ19" s="40" t="inlineStr">
        <is>
          <t>Band A · Practitioner · Senior Associate</t>
        </is>
      </c>
      <c r="BA19" s="40" t="inlineStr">
        <is>
          <t>Model A3 from the six ratings, the market-derived weights and rules R1–R13 · then No change · already below the manager</t>
        </is>
      </c>
      <c r="BB19" s="41" t="inlineStr">
        <is>
          <t>A3</t>
        </is>
      </c>
      <c r="BC19" s="40" t="inlineStr">
        <is>
          <t>The six ratings on the market-average weights of Band A · all tracks score 2.88 → A3 · Hay, Mercer IPE and public plans · experience 9.8 yrs vs the A3 market range 2–5</t>
        </is>
      </c>
      <c r="BD19" s="42">
        <f>IF(SUM(BM19,BN19,BO19,BP19,BQ19,BR19,BS19)=0,0,(BM19*BT19+BN19*BU19+BO19*BV19+BP19*BW19+BQ19*BX19+BR19*BY19+BS19*BZ19)/SUM(BM19,BN19,BO19,BP19,BQ19,BR19,BS19))</f>
        <v>0</v>
      </c>
      <c r="BE19" s="41" t="str">
        <f>IF(LEFT(AY19,1)="X",AY19,IF(OR(AY19="B+",AY19="C+"),INDEX(LAD_PC,MAX(1,MIN(14,MATCH(AY19,LAD_PC,0)+IF(BD19&gt;=0.5,1,IF(BD19&lt;=-0.5,-1,0))))),INDEX(LAD_STD,MAX(1,MIN(12,MATCH(AY19,LAD_STD,0)+IF(BD19&gt;=0.5,1,IF(BD19&lt;=-0.5,-1,0)))))))</f>
        <v>A3</v>
      </c>
      <c r="BF19" s="43" t="n"/>
      <c r="BG19" s="41" t="str">
        <f>IF(BF19&lt;&gt;"",BF19,BE19)</f>
        <v>A3</v>
      </c>
      <c r="BH19" s="40" t="str">
        <f>IFERROR(CHOOSE(INDEX(B_RANK,MATCH(BG19,B_LVL,0)),"Band A","Band B","B+ · Player-Coach","Band C","C+ · Player-Coach","Band D","Band E"),"Band X · Consultant")</f>
        <v>Band A</v>
      </c>
      <c r="BI19" s="40" t="str">
        <f>IF(BG19=AY19,"• Same",IF(INDEX(B_VAL,MATCH(BG19,B_LVL,0))&gt;INDEX(B_VAL,MATCH(AY19,B_LVL,0)),"▲ Up","▼ Down"))</f>
        <v>• Same</v>
      </c>
      <c r="BJ19" s="40" t="str">
        <f>IF(OR($M19="",$M19="—",$M19="Not in this file"),"",IFERROR(INDEX($BG$7:$BG$592,MATCH($M19,$D$7:$D$592,0)),""))</f>
        <v>B3</v>
      </c>
      <c r="BK19" s="40" t="str">
        <f>IFERROR(IF(BJ19="","—",IF(OR(LEFT(BG19,1)="X",LEFT(BJ19,1)="X"),"—",IF(AND(LEFT(BG19,1)="E",LEFT(BJ19,1)="E"),"Exception · Band E",IF(AND(INDEX(B_VAL,MATCH(BJ19,B_LVL,0))&gt;=7,INDEX(B_RANK,MATCH(BG19,B_LVL,0))&gt;=INDEX(B_RANK,MATCH(BJ19,B_LVL,0))),"⚠ Same band as a head manager",IF(INDEX(B_VAL,MATCH(BG19,B_LVL,0))&gt;=INDEX(B_VAL,MATCH(BJ19,B_LVL,0)),"⚠ At or above the manager's level","OK"))))),"—")</f>
        <v>OK</v>
      </c>
      <c r="BL19" s="43" t="n"/>
      <c r="BM19" s="44">
        <f>IFERROR(INDEX(LMH_PTS,MATCH(Y19,LMH_KEY,0)),0)</f>
        <v>9</v>
      </c>
      <c r="BN19" s="38">
        <f>IFERROR(INDEX(LMH_PTS,MATCH(Z19,LMH_KEY,0)),0)</f>
        <v>3</v>
      </c>
      <c r="BO19" s="38">
        <f>IFERROR(INDEX(LMH_PTS,MATCH(AA19,LMH_KEY,0)),0)</f>
        <v>3</v>
      </c>
      <c r="BP19" s="38">
        <f>IFERROR(INDEX(LMH_PTS,MATCH(AB19,LMH_KEY,0)),0)</f>
        <v>1</v>
      </c>
      <c r="BQ19" s="38">
        <f>IFERROR(INDEX(LMH_PTS,MATCH(AC19,LMH_KEY,0)),0)</f>
        <v>3</v>
      </c>
      <c r="BR19" s="38">
        <f>IFERROR(INDEX(LMH_PTS,MATCH(AD19,LMH_KEY,0)),0)</f>
        <v>1</v>
      </c>
      <c r="BS19" s="38">
        <f>IFERROR(INDEX(LMH_PTS,MATCH(AE19,LMH_KEY,0)),0)</f>
        <v>1</v>
      </c>
      <c r="BT19" s="38">
        <f>IFERROR(INDEX(LMH_STEP,MATCH(AF19,LMH_KEY,0)),0)</f>
        <v>0</v>
      </c>
      <c r="BU19" s="38">
        <f>IFERROR(INDEX(LMH_STEP,MATCH(AG19,LMH_KEY,0)),0)</f>
        <v>0</v>
      </c>
      <c r="BV19" s="38">
        <f>IFERROR(INDEX(LMH_STEP,MATCH(AH19,LMH_KEY,0)),0)</f>
        <v>0</v>
      </c>
      <c r="BW19" s="38">
        <f>IFERROR(INDEX(LMH_STEP,MATCH(AI19,LMH_KEY,0)),0)</f>
        <v>0</v>
      </c>
      <c r="BX19" s="38">
        <f>IFERROR(INDEX(LMH_STEP,MATCH(AJ19,LMH_KEY,0)),0)</f>
        <v>0</v>
      </c>
      <c r="BY19" s="38">
        <f>IFERROR(INDEX(LMH_STEP,MATCH(AK19,LMH_KEY,0)),0)</f>
        <v>0</v>
      </c>
      <c r="BZ19" s="38">
        <f>IFERROR(INDEX(LMH_STEP,MATCH(AL19,LMH_KEY,0)),0)</f>
        <v>0</v>
      </c>
      <c r="CA19" s="38" t="inlineStr">
        <is>
          <t>CARBON|Support|Senior Customer Success Executive|A3|A</t>
        </is>
      </c>
    </row>
    <row r="20" ht="110" customHeight="1">
      <c r="A20" s="28" t="inlineStr">
        <is>
          <t>CARBON</t>
        </is>
      </c>
      <c r="B20" s="29" t="inlineStr">
        <is>
          <t>Services</t>
        </is>
      </c>
      <c r="C20" s="29" t="n">
        <v>4</v>
      </c>
      <c r="D20" s="29" t="inlineStr">
        <is>
          <t>IRIS0018</t>
        </is>
      </c>
      <c r="E20" s="29" t="inlineStr">
        <is>
          <t>K Ashok Kumar</t>
        </is>
      </c>
      <c r="F20" s="29" t="inlineStr">
        <is>
          <t>Manager Financial Analyst</t>
        </is>
      </c>
      <c r="G20" s="29" t="inlineStr">
        <is>
          <t>Associate Head – Assisted Services</t>
        </is>
      </c>
      <c r="H20" s="29" t="inlineStr">
        <is>
          <t>Executive Leadership</t>
        </is>
      </c>
      <c r="I20" s="29" t="inlineStr">
        <is>
          <t>Business Head</t>
        </is>
      </c>
      <c r="J20" s="29" t="inlineStr">
        <is>
          <t>People Manager</t>
        </is>
      </c>
      <c r="K20" s="29" t="inlineStr">
        <is>
          <t>RC-EL-BH-C1</t>
        </is>
      </c>
      <c r="L20" s="29" t="inlineStr">
        <is>
          <t>Suman Adhikary</t>
        </is>
      </c>
      <c r="M20" s="29" t="inlineStr">
        <is>
          <t>IRIS2359</t>
        </is>
      </c>
      <c r="N20" s="29" t="n">
        <v>21.9</v>
      </c>
      <c r="O20" s="29" t="n">
        <v>21.9</v>
      </c>
      <c r="P20" s="29" t="inlineStr">
        <is>
          <t>M.Com</t>
        </is>
      </c>
      <c r="Q20" s="29" t="inlineStr">
        <is>
          <t>L5 – Manager</t>
        </is>
      </c>
      <c r="R20" s="29" t="inlineStr">
        <is>
          <t>C1</t>
        </is>
      </c>
      <c r="S20" s="30" t="inlineStr">
        <is>
          <t>20 of 20</t>
        </is>
      </c>
      <c r="T20" s="31" t="inlineStr">
        <is>
          <t>Complexity: Evidence reads like B1: Plans AI testing, defines test scenarios and validation criteria, reviews AI outputs → moved down 0.5
Autonomy: Evidence reads like A3: Only 'testing' named; sets scenarios and criteria for the testing work itself → moved down 0.5
Accountability: Evidence reads like A3: AI test planning, execution, defect identification, …</t>
        </is>
      </c>
      <c r="U20" s="31" t="inlineStr">
        <is>
          <t>Received · manager annual · 1. Testing of AI related features · Anomaly, MBRS and Reg AI.
2. Providing suggestions/Corrections in new and existing functionality of AI related features.
3. Providing Enhancements required in new and existing functionality of AI related features.
4. CBCR and other testing allocated to me and my team.</t>
        </is>
      </c>
      <c r="V20" s="31" t="inlineStr">
        <is>
          <t>Latest rating: 3 · Potential: Medium · 9-box: Core Contributor · Readiness: Develop in role</t>
        </is>
      </c>
      <c r="W20" s="31" t="inlineStr">
        <is>
          <t>C M · Au M · Ac H · L H · BI H · Exp H · 21.9 yrs vs 8–12 yrs · Edu M · M.Com</t>
        </is>
      </c>
      <c r="X20" s="33" t="inlineStr">
        <is>
          <t>Open ▸</t>
        </is>
      </c>
      <c r="Y20" s="34" t="str">
        <f>IFERROR(INDEX(DL_C,MATCH($CA20,DL_KEY,0)),"M")</f>
        <v>H</v>
      </c>
      <c r="Z20" s="35" t="str">
        <f>IFERROR(INDEX(DL_Au,MATCH($CA20,DL_KEY,0)),"M")</f>
        <v>M</v>
      </c>
      <c r="AA20" s="35" t="str">
        <f>IFERROR(INDEX(DL_Ac,MATCH($CA20,DL_KEY,0)),"M")</f>
        <v>M</v>
      </c>
      <c r="AB20" s="35" t="str">
        <f>IFERROR(INDEX(DL_L,MATCH($CA20,DL_KEY,0)),"M")</f>
        <v>M</v>
      </c>
      <c r="AC20" s="35" t="str">
        <f>IFERROR(INDEX(DL_BI,MATCH($CA20,DL_KEY,0)),"M")</f>
        <v>L</v>
      </c>
      <c r="AD20" s="35" t="str">
        <f>IFERROR(INDEX(DL_Exp,MATCH($CA20,DL_KEY,0)),"M")</f>
        <v>L</v>
      </c>
      <c r="AE20" s="35" t="str">
        <f>IFERROR(INDEX(DL_Edu,MATCH($CA20,DL_KEY,0)),"M")</f>
        <v>L</v>
      </c>
      <c r="AF20" s="34" t="inlineStr">
        <is>
          <t>M</t>
        </is>
      </c>
      <c r="AG20" s="35" t="inlineStr">
        <is>
          <t>M</t>
        </is>
      </c>
      <c r="AH20" s="35" t="inlineStr">
        <is>
          <t>M</t>
        </is>
      </c>
      <c r="AI20" s="35" t="inlineStr">
        <is>
          <t>M</t>
        </is>
      </c>
      <c r="AJ20" s="35" t="inlineStr">
        <is>
          <t>M</t>
        </is>
      </c>
      <c r="AK20" s="35" t="inlineStr">
        <is>
          <t>M</t>
        </is>
      </c>
      <c r="AL20" s="35" t="inlineStr">
        <is>
          <t>M</t>
        </is>
      </c>
      <c r="AM20" s="36" t="n">
        <v>0.37</v>
      </c>
      <c r="AN20" s="37" t="n">
        <v>0.183</v>
      </c>
      <c r="AO20" s="37" t="n">
        <v>0.113</v>
      </c>
      <c r="AP20" s="37" t="n">
        <v>0.15</v>
      </c>
      <c r="AQ20" s="37" t="n">
        <v>0.08699999999999999</v>
      </c>
      <c r="AR20" s="37" t="n">
        <v>0.06</v>
      </c>
      <c r="AS20" s="37" t="n">
        <v>0.04</v>
      </c>
      <c r="AT20" s="38" t="inlineStr">
        <is>
          <t>8–13</t>
        </is>
      </c>
      <c r="AU20" s="38" t="inlineStr">
        <is>
          <t>Postgraduate or professional qualification preferred</t>
        </is>
      </c>
      <c r="AV20" s="38" t="inlineStr">
        <is>
          <t>IC: none · People: 5–8 incl. team leads</t>
        </is>
      </c>
      <c r="AW20" s="38" t="inlineStr">
        <is>
          <t>P5 / M4 · SFIA 5 Ensure, advise</t>
        </is>
      </c>
      <c r="AX2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0" s="39" t="inlineStr">
        <is>
          <t>B3</t>
        </is>
      </c>
      <c r="AZ20" s="40" t="inlineStr">
        <is>
          <t>Band B · Specialist / Manager · Senior Manager</t>
        </is>
      </c>
      <c r="BA20" s="40" t="inlineStr">
        <is>
          <t>Model C1 from the six ratings, the market-derived weights and rules R1–R13 · then Band rule: manager C2 is a head in Band C · Principal / Head; a reportee sits in a lower band · C1 → B3 · move down · pay and title protected for one cycle</t>
        </is>
      </c>
      <c r="BB20" s="41" t="inlineStr">
        <is>
          <t>C1</t>
        </is>
      </c>
      <c r="BC20" s="40" t="inlineStr">
        <is>
          <t>The six ratings on the market-average weights of Band B · People Manager score 7.02 → C1 · Hay, Mercer IPE and public plans · experience 21.9 yrs vs the C1 market range 12–17</t>
        </is>
      </c>
      <c r="BD20" s="42">
        <f>IF(SUM(BM20,BN20,BO20,BP20,BQ20,BR20,BS20)=0,0,(BM20*BT20+BN20*BU20+BO20*BV20+BP20*BW20+BQ20*BX20+BR20*BY20+BS20*BZ20)/SUM(BM20,BN20,BO20,BP20,BQ20,BR20,BS20))</f>
        <v>0</v>
      </c>
      <c r="BE20" s="41" t="str">
        <f>IF(LEFT(AY20,1)="X",AY20,IF(OR(AY20="B+",AY20="C+"),INDEX(LAD_PC,MAX(1,MIN(14,MATCH(AY20,LAD_PC,0)+IF(BD20&gt;=0.5,1,IF(BD20&lt;=-0.5,-1,0))))),INDEX(LAD_STD,MAX(1,MIN(12,MATCH(AY20,LAD_STD,0)+IF(BD20&gt;=0.5,1,IF(BD20&lt;=-0.5,-1,0)))))))</f>
        <v>B3</v>
      </c>
      <c r="BF20" s="43" t="n"/>
      <c r="BG20" s="41" t="str">
        <f>IF(BF20&lt;&gt;"",BF20,BE20)</f>
        <v>B3</v>
      </c>
      <c r="BH20" s="40" t="str">
        <f>IFERROR(CHOOSE(INDEX(B_RANK,MATCH(BG20,B_LVL,0)),"Band A","Band B","B+ · Player-Coach","Band C","C+ · Player-Coach","Band D","Band E"),"Band X · Consultant")</f>
        <v>Band B</v>
      </c>
      <c r="BI20" s="40" t="str">
        <f>IF(BG20=AY20,"• Same",IF(INDEX(B_VAL,MATCH(BG20,B_LVL,0))&gt;INDEX(B_VAL,MATCH(AY20,B_LVL,0)),"▲ Up","▼ Down"))</f>
        <v>• Same</v>
      </c>
      <c r="BJ20" s="40" t="str">
        <f>IF(OR($M20="",$M20="—",$M20="Not in this file"),"",IFERROR(INDEX($BG$7:$BG$592,MATCH($M20,$D$7:$D$592,0)),""))</f>
        <v>C2</v>
      </c>
      <c r="BK20" s="40" t="str">
        <f>IFERROR(IF(BJ20="","—",IF(OR(LEFT(BG20,1)="X",LEFT(BJ20,1)="X"),"—",IF(AND(LEFT(BG20,1)="E",LEFT(BJ20,1)="E"),"Exception · Band E",IF(AND(INDEX(B_VAL,MATCH(BJ20,B_LVL,0))&gt;=7,INDEX(B_RANK,MATCH(BG20,B_LVL,0))&gt;=INDEX(B_RANK,MATCH(BJ20,B_LVL,0))),"⚠ Same band as a head manager",IF(INDEX(B_VAL,MATCH(BG20,B_LVL,0))&gt;=INDEX(B_VAL,MATCH(BJ20,B_LVL,0)),"⚠ At or above the manager's level","OK"))))),"—")</f>
        <v>OK</v>
      </c>
      <c r="BL20" s="43" t="n"/>
      <c r="BM20" s="44">
        <f>IFERROR(INDEX(LMH_PTS,MATCH(Y20,LMH_KEY,0)),0)</f>
        <v>9</v>
      </c>
      <c r="BN20" s="38">
        <f>IFERROR(INDEX(LMH_PTS,MATCH(Z20,LMH_KEY,0)),0)</f>
        <v>3</v>
      </c>
      <c r="BO20" s="38">
        <f>IFERROR(INDEX(LMH_PTS,MATCH(AA20,LMH_KEY,0)),0)</f>
        <v>3</v>
      </c>
      <c r="BP20" s="38">
        <f>IFERROR(INDEX(LMH_PTS,MATCH(AB20,LMH_KEY,0)),0)</f>
        <v>3</v>
      </c>
      <c r="BQ20" s="38">
        <f>IFERROR(INDEX(LMH_PTS,MATCH(AC20,LMH_KEY,0)),0)</f>
        <v>1</v>
      </c>
      <c r="BR20" s="38">
        <f>IFERROR(INDEX(LMH_PTS,MATCH(AD20,LMH_KEY,0)),0)</f>
        <v>1</v>
      </c>
      <c r="BS20" s="38">
        <f>IFERROR(INDEX(LMH_PTS,MATCH(AE20,LMH_KEY,0)),0)</f>
        <v>1</v>
      </c>
      <c r="BT20" s="38">
        <f>IFERROR(INDEX(LMH_STEP,MATCH(AF20,LMH_KEY,0)),0)</f>
        <v>0</v>
      </c>
      <c r="BU20" s="38">
        <f>IFERROR(INDEX(LMH_STEP,MATCH(AG20,LMH_KEY,0)),0)</f>
        <v>0</v>
      </c>
      <c r="BV20" s="38">
        <f>IFERROR(INDEX(LMH_STEP,MATCH(AH20,LMH_KEY,0)),0)</f>
        <v>0</v>
      </c>
      <c r="BW20" s="38">
        <f>IFERROR(INDEX(LMH_STEP,MATCH(AI20,LMH_KEY,0)),0)</f>
        <v>0</v>
      </c>
      <c r="BX20" s="38">
        <f>IFERROR(INDEX(LMH_STEP,MATCH(AJ20,LMH_KEY,0)),0)</f>
        <v>0</v>
      </c>
      <c r="BY20" s="38">
        <f>IFERROR(INDEX(LMH_STEP,MATCH(AK20,LMH_KEY,0)),0)</f>
        <v>0</v>
      </c>
      <c r="BZ20" s="38">
        <f>IFERROR(INDEX(LMH_STEP,MATCH(AL20,LMH_KEY,0)),0)</f>
        <v>0</v>
      </c>
      <c r="CA20" s="38" t="inlineStr">
        <is>
          <t>CARBON|Services|Associate Head – Assisted Services|B3|B-M</t>
        </is>
      </c>
    </row>
    <row r="21" ht="110" customHeight="1">
      <c r="A21" s="28" t="inlineStr">
        <is>
          <t>CARBON</t>
        </is>
      </c>
      <c r="B21" s="29" t="inlineStr">
        <is>
          <t>Services</t>
        </is>
      </c>
      <c r="C21" s="29" t="n">
        <v>5</v>
      </c>
      <c r="D21" s="29" t="inlineStr">
        <is>
          <t>IRIS0786</t>
        </is>
      </c>
      <c r="E21" s="29" t="inlineStr">
        <is>
          <t>Shashikant Mudaliar</t>
        </is>
      </c>
      <c r="F21" s="29" t="inlineStr">
        <is>
          <t>Head - XBRL Assisted Services</t>
        </is>
      </c>
      <c r="G21" s="29" t="inlineStr">
        <is>
          <t>Associate Head – XBRL Assisted Services</t>
        </is>
      </c>
      <c r="H21" s="29" t="inlineStr">
        <is>
          <t>Consulting &amp; Professional Services</t>
        </is>
      </c>
      <c r="I21" s="29" t="inlineStr">
        <is>
          <t>Professional Services Leadership</t>
        </is>
      </c>
      <c r="J21" s="29" t="inlineStr">
        <is>
          <t>People Manager</t>
        </is>
      </c>
      <c r="K21" s="29" t="inlineStr">
        <is>
          <t>RC-013</t>
        </is>
      </c>
      <c r="L21" s="29" t="inlineStr">
        <is>
          <t>K Ashok Kumar</t>
        </is>
      </c>
      <c r="M21" s="29" t="inlineStr">
        <is>
          <t>IRIS0018</t>
        </is>
      </c>
      <c r="N21" s="29" t="n">
        <v>15.2</v>
      </c>
      <c r="O21" s="29" t="n">
        <v>15.2</v>
      </c>
      <c r="P21" s="29" t="inlineStr">
        <is>
          <t>CMA</t>
        </is>
      </c>
      <c r="Q21" s="29" t="inlineStr">
        <is>
          <t>L7 – Head / Sr Director</t>
        </is>
      </c>
      <c r="R21" s="29" t="inlineStr">
        <is>
          <t>C1</t>
        </is>
      </c>
      <c r="S21" s="30" t="inlineStr">
        <is>
          <t>20 of 20</t>
        </is>
      </c>
      <c r="T21" s="31" t="inlineStr">
        <is>
          <t>• Role / sub-team: Assisted Services</t>
        </is>
      </c>
      <c r="U21" s="31" t="inlineStr">
        <is>
          <t>Received · manager annual · 1.  Ensure files processed by team  with &gt;=99% accuracy · zero critical errors.
2. Meet 100% of regulatory / client filing deadlines · no SLA breaches
3. Reduce average filing turnaround time by 10-20% by this year.
4. Identify and develop future team leads.
5. Deliver zero escalations from key clients.
6. Launch …</t>
        </is>
      </c>
      <c r="V21" s="31" t="inlineStr">
        <is>
          <t>Latest rating: 5 · Potential: High · 9-box: Future Leader · Readiness: Ready now</t>
        </is>
      </c>
      <c r="W21" s="31" t="inlineStr">
        <is>
          <t>C H · Au H · Ac H · L H · BI H · Exp H · 15.2 yrs vs 6–9 yrs · Edu H · CMA</t>
        </is>
      </c>
      <c r="X21" s="33" t="inlineStr">
        <is>
          <t>Open ▸</t>
        </is>
      </c>
      <c r="Y21" s="34" t="str">
        <f>IFERROR(INDEX(DL_C,MATCH($CA21,DL_KEY,0)),"M")</f>
        <v>H</v>
      </c>
      <c r="Z21" s="35" t="str">
        <f>IFERROR(INDEX(DL_Au,MATCH($CA21,DL_KEY,0)),"M")</f>
        <v>M</v>
      </c>
      <c r="AA21" s="35" t="str">
        <f>IFERROR(INDEX(DL_Ac,MATCH($CA21,DL_KEY,0)),"M")</f>
        <v>M</v>
      </c>
      <c r="AB21" s="35" t="str">
        <f>IFERROR(INDEX(DL_L,MATCH($CA21,DL_KEY,0)),"M")</f>
        <v>M</v>
      </c>
      <c r="AC21" s="35" t="str">
        <f>IFERROR(INDEX(DL_BI,MATCH($CA21,DL_KEY,0)),"M")</f>
        <v>L</v>
      </c>
      <c r="AD21" s="35" t="str">
        <f>IFERROR(INDEX(DL_Exp,MATCH($CA21,DL_KEY,0)),"M")</f>
        <v>L</v>
      </c>
      <c r="AE21" s="35" t="str">
        <f>IFERROR(INDEX(DL_Edu,MATCH($CA21,DL_KEY,0)),"M")</f>
        <v>L</v>
      </c>
      <c r="AF21" s="34" t="inlineStr">
        <is>
          <t>M</t>
        </is>
      </c>
      <c r="AG21" s="35" t="inlineStr">
        <is>
          <t>M</t>
        </is>
      </c>
      <c r="AH21" s="35" t="inlineStr">
        <is>
          <t>M</t>
        </is>
      </c>
      <c r="AI21" s="35" t="inlineStr">
        <is>
          <t>M</t>
        </is>
      </c>
      <c r="AJ21" s="35" t="inlineStr">
        <is>
          <t>M</t>
        </is>
      </c>
      <c r="AK21" s="35" t="inlineStr">
        <is>
          <t>M</t>
        </is>
      </c>
      <c r="AL21" s="35" t="inlineStr">
        <is>
          <t>M</t>
        </is>
      </c>
      <c r="AM21" s="36" t="n">
        <v>0.37</v>
      </c>
      <c r="AN21" s="37" t="n">
        <v>0.183</v>
      </c>
      <c r="AO21" s="37" t="n">
        <v>0.113</v>
      </c>
      <c r="AP21" s="37" t="n">
        <v>0.15</v>
      </c>
      <c r="AQ21" s="37" t="n">
        <v>0.08699999999999999</v>
      </c>
      <c r="AR21" s="37" t="n">
        <v>0.06</v>
      </c>
      <c r="AS21" s="37" t="n">
        <v>0.04</v>
      </c>
      <c r="AT21" s="38" t="inlineStr">
        <is>
          <t>6–10</t>
        </is>
      </c>
      <c r="AU21" s="38" t="inlineStr">
        <is>
          <t>Graduate or postgraduate; professional qualification preferred</t>
        </is>
      </c>
      <c r="AV21" s="38" t="inlineStr">
        <is>
          <t>IC: none · People: 6–8 knowledge work, 8–12 standardised delivery</t>
        </is>
      </c>
      <c r="AW21" s="38" t="inlineStr">
        <is>
          <t>P4 / M3 · SFIA 4–5</t>
        </is>
      </c>
      <c r="AX2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1" s="39" t="inlineStr">
        <is>
          <t>B2</t>
        </is>
      </c>
      <c r="AZ21" s="40" t="inlineStr">
        <is>
          <t>Band B · Specialist / Manager · Manager</t>
        </is>
      </c>
      <c r="BA21" s="40" t="inlineStr">
        <is>
          <t>Model C1 from the six ratings, the market-derived weights and rules R1–R13 · then Level rule: manager B3; a reportee sits at least one level below · C1 → B2 · move down · pay and title protected for one cycle</t>
        </is>
      </c>
      <c r="BB21" s="41" t="inlineStr">
        <is>
          <t>C1</t>
        </is>
      </c>
      <c r="BC21" s="40" t="inlineStr">
        <is>
          <t>The six ratings on the market-average weights of Band B · People Manager score 7.24 → C1 · Hay, Mercer IPE and public plans · experience 15.2 yrs vs the C1 market range 12–17</t>
        </is>
      </c>
      <c r="BD21" s="42">
        <f>IF(SUM(BM21,BN21,BO21,BP21,BQ21,BR21,BS21)=0,0,(BM21*BT21+BN21*BU21+BO21*BV21+BP21*BW21+BQ21*BX21+BR21*BY21+BS21*BZ21)/SUM(BM21,BN21,BO21,BP21,BQ21,BR21,BS21))</f>
        <v>0</v>
      </c>
      <c r="BE21" s="41" t="str">
        <f>IF(LEFT(AY21,1)="X",AY21,IF(OR(AY21="B+",AY21="C+"),INDEX(LAD_PC,MAX(1,MIN(14,MATCH(AY21,LAD_PC,0)+IF(BD21&gt;=0.5,1,IF(BD21&lt;=-0.5,-1,0))))),INDEX(LAD_STD,MAX(1,MIN(12,MATCH(AY21,LAD_STD,0)+IF(BD21&gt;=0.5,1,IF(BD21&lt;=-0.5,-1,0)))))))</f>
        <v>B2</v>
      </c>
      <c r="BF21" s="43" t="n"/>
      <c r="BG21" s="41" t="str">
        <f>IF(BF21&lt;&gt;"",BF21,BE21)</f>
        <v>B2</v>
      </c>
      <c r="BH21" s="40" t="str">
        <f>IFERROR(CHOOSE(INDEX(B_RANK,MATCH(BG21,B_LVL,0)),"Band A","Band B","B+ · Player-Coach","Band C","C+ · Player-Coach","Band D","Band E"),"Band X · Consultant")</f>
        <v>Band B</v>
      </c>
      <c r="BI21" s="40" t="str">
        <f>IF(BG21=AY21,"• Same",IF(INDEX(B_VAL,MATCH(BG21,B_LVL,0))&gt;INDEX(B_VAL,MATCH(AY21,B_LVL,0)),"▲ Up","▼ Down"))</f>
        <v>• Same</v>
      </c>
      <c r="BJ21" s="40" t="str">
        <f>IF(OR($M21="",$M21="—",$M21="Not in this file"),"",IFERROR(INDEX($BG$7:$BG$592,MATCH($M21,$D$7:$D$592,0)),""))</f>
        <v>B3</v>
      </c>
      <c r="BK21" s="40" t="str">
        <f>IFERROR(IF(BJ21="","—",IF(OR(LEFT(BG21,1)="X",LEFT(BJ21,1)="X"),"—",IF(AND(LEFT(BG21,1)="E",LEFT(BJ21,1)="E"),"Exception · Band E",IF(AND(INDEX(B_VAL,MATCH(BJ21,B_LVL,0))&gt;=7,INDEX(B_RANK,MATCH(BG21,B_LVL,0))&gt;=INDEX(B_RANK,MATCH(BJ21,B_LVL,0))),"⚠ Same band as a head manager",IF(INDEX(B_VAL,MATCH(BG21,B_LVL,0))&gt;=INDEX(B_VAL,MATCH(BJ21,B_LVL,0)),"⚠ At or above the manager's level","OK"))))),"—")</f>
        <v>OK</v>
      </c>
      <c r="BL21" s="43" t="n"/>
      <c r="BM21" s="44">
        <f>IFERROR(INDEX(LMH_PTS,MATCH(Y21,LMH_KEY,0)),0)</f>
        <v>9</v>
      </c>
      <c r="BN21" s="38">
        <f>IFERROR(INDEX(LMH_PTS,MATCH(Z21,LMH_KEY,0)),0)</f>
        <v>3</v>
      </c>
      <c r="BO21" s="38">
        <f>IFERROR(INDEX(LMH_PTS,MATCH(AA21,LMH_KEY,0)),0)</f>
        <v>3</v>
      </c>
      <c r="BP21" s="38">
        <f>IFERROR(INDEX(LMH_PTS,MATCH(AB21,LMH_KEY,0)),0)</f>
        <v>3</v>
      </c>
      <c r="BQ21" s="38">
        <f>IFERROR(INDEX(LMH_PTS,MATCH(AC21,LMH_KEY,0)),0)</f>
        <v>1</v>
      </c>
      <c r="BR21" s="38">
        <f>IFERROR(INDEX(LMH_PTS,MATCH(AD21,LMH_KEY,0)),0)</f>
        <v>1</v>
      </c>
      <c r="BS21" s="38">
        <f>IFERROR(INDEX(LMH_PTS,MATCH(AE21,LMH_KEY,0)),0)</f>
        <v>1</v>
      </c>
      <c r="BT21" s="38">
        <f>IFERROR(INDEX(LMH_STEP,MATCH(AF21,LMH_KEY,0)),0)</f>
        <v>0</v>
      </c>
      <c r="BU21" s="38">
        <f>IFERROR(INDEX(LMH_STEP,MATCH(AG21,LMH_KEY,0)),0)</f>
        <v>0</v>
      </c>
      <c r="BV21" s="38">
        <f>IFERROR(INDEX(LMH_STEP,MATCH(AH21,LMH_KEY,0)),0)</f>
        <v>0</v>
      </c>
      <c r="BW21" s="38">
        <f>IFERROR(INDEX(LMH_STEP,MATCH(AI21,LMH_KEY,0)),0)</f>
        <v>0</v>
      </c>
      <c r="BX21" s="38">
        <f>IFERROR(INDEX(LMH_STEP,MATCH(AJ21,LMH_KEY,0)),0)</f>
        <v>0</v>
      </c>
      <c r="BY21" s="38">
        <f>IFERROR(INDEX(LMH_STEP,MATCH(AK21,LMH_KEY,0)),0)</f>
        <v>0</v>
      </c>
      <c r="BZ21" s="38">
        <f>IFERROR(INDEX(LMH_STEP,MATCH(AL21,LMH_KEY,0)),0)</f>
        <v>0</v>
      </c>
      <c r="CA21" s="38" t="inlineStr">
        <is>
          <t>CARBON|Services|Associate Head – XBRL Assisted Services|B2|B-M</t>
        </is>
      </c>
    </row>
    <row r="22" ht="110" customHeight="1">
      <c r="A22" s="28" t="inlineStr">
        <is>
          <t>CARBON</t>
        </is>
      </c>
      <c r="B22" s="29" t="inlineStr">
        <is>
          <t>Services</t>
        </is>
      </c>
      <c r="C22" s="29" t="n">
        <v>6</v>
      </c>
      <c r="D22" s="29" t="inlineStr">
        <is>
          <t>IRIS0511</t>
        </is>
      </c>
      <c r="E22" s="29" t="inlineStr">
        <is>
          <t>Jinesh Kumar S</t>
        </is>
      </c>
      <c r="F22" s="29" t="inlineStr">
        <is>
          <t>Lead - Assisted Services</t>
        </is>
      </c>
      <c r="G22" s="29" t="inlineStr">
        <is>
          <t>Manager – Assisted Services</t>
        </is>
      </c>
      <c r="H22" s="29" t="inlineStr">
        <is>
          <t>Consulting &amp; Professional Services</t>
        </is>
      </c>
      <c r="I22" s="29" t="inlineStr">
        <is>
          <t>XBRL Tagging, Conversion &amp; Filing</t>
        </is>
      </c>
      <c r="J22" s="29" t="inlineStr">
        <is>
          <t>People Manager</t>
        </is>
      </c>
      <c r="K22" s="29" t="inlineStr">
        <is>
          <t>RC-028</t>
        </is>
      </c>
      <c r="L22" s="29" t="inlineStr">
        <is>
          <t>Shashikant Mudaliar</t>
        </is>
      </c>
      <c r="M22" s="29" t="inlineStr">
        <is>
          <t>IRIS0786</t>
        </is>
      </c>
      <c r="N22" s="29" t="n">
        <v>16.1</v>
      </c>
      <c r="O22" s="29" t="n">
        <v>15.7</v>
      </c>
      <c r="P22" s="29" t="inlineStr">
        <is>
          <t>M.Com</t>
        </is>
      </c>
      <c r="Q22" s="29" t="inlineStr">
        <is>
          <t>L5 – Lead · IC</t>
        </is>
      </c>
      <c r="R22" s="29" t="inlineStr">
        <is>
          <t>B2</t>
        </is>
      </c>
      <c r="S22" s="30" t="inlineStr">
        <is>
          <t>20 of 20</t>
        </is>
      </c>
      <c r="T22" s="31" t="inlineStr">
        <is>
          <t>• Role / sub-team: XBRL Tagging - US SEC.</t>
        </is>
      </c>
      <c r="U22" s="31" t="inlineStr">
        <is>
          <t>Received · manager annual · 1. Ensure files processed by team with &gt;=99% accuracy · zero critical errors.
2. Meet 100% of regulatory / client filing deadlines · no SLA breaches
3. Ensure 0% regulatory rejections across all submitted filings · Excluding issues not highlighted by our validator.
4. Cross-train team on at least 2 filing …</t>
        </is>
      </c>
      <c r="V22" s="31" t="inlineStr">
        <is>
          <t>Latest rating: 4 · Potential: High · 9-box: Emerging Talent · Readiness: Ready now</t>
        </is>
      </c>
      <c r="W22" s="31" t="inlineStr">
        <is>
          <t>C M · Au M · Ac H · L H · BI H · Exp H · 16.1 yrs vs 4–7 yrs · Edu H · M.Com</t>
        </is>
      </c>
      <c r="X22" s="33" t="inlineStr">
        <is>
          <t>Open ▸</t>
        </is>
      </c>
      <c r="Y22" s="34" t="str">
        <f>IFERROR(INDEX(DL_C,MATCH($CA22,DL_KEY,0)),"M")</f>
        <v>H</v>
      </c>
      <c r="Z22" s="35" t="str">
        <f>IFERROR(INDEX(DL_Au,MATCH($CA22,DL_KEY,0)),"M")</f>
        <v>M</v>
      </c>
      <c r="AA22" s="35" t="str">
        <f>IFERROR(INDEX(DL_Ac,MATCH($CA22,DL_KEY,0)),"M")</f>
        <v>M</v>
      </c>
      <c r="AB22" s="35" t="str">
        <f>IFERROR(INDEX(DL_L,MATCH($CA22,DL_KEY,0)),"M")</f>
        <v>M</v>
      </c>
      <c r="AC22" s="35" t="str">
        <f>IFERROR(INDEX(DL_BI,MATCH($CA22,DL_KEY,0)),"M")</f>
        <v>L</v>
      </c>
      <c r="AD22" s="35" t="str">
        <f>IFERROR(INDEX(DL_Exp,MATCH($CA22,DL_KEY,0)),"M")</f>
        <v>L</v>
      </c>
      <c r="AE22" s="35" t="str">
        <f>IFERROR(INDEX(DL_Edu,MATCH($CA22,DL_KEY,0)),"M")</f>
        <v>L</v>
      </c>
      <c r="AF22" s="34" t="inlineStr">
        <is>
          <t>M</t>
        </is>
      </c>
      <c r="AG22" s="35" t="inlineStr">
        <is>
          <t>M</t>
        </is>
      </c>
      <c r="AH22" s="35" t="inlineStr">
        <is>
          <t>M</t>
        </is>
      </c>
      <c r="AI22" s="35" t="inlineStr">
        <is>
          <t>M</t>
        </is>
      </c>
      <c r="AJ22" s="35" t="inlineStr">
        <is>
          <t>M</t>
        </is>
      </c>
      <c r="AK22" s="35" t="inlineStr">
        <is>
          <t>M</t>
        </is>
      </c>
      <c r="AL22" s="35" t="inlineStr">
        <is>
          <t>M</t>
        </is>
      </c>
      <c r="AM22" s="36" t="n">
        <v>0.37</v>
      </c>
      <c r="AN22" s="37" t="n">
        <v>0.183</v>
      </c>
      <c r="AO22" s="37" t="n">
        <v>0.113</v>
      </c>
      <c r="AP22" s="37" t="n">
        <v>0.15</v>
      </c>
      <c r="AQ22" s="37" t="n">
        <v>0.08699999999999999</v>
      </c>
      <c r="AR22" s="37" t="n">
        <v>0.06</v>
      </c>
      <c r="AS22" s="37" t="n">
        <v>0.04</v>
      </c>
      <c r="AT22" s="38" t="inlineStr">
        <is>
          <t>4–8</t>
        </is>
      </c>
      <c r="AU22" s="38" t="inlineStr">
        <is>
          <t>Graduate + relevant qualification or certification preferred</t>
        </is>
      </c>
      <c r="AV22" s="38" t="inlineStr">
        <is>
          <t>IC: none · Team Lead: 3–5</t>
        </is>
      </c>
      <c r="AW22" s="38" t="inlineStr">
        <is>
          <t>P3 / M2 · SFIA 4 Enable</t>
        </is>
      </c>
      <c r="AX2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2" s="39" t="inlineStr">
        <is>
          <t>B1</t>
        </is>
      </c>
      <c r="AZ22" s="40" t="inlineStr">
        <is>
          <t>Band B · Specialist / Manager · Team Lead / Asst Manager</t>
        </is>
      </c>
      <c r="BA22" s="40" t="inlineStr">
        <is>
          <t>Model B2 from the six ratings, the market-derived weights and rules R1–R13 · then Level rule: manager B2; a reportee sits at least one level below · B2 → B1 · move down · pay and title protected for one cycle</t>
        </is>
      </c>
      <c r="BB22" s="41" t="inlineStr">
        <is>
          <t>B2</t>
        </is>
      </c>
      <c r="BC22" s="40" t="inlineStr">
        <is>
          <t>The six ratings on the market-average weights of Band B · People Manager score 4.98 → B2 · Hay, Mercer IPE and public plans · experience 16.1 yrs vs the B2 market range 6–10</t>
        </is>
      </c>
      <c r="BD22" s="42">
        <f>IF(SUM(BM22,BN22,BO22,BP22,BQ22,BR22,BS22)=0,0,(BM22*BT22+BN22*BU22+BO22*BV22+BP22*BW22+BQ22*BX22+BR22*BY22+BS22*BZ22)/SUM(BM22,BN22,BO22,BP22,BQ22,BR22,BS22))</f>
        <v>0</v>
      </c>
      <c r="BE22" s="41" t="str">
        <f>IF(LEFT(AY22,1)="X",AY22,IF(OR(AY22="B+",AY22="C+"),INDEX(LAD_PC,MAX(1,MIN(14,MATCH(AY22,LAD_PC,0)+IF(BD22&gt;=0.5,1,IF(BD22&lt;=-0.5,-1,0))))),INDEX(LAD_STD,MAX(1,MIN(12,MATCH(AY22,LAD_STD,0)+IF(BD22&gt;=0.5,1,IF(BD22&lt;=-0.5,-1,0)))))))</f>
        <v>B1</v>
      </c>
      <c r="BF22" s="43" t="n"/>
      <c r="BG22" s="41" t="str">
        <f>IF(BF22&lt;&gt;"",BF22,BE22)</f>
        <v>B1</v>
      </c>
      <c r="BH22" s="40" t="str">
        <f>IFERROR(CHOOSE(INDEX(B_RANK,MATCH(BG22,B_LVL,0)),"Band A","Band B","B+ · Player-Coach","Band C","C+ · Player-Coach","Band D","Band E"),"Band X · Consultant")</f>
        <v>Band B</v>
      </c>
      <c r="BI22" s="40" t="str">
        <f>IF(BG22=AY22,"• Same",IF(INDEX(B_VAL,MATCH(BG22,B_LVL,0))&gt;INDEX(B_VAL,MATCH(AY22,B_LVL,0)),"▲ Up","▼ Down"))</f>
        <v>• Same</v>
      </c>
      <c r="BJ22" s="40" t="str">
        <f>IF(OR($M22="",$M22="—",$M22="Not in this file"),"",IFERROR(INDEX($BG$7:$BG$592,MATCH($M22,$D$7:$D$592,0)),""))</f>
        <v>B2</v>
      </c>
      <c r="BK22" s="40" t="str">
        <f>IFERROR(IF(BJ22="","—",IF(OR(LEFT(BG22,1)="X",LEFT(BJ22,1)="X"),"—",IF(AND(LEFT(BG22,1)="E",LEFT(BJ22,1)="E"),"Exception · Band E",IF(AND(INDEX(B_VAL,MATCH(BJ22,B_LVL,0))&gt;=7,INDEX(B_RANK,MATCH(BG22,B_LVL,0))&gt;=INDEX(B_RANK,MATCH(BJ22,B_LVL,0))),"⚠ Same band as a head manager",IF(INDEX(B_VAL,MATCH(BG22,B_LVL,0))&gt;=INDEX(B_VAL,MATCH(BJ22,B_LVL,0)),"⚠ At or above the manager's level","OK"))))),"—")</f>
        <v>OK</v>
      </c>
      <c r="BL22" s="43" t="n"/>
      <c r="BM22" s="44">
        <f>IFERROR(INDEX(LMH_PTS,MATCH(Y22,LMH_KEY,0)),0)</f>
        <v>9</v>
      </c>
      <c r="BN22" s="38">
        <f>IFERROR(INDEX(LMH_PTS,MATCH(Z22,LMH_KEY,0)),0)</f>
        <v>3</v>
      </c>
      <c r="BO22" s="38">
        <f>IFERROR(INDEX(LMH_PTS,MATCH(AA22,LMH_KEY,0)),0)</f>
        <v>3</v>
      </c>
      <c r="BP22" s="38">
        <f>IFERROR(INDEX(LMH_PTS,MATCH(AB22,LMH_KEY,0)),0)</f>
        <v>3</v>
      </c>
      <c r="BQ22" s="38">
        <f>IFERROR(INDEX(LMH_PTS,MATCH(AC22,LMH_KEY,0)),0)</f>
        <v>1</v>
      </c>
      <c r="BR22" s="38">
        <f>IFERROR(INDEX(LMH_PTS,MATCH(AD22,LMH_KEY,0)),0)</f>
        <v>1</v>
      </c>
      <c r="BS22" s="38">
        <f>IFERROR(INDEX(LMH_PTS,MATCH(AE22,LMH_KEY,0)),0)</f>
        <v>1</v>
      </c>
      <c r="BT22" s="38">
        <f>IFERROR(INDEX(LMH_STEP,MATCH(AF22,LMH_KEY,0)),0)</f>
        <v>0</v>
      </c>
      <c r="BU22" s="38">
        <f>IFERROR(INDEX(LMH_STEP,MATCH(AG22,LMH_KEY,0)),0)</f>
        <v>0</v>
      </c>
      <c r="BV22" s="38">
        <f>IFERROR(INDEX(LMH_STEP,MATCH(AH22,LMH_KEY,0)),0)</f>
        <v>0</v>
      </c>
      <c r="BW22" s="38">
        <f>IFERROR(INDEX(LMH_STEP,MATCH(AI22,LMH_KEY,0)),0)</f>
        <v>0</v>
      </c>
      <c r="BX22" s="38">
        <f>IFERROR(INDEX(LMH_STEP,MATCH(AJ22,LMH_KEY,0)),0)</f>
        <v>0</v>
      </c>
      <c r="BY22" s="38">
        <f>IFERROR(INDEX(LMH_STEP,MATCH(AK22,LMH_KEY,0)),0)</f>
        <v>0</v>
      </c>
      <c r="BZ22" s="38">
        <f>IFERROR(INDEX(LMH_STEP,MATCH(AL22,LMH_KEY,0)),0)</f>
        <v>0</v>
      </c>
      <c r="CA22" s="38" t="inlineStr">
        <is>
          <t>CARBON|Services|Manager – Assisted Services|B1|B-M</t>
        </is>
      </c>
    </row>
    <row r="23" ht="110" customHeight="1">
      <c r="A23" s="28" t="inlineStr">
        <is>
          <t>CARBON</t>
        </is>
      </c>
      <c r="B23" s="29" t="inlineStr">
        <is>
          <t>Services</t>
        </is>
      </c>
      <c r="C23" s="29" t="n">
        <v>7</v>
      </c>
      <c r="D23" s="29" t="inlineStr">
        <is>
          <t>IRIS2163</t>
        </is>
      </c>
      <c r="E23" s="29" t="inlineStr">
        <is>
          <t>Abhijit Bhagwan Patil</t>
        </is>
      </c>
      <c r="F23" s="29" t="inlineStr">
        <is>
          <t>Financial Analyst</t>
        </is>
      </c>
      <c r="G23" s="29" t="inlineStr">
        <is>
          <t>Senior Financial Analyst</t>
        </is>
      </c>
      <c r="H23" s="29" t="inlineStr">
        <is>
          <t>Consulting &amp; Professional Services</t>
        </is>
      </c>
      <c r="I23" s="29" t="inlineStr">
        <is>
          <t>XBRL Tagging, Conversion &amp; Filing</t>
        </is>
      </c>
      <c r="J23" s="29" t="inlineStr">
        <is>
          <t>IC</t>
        </is>
      </c>
      <c r="K23" s="29" t="inlineStr">
        <is>
          <t>RC-025</t>
        </is>
      </c>
      <c r="L23" s="29" t="inlineStr">
        <is>
          <t>Jinesh Kumar S</t>
        </is>
      </c>
      <c r="M23" s="29" t="inlineStr">
        <is>
          <t>IRIS0511</t>
        </is>
      </c>
      <c r="N23" s="29" t="n">
        <v>3.1</v>
      </c>
      <c r="O23" s="29" t="n">
        <v>3.1</v>
      </c>
      <c r="P23" s="29" t="inlineStr">
        <is>
          <t>BAF</t>
        </is>
      </c>
      <c r="Q23" s="29" t="inlineStr">
        <is>
          <t>L3 – Professional / Associate</t>
        </is>
      </c>
      <c r="R23" s="29" t="inlineStr">
        <is>
          <t>A3</t>
        </is>
      </c>
      <c r="S23" s="30" t="inlineStr">
        <is>
          <t>20 of 20</t>
        </is>
      </c>
      <c r="T23" s="31" t="inlineStr">
        <is>
          <t>• Role / sub-team: XBRL Tagging and Quality check analyst in Us team.</t>
        </is>
      </c>
      <c r="U23"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23" s="31" t="inlineStr">
        <is>
          <t>Latest rating: 4 · Potential: High · 9-box: Core Contributor · Readiness: Ready now</t>
        </is>
      </c>
      <c r="W23" s="31" t="inlineStr">
        <is>
          <t>C M · Au M · Ac M · L L · BI M · Exp M · 3.1 yrs vs 2–4 yrs · Edu M · BAF</t>
        </is>
      </c>
      <c r="X23" s="33" t="inlineStr">
        <is>
          <t>Open ▸</t>
        </is>
      </c>
      <c r="Y23" s="34" t="str">
        <f>IFERROR(INDEX(DL_C,MATCH($CA23,DL_KEY,0)),"M")</f>
        <v>H</v>
      </c>
      <c r="Z23" s="35" t="str">
        <f>IFERROR(INDEX(DL_Au,MATCH($CA23,DL_KEY,0)),"M")</f>
        <v>M</v>
      </c>
      <c r="AA23" s="35" t="str">
        <f>IFERROR(INDEX(DL_Ac,MATCH($CA23,DL_KEY,0)),"M")</f>
        <v>M</v>
      </c>
      <c r="AB23" s="35" t="str">
        <f>IFERROR(INDEX(DL_L,MATCH($CA23,DL_KEY,0)),"M")</f>
        <v>L</v>
      </c>
      <c r="AC23" s="35" t="str">
        <f>IFERROR(INDEX(DL_BI,MATCH($CA23,DL_KEY,0)),"M")</f>
        <v>L</v>
      </c>
      <c r="AD23" s="35" t="str">
        <f>IFERROR(INDEX(DL_Exp,MATCH($CA23,DL_KEY,0)),"M")</f>
        <v>L</v>
      </c>
      <c r="AE23" s="35" t="str">
        <f>IFERROR(INDEX(DL_Edu,MATCH($CA23,DL_KEY,0)),"M")</f>
        <v>L</v>
      </c>
      <c r="AF23" s="34" t="inlineStr">
        <is>
          <t>M</t>
        </is>
      </c>
      <c r="AG23" s="35" t="inlineStr">
        <is>
          <t>M</t>
        </is>
      </c>
      <c r="AH23" s="35" t="inlineStr">
        <is>
          <t>M</t>
        </is>
      </c>
      <c r="AI23" s="35" t="inlineStr">
        <is>
          <t>M</t>
        </is>
      </c>
      <c r="AJ23" s="35" t="inlineStr">
        <is>
          <t>M</t>
        </is>
      </c>
      <c r="AK23" s="35" t="inlineStr">
        <is>
          <t>M</t>
        </is>
      </c>
      <c r="AL23" s="35" t="inlineStr">
        <is>
          <t>M</t>
        </is>
      </c>
      <c r="AM23" s="36" t="n">
        <v>0.583</v>
      </c>
      <c r="AN23" s="37" t="n">
        <v>0.16</v>
      </c>
      <c r="AO23" s="37" t="n">
        <v>0.09</v>
      </c>
      <c r="AP23" s="37" t="n">
        <v>0</v>
      </c>
      <c r="AQ23" s="37" t="n">
        <v>0.063</v>
      </c>
      <c r="AR23" s="37" t="n">
        <v>0.06</v>
      </c>
      <c r="AS23" s="37" t="n">
        <v>0.04</v>
      </c>
      <c r="AT23" s="38" t="inlineStr">
        <is>
          <t>2–5</t>
        </is>
      </c>
      <c r="AU23" s="38" t="inlineStr">
        <is>
          <t>Graduate; relevant certification preferred</t>
        </is>
      </c>
      <c r="AV23" s="38" t="inlineStr">
        <is>
          <t>None · guides 1–3 juniors informally</t>
        </is>
      </c>
      <c r="AW23" s="38" t="inlineStr">
        <is>
          <t>P2 · SFIA 3 Apply</t>
        </is>
      </c>
      <c r="AX2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3" s="39" t="inlineStr">
        <is>
          <t>A3</t>
        </is>
      </c>
      <c r="AZ23" s="40" t="inlineStr">
        <is>
          <t>Band A · Practitioner · Senior Associate</t>
        </is>
      </c>
      <c r="BA23" s="40" t="inlineStr">
        <is>
          <t>Model A3 from the six ratings, the market-derived weights and rules R1–R13 · then No change · already below the manager</t>
        </is>
      </c>
      <c r="BB23" s="41" t="inlineStr">
        <is>
          <t>A3</t>
        </is>
      </c>
      <c r="BC23" s="40" t="inlineStr">
        <is>
          <t>The six ratings on the market-average weights of Band A · all tracks score 2.66 → A3 · Hay, Mercer IPE and public plans · experience 3.1 yrs vs the A3 market range 2–5</t>
        </is>
      </c>
      <c r="BD23" s="42">
        <f>IF(SUM(BM23,BN23,BO23,BP23,BQ23,BR23,BS23)=0,0,(BM23*BT23+BN23*BU23+BO23*BV23+BP23*BW23+BQ23*BX23+BR23*BY23+BS23*BZ23)/SUM(BM23,BN23,BO23,BP23,BQ23,BR23,BS23))</f>
        <v>0</v>
      </c>
      <c r="BE23" s="41" t="str">
        <f>IF(LEFT(AY23,1)="X",AY23,IF(OR(AY23="B+",AY23="C+"),INDEX(LAD_PC,MAX(1,MIN(14,MATCH(AY23,LAD_PC,0)+IF(BD23&gt;=0.5,1,IF(BD23&lt;=-0.5,-1,0))))),INDEX(LAD_STD,MAX(1,MIN(12,MATCH(AY23,LAD_STD,0)+IF(BD23&gt;=0.5,1,IF(BD23&lt;=-0.5,-1,0)))))))</f>
        <v>A3</v>
      </c>
      <c r="BF23" s="43" t="n"/>
      <c r="BG23" s="41" t="str">
        <f>IF(BF23&lt;&gt;"",BF23,BE23)</f>
        <v>A3</v>
      </c>
      <c r="BH23" s="40" t="str">
        <f>IFERROR(CHOOSE(INDEX(B_RANK,MATCH(BG23,B_LVL,0)),"Band A","Band B","B+ · Player-Coach","Band C","C+ · Player-Coach","Band D","Band E"),"Band X · Consultant")</f>
        <v>Band A</v>
      </c>
      <c r="BI23" s="40" t="str">
        <f>IF(BG23=AY23,"• Same",IF(INDEX(B_VAL,MATCH(BG23,B_LVL,0))&gt;INDEX(B_VAL,MATCH(AY23,B_LVL,0)),"▲ Up","▼ Down"))</f>
        <v>• Same</v>
      </c>
      <c r="BJ23" s="40" t="str">
        <f>IF(OR($M23="",$M23="—",$M23="Not in this file"),"",IFERROR(INDEX($BG$7:$BG$592,MATCH($M23,$D$7:$D$592,0)),""))</f>
        <v>B1</v>
      </c>
      <c r="BK23" s="40" t="str">
        <f>IFERROR(IF(BJ23="","—",IF(OR(LEFT(BG23,1)="X",LEFT(BJ23,1)="X"),"—",IF(AND(LEFT(BG23,1)="E",LEFT(BJ23,1)="E"),"Exception · Band E",IF(AND(INDEX(B_VAL,MATCH(BJ23,B_LVL,0))&gt;=7,INDEX(B_RANK,MATCH(BG23,B_LVL,0))&gt;=INDEX(B_RANK,MATCH(BJ23,B_LVL,0))),"⚠ Same band as a head manager",IF(INDEX(B_VAL,MATCH(BG23,B_LVL,0))&gt;=INDEX(B_VAL,MATCH(BJ23,B_LVL,0)),"⚠ At or above the manager's level","OK"))))),"—")</f>
        <v>OK</v>
      </c>
      <c r="BL23" s="43" t="n"/>
      <c r="BM23" s="44">
        <f>IFERROR(INDEX(LMH_PTS,MATCH(Y23,LMH_KEY,0)),0)</f>
        <v>9</v>
      </c>
      <c r="BN23" s="38">
        <f>IFERROR(INDEX(LMH_PTS,MATCH(Z23,LMH_KEY,0)),0)</f>
        <v>3</v>
      </c>
      <c r="BO23" s="38">
        <f>IFERROR(INDEX(LMH_PTS,MATCH(AA23,LMH_KEY,0)),0)</f>
        <v>3</v>
      </c>
      <c r="BP23" s="38">
        <f>IFERROR(INDEX(LMH_PTS,MATCH(AB23,LMH_KEY,0)),0)</f>
        <v>1</v>
      </c>
      <c r="BQ23" s="38">
        <f>IFERROR(INDEX(LMH_PTS,MATCH(AC23,LMH_KEY,0)),0)</f>
        <v>1</v>
      </c>
      <c r="BR23" s="38">
        <f>IFERROR(INDEX(LMH_PTS,MATCH(AD23,LMH_KEY,0)),0)</f>
        <v>1</v>
      </c>
      <c r="BS23" s="38">
        <f>IFERROR(INDEX(LMH_PTS,MATCH(AE23,LMH_KEY,0)),0)</f>
        <v>1</v>
      </c>
      <c r="BT23" s="38">
        <f>IFERROR(INDEX(LMH_STEP,MATCH(AF23,LMH_KEY,0)),0)</f>
        <v>0</v>
      </c>
      <c r="BU23" s="38">
        <f>IFERROR(INDEX(LMH_STEP,MATCH(AG23,LMH_KEY,0)),0)</f>
        <v>0</v>
      </c>
      <c r="BV23" s="38">
        <f>IFERROR(INDEX(LMH_STEP,MATCH(AH23,LMH_KEY,0)),0)</f>
        <v>0</v>
      </c>
      <c r="BW23" s="38">
        <f>IFERROR(INDEX(LMH_STEP,MATCH(AI23,LMH_KEY,0)),0)</f>
        <v>0</v>
      </c>
      <c r="BX23" s="38">
        <f>IFERROR(INDEX(LMH_STEP,MATCH(AJ23,LMH_KEY,0)),0)</f>
        <v>0</v>
      </c>
      <c r="BY23" s="38">
        <f>IFERROR(INDEX(LMH_STEP,MATCH(AK23,LMH_KEY,0)),0)</f>
        <v>0</v>
      </c>
      <c r="BZ23" s="38">
        <f>IFERROR(INDEX(LMH_STEP,MATCH(AL23,LMH_KEY,0)),0)</f>
        <v>0</v>
      </c>
      <c r="CA23" s="38" t="inlineStr">
        <is>
          <t>CARBON|Services|Senior Financial Analyst|A3|A</t>
        </is>
      </c>
    </row>
    <row r="24" ht="110" customHeight="1">
      <c r="A24" s="28" t="inlineStr">
        <is>
          <t>CARBON</t>
        </is>
      </c>
      <c r="B24" s="29" t="inlineStr">
        <is>
          <t>Services</t>
        </is>
      </c>
      <c r="C24" s="29" t="n">
        <v>7</v>
      </c>
      <c r="D24" s="29" t="inlineStr">
        <is>
          <t>IRIS0135</t>
        </is>
      </c>
      <c r="E24" s="29" t="inlineStr">
        <is>
          <t>Ashok Yadav</t>
        </is>
      </c>
      <c r="F24" s="29" t="inlineStr">
        <is>
          <t>Senior Financial Analyst</t>
        </is>
      </c>
      <c r="G24" s="29" t="inlineStr">
        <is>
          <t>Senior Financial Analyst</t>
        </is>
      </c>
      <c r="H24" s="29" t="inlineStr">
        <is>
          <t>Consulting &amp; Professional Services</t>
        </is>
      </c>
      <c r="I24" s="29" t="inlineStr">
        <is>
          <t>XBRL Tagging, Conversion &amp; Filing</t>
        </is>
      </c>
      <c r="J24" s="29" t="inlineStr">
        <is>
          <t>IC</t>
        </is>
      </c>
      <c r="K24" s="29" t="inlineStr">
        <is>
          <t>RC-025</t>
        </is>
      </c>
      <c r="L24" s="29" t="inlineStr">
        <is>
          <t>Jinesh Kumar S</t>
        </is>
      </c>
      <c r="M24" s="29" t="inlineStr">
        <is>
          <t>IRIS0511</t>
        </is>
      </c>
      <c r="N24" s="29" t="n">
        <v>18.9</v>
      </c>
      <c r="O24" s="29" t="n">
        <v>18.9</v>
      </c>
      <c r="P24" s="29" t="inlineStr">
        <is>
          <t>B.Com</t>
        </is>
      </c>
      <c r="Q24" s="29" t="inlineStr">
        <is>
          <t>L4 – Senior</t>
        </is>
      </c>
      <c r="R24" s="29" t="inlineStr">
        <is>
          <t>A3</t>
        </is>
      </c>
      <c r="S24" s="30" t="inlineStr">
        <is>
          <t>19 of 20</t>
        </is>
      </c>
      <c r="T24" s="31" t="inlineStr">
        <is>
          <t>• Role / sub-team: XBRL Tagging and QC in US Service Team.</t>
        </is>
      </c>
      <c r="U24"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24" s="31" t="inlineStr">
        <is>
          <t>Latest rating: 3 · Potential: Medium · 9-box: Core Contributor · Readiness: Develop in role</t>
        </is>
      </c>
      <c r="W24" s="31" t="inlineStr">
        <is>
          <t>C M · Au M · Ac M · L L · BI M · Exp H · 18.9 yrs vs 2–4 yrs · Edu M · B.Com</t>
        </is>
      </c>
      <c r="X24" s="33" t="inlineStr">
        <is>
          <t>Open ▸</t>
        </is>
      </c>
      <c r="Y24" s="34" t="str">
        <f>IFERROR(INDEX(DL_C,MATCH($CA24,DL_KEY,0)),"M")</f>
        <v>H</v>
      </c>
      <c r="Z24" s="35" t="str">
        <f>IFERROR(INDEX(DL_Au,MATCH($CA24,DL_KEY,0)),"M")</f>
        <v>M</v>
      </c>
      <c r="AA24" s="35" t="str">
        <f>IFERROR(INDEX(DL_Ac,MATCH($CA24,DL_KEY,0)),"M")</f>
        <v>M</v>
      </c>
      <c r="AB24" s="35" t="str">
        <f>IFERROR(INDEX(DL_L,MATCH($CA24,DL_KEY,0)),"M")</f>
        <v>L</v>
      </c>
      <c r="AC24" s="35" t="str">
        <f>IFERROR(INDEX(DL_BI,MATCH($CA24,DL_KEY,0)),"M")</f>
        <v>L</v>
      </c>
      <c r="AD24" s="35" t="str">
        <f>IFERROR(INDEX(DL_Exp,MATCH($CA24,DL_KEY,0)),"M")</f>
        <v>L</v>
      </c>
      <c r="AE24" s="35" t="str">
        <f>IFERROR(INDEX(DL_Edu,MATCH($CA24,DL_KEY,0)),"M")</f>
        <v>L</v>
      </c>
      <c r="AF24" s="34" t="inlineStr">
        <is>
          <t>M</t>
        </is>
      </c>
      <c r="AG24" s="35" t="inlineStr">
        <is>
          <t>M</t>
        </is>
      </c>
      <c r="AH24" s="35" t="inlineStr">
        <is>
          <t>M</t>
        </is>
      </c>
      <c r="AI24" s="35" t="inlineStr">
        <is>
          <t>M</t>
        </is>
      </c>
      <c r="AJ24" s="35" t="inlineStr">
        <is>
          <t>M</t>
        </is>
      </c>
      <c r="AK24" s="35" t="inlineStr">
        <is>
          <t>M</t>
        </is>
      </c>
      <c r="AL24" s="35" t="inlineStr">
        <is>
          <t>M</t>
        </is>
      </c>
      <c r="AM24" s="36" t="n">
        <v>0.583</v>
      </c>
      <c r="AN24" s="37" t="n">
        <v>0.16</v>
      </c>
      <c r="AO24" s="37" t="n">
        <v>0.09</v>
      </c>
      <c r="AP24" s="37" t="n">
        <v>0</v>
      </c>
      <c r="AQ24" s="37" t="n">
        <v>0.063</v>
      </c>
      <c r="AR24" s="37" t="n">
        <v>0.06</v>
      </c>
      <c r="AS24" s="37" t="n">
        <v>0.04</v>
      </c>
      <c r="AT24" s="38" t="inlineStr">
        <is>
          <t>2–5</t>
        </is>
      </c>
      <c r="AU24" s="38" t="inlineStr">
        <is>
          <t>Graduate; relevant certification preferred</t>
        </is>
      </c>
      <c r="AV24" s="38" t="inlineStr">
        <is>
          <t>None · guides 1–3 juniors informally</t>
        </is>
      </c>
      <c r="AW24" s="38" t="inlineStr">
        <is>
          <t>P2 · SFIA 3 Apply</t>
        </is>
      </c>
      <c r="AX2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4" s="39" t="inlineStr">
        <is>
          <t>A3</t>
        </is>
      </c>
      <c r="AZ24" s="40" t="inlineStr">
        <is>
          <t>Band A · Practitioner · Senior Associate</t>
        </is>
      </c>
      <c r="BA24" s="40" t="inlineStr">
        <is>
          <t>Model A3 from the six ratings, the market-derived weights and rules R1–R13 · then No change · already below the manager</t>
        </is>
      </c>
      <c r="BB24" s="41" t="inlineStr">
        <is>
          <t>B1</t>
        </is>
      </c>
      <c r="BC24" s="40" t="inlineStr">
        <is>
          <t>The six ratings on the market-average weights of Band A · all tracks score 3.53 → B1 · Hay, Mercer IPE and public plans · experience 18.9 yrs vs the B1 market range 4–8</t>
        </is>
      </c>
      <c r="BD24" s="42">
        <f>IF(SUM(BM24,BN24,BO24,BP24,BQ24,BR24,BS24)=0,0,(BM24*BT24+BN24*BU24+BO24*BV24+BP24*BW24+BQ24*BX24+BR24*BY24+BS24*BZ24)/SUM(BM24,BN24,BO24,BP24,BQ24,BR24,BS24))</f>
        <v>0</v>
      </c>
      <c r="BE24" s="41" t="str">
        <f>IF(LEFT(AY24,1)="X",AY24,IF(OR(AY24="B+",AY24="C+"),INDEX(LAD_PC,MAX(1,MIN(14,MATCH(AY24,LAD_PC,0)+IF(BD24&gt;=0.5,1,IF(BD24&lt;=-0.5,-1,0))))),INDEX(LAD_STD,MAX(1,MIN(12,MATCH(AY24,LAD_STD,0)+IF(BD24&gt;=0.5,1,IF(BD24&lt;=-0.5,-1,0)))))))</f>
        <v>A3</v>
      </c>
      <c r="BF24" s="43" t="n"/>
      <c r="BG24" s="41" t="str">
        <f>IF(BF24&lt;&gt;"",BF24,BE24)</f>
        <v>A3</v>
      </c>
      <c r="BH24" s="40" t="str">
        <f>IFERROR(CHOOSE(INDEX(B_RANK,MATCH(BG24,B_LVL,0)),"Band A","Band B","B+ · Player-Coach","Band C","C+ · Player-Coach","Band D","Band E"),"Band X · Consultant")</f>
        <v>Band A</v>
      </c>
      <c r="BI24" s="40" t="str">
        <f>IF(BG24=AY24,"• Same",IF(INDEX(B_VAL,MATCH(BG24,B_LVL,0))&gt;INDEX(B_VAL,MATCH(AY24,B_LVL,0)),"▲ Up","▼ Down"))</f>
        <v>• Same</v>
      </c>
      <c r="BJ24" s="40" t="str">
        <f>IF(OR($M24="",$M24="—",$M24="Not in this file"),"",IFERROR(INDEX($BG$7:$BG$592,MATCH($M24,$D$7:$D$592,0)),""))</f>
        <v>B1</v>
      </c>
      <c r="BK24" s="40" t="str">
        <f>IFERROR(IF(BJ24="","—",IF(OR(LEFT(BG24,1)="X",LEFT(BJ24,1)="X"),"—",IF(AND(LEFT(BG24,1)="E",LEFT(BJ24,1)="E"),"Exception · Band E",IF(AND(INDEX(B_VAL,MATCH(BJ24,B_LVL,0))&gt;=7,INDEX(B_RANK,MATCH(BG24,B_LVL,0))&gt;=INDEX(B_RANK,MATCH(BJ24,B_LVL,0))),"⚠ Same band as a head manager",IF(INDEX(B_VAL,MATCH(BG24,B_LVL,0))&gt;=INDEX(B_VAL,MATCH(BJ24,B_LVL,0)),"⚠ At or above the manager's level","OK"))))),"—")</f>
        <v>OK</v>
      </c>
      <c r="BL24" s="43" t="n"/>
      <c r="BM24" s="44">
        <f>IFERROR(INDEX(LMH_PTS,MATCH(Y24,LMH_KEY,0)),0)</f>
        <v>9</v>
      </c>
      <c r="BN24" s="38">
        <f>IFERROR(INDEX(LMH_PTS,MATCH(Z24,LMH_KEY,0)),0)</f>
        <v>3</v>
      </c>
      <c r="BO24" s="38">
        <f>IFERROR(INDEX(LMH_PTS,MATCH(AA24,LMH_KEY,0)),0)</f>
        <v>3</v>
      </c>
      <c r="BP24" s="38">
        <f>IFERROR(INDEX(LMH_PTS,MATCH(AB24,LMH_KEY,0)),0)</f>
        <v>1</v>
      </c>
      <c r="BQ24" s="38">
        <f>IFERROR(INDEX(LMH_PTS,MATCH(AC24,LMH_KEY,0)),0)</f>
        <v>1</v>
      </c>
      <c r="BR24" s="38">
        <f>IFERROR(INDEX(LMH_PTS,MATCH(AD24,LMH_KEY,0)),0)</f>
        <v>1</v>
      </c>
      <c r="BS24" s="38">
        <f>IFERROR(INDEX(LMH_PTS,MATCH(AE24,LMH_KEY,0)),0)</f>
        <v>1</v>
      </c>
      <c r="BT24" s="38">
        <f>IFERROR(INDEX(LMH_STEP,MATCH(AF24,LMH_KEY,0)),0)</f>
        <v>0</v>
      </c>
      <c r="BU24" s="38">
        <f>IFERROR(INDEX(LMH_STEP,MATCH(AG24,LMH_KEY,0)),0)</f>
        <v>0</v>
      </c>
      <c r="BV24" s="38">
        <f>IFERROR(INDEX(LMH_STEP,MATCH(AH24,LMH_KEY,0)),0)</f>
        <v>0</v>
      </c>
      <c r="BW24" s="38">
        <f>IFERROR(INDEX(LMH_STEP,MATCH(AI24,LMH_KEY,0)),0)</f>
        <v>0</v>
      </c>
      <c r="BX24" s="38">
        <f>IFERROR(INDEX(LMH_STEP,MATCH(AJ24,LMH_KEY,0)),0)</f>
        <v>0</v>
      </c>
      <c r="BY24" s="38">
        <f>IFERROR(INDEX(LMH_STEP,MATCH(AK24,LMH_KEY,0)),0)</f>
        <v>0</v>
      </c>
      <c r="BZ24" s="38">
        <f>IFERROR(INDEX(LMH_STEP,MATCH(AL24,LMH_KEY,0)),0)</f>
        <v>0</v>
      </c>
      <c r="CA24" s="38" t="inlineStr">
        <is>
          <t>CARBON|Services|Senior Financial Analyst|A3|A</t>
        </is>
      </c>
    </row>
    <row r="25" ht="110" customHeight="1">
      <c r="A25" s="28" t="inlineStr">
        <is>
          <t>CARBON</t>
        </is>
      </c>
      <c r="B25" s="29" t="inlineStr">
        <is>
          <t>Services</t>
        </is>
      </c>
      <c r="C25" s="29" t="n">
        <v>7</v>
      </c>
      <c r="D25" s="29" t="inlineStr">
        <is>
          <t>IRIS0830</t>
        </is>
      </c>
      <c r="E25" s="29" t="inlineStr">
        <is>
          <t>Bhavik Raparka</t>
        </is>
      </c>
      <c r="F25" s="29" t="inlineStr">
        <is>
          <t>Senior Financial Analyst</t>
        </is>
      </c>
      <c r="G25" s="29" t="inlineStr">
        <is>
          <t>Senior Financial Analyst</t>
        </is>
      </c>
      <c r="H25" s="29" t="inlineStr">
        <is>
          <t>Consulting &amp; Professional Services</t>
        </is>
      </c>
      <c r="I25" s="29" t="inlineStr">
        <is>
          <t>XBRL Tagging, Conversion &amp; Filing</t>
        </is>
      </c>
      <c r="J25" s="29" t="inlineStr">
        <is>
          <t>IC</t>
        </is>
      </c>
      <c r="K25" s="29" t="inlineStr">
        <is>
          <t>RC-025</t>
        </is>
      </c>
      <c r="L25" s="29" t="inlineStr">
        <is>
          <t>Jinesh Kumar S</t>
        </is>
      </c>
      <c r="M25" s="29" t="inlineStr">
        <is>
          <t>IRIS0511</t>
        </is>
      </c>
      <c r="N25" s="29" t="n">
        <v>15.1</v>
      </c>
      <c r="O25" s="29" t="n">
        <v>15.1</v>
      </c>
      <c r="P25" s="29" t="inlineStr">
        <is>
          <t>B.Com</t>
        </is>
      </c>
      <c r="Q25" s="29" t="inlineStr">
        <is>
          <t>L4 – Senior</t>
        </is>
      </c>
      <c r="R25" s="29" t="inlineStr">
        <is>
          <t>A3</t>
        </is>
      </c>
      <c r="S25" s="30" t="inlineStr">
        <is>
          <t>20 of 20</t>
        </is>
      </c>
      <c r="T25" s="31" t="inlineStr">
        <is>
          <t>• Role / sub-team: XBRL Tagging &amp; QC in US Service Team.</t>
        </is>
      </c>
      <c r="U25"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25" s="31" t="inlineStr">
        <is>
          <t>Latest rating: 3 · Potential: Medium · 9-box: Core Contributor · Readiness: Develop in role</t>
        </is>
      </c>
      <c r="W25" s="31" t="inlineStr">
        <is>
          <t>C M · Au M · Ac M · L L · BI M · Exp H · 15.1 yrs vs 2–4 yrs · Edu M · B.Com</t>
        </is>
      </c>
      <c r="X25" s="33" t="inlineStr">
        <is>
          <t>Open ▸</t>
        </is>
      </c>
      <c r="Y25" s="34" t="str">
        <f>IFERROR(INDEX(DL_C,MATCH($CA25,DL_KEY,0)),"M")</f>
        <v>H</v>
      </c>
      <c r="Z25" s="35" t="str">
        <f>IFERROR(INDEX(DL_Au,MATCH($CA25,DL_KEY,0)),"M")</f>
        <v>M</v>
      </c>
      <c r="AA25" s="35" t="str">
        <f>IFERROR(INDEX(DL_Ac,MATCH($CA25,DL_KEY,0)),"M")</f>
        <v>M</v>
      </c>
      <c r="AB25" s="35" t="str">
        <f>IFERROR(INDEX(DL_L,MATCH($CA25,DL_KEY,0)),"M")</f>
        <v>L</v>
      </c>
      <c r="AC25" s="35" t="str">
        <f>IFERROR(INDEX(DL_BI,MATCH($CA25,DL_KEY,0)),"M")</f>
        <v>L</v>
      </c>
      <c r="AD25" s="35" t="str">
        <f>IFERROR(INDEX(DL_Exp,MATCH($CA25,DL_KEY,0)),"M")</f>
        <v>L</v>
      </c>
      <c r="AE25" s="35" t="str">
        <f>IFERROR(INDEX(DL_Edu,MATCH($CA25,DL_KEY,0)),"M")</f>
        <v>L</v>
      </c>
      <c r="AF25" s="34" t="inlineStr">
        <is>
          <t>M</t>
        </is>
      </c>
      <c r="AG25" s="35" t="inlineStr">
        <is>
          <t>M</t>
        </is>
      </c>
      <c r="AH25" s="35" t="inlineStr">
        <is>
          <t>M</t>
        </is>
      </c>
      <c r="AI25" s="35" t="inlineStr">
        <is>
          <t>M</t>
        </is>
      </c>
      <c r="AJ25" s="35" t="inlineStr">
        <is>
          <t>M</t>
        </is>
      </c>
      <c r="AK25" s="35" t="inlineStr">
        <is>
          <t>M</t>
        </is>
      </c>
      <c r="AL25" s="35" t="inlineStr">
        <is>
          <t>M</t>
        </is>
      </c>
      <c r="AM25" s="36" t="n">
        <v>0.583</v>
      </c>
      <c r="AN25" s="37" t="n">
        <v>0.16</v>
      </c>
      <c r="AO25" s="37" t="n">
        <v>0.09</v>
      </c>
      <c r="AP25" s="37" t="n">
        <v>0</v>
      </c>
      <c r="AQ25" s="37" t="n">
        <v>0.063</v>
      </c>
      <c r="AR25" s="37" t="n">
        <v>0.06</v>
      </c>
      <c r="AS25" s="37" t="n">
        <v>0.04</v>
      </c>
      <c r="AT25" s="38" t="inlineStr">
        <is>
          <t>2–5</t>
        </is>
      </c>
      <c r="AU25" s="38" t="inlineStr">
        <is>
          <t>Graduate; relevant certification preferred</t>
        </is>
      </c>
      <c r="AV25" s="38" t="inlineStr">
        <is>
          <t>None · guides 1–3 juniors informally</t>
        </is>
      </c>
      <c r="AW25" s="38" t="inlineStr">
        <is>
          <t>P2 · SFIA 3 Apply</t>
        </is>
      </c>
      <c r="AX2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5" s="39" t="inlineStr">
        <is>
          <t>A3</t>
        </is>
      </c>
      <c r="AZ25" s="40" t="inlineStr">
        <is>
          <t>Band A · Practitioner · Senior Associate</t>
        </is>
      </c>
      <c r="BA25" s="40" t="inlineStr">
        <is>
          <t>Model A3 from the six ratings, the market-derived weights and rules R1–R13 · then No change · already below the manager</t>
        </is>
      </c>
      <c r="BB25" s="41" t="inlineStr">
        <is>
          <t>A3</t>
        </is>
      </c>
      <c r="BC25" s="40" t="inlineStr">
        <is>
          <t>The six ratings on the market-average weights of Band A · all tracks score 3.38 → A3 · Hay, Mercer IPE and public plans · experience 15.1 yrs vs the A3 market range 2–5</t>
        </is>
      </c>
      <c r="BD25" s="42">
        <f>IF(SUM(BM25,BN25,BO25,BP25,BQ25,BR25,BS25)=0,0,(BM25*BT25+BN25*BU25+BO25*BV25+BP25*BW25+BQ25*BX25+BR25*BY25+BS25*BZ25)/SUM(BM25,BN25,BO25,BP25,BQ25,BR25,BS25))</f>
        <v>0</v>
      </c>
      <c r="BE25" s="41" t="str">
        <f>IF(LEFT(AY25,1)="X",AY25,IF(OR(AY25="B+",AY25="C+"),INDEX(LAD_PC,MAX(1,MIN(14,MATCH(AY25,LAD_PC,0)+IF(BD25&gt;=0.5,1,IF(BD25&lt;=-0.5,-1,0))))),INDEX(LAD_STD,MAX(1,MIN(12,MATCH(AY25,LAD_STD,0)+IF(BD25&gt;=0.5,1,IF(BD25&lt;=-0.5,-1,0)))))))</f>
        <v>A3</v>
      </c>
      <c r="BF25" s="43" t="n"/>
      <c r="BG25" s="41" t="str">
        <f>IF(BF25&lt;&gt;"",BF25,BE25)</f>
        <v>A3</v>
      </c>
      <c r="BH25" s="40" t="str">
        <f>IFERROR(CHOOSE(INDEX(B_RANK,MATCH(BG25,B_LVL,0)),"Band A","Band B","B+ · Player-Coach","Band C","C+ · Player-Coach","Band D","Band E"),"Band X · Consultant")</f>
        <v>Band A</v>
      </c>
      <c r="BI25" s="40" t="str">
        <f>IF(BG25=AY25,"• Same",IF(INDEX(B_VAL,MATCH(BG25,B_LVL,0))&gt;INDEX(B_VAL,MATCH(AY25,B_LVL,0)),"▲ Up","▼ Down"))</f>
        <v>• Same</v>
      </c>
      <c r="BJ25" s="40" t="str">
        <f>IF(OR($M25="",$M25="—",$M25="Not in this file"),"",IFERROR(INDEX($BG$7:$BG$592,MATCH($M25,$D$7:$D$592,0)),""))</f>
        <v>B1</v>
      </c>
      <c r="BK25" s="40" t="str">
        <f>IFERROR(IF(BJ25="","—",IF(OR(LEFT(BG25,1)="X",LEFT(BJ25,1)="X"),"—",IF(AND(LEFT(BG25,1)="E",LEFT(BJ25,1)="E"),"Exception · Band E",IF(AND(INDEX(B_VAL,MATCH(BJ25,B_LVL,0))&gt;=7,INDEX(B_RANK,MATCH(BG25,B_LVL,0))&gt;=INDEX(B_RANK,MATCH(BJ25,B_LVL,0))),"⚠ Same band as a head manager",IF(INDEX(B_VAL,MATCH(BG25,B_LVL,0))&gt;=INDEX(B_VAL,MATCH(BJ25,B_LVL,0)),"⚠ At or above the manager's level","OK"))))),"—")</f>
        <v>OK</v>
      </c>
      <c r="BL25" s="43" t="n"/>
      <c r="BM25" s="44">
        <f>IFERROR(INDEX(LMH_PTS,MATCH(Y25,LMH_KEY,0)),0)</f>
        <v>9</v>
      </c>
      <c r="BN25" s="38">
        <f>IFERROR(INDEX(LMH_PTS,MATCH(Z25,LMH_KEY,0)),0)</f>
        <v>3</v>
      </c>
      <c r="BO25" s="38">
        <f>IFERROR(INDEX(LMH_PTS,MATCH(AA25,LMH_KEY,0)),0)</f>
        <v>3</v>
      </c>
      <c r="BP25" s="38">
        <f>IFERROR(INDEX(LMH_PTS,MATCH(AB25,LMH_KEY,0)),0)</f>
        <v>1</v>
      </c>
      <c r="BQ25" s="38">
        <f>IFERROR(INDEX(LMH_PTS,MATCH(AC25,LMH_KEY,0)),0)</f>
        <v>1</v>
      </c>
      <c r="BR25" s="38">
        <f>IFERROR(INDEX(LMH_PTS,MATCH(AD25,LMH_KEY,0)),0)</f>
        <v>1</v>
      </c>
      <c r="BS25" s="38">
        <f>IFERROR(INDEX(LMH_PTS,MATCH(AE25,LMH_KEY,0)),0)</f>
        <v>1</v>
      </c>
      <c r="BT25" s="38">
        <f>IFERROR(INDEX(LMH_STEP,MATCH(AF25,LMH_KEY,0)),0)</f>
        <v>0</v>
      </c>
      <c r="BU25" s="38">
        <f>IFERROR(INDEX(LMH_STEP,MATCH(AG25,LMH_KEY,0)),0)</f>
        <v>0</v>
      </c>
      <c r="BV25" s="38">
        <f>IFERROR(INDEX(LMH_STEP,MATCH(AH25,LMH_KEY,0)),0)</f>
        <v>0</v>
      </c>
      <c r="BW25" s="38">
        <f>IFERROR(INDEX(LMH_STEP,MATCH(AI25,LMH_KEY,0)),0)</f>
        <v>0</v>
      </c>
      <c r="BX25" s="38">
        <f>IFERROR(INDEX(LMH_STEP,MATCH(AJ25,LMH_KEY,0)),0)</f>
        <v>0</v>
      </c>
      <c r="BY25" s="38">
        <f>IFERROR(INDEX(LMH_STEP,MATCH(AK25,LMH_KEY,0)),0)</f>
        <v>0</v>
      </c>
      <c r="BZ25" s="38">
        <f>IFERROR(INDEX(LMH_STEP,MATCH(AL25,LMH_KEY,0)),0)</f>
        <v>0</v>
      </c>
      <c r="CA25" s="38" t="inlineStr">
        <is>
          <t>CARBON|Services|Senior Financial Analyst|A3|A</t>
        </is>
      </c>
    </row>
    <row r="26" ht="110" customHeight="1">
      <c r="A26" s="28" t="inlineStr">
        <is>
          <t>CARBON</t>
        </is>
      </c>
      <c r="B26" s="29" t="inlineStr">
        <is>
          <t>Services</t>
        </is>
      </c>
      <c r="C26" s="29" t="n">
        <v>7</v>
      </c>
      <c r="D26" s="29" t="inlineStr">
        <is>
          <t>IRIS1124</t>
        </is>
      </c>
      <c r="E26" s="29" t="inlineStr">
        <is>
          <t>Kamlesh Bomble</t>
        </is>
      </c>
      <c r="F26" s="29" t="inlineStr">
        <is>
          <t>Senior Financial Analyst</t>
        </is>
      </c>
      <c r="G26" s="29" t="inlineStr">
        <is>
          <t>Senior Financial Analyst</t>
        </is>
      </c>
      <c r="H26" s="29" t="inlineStr">
        <is>
          <t>Consulting &amp; Professional Services</t>
        </is>
      </c>
      <c r="I26" s="29" t="inlineStr">
        <is>
          <t>XBRL Tagging, Conversion &amp; Filing</t>
        </is>
      </c>
      <c r="J26" s="29" t="inlineStr">
        <is>
          <t>IC</t>
        </is>
      </c>
      <c r="K26" s="29" t="inlineStr">
        <is>
          <t>RC-025</t>
        </is>
      </c>
      <c r="L26" s="29" t="inlineStr">
        <is>
          <t>Jinesh Kumar S</t>
        </is>
      </c>
      <c r="M26" s="29" t="inlineStr">
        <is>
          <t>IRIS0511</t>
        </is>
      </c>
      <c r="N26" s="29" t="n">
        <v>14.4</v>
      </c>
      <c r="O26" s="29" t="n">
        <v>14.4</v>
      </c>
      <c r="P26" s="29" t="inlineStr">
        <is>
          <t>B.Com</t>
        </is>
      </c>
      <c r="Q26" s="29" t="inlineStr">
        <is>
          <t>L4 – Senior</t>
        </is>
      </c>
      <c r="R26" s="29" t="inlineStr">
        <is>
          <t>A3</t>
        </is>
      </c>
      <c r="S26" s="30" t="inlineStr">
        <is>
          <t>20 of 20</t>
        </is>
      </c>
      <c r="T26" s="31" t="inlineStr">
        <is>
          <t>• Role / sub-team: XBRL tagging - US SEC; XBRL Tagging &amp; Qc.</t>
        </is>
      </c>
      <c r="U26"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26" s="31" t="inlineStr">
        <is>
          <t>Latest rating: 3 · Potential: Medium · 9-box: Core Contributor · Readiness: Develop in role</t>
        </is>
      </c>
      <c r="W26" s="31" t="inlineStr">
        <is>
          <t>C M · Au M · Ac M · L L · BI M · Exp H · 14.4 yrs vs 2–4 yrs · Edu M · B.Com</t>
        </is>
      </c>
      <c r="X26" s="33" t="inlineStr">
        <is>
          <t>Open ▸</t>
        </is>
      </c>
      <c r="Y26" s="34" t="str">
        <f>IFERROR(INDEX(DL_C,MATCH($CA26,DL_KEY,0)),"M")</f>
        <v>H</v>
      </c>
      <c r="Z26" s="35" t="str">
        <f>IFERROR(INDEX(DL_Au,MATCH($CA26,DL_KEY,0)),"M")</f>
        <v>M</v>
      </c>
      <c r="AA26" s="35" t="str">
        <f>IFERROR(INDEX(DL_Ac,MATCH($CA26,DL_KEY,0)),"M")</f>
        <v>M</v>
      </c>
      <c r="AB26" s="35" t="str">
        <f>IFERROR(INDEX(DL_L,MATCH($CA26,DL_KEY,0)),"M")</f>
        <v>L</v>
      </c>
      <c r="AC26" s="35" t="str">
        <f>IFERROR(INDEX(DL_BI,MATCH($CA26,DL_KEY,0)),"M")</f>
        <v>L</v>
      </c>
      <c r="AD26" s="35" t="str">
        <f>IFERROR(INDEX(DL_Exp,MATCH($CA26,DL_KEY,0)),"M")</f>
        <v>L</v>
      </c>
      <c r="AE26" s="35" t="str">
        <f>IFERROR(INDEX(DL_Edu,MATCH($CA26,DL_KEY,0)),"M")</f>
        <v>L</v>
      </c>
      <c r="AF26" s="34" t="inlineStr">
        <is>
          <t>M</t>
        </is>
      </c>
      <c r="AG26" s="35" t="inlineStr">
        <is>
          <t>M</t>
        </is>
      </c>
      <c r="AH26" s="35" t="inlineStr">
        <is>
          <t>M</t>
        </is>
      </c>
      <c r="AI26" s="35" t="inlineStr">
        <is>
          <t>M</t>
        </is>
      </c>
      <c r="AJ26" s="35" t="inlineStr">
        <is>
          <t>M</t>
        </is>
      </c>
      <c r="AK26" s="35" t="inlineStr">
        <is>
          <t>M</t>
        </is>
      </c>
      <c r="AL26" s="35" t="inlineStr">
        <is>
          <t>M</t>
        </is>
      </c>
      <c r="AM26" s="36" t="n">
        <v>0.583</v>
      </c>
      <c r="AN26" s="37" t="n">
        <v>0.16</v>
      </c>
      <c r="AO26" s="37" t="n">
        <v>0.09</v>
      </c>
      <c r="AP26" s="37" t="n">
        <v>0</v>
      </c>
      <c r="AQ26" s="37" t="n">
        <v>0.063</v>
      </c>
      <c r="AR26" s="37" t="n">
        <v>0.06</v>
      </c>
      <c r="AS26" s="37" t="n">
        <v>0.04</v>
      </c>
      <c r="AT26" s="38" t="inlineStr">
        <is>
          <t>2–5</t>
        </is>
      </c>
      <c r="AU26" s="38" t="inlineStr">
        <is>
          <t>Graduate; relevant certification preferred</t>
        </is>
      </c>
      <c r="AV26" s="38" t="inlineStr">
        <is>
          <t>None · guides 1–3 juniors informally</t>
        </is>
      </c>
      <c r="AW26" s="38" t="inlineStr">
        <is>
          <t>P2 · SFIA 3 Apply</t>
        </is>
      </c>
      <c r="AX2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6" s="39" t="inlineStr">
        <is>
          <t>A3</t>
        </is>
      </c>
      <c r="AZ26" s="40" t="inlineStr">
        <is>
          <t>Band A · Practitioner · Senior Associate</t>
        </is>
      </c>
      <c r="BA26" s="40" t="inlineStr">
        <is>
          <t>Model A3 from the six ratings, the market-derived weights and rules R1–R13 · then No change · already below the manager</t>
        </is>
      </c>
      <c r="BB26" s="41" t="inlineStr">
        <is>
          <t>A3</t>
        </is>
      </c>
      <c r="BC26" s="40" t="inlineStr">
        <is>
          <t>The six ratings on the market-average weights of Band A · all tracks score 3.08 → A3 · Hay, Mercer IPE and public plans · experience 14.4 yrs vs the A3 market range 2–5</t>
        </is>
      </c>
      <c r="BD26" s="42">
        <f>IF(SUM(BM26,BN26,BO26,BP26,BQ26,BR26,BS26)=0,0,(BM26*BT26+BN26*BU26+BO26*BV26+BP26*BW26+BQ26*BX26+BR26*BY26+BS26*BZ26)/SUM(BM26,BN26,BO26,BP26,BQ26,BR26,BS26))</f>
        <v>0</v>
      </c>
      <c r="BE26" s="41" t="str">
        <f>IF(LEFT(AY26,1)="X",AY26,IF(OR(AY26="B+",AY26="C+"),INDEX(LAD_PC,MAX(1,MIN(14,MATCH(AY26,LAD_PC,0)+IF(BD26&gt;=0.5,1,IF(BD26&lt;=-0.5,-1,0))))),INDEX(LAD_STD,MAX(1,MIN(12,MATCH(AY26,LAD_STD,0)+IF(BD26&gt;=0.5,1,IF(BD26&lt;=-0.5,-1,0)))))))</f>
        <v>A3</v>
      </c>
      <c r="BF26" s="43" t="n"/>
      <c r="BG26" s="41" t="str">
        <f>IF(BF26&lt;&gt;"",BF26,BE26)</f>
        <v>A3</v>
      </c>
      <c r="BH26" s="40" t="str">
        <f>IFERROR(CHOOSE(INDEX(B_RANK,MATCH(BG26,B_LVL,0)),"Band A","Band B","B+ · Player-Coach","Band C","C+ · Player-Coach","Band D","Band E"),"Band X · Consultant")</f>
        <v>Band A</v>
      </c>
      <c r="BI26" s="40" t="str">
        <f>IF(BG26=AY26,"• Same",IF(INDEX(B_VAL,MATCH(BG26,B_LVL,0))&gt;INDEX(B_VAL,MATCH(AY26,B_LVL,0)),"▲ Up","▼ Down"))</f>
        <v>• Same</v>
      </c>
      <c r="BJ26" s="40" t="str">
        <f>IF(OR($M26="",$M26="—",$M26="Not in this file"),"",IFERROR(INDEX($BG$7:$BG$592,MATCH($M26,$D$7:$D$592,0)),""))</f>
        <v>B1</v>
      </c>
      <c r="BK26" s="40" t="str">
        <f>IFERROR(IF(BJ26="","—",IF(OR(LEFT(BG26,1)="X",LEFT(BJ26,1)="X"),"—",IF(AND(LEFT(BG26,1)="E",LEFT(BJ26,1)="E"),"Exception · Band E",IF(AND(INDEX(B_VAL,MATCH(BJ26,B_LVL,0))&gt;=7,INDEX(B_RANK,MATCH(BG26,B_LVL,0))&gt;=INDEX(B_RANK,MATCH(BJ26,B_LVL,0))),"⚠ Same band as a head manager",IF(INDEX(B_VAL,MATCH(BG26,B_LVL,0))&gt;=INDEX(B_VAL,MATCH(BJ26,B_LVL,0)),"⚠ At or above the manager's level","OK"))))),"—")</f>
        <v>OK</v>
      </c>
      <c r="BL26" s="43" t="n"/>
      <c r="BM26" s="44">
        <f>IFERROR(INDEX(LMH_PTS,MATCH(Y26,LMH_KEY,0)),0)</f>
        <v>9</v>
      </c>
      <c r="BN26" s="38">
        <f>IFERROR(INDEX(LMH_PTS,MATCH(Z26,LMH_KEY,0)),0)</f>
        <v>3</v>
      </c>
      <c r="BO26" s="38">
        <f>IFERROR(INDEX(LMH_PTS,MATCH(AA26,LMH_KEY,0)),0)</f>
        <v>3</v>
      </c>
      <c r="BP26" s="38">
        <f>IFERROR(INDEX(LMH_PTS,MATCH(AB26,LMH_KEY,0)),0)</f>
        <v>1</v>
      </c>
      <c r="BQ26" s="38">
        <f>IFERROR(INDEX(LMH_PTS,MATCH(AC26,LMH_KEY,0)),0)</f>
        <v>1</v>
      </c>
      <c r="BR26" s="38">
        <f>IFERROR(INDEX(LMH_PTS,MATCH(AD26,LMH_KEY,0)),0)</f>
        <v>1</v>
      </c>
      <c r="BS26" s="38">
        <f>IFERROR(INDEX(LMH_PTS,MATCH(AE26,LMH_KEY,0)),0)</f>
        <v>1</v>
      </c>
      <c r="BT26" s="38">
        <f>IFERROR(INDEX(LMH_STEP,MATCH(AF26,LMH_KEY,0)),0)</f>
        <v>0</v>
      </c>
      <c r="BU26" s="38">
        <f>IFERROR(INDEX(LMH_STEP,MATCH(AG26,LMH_KEY,0)),0)</f>
        <v>0</v>
      </c>
      <c r="BV26" s="38">
        <f>IFERROR(INDEX(LMH_STEP,MATCH(AH26,LMH_KEY,0)),0)</f>
        <v>0</v>
      </c>
      <c r="BW26" s="38">
        <f>IFERROR(INDEX(LMH_STEP,MATCH(AI26,LMH_KEY,0)),0)</f>
        <v>0</v>
      </c>
      <c r="BX26" s="38">
        <f>IFERROR(INDEX(LMH_STEP,MATCH(AJ26,LMH_KEY,0)),0)</f>
        <v>0</v>
      </c>
      <c r="BY26" s="38">
        <f>IFERROR(INDEX(LMH_STEP,MATCH(AK26,LMH_KEY,0)),0)</f>
        <v>0</v>
      </c>
      <c r="BZ26" s="38">
        <f>IFERROR(INDEX(LMH_STEP,MATCH(AL26,LMH_KEY,0)),0)</f>
        <v>0</v>
      </c>
      <c r="CA26" s="38" t="inlineStr">
        <is>
          <t>CARBON|Services|Senior Financial Analyst|A3|A</t>
        </is>
      </c>
    </row>
    <row r="27" ht="110" customHeight="1">
      <c r="A27" s="28" t="inlineStr">
        <is>
          <t>CARBON</t>
        </is>
      </c>
      <c r="B27" s="29" t="inlineStr">
        <is>
          <t>Services</t>
        </is>
      </c>
      <c r="C27" s="29" t="n">
        <v>7</v>
      </c>
      <c r="D27" s="29" t="inlineStr">
        <is>
          <t>IRIS2328</t>
        </is>
      </c>
      <c r="E27" s="29" t="inlineStr">
        <is>
          <t>Namrata Juvekar</t>
        </is>
      </c>
      <c r="F27" s="29" t="inlineStr">
        <is>
          <t>Financial Analyst</t>
        </is>
      </c>
      <c r="G27" s="29" t="inlineStr">
        <is>
          <t>Senior Financial Analyst</t>
        </is>
      </c>
      <c r="H27" s="29" t="inlineStr">
        <is>
          <t>Consulting &amp; Professional Services</t>
        </is>
      </c>
      <c r="I27" s="29" t="inlineStr">
        <is>
          <t>XBRL Tagging, Conversion &amp; Filing</t>
        </is>
      </c>
      <c r="J27" s="29" t="inlineStr">
        <is>
          <t>IC</t>
        </is>
      </c>
      <c r="K27" s="29" t="inlineStr">
        <is>
          <t>RC-025</t>
        </is>
      </c>
      <c r="L27" s="29" t="inlineStr">
        <is>
          <t>Jinesh Kumar S</t>
        </is>
      </c>
      <c r="M27" s="29" t="inlineStr">
        <is>
          <t>IRIS0511</t>
        </is>
      </c>
      <c r="N27" s="29" t="n">
        <v>1.7</v>
      </c>
      <c r="O27" s="29" t="n">
        <v>1.7</v>
      </c>
      <c r="P27" s="29" t="inlineStr">
        <is>
          <t>B.Com</t>
        </is>
      </c>
      <c r="Q27" s="29" t="inlineStr">
        <is>
          <t>L3 – Professional / Associate</t>
        </is>
      </c>
      <c r="R27" s="29" t="inlineStr">
        <is>
          <t>A3</t>
        </is>
      </c>
      <c r="S27" s="30" t="inlineStr">
        <is>
          <t>20 of 20</t>
        </is>
      </c>
      <c r="T27" s="31" t="inlineStr">
        <is>
          <t>• Role / sub-team: Xbrl tagging and Quality Check in US Service Team.</t>
        </is>
      </c>
      <c r="U27"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27" s="31" t="inlineStr">
        <is>
          <t>Latest rating: 4 · Potential: High · 9-box: Core Contributor · Readiness: Ready now</t>
        </is>
      </c>
      <c r="W27" s="31" t="inlineStr">
        <is>
          <t>C M · Au M · Ac M · L L · BI M · Exp L · 1.7 yrs vs 2–4 yrs · Edu M · B.Com</t>
        </is>
      </c>
      <c r="X27" s="33" t="inlineStr">
        <is>
          <t>Open ▸</t>
        </is>
      </c>
      <c r="Y27" s="34" t="str">
        <f>IFERROR(INDEX(DL_C,MATCH($CA27,DL_KEY,0)),"M")</f>
        <v>H</v>
      </c>
      <c r="Z27" s="35" t="str">
        <f>IFERROR(INDEX(DL_Au,MATCH($CA27,DL_KEY,0)),"M")</f>
        <v>M</v>
      </c>
      <c r="AA27" s="35" t="str">
        <f>IFERROR(INDEX(DL_Ac,MATCH($CA27,DL_KEY,0)),"M")</f>
        <v>M</v>
      </c>
      <c r="AB27" s="35" t="str">
        <f>IFERROR(INDEX(DL_L,MATCH($CA27,DL_KEY,0)),"M")</f>
        <v>L</v>
      </c>
      <c r="AC27" s="35" t="str">
        <f>IFERROR(INDEX(DL_BI,MATCH($CA27,DL_KEY,0)),"M")</f>
        <v>L</v>
      </c>
      <c r="AD27" s="35" t="str">
        <f>IFERROR(INDEX(DL_Exp,MATCH($CA27,DL_KEY,0)),"M")</f>
        <v>L</v>
      </c>
      <c r="AE27" s="35" t="str">
        <f>IFERROR(INDEX(DL_Edu,MATCH($CA27,DL_KEY,0)),"M")</f>
        <v>L</v>
      </c>
      <c r="AF27" s="34" t="inlineStr">
        <is>
          <t>M</t>
        </is>
      </c>
      <c r="AG27" s="35" t="inlineStr">
        <is>
          <t>M</t>
        </is>
      </c>
      <c r="AH27" s="35" t="inlineStr">
        <is>
          <t>M</t>
        </is>
      </c>
      <c r="AI27" s="35" t="inlineStr">
        <is>
          <t>M</t>
        </is>
      </c>
      <c r="AJ27" s="35" t="inlineStr">
        <is>
          <t>M</t>
        </is>
      </c>
      <c r="AK27" s="35" t="inlineStr">
        <is>
          <t>M</t>
        </is>
      </c>
      <c r="AL27" s="35" t="inlineStr">
        <is>
          <t>M</t>
        </is>
      </c>
      <c r="AM27" s="36" t="n">
        <v>0.583</v>
      </c>
      <c r="AN27" s="37" t="n">
        <v>0.16</v>
      </c>
      <c r="AO27" s="37" t="n">
        <v>0.09</v>
      </c>
      <c r="AP27" s="37" t="n">
        <v>0</v>
      </c>
      <c r="AQ27" s="37" t="n">
        <v>0.063</v>
      </c>
      <c r="AR27" s="37" t="n">
        <v>0.06</v>
      </c>
      <c r="AS27" s="37" t="n">
        <v>0.04</v>
      </c>
      <c r="AT27" s="38" t="inlineStr">
        <is>
          <t>2–5</t>
        </is>
      </c>
      <c r="AU27" s="38" t="inlineStr">
        <is>
          <t>Graduate; relevant certification preferred</t>
        </is>
      </c>
      <c r="AV27" s="38" t="inlineStr">
        <is>
          <t>None · guides 1–3 juniors informally</t>
        </is>
      </c>
      <c r="AW27" s="38" t="inlineStr">
        <is>
          <t>P2 · SFIA 3 Apply</t>
        </is>
      </c>
      <c r="AX2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7" s="39" t="inlineStr">
        <is>
          <t>A3</t>
        </is>
      </c>
      <c r="AZ27" s="40" t="inlineStr">
        <is>
          <t>Band A · Practitioner · Senior Associate</t>
        </is>
      </c>
      <c r="BA27" s="40" t="inlineStr">
        <is>
          <t>Model A3 from the six ratings, the market-derived weights and rules R1–R13 · then No change · already below the manager</t>
        </is>
      </c>
      <c r="BB27" s="41" t="inlineStr">
        <is>
          <t>A3</t>
        </is>
      </c>
      <c r="BC27" s="40" t="inlineStr">
        <is>
          <t>The six ratings on the market-average weights of Band A · all tracks score 2.61 → A3 · Hay, Mercer IPE and public plans · experience 1.7 yrs vs the A3 market range 2–5</t>
        </is>
      </c>
      <c r="BD27" s="42">
        <f>IF(SUM(BM27,BN27,BO27,BP27,BQ27,BR27,BS27)=0,0,(BM27*BT27+BN27*BU27+BO27*BV27+BP27*BW27+BQ27*BX27+BR27*BY27+BS27*BZ27)/SUM(BM27,BN27,BO27,BP27,BQ27,BR27,BS27))</f>
        <v>0</v>
      </c>
      <c r="BE27" s="41" t="str">
        <f>IF(LEFT(AY27,1)="X",AY27,IF(OR(AY27="B+",AY27="C+"),INDEX(LAD_PC,MAX(1,MIN(14,MATCH(AY27,LAD_PC,0)+IF(BD27&gt;=0.5,1,IF(BD27&lt;=-0.5,-1,0))))),INDEX(LAD_STD,MAX(1,MIN(12,MATCH(AY27,LAD_STD,0)+IF(BD27&gt;=0.5,1,IF(BD27&lt;=-0.5,-1,0)))))))</f>
        <v>A3</v>
      </c>
      <c r="BF27" s="43" t="n"/>
      <c r="BG27" s="41" t="str">
        <f>IF(BF27&lt;&gt;"",BF27,BE27)</f>
        <v>A3</v>
      </c>
      <c r="BH27" s="40" t="str">
        <f>IFERROR(CHOOSE(INDEX(B_RANK,MATCH(BG27,B_LVL,0)),"Band A","Band B","B+ · Player-Coach","Band C","C+ · Player-Coach","Band D","Band E"),"Band X · Consultant")</f>
        <v>Band A</v>
      </c>
      <c r="BI27" s="40" t="str">
        <f>IF(BG27=AY27,"• Same",IF(INDEX(B_VAL,MATCH(BG27,B_LVL,0))&gt;INDEX(B_VAL,MATCH(AY27,B_LVL,0)),"▲ Up","▼ Down"))</f>
        <v>• Same</v>
      </c>
      <c r="BJ27" s="40" t="str">
        <f>IF(OR($M27="",$M27="—",$M27="Not in this file"),"",IFERROR(INDEX($BG$7:$BG$592,MATCH($M27,$D$7:$D$592,0)),""))</f>
        <v>B1</v>
      </c>
      <c r="BK27" s="40" t="str">
        <f>IFERROR(IF(BJ27="","—",IF(OR(LEFT(BG27,1)="X",LEFT(BJ27,1)="X"),"—",IF(AND(LEFT(BG27,1)="E",LEFT(BJ27,1)="E"),"Exception · Band E",IF(AND(INDEX(B_VAL,MATCH(BJ27,B_LVL,0))&gt;=7,INDEX(B_RANK,MATCH(BG27,B_LVL,0))&gt;=INDEX(B_RANK,MATCH(BJ27,B_LVL,0))),"⚠ Same band as a head manager",IF(INDEX(B_VAL,MATCH(BG27,B_LVL,0))&gt;=INDEX(B_VAL,MATCH(BJ27,B_LVL,0)),"⚠ At or above the manager's level","OK"))))),"—")</f>
        <v>OK</v>
      </c>
      <c r="BL27" s="43" t="n"/>
      <c r="BM27" s="44">
        <f>IFERROR(INDEX(LMH_PTS,MATCH(Y27,LMH_KEY,0)),0)</f>
        <v>9</v>
      </c>
      <c r="BN27" s="38">
        <f>IFERROR(INDEX(LMH_PTS,MATCH(Z27,LMH_KEY,0)),0)</f>
        <v>3</v>
      </c>
      <c r="BO27" s="38">
        <f>IFERROR(INDEX(LMH_PTS,MATCH(AA27,LMH_KEY,0)),0)</f>
        <v>3</v>
      </c>
      <c r="BP27" s="38">
        <f>IFERROR(INDEX(LMH_PTS,MATCH(AB27,LMH_KEY,0)),0)</f>
        <v>1</v>
      </c>
      <c r="BQ27" s="38">
        <f>IFERROR(INDEX(LMH_PTS,MATCH(AC27,LMH_KEY,0)),0)</f>
        <v>1</v>
      </c>
      <c r="BR27" s="38">
        <f>IFERROR(INDEX(LMH_PTS,MATCH(AD27,LMH_KEY,0)),0)</f>
        <v>1</v>
      </c>
      <c r="BS27" s="38">
        <f>IFERROR(INDEX(LMH_PTS,MATCH(AE27,LMH_KEY,0)),0)</f>
        <v>1</v>
      </c>
      <c r="BT27" s="38">
        <f>IFERROR(INDEX(LMH_STEP,MATCH(AF27,LMH_KEY,0)),0)</f>
        <v>0</v>
      </c>
      <c r="BU27" s="38">
        <f>IFERROR(INDEX(LMH_STEP,MATCH(AG27,LMH_KEY,0)),0)</f>
        <v>0</v>
      </c>
      <c r="BV27" s="38">
        <f>IFERROR(INDEX(LMH_STEP,MATCH(AH27,LMH_KEY,0)),0)</f>
        <v>0</v>
      </c>
      <c r="BW27" s="38">
        <f>IFERROR(INDEX(LMH_STEP,MATCH(AI27,LMH_KEY,0)),0)</f>
        <v>0</v>
      </c>
      <c r="BX27" s="38">
        <f>IFERROR(INDEX(LMH_STEP,MATCH(AJ27,LMH_KEY,0)),0)</f>
        <v>0</v>
      </c>
      <c r="BY27" s="38">
        <f>IFERROR(INDEX(LMH_STEP,MATCH(AK27,LMH_KEY,0)),0)</f>
        <v>0</v>
      </c>
      <c r="BZ27" s="38">
        <f>IFERROR(INDEX(LMH_STEP,MATCH(AL27,LMH_KEY,0)),0)</f>
        <v>0</v>
      </c>
      <c r="CA27" s="38" t="inlineStr">
        <is>
          <t>CARBON|Services|Senior Financial Analyst|A3|A</t>
        </is>
      </c>
    </row>
    <row r="28" ht="110" customHeight="1">
      <c r="A28" s="28" t="inlineStr">
        <is>
          <t>CARBON</t>
        </is>
      </c>
      <c r="B28" s="29" t="inlineStr">
        <is>
          <t>Services</t>
        </is>
      </c>
      <c r="C28" s="29" t="n">
        <v>7</v>
      </c>
      <c r="D28" s="29" t="inlineStr">
        <is>
          <t>IRISC330</t>
        </is>
      </c>
      <c r="E28" s="29" t="inlineStr">
        <is>
          <t>Raj Ratnakar Kumbhar</t>
        </is>
      </c>
      <c r="F28" s="29" t="inlineStr">
        <is>
          <t>Consultant</t>
        </is>
      </c>
      <c r="G28" s="29" t="inlineStr">
        <is>
          <t>Senior Financial Analyst</t>
        </is>
      </c>
      <c r="H28" s="29" t="inlineStr">
        <is>
          <t>Consulting &amp; Professional Services</t>
        </is>
      </c>
      <c r="I28" s="29" t="inlineStr">
        <is>
          <t>XBRL Tagging, Conversion &amp; Filing</t>
        </is>
      </c>
      <c r="J28" s="29" t="inlineStr">
        <is>
          <t>IC</t>
        </is>
      </c>
      <c r="K28" s="29" t="inlineStr">
        <is>
          <t>RC-025</t>
        </is>
      </c>
      <c r="L28" s="29" t="inlineStr">
        <is>
          <t>Jinesh Kumar S</t>
        </is>
      </c>
      <c r="M28" s="29" t="inlineStr">
        <is>
          <t>IRIS0511</t>
        </is>
      </c>
      <c r="N28" s="29" t="n">
        <v>4.4</v>
      </c>
      <c r="O28" s="29" t="n">
        <v>0.7</v>
      </c>
      <c r="P28" s="29" t="inlineStr">
        <is>
          <t>B.Com</t>
        </is>
      </c>
      <c r="Q28" s="29" t="inlineStr">
        <is>
          <t>L3 – Professional / Associate</t>
        </is>
      </c>
      <c r="R28" s="29" t="inlineStr">
        <is>
          <t>A3</t>
        </is>
      </c>
      <c r="S28" s="30" t="inlineStr">
        <is>
          <t>20 of 20</t>
        </is>
      </c>
      <c r="T28" s="31" t="inlineStr">
        <is>
          <t>• Role / sub-team: XBRL-Tagging in Us Service team.</t>
        </is>
      </c>
      <c r="U28"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28" s="31" t="inlineStr">
        <is>
          <t>Latest rating: 3 · Potential: Medium · 9-box: Core Contributor · Readiness: Develop in role</t>
        </is>
      </c>
      <c r="W28" s="31" t="inlineStr">
        <is>
          <t>C M · Au M · Ac M · L L · BI M · Exp H · 4.4 yrs vs 2–4 yrs · Edu M · B.Com</t>
        </is>
      </c>
      <c r="X28" s="33" t="inlineStr">
        <is>
          <t>Open ▸</t>
        </is>
      </c>
      <c r="Y28" s="34" t="str">
        <f>IFERROR(INDEX(DL_C,MATCH($CA28,DL_KEY,0)),"M")</f>
        <v>H</v>
      </c>
      <c r="Z28" s="35" t="str">
        <f>IFERROR(INDEX(DL_Au,MATCH($CA28,DL_KEY,0)),"M")</f>
        <v>M</v>
      </c>
      <c r="AA28" s="35" t="str">
        <f>IFERROR(INDEX(DL_Ac,MATCH($CA28,DL_KEY,0)),"M")</f>
        <v>M</v>
      </c>
      <c r="AB28" s="35" t="str">
        <f>IFERROR(INDEX(DL_L,MATCH($CA28,DL_KEY,0)),"M")</f>
        <v>L</v>
      </c>
      <c r="AC28" s="35" t="str">
        <f>IFERROR(INDEX(DL_BI,MATCH($CA28,DL_KEY,0)),"M")</f>
        <v>L</v>
      </c>
      <c r="AD28" s="35" t="str">
        <f>IFERROR(INDEX(DL_Exp,MATCH($CA28,DL_KEY,0)),"M")</f>
        <v>L</v>
      </c>
      <c r="AE28" s="35" t="str">
        <f>IFERROR(INDEX(DL_Edu,MATCH($CA28,DL_KEY,0)),"M")</f>
        <v>L</v>
      </c>
      <c r="AF28" s="34" t="inlineStr">
        <is>
          <t>M</t>
        </is>
      </c>
      <c r="AG28" s="35" t="inlineStr">
        <is>
          <t>M</t>
        </is>
      </c>
      <c r="AH28" s="35" t="inlineStr">
        <is>
          <t>M</t>
        </is>
      </c>
      <c r="AI28" s="35" t="inlineStr">
        <is>
          <t>M</t>
        </is>
      </c>
      <c r="AJ28" s="35" t="inlineStr">
        <is>
          <t>M</t>
        </is>
      </c>
      <c r="AK28" s="35" t="inlineStr">
        <is>
          <t>M</t>
        </is>
      </c>
      <c r="AL28" s="35" t="inlineStr">
        <is>
          <t>M</t>
        </is>
      </c>
      <c r="AM28" s="36" t="n">
        <v>0.583</v>
      </c>
      <c r="AN28" s="37" t="n">
        <v>0.16</v>
      </c>
      <c r="AO28" s="37" t="n">
        <v>0.09</v>
      </c>
      <c r="AP28" s="37" t="n">
        <v>0</v>
      </c>
      <c r="AQ28" s="37" t="n">
        <v>0.063</v>
      </c>
      <c r="AR28" s="37" t="n">
        <v>0.06</v>
      </c>
      <c r="AS28" s="37" t="n">
        <v>0.04</v>
      </c>
      <c r="AT28" s="38" t="inlineStr">
        <is>
          <t>2–5</t>
        </is>
      </c>
      <c r="AU28" s="38" t="inlineStr">
        <is>
          <t>Graduate; relevant certification preferred</t>
        </is>
      </c>
      <c r="AV28" s="38" t="inlineStr">
        <is>
          <t>None · guides 1–3 juniors informally</t>
        </is>
      </c>
      <c r="AW28" s="38" t="inlineStr">
        <is>
          <t>P2 · SFIA 3 Apply</t>
        </is>
      </c>
      <c r="AX2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8" s="39" t="inlineStr">
        <is>
          <t>A3</t>
        </is>
      </c>
      <c r="AZ28" s="40" t="inlineStr">
        <is>
          <t>Band A · Practitioner · Senior Associate</t>
        </is>
      </c>
      <c r="BA28" s="40" t="inlineStr">
        <is>
          <t>Model A3 from the six ratings, the market-derived weights and rules R1–R13 · then No change · already below the manager</t>
        </is>
      </c>
      <c r="BB28" s="41" t="inlineStr">
        <is>
          <t>A3</t>
        </is>
      </c>
      <c r="BC28" s="40" t="inlineStr">
        <is>
          <t>The six ratings on the market-average weights of Band A · all tracks score 2.63 → A3 · Hay, Mercer IPE and public plans · experience 4.4 yrs vs the A3 market range 2–5</t>
        </is>
      </c>
      <c r="BD28" s="42">
        <f>IF(SUM(BM28,BN28,BO28,BP28,BQ28,BR28,BS28)=0,0,(BM28*BT28+BN28*BU28+BO28*BV28+BP28*BW28+BQ28*BX28+BR28*BY28+BS28*BZ28)/SUM(BM28,BN28,BO28,BP28,BQ28,BR28,BS28))</f>
        <v>0</v>
      </c>
      <c r="BE28" s="41" t="str">
        <f>IF(LEFT(AY28,1)="X",AY28,IF(OR(AY28="B+",AY28="C+"),INDEX(LAD_PC,MAX(1,MIN(14,MATCH(AY28,LAD_PC,0)+IF(BD28&gt;=0.5,1,IF(BD28&lt;=-0.5,-1,0))))),INDEX(LAD_STD,MAX(1,MIN(12,MATCH(AY28,LAD_STD,0)+IF(BD28&gt;=0.5,1,IF(BD28&lt;=-0.5,-1,0)))))))</f>
        <v>A3</v>
      </c>
      <c r="BF28" s="43" t="n"/>
      <c r="BG28" s="41" t="str">
        <f>IF(BF28&lt;&gt;"",BF28,BE28)</f>
        <v>A3</v>
      </c>
      <c r="BH28" s="40" t="str">
        <f>IFERROR(CHOOSE(INDEX(B_RANK,MATCH(BG28,B_LVL,0)),"Band A","Band B","B+ · Player-Coach","Band C","C+ · Player-Coach","Band D","Band E"),"Band X · Consultant")</f>
        <v>Band A</v>
      </c>
      <c r="BI28" s="40" t="str">
        <f>IF(BG28=AY28,"• Same",IF(INDEX(B_VAL,MATCH(BG28,B_LVL,0))&gt;INDEX(B_VAL,MATCH(AY28,B_LVL,0)),"▲ Up","▼ Down"))</f>
        <v>• Same</v>
      </c>
      <c r="BJ28" s="40" t="str">
        <f>IF(OR($M28="",$M28="—",$M28="Not in this file"),"",IFERROR(INDEX($BG$7:$BG$592,MATCH($M28,$D$7:$D$592,0)),""))</f>
        <v>B1</v>
      </c>
      <c r="BK28" s="40" t="str">
        <f>IFERROR(IF(BJ28="","—",IF(OR(LEFT(BG28,1)="X",LEFT(BJ28,1)="X"),"—",IF(AND(LEFT(BG28,1)="E",LEFT(BJ28,1)="E"),"Exception · Band E",IF(AND(INDEX(B_VAL,MATCH(BJ28,B_LVL,0))&gt;=7,INDEX(B_RANK,MATCH(BG28,B_LVL,0))&gt;=INDEX(B_RANK,MATCH(BJ28,B_LVL,0))),"⚠ Same band as a head manager",IF(INDEX(B_VAL,MATCH(BG28,B_LVL,0))&gt;=INDEX(B_VAL,MATCH(BJ28,B_LVL,0)),"⚠ At or above the manager's level","OK"))))),"—")</f>
        <v>OK</v>
      </c>
      <c r="BL28" s="43" t="n"/>
      <c r="BM28" s="44">
        <f>IFERROR(INDEX(LMH_PTS,MATCH(Y28,LMH_KEY,0)),0)</f>
        <v>9</v>
      </c>
      <c r="BN28" s="38">
        <f>IFERROR(INDEX(LMH_PTS,MATCH(Z28,LMH_KEY,0)),0)</f>
        <v>3</v>
      </c>
      <c r="BO28" s="38">
        <f>IFERROR(INDEX(LMH_PTS,MATCH(AA28,LMH_KEY,0)),0)</f>
        <v>3</v>
      </c>
      <c r="BP28" s="38">
        <f>IFERROR(INDEX(LMH_PTS,MATCH(AB28,LMH_KEY,0)),0)</f>
        <v>1</v>
      </c>
      <c r="BQ28" s="38">
        <f>IFERROR(INDEX(LMH_PTS,MATCH(AC28,LMH_KEY,0)),0)</f>
        <v>1</v>
      </c>
      <c r="BR28" s="38">
        <f>IFERROR(INDEX(LMH_PTS,MATCH(AD28,LMH_KEY,0)),0)</f>
        <v>1</v>
      </c>
      <c r="BS28" s="38">
        <f>IFERROR(INDEX(LMH_PTS,MATCH(AE28,LMH_KEY,0)),0)</f>
        <v>1</v>
      </c>
      <c r="BT28" s="38">
        <f>IFERROR(INDEX(LMH_STEP,MATCH(AF28,LMH_KEY,0)),0)</f>
        <v>0</v>
      </c>
      <c r="BU28" s="38">
        <f>IFERROR(INDEX(LMH_STEP,MATCH(AG28,LMH_KEY,0)),0)</f>
        <v>0</v>
      </c>
      <c r="BV28" s="38">
        <f>IFERROR(INDEX(LMH_STEP,MATCH(AH28,LMH_KEY,0)),0)</f>
        <v>0</v>
      </c>
      <c r="BW28" s="38">
        <f>IFERROR(INDEX(LMH_STEP,MATCH(AI28,LMH_KEY,0)),0)</f>
        <v>0</v>
      </c>
      <c r="BX28" s="38">
        <f>IFERROR(INDEX(LMH_STEP,MATCH(AJ28,LMH_KEY,0)),0)</f>
        <v>0</v>
      </c>
      <c r="BY28" s="38">
        <f>IFERROR(INDEX(LMH_STEP,MATCH(AK28,LMH_KEY,0)),0)</f>
        <v>0</v>
      </c>
      <c r="BZ28" s="38">
        <f>IFERROR(INDEX(LMH_STEP,MATCH(AL28,LMH_KEY,0)),0)</f>
        <v>0</v>
      </c>
      <c r="CA28" s="38" t="inlineStr">
        <is>
          <t>CARBON|Services|Senior Financial Analyst|A3|A</t>
        </is>
      </c>
    </row>
    <row r="29" ht="110" customHeight="1">
      <c r="A29" s="28" t="inlineStr">
        <is>
          <t>CARBON</t>
        </is>
      </c>
      <c r="B29" s="29" t="inlineStr">
        <is>
          <t>Services</t>
        </is>
      </c>
      <c r="C29" s="29" t="n">
        <v>7</v>
      </c>
      <c r="D29" s="29" t="inlineStr">
        <is>
          <t>IRISC240</t>
        </is>
      </c>
      <c r="E29" s="29" t="inlineStr">
        <is>
          <t>Sakina Dholkawala</t>
        </is>
      </c>
      <c r="F29" s="29" t="inlineStr">
        <is>
          <t>Consultant</t>
        </is>
      </c>
      <c r="G29" s="29" t="inlineStr">
        <is>
          <t>Senior Financial Analyst</t>
        </is>
      </c>
      <c r="H29" s="29" t="inlineStr">
        <is>
          <t>Consulting &amp; Professional Services</t>
        </is>
      </c>
      <c r="I29" s="29" t="inlineStr">
        <is>
          <t>XBRL Tagging, Conversion &amp; Filing</t>
        </is>
      </c>
      <c r="J29" s="29" t="inlineStr">
        <is>
          <t>IC</t>
        </is>
      </c>
      <c r="K29" s="29" t="inlineStr">
        <is>
          <t>RC-025</t>
        </is>
      </c>
      <c r="L29" s="29" t="inlineStr">
        <is>
          <t>Jinesh Kumar S</t>
        </is>
      </c>
      <c r="M29" s="29" t="inlineStr">
        <is>
          <t>IRIS0511</t>
        </is>
      </c>
      <c r="N29" s="29" t="n">
        <v>3.8</v>
      </c>
      <c r="O29" s="29" t="n">
        <v>3.8</v>
      </c>
      <c r="P29" s="29" t="inlineStr">
        <is>
          <t>B.Com</t>
        </is>
      </c>
      <c r="Q29" s="29" t="inlineStr">
        <is>
          <t>L3 – Professional / Associate</t>
        </is>
      </c>
      <c r="R29" s="29" t="inlineStr">
        <is>
          <t>A3</t>
        </is>
      </c>
      <c r="S29" s="30" t="inlineStr">
        <is>
          <t>19 of 20</t>
        </is>
      </c>
      <c r="T29" s="31" t="inlineStr">
        <is>
          <t>• Role / sub-team: Xbrl tagging in US Service team.</t>
        </is>
      </c>
      <c r="U29"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29" s="31" t="inlineStr">
        <is>
          <t>Latest rating: 3 · Potential: Medium · 9-box: Core Contributor · Readiness: Develop in role</t>
        </is>
      </c>
      <c r="W29" s="31" t="inlineStr">
        <is>
          <t>C M · Au M · Ac M · L L · BI M · Exp M · 3.8 yrs vs 2–4 yrs · Edu M · B.Com</t>
        </is>
      </c>
      <c r="X29" s="33" t="inlineStr">
        <is>
          <t>Open ▸</t>
        </is>
      </c>
      <c r="Y29" s="34" t="str">
        <f>IFERROR(INDEX(DL_C,MATCH($CA29,DL_KEY,0)),"M")</f>
        <v>H</v>
      </c>
      <c r="Z29" s="35" t="str">
        <f>IFERROR(INDEX(DL_Au,MATCH($CA29,DL_KEY,0)),"M")</f>
        <v>M</v>
      </c>
      <c r="AA29" s="35" t="str">
        <f>IFERROR(INDEX(DL_Ac,MATCH($CA29,DL_KEY,0)),"M")</f>
        <v>M</v>
      </c>
      <c r="AB29" s="35" t="str">
        <f>IFERROR(INDEX(DL_L,MATCH($CA29,DL_KEY,0)),"M")</f>
        <v>L</v>
      </c>
      <c r="AC29" s="35" t="str">
        <f>IFERROR(INDEX(DL_BI,MATCH($CA29,DL_KEY,0)),"M")</f>
        <v>L</v>
      </c>
      <c r="AD29" s="35" t="str">
        <f>IFERROR(INDEX(DL_Exp,MATCH($CA29,DL_KEY,0)),"M")</f>
        <v>L</v>
      </c>
      <c r="AE29" s="35" t="str">
        <f>IFERROR(INDEX(DL_Edu,MATCH($CA29,DL_KEY,0)),"M")</f>
        <v>L</v>
      </c>
      <c r="AF29" s="34" t="inlineStr">
        <is>
          <t>M</t>
        </is>
      </c>
      <c r="AG29" s="35" t="inlineStr">
        <is>
          <t>M</t>
        </is>
      </c>
      <c r="AH29" s="35" t="inlineStr">
        <is>
          <t>M</t>
        </is>
      </c>
      <c r="AI29" s="35" t="inlineStr">
        <is>
          <t>M</t>
        </is>
      </c>
      <c r="AJ29" s="35" t="inlineStr">
        <is>
          <t>M</t>
        </is>
      </c>
      <c r="AK29" s="35" t="inlineStr">
        <is>
          <t>M</t>
        </is>
      </c>
      <c r="AL29" s="35" t="inlineStr">
        <is>
          <t>M</t>
        </is>
      </c>
      <c r="AM29" s="36" t="n">
        <v>0.583</v>
      </c>
      <c r="AN29" s="37" t="n">
        <v>0.16</v>
      </c>
      <c r="AO29" s="37" t="n">
        <v>0.09</v>
      </c>
      <c r="AP29" s="37" t="n">
        <v>0</v>
      </c>
      <c r="AQ29" s="37" t="n">
        <v>0.063</v>
      </c>
      <c r="AR29" s="37" t="n">
        <v>0.06</v>
      </c>
      <c r="AS29" s="37" t="n">
        <v>0.04</v>
      </c>
      <c r="AT29" s="38" t="inlineStr">
        <is>
          <t>2–5</t>
        </is>
      </c>
      <c r="AU29" s="38" t="inlineStr">
        <is>
          <t>Graduate; relevant certification preferred</t>
        </is>
      </c>
      <c r="AV29" s="38" t="inlineStr">
        <is>
          <t>None · guides 1–3 juniors informally</t>
        </is>
      </c>
      <c r="AW29" s="38" t="inlineStr">
        <is>
          <t>P2 · SFIA 3 Apply</t>
        </is>
      </c>
      <c r="AX2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9" s="39" t="inlineStr">
        <is>
          <t>A3</t>
        </is>
      </c>
      <c r="AZ29" s="40" t="inlineStr">
        <is>
          <t>Band A · Practitioner · Senior Associate</t>
        </is>
      </c>
      <c r="BA29" s="40" t="inlineStr">
        <is>
          <t>Model A3 from the six ratings, the market-derived weights and rules R1–R13 · then No change · already below the manager</t>
        </is>
      </c>
      <c r="BB29" s="41" t="inlineStr">
        <is>
          <t>A3</t>
        </is>
      </c>
      <c r="BC29" s="40" t="inlineStr">
        <is>
          <t>The six ratings on the market-average weights of Band A · all tracks score 2.63 → A3 · Hay, Mercer IPE and public plans · experience 3.8 yrs vs the A3 market range 2–5</t>
        </is>
      </c>
      <c r="BD29" s="42">
        <f>IF(SUM(BM29,BN29,BO29,BP29,BQ29,BR29,BS29)=0,0,(BM29*BT29+BN29*BU29+BO29*BV29+BP29*BW29+BQ29*BX29+BR29*BY29+BS29*BZ29)/SUM(BM29,BN29,BO29,BP29,BQ29,BR29,BS29))</f>
        <v>0</v>
      </c>
      <c r="BE29" s="41" t="str">
        <f>IF(LEFT(AY29,1)="X",AY29,IF(OR(AY29="B+",AY29="C+"),INDEX(LAD_PC,MAX(1,MIN(14,MATCH(AY29,LAD_PC,0)+IF(BD29&gt;=0.5,1,IF(BD29&lt;=-0.5,-1,0))))),INDEX(LAD_STD,MAX(1,MIN(12,MATCH(AY29,LAD_STD,0)+IF(BD29&gt;=0.5,1,IF(BD29&lt;=-0.5,-1,0)))))))</f>
        <v>A3</v>
      </c>
      <c r="BF29" s="43" t="n"/>
      <c r="BG29" s="41" t="str">
        <f>IF(BF29&lt;&gt;"",BF29,BE29)</f>
        <v>A3</v>
      </c>
      <c r="BH29" s="40" t="str">
        <f>IFERROR(CHOOSE(INDEX(B_RANK,MATCH(BG29,B_LVL,0)),"Band A","Band B","B+ · Player-Coach","Band C","C+ · Player-Coach","Band D","Band E"),"Band X · Consultant")</f>
        <v>Band A</v>
      </c>
      <c r="BI29" s="40" t="str">
        <f>IF(BG29=AY29,"• Same",IF(INDEX(B_VAL,MATCH(BG29,B_LVL,0))&gt;INDEX(B_VAL,MATCH(AY29,B_LVL,0)),"▲ Up","▼ Down"))</f>
        <v>• Same</v>
      </c>
      <c r="BJ29" s="40" t="str">
        <f>IF(OR($M29="",$M29="—",$M29="Not in this file"),"",IFERROR(INDEX($BG$7:$BG$592,MATCH($M29,$D$7:$D$592,0)),""))</f>
        <v>B1</v>
      </c>
      <c r="BK29" s="40" t="str">
        <f>IFERROR(IF(BJ29="","—",IF(OR(LEFT(BG29,1)="X",LEFT(BJ29,1)="X"),"—",IF(AND(LEFT(BG29,1)="E",LEFT(BJ29,1)="E"),"Exception · Band E",IF(AND(INDEX(B_VAL,MATCH(BJ29,B_LVL,0))&gt;=7,INDEX(B_RANK,MATCH(BG29,B_LVL,0))&gt;=INDEX(B_RANK,MATCH(BJ29,B_LVL,0))),"⚠ Same band as a head manager",IF(INDEX(B_VAL,MATCH(BG29,B_LVL,0))&gt;=INDEX(B_VAL,MATCH(BJ29,B_LVL,0)),"⚠ At or above the manager's level","OK"))))),"—")</f>
        <v>OK</v>
      </c>
      <c r="BL29" s="43" t="n"/>
      <c r="BM29" s="44">
        <f>IFERROR(INDEX(LMH_PTS,MATCH(Y29,LMH_KEY,0)),0)</f>
        <v>9</v>
      </c>
      <c r="BN29" s="38">
        <f>IFERROR(INDEX(LMH_PTS,MATCH(Z29,LMH_KEY,0)),0)</f>
        <v>3</v>
      </c>
      <c r="BO29" s="38">
        <f>IFERROR(INDEX(LMH_PTS,MATCH(AA29,LMH_KEY,0)),0)</f>
        <v>3</v>
      </c>
      <c r="BP29" s="38">
        <f>IFERROR(INDEX(LMH_PTS,MATCH(AB29,LMH_KEY,0)),0)</f>
        <v>1</v>
      </c>
      <c r="BQ29" s="38">
        <f>IFERROR(INDEX(LMH_PTS,MATCH(AC29,LMH_KEY,0)),0)</f>
        <v>1</v>
      </c>
      <c r="BR29" s="38">
        <f>IFERROR(INDEX(LMH_PTS,MATCH(AD29,LMH_KEY,0)),0)</f>
        <v>1</v>
      </c>
      <c r="BS29" s="38">
        <f>IFERROR(INDEX(LMH_PTS,MATCH(AE29,LMH_KEY,0)),0)</f>
        <v>1</v>
      </c>
      <c r="BT29" s="38">
        <f>IFERROR(INDEX(LMH_STEP,MATCH(AF29,LMH_KEY,0)),0)</f>
        <v>0</v>
      </c>
      <c r="BU29" s="38">
        <f>IFERROR(INDEX(LMH_STEP,MATCH(AG29,LMH_KEY,0)),0)</f>
        <v>0</v>
      </c>
      <c r="BV29" s="38">
        <f>IFERROR(INDEX(LMH_STEP,MATCH(AH29,LMH_KEY,0)),0)</f>
        <v>0</v>
      </c>
      <c r="BW29" s="38">
        <f>IFERROR(INDEX(LMH_STEP,MATCH(AI29,LMH_KEY,0)),0)</f>
        <v>0</v>
      </c>
      <c r="BX29" s="38">
        <f>IFERROR(INDEX(LMH_STEP,MATCH(AJ29,LMH_KEY,0)),0)</f>
        <v>0</v>
      </c>
      <c r="BY29" s="38">
        <f>IFERROR(INDEX(LMH_STEP,MATCH(AK29,LMH_KEY,0)),0)</f>
        <v>0</v>
      </c>
      <c r="BZ29" s="38">
        <f>IFERROR(INDEX(LMH_STEP,MATCH(AL29,LMH_KEY,0)),0)</f>
        <v>0</v>
      </c>
      <c r="CA29" s="38" t="inlineStr">
        <is>
          <t>CARBON|Services|Senior Financial Analyst|A3|A</t>
        </is>
      </c>
    </row>
    <row r="30" ht="110" customHeight="1">
      <c r="A30" s="28" t="inlineStr">
        <is>
          <t>CARBON</t>
        </is>
      </c>
      <c r="B30" s="29" t="inlineStr">
        <is>
          <t>Services</t>
        </is>
      </c>
      <c r="C30" s="29" t="n">
        <v>6</v>
      </c>
      <c r="D30" s="29" t="inlineStr">
        <is>
          <t>IRIS0977</t>
        </is>
      </c>
      <c r="E30" s="29" t="inlineStr">
        <is>
          <t>Mohammed Dholkawala</t>
        </is>
      </c>
      <c r="F30" s="29" t="inlineStr">
        <is>
          <t>Lead - Assisted Services</t>
        </is>
      </c>
      <c r="G30" s="29" t="inlineStr">
        <is>
          <t>Manager – Assisted Services</t>
        </is>
      </c>
      <c r="H30" s="29" t="inlineStr">
        <is>
          <t>Consulting &amp; Professional Services</t>
        </is>
      </c>
      <c r="I30" s="29" t="inlineStr">
        <is>
          <t>XBRL Tagging, Conversion &amp; Filing</t>
        </is>
      </c>
      <c r="J30" s="29" t="inlineStr">
        <is>
          <t>People Manager</t>
        </is>
      </c>
      <c r="K30" s="29" t="inlineStr">
        <is>
          <t>RC-028</t>
        </is>
      </c>
      <c r="L30" s="29" t="inlineStr">
        <is>
          <t>Shashikant Mudaliar</t>
        </is>
      </c>
      <c r="M30" s="29" t="inlineStr">
        <is>
          <t>IRIS0786</t>
        </is>
      </c>
      <c r="N30" s="29" t="n">
        <v>15</v>
      </c>
      <c r="O30" s="29" t="n">
        <v>15</v>
      </c>
      <c r="P30" s="29" t="inlineStr">
        <is>
          <t>B.Com</t>
        </is>
      </c>
      <c r="Q30" s="29" t="inlineStr">
        <is>
          <t>L5 – Lead · IC</t>
        </is>
      </c>
      <c r="R30" s="29" t="inlineStr">
        <is>
          <t>B2</t>
        </is>
      </c>
      <c r="S30" s="30" t="inlineStr">
        <is>
          <t>20 of 20</t>
        </is>
      </c>
      <c r="T30" s="31" t="inlineStr">
        <is>
          <t>• Role / sub-team: Services - Disclosure management for US Region.</t>
        </is>
      </c>
      <c r="U30" s="31" t="inlineStr">
        <is>
          <t>Received · manager annual · 1. Ensure files processed by team with &gt;=99% accuracy · zero critical errors.
2. Meet 100% of regulatory / client filing deadlines · no SLA breaches
3. Ensure 0% regulatory rejections across all submitted filings · Excluding issues not highlighted by our validator.
4. Cross-train team on at least 2 filing …</t>
        </is>
      </c>
      <c r="V30" s="31" t="inlineStr">
        <is>
          <t>Latest rating: 4 · Potential: High · 9-box: Emerging Talent · Readiness: Ready now</t>
        </is>
      </c>
      <c r="W30" s="31" t="inlineStr">
        <is>
          <t>C M · Au M · Ac M · L M · BI M · Exp H · 15 yrs vs 4–7 yrs · Edu M · B.Com</t>
        </is>
      </c>
      <c r="X30" s="33" t="inlineStr">
        <is>
          <t>Open ▸</t>
        </is>
      </c>
      <c r="Y30" s="34" t="str">
        <f>IFERROR(INDEX(DL_C,MATCH($CA30,DL_KEY,0)),"M")</f>
        <v>H</v>
      </c>
      <c r="Z30" s="35" t="str">
        <f>IFERROR(INDEX(DL_Au,MATCH($CA30,DL_KEY,0)),"M")</f>
        <v>M</v>
      </c>
      <c r="AA30" s="35" t="str">
        <f>IFERROR(INDEX(DL_Ac,MATCH($CA30,DL_KEY,0)),"M")</f>
        <v>M</v>
      </c>
      <c r="AB30" s="35" t="str">
        <f>IFERROR(INDEX(DL_L,MATCH($CA30,DL_KEY,0)),"M")</f>
        <v>M</v>
      </c>
      <c r="AC30" s="35" t="str">
        <f>IFERROR(INDEX(DL_BI,MATCH($CA30,DL_KEY,0)),"M")</f>
        <v>L</v>
      </c>
      <c r="AD30" s="35" t="str">
        <f>IFERROR(INDEX(DL_Exp,MATCH($CA30,DL_KEY,0)),"M")</f>
        <v>L</v>
      </c>
      <c r="AE30" s="35" t="str">
        <f>IFERROR(INDEX(DL_Edu,MATCH($CA30,DL_KEY,0)),"M")</f>
        <v>L</v>
      </c>
      <c r="AF30" s="34" t="inlineStr">
        <is>
          <t>M</t>
        </is>
      </c>
      <c r="AG30" s="35" t="inlineStr">
        <is>
          <t>M</t>
        </is>
      </c>
      <c r="AH30" s="35" t="inlineStr">
        <is>
          <t>M</t>
        </is>
      </c>
      <c r="AI30" s="35" t="inlineStr">
        <is>
          <t>M</t>
        </is>
      </c>
      <c r="AJ30" s="35" t="inlineStr">
        <is>
          <t>M</t>
        </is>
      </c>
      <c r="AK30" s="35" t="inlineStr">
        <is>
          <t>M</t>
        </is>
      </c>
      <c r="AL30" s="35" t="inlineStr">
        <is>
          <t>M</t>
        </is>
      </c>
      <c r="AM30" s="36" t="n">
        <v>0.37</v>
      </c>
      <c r="AN30" s="37" t="n">
        <v>0.183</v>
      </c>
      <c r="AO30" s="37" t="n">
        <v>0.113</v>
      </c>
      <c r="AP30" s="37" t="n">
        <v>0.15</v>
      </c>
      <c r="AQ30" s="37" t="n">
        <v>0.08699999999999999</v>
      </c>
      <c r="AR30" s="37" t="n">
        <v>0.06</v>
      </c>
      <c r="AS30" s="37" t="n">
        <v>0.04</v>
      </c>
      <c r="AT30" s="38" t="inlineStr">
        <is>
          <t>4–8</t>
        </is>
      </c>
      <c r="AU30" s="38" t="inlineStr">
        <is>
          <t>Graduate + relevant qualification or certification preferred</t>
        </is>
      </c>
      <c r="AV30" s="38" t="inlineStr">
        <is>
          <t>IC: none · Team Lead: 3–5</t>
        </is>
      </c>
      <c r="AW30" s="38" t="inlineStr">
        <is>
          <t>P3 / M2 · SFIA 4 Enable</t>
        </is>
      </c>
      <c r="AX3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0" s="39" t="inlineStr">
        <is>
          <t>B1</t>
        </is>
      </c>
      <c r="AZ30" s="40" t="inlineStr">
        <is>
          <t>Band B · Specialist / Manager · Team Lead / Asst Manager</t>
        </is>
      </c>
      <c r="BA30" s="40" t="inlineStr">
        <is>
          <t>Model B2 from the six ratings, the market-derived weights and rules R1–R13 · then Level rule: manager B2; a reportee sits at least one level below · B2 → B1 · move down · pay and title protected for one cycle</t>
        </is>
      </c>
      <c r="BB30" s="41" t="inlineStr">
        <is>
          <t>B2</t>
        </is>
      </c>
      <c r="BC30" s="40" t="inlineStr">
        <is>
          <t>The six ratings on the market-average weights of Band B · People Manager score 4.53 → B2 · Hay, Mercer IPE and public plans · experience 15 yrs vs the B2 market range 6–10</t>
        </is>
      </c>
      <c r="BD30" s="42">
        <f>IF(SUM(BM30,BN30,BO30,BP30,BQ30,BR30,BS30)=0,0,(BM30*BT30+BN30*BU30+BO30*BV30+BP30*BW30+BQ30*BX30+BR30*BY30+BS30*BZ30)/SUM(BM30,BN30,BO30,BP30,BQ30,BR30,BS30))</f>
        <v>0</v>
      </c>
      <c r="BE30" s="41" t="str">
        <f>IF(LEFT(AY30,1)="X",AY30,IF(OR(AY30="B+",AY30="C+"),INDEX(LAD_PC,MAX(1,MIN(14,MATCH(AY30,LAD_PC,0)+IF(BD30&gt;=0.5,1,IF(BD30&lt;=-0.5,-1,0))))),INDEX(LAD_STD,MAX(1,MIN(12,MATCH(AY30,LAD_STD,0)+IF(BD30&gt;=0.5,1,IF(BD30&lt;=-0.5,-1,0)))))))</f>
        <v>B1</v>
      </c>
      <c r="BF30" s="43" t="n"/>
      <c r="BG30" s="41" t="str">
        <f>IF(BF30&lt;&gt;"",BF30,BE30)</f>
        <v>B1</v>
      </c>
      <c r="BH30" s="40" t="str">
        <f>IFERROR(CHOOSE(INDEX(B_RANK,MATCH(BG30,B_LVL,0)),"Band A","Band B","B+ · Player-Coach","Band C","C+ · Player-Coach","Band D","Band E"),"Band X · Consultant")</f>
        <v>Band B</v>
      </c>
      <c r="BI30" s="40" t="str">
        <f>IF(BG30=AY30,"• Same",IF(INDEX(B_VAL,MATCH(BG30,B_LVL,0))&gt;INDEX(B_VAL,MATCH(AY30,B_LVL,0)),"▲ Up","▼ Down"))</f>
        <v>• Same</v>
      </c>
      <c r="BJ30" s="40" t="str">
        <f>IF(OR($M30="",$M30="—",$M30="Not in this file"),"",IFERROR(INDEX($BG$7:$BG$592,MATCH($M30,$D$7:$D$592,0)),""))</f>
        <v>B2</v>
      </c>
      <c r="BK30" s="40" t="str">
        <f>IFERROR(IF(BJ30="","—",IF(OR(LEFT(BG30,1)="X",LEFT(BJ30,1)="X"),"—",IF(AND(LEFT(BG30,1)="E",LEFT(BJ30,1)="E"),"Exception · Band E",IF(AND(INDEX(B_VAL,MATCH(BJ30,B_LVL,0))&gt;=7,INDEX(B_RANK,MATCH(BG30,B_LVL,0))&gt;=INDEX(B_RANK,MATCH(BJ30,B_LVL,0))),"⚠ Same band as a head manager",IF(INDEX(B_VAL,MATCH(BG30,B_LVL,0))&gt;=INDEX(B_VAL,MATCH(BJ30,B_LVL,0)),"⚠ At or above the manager's level","OK"))))),"—")</f>
        <v>OK</v>
      </c>
      <c r="BL30" s="43" t="n"/>
      <c r="BM30" s="44">
        <f>IFERROR(INDEX(LMH_PTS,MATCH(Y30,LMH_KEY,0)),0)</f>
        <v>9</v>
      </c>
      <c r="BN30" s="38">
        <f>IFERROR(INDEX(LMH_PTS,MATCH(Z30,LMH_KEY,0)),0)</f>
        <v>3</v>
      </c>
      <c r="BO30" s="38">
        <f>IFERROR(INDEX(LMH_PTS,MATCH(AA30,LMH_KEY,0)),0)</f>
        <v>3</v>
      </c>
      <c r="BP30" s="38">
        <f>IFERROR(INDEX(LMH_PTS,MATCH(AB30,LMH_KEY,0)),0)</f>
        <v>3</v>
      </c>
      <c r="BQ30" s="38">
        <f>IFERROR(INDEX(LMH_PTS,MATCH(AC30,LMH_KEY,0)),0)</f>
        <v>1</v>
      </c>
      <c r="BR30" s="38">
        <f>IFERROR(INDEX(LMH_PTS,MATCH(AD30,LMH_KEY,0)),0)</f>
        <v>1</v>
      </c>
      <c r="BS30" s="38">
        <f>IFERROR(INDEX(LMH_PTS,MATCH(AE30,LMH_KEY,0)),0)</f>
        <v>1</v>
      </c>
      <c r="BT30" s="38">
        <f>IFERROR(INDEX(LMH_STEP,MATCH(AF30,LMH_KEY,0)),0)</f>
        <v>0</v>
      </c>
      <c r="BU30" s="38">
        <f>IFERROR(INDEX(LMH_STEP,MATCH(AG30,LMH_KEY,0)),0)</f>
        <v>0</v>
      </c>
      <c r="BV30" s="38">
        <f>IFERROR(INDEX(LMH_STEP,MATCH(AH30,LMH_KEY,0)),0)</f>
        <v>0</v>
      </c>
      <c r="BW30" s="38">
        <f>IFERROR(INDEX(LMH_STEP,MATCH(AI30,LMH_KEY,0)),0)</f>
        <v>0</v>
      </c>
      <c r="BX30" s="38">
        <f>IFERROR(INDEX(LMH_STEP,MATCH(AJ30,LMH_KEY,0)),0)</f>
        <v>0</v>
      </c>
      <c r="BY30" s="38">
        <f>IFERROR(INDEX(LMH_STEP,MATCH(AK30,LMH_KEY,0)),0)</f>
        <v>0</v>
      </c>
      <c r="BZ30" s="38">
        <f>IFERROR(INDEX(LMH_STEP,MATCH(AL30,LMH_KEY,0)),0)</f>
        <v>0</v>
      </c>
      <c r="CA30" s="38" t="inlineStr">
        <is>
          <t>CARBON|Services|Manager – Assisted Services|B1|B-M</t>
        </is>
      </c>
    </row>
    <row r="31" ht="110" customHeight="1">
      <c r="A31" s="28" t="inlineStr">
        <is>
          <t>CARBON</t>
        </is>
      </c>
      <c r="B31" s="29" t="inlineStr">
        <is>
          <t>Services</t>
        </is>
      </c>
      <c r="C31" s="29" t="n">
        <v>7</v>
      </c>
      <c r="D31" s="29" t="inlineStr">
        <is>
          <t>IRIS1950</t>
        </is>
      </c>
      <c r="E31" s="29" t="inlineStr">
        <is>
          <t>Manish Lipcha</t>
        </is>
      </c>
      <c r="F31" s="29" t="inlineStr">
        <is>
          <t>Senior Financial Analyst</t>
        </is>
      </c>
      <c r="G31" s="29" t="inlineStr">
        <is>
          <t>XBRL Specialist</t>
        </is>
      </c>
      <c r="H31" s="29" t="inlineStr">
        <is>
          <t>Consulting &amp; Professional Services</t>
        </is>
      </c>
      <c r="I31" s="29" t="inlineStr">
        <is>
          <t>XBRL Tagging, Conversion &amp; Filing</t>
        </is>
      </c>
      <c r="J31" s="29" t="inlineStr">
        <is>
          <t>IC</t>
        </is>
      </c>
      <c r="K31" s="29" t="inlineStr">
        <is>
          <t>RC-026</t>
        </is>
      </c>
      <c r="L31" s="29" t="inlineStr">
        <is>
          <t>Mohammed Dholkawala</t>
        </is>
      </c>
      <c r="M31" s="29" t="inlineStr">
        <is>
          <t>IRIS0977</t>
        </is>
      </c>
      <c r="N31" s="29" t="n">
        <v>8.300000000000001</v>
      </c>
      <c r="O31" s="29" t="n">
        <v>5</v>
      </c>
      <c r="P31" s="29" t="inlineStr">
        <is>
          <t>MMS</t>
        </is>
      </c>
      <c r="Q31" s="29" t="inlineStr">
        <is>
          <t>L4 – Senior</t>
        </is>
      </c>
      <c r="R31" s="29" t="inlineStr">
        <is>
          <t>B1</t>
        </is>
      </c>
      <c r="S31" s="30" t="inlineStr">
        <is>
          <t>20 of 20</t>
        </is>
      </c>
      <c r="T31" s="31" t="inlineStr">
        <is>
          <t>• Role / sub-team: Shift lead, XBRL tagging, Quality check, Validation, R&amp;D for US team.</t>
        </is>
      </c>
      <c r="U31"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31" s="31" t="inlineStr">
        <is>
          <t>Latest rating: 4 · Potential: High · 9-box: Core Contributor · Readiness: Ready now</t>
        </is>
      </c>
      <c r="W31" s="31" t="inlineStr">
        <is>
          <t>C M · Au M · Ac M · L M · BI M · Exp H · 8.3 yrs vs 2–4 yrs · Edu H · MMS</t>
        </is>
      </c>
      <c r="X31" s="33" t="inlineStr">
        <is>
          <t>Open ▸</t>
        </is>
      </c>
      <c r="Y31" s="34" t="str">
        <f>IFERROR(INDEX(DL_C,MATCH($CA31,DL_KEY,0)),"M")</f>
        <v>H</v>
      </c>
      <c r="Z31" s="35" t="str">
        <f>IFERROR(INDEX(DL_Au,MATCH($CA31,DL_KEY,0)),"M")</f>
        <v>M</v>
      </c>
      <c r="AA31" s="35" t="str">
        <f>IFERROR(INDEX(DL_Ac,MATCH($CA31,DL_KEY,0)),"M")</f>
        <v>M</v>
      </c>
      <c r="AB31" s="35" t="str">
        <f>IFERROR(INDEX(DL_L,MATCH($CA31,DL_KEY,0)),"M")</f>
        <v>L</v>
      </c>
      <c r="AC31" s="35" t="str">
        <f>IFERROR(INDEX(DL_BI,MATCH($CA31,DL_KEY,0)),"M")</f>
        <v>L</v>
      </c>
      <c r="AD31" s="35" t="str">
        <f>IFERROR(INDEX(DL_Exp,MATCH($CA31,DL_KEY,0)),"M")</f>
        <v>L</v>
      </c>
      <c r="AE31" s="35" t="str">
        <f>IFERROR(INDEX(DL_Edu,MATCH($CA31,DL_KEY,0)),"M")</f>
        <v>L</v>
      </c>
      <c r="AF31" s="34" t="inlineStr">
        <is>
          <t>M</t>
        </is>
      </c>
      <c r="AG31" s="35" t="inlineStr">
        <is>
          <t>M</t>
        </is>
      </c>
      <c r="AH31" s="35" t="inlineStr">
        <is>
          <t>M</t>
        </is>
      </c>
      <c r="AI31" s="35" t="inlineStr">
        <is>
          <t>M</t>
        </is>
      </c>
      <c r="AJ31" s="35" t="inlineStr">
        <is>
          <t>M</t>
        </is>
      </c>
      <c r="AK31" s="35" t="inlineStr">
        <is>
          <t>M</t>
        </is>
      </c>
      <c r="AL31" s="35" t="inlineStr">
        <is>
          <t>M</t>
        </is>
      </c>
      <c r="AM31" s="36" t="n">
        <v>0.583</v>
      </c>
      <c r="AN31" s="37" t="n">
        <v>0.16</v>
      </c>
      <c r="AO31" s="37" t="n">
        <v>0.09</v>
      </c>
      <c r="AP31" s="37" t="n">
        <v>0</v>
      </c>
      <c r="AQ31" s="37" t="n">
        <v>0.063</v>
      </c>
      <c r="AR31" s="37" t="n">
        <v>0.06</v>
      </c>
      <c r="AS31" s="37" t="n">
        <v>0.04</v>
      </c>
      <c r="AT31" s="38" t="inlineStr">
        <is>
          <t>2–5</t>
        </is>
      </c>
      <c r="AU31" s="38" t="inlineStr">
        <is>
          <t>Graduate; relevant certification preferred</t>
        </is>
      </c>
      <c r="AV31" s="38" t="inlineStr">
        <is>
          <t>None · guides 1–3 juniors informally</t>
        </is>
      </c>
      <c r="AW31" s="38" t="inlineStr">
        <is>
          <t>P2 · SFIA 3 Apply</t>
        </is>
      </c>
      <c r="AX3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1" s="39" t="inlineStr">
        <is>
          <t>A3</t>
        </is>
      </c>
      <c r="AZ31" s="40" t="inlineStr">
        <is>
          <t>Band A · Practitioner · Senior Associate</t>
        </is>
      </c>
      <c r="BA31" s="40" t="inlineStr">
        <is>
          <t>Model B1 from the six ratings, the market-derived weights and rules R1–R13 · then Level rule: manager B1; a reportee sits at least one level below · B1 → A3 · move down · pay and title protected for one cycle</t>
        </is>
      </c>
      <c r="BB31" s="41" t="inlineStr">
        <is>
          <t>B1</t>
        </is>
      </c>
      <c r="BC31" s="40" t="inlineStr">
        <is>
          <t>The six ratings on the market-average weights of Band A · all tracks score 3.71 → B1 · Hay, Mercer IPE and public plans · experience 8.3 yrs vs the B1 market range 4–8</t>
        </is>
      </c>
      <c r="BD31" s="42">
        <f>IF(SUM(BM31,BN31,BO31,BP31,BQ31,BR31,BS31)=0,0,(BM31*BT31+BN31*BU31+BO31*BV31+BP31*BW31+BQ31*BX31+BR31*BY31+BS31*BZ31)/SUM(BM31,BN31,BO31,BP31,BQ31,BR31,BS31))</f>
        <v>0</v>
      </c>
      <c r="BE31" s="41" t="str">
        <f>IF(LEFT(AY31,1)="X",AY31,IF(OR(AY31="B+",AY31="C+"),INDEX(LAD_PC,MAX(1,MIN(14,MATCH(AY31,LAD_PC,0)+IF(BD31&gt;=0.5,1,IF(BD31&lt;=-0.5,-1,0))))),INDEX(LAD_STD,MAX(1,MIN(12,MATCH(AY31,LAD_STD,0)+IF(BD31&gt;=0.5,1,IF(BD31&lt;=-0.5,-1,0)))))))</f>
        <v>A3</v>
      </c>
      <c r="BF31" s="43" t="n"/>
      <c r="BG31" s="41" t="str">
        <f>IF(BF31&lt;&gt;"",BF31,BE31)</f>
        <v>A3</v>
      </c>
      <c r="BH31" s="40" t="str">
        <f>IFERROR(CHOOSE(INDEX(B_RANK,MATCH(BG31,B_LVL,0)),"Band A","Band B","B+ · Player-Coach","Band C","C+ · Player-Coach","Band D","Band E"),"Band X · Consultant")</f>
        <v>Band A</v>
      </c>
      <c r="BI31" s="40" t="str">
        <f>IF(BG31=AY31,"• Same",IF(INDEX(B_VAL,MATCH(BG31,B_LVL,0))&gt;INDEX(B_VAL,MATCH(AY31,B_LVL,0)),"▲ Up","▼ Down"))</f>
        <v>• Same</v>
      </c>
      <c r="BJ31" s="40" t="str">
        <f>IF(OR($M31="",$M31="—",$M31="Not in this file"),"",IFERROR(INDEX($BG$7:$BG$592,MATCH($M31,$D$7:$D$592,0)),""))</f>
        <v>B1</v>
      </c>
      <c r="BK31" s="40" t="str">
        <f>IFERROR(IF(BJ31="","—",IF(OR(LEFT(BG31,1)="X",LEFT(BJ31,1)="X"),"—",IF(AND(LEFT(BG31,1)="E",LEFT(BJ31,1)="E"),"Exception · Band E",IF(AND(INDEX(B_VAL,MATCH(BJ31,B_LVL,0))&gt;=7,INDEX(B_RANK,MATCH(BG31,B_LVL,0))&gt;=INDEX(B_RANK,MATCH(BJ31,B_LVL,0))),"⚠ Same band as a head manager",IF(INDEX(B_VAL,MATCH(BG31,B_LVL,0))&gt;=INDEX(B_VAL,MATCH(BJ31,B_LVL,0)),"⚠ At or above the manager's level","OK"))))),"—")</f>
        <v>OK</v>
      </c>
      <c r="BL31" s="43" t="n"/>
      <c r="BM31" s="44">
        <f>IFERROR(INDEX(LMH_PTS,MATCH(Y31,LMH_KEY,0)),0)</f>
        <v>9</v>
      </c>
      <c r="BN31" s="38">
        <f>IFERROR(INDEX(LMH_PTS,MATCH(Z31,LMH_KEY,0)),0)</f>
        <v>3</v>
      </c>
      <c r="BO31" s="38">
        <f>IFERROR(INDEX(LMH_PTS,MATCH(AA31,LMH_KEY,0)),0)</f>
        <v>3</v>
      </c>
      <c r="BP31" s="38">
        <f>IFERROR(INDEX(LMH_PTS,MATCH(AB31,LMH_KEY,0)),0)</f>
        <v>1</v>
      </c>
      <c r="BQ31" s="38">
        <f>IFERROR(INDEX(LMH_PTS,MATCH(AC31,LMH_KEY,0)),0)</f>
        <v>1</v>
      </c>
      <c r="BR31" s="38">
        <f>IFERROR(INDEX(LMH_PTS,MATCH(AD31,LMH_KEY,0)),0)</f>
        <v>1</v>
      </c>
      <c r="BS31" s="38">
        <f>IFERROR(INDEX(LMH_PTS,MATCH(AE31,LMH_KEY,0)),0)</f>
        <v>1</v>
      </c>
      <c r="BT31" s="38">
        <f>IFERROR(INDEX(LMH_STEP,MATCH(AF31,LMH_KEY,0)),0)</f>
        <v>0</v>
      </c>
      <c r="BU31" s="38">
        <f>IFERROR(INDEX(LMH_STEP,MATCH(AG31,LMH_KEY,0)),0)</f>
        <v>0</v>
      </c>
      <c r="BV31" s="38">
        <f>IFERROR(INDEX(LMH_STEP,MATCH(AH31,LMH_KEY,0)),0)</f>
        <v>0</v>
      </c>
      <c r="BW31" s="38">
        <f>IFERROR(INDEX(LMH_STEP,MATCH(AI31,LMH_KEY,0)),0)</f>
        <v>0</v>
      </c>
      <c r="BX31" s="38">
        <f>IFERROR(INDEX(LMH_STEP,MATCH(AJ31,LMH_KEY,0)),0)</f>
        <v>0</v>
      </c>
      <c r="BY31" s="38">
        <f>IFERROR(INDEX(LMH_STEP,MATCH(AK31,LMH_KEY,0)),0)</f>
        <v>0</v>
      </c>
      <c r="BZ31" s="38">
        <f>IFERROR(INDEX(LMH_STEP,MATCH(AL31,LMH_KEY,0)),0)</f>
        <v>0</v>
      </c>
      <c r="CA31" s="38" t="inlineStr">
        <is>
          <t>CARBON|Services|XBRL Specialist|A3|A</t>
        </is>
      </c>
    </row>
    <row r="32" ht="110" customHeight="1">
      <c r="A32" s="28" t="inlineStr">
        <is>
          <t>CARBON</t>
        </is>
      </c>
      <c r="B32" s="29" t="inlineStr">
        <is>
          <t>Services</t>
        </is>
      </c>
      <c r="C32" s="29" t="n">
        <v>7</v>
      </c>
      <c r="D32" s="29" t="inlineStr">
        <is>
          <t>IRIS0027</t>
        </is>
      </c>
      <c r="E32" s="29" t="inlineStr">
        <is>
          <t>Haresh Misal</t>
        </is>
      </c>
      <c r="F32" s="29" t="inlineStr">
        <is>
          <t>Senior Financial Analyst</t>
        </is>
      </c>
      <c r="G32" s="29" t="inlineStr">
        <is>
          <t>Senior Financial Analyst</t>
        </is>
      </c>
      <c r="H32" s="29" t="inlineStr">
        <is>
          <t>Consulting &amp; Professional Services</t>
        </is>
      </c>
      <c r="I32" s="29" t="inlineStr">
        <is>
          <t>XBRL Tagging, Conversion &amp; Filing</t>
        </is>
      </c>
      <c r="J32" s="29" t="inlineStr">
        <is>
          <t>IC</t>
        </is>
      </c>
      <c r="K32" s="29" t="inlineStr">
        <is>
          <t>RC-025</t>
        </is>
      </c>
      <c r="L32" s="29" t="inlineStr">
        <is>
          <t>Mohammed Dholkawala</t>
        </is>
      </c>
      <c r="M32" s="29" t="inlineStr">
        <is>
          <t>IRIS0977</t>
        </is>
      </c>
      <c r="N32" s="29" t="n">
        <v>21.2</v>
      </c>
      <c r="O32" s="29" t="n">
        <v>21.2</v>
      </c>
      <c r="P32" s="29" t="inlineStr">
        <is>
          <t>B.Com</t>
        </is>
      </c>
      <c r="Q32" s="29" t="inlineStr">
        <is>
          <t>L4 – Senior</t>
        </is>
      </c>
      <c r="R32" s="29" t="inlineStr">
        <is>
          <t>A3</t>
        </is>
      </c>
      <c r="S32" s="30" t="inlineStr">
        <is>
          <t>20 of 20</t>
        </is>
      </c>
      <c r="T32" s="31" t="inlineStr">
        <is>
          <t>• Role / sub-team: XBRL Tagging - US Service Team.</t>
        </is>
      </c>
      <c r="U32"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32" s="31" t="inlineStr">
        <is>
          <t>Latest rating: 2 · Potential: Low · 9-box: Reliable Specialist · Readiness: Performance first</t>
        </is>
      </c>
      <c r="W32" s="31" t="inlineStr">
        <is>
          <t>C M · Au M · Ac M · L L · BI M · Exp H · 21.2 yrs vs 2–4 yrs · Edu M · B.Com</t>
        </is>
      </c>
      <c r="X32" s="33" t="inlineStr">
        <is>
          <t>Open ▸</t>
        </is>
      </c>
      <c r="Y32" s="34" t="str">
        <f>IFERROR(INDEX(DL_C,MATCH($CA32,DL_KEY,0)),"M")</f>
        <v>H</v>
      </c>
      <c r="Z32" s="35" t="str">
        <f>IFERROR(INDEX(DL_Au,MATCH($CA32,DL_KEY,0)),"M")</f>
        <v>M</v>
      </c>
      <c r="AA32" s="35" t="str">
        <f>IFERROR(INDEX(DL_Ac,MATCH($CA32,DL_KEY,0)),"M")</f>
        <v>M</v>
      </c>
      <c r="AB32" s="35" t="str">
        <f>IFERROR(INDEX(DL_L,MATCH($CA32,DL_KEY,0)),"M")</f>
        <v>L</v>
      </c>
      <c r="AC32" s="35" t="str">
        <f>IFERROR(INDEX(DL_BI,MATCH($CA32,DL_KEY,0)),"M")</f>
        <v>L</v>
      </c>
      <c r="AD32" s="35" t="str">
        <f>IFERROR(INDEX(DL_Exp,MATCH($CA32,DL_KEY,0)),"M")</f>
        <v>L</v>
      </c>
      <c r="AE32" s="35" t="str">
        <f>IFERROR(INDEX(DL_Edu,MATCH($CA32,DL_KEY,0)),"M")</f>
        <v>L</v>
      </c>
      <c r="AF32" s="34" t="inlineStr">
        <is>
          <t>M</t>
        </is>
      </c>
      <c r="AG32" s="35" t="inlineStr">
        <is>
          <t>M</t>
        </is>
      </c>
      <c r="AH32" s="35" t="inlineStr">
        <is>
          <t>M</t>
        </is>
      </c>
      <c r="AI32" s="35" t="inlineStr">
        <is>
          <t>M</t>
        </is>
      </c>
      <c r="AJ32" s="35" t="inlineStr">
        <is>
          <t>M</t>
        </is>
      </c>
      <c r="AK32" s="35" t="inlineStr">
        <is>
          <t>M</t>
        </is>
      </c>
      <c r="AL32" s="35" t="inlineStr">
        <is>
          <t>M</t>
        </is>
      </c>
      <c r="AM32" s="36" t="n">
        <v>0.583</v>
      </c>
      <c r="AN32" s="37" t="n">
        <v>0.16</v>
      </c>
      <c r="AO32" s="37" t="n">
        <v>0.09</v>
      </c>
      <c r="AP32" s="37" t="n">
        <v>0</v>
      </c>
      <c r="AQ32" s="37" t="n">
        <v>0.063</v>
      </c>
      <c r="AR32" s="37" t="n">
        <v>0.06</v>
      </c>
      <c r="AS32" s="37" t="n">
        <v>0.04</v>
      </c>
      <c r="AT32" s="38" t="inlineStr">
        <is>
          <t>2–5</t>
        </is>
      </c>
      <c r="AU32" s="38" t="inlineStr">
        <is>
          <t>Graduate; relevant certification preferred</t>
        </is>
      </c>
      <c r="AV32" s="38" t="inlineStr">
        <is>
          <t>None · guides 1–3 juniors informally</t>
        </is>
      </c>
      <c r="AW32" s="38" t="inlineStr">
        <is>
          <t>P2 · SFIA 3 Apply</t>
        </is>
      </c>
      <c r="AX3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2" s="39" t="inlineStr">
        <is>
          <t>A3</t>
        </is>
      </c>
      <c r="AZ32" s="40" t="inlineStr">
        <is>
          <t>Band A · Practitioner · Senior Associate</t>
        </is>
      </c>
      <c r="BA32" s="40" t="inlineStr">
        <is>
          <t>Model A3 from the six ratings, the market-derived weights and rules R1–R13 · then No change · already below the manager</t>
        </is>
      </c>
      <c r="BB32" s="41" t="inlineStr">
        <is>
          <t>A3</t>
        </is>
      </c>
      <c r="BC32" s="40" t="inlineStr">
        <is>
          <t>The six ratings on the market-average weights of Band A · all tracks score 3.28 → A3 · Hay, Mercer IPE and public plans · experience 21.2 yrs vs the A3 market range 2–5</t>
        </is>
      </c>
      <c r="BD32" s="42">
        <f>IF(SUM(BM32,BN32,BO32,BP32,BQ32,BR32,BS32)=0,0,(BM32*BT32+BN32*BU32+BO32*BV32+BP32*BW32+BQ32*BX32+BR32*BY32+BS32*BZ32)/SUM(BM32,BN32,BO32,BP32,BQ32,BR32,BS32))</f>
        <v>0</v>
      </c>
      <c r="BE32" s="41" t="str">
        <f>IF(LEFT(AY32,1)="X",AY32,IF(OR(AY32="B+",AY32="C+"),INDEX(LAD_PC,MAX(1,MIN(14,MATCH(AY32,LAD_PC,0)+IF(BD32&gt;=0.5,1,IF(BD32&lt;=-0.5,-1,0))))),INDEX(LAD_STD,MAX(1,MIN(12,MATCH(AY32,LAD_STD,0)+IF(BD32&gt;=0.5,1,IF(BD32&lt;=-0.5,-1,0)))))))</f>
        <v>A3</v>
      </c>
      <c r="BF32" s="43" t="n"/>
      <c r="BG32" s="41" t="str">
        <f>IF(BF32&lt;&gt;"",BF32,BE32)</f>
        <v>A3</v>
      </c>
      <c r="BH32" s="40" t="str">
        <f>IFERROR(CHOOSE(INDEX(B_RANK,MATCH(BG32,B_LVL,0)),"Band A","Band B","B+ · Player-Coach","Band C","C+ · Player-Coach","Band D","Band E"),"Band X · Consultant")</f>
        <v>Band A</v>
      </c>
      <c r="BI32" s="40" t="str">
        <f>IF(BG32=AY32,"• Same",IF(INDEX(B_VAL,MATCH(BG32,B_LVL,0))&gt;INDEX(B_VAL,MATCH(AY32,B_LVL,0)),"▲ Up","▼ Down"))</f>
        <v>• Same</v>
      </c>
      <c r="BJ32" s="40" t="str">
        <f>IF(OR($M32="",$M32="—",$M32="Not in this file"),"",IFERROR(INDEX($BG$7:$BG$592,MATCH($M32,$D$7:$D$592,0)),""))</f>
        <v>B1</v>
      </c>
      <c r="BK32" s="40" t="str">
        <f>IFERROR(IF(BJ32="","—",IF(OR(LEFT(BG32,1)="X",LEFT(BJ32,1)="X"),"—",IF(AND(LEFT(BG32,1)="E",LEFT(BJ32,1)="E"),"Exception · Band E",IF(AND(INDEX(B_VAL,MATCH(BJ32,B_LVL,0))&gt;=7,INDEX(B_RANK,MATCH(BG32,B_LVL,0))&gt;=INDEX(B_RANK,MATCH(BJ32,B_LVL,0))),"⚠ Same band as a head manager",IF(INDEX(B_VAL,MATCH(BG32,B_LVL,0))&gt;=INDEX(B_VAL,MATCH(BJ32,B_LVL,0)),"⚠ At or above the manager's level","OK"))))),"—")</f>
        <v>OK</v>
      </c>
      <c r="BL32" s="43" t="n"/>
      <c r="BM32" s="44">
        <f>IFERROR(INDEX(LMH_PTS,MATCH(Y32,LMH_KEY,0)),0)</f>
        <v>9</v>
      </c>
      <c r="BN32" s="38">
        <f>IFERROR(INDEX(LMH_PTS,MATCH(Z32,LMH_KEY,0)),0)</f>
        <v>3</v>
      </c>
      <c r="BO32" s="38">
        <f>IFERROR(INDEX(LMH_PTS,MATCH(AA32,LMH_KEY,0)),0)</f>
        <v>3</v>
      </c>
      <c r="BP32" s="38">
        <f>IFERROR(INDEX(LMH_PTS,MATCH(AB32,LMH_KEY,0)),0)</f>
        <v>1</v>
      </c>
      <c r="BQ32" s="38">
        <f>IFERROR(INDEX(LMH_PTS,MATCH(AC32,LMH_KEY,0)),0)</f>
        <v>1</v>
      </c>
      <c r="BR32" s="38">
        <f>IFERROR(INDEX(LMH_PTS,MATCH(AD32,LMH_KEY,0)),0)</f>
        <v>1</v>
      </c>
      <c r="BS32" s="38">
        <f>IFERROR(INDEX(LMH_PTS,MATCH(AE32,LMH_KEY,0)),0)</f>
        <v>1</v>
      </c>
      <c r="BT32" s="38">
        <f>IFERROR(INDEX(LMH_STEP,MATCH(AF32,LMH_KEY,0)),0)</f>
        <v>0</v>
      </c>
      <c r="BU32" s="38">
        <f>IFERROR(INDEX(LMH_STEP,MATCH(AG32,LMH_KEY,0)),0)</f>
        <v>0</v>
      </c>
      <c r="BV32" s="38">
        <f>IFERROR(INDEX(LMH_STEP,MATCH(AH32,LMH_KEY,0)),0)</f>
        <v>0</v>
      </c>
      <c r="BW32" s="38">
        <f>IFERROR(INDEX(LMH_STEP,MATCH(AI32,LMH_KEY,0)),0)</f>
        <v>0</v>
      </c>
      <c r="BX32" s="38">
        <f>IFERROR(INDEX(LMH_STEP,MATCH(AJ32,LMH_KEY,0)),0)</f>
        <v>0</v>
      </c>
      <c r="BY32" s="38">
        <f>IFERROR(INDEX(LMH_STEP,MATCH(AK32,LMH_KEY,0)),0)</f>
        <v>0</v>
      </c>
      <c r="BZ32" s="38">
        <f>IFERROR(INDEX(LMH_STEP,MATCH(AL32,LMH_KEY,0)),0)</f>
        <v>0</v>
      </c>
      <c r="CA32" s="38" t="inlineStr">
        <is>
          <t>CARBON|Services|Senior Financial Analyst|A3|A</t>
        </is>
      </c>
    </row>
    <row r="33" ht="110" customHeight="1">
      <c r="A33" s="28" t="inlineStr">
        <is>
          <t>CARBON</t>
        </is>
      </c>
      <c r="B33" s="29" t="inlineStr">
        <is>
          <t>Services</t>
        </is>
      </c>
      <c r="C33" s="29" t="n">
        <v>7</v>
      </c>
      <c r="D33" s="29" t="inlineStr">
        <is>
          <t>IRIS2056</t>
        </is>
      </c>
      <c r="E33" s="29" t="inlineStr">
        <is>
          <t>Monica Patel</t>
        </is>
      </c>
      <c r="F33" s="29" t="inlineStr">
        <is>
          <t>Senior Financial Analyst</t>
        </is>
      </c>
      <c r="G33" s="29" t="inlineStr">
        <is>
          <t>Senior Financial Analyst</t>
        </is>
      </c>
      <c r="H33" s="29" t="inlineStr">
        <is>
          <t>Consulting &amp; Professional Services</t>
        </is>
      </c>
      <c r="I33" s="29" t="inlineStr">
        <is>
          <t>XBRL Tagging, Conversion &amp; Filing</t>
        </is>
      </c>
      <c r="J33" s="29" t="inlineStr">
        <is>
          <t>IC</t>
        </is>
      </c>
      <c r="K33" s="29" t="inlineStr">
        <is>
          <t>RC-025</t>
        </is>
      </c>
      <c r="L33" s="29" t="inlineStr">
        <is>
          <t>Mohammed Dholkawala</t>
        </is>
      </c>
      <c r="M33" s="29" t="inlineStr">
        <is>
          <t>IRIS0977</t>
        </is>
      </c>
      <c r="N33" s="29" t="n">
        <v>11.3</v>
      </c>
      <c r="O33" s="29" t="n">
        <v>4.1</v>
      </c>
      <c r="P33" s="29" t="inlineStr">
        <is>
          <t>BMS</t>
        </is>
      </c>
      <c r="Q33" s="29" t="inlineStr">
        <is>
          <t>L4 – Senior</t>
        </is>
      </c>
      <c r="R33" s="29" t="inlineStr">
        <is>
          <t>A3</t>
        </is>
      </c>
      <c r="S33" s="30" t="inlineStr">
        <is>
          <t>20 of 20</t>
        </is>
      </c>
      <c r="T33" s="31" t="inlineStr">
        <is>
          <t>• Role / sub-team: XBRL tagging in Us service team; US XBRL tagging.</t>
        </is>
      </c>
      <c r="U33"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33" s="31" t="inlineStr">
        <is>
          <t>Latest rating: 3 · Potential: High · 9-box: Core Contributor · Readiness: Ready in 6–12 months</t>
        </is>
      </c>
      <c r="W33" s="31" t="inlineStr">
        <is>
          <t>C M · Au M · Ac M · L L · BI M · Exp H · 11.3 yrs vs 2–4 yrs · Edu M · BMS</t>
        </is>
      </c>
      <c r="X33" s="33" t="inlineStr">
        <is>
          <t>Open ▸</t>
        </is>
      </c>
      <c r="Y33" s="34" t="str">
        <f>IFERROR(INDEX(DL_C,MATCH($CA33,DL_KEY,0)),"M")</f>
        <v>H</v>
      </c>
      <c r="Z33" s="35" t="str">
        <f>IFERROR(INDEX(DL_Au,MATCH($CA33,DL_KEY,0)),"M")</f>
        <v>M</v>
      </c>
      <c r="AA33" s="35" t="str">
        <f>IFERROR(INDEX(DL_Ac,MATCH($CA33,DL_KEY,0)),"M")</f>
        <v>M</v>
      </c>
      <c r="AB33" s="35" t="str">
        <f>IFERROR(INDEX(DL_L,MATCH($CA33,DL_KEY,0)),"M")</f>
        <v>L</v>
      </c>
      <c r="AC33" s="35" t="str">
        <f>IFERROR(INDEX(DL_BI,MATCH($CA33,DL_KEY,0)),"M")</f>
        <v>L</v>
      </c>
      <c r="AD33" s="35" t="str">
        <f>IFERROR(INDEX(DL_Exp,MATCH($CA33,DL_KEY,0)),"M")</f>
        <v>L</v>
      </c>
      <c r="AE33" s="35" t="str">
        <f>IFERROR(INDEX(DL_Edu,MATCH($CA33,DL_KEY,0)),"M")</f>
        <v>L</v>
      </c>
      <c r="AF33" s="34" t="inlineStr">
        <is>
          <t>M</t>
        </is>
      </c>
      <c r="AG33" s="35" t="inlineStr">
        <is>
          <t>M</t>
        </is>
      </c>
      <c r="AH33" s="35" t="inlineStr">
        <is>
          <t>M</t>
        </is>
      </c>
      <c r="AI33" s="35" t="inlineStr">
        <is>
          <t>M</t>
        </is>
      </c>
      <c r="AJ33" s="35" t="inlineStr">
        <is>
          <t>M</t>
        </is>
      </c>
      <c r="AK33" s="35" t="inlineStr">
        <is>
          <t>M</t>
        </is>
      </c>
      <c r="AL33" s="35" t="inlineStr">
        <is>
          <t>M</t>
        </is>
      </c>
      <c r="AM33" s="36" t="n">
        <v>0.583</v>
      </c>
      <c r="AN33" s="37" t="n">
        <v>0.16</v>
      </c>
      <c r="AO33" s="37" t="n">
        <v>0.09</v>
      </c>
      <c r="AP33" s="37" t="n">
        <v>0</v>
      </c>
      <c r="AQ33" s="37" t="n">
        <v>0.063</v>
      </c>
      <c r="AR33" s="37" t="n">
        <v>0.06</v>
      </c>
      <c r="AS33" s="37" t="n">
        <v>0.04</v>
      </c>
      <c r="AT33" s="38" t="inlineStr">
        <is>
          <t>2–5</t>
        </is>
      </c>
      <c r="AU33" s="38" t="inlineStr">
        <is>
          <t>Graduate; relevant certification preferred</t>
        </is>
      </c>
      <c r="AV33" s="38" t="inlineStr">
        <is>
          <t>None · guides 1–3 juniors informally</t>
        </is>
      </c>
      <c r="AW33" s="38" t="inlineStr">
        <is>
          <t>P2 · SFIA 3 Apply</t>
        </is>
      </c>
      <c r="AX3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3" s="39" t="inlineStr">
        <is>
          <t>A3</t>
        </is>
      </c>
      <c r="AZ33" s="40" t="inlineStr">
        <is>
          <t>Band A · Practitioner · Senior Associate</t>
        </is>
      </c>
      <c r="BA33" s="40" t="inlineStr">
        <is>
          <t>Model A3 from the six ratings, the market-derived weights and rules R1–R13 · then No change · already below the manager</t>
        </is>
      </c>
      <c r="BB33" s="41" t="inlineStr">
        <is>
          <t>A3</t>
        </is>
      </c>
      <c r="BC33" s="40" t="inlineStr">
        <is>
          <t>The six ratings on the market-average weights of Band A · all tracks score 3.31 → A3 · Hay, Mercer IPE and public plans · experience 11.3 yrs vs the A3 market range 2–5</t>
        </is>
      </c>
      <c r="BD33" s="42">
        <f>IF(SUM(BM33,BN33,BO33,BP33,BQ33,BR33,BS33)=0,0,(BM33*BT33+BN33*BU33+BO33*BV33+BP33*BW33+BQ33*BX33+BR33*BY33+BS33*BZ33)/SUM(BM33,BN33,BO33,BP33,BQ33,BR33,BS33))</f>
        <v>0</v>
      </c>
      <c r="BE33" s="41" t="str">
        <f>IF(LEFT(AY33,1)="X",AY33,IF(OR(AY33="B+",AY33="C+"),INDEX(LAD_PC,MAX(1,MIN(14,MATCH(AY33,LAD_PC,0)+IF(BD33&gt;=0.5,1,IF(BD33&lt;=-0.5,-1,0))))),INDEX(LAD_STD,MAX(1,MIN(12,MATCH(AY33,LAD_STD,0)+IF(BD33&gt;=0.5,1,IF(BD33&lt;=-0.5,-1,0)))))))</f>
        <v>A3</v>
      </c>
      <c r="BF33" s="43" t="n"/>
      <c r="BG33" s="41" t="str">
        <f>IF(BF33&lt;&gt;"",BF33,BE33)</f>
        <v>A3</v>
      </c>
      <c r="BH33" s="40" t="str">
        <f>IFERROR(CHOOSE(INDEX(B_RANK,MATCH(BG33,B_LVL,0)),"Band A","Band B","B+ · Player-Coach","Band C","C+ · Player-Coach","Band D","Band E"),"Band X · Consultant")</f>
        <v>Band A</v>
      </c>
      <c r="BI33" s="40" t="str">
        <f>IF(BG33=AY33,"• Same",IF(INDEX(B_VAL,MATCH(BG33,B_LVL,0))&gt;INDEX(B_VAL,MATCH(AY33,B_LVL,0)),"▲ Up","▼ Down"))</f>
        <v>• Same</v>
      </c>
      <c r="BJ33" s="40" t="str">
        <f>IF(OR($M33="",$M33="—",$M33="Not in this file"),"",IFERROR(INDEX($BG$7:$BG$592,MATCH($M33,$D$7:$D$592,0)),""))</f>
        <v>B1</v>
      </c>
      <c r="BK33" s="40" t="str">
        <f>IFERROR(IF(BJ33="","—",IF(OR(LEFT(BG33,1)="X",LEFT(BJ33,1)="X"),"—",IF(AND(LEFT(BG33,1)="E",LEFT(BJ33,1)="E"),"Exception · Band E",IF(AND(INDEX(B_VAL,MATCH(BJ33,B_LVL,0))&gt;=7,INDEX(B_RANK,MATCH(BG33,B_LVL,0))&gt;=INDEX(B_RANK,MATCH(BJ33,B_LVL,0))),"⚠ Same band as a head manager",IF(INDEX(B_VAL,MATCH(BG33,B_LVL,0))&gt;=INDEX(B_VAL,MATCH(BJ33,B_LVL,0)),"⚠ At or above the manager's level","OK"))))),"—")</f>
        <v>OK</v>
      </c>
      <c r="BL33" s="43" t="n"/>
      <c r="BM33" s="44">
        <f>IFERROR(INDEX(LMH_PTS,MATCH(Y33,LMH_KEY,0)),0)</f>
        <v>9</v>
      </c>
      <c r="BN33" s="38">
        <f>IFERROR(INDEX(LMH_PTS,MATCH(Z33,LMH_KEY,0)),0)</f>
        <v>3</v>
      </c>
      <c r="BO33" s="38">
        <f>IFERROR(INDEX(LMH_PTS,MATCH(AA33,LMH_KEY,0)),0)</f>
        <v>3</v>
      </c>
      <c r="BP33" s="38">
        <f>IFERROR(INDEX(LMH_PTS,MATCH(AB33,LMH_KEY,0)),0)</f>
        <v>1</v>
      </c>
      <c r="BQ33" s="38">
        <f>IFERROR(INDEX(LMH_PTS,MATCH(AC33,LMH_KEY,0)),0)</f>
        <v>1</v>
      </c>
      <c r="BR33" s="38">
        <f>IFERROR(INDEX(LMH_PTS,MATCH(AD33,LMH_KEY,0)),0)</f>
        <v>1</v>
      </c>
      <c r="BS33" s="38">
        <f>IFERROR(INDEX(LMH_PTS,MATCH(AE33,LMH_KEY,0)),0)</f>
        <v>1</v>
      </c>
      <c r="BT33" s="38">
        <f>IFERROR(INDEX(LMH_STEP,MATCH(AF33,LMH_KEY,0)),0)</f>
        <v>0</v>
      </c>
      <c r="BU33" s="38">
        <f>IFERROR(INDEX(LMH_STEP,MATCH(AG33,LMH_KEY,0)),0)</f>
        <v>0</v>
      </c>
      <c r="BV33" s="38">
        <f>IFERROR(INDEX(LMH_STEP,MATCH(AH33,LMH_KEY,0)),0)</f>
        <v>0</v>
      </c>
      <c r="BW33" s="38">
        <f>IFERROR(INDEX(LMH_STEP,MATCH(AI33,LMH_KEY,0)),0)</f>
        <v>0</v>
      </c>
      <c r="BX33" s="38">
        <f>IFERROR(INDEX(LMH_STEP,MATCH(AJ33,LMH_KEY,0)),0)</f>
        <v>0</v>
      </c>
      <c r="BY33" s="38">
        <f>IFERROR(INDEX(LMH_STEP,MATCH(AK33,LMH_KEY,0)),0)</f>
        <v>0</v>
      </c>
      <c r="BZ33" s="38">
        <f>IFERROR(INDEX(LMH_STEP,MATCH(AL33,LMH_KEY,0)),0)</f>
        <v>0</v>
      </c>
      <c r="CA33" s="38" t="inlineStr">
        <is>
          <t>CARBON|Services|Senior Financial Analyst|A3|A</t>
        </is>
      </c>
    </row>
    <row r="34" ht="110" customHeight="1">
      <c r="A34" s="28" t="inlineStr">
        <is>
          <t>CARBON</t>
        </is>
      </c>
      <c r="B34" s="29" t="inlineStr">
        <is>
          <t>Services</t>
        </is>
      </c>
      <c r="C34" s="29" t="n">
        <v>7</v>
      </c>
      <c r="D34" s="29" t="inlineStr">
        <is>
          <t>IRIS2120</t>
        </is>
      </c>
      <c r="E34" s="29" t="inlineStr">
        <is>
          <t>Rohit Sawant</t>
        </is>
      </c>
      <c r="F34" s="29" t="inlineStr">
        <is>
          <t>Financial Analyst</t>
        </is>
      </c>
      <c r="G34" s="29" t="inlineStr">
        <is>
          <t>Senior Financial Analyst</t>
        </is>
      </c>
      <c r="H34" s="29" t="inlineStr">
        <is>
          <t>Consulting &amp; Professional Services</t>
        </is>
      </c>
      <c r="I34" s="29" t="inlineStr">
        <is>
          <t>XBRL Tagging, Conversion &amp; Filing</t>
        </is>
      </c>
      <c r="J34" s="29" t="inlineStr">
        <is>
          <t>IC</t>
        </is>
      </c>
      <c r="K34" s="29" t="inlineStr">
        <is>
          <t>RC-025</t>
        </is>
      </c>
      <c r="L34" s="29" t="inlineStr">
        <is>
          <t>Mohammed Dholkawala</t>
        </is>
      </c>
      <c r="M34" s="29" t="inlineStr">
        <is>
          <t>IRIS0977</t>
        </is>
      </c>
      <c r="N34" s="29" t="n">
        <v>7.4</v>
      </c>
      <c r="O34" s="29" t="n">
        <v>3.4</v>
      </c>
      <c r="P34" s="29" t="inlineStr">
        <is>
          <t>B.Com</t>
        </is>
      </c>
      <c r="Q34" s="29" t="inlineStr">
        <is>
          <t>L3 – Professional / Associate</t>
        </is>
      </c>
      <c r="R34" s="29" t="inlineStr">
        <is>
          <t>A3</t>
        </is>
      </c>
      <c r="S34" s="30" t="inlineStr">
        <is>
          <t>19 of 20</t>
        </is>
      </c>
      <c r="T34" s="31" t="inlineStr">
        <is>
          <t>• Role / sub-team: XBRL tagging in Us service team; US XBRL tagging.</t>
        </is>
      </c>
      <c r="U34"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34" s="31" t="inlineStr">
        <is>
          <t>Latest rating: 2 · Potential: Low · 9-box: Reliable Specialist · Readiness: Performance first</t>
        </is>
      </c>
      <c r="W34" s="31" t="inlineStr">
        <is>
          <t>C L · Au L · Ac L · L L · BI M · Exp H · 7.4 yrs vs 2–4 yrs · Edu M · B.Com</t>
        </is>
      </c>
      <c r="X34" s="33" t="inlineStr">
        <is>
          <t>Open ▸</t>
        </is>
      </c>
      <c r="Y34" s="34" t="str">
        <f>IFERROR(INDEX(DL_C,MATCH($CA34,DL_KEY,0)),"M")</f>
        <v>H</v>
      </c>
      <c r="Z34" s="35" t="str">
        <f>IFERROR(INDEX(DL_Au,MATCH($CA34,DL_KEY,0)),"M")</f>
        <v>M</v>
      </c>
      <c r="AA34" s="35" t="str">
        <f>IFERROR(INDEX(DL_Ac,MATCH($CA34,DL_KEY,0)),"M")</f>
        <v>M</v>
      </c>
      <c r="AB34" s="35" t="str">
        <f>IFERROR(INDEX(DL_L,MATCH($CA34,DL_KEY,0)),"M")</f>
        <v>L</v>
      </c>
      <c r="AC34" s="35" t="str">
        <f>IFERROR(INDEX(DL_BI,MATCH($CA34,DL_KEY,0)),"M")</f>
        <v>L</v>
      </c>
      <c r="AD34" s="35" t="str">
        <f>IFERROR(INDEX(DL_Exp,MATCH($CA34,DL_KEY,0)),"M")</f>
        <v>L</v>
      </c>
      <c r="AE34" s="35" t="str">
        <f>IFERROR(INDEX(DL_Edu,MATCH($CA34,DL_KEY,0)),"M")</f>
        <v>L</v>
      </c>
      <c r="AF34" s="34" t="inlineStr">
        <is>
          <t>M</t>
        </is>
      </c>
      <c r="AG34" s="35" t="inlineStr">
        <is>
          <t>M</t>
        </is>
      </c>
      <c r="AH34" s="35" t="inlineStr">
        <is>
          <t>M</t>
        </is>
      </c>
      <c r="AI34" s="35" t="inlineStr">
        <is>
          <t>M</t>
        </is>
      </c>
      <c r="AJ34" s="35" t="inlineStr">
        <is>
          <t>M</t>
        </is>
      </c>
      <c r="AK34" s="35" t="inlineStr">
        <is>
          <t>M</t>
        </is>
      </c>
      <c r="AL34" s="35" t="inlineStr">
        <is>
          <t>M</t>
        </is>
      </c>
      <c r="AM34" s="36" t="n">
        <v>0.583</v>
      </c>
      <c r="AN34" s="37" t="n">
        <v>0.16</v>
      </c>
      <c r="AO34" s="37" t="n">
        <v>0.09</v>
      </c>
      <c r="AP34" s="37" t="n">
        <v>0</v>
      </c>
      <c r="AQ34" s="37" t="n">
        <v>0.063</v>
      </c>
      <c r="AR34" s="37" t="n">
        <v>0.06</v>
      </c>
      <c r="AS34" s="37" t="n">
        <v>0.04</v>
      </c>
      <c r="AT34" s="38" t="inlineStr">
        <is>
          <t>2–5</t>
        </is>
      </c>
      <c r="AU34" s="38" t="inlineStr">
        <is>
          <t>Graduate; relevant certification preferred</t>
        </is>
      </c>
      <c r="AV34" s="38" t="inlineStr">
        <is>
          <t>None · guides 1–3 juniors informally</t>
        </is>
      </c>
      <c r="AW34" s="38" t="inlineStr">
        <is>
          <t>P2 · SFIA 3 Apply</t>
        </is>
      </c>
      <c r="AX3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4" s="39" t="inlineStr">
        <is>
          <t>A3</t>
        </is>
      </c>
      <c r="AZ34" s="40" t="inlineStr">
        <is>
          <t>Band A · Practitioner · Senior Associate</t>
        </is>
      </c>
      <c r="BA34" s="40" t="inlineStr">
        <is>
          <t>Model A3 from the six ratings, the market-derived weights and rules R1–R13 · then No change · already below the manager</t>
        </is>
      </c>
      <c r="BB34" s="41" t="inlineStr">
        <is>
          <t>A2</t>
        </is>
      </c>
      <c r="BC34" s="40" t="inlineStr">
        <is>
          <t>The six ratings on the market-average weights of Band A · all tracks score 2.33 → A2 · Hay, Mercer IPE and public plans · experience 7.4 yrs vs the A2 market range 0–3</t>
        </is>
      </c>
      <c r="BD34" s="42">
        <f>IF(SUM(BM34,BN34,BO34,BP34,BQ34,BR34,BS34)=0,0,(BM34*BT34+BN34*BU34+BO34*BV34+BP34*BW34+BQ34*BX34+BR34*BY34+BS34*BZ34)/SUM(BM34,BN34,BO34,BP34,BQ34,BR34,BS34))</f>
        <v>0</v>
      </c>
      <c r="BE34" s="41" t="str">
        <f>IF(LEFT(AY34,1)="X",AY34,IF(OR(AY34="B+",AY34="C+"),INDEX(LAD_PC,MAX(1,MIN(14,MATCH(AY34,LAD_PC,0)+IF(BD34&gt;=0.5,1,IF(BD34&lt;=-0.5,-1,0))))),INDEX(LAD_STD,MAX(1,MIN(12,MATCH(AY34,LAD_STD,0)+IF(BD34&gt;=0.5,1,IF(BD34&lt;=-0.5,-1,0)))))))</f>
        <v>A3</v>
      </c>
      <c r="BF34" s="43" t="n"/>
      <c r="BG34" s="41" t="str">
        <f>IF(BF34&lt;&gt;"",BF34,BE34)</f>
        <v>A3</v>
      </c>
      <c r="BH34" s="40" t="str">
        <f>IFERROR(CHOOSE(INDEX(B_RANK,MATCH(BG34,B_LVL,0)),"Band A","Band B","B+ · Player-Coach","Band C","C+ · Player-Coach","Band D","Band E"),"Band X · Consultant")</f>
        <v>Band A</v>
      </c>
      <c r="BI34" s="40" t="str">
        <f>IF(BG34=AY34,"• Same",IF(INDEX(B_VAL,MATCH(BG34,B_LVL,0))&gt;INDEX(B_VAL,MATCH(AY34,B_LVL,0)),"▲ Up","▼ Down"))</f>
        <v>• Same</v>
      </c>
      <c r="BJ34" s="40" t="str">
        <f>IF(OR($M34="",$M34="—",$M34="Not in this file"),"",IFERROR(INDEX($BG$7:$BG$592,MATCH($M34,$D$7:$D$592,0)),""))</f>
        <v>B1</v>
      </c>
      <c r="BK34" s="40" t="str">
        <f>IFERROR(IF(BJ34="","—",IF(OR(LEFT(BG34,1)="X",LEFT(BJ34,1)="X"),"—",IF(AND(LEFT(BG34,1)="E",LEFT(BJ34,1)="E"),"Exception · Band E",IF(AND(INDEX(B_VAL,MATCH(BJ34,B_LVL,0))&gt;=7,INDEX(B_RANK,MATCH(BG34,B_LVL,0))&gt;=INDEX(B_RANK,MATCH(BJ34,B_LVL,0))),"⚠ Same band as a head manager",IF(INDEX(B_VAL,MATCH(BG34,B_LVL,0))&gt;=INDEX(B_VAL,MATCH(BJ34,B_LVL,0)),"⚠ At or above the manager's level","OK"))))),"—")</f>
        <v>OK</v>
      </c>
      <c r="BL34" s="43" t="n"/>
      <c r="BM34" s="44">
        <f>IFERROR(INDEX(LMH_PTS,MATCH(Y34,LMH_KEY,0)),0)</f>
        <v>9</v>
      </c>
      <c r="BN34" s="38">
        <f>IFERROR(INDEX(LMH_PTS,MATCH(Z34,LMH_KEY,0)),0)</f>
        <v>3</v>
      </c>
      <c r="BO34" s="38">
        <f>IFERROR(INDEX(LMH_PTS,MATCH(AA34,LMH_KEY,0)),0)</f>
        <v>3</v>
      </c>
      <c r="BP34" s="38">
        <f>IFERROR(INDEX(LMH_PTS,MATCH(AB34,LMH_KEY,0)),0)</f>
        <v>1</v>
      </c>
      <c r="BQ34" s="38">
        <f>IFERROR(INDEX(LMH_PTS,MATCH(AC34,LMH_KEY,0)),0)</f>
        <v>1</v>
      </c>
      <c r="BR34" s="38">
        <f>IFERROR(INDEX(LMH_PTS,MATCH(AD34,LMH_KEY,0)),0)</f>
        <v>1</v>
      </c>
      <c r="BS34" s="38">
        <f>IFERROR(INDEX(LMH_PTS,MATCH(AE34,LMH_KEY,0)),0)</f>
        <v>1</v>
      </c>
      <c r="BT34" s="38">
        <f>IFERROR(INDEX(LMH_STEP,MATCH(AF34,LMH_KEY,0)),0)</f>
        <v>0</v>
      </c>
      <c r="BU34" s="38">
        <f>IFERROR(INDEX(LMH_STEP,MATCH(AG34,LMH_KEY,0)),0)</f>
        <v>0</v>
      </c>
      <c r="BV34" s="38">
        <f>IFERROR(INDEX(LMH_STEP,MATCH(AH34,LMH_KEY,0)),0)</f>
        <v>0</v>
      </c>
      <c r="BW34" s="38">
        <f>IFERROR(INDEX(LMH_STEP,MATCH(AI34,LMH_KEY,0)),0)</f>
        <v>0</v>
      </c>
      <c r="BX34" s="38">
        <f>IFERROR(INDEX(LMH_STEP,MATCH(AJ34,LMH_KEY,0)),0)</f>
        <v>0</v>
      </c>
      <c r="BY34" s="38">
        <f>IFERROR(INDEX(LMH_STEP,MATCH(AK34,LMH_KEY,0)),0)</f>
        <v>0</v>
      </c>
      <c r="BZ34" s="38">
        <f>IFERROR(INDEX(LMH_STEP,MATCH(AL34,LMH_KEY,0)),0)</f>
        <v>0</v>
      </c>
      <c r="CA34" s="38" t="inlineStr">
        <is>
          <t>CARBON|Services|Senior Financial Analyst|A3|A</t>
        </is>
      </c>
    </row>
    <row r="35" ht="110" customHeight="1">
      <c r="A35" s="28" t="inlineStr">
        <is>
          <t>CARBON</t>
        </is>
      </c>
      <c r="B35" s="29" t="inlineStr">
        <is>
          <t>Services</t>
        </is>
      </c>
      <c r="C35" s="29" t="n">
        <v>7</v>
      </c>
      <c r="D35" s="29" t="inlineStr">
        <is>
          <t>IRIS1934</t>
        </is>
      </c>
      <c r="E35" s="29" t="inlineStr">
        <is>
          <t>Sagar Barbade</t>
        </is>
      </c>
      <c r="F35" s="29" t="inlineStr">
        <is>
          <t>Senior Financial Analyst</t>
        </is>
      </c>
      <c r="G35" s="29" t="inlineStr">
        <is>
          <t>XBRL Specialist</t>
        </is>
      </c>
      <c r="H35" s="29" t="inlineStr">
        <is>
          <t>Consulting &amp; Professional Services</t>
        </is>
      </c>
      <c r="I35" s="29" t="inlineStr">
        <is>
          <t>XBRL Tagging, Conversion &amp; Filing</t>
        </is>
      </c>
      <c r="J35" s="29" t="inlineStr">
        <is>
          <t>IC</t>
        </is>
      </c>
      <c r="K35" s="29" t="inlineStr">
        <is>
          <t>RC-025</t>
        </is>
      </c>
      <c r="L35" s="29" t="inlineStr">
        <is>
          <t>Mohammed Dholkawala</t>
        </is>
      </c>
      <c r="M35" s="29" t="inlineStr">
        <is>
          <t>IRIS0977</t>
        </is>
      </c>
      <c r="N35" s="29" t="n">
        <v>9.199999999999999</v>
      </c>
      <c r="O35" s="29" t="n">
        <v>5.2</v>
      </c>
      <c r="P35" s="29" t="inlineStr">
        <is>
          <t>MBA</t>
        </is>
      </c>
      <c r="Q35" s="29" t="inlineStr">
        <is>
          <t>L4 – Senior</t>
        </is>
      </c>
      <c r="R35" s="29" t="inlineStr">
        <is>
          <t>A3</t>
        </is>
      </c>
      <c r="S35" s="30" t="inlineStr">
        <is>
          <t>20 of 20</t>
        </is>
      </c>
      <c r="T35" s="31" t="inlineStr">
        <is>
          <t>• Role / sub-team: XBRL tagging in Us service team; US XBRL tagging.</t>
        </is>
      </c>
      <c r="U35"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35" s="31" t="inlineStr">
        <is>
          <t>Latest rating: 4 · Potential: High · 9-box: Core Contributor · Readiness: Ready now</t>
        </is>
      </c>
      <c r="W35" s="31" t="inlineStr">
        <is>
          <t>C M · Au M · Ac M · L M · BI M · Exp H · 9.2 yrs vs 2–4 yrs · Edu H · MBA</t>
        </is>
      </c>
      <c r="X35" s="33" t="inlineStr">
        <is>
          <t>Open ▸</t>
        </is>
      </c>
      <c r="Y35" s="34" t="str">
        <f>IFERROR(INDEX(DL_C,MATCH($CA35,DL_KEY,0)),"M")</f>
        <v>H</v>
      </c>
      <c r="Z35" s="35" t="str">
        <f>IFERROR(INDEX(DL_Au,MATCH($CA35,DL_KEY,0)),"M")</f>
        <v>M</v>
      </c>
      <c r="AA35" s="35" t="str">
        <f>IFERROR(INDEX(DL_Ac,MATCH($CA35,DL_KEY,0)),"M")</f>
        <v>M</v>
      </c>
      <c r="AB35" s="35" t="str">
        <f>IFERROR(INDEX(DL_L,MATCH($CA35,DL_KEY,0)),"M")</f>
        <v>L</v>
      </c>
      <c r="AC35" s="35" t="str">
        <f>IFERROR(INDEX(DL_BI,MATCH($CA35,DL_KEY,0)),"M")</f>
        <v>L</v>
      </c>
      <c r="AD35" s="35" t="str">
        <f>IFERROR(INDEX(DL_Exp,MATCH($CA35,DL_KEY,0)),"M")</f>
        <v>L</v>
      </c>
      <c r="AE35" s="35" t="str">
        <f>IFERROR(INDEX(DL_Edu,MATCH($CA35,DL_KEY,0)),"M")</f>
        <v>L</v>
      </c>
      <c r="AF35" s="34" t="inlineStr">
        <is>
          <t>M</t>
        </is>
      </c>
      <c r="AG35" s="35" t="inlineStr">
        <is>
          <t>M</t>
        </is>
      </c>
      <c r="AH35" s="35" t="inlineStr">
        <is>
          <t>M</t>
        </is>
      </c>
      <c r="AI35" s="35" t="inlineStr">
        <is>
          <t>M</t>
        </is>
      </c>
      <c r="AJ35" s="35" t="inlineStr">
        <is>
          <t>M</t>
        </is>
      </c>
      <c r="AK35" s="35" t="inlineStr">
        <is>
          <t>M</t>
        </is>
      </c>
      <c r="AL35" s="35" t="inlineStr">
        <is>
          <t>M</t>
        </is>
      </c>
      <c r="AM35" s="36" t="n">
        <v>0.583</v>
      </c>
      <c r="AN35" s="37" t="n">
        <v>0.16</v>
      </c>
      <c r="AO35" s="37" t="n">
        <v>0.09</v>
      </c>
      <c r="AP35" s="37" t="n">
        <v>0</v>
      </c>
      <c r="AQ35" s="37" t="n">
        <v>0.063</v>
      </c>
      <c r="AR35" s="37" t="n">
        <v>0.06</v>
      </c>
      <c r="AS35" s="37" t="n">
        <v>0.04</v>
      </c>
      <c r="AT35" s="38" t="inlineStr">
        <is>
          <t>2–5</t>
        </is>
      </c>
      <c r="AU35" s="38" t="inlineStr">
        <is>
          <t>Graduate; relevant certification preferred</t>
        </is>
      </c>
      <c r="AV35" s="38" t="inlineStr">
        <is>
          <t>None · guides 1–3 juniors informally</t>
        </is>
      </c>
      <c r="AW35" s="38" t="inlineStr">
        <is>
          <t>P2 · SFIA 3 Apply</t>
        </is>
      </c>
      <c r="AX3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5" s="39" t="inlineStr">
        <is>
          <t>A3</t>
        </is>
      </c>
      <c r="AZ35" s="40" t="inlineStr">
        <is>
          <t>Band A · Practitioner · Senior Associate</t>
        </is>
      </c>
      <c r="BA35" s="40" t="inlineStr">
        <is>
          <t>Model A3 from the six ratings, the market-derived weights and rules R1–R13 · then No change · already below the manager</t>
        </is>
      </c>
      <c r="BB35" s="41" t="inlineStr">
        <is>
          <t>A3</t>
        </is>
      </c>
      <c r="BC35" s="40" t="inlineStr">
        <is>
          <t>The six ratings on the market-average weights of Band A · all tracks score 3.41 → A3 · Hay, Mercer IPE and public plans · experience 9.2 yrs vs the A3 market range 2–5</t>
        </is>
      </c>
      <c r="BD35" s="42">
        <f>IF(SUM(BM35,BN35,BO35,BP35,BQ35,BR35,BS35)=0,0,(BM35*BT35+BN35*BU35+BO35*BV35+BP35*BW35+BQ35*BX35+BR35*BY35+BS35*BZ35)/SUM(BM35,BN35,BO35,BP35,BQ35,BR35,BS35))</f>
        <v>0</v>
      </c>
      <c r="BE35" s="41" t="str">
        <f>IF(LEFT(AY35,1)="X",AY35,IF(OR(AY35="B+",AY35="C+"),INDEX(LAD_PC,MAX(1,MIN(14,MATCH(AY35,LAD_PC,0)+IF(BD35&gt;=0.5,1,IF(BD35&lt;=-0.5,-1,0))))),INDEX(LAD_STD,MAX(1,MIN(12,MATCH(AY35,LAD_STD,0)+IF(BD35&gt;=0.5,1,IF(BD35&lt;=-0.5,-1,0)))))))</f>
        <v>A3</v>
      </c>
      <c r="BF35" s="43" t="n"/>
      <c r="BG35" s="41" t="str">
        <f>IF(BF35&lt;&gt;"",BF35,BE35)</f>
        <v>A3</v>
      </c>
      <c r="BH35" s="40" t="str">
        <f>IFERROR(CHOOSE(INDEX(B_RANK,MATCH(BG35,B_LVL,0)),"Band A","Band B","B+ · Player-Coach","Band C","C+ · Player-Coach","Band D","Band E"),"Band X · Consultant")</f>
        <v>Band A</v>
      </c>
      <c r="BI35" s="40" t="str">
        <f>IF(BG35=AY35,"• Same",IF(INDEX(B_VAL,MATCH(BG35,B_LVL,0))&gt;INDEX(B_VAL,MATCH(AY35,B_LVL,0)),"▲ Up","▼ Down"))</f>
        <v>• Same</v>
      </c>
      <c r="BJ35" s="40" t="str">
        <f>IF(OR($M35="",$M35="—",$M35="Not in this file"),"",IFERROR(INDEX($BG$7:$BG$592,MATCH($M35,$D$7:$D$592,0)),""))</f>
        <v>B1</v>
      </c>
      <c r="BK35" s="40" t="str">
        <f>IFERROR(IF(BJ35="","—",IF(OR(LEFT(BG35,1)="X",LEFT(BJ35,1)="X"),"—",IF(AND(LEFT(BG35,1)="E",LEFT(BJ35,1)="E"),"Exception · Band E",IF(AND(INDEX(B_VAL,MATCH(BJ35,B_LVL,0))&gt;=7,INDEX(B_RANK,MATCH(BG35,B_LVL,0))&gt;=INDEX(B_RANK,MATCH(BJ35,B_LVL,0))),"⚠ Same band as a head manager",IF(INDEX(B_VAL,MATCH(BG35,B_LVL,0))&gt;=INDEX(B_VAL,MATCH(BJ35,B_LVL,0)),"⚠ At or above the manager's level","OK"))))),"—")</f>
        <v>OK</v>
      </c>
      <c r="BL35" s="43" t="n"/>
      <c r="BM35" s="44">
        <f>IFERROR(INDEX(LMH_PTS,MATCH(Y35,LMH_KEY,0)),0)</f>
        <v>9</v>
      </c>
      <c r="BN35" s="38">
        <f>IFERROR(INDEX(LMH_PTS,MATCH(Z35,LMH_KEY,0)),0)</f>
        <v>3</v>
      </c>
      <c r="BO35" s="38">
        <f>IFERROR(INDEX(LMH_PTS,MATCH(AA35,LMH_KEY,0)),0)</f>
        <v>3</v>
      </c>
      <c r="BP35" s="38">
        <f>IFERROR(INDEX(LMH_PTS,MATCH(AB35,LMH_KEY,0)),0)</f>
        <v>1</v>
      </c>
      <c r="BQ35" s="38">
        <f>IFERROR(INDEX(LMH_PTS,MATCH(AC35,LMH_KEY,0)),0)</f>
        <v>1</v>
      </c>
      <c r="BR35" s="38">
        <f>IFERROR(INDEX(LMH_PTS,MATCH(AD35,LMH_KEY,0)),0)</f>
        <v>1</v>
      </c>
      <c r="BS35" s="38">
        <f>IFERROR(INDEX(LMH_PTS,MATCH(AE35,LMH_KEY,0)),0)</f>
        <v>1</v>
      </c>
      <c r="BT35" s="38">
        <f>IFERROR(INDEX(LMH_STEP,MATCH(AF35,LMH_KEY,0)),0)</f>
        <v>0</v>
      </c>
      <c r="BU35" s="38">
        <f>IFERROR(INDEX(LMH_STEP,MATCH(AG35,LMH_KEY,0)),0)</f>
        <v>0</v>
      </c>
      <c r="BV35" s="38">
        <f>IFERROR(INDEX(LMH_STEP,MATCH(AH35,LMH_KEY,0)),0)</f>
        <v>0</v>
      </c>
      <c r="BW35" s="38">
        <f>IFERROR(INDEX(LMH_STEP,MATCH(AI35,LMH_KEY,0)),0)</f>
        <v>0</v>
      </c>
      <c r="BX35" s="38">
        <f>IFERROR(INDEX(LMH_STEP,MATCH(AJ35,LMH_KEY,0)),0)</f>
        <v>0</v>
      </c>
      <c r="BY35" s="38">
        <f>IFERROR(INDEX(LMH_STEP,MATCH(AK35,LMH_KEY,0)),0)</f>
        <v>0</v>
      </c>
      <c r="BZ35" s="38">
        <f>IFERROR(INDEX(LMH_STEP,MATCH(AL35,LMH_KEY,0)),0)</f>
        <v>0</v>
      </c>
      <c r="CA35" s="38" t="inlineStr">
        <is>
          <t>CARBON|Services|XBRL Specialist|A3|A</t>
        </is>
      </c>
    </row>
    <row r="36" ht="110" customHeight="1">
      <c r="A36" s="28" t="inlineStr">
        <is>
          <t>CARBON</t>
        </is>
      </c>
      <c r="B36" s="29" t="inlineStr">
        <is>
          <t>Services</t>
        </is>
      </c>
      <c r="C36" s="29" t="n">
        <v>6</v>
      </c>
      <c r="D36" s="29" t="inlineStr">
        <is>
          <t>IRIS0589</t>
        </is>
      </c>
      <c r="E36" s="29" t="inlineStr">
        <is>
          <t>Mohammed Sameer Shamsudin</t>
        </is>
      </c>
      <c r="F36" s="29" t="inlineStr">
        <is>
          <t>Lead - Assisted Services</t>
        </is>
      </c>
      <c r="G36" s="29" t="inlineStr">
        <is>
          <t>Senior QA Specialist – POD Lead</t>
        </is>
      </c>
      <c r="H36" s="29" t="inlineStr">
        <is>
          <t>Quality Assurance</t>
        </is>
      </c>
      <c r="I36" s="29" t="inlineStr">
        <is>
          <t>Functional &amp; Domain Testing</t>
        </is>
      </c>
      <c r="J36" s="29" t="inlineStr">
        <is>
          <t>POD Lead</t>
        </is>
      </c>
      <c r="K36" s="29" t="inlineStr">
        <is>
          <t>RC-144</t>
        </is>
      </c>
      <c r="L36" s="29" t="inlineStr">
        <is>
          <t>Shashikant Mudaliar</t>
        </is>
      </c>
      <c r="M36" s="29" t="inlineStr">
        <is>
          <t>IRIS0786</t>
        </is>
      </c>
      <c r="N36" s="29" t="n">
        <v>15.5</v>
      </c>
      <c r="O36" s="29" t="n">
        <v>15.5</v>
      </c>
      <c r="P36" s="29" t="inlineStr">
        <is>
          <t>B.Com</t>
        </is>
      </c>
      <c r="Q36" s="29" t="inlineStr">
        <is>
          <t>L5 – Lead · IC</t>
        </is>
      </c>
      <c r="R36" s="29" t="inlineStr">
        <is>
          <t>B2</t>
        </is>
      </c>
      <c r="S36" s="30" t="inlineStr">
        <is>
          <t>20 of 20</t>
        </is>
      </c>
      <c r="T36" s="31" t="inlineStr">
        <is>
          <t>• Role / sub-team: AI Testing.</t>
        </is>
      </c>
      <c r="U36" s="31" t="inlineStr">
        <is>
          <t>Received · manager annual · 1. Ensure files processed by team with &gt;=99% accuracy · zero critical errors.
2. Meet 100% of regulatory / client filing deadlines · no SLA breaches
3. Ensure 0% regulatory rejections across all submitted filings · Excluding issues not highlighted by our validator.
4. Cross-train team on at least 2 filing …</t>
        </is>
      </c>
      <c r="V36" s="31" t="inlineStr">
        <is>
          <t>Latest rating: 3 · Potential: Medium · 9-box: Core Contributor · Readiness: Develop in role</t>
        </is>
      </c>
      <c r="W36" s="31" t="inlineStr">
        <is>
          <t>C M · Au M · Ac M · L M · BI M · Exp H · 15.5 yrs vs 4–7 yrs · Edu M · B.Com</t>
        </is>
      </c>
      <c r="X36" s="33" t="inlineStr">
        <is>
          <t>Open ▸</t>
        </is>
      </c>
      <c r="Y36" s="34" t="str">
        <f>IFERROR(INDEX(DL_C,MATCH($CA36,DL_KEY,0)),"M")</f>
        <v>H</v>
      </c>
      <c r="Z36" s="35" t="str">
        <f>IFERROR(INDEX(DL_Au,MATCH($CA36,DL_KEY,0)),"M")</f>
        <v>M</v>
      </c>
      <c r="AA36" s="35" t="str">
        <f>IFERROR(INDEX(DL_Ac,MATCH($CA36,DL_KEY,0)),"M")</f>
        <v>L</v>
      </c>
      <c r="AB36" s="35" t="str">
        <f>IFERROR(INDEX(DL_L,MATCH($CA36,DL_KEY,0)),"M")</f>
        <v>L</v>
      </c>
      <c r="AC36" s="35" t="str">
        <f>IFERROR(INDEX(DL_BI,MATCH($CA36,DL_KEY,0)),"M")</f>
        <v>L</v>
      </c>
      <c r="AD36" s="35" t="str">
        <f>IFERROR(INDEX(DL_Exp,MATCH($CA36,DL_KEY,0)),"M")</f>
        <v>L</v>
      </c>
      <c r="AE36" s="35" t="str">
        <f>IFERROR(INDEX(DL_Edu,MATCH($CA36,DL_KEY,0)),"M")</f>
        <v>L</v>
      </c>
      <c r="AF36" s="34" t="inlineStr">
        <is>
          <t>M</t>
        </is>
      </c>
      <c r="AG36" s="35" t="inlineStr">
        <is>
          <t>M</t>
        </is>
      </c>
      <c r="AH36" s="35" t="inlineStr">
        <is>
          <t>M</t>
        </is>
      </c>
      <c r="AI36" s="35" t="inlineStr">
        <is>
          <t>M</t>
        </is>
      </c>
      <c r="AJ36" s="35" t="inlineStr">
        <is>
          <t>M</t>
        </is>
      </c>
      <c r="AK36" s="35" t="inlineStr">
        <is>
          <t>M</t>
        </is>
      </c>
      <c r="AL36" s="35" t="inlineStr">
        <is>
          <t>M</t>
        </is>
      </c>
      <c r="AM36" s="36" t="n">
        <v>0.513</v>
      </c>
      <c r="AN36" s="37" t="n">
        <v>0.173</v>
      </c>
      <c r="AO36" s="37" t="n">
        <v>0.09699999999999999</v>
      </c>
      <c r="AP36" s="37" t="n">
        <v>0.05</v>
      </c>
      <c r="AQ36" s="37" t="n">
        <v>0.07000000000000001</v>
      </c>
      <c r="AR36" s="37" t="n">
        <v>0.06</v>
      </c>
      <c r="AS36" s="37" t="n">
        <v>0.04</v>
      </c>
      <c r="AT36" s="38" t="inlineStr">
        <is>
          <t>4–8</t>
        </is>
      </c>
      <c r="AU36" s="38" t="inlineStr">
        <is>
          <t>Graduate + relevant qualification or certification preferred</t>
        </is>
      </c>
      <c r="AV36" s="38" t="inlineStr">
        <is>
          <t>IC: none · Team Lead: 3–5</t>
        </is>
      </c>
      <c r="AW36" s="38" t="inlineStr">
        <is>
          <t>P3 / M2 · SFIA 4 Enable</t>
        </is>
      </c>
      <c r="AX3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6" s="39" t="inlineStr">
        <is>
          <t>B1</t>
        </is>
      </c>
      <c r="AZ36" s="40" t="inlineStr">
        <is>
          <t>Band B · Specialist / Manager · Team Lead / Asst Manager</t>
        </is>
      </c>
      <c r="BA36" s="40" t="inlineStr">
        <is>
          <t>Model B2 from the six ratings, the market-derived weights and rules R1–R13 · then Level rule: manager B2; a reportee sits at least one level below · B2 → B1 · move down · pay and title protected for one cycle</t>
        </is>
      </c>
      <c r="BB36" s="41" t="inlineStr">
        <is>
          <t>B2</t>
        </is>
      </c>
      <c r="BC36" s="40" t="inlineStr">
        <is>
          <t>The six ratings on the market-average weights of Band B · Specialist / POD Lead score 4.57 → B2 · Hay, Mercer IPE and public plans · experience 15.5 yrs vs the B2 market range 6–10</t>
        </is>
      </c>
      <c r="BD36" s="42">
        <f>IF(SUM(BM36,BN36,BO36,BP36,BQ36,BR36,BS36)=0,0,(BM36*BT36+BN36*BU36+BO36*BV36+BP36*BW36+BQ36*BX36+BR36*BY36+BS36*BZ36)/SUM(BM36,BN36,BO36,BP36,BQ36,BR36,BS36))</f>
        <v>0</v>
      </c>
      <c r="BE36" s="41" t="str">
        <f>IF(LEFT(AY36,1)="X",AY36,IF(OR(AY36="B+",AY36="C+"),INDEX(LAD_PC,MAX(1,MIN(14,MATCH(AY36,LAD_PC,0)+IF(BD36&gt;=0.5,1,IF(BD36&lt;=-0.5,-1,0))))),INDEX(LAD_STD,MAX(1,MIN(12,MATCH(AY36,LAD_STD,0)+IF(BD36&gt;=0.5,1,IF(BD36&lt;=-0.5,-1,0)))))))</f>
        <v>B1</v>
      </c>
      <c r="BF36" s="43" t="n"/>
      <c r="BG36" s="41" t="str">
        <f>IF(BF36&lt;&gt;"",BF36,BE36)</f>
        <v>B1</v>
      </c>
      <c r="BH36" s="40" t="str">
        <f>IFERROR(CHOOSE(INDEX(B_RANK,MATCH(BG36,B_LVL,0)),"Band A","Band B","B+ · Player-Coach","Band C","C+ · Player-Coach","Band D","Band E"),"Band X · Consultant")</f>
        <v>Band B</v>
      </c>
      <c r="BI36" s="40" t="str">
        <f>IF(BG36=AY36,"• Same",IF(INDEX(B_VAL,MATCH(BG36,B_LVL,0))&gt;INDEX(B_VAL,MATCH(AY36,B_LVL,0)),"▲ Up","▼ Down"))</f>
        <v>• Same</v>
      </c>
      <c r="BJ36" s="40" t="str">
        <f>IF(OR($M36="",$M36="—",$M36="Not in this file"),"",IFERROR(INDEX($BG$7:$BG$592,MATCH($M36,$D$7:$D$592,0)),""))</f>
        <v>B2</v>
      </c>
      <c r="BK36" s="40" t="str">
        <f>IFERROR(IF(BJ36="","—",IF(OR(LEFT(BG36,1)="X",LEFT(BJ36,1)="X"),"—",IF(AND(LEFT(BG36,1)="E",LEFT(BJ36,1)="E"),"Exception · Band E",IF(AND(INDEX(B_VAL,MATCH(BJ36,B_LVL,0))&gt;=7,INDEX(B_RANK,MATCH(BG36,B_LVL,0))&gt;=INDEX(B_RANK,MATCH(BJ36,B_LVL,0))),"⚠ Same band as a head manager",IF(INDEX(B_VAL,MATCH(BG36,B_LVL,0))&gt;=INDEX(B_VAL,MATCH(BJ36,B_LVL,0)),"⚠ At or above the manager's level","OK"))))),"—")</f>
        <v>OK</v>
      </c>
      <c r="BL36" s="43" t="n"/>
      <c r="BM36" s="44">
        <f>IFERROR(INDEX(LMH_PTS,MATCH(Y36,LMH_KEY,0)),0)</f>
        <v>9</v>
      </c>
      <c r="BN36" s="38">
        <f>IFERROR(INDEX(LMH_PTS,MATCH(Z36,LMH_KEY,0)),0)</f>
        <v>3</v>
      </c>
      <c r="BO36" s="38">
        <f>IFERROR(INDEX(LMH_PTS,MATCH(AA36,LMH_KEY,0)),0)</f>
        <v>1</v>
      </c>
      <c r="BP36" s="38">
        <f>IFERROR(INDEX(LMH_PTS,MATCH(AB36,LMH_KEY,0)),0)</f>
        <v>1</v>
      </c>
      <c r="BQ36" s="38">
        <f>IFERROR(INDEX(LMH_PTS,MATCH(AC36,LMH_KEY,0)),0)</f>
        <v>1</v>
      </c>
      <c r="BR36" s="38">
        <f>IFERROR(INDEX(LMH_PTS,MATCH(AD36,LMH_KEY,0)),0)</f>
        <v>1</v>
      </c>
      <c r="BS36" s="38">
        <f>IFERROR(INDEX(LMH_PTS,MATCH(AE36,LMH_KEY,0)),0)</f>
        <v>1</v>
      </c>
      <c r="BT36" s="38">
        <f>IFERROR(INDEX(LMH_STEP,MATCH(AF36,LMH_KEY,0)),0)</f>
        <v>0</v>
      </c>
      <c r="BU36" s="38">
        <f>IFERROR(INDEX(LMH_STEP,MATCH(AG36,LMH_KEY,0)),0)</f>
        <v>0</v>
      </c>
      <c r="BV36" s="38">
        <f>IFERROR(INDEX(LMH_STEP,MATCH(AH36,LMH_KEY,0)),0)</f>
        <v>0</v>
      </c>
      <c r="BW36" s="38">
        <f>IFERROR(INDEX(LMH_STEP,MATCH(AI36,LMH_KEY,0)),0)</f>
        <v>0</v>
      </c>
      <c r="BX36" s="38">
        <f>IFERROR(INDEX(LMH_STEP,MATCH(AJ36,LMH_KEY,0)),0)</f>
        <v>0</v>
      </c>
      <c r="BY36" s="38">
        <f>IFERROR(INDEX(LMH_STEP,MATCH(AK36,LMH_KEY,0)),0)</f>
        <v>0</v>
      </c>
      <c r="BZ36" s="38">
        <f>IFERROR(INDEX(LMH_STEP,MATCH(AL36,LMH_KEY,0)),0)</f>
        <v>0</v>
      </c>
      <c r="CA36" s="38" t="inlineStr">
        <is>
          <t>CARBON|Services|Senior QA Specialist – POD Lead|B1|B-IC</t>
        </is>
      </c>
    </row>
    <row r="37" ht="110" customHeight="1">
      <c r="A37" s="28" t="inlineStr">
        <is>
          <t>CARBON</t>
        </is>
      </c>
      <c r="B37" s="29" t="inlineStr">
        <is>
          <t>Services</t>
        </is>
      </c>
      <c r="C37" s="29" t="n">
        <v>7</v>
      </c>
      <c r="D37" s="29" t="inlineStr">
        <is>
          <t>IRIS0621</t>
        </is>
      </c>
      <c r="E37" s="29" t="inlineStr">
        <is>
          <t>Anjum Shaikh</t>
        </is>
      </c>
      <c r="F37" s="29" t="inlineStr">
        <is>
          <t>Senior Financial Analyst</t>
        </is>
      </c>
      <c r="G37" s="29" t="inlineStr">
        <is>
          <t>Senior Financial Analyst</t>
        </is>
      </c>
      <c r="H37" s="29" t="inlineStr">
        <is>
          <t>Consulting &amp; Professional Services</t>
        </is>
      </c>
      <c r="I37" s="29" t="inlineStr">
        <is>
          <t>XBRL Tagging, Conversion &amp; Filing</t>
        </is>
      </c>
      <c r="J37" s="29" t="inlineStr">
        <is>
          <t>IC</t>
        </is>
      </c>
      <c r="K37" s="29" t="inlineStr">
        <is>
          <t>RC-025</t>
        </is>
      </c>
      <c r="L37" s="29" t="inlineStr">
        <is>
          <t>Mohammed Sameer Shamsudin</t>
        </is>
      </c>
      <c r="M37" s="29" t="inlineStr">
        <is>
          <t>IRIS0589</t>
        </is>
      </c>
      <c r="N37" s="29" t="n">
        <v>17</v>
      </c>
      <c r="O37" s="29" t="n">
        <v>15.4</v>
      </c>
      <c r="P37" s="29" t="inlineStr">
        <is>
          <t>B.Com</t>
        </is>
      </c>
      <c r="Q37" s="29" t="inlineStr">
        <is>
          <t>L4 – Senior</t>
        </is>
      </c>
      <c r="R37" s="29" t="inlineStr">
        <is>
          <t>A3</t>
        </is>
      </c>
      <c r="S37" s="30" t="inlineStr">
        <is>
          <t>20 of 20</t>
        </is>
      </c>
      <c r="T37" s="31" t="inlineStr">
        <is>
          <t>• Role / sub-team: XBRL Conversion Service.</t>
        </is>
      </c>
      <c r="U37"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37" s="31" t="inlineStr">
        <is>
          <t>Latest rating: 3 · Potential: Medium · 9-box: Core Contributor · Readiness: Develop in role</t>
        </is>
      </c>
      <c r="W37" s="31" t="inlineStr">
        <is>
          <t>C M · Au M · Ac M · L L · BI M · Exp H · 17 yrs vs 2–4 yrs · Edu M · B.Com</t>
        </is>
      </c>
      <c r="X37" s="33" t="inlineStr">
        <is>
          <t>Open ▸</t>
        </is>
      </c>
      <c r="Y37" s="34" t="str">
        <f>IFERROR(INDEX(DL_C,MATCH($CA37,DL_KEY,0)),"M")</f>
        <v>H</v>
      </c>
      <c r="Z37" s="35" t="str">
        <f>IFERROR(INDEX(DL_Au,MATCH($CA37,DL_KEY,0)),"M")</f>
        <v>M</v>
      </c>
      <c r="AA37" s="35" t="str">
        <f>IFERROR(INDEX(DL_Ac,MATCH($CA37,DL_KEY,0)),"M")</f>
        <v>M</v>
      </c>
      <c r="AB37" s="35" t="str">
        <f>IFERROR(INDEX(DL_L,MATCH($CA37,DL_KEY,0)),"M")</f>
        <v>L</v>
      </c>
      <c r="AC37" s="35" t="str">
        <f>IFERROR(INDEX(DL_BI,MATCH($CA37,DL_KEY,0)),"M")</f>
        <v>L</v>
      </c>
      <c r="AD37" s="35" t="str">
        <f>IFERROR(INDEX(DL_Exp,MATCH($CA37,DL_KEY,0)),"M")</f>
        <v>L</v>
      </c>
      <c r="AE37" s="35" t="str">
        <f>IFERROR(INDEX(DL_Edu,MATCH($CA37,DL_KEY,0)),"M")</f>
        <v>L</v>
      </c>
      <c r="AF37" s="34" t="inlineStr">
        <is>
          <t>M</t>
        </is>
      </c>
      <c r="AG37" s="35" t="inlineStr">
        <is>
          <t>M</t>
        </is>
      </c>
      <c r="AH37" s="35" t="inlineStr">
        <is>
          <t>M</t>
        </is>
      </c>
      <c r="AI37" s="35" t="inlineStr">
        <is>
          <t>M</t>
        </is>
      </c>
      <c r="AJ37" s="35" t="inlineStr">
        <is>
          <t>M</t>
        </is>
      </c>
      <c r="AK37" s="35" t="inlineStr">
        <is>
          <t>M</t>
        </is>
      </c>
      <c r="AL37" s="35" t="inlineStr">
        <is>
          <t>M</t>
        </is>
      </c>
      <c r="AM37" s="36" t="n">
        <v>0.583</v>
      </c>
      <c r="AN37" s="37" t="n">
        <v>0.16</v>
      </c>
      <c r="AO37" s="37" t="n">
        <v>0.09</v>
      </c>
      <c r="AP37" s="37" t="n">
        <v>0</v>
      </c>
      <c r="AQ37" s="37" t="n">
        <v>0.063</v>
      </c>
      <c r="AR37" s="37" t="n">
        <v>0.06</v>
      </c>
      <c r="AS37" s="37" t="n">
        <v>0.04</v>
      </c>
      <c r="AT37" s="38" t="inlineStr">
        <is>
          <t>2–5</t>
        </is>
      </c>
      <c r="AU37" s="38" t="inlineStr">
        <is>
          <t>Graduate; relevant certification preferred</t>
        </is>
      </c>
      <c r="AV37" s="38" t="inlineStr">
        <is>
          <t>None · guides 1–3 juniors informally</t>
        </is>
      </c>
      <c r="AW37" s="38" t="inlineStr">
        <is>
          <t>P2 · SFIA 3 Apply</t>
        </is>
      </c>
      <c r="AX3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7" s="39" t="inlineStr">
        <is>
          <t>A3</t>
        </is>
      </c>
      <c r="AZ37" s="40" t="inlineStr">
        <is>
          <t>Band A · Practitioner · Senior Associate</t>
        </is>
      </c>
      <c r="BA37" s="40" t="inlineStr">
        <is>
          <t>Model A3 from the six ratings, the market-derived weights and rules R1–R13 · then No change · already below the manager</t>
        </is>
      </c>
      <c r="BB37" s="41" t="inlineStr">
        <is>
          <t>A3</t>
        </is>
      </c>
      <c r="BC37" s="40" t="inlineStr">
        <is>
          <t>The six ratings on the market-average weights of Band A · all tracks score 3.48 → A3 · Hay, Mercer IPE and public plans · experience 17 yrs vs the A3 market range 2–5</t>
        </is>
      </c>
      <c r="BD37" s="42">
        <f>IF(SUM(BM37,BN37,BO37,BP37,BQ37,BR37,BS37)=0,0,(BM37*BT37+BN37*BU37+BO37*BV37+BP37*BW37+BQ37*BX37+BR37*BY37+BS37*BZ37)/SUM(BM37,BN37,BO37,BP37,BQ37,BR37,BS37))</f>
        <v>0</v>
      </c>
      <c r="BE37" s="41" t="str">
        <f>IF(LEFT(AY37,1)="X",AY37,IF(OR(AY37="B+",AY37="C+"),INDEX(LAD_PC,MAX(1,MIN(14,MATCH(AY37,LAD_PC,0)+IF(BD37&gt;=0.5,1,IF(BD37&lt;=-0.5,-1,0))))),INDEX(LAD_STD,MAX(1,MIN(12,MATCH(AY37,LAD_STD,0)+IF(BD37&gt;=0.5,1,IF(BD37&lt;=-0.5,-1,0)))))))</f>
        <v>A3</v>
      </c>
      <c r="BF37" s="43" t="n"/>
      <c r="BG37" s="41" t="str">
        <f>IF(BF37&lt;&gt;"",BF37,BE37)</f>
        <v>A3</v>
      </c>
      <c r="BH37" s="40" t="str">
        <f>IFERROR(CHOOSE(INDEX(B_RANK,MATCH(BG37,B_LVL,0)),"Band A","Band B","B+ · Player-Coach","Band C","C+ · Player-Coach","Band D","Band E"),"Band X · Consultant")</f>
        <v>Band A</v>
      </c>
      <c r="BI37" s="40" t="str">
        <f>IF(BG37=AY37,"• Same",IF(INDEX(B_VAL,MATCH(BG37,B_LVL,0))&gt;INDEX(B_VAL,MATCH(AY37,B_LVL,0)),"▲ Up","▼ Down"))</f>
        <v>• Same</v>
      </c>
      <c r="BJ37" s="40" t="str">
        <f>IF(OR($M37="",$M37="—",$M37="Not in this file"),"",IFERROR(INDEX($BG$7:$BG$592,MATCH($M37,$D$7:$D$592,0)),""))</f>
        <v>B1</v>
      </c>
      <c r="BK37" s="40" t="str">
        <f>IFERROR(IF(BJ37="","—",IF(OR(LEFT(BG37,1)="X",LEFT(BJ37,1)="X"),"—",IF(AND(LEFT(BG37,1)="E",LEFT(BJ37,1)="E"),"Exception · Band E",IF(AND(INDEX(B_VAL,MATCH(BJ37,B_LVL,0))&gt;=7,INDEX(B_RANK,MATCH(BG37,B_LVL,0))&gt;=INDEX(B_RANK,MATCH(BJ37,B_LVL,0))),"⚠ Same band as a head manager",IF(INDEX(B_VAL,MATCH(BG37,B_LVL,0))&gt;=INDEX(B_VAL,MATCH(BJ37,B_LVL,0)),"⚠ At or above the manager's level","OK"))))),"—")</f>
        <v>OK</v>
      </c>
      <c r="BL37" s="43" t="n"/>
      <c r="BM37" s="44">
        <f>IFERROR(INDEX(LMH_PTS,MATCH(Y37,LMH_KEY,0)),0)</f>
        <v>9</v>
      </c>
      <c r="BN37" s="38">
        <f>IFERROR(INDEX(LMH_PTS,MATCH(Z37,LMH_KEY,0)),0)</f>
        <v>3</v>
      </c>
      <c r="BO37" s="38">
        <f>IFERROR(INDEX(LMH_PTS,MATCH(AA37,LMH_KEY,0)),0)</f>
        <v>3</v>
      </c>
      <c r="BP37" s="38">
        <f>IFERROR(INDEX(LMH_PTS,MATCH(AB37,LMH_KEY,0)),0)</f>
        <v>1</v>
      </c>
      <c r="BQ37" s="38">
        <f>IFERROR(INDEX(LMH_PTS,MATCH(AC37,LMH_KEY,0)),0)</f>
        <v>1</v>
      </c>
      <c r="BR37" s="38">
        <f>IFERROR(INDEX(LMH_PTS,MATCH(AD37,LMH_KEY,0)),0)</f>
        <v>1</v>
      </c>
      <c r="BS37" s="38">
        <f>IFERROR(INDEX(LMH_PTS,MATCH(AE37,LMH_KEY,0)),0)</f>
        <v>1</v>
      </c>
      <c r="BT37" s="38">
        <f>IFERROR(INDEX(LMH_STEP,MATCH(AF37,LMH_KEY,0)),0)</f>
        <v>0</v>
      </c>
      <c r="BU37" s="38">
        <f>IFERROR(INDEX(LMH_STEP,MATCH(AG37,LMH_KEY,0)),0)</f>
        <v>0</v>
      </c>
      <c r="BV37" s="38">
        <f>IFERROR(INDEX(LMH_STEP,MATCH(AH37,LMH_KEY,0)),0)</f>
        <v>0</v>
      </c>
      <c r="BW37" s="38">
        <f>IFERROR(INDEX(LMH_STEP,MATCH(AI37,LMH_KEY,0)),0)</f>
        <v>0</v>
      </c>
      <c r="BX37" s="38">
        <f>IFERROR(INDEX(LMH_STEP,MATCH(AJ37,LMH_KEY,0)),0)</f>
        <v>0</v>
      </c>
      <c r="BY37" s="38">
        <f>IFERROR(INDEX(LMH_STEP,MATCH(AK37,LMH_KEY,0)),0)</f>
        <v>0</v>
      </c>
      <c r="BZ37" s="38">
        <f>IFERROR(INDEX(LMH_STEP,MATCH(AL37,LMH_KEY,0)),0)</f>
        <v>0</v>
      </c>
      <c r="CA37" s="38" t="inlineStr">
        <is>
          <t>CARBON|Services|Senior Financial Analyst|A3|A</t>
        </is>
      </c>
    </row>
    <row r="38" ht="110" customHeight="1">
      <c r="A38" s="28" t="inlineStr">
        <is>
          <t>CARBON</t>
        </is>
      </c>
      <c r="B38" s="29" t="inlineStr">
        <is>
          <t>Services</t>
        </is>
      </c>
      <c r="C38" s="29" t="n">
        <v>7</v>
      </c>
      <c r="D38" s="29" t="inlineStr">
        <is>
          <t>IRIS0508</t>
        </is>
      </c>
      <c r="E38" s="29" t="inlineStr">
        <is>
          <t>Dhananjay Bavkar</t>
        </is>
      </c>
      <c r="F38" s="29" t="inlineStr">
        <is>
          <t>Senior Financial Analyst</t>
        </is>
      </c>
      <c r="G38" s="29" t="inlineStr">
        <is>
          <t>Senior Financial Analyst</t>
        </is>
      </c>
      <c r="H38" s="29" t="inlineStr">
        <is>
          <t>Consulting &amp; Professional Services</t>
        </is>
      </c>
      <c r="I38" s="29" t="inlineStr">
        <is>
          <t>XBRL Tagging, Conversion &amp; Filing</t>
        </is>
      </c>
      <c r="J38" s="29" t="inlineStr">
        <is>
          <t>IC</t>
        </is>
      </c>
      <c r="K38" s="29" t="inlineStr">
        <is>
          <t>RC-025</t>
        </is>
      </c>
      <c r="L38" s="29" t="inlineStr">
        <is>
          <t>Mohammed Sameer Shamsudin</t>
        </is>
      </c>
      <c r="M38" s="29" t="inlineStr">
        <is>
          <t>IRIS0589</t>
        </is>
      </c>
      <c r="N38" s="29" t="n">
        <v>15.7</v>
      </c>
      <c r="O38" s="29" t="n">
        <v>15.7</v>
      </c>
      <c r="P38" s="29" t="inlineStr">
        <is>
          <t>B.Com</t>
        </is>
      </c>
      <c r="Q38" s="29" t="inlineStr">
        <is>
          <t>L4 – Senior</t>
        </is>
      </c>
      <c r="R38" s="29" t="inlineStr">
        <is>
          <t>A3</t>
        </is>
      </c>
      <c r="S38" s="30" t="inlineStr">
        <is>
          <t>18 of 20</t>
        </is>
      </c>
      <c r="T38" s="31" t="inlineStr">
        <is>
          <t>• Role / sub-team: Quality check Analyst And disclosure management processing.</t>
        </is>
      </c>
      <c r="U38"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38" s="31" t="inlineStr">
        <is>
          <t>Latest rating: 3 · Potential: Medium · 9-box: Core Contributor · Readiness: Develop in role</t>
        </is>
      </c>
      <c r="W38" s="31" t="inlineStr">
        <is>
          <t>C M · Au M · Ac M · L L · BI M · Exp H · 15.7 yrs vs 2–4 yrs · Edu M · B.Com</t>
        </is>
      </c>
      <c r="X38" s="33" t="inlineStr">
        <is>
          <t>Open ▸</t>
        </is>
      </c>
      <c r="Y38" s="34" t="str">
        <f>IFERROR(INDEX(DL_C,MATCH($CA38,DL_KEY,0)),"M")</f>
        <v>H</v>
      </c>
      <c r="Z38" s="35" t="str">
        <f>IFERROR(INDEX(DL_Au,MATCH($CA38,DL_KEY,0)),"M")</f>
        <v>M</v>
      </c>
      <c r="AA38" s="35" t="str">
        <f>IFERROR(INDEX(DL_Ac,MATCH($CA38,DL_KEY,0)),"M")</f>
        <v>M</v>
      </c>
      <c r="AB38" s="35" t="str">
        <f>IFERROR(INDEX(DL_L,MATCH($CA38,DL_KEY,0)),"M")</f>
        <v>L</v>
      </c>
      <c r="AC38" s="35" t="str">
        <f>IFERROR(INDEX(DL_BI,MATCH($CA38,DL_KEY,0)),"M")</f>
        <v>L</v>
      </c>
      <c r="AD38" s="35" t="str">
        <f>IFERROR(INDEX(DL_Exp,MATCH($CA38,DL_KEY,0)),"M")</f>
        <v>L</v>
      </c>
      <c r="AE38" s="35" t="str">
        <f>IFERROR(INDEX(DL_Edu,MATCH($CA38,DL_KEY,0)),"M")</f>
        <v>L</v>
      </c>
      <c r="AF38" s="34" t="inlineStr">
        <is>
          <t>M</t>
        </is>
      </c>
      <c r="AG38" s="35" t="inlineStr">
        <is>
          <t>M</t>
        </is>
      </c>
      <c r="AH38" s="35" t="inlineStr">
        <is>
          <t>M</t>
        </is>
      </c>
      <c r="AI38" s="35" t="inlineStr">
        <is>
          <t>M</t>
        </is>
      </c>
      <c r="AJ38" s="35" t="inlineStr">
        <is>
          <t>M</t>
        </is>
      </c>
      <c r="AK38" s="35" t="inlineStr">
        <is>
          <t>M</t>
        </is>
      </c>
      <c r="AL38" s="35" t="inlineStr">
        <is>
          <t>M</t>
        </is>
      </c>
      <c r="AM38" s="36" t="n">
        <v>0.583</v>
      </c>
      <c r="AN38" s="37" t="n">
        <v>0.16</v>
      </c>
      <c r="AO38" s="37" t="n">
        <v>0.09</v>
      </c>
      <c r="AP38" s="37" t="n">
        <v>0</v>
      </c>
      <c r="AQ38" s="37" t="n">
        <v>0.063</v>
      </c>
      <c r="AR38" s="37" t="n">
        <v>0.06</v>
      </c>
      <c r="AS38" s="37" t="n">
        <v>0.04</v>
      </c>
      <c r="AT38" s="38" t="inlineStr">
        <is>
          <t>2–5</t>
        </is>
      </c>
      <c r="AU38" s="38" t="inlineStr">
        <is>
          <t>Graduate; relevant certification preferred</t>
        </is>
      </c>
      <c r="AV38" s="38" t="inlineStr">
        <is>
          <t>None · guides 1–3 juniors informally</t>
        </is>
      </c>
      <c r="AW38" s="38" t="inlineStr">
        <is>
          <t>P2 · SFIA 3 Apply</t>
        </is>
      </c>
      <c r="AX3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8" s="39" t="inlineStr">
        <is>
          <t>A3</t>
        </is>
      </c>
      <c r="AZ38" s="40" t="inlineStr">
        <is>
          <t>Band A · Practitioner · Senior Associate</t>
        </is>
      </c>
      <c r="BA38" s="40" t="inlineStr">
        <is>
          <t>Model A3 from the six ratings, the market-derived weights and rules R1–R13 · then No change · already below the manager</t>
        </is>
      </c>
      <c r="BB38" s="41" t="inlineStr">
        <is>
          <t>B1</t>
        </is>
      </c>
      <c r="BC38" s="40" t="inlineStr">
        <is>
          <t>The six ratings on the market-average weights of Band A · all tracks score 3.51 → B1 · Hay, Mercer IPE and public plans · experience 15.7 yrs vs the B1 market range 4–8</t>
        </is>
      </c>
      <c r="BD38" s="42">
        <f>IF(SUM(BM38,BN38,BO38,BP38,BQ38,BR38,BS38)=0,0,(BM38*BT38+BN38*BU38+BO38*BV38+BP38*BW38+BQ38*BX38+BR38*BY38+BS38*BZ38)/SUM(BM38,BN38,BO38,BP38,BQ38,BR38,BS38))</f>
        <v>0</v>
      </c>
      <c r="BE38" s="41" t="str">
        <f>IF(LEFT(AY38,1)="X",AY38,IF(OR(AY38="B+",AY38="C+"),INDEX(LAD_PC,MAX(1,MIN(14,MATCH(AY38,LAD_PC,0)+IF(BD38&gt;=0.5,1,IF(BD38&lt;=-0.5,-1,0))))),INDEX(LAD_STD,MAX(1,MIN(12,MATCH(AY38,LAD_STD,0)+IF(BD38&gt;=0.5,1,IF(BD38&lt;=-0.5,-1,0)))))))</f>
        <v>A3</v>
      </c>
      <c r="BF38" s="43" t="n"/>
      <c r="BG38" s="41" t="str">
        <f>IF(BF38&lt;&gt;"",BF38,BE38)</f>
        <v>A3</v>
      </c>
      <c r="BH38" s="40" t="str">
        <f>IFERROR(CHOOSE(INDEX(B_RANK,MATCH(BG38,B_LVL,0)),"Band A","Band B","B+ · Player-Coach","Band C","C+ · Player-Coach","Band D","Band E"),"Band X · Consultant")</f>
        <v>Band A</v>
      </c>
      <c r="BI38" s="40" t="str">
        <f>IF(BG38=AY38,"• Same",IF(INDEX(B_VAL,MATCH(BG38,B_LVL,0))&gt;INDEX(B_VAL,MATCH(AY38,B_LVL,0)),"▲ Up","▼ Down"))</f>
        <v>• Same</v>
      </c>
      <c r="BJ38" s="40" t="str">
        <f>IF(OR($M38="",$M38="—",$M38="Not in this file"),"",IFERROR(INDEX($BG$7:$BG$592,MATCH($M38,$D$7:$D$592,0)),""))</f>
        <v>B1</v>
      </c>
      <c r="BK38" s="40" t="str">
        <f>IFERROR(IF(BJ38="","—",IF(OR(LEFT(BG38,1)="X",LEFT(BJ38,1)="X"),"—",IF(AND(LEFT(BG38,1)="E",LEFT(BJ38,1)="E"),"Exception · Band E",IF(AND(INDEX(B_VAL,MATCH(BJ38,B_LVL,0))&gt;=7,INDEX(B_RANK,MATCH(BG38,B_LVL,0))&gt;=INDEX(B_RANK,MATCH(BJ38,B_LVL,0))),"⚠ Same band as a head manager",IF(INDEX(B_VAL,MATCH(BG38,B_LVL,0))&gt;=INDEX(B_VAL,MATCH(BJ38,B_LVL,0)),"⚠ At or above the manager's level","OK"))))),"—")</f>
        <v>OK</v>
      </c>
      <c r="BL38" s="43" t="n"/>
      <c r="BM38" s="44">
        <f>IFERROR(INDEX(LMH_PTS,MATCH(Y38,LMH_KEY,0)),0)</f>
        <v>9</v>
      </c>
      <c r="BN38" s="38">
        <f>IFERROR(INDEX(LMH_PTS,MATCH(Z38,LMH_KEY,0)),0)</f>
        <v>3</v>
      </c>
      <c r="BO38" s="38">
        <f>IFERROR(INDEX(LMH_PTS,MATCH(AA38,LMH_KEY,0)),0)</f>
        <v>3</v>
      </c>
      <c r="BP38" s="38">
        <f>IFERROR(INDEX(LMH_PTS,MATCH(AB38,LMH_KEY,0)),0)</f>
        <v>1</v>
      </c>
      <c r="BQ38" s="38">
        <f>IFERROR(INDEX(LMH_PTS,MATCH(AC38,LMH_KEY,0)),0)</f>
        <v>1</v>
      </c>
      <c r="BR38" s="38">
        <f>IFERROR(INDEX(LMH_PTS,MATCH(AD38,LMH_KEY,0)),0)</f>
        <v>1</v>
      </c>
      <c r="BS38" s="38">
        <f>IFERROR(INDEX(LMH_PTS,MATCH(AE38,LMH_KEY,0)),0)</f>
        <v>1</v>
      </c>
      <c r="BT38" s="38">
        <f>IFERROR(INDEX(LMH_STEP,MATCH(AF38,LMH_KEY,0)),0)</f>
        <v>0</v>
      </c>
      <c r="BU38" s="38">
        <f>IFERROR(INDEX(LMH_STEP,MATCH(AG38,LMH_KEY,0)),0)</f>
        <v>0</v>
      </c>
      <c r="BV38" s="38">
        <f>IFERROR(INDEX(LMH_STEP,MATCH(AH38,LMH_KEY,0)),0)</f>
        <v>0</v>
      </c>
      <c r="BW38" s="38">
        <f>IFERROR(INDEX(LMH_STEP,MATCH(AI38,LMH_KEY,0)),0)</f>
        <v>0</v>
      </c>
      <c r="BX38" s="38">
        <f>IFERROR(INDEX(LMH_STEP,MATCH(AJ38,LMH_KEY,0)),0)</f>
        <v>0</v>
      </c>
      <c r="BY38" s="38">
        <f>IFERROR(INDEX(LMH_STEP,MATCH(AK38,LMH_KEY,0)),0)</f>
        <v>0</v>
      </c>
      <c r="BZ38" s="38">
        <f>IFERROR(INDEX(LMH_STEP,MATCH(AL38,LMH_KEY,0)),0)</f>
        <v>0</v>
      </c>
      <c r="CA38" s="38" t="inlineStr">
        <is>
          <t>CARBON|Services|Senior Financial Analyst|A3|A</t>
        </is>
      </c>
    </row>
    <row r="39" ht="110" customHeight="1">
      <c r="A39" s="28" t="inlineStr">
        <is>
          <t>CARBON</t>
        </is>
      </c>
      <c r="B39" s="29" t="inlineStr">
        <is>
          <t>Services</t>
        </is>
      </c>
      <c r="C39" s="29" t="n">
        <v>6</v>
      </c>
      <c r="D39" s="29" t="inlineStr">
        <is>
          <t>IRIS0616</t>
        </is>
      </c>
      <c r="E39" s="29" t="inlineStr">
        <is>
          <t>Priyanka Jadhav</t>
        </is>
      </c>
      <c r="F39" s="29" t="inlineStr">
        <is>
          <t>Lead - Assisted Services</t>
        </is>
      </c>
      <c r="G39" s="29" t="inlineStr">
        <is>
          <t>Manager – Assisted Services</t>
        </is>
      </c>
      <c r="H39" s="29" t="inlineStr">
        <is>
          <t>Consulting &amp; Professional Services</t>
        </is>
      </c>
      <c r="I39" s="29" t="inlineStr">
        <is>
          <t>XBRL Tagging, Conversion &amp; Filing</t>
        </is>
      </c>
      <c r="J39" s="29" t="inlineStr">
        <is>
          <t>People Manager</t>
        </is>
      </c>
      <c r="K39" s="29" t="inlineStr">
        <is>
          <t>RC-028</t>
        </is>
      </c>
      <c r="L39" s="29" t="inlineStr">
        <is>
          <t>Shashikant Mudaliar</t>
        </is>
      </c>
      <c r="M39" s="29" t="inlineStr">
        <is>
          <t>IRIS0786</t>
        </is>
      </c>
      <c r="N39" s="29" t="n">
        <v>15.4</v>
      </c>
      <c r="O39" s="29" t="n">
        <v>15.4</v>
      </c>
      <c r="P39" s="29" t="inlineStr">
        <is>
          <t>BCAF</t>
        </is>
      </c>
      <c r="Q39" s="29" t="inlineStr">
        <is>
          <t>L5 – Lead · IC</t>
        </is>
      </c>
      <c r="R39" s="29" t="inlineStr">
        <is>
          <t>B2</t>
        </is>
      </c>
      <c r="S39" s="30" t="inlineStr">
        <is>
          <t>20 of 20</t>
        </is>
      </c>
      <c r="T39" s="31" t="inlineStr">
        <is>
          <t>• Role / sub-team: EU Assisted Services · ixbl Filing.</t>
        </is>
      </c>
      <c r="U39" s="31" t="inlineStr">
        <is>
          <t>Received · manager annual · 1. Ensure files processed by team with &gt;=99% accuracy · zero critical errors.
2. Meet 100% of regulatory / client filing deadlines · no SLA breaches
3. Ensure 0% regulatory rejections across all submitted filings · Excluding issues not highlighted by our validator.
4. Cross-train team on at least 2 filing …</t>
        </is>
      </c>
      <c r="V39" s="31" t="inlineStr">
        <is>
          <t>Latest rating: 4 · Potential: High · 9-box: Emerging Talent · Readiness: Ready now</t>
        </is>
      </c>
      <c r="W39" s="31" t="inlineStr">
        <is>
          <t>C M · Au M · Ac H · L H · BI H · Exp H · 15.4 yrs vs 4–7 yrs · Edu M · BCAF</t>
        </is>
      </c>
      <c r="X39" s="33" t="inlineStr">
        <is>
          <t>Open ▸</t>
        </is>
      </c>
      <c r="Y39" s="34" t="str">
        <f>IFERROR(INDEX(DL_C,MATCH($CA39,DL_KEY,0)),"M")</f>
        <v>H</v>
      </c>
      <c r="Z39" s="35" t="str">
        <f>IFERROR(INDEX(DL_Au,MATCH($CA39,DL_KEY,0)),"M")</f>
        <v>M</v>
      </c>
      <c r="AA39" s="35" t="str">
        <f>IFERROR(INDEX(DL_Ac,MATCH($CA39,DL_KEY,0)),"M")</f>
        <v>M</v>
      </c>
      <c r="AB39" s="35" t="str">
        <f>IFERROR(INDEX(DL_L,MATCH($CA39,DL_KEY,0)),"M")</f>
        <v>M</v>
      </c>
      <c r="AC39" s="35" t="str">
        <f>IFERROR(INDEX(DL_BI,MATCH($CA39,DL_KEY,0)),"M")</f>
        <v>L</v>
      </c>
      <c r="AD39" s="35" t="str">
        <f>IFERROR(INDEX(DL_Exp,MATCH($CA39,DL_KEY,0)),"M")</f>
        <v>L</v>
      </c>
      <c r="AE39" s="35" t="str">
        <f>IFERROR(INDEX(DL_Edu,MATCH($CA39,DL_KEY,0)),"M")</f>
        <v>L</v>
      </c>
      <c r="AF39" s="34" t="inlineStr">
        <is>
          <t>M</t>
        </is>
      </c>
      <c r="AG39" s="35" t="inlineStr">
        <is>
          <t>M</t>
        </is>
      </c>
      <c r="AH39" s="35" t="inlineStr">
        <is>
          <t>M</t>
        </is>
      </c>
      <c r="AI39" s="35" t="inlineStr">
        <is>
          <t>M</t>
        </is>
      </c>
      <c r="AJ39" s="35" t="inlineStr">
        <is>
          <t>M</t>
        </is>
      </c>
      <c r="AK39" s="35" t="inlineStr">
        <is>
          <t>M</t>
        </is>
      </c>
      <c r="AL39" s="35" t="inlineStr">
        <is>
          <t>M</t>
        </is>
      </c>
      <c r="AM39" s="36" t="n">
        <v>0.37</v>
      </c>
      <c r="AN39" s="37" t="n">
        <v>0.183</v>
      </c>
      <c r="AO39" s="37" t="n">
        <v>0.113</v>
      </c>
      <c r="AP39" s="37" t="n">
        <v>0.15</v>
      </c>
      <c r="AQ39" s="37" t="n">
        <v>0.08699999999999999</v>
      </c>
      <c r="AR39" s="37" t="n">
        <v>0.06</v>
      </c>
      <c r="AS39" s="37" t="n">
        <v>0.04</v>
      </c>
      <c r="AT39" s="38" t="inlineStr">
        <is>
          <t>4–8</t>
        </is>
      </c>
      <c r="AU39" s="38" t="inlineStr">
        <is>
          <t>Graduate + relevant qualification or certification preferred</t>
        </is>
      </c>
      <c r="AV39" s="38" t="inlineStr">
        <is>
          <t>IC: none · Team Lead: 3–5</t>
        </is>
      </c>
      <c r="AW39" s="38" t="inlineStr">
        <is>
          <t>P3 / M2 · SFIA 4 Enable</t>
        </is>
      </c>
      <c r="AX3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9" s="39" t="inlineStr">
        <is>
          <t>B1</t>
        </is>
      </c>
      <c r="AZ39" s="40" t="inlineStr">
        <is>
          <t>Band B · Specialist / Manager · Team Lead / Asst Manager</t>
        </is>
      </c>
      <c r="BA39" s="40" t="inlineStr">
        <is>
          <t>Model B2 from the six ratings, the market-derived weights and rules R1–R13 · then Level rule: manager B2; a reportee sits at least one level below · B2 → B1 · move down · pay and title protected for one cycle</t>
        </is>
      </c>
      <c r="BB39" s="41" t="inlineStr">
        <is>
          <t>B2</t>
        </is>
      </c>
      <c r="BC39" s="40" t="inlineStr">
        <is>
          <t>The six ratings on the market-average weights of Band B · People Manager score 5.12 → B2 · Hay, Mercer IPE and public plans · experience 15.4 yrs vs the B2 market range 6–10</t>
        </is>
      </c>
      <c r="BD39" s="42">
        <f>IF(SUM(BM39,BN39,BO39,BP39,BQ39,BR39,BS39)=0,0,(BM39*BT39+BN39*BU39+BO39*BV39+BP39*BW39+BQ39*BX39+BR39*BY39+BS39*BZ39)/SUM(BM39,BN39,BO39,BP39,BQ39,BR39,BS39))</f>
        <v>0</v>
      </c>
      <c r="BE39" s="41" t="str">
        <f>IF(LEFT(AY39,1)="X",AY39,IF(OR(AY39="B+",AY39="C+"),INDEX(LAD_PC,MAX(1,MIN(14,MATCH(AY39,LAD_PC,0)+IF(BD39&gt;=0.5,1,IF(BD39&lt;=-0.5,-1,0))))),INDEX(LAD_STD,MAX(1,MIN(12,MATCH(AY39,LAD_STD,0)+IF(BD39&gt;=0.5,1,IF(BD39&lt;=-0.5,-1,0)))))))</f>
        <v>B1</v>
      </c>
      <c r="BF39" s="43" t="n"/>
      <c r="BG39" s="41" t="str">
        <f>IF(BF39&lt;&gt;"",BF39,BE39)</f>
        <v>B1</v>
      </c>
      <c r="BH39" s="40" t="str">
        <f>IFERROR(CHOOSE(INDEX(B_RANK,MATCH(BG39,B_LVL,0)),"Band A","Band B","B+ · Player-Coach","Band C","C+ · Player-Coach","Band D","Band E"),"Band X · Consultant")</f>
        <v>Band B</v>
      </c>
      <c r="BI39" s="40" t="str">
        <f>IF(BG39=AY39,"• Same",IF(INDEX(B_VAL,MATCH(BG39,B_LVL,0))&gt;INDEX(B_VAL,MATCH(AY39,B_LVL,0)),"▲ Up","▼ Down"))</f>
        <v>• Same</v>
      </c>
      <c r="BJ39" s="40" t="str">
        <f>IF(OR($M39="",$M39="—",$M39="Not in this file"),"",IFERROR(INDEX($BG$7:$BG$592,MATCH($M39,$D$7:$D$592,0)),""))</f>
        <v>B2</v>
      </c>
      <c r="BK39" s="40" t="str">
        <f>IFERROR(IF(BJ39="","—",IF(OR(LEFT(BG39,1)="X",LEFT(BJ39,1)="X"),"—",IF(AND(LEFT(BG39,1)="E",LEFT(BJ39,1)="E"),"Exception · Band E",IF(AND(INDEX(B_VAL,MATCH(BJ39,B_LVL,0))&gt;=7,INDEX(B_RANK,MATCH(BG39,B_LVL,0))&gt;=INDEX(B_RANK,MATCH(BJ39,B_LVL,0))),"⚠ Same band as a head manager",IF(INDEX(B_VAL,MATCH(BG39,B_LVL,0))&gt;=INDEX(B_VAL,MATCH(BJ39,B_LVL,0)),"⚠ At or above the manager's level","OK"))))),"—")</f>
        <v>OK</v>
      </c>
      <c r="BL39" s="43" t="n"/>
      <c r="BM39" s="44">
        <f>IFERROR(INDEX(LMH_PTS,MATCH(Y39,LMH_KEY,0)),0)</f>
        <v>9</v>
      </c>
      <c r="BN39" s="38">
        <f>IFERROR(INDEX(LMH_PTS,MATCH(Z39,LMH_KEY,0)),0)</f>
        <v>3</v>
      </c>
      <c r="BO39" s="38">
        <f>IFERROR(INDEX(LMH_PTS,MATCH(AA39,LMH_KEY,0)),0)</f>
        <v>3</v>
      </c>
      <c r="BP39" s="38">
        <f>IFERROR(INDEX(LMH_PTS,MATCH(AB39,LMH_KEY,0)),0)</f>
        <v>3</v>
      </c>
      <c r="BQ39" s="38">
        <f>IFERROR(INDEX(LMH_PTS,MATCH(AC39,LMH_KEY,0)),0)</f>
        <v>1</v>
      </c>
      <c r="BR39" s="38">
        <f>IFERROR(INDEX(LMH_PTS,MATCH(AD39,LMH_KEY,0)),0)</f>
        <v>1</v>
      </c>
      <c r="BS39" s="38">
        <f>IFERROR(INDEX(LMH_PTS,MATCH(AE39,LMH_KEY,0)),0)</f>
        <v>1</v>
      </c>
      <c r="BT39" s="38">
        <f>IFERROR(INDEX(LMH_STEP,MATCH(AF39,LMH_KEY,0)),0)</f>
        <v>0</v>
      </c>
      <c r="BU39" s="38">
        <f>IFERROR(INDEX(LMH_STEP,MATCH(AG39,LMH_KEY,0)),0)</f>
        <v>0</v>
      </c>
      <c r="BV39" s="38">
        <f>IFERROR(INDEX(LMH_STEP,MATCH(AH39,LMH_KEY,0)),0)</f>
        <v>0</v>
      </c>
      <c r="BW39" s="38">
        <f>IFERROR(INDEX(LMH_STEP,MATCH(AI39,LMH_KEY,0)),0)</f>
        <v>0</v>
      </c>
      <c r="BX39" s="38">
        <f>IFERROR(INDEX(LMH_STEP,MATCH(AJ39,LMH_KEY,0)),0)</f>
        <v>0</v>
      </c>
      <c r="BY39" s="38">
        <f>IFERROR(INDEX(LMH_STEP,MATCH(AK39,LMH_KEY,0)),0)</f>
        <v>0</v>
      </c>
      <c r="BZ39" s="38">
        <f>IFERROR(INDEX(LMH_STEP,MATCH(AL39,LMH_KEY,0)),0)</f>
        <v>0</v>
      </c>
      <c r="CA39" s="38" t="inlineStr">
        <is>
          <t>CARBON|Services|Manager – Assisted Services|B1|B-M</t>
        </is>
      </c>
    </row>
    <row r="40" ht="110" customHeight="1">
      <c r="A40" s="28" t="inlineStr">
        <is>
          <t>CARBON</t>
        </is>
      </c>
      <c r="B40" s="29" t="inlineStr">
        <is>
          <t>Services</t>
        </is>
      </c>
      <c r="C40" s="29" t="n">
        <v>7</v>
      </c>
      <c r="D40" s="29" t="inlineStr">
        <is>
          <t>IRIS0567</t>
        </is>
      </c>
      <c r="E40" s="29" t="inlineStr">
        <is>
          <t>Amruta Mirashi</t>
        </is>
      </c>
      <c r="F40" s="29" t="inlineStr">
        <is>
          <t>Financial Analyst</t>
        </is>
      </c>
      <c r="G40" s="29" t="inlineStr">
        <is>
          <t>XBRL Specialist</t>
        </is>
      </c>
      <c r="H40" s="29" t="inlineStr">
        <is>
          <t>Consulting &amp; Professional Services</t>
        </is>
      </c>
      <c r="I40" s="29" t="inlineStr">
        <is>
          <t>XBRL Tagging, Conversion &amp; Filing</t>
        </is>
      </c>
      <c r="J40" s="29" t="inlineStr">
        <is>
          <t>IC</t>
        </is>
      </c>
      <c r="K40" s="29" t="inlineStr">
        <is>
          <t>RC-026</t>
        </is>
      </c>
      <c r="L40" s="29" t="inlineStr">
        <is>
          <t>Priyanka Jadhav</t>
        </is>
      </c>
      <c r="M40" s="29" t="inlineStr">
        <is>
          <t>IRIS0616</t>
        </is>
      </c>
      <c r="N40" s="29" t="n">
        <v>15.5</v>
      </c>
      <c r="O40" s="29" t="n">
        <v>15.5</v>
      </c>
      <c r="P40" s="29" t="inlineStr">
        <is>
          <t>M.Com</t>
        </is>
      </c>
      <c r="Q40" s="29" t="inlineStr">
        <is>
          <t>L3 – Professional / Associate</t>
        </is>
      </c>
      <c r="R40" s="29" t="inlineStr">
        <is>
          <t>B1</t>
        </is>
      </c>
      <c r="S40" s="30" t="inlineStr">
        <is>
          <t>20 of 20</t>
        </is>
      </c>
      <c r="T40" s="31" t="inlineStr">
        <is>
          <t>• Role / sub-team: Service - Tagging and shift leading.</t>
        </is>
      </c>
      <c r="U40"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40" s="31" t="inlineStr">
        <is>
          <t>Latest rating: 4 · Potential: High · 9-box: Core Contributor · Readiness: Ready now</t>
        </is>
      </c>
      <c r="W40" s="31" t="inlineStr">
        <is>
          <t>C M · Au M · Ac M · L L · BI M · Exp H · 15.5 yrs vs 2–4 yrs · Edu H · M.Com</t>
        </is>
      </c>
      <c r="X40" s="33" t="inlineStr">
        <is>
          <t>Open ▸</t>
        </is>
      </c>
      <c r="Y40" s="34" t="str">
        <f>IFERROR(INDEX(DL_C,MATCH($CA40,DL_KEY,0)),"M")</f>
        <v>H</v>
      </c>
      <c r="Z40" s="35" t="str">
        <f>IFERROR(INDEX(DL_Au,MATCH($CA40,DL_KEY,0)),"M")</f>
        <v>M</v>
      </c>
      <c r="AA40" s="35" t="str">
        <f>IFERROR(INDEX(DL_Ac,MATCH($CA40,DL_KEY,0)),"M")</f>
        <v>M</v>
      </c>
      <c r="AB40" s="35" t="str">
        <f>IFERROR(INDEX(DL_L,MATCH($CA40,DL_KEY,0)),"M")</f>
        <v>L</v>
      </c>
      <c r="AC40" s="35" t="str">
        <f>IFERROR(INDEX(DL_BI,MATCH($CA40,DL_KEY,0)),"M")</f>
        <v>L</v>
      </c>
      <c r="AD40" s="35" t="str">
        <f>IFERROR(INDEX(DL_Exp,MATCH($CA40,DL_KEY,0)),"M")</f>
        <v>L</v>
      </c>
      <c r="AE40" s="35" t="str">
        <f>IFERROR(INDEX(DL_Edu,MATCH($CA40,DL_KEY,0)),"M")</f>
        <v>L</v>
      </c>
      <c r="AF40" s="34" t="inlineStr">
        <is>
          <t>M</t>
        </is>
      </c>
      <c r="AG40" s="35" t="inlineStr">
        <is>
          <t>M</t>
        </is>
      </c>
      <c r="AH40" s="35" t="inlineStr">
        <is>
          <t>M</t>
        </is>
      </c>
      <c r="AI40" s="35" t="inlineStr">
        <is>
          <t>M</t>
        </is>
      </c>
      <c r="AJ40" s="35" t="inlineStr">
        <is>
          <t>M</t>
        </is>
      </c>
      <c r="AK40" s="35" t="inlineStr">
        <is>
          <t>M</t>
        </is>
      </c>
      <c r="AL40" s="35" t="inlineStr">
        <is>
          <t>M</t>
        </is>
      </c>
      <c r="AM40" s="36" t="n">
        <v>0.583</v>
      </c>
      <c r="AN40" s="37" t="n">
        <v>0.16</v>
      </c>
      <c r="AO40" s="37" t="n">
        <v>0.09</v>
      </c>
      <c r="AP40" s="37" t="n">
        <v>0</v>
      </c>
      <c r="AQ40" s="37" t="n">
        <v>0.063</v>
      </c>
      <c r="AR40" s="37" t="n">
        <v>0.06</v>
      </c>
      <c r="AS40" s="37" t="n">
        <v>0.04</v>
      </c>
      <c r="AT40" s="38" t="inlineStr">
        <is>
          <t>2–5</t>
        </is>
      </c>
      <c r="AU40" s="38" t="inlineStr">
        <is>
          <t>Graduate; relevant certification preferred</t>
        </is>
      </c>
      <c r="AV40" s="38" t="inlineStr">
        <is>
          <t>None · guides 1–3 juniors informally</t>
        </is>
      </c>
      <c r="AW40" s="38" t="inlineStr">
        <is>
          <t>P2 · SFIA 3 Apply</t>
        </is>
      </c>
      <c r="AX4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0" s="39" t="inlineStr">
        <is>
          <t>A3</t>
        </is>
      </c>
      <c r="AZ40" s="40" t="inlineStr">
        <is>
          <t>Band A · Practitioner · Senior Associate</t>
        </is>
      </c>
      <c r="BA40" s="40" t="inlineStr">
        <is>
          <t>Model B1 from the six ratings, the market-derived weights and rules R1–R13 · then Level rule: manager B1; a reportee sits at least one level below · B1 → A3 · move down · pay and title protected for one cycle</t>
        </is>
      </c>
      <c r="BB40" s="41" t="inlineStr">
        <is>
          <t>B1</t>
        </is>
      </c>
      <c r="BC40" s="40" t="inlineStr">
        <is>
          <t>The six ratings on the market-average weights of Band A · all tracks score 3.63 → B1 · Hay, Mercer IPE and public plans · experience 15.5 yrs vs the B1 market range 4–8</t>
        </is>
      </c>
      <c r="BD40" s="42">
        <f>IF(SUM(BM40,BN40,BO40,BP40,BQ40,BR40,BS40)=0,0,(BM40*BT40+BN40*BU40+BO40*BV40+BP40*BW40+BQ40*BX40+BR40*BY40+BS40*BZ40)/SUM(BM40,BN40,BO40,BP40,BQ40,BR40,BS40))</f>
        <v>0</v>
      </c>
      <c r="BE40" s="41" t="str">
        <f>IF(LEFT(AY40,1)="X",AY40,IF(OR(AY40="B+",AY40="C+"),INDEX(LAD_PC,MAX(1,MIN(14,MATCH(AY40,LAD_PC,0)+IF(BD40&gt;=0.5,1,IF(BD40&lt;=-0.5,-1,0))))),INDEX(LAD_STD,MAX(1,MIN(12,MATCH(AY40,LAD_STD,0)+IF(BD40&gt;=0.5,1,IF(BD40&lt;=-0.5,-1,0)))))))</f>
        <v>A3</v>
      </c>
      <c r="BF40" s="43" t="n"/>
      <c r="BG40" s="41" t="str">
        <f>IF(BF40&lt;&gt;"",BF40,BE40)</f>
        <v>A3</v>
      </c>
      <c r="BH40" s="40" t="str">
        <f>IFERROR(CHOOSE(INDEX(B_RANK,MATCH(BG40,B_LVL,0)),"Band A","Band B","B+ · Player-Coach","Band C","C+ · Player-Coach","Band D","Band E"),"Band X · Consultant")</f>
        <v>Band A</v>
      </c>
      <c r="BI40" s="40" t="str">
        <f>IF(BG40=AY40,"• Same",IF(INDEX(B_VAL,MATCH(BG40,B_LVL,0))&gt;INDEX(B_VAL,MATCH(AY40,B_LVL,0)),"▲ Up","▼ Down"))</f>
        <v>• Same</v>
      </c>
      <c r="BJ40" s="40" t="str">
        <f>IF(OR($M40="",$M40="—",$M40="Not in this file"),"",IFERROR(INDEX($BG$7:$BG$592,MATCH($M40,$D$7:$D$592,0)),""))</f>
        <v>B1</v>
      </c>
      <c r="BK40" s="40" t="str">
        <f>IFERROR(IF(BJ40="","—",IF(OR(LEFT(BG40,1)="X",LEFT(BJ40,1)="X"),"—",IF(AND(LEFT(BG40,1)="E",LEFT(BJ40,1)="E"),"Exception · Band E",IF(AND(INDEX(B_VAL,MATCH(BJ40,B_LVL,0))&gt;=7,INDEX(B_RANK,MATCH(BG40,B_LVL,0))&gt;=INDEX(B_RANK,MATCH(BJ40,B_LVL,0))),"⚠ Same band as a head manager",IF(INDEX(B_VAL,MATCH(BG40,B_LVL,0))&gt;=INDEX(B_VAL,MATCH(BJ40,B_LVL,0)),"⚠ At or above the manager's level","OK"))))),"—")</f>
        <v>OK</v>
      </c>
      <c r="BL40" s="43" t="n"/>
      <c r="BM40" s="44">
        <f>IFERROR(INDEX(LMH_PTS,MATCH(Y40,LMH_KEY,0)),0)</f>
        <v>9</v>
      </c>
      <c r="BN40" s="38">
        <f>IFERROR(INDEX(LMH_PTS,MATCH(Z40,LMH_KEY,0)),0)</f>
        <v>3</v>
      </c>
      <c r="BO40" s="38">
        <f>IFERROR(INDEX(LMH_PTS,MATCH(AA40,LMH_KEY,0)),0)</f>
        <v>3</v>
      </c>
      <c r="BP40" s="38">
        <f>IFERROR(INDEX(LMH_PTS,MATCH(AB40,LMH_KEY,0)),0)</f>
        <v>1</v>
      </c>
      <c r="BQ40" s="38">
        <f>IFERROR(INDEX(LMH_PTS,MATCH(AC40,LMH_KEY,0)),0)</f>
        <v>1</v>
      </c>
      <c r="BR40" s="38">
        <f>IFERROR(INDEX(LMH_PTS,MATCH(AD40,LMH_KEY,0)),0)</f>
        <v>1</v>
      </c>
      <c r="BS40" s="38">
        <f>IFERROR(INDEX(LMH_PTS,MATCH(AE40,LMH_KEY,0)),0)</f>
        <v>1</v>
      </c>
      <c r="BT40" s="38">
        <f>IFERROR(INDEX(LMH_STEP,MATCH(AF40,LMH_KEY,0)),0)</f>
        <v>0</v>
      </c>
      <c r="BU40" s="38">
        <f>IFERROR(INDEX(LMH_STEP,MATCH(AG40,LMH_KEY,0)),0)</f>
        <v>0</v>
      </c>
      <c r="BV40" s="38">
        <f>IFERROR(INDEX(LMH_STEP,MATCH(AH40,LMH_KEY,0)),0)</f>
        <v>0</v>
      </c>
      <c r="BW40" s="38">
        <f>IFERROR(INDEX(LMH_STEP,MATCH(AI40,LMH_KEY,0)),0)</f>
        <v>0</v>
      </c>
      <c r="BX40" s="38">
        <f>IFERROR(INDEX(LMH_STEP,MATCH(AJ40,LMH_KEY,0)),0)</f>
        <v>0</v>
      </c>
      <c r="BY40" s="38">
        <f>IFERROR(INDEX(LMH_STEP,MATCH(AK40,LMH_KEY,0)),0)</f>
        <v>0</v>
      </c>
      <c r="BZ40" s="38">
        <f>IFERROR(INDEX(LMH_STEP,MATCH(AL40,LMH_KEY,0)),0)</f>
        <v>0</v>
      </c>
      <c r="CA40" s="38" t="inlineStr">
        <is>
          <t>CARBON|Services|XBRL Specialist|A3|A</t>
        </is>
      </c>
    </row>
    <row r="41" ht="110" customHeight="1">
      <c r="A41" s="28" t="inlineStr">
        <is>
          <t>CARBON</t>
        </is>
      </c>
      <c r="B41" s="29" t="inlineStr">
        <is>
          <t>Services</t>
        </is>
      </c>
      <c r="C41" s="29" t="n">
        <v>7</v>
      </c>
      <c r="D41" s="29" t="inlineStr">
        <is>
          <t>IRIS0547</t>
        </is>
      </c>
      <c r="E41" s="29" t="inlineStr">
        <is>
          <t>Pradul Meshram</t>
        </is>
      </c>
      <c r="F41" s="29" t="inlineStr">
        <is>
          <t>Senior Financial Analyst</t>
        </is>
      </c>
      <c r="G41" s="29" t="inlineStr">
        <is>
          <t>XBRL Specialist</t>
        </is>
      </c>
      <c r="H41" s="29" t="inlineStr">
        <is>
          <t>Consulting &amp; Professional Services</t>
        </is>
      </c>
      <c r="I41" s="29" t="inlineStr">
        <is>
          <t>XBRL Tagging, Conversion &amp; Filing</t>
        </is>
      </c>
      <c r="J41" s="29" t="inlineStr">
        <is>
          <t>IC</t>
        </is>
      </c>
      <c r="K41" s="29" t="inlineStr">
        <is>
          <t>RC-026</t>
        </is>
      </c>
      <c r="L41" s="29" t="inlineStr">
        <is>
          <t>Priyanka Jadhav</t>
        </is>
      </c>
      <c r="M41" s="29" t="inlineStr">
        <is>
          <t>IRIS0616</t>
        </is>
      </c>
      <c r="N41" s="29" t="n">
        <v>15.6</v>
      </c>
      <c r="O41" s="29" t="n">
        <v>15.6</v>
      </c>
      <c r="P41" s="29" t="inlineStr">
        <is>
          <t>M.Com</t>
        </is>
      </c>
      <c r="Q41" s="29" t="inlineStr">
        <is>
          <t>L4 – Senior</t>
        </is>
      </c>
      <c r="R41" s="29" t="inlineStr">
        <is>
          <t>B1</t>
        </is>
      </c>
      <c r="S41" s="30" t="inlineStr">
        <is>
          <t>20 of 20</t>
        </is>
      </c>
      <c r="T41" s="31" t="inlineStr">
        <is>
          <t>• Role / sub-team: Services team Disclosure Manageme for Europe countries.</t>
        </is>
      </c>
      <c r="U41"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41" s="31" t="inlineStr">
        <is>
          <t>Latest rating: 4 · Potential: High · 9-box: Core Contributor · Readiness: Ready now</t>
        </is>
      </c>
      <c r="W41" s="31" t="inlineStr">
        <is>
          <t>C M · Au M · Ac M · L L · BI H · Exp H · 15.6 yrs vs 2–4 yrs · Edu H · M.Com</t>
        </is>
      </c>
      <c r="X41" s="33" t="inlineStr">
        <is>
          <t>Open ▸</t>
        </is>
      </c>
      <c r="Y41" s="34" t="str">
        <f>IFERROR(INDEX(DL_C,MATCH($CA41,DL_KEY,0)),"M")</f>
        <v>H</v>
      </c>
      <c r="Z41" s="35" t="str">
        <f>IFERROR(INDEX(DL_Au,MATCH($CA41,DL_KEY,0)),"M")</f>
        <v>M</v>
      </c>
      <c r="AA41" s="35" t="str">
        <f>IFERROR(INDEX(DL_Ac,MATCH($CA41,DL_KEY,0)),"M")</f>
        <v>M</v>
      </c>
      <c r="AB41" s="35" t="str">
        <f>IFERROR(INDEX(DL_L,MATCH($CA41,DL_KEY,0)),"M")</f>
        <v>L</v>
      </c>
      <c r="AC41" s="35" t="str">
        <f>IFERROR(INDEX(DL_BI,MATCH($CA41,DL_KEY,0)),"M")</f>
        <v>L</v>
      </c>
      <c r="AD41" s="35" t="str">
        <f>IFERROR(INDEX(DL_Exp,MATCH($CA41,DL_KEY,0)),"M")</f>
        <v>L</v>
      </c>
      <c r="AE41" s="35" t="str">
        <f>IFERROR(INDEX(DL_Edu,MATCH($CA41,DL_KEY,0)),"M")</f>
        <v>L</v>
      </c>
      <c r="AF41" s="34" t="inlineStr">
        <is>
          <t>M</t>
        </is>
      </c>
      <c r="AG41" s="35" t="inlineStr">
        <is>
          <t>M</t>
        </is>
      </c>
      <c r="AH41" s="35" t="inlineStr">
        <is>
          <t>M</t>
        </is>
      </c>
      <c r="AI41" s="35" t="inlineStr">
        <is>
          <t>M</t>
        </is>
      </c>
      <c r="AJ41" s="35" t="inlineStr">
        <is>
          <t>M</t>
        </is>
      </c>
      <c r="AK41" s="35" t="inlineStr">
        <is>
          <t>M</t>
        </is>
      </c>
      <c r="AL41" s="35" t="inlineStr">
        <is>
          <t>M</t>
        </is>
      </c>
      <c r="AM41" s="36" t="n">
        <v>0.583</v>
      </c>
      <c r="AN41" s="37" t="n">
        <v>0.16</v>
      </c>
      <c r="AO41" s="37" t="n">
        <v>0.09</v>
      </c>
      <c r="AP41" s="37" t="n">
        <v>0</v>
      </c>
      <c r="AQ41" s="37" t="n">
        <v>0.063</v>
      </c>
      <c r="AR41" s="37" t="n">
        <v>0.06</v>
      </c>
      <c r="AS41" s="37" t="n">
        <v>0.04</v>
      </c>
      <c r="AT41" s="38" t="inlineStr">
        <is>
          <t>2–5</t>
        </is>
      </c>
      <c r="AU41" s="38" t="inlineStr">
        <is>
          <t>Graduate; relevant certification preferred</t>
        </is>
      </c>
      <c r="AV41" s="38" t="inlineStr">
        <is>
          <t>None · guides 1–3 juniors informally</t>
        </is>
      </c>
      <c r="AW41" s="38" t="inlineStr">
        <is>
          <t>P2 · SFIA 3 Apply</t>
        </is>
      </c>
      <c r="AX4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1" s="39" t="inlineStr">
        <is>
          <t>A3</t>
        </is>
      </c>
      <c r="AZ41" s="40" t="inlineStr">
        <is>
          <t>Band A · Practitioner · Senior Associate</t>
        </is>
      </c>
      <c r="BA41" s="40" t="inlineStr">
        <is>
          <t>Model B1 from the six ratings, the market-derived weights and rules R1–R13 · then Level rule: manager B1; a reportee sits at least one level below · B1 → A3 · move down · pay and title protected for one cycle</t>
        </is>
      </c>
      <c r="BB41" s="41" t="inlineStr">
        <is>
          <t>B1</t>
        </is>
      </c>
      <c r="BC41" s="40" t="inlineStr">
        <is>
          <t>The six ratings on the market-average weights of Band A · all tracks score 3.67 → B1 · Hay, Mercer IPE and public plans · experience 15.6 yrs vs the B1 market range 4–8</t>
        </is>
      </c>
      <c r="BD41" s="42">
        <f>IF(SUM(BM41,BN41,BO41,BP41,BQ41,BR41,BS41)=0,0,(BM41*BT41+BN41*BU41+BO41*BV41+BP41*BW41+BQ41*BX41+BR41*BY41+BS41*BZ41)/SUM(BM41,BN41,BO41,BP41,BQ41,BR41,BS41))</f>
        <v>0</v>
      </c>
      <c r="BE41" s="41" t="str">
        <f>IF(LEFT(AY41,1)="X",AY41,IF(OR(AY41="B+",AY41="C+"),INDEX(LAD_PC,MAX(1,MIN(14,MATCH(AY41,LAD_PC,0)+IF(BD41&gt;=0.5,1,IF(BD41&lt;=-0.5,-1,0))))),INDEX(LAD_STD,MAX(1,MIN(12,MATCH(AY41,LAD_STD,0)+IF(BD41&gt;=0.5,1,IF(BD41&lt;=-0.5,-1,0)))))))</f>
        <v>A3</v>
      </c>
      <c r="BF41" s="43" t="n"/>
      <c r="BG41" s="41" t="str">
        <f>IF(BF41&lt;&gt;"",BF41,BE41)</f>
        <v>A3</v>
      </c>
      <c r="BH41" s="40" t="str">
        <f>IFERROR(CHOOSE(INDEX(B_RANK,MATCH(BG41,B_LVL,0)),"Band A","Band B","B+ · Player-Coach","Band C","C+ · Player-Coach","Band D","Band E"),"Band X · Consultant")</f>
        <v>Band A</v>
      </c>
      <c r="BI41" s="40" t="str">
        <f>IF(BG41=AY41,"• Same",IF(INDEX(B_VAL,MATCH(BG41,B_LVL,0))&gt;INDEX(B_VAL,MATCH(AY41,B_LVL,0)),"▲ Up","▼ Down"))</f>
        <v>• Same</v>
      </c>
      <c r="BJ41" s="40" t="str">
        <f>IF(OR($M41="",$M41="—",$M41="Not in this file"),"",IFERROR(INDEX($BG$7:$BG$592,MATCH($M41,$D$7:$D$592,0)),""))</f>
        <v>B1</v>
      </c>
      <c r="BK41" s="40" t="str">
        <f>IFERROR(IF(BJ41="","—",IF(OR(LEFT(BG41,1)="X",LEFT(BJ41,1)="X"),"—",IF(AND(LEFT(BG41,1)="E",LEFT(BJ41,1)="E"),"Exception · Band E",IF(AND(INDEX(B_VAL,MATCH(BJ41,B_LVL,0))&gt;=7,INDEX(B_RANK,MATCH(BG41,B_LVL,0))&gt;=INDEX(B_RANK,MATCH(BJ41,B_LVL,0))),"⚠ Same band as a head manager",IF(INDEX(B_VAL,MATCH(BG41,B_LVL,0))&gt;=INDEX(B_VAL,MATCH(BJ41,B_LVL,0)),"⚠ At or above the manager's level","OK"))))),"—")</f>
        <v>OK</v>
      </c>
      <c r="BL41" s="43" t="n"/>
      <c r="BM41" s="44">
        <f>IFERROR(INDEX(LMH_PTS,MATCH(Y41,LMH_KEY,0)),0)</f>
        <v>9</v>
      </c>
      <c r="BN41" s="38">
        <f>IFERROR(INDEX(LMH_PTS,MATCH(Z41,LMH_KEY,0)),0)</f>
        <v>3</v>
      </c>
      <c r="BO41" s="38">
        <f>IFERROR(INDEX(LMH_PTS,MATCH(AA41,LMH_KEY,0)),0)</f>
        <v>3</v>
      </c>
      <c r="BP41" s="38">
        <f>IFERROR(INDEX(LMH_PTS,MATCH(AB41,LMH_KEY,0)),0)</f>
        <v>1</v>
      </c>
      <c r="BQ41" s="38">
        <f>IFERROR(INDEX(LMH_PTS,MATCH(AC41,LMH_KEY,0)),0)</f>
        <v>1</v>
      </c>
      <c r="BR41" s="38">
        <f>IFERROR(INDEX(LMH_PTS,MATCH(AD41,LMH_KEY,0)),0)</f>
        <v>1</v>
      </c>
      <c r="BS41" s="38">
        <f>IFERROR(INDEX(LMH_PTS,MATCH(AE41,LMH_KEY,0)),0)</f>
        <v>1</v>
      </c>
      <c r="BT41" s="38">
        <f>IFERROR(INDEX(LMH_STEP,MATCH(AF41,LMH_KEY,0)),0)</f>
        <v>0</v>
      </c>
      <c r="BU41" s="38">
        <f>IFERROR(INDEX(LMH_STEP,MATCH(AG41,LMH_KEY,0)),0)</f>
        <v>0</v>
      </c>
      <c r="BV41" s="38">
        <f>IFERROR(INDEX(LMH_STEP,MATCH(AH41,LMH_KEY,0)),0)</f>
        <v>0</v>
      </c>
      <c r="BW41" s="38">
        <f>IFERROR(INDEX(LMH_STEP,MATCH(AI41,LMH_KEY,0)),0)</f>
        <v>0</v>
      </c>
      <c r="BX41" s="38">
        <f>IFERROR(INDEX(LMH_STEP,MATCH(AJ41,LMH_KEY,0)),0)</f>
        <v>0</v>
      </c>
      <c r="BY41" s="38">
        <f>IFERROR(INDEX(LMH_STEP,MATCH(AK41,LMH_KEY,0)),0)</f>
        <v>0</v>
      </c>
      <c r="BZ41" s="38">
        <f>IFERROR(INDEX(LMH_STEP,MATCH(AL41,LMH_KEY,0)),0)</f>
        <v>0</v>
      </c>
      <c r="CA41" s="38" t="inlineStr">
        <is>
          <t>CARBON|Services|XBRL Specialist|A3|A</t>
        </is>
      </c>
    </row>
    <row r="42" ht="110" customHeight="1">
      <c r="A42" s="28" t="inlineStr">
        <is>
          <t>CARBON</t>
        </is>
      </c>
      <c r="B42" s="29" t="inlineStr">
        <is>
          <t>Services</t>
        </is>
      </c>
      <c r="C42" s="29" t="n">
        <v>7</v>
      </c>
      <c r="D42" s="29" t="inlineStr">
        <is>
          <t>IRIS0812</t>
        </is>
      </c>
      <c r="E42" s="29" t="inlineStr">
        <is>
          <t>Purva Shrivastava</t>
        </is>
      </c>
      <c r="F42" s="29" t="inlineStr">
        <is>
          <t>Senior Financial Analyst</t>
        </is>
      </c>
      <c r="G42" s="29" t="inlineStr">
        <is>
          <t>XBRL Specialist</t>
        </is>
      </c>
      <c r="H42" s="29" t="inlineStr">
        <is>
          <t>Consulting &amp; Professional Services</t>
        </is>
      </c>
      <c r="I42" s="29" t="inlineStr">
        <is>
          <t>XBRL Tagging, Conversion &amp; Filing</t>
        </is>
      </c>
      <c r="J42" s="29" t="inlineStr">
        <is>
          <t>IC</t>
        </is>
      </c>
      <c r="K42" s="29" t="inlineStr">
        <is>
          <t>RC-026</t>
        </is>
      </c>
      <c r="L42" s="29" t="inlineStr">
        <is>
          <t>Priyanka Jadhav</t>
        </is>
      </c>
      <c r="M42" s="29" t="inlineStr">
        <is>
          <t>IRIS0616</t>
        </is>
      </c>
      <c r="N42" s="29" t="n">
        <v>16.1</v>
      </c>
      <c r="O42" s="29" t="n">
        <v>15.1</v>
      </c>
      <c r="P42" s="29" t="inlineStr">
        <is>
          <t>MBA</t>
        </is>
      </c>
      <c r="Q42" s="29" t="inlineStr">
        <is>
          <t>L4 – Senior</t>
        </is>
      </c>
      <c r="R42" s="29" t="inlineStr">
        <is>
          <t>B1</t>
        </is>
      </c>
      <c r="S42" s="30" t="inlineStr">
        <is>
          <t>19 of 20</t>
        </is>
      </c>
      <c r="T42" s="31" t="inlineStr">
        <is>
          <t>• Role / sub-team: Quality check analyst, Disclosure management, Infocamere, KVK, ESG documents processing.</t>
        </is>
      </c>
      <c r="U42"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42" s="31" t="inlineStr">
        <is>
          <t>Latest rating: 3 · Potential: Medium · 9-box: Core Contributor · Readiness: Develop in role</t>
        </is>
      </c>
      <c r="W42" s="31" t="inlineStr">
        <is>
          <t>C M · Au M · Ac M · L M · BI M · Exp H · 16.1 yrs vs 2–4 yrs · Edu H · MBA</t>
        </is>
      </c>
      <c r="X42" s="33" t="inlineStr">
        <is>
          <t>Open ▸</t>
        </is>
      </c>
      <c r="Y42" s="34" t="str">
        <f>IFERROR(INDEX(DL_C,MATCH($CA42,DL_KEY,0)),"M")</f>
        <v>H</v>
      </c>
      <c r="Z42" s="35" t="str">
        <f>IFERROR(INDEX(DL_Au,MATCH($CA42,DL_KEY,0)),"M")</f>
        <v>M</v>
      </c>
      <c r="AA42" s="35" t="str">
        <f>IFERROR(INDEX(DL_Ac,MATCH($CA42,DL_KEY,0)),"M")</f>
        <v>M</v>
      </c>
      <c r="AB42" s="35" t="str">
        <f>IFERROR(INDEX(DL_L,MATCH($CA42,DL_KEY,0)),"M")</f>
        <v>L</v>
      </c>
      <c r="AC42" s="35" t="str">
        <f>IFERROR(INDEX(DL_BI,MATCH($CA42,DL_KEY,0)),"M")</f>
        <v>L</v>
      </c>
      <c r="AD42" s="35" t="str">
        <f>IFERROR(INDEX(DL_Exp,MATCH($CA42,DL_KEY,0)),"M")</f>
        <v>L</v>
      </c>
      <c r="AE42" s="35" t="str">
        <f>IFERROR(INDEX(DL_Edu,MATCH($CA42,DL_KEY,0)),"M")</f>
        <v>L</v>
      </c>
      <c r="AF42" s="34" t="inlineStr">
        <is>
          <t>M</t>
        </is>
      </c>
      <c r="AG42" s="35" t="inlineStr">
        <is>
          <t>M</t>
        </is>
      </c>
      <c r="AH42" s="35" t="inlineStr">
        <is>
          <t>M</t>
        </is>
      </c>
      <c r="AI42" s="35" t="inlineStr">
        <is>
          <t>M</t>
        </is>
      </c>
      <c r="AJ42" s="35" t="inlineStr">
        <is>
          <t>M</t>
        </is>
      </c>
      <c r="AK42" s="35" t="inlineStr">
        <is>
          <t>M</t>
        </is>
      </c>
      <c r="AL42" s="35" t="inlineStr">
        <is>
          <t>M</t>
        </is>
      </c>
      <c r="AM42" s="36" t="n">
        <v>0.583</v>
      </c>
      <c r="AN42" s="37" t="n">
        <v>0.16</v>
      </c>
      <c r="AO42" s="37" t="n">
        <v>0.09</v>
      </c>
      <c r="AP42" s="37" t="n">
        <v>0</v>
      </c>
      <c r="AQ42" s="37" t="n">
        <v>0.063</v>
      </c>
      <c r="AR42" s="37" t="n">
        <v>0.06</v>
      </c>
      <c r="AS42" s="37" t="n">
        <v>0.04</v>
      </c>
      <c r="AT42" s="38" t="inlineStr">
        <is>
          <t>2–5</t>
        </is>
      </c>
      <c r="AU42" s="38" t="inlineStr">
        <is>
          <t>Graduate; relevant certification preferred</t>
        </is>
      </c>
      <c r="AV42" s="38" t="inlineStr">
        <is>
          <t>None · guides 1–3 juniors informally</t>
        </is>
      </c>
      <c r="AW42" s="38" t="inlineStr">
        <is>
          <t>P2 · SFIA 3 Apply</t>
        </is>
      </c>
      <c r="AX4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2" s="39" t="inlineStr">
        <is>
          <t>A3</t>
        </is>
      </c>
      <c r="AZ42" s="40" t="inlineStr">
        <is>
          <t>Band A · Practitioner · Senior Associate</t>
        </is>
      </c>
      <c r="BA42" s="40" t="inlineStr">
        <is>
          <t>Model B1 from the six ratings, the market-derived weights and rules R1–R13 · then Level rule: manager B1; a reportee sits at least one level below · B1 → A3 · move down · pay and title protected for one cycle</t>
        </is>
      </c>
      <c r="BB42" s="41" t="inlineStr">
        <is>
          <t>B1</t>
        </is>
      </c>
      <c r="BC42" s="40" t="inlineStr">
        <is>
          <t>The six ratings on the market-average weights of Band A · all tracks score 3.55 → B1 · Hay, Mercer IPE and public plans · experience 16.1 yrs vs the B1 market range 4–8</t>
        </is>
      </c>
      <c r="BD42" s="42">
        <f>IF(SUM(BM42,BN42,BO42,BP42,BQ42,BR42,BS42)=0,0,(BM42*BT42+BN42*BU42+BO42*BV42+BP42*BW42+BQ42*BX42+BR42*BY42+BS42*BZ42)/SUM(BM42,BN42,BO42,BP42,BQ42,BR42,BS42))</f>
        <v>0</v>
      </c>
      <c r="BE42" s="41" t="str">
        <f>IF(LEFT(AY42,1)="X",AY42,IF(OR(AY42="B+",AY42="C+"),INDEX(LAD_PC,MAX(1,MIN(14,MATCH(AY42,LAD_PC,0)+IF(BD42&gt;=0.5,1,IF(BD42&lt;=-0.5,-1,0))))),INDEX(LAD_STD,MAX(1,MIN(12,MATCH(AY42,LAD_STD,0)+IF(BD42&gt;=0.5,1,IF(BD42&lt;=-0.5,-1,0)))))))</f>
        <v>A3</v>
      </c>
      <c r="BF42" s="43" t="n"/>
      <c r="BG42" s="41" t="str">
        <f>IF(BF42&lt;&gt;"",BF42,BE42)</f>
        <v>A3</v>
      </c>
      <c r="BH42" s="40" t="str">
        <f>IFERROR(CHOOSE(INDEX(B_RANK,MATCH(BG42,B_LVL,0)),"Band A","Band B","B+ · Player-Coach","Band C","C+ · Player-Coach","Band D","Band E"),"Band X · Consultant")</f>
        <v>Band A</v>
      </c>
      <c r="BI42" s="40" t="str">
        <f>IF(BG42=AY42,"• Same",IF(INDEX(B_VAL,MATCH(BG42,B_LVL,0))&gt;INDEX(B_VAL,MATCH(AY42,B_LVL,0)),"▲ Up","▼ Down"))</f>
        <v>• Same</v>
      </c>
      <c r="BJ42" s="40" t="str">
        <f>IF(OR($M42="",$M42="—",$M42="Not in this file"),"",IFERROR(INDEX($BG$7:$BG$592,MATCH($M42,$D$7:$D$592,0)),""))</f>
        <v>B1</v>
      </c>
      <c r="BK42" s="40" t="str">
        <f>IFERROR(IF(BJ42="","—",IF(OR(LEFT(BG42,1)="X",LEFT(BJ42,1)="X"),"—",IF(AND(LEFT(BG42,1)="E",LEFT(BJ42,1)="E"),"Exception · Band E",IF(AND(INDEX(B_VAL,MATCH(BJ42,B_LVL,0))&gt;=7,INDEX(B_RANK,MATCH(BG42,B_LVL,0))&gt;=INDEX(B_RANK,MATCH(BJ42,B_LVL,0))),"⚠ Same band as a head manager",IF(INDEX(B_VAL,MATCH(BG42,B_LVL,0))&gt;=INDEX(B_VAL,MATCH(BJ42,B_LVL,0)),"⚠ At or above the manager's level","OK"))))),"—")</f>
        <v>OK</v>
      </c>
      <c r="BL42" s="43" t="n"/>
      <c r="BM42" s="44">
        <f>IFERROR(INDEX(LMH_PTS,MATCH(Y42,LMH_KEY,0)),0)</f>
        <v>9</v>
      </c>
      <c r="BN42" s="38">
        <f>IFERROR(INDEX(LMH_PTS,MATCH(Z42,LMH_KEY,0)),0)</f>
        <v>3</v>
      </c>
      <c r="BO42" s="38">
        <f>IFERROR(INDEX(LMH_PTS,MATCH(AA42,LMH_KEY,0)),0)</f>
        <v>3</v>
      </c>
      <c r="BP42" s="38">
        <f>IFERROR(INDEX(LMH_PTS,MATCH(AB42,LMH_KEY,0)),0)</f>
        <v>1</v>
      </c>
      <c r="BQ42" s="38">
        <f>IFERROR(INDEX(LMH_PTS,MATCH(AC42,LMH_KEY,0)),0)</f>
        <v>1</v>
      </c>
      <c r="BR42" s="38">
        <f>IFERROR(INDEX(LMH_PTS,MATCH(AD42,LMH_KEY,0)),0)</f>
        <v>1</v>
      </c>
      <c r="BS42" s="38">
        <f>IFERROR(INDEX(LMH_PTS,MATCH(AE42,LMH_KEY,0)),0)</f>
        <v>1</v>
      </c>
      <c r="BT42" s="38">
        <f>IFERROR(INDEX(LMH_STEP,MATCH(AF42,LMH_KEY,0)),0)</f>
        <v>0</v>
      </c>
      <c r="BU42" s="38">
        <f>IFERROR(INDEX(LMH_STEP,MATCH(AG42,LMH_KEY,0)),0)</f>
        <v>0</v>
      </c>
      <c r="BV42" s="38">
        <f>IFERROR(INDEX(LMH_STEP,MATCH(AH42,LMH_KEY,0)),0)</f>
        <v>0</v>
      </c>
      <c r="BW42" s="38">
        <f>IFERROR(INDEX(LMH_STEP,MATCH(AI42,LMH_KEY,0)),0)</f>
        <v>0</v>
      </c>
      <c r="BX42" s="38">
        <f>IFERROR(INDEX(LMH_STEP,MATCH(AJ42,LMH_KEY,0)),0)</f>
        <v>0</v>
      </c>
      <c r="BY42" s="38">
        <f>IFERROR(INDEX(LMH_STEP,MATCH(AK42,LMH_KEY,0)),0)</f>
        <v>0</v>
      </c>
      <c r="BZ42" s="38">
        <f>IFERROR(INDEX(LMH_STEP,MATCH(AL42,LMH_KEY,0)),0)</f>
        <v>0</v>
      </c>
      <c r="CA42" s="38" t="inlineStr">
        <is>
          <t>CARBON|Services|XBRL Specialist|A3|A</t>
        </is>
      </c>
    </row>
    <row r="43" ht="110" customHeight="1">
      <c r="A43" s="28" t="inlineStr">
        <is>
          <t>CARBON</t>
        </is>
      </c>
      <c r="B43" s="29" t="inlineStr">
        <is>
          <t>Services</t>
        </is>
      </c>
      <c r="C43" s="29" t="n">
        <v>7</v>
      </c>
      <c r="D43" s="29" t="inlineStr">
        <is>
          <t>IRIS0882</t>
        </is>
      </c>
      <c r="E43" s="29" t="inlineStr">
        <is>
          <t>Rupesh Gaikwad</t>
        </is>
      </c>
      <c r="F43" s="29" t="inlineStr">
        <is>
          <t>Senior Financial Analyst</t>
        </is>
      </c>
      <c r="G43" s="29" t="inlineStr">
        <is>
          <t>Service Delivery Specialist</t>
        </is>
      </c>
      <c r="H43" s="29" t="inlineStr">
        <is>
          <t>Consulting &amp; Professional Services</t>
        </is>
      </c>
      <c r="I43" s="29" t="inlineStr">
        <is>
          <t>Service Delivery Operations</t>
        </is>
      </c>
      <c r="J43" s="29" t="inlineStr">
        <is>
          <t>IC</t>
        </is>
      </c>
      <c r="K43" s="29" t="inlineStr">
        <is>
          <t>RC-016</t>
        </is>
      </c>
      <c r="L43" s="29" t="inlineStr">
        <is>
          <t>Priyanka Jadhav</t>
        </is>
      </c>
      <c r="M43" s="29" t="inlineStr">
        <is>
          <t>IRIS0616</t>
        </is>
      </c>
      <c r="N43" s="29" t="n">
        <v>15.1</v>
      </c>
      <c r="O43" s="29" t="n">
        <v>15.1</v>
      </c>
      <c r="P43" s="29" t="inlineStr">
        <is>
          <t>B.Com</t>
        </is>
      </c>
      <c r="Q43" s="29" t="inlineStr">
        <is>
          <t>L4 – Senior</t>
        </is>
      </c>
      <c r="R43" s="29" t="inlineStr">
        <is>
          <t>B1</t>
        </is>
      </c>
      <c r="S43" s="30" t="inlineStr">
        <is>
          <t>18 of 20</t>
        </is>
      </c>
      <c r="T43" s="31" t="inlineStr">
        <is>
          <t>• Role / sub-team: Shift handling and XBRL tagging for EU, Mauritius and MCA market.</t>
        </is>
      </c>
      <c r="U43"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43" s="31" t="inlineStr">
        <is>
          <t>Latest rating: 4 · Potential: High · 9-box: Core Contributor · Readiness: Ready now</t>
        </is>
      </c>
      <c r="W43" s="31" t="inlineStr">
        <is>
          <t>C M · Au M · Ac M · L M · BI H · Exp H · 15.1 yrs vs 2–4 yrs · Edu M · B.Com</t>
        </is>
      </c>
      <c r="X43" s="33" t="inlineStr">
        <is>
          <t>Open ▸</t>
        </is>
      </c>
      <c r="Y43" s="34" t="str">
        <f>IFERROR(INDEX(DL_C,MATCH($CA43,DL_KEY,0)),"M")</f>
        <v>H</v>
      </c>
      <c r="Z43" s="35" t="str">
        <f>IFERROR(INDEX(DL_Au,MATCH($CA43,DL_KEY,0)),"M")</f>
        <v>M</v>
      </c>
      <c r="AA43" s="35" t="str">
        <f>IFERROR(INDEX(DL_Ac,MATCH($CA43,DL_KEY,0)),"M")</f>
        <v>M</v>
      </c>
      <c r="AB43" s="35" t="str">
        <f>IFERROR(INDEX(DL_L,MATCH($CA43,DL_KEY,0)),"M")</f>
        <v>L</v>
      </c>
      <c r="AC43" s="35" t="str">
        <f>IFERROR(INDEX(DL_BI,MATCH($CA43,DL_KEY,0)),"M")</f>
        <v>L</v>
      </c>
      <c r="AD43" s="35" t="str">
        <f>IFERROR(INDEX(DL_Exp,MATCH($CA43,DL_KEY,0)),"M")</f>
        <v>L</v>
      </c>
      <c r="AE43" s="35" t="str">
        <f>IFERROR(INDEX(DL_Edu,MATCH($CA43,DL_KEY,0)),"M")</f>
        <v>L</v>
      </c>
      <c r="AF43" s="34" t="inlineStr">
        <is>
          <t>M</t>
        </is>
      </c>
      <c r="AG43" s="35" t="inlineStr">
        <is>
          <t>M</t>
        </is>
      </c>
      <c r="AH43" s="35" t="inlineStr">
        <is>
          <t>M</t>
        </is>
      </c>
      <c r="AI43" s="35" t="inlineStr">
        <is>
          <t>M</t>
        </is>
      </c>
      <c r="AJ43" s="35" t="inlineStr">
        <is>
          <t>M</t>
        </is>
      </c>
      <c r="AK43" s="35" t="inlineStr">
        <is>
          <t>M</t>
        </is>
      </c>
      <c r="AL43" s="35" t="inlineStr">
        <is>
          <t>M</t>
        </is>
      </c>
      <c r="AM43" s="36" t="n">
        <v>0.583</v>
      </c>
      <c r="AN43" s="37" t="n">
        <v>0.16</v>
      </c>
      <c r="AO43" s="37" t="n">
        <v>0.09</v>
      </c>
      <c r="AP43" s="37" t="n">
        <v>0</v>
      </c>
      <c r="AQ43" s="37" t="n">
        <v>0.063</v>
      </c>
      <c r="AR43" s="37" t="n">
        <v>0.06</v>
      </c>
      <c r="AS43" s="37" t="n">
        <v>0.04</v>
      </c>
      <c r="AT43" s="38" t="inlineStr">
        <is>
          <t>2–5</t>
        </is>
      </c>
      <c r="AU43" s="38" t="inlineStr">
        <is>
          <t>Graduate; relevant certification preferred</t>
        </is>
      </c>
      <c r="AV43" s="38" t="inlineStr">
        <is>
          <t>None · guides 1–3 juniors informally</t>
        </is>
      </c>
      <c r="AW43" s="38" t="inlineStr">
        <is>
          <t>P2 · SFIA 3 Apply</t>
        </is>
      </c>
      <c r="AX4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3" s="39" t="inlineStr">
        <is>
          <t>A3</t>
        </is>
      </c>
      <c r="AZ43" s="40" t="inlineStr">
        <is>
          <t>Band A · Practitioner · Senior Associate</t>
        </is>
      </c>
      <c r="BA43" s="40" t="inlineStr">
        <is>
          <t>Model B1 from the six ratings, the market-derived weights and rules R1–R13 · then Level rule: manager B1; a reportee sits at least one level below · B1 → A3 · move down · pay and title protected for one cycle</t>
        </is>
      </c>
      <c r="BB43" s="41" t="inlineStr">
        <is>
          <t>B1</t>
        </is>
      </c>
      <c r="BC43" s="40" t="inlineStr">
        <is>
          <t>The six ratings on the market-average weights of Band A · all tracks score 3.69 → B1 · Hay, Mercer IPE and public plans · experience 15.1 yrs vs the B1 market range 4–8</t>
        </is>
      </c>
      <c r="BD43" s="42">
        <f>IF(SUM(BM43,BN43,BO43,BP43,BQ43,BR43,BS43)=0,0,(BM43*BT43+BN43*BU43+BO43*BV43+BP43*BW43+BQ43*BX43+BR43*BY43+BS43*BZ43)/SUM(BM43,BN43,BO43,BP43,BQ43,BR43,BS43))</f>
        <v>0</v>
      </c>
      <c r="BE43" s="41" t="str">
        <f>IF(LEFT(AY43,1)="X",AY43,IF(OR(AY43="B+",AY43="C+"),INDEX(LAD_PC,MAX(1,MIN(14,MATCH(AY43,LAD_PC,0)+IF(BD43&gt;=0.5,1,IF(BD43&lt;=-0.5,-1,0))))),INDEX(LAD_STD,MAX(1,MIN(12,MATCH(AY43,LAD_STD,0)+IF(BD43&gt;=0.5,1,IF(BD43&lt;=-0.5,-1,0)))))))</f>
        <v>A3</v>
      </c>
      <c r="BF43" s="43" t="n"/>
      <c r="BG43" s="41" t="str">
        <f>IF(BF43&lt;&gt;"",BF43,BE43)</f>
        <v>A3</v>
      </c>
      <c r="BH43" s="40" t="str">
        <f>IFERROR(CHOOSE(INDEX(B_RANK,MATCH(BG43,B_LVL,0)),"Band A","Band B","B+ · Player-Coach","Band C","C+ · Player-Coach","Band D","Band E"),"Band X · Consultant")</f>
        <v>Band A</v>
      </c>
      <c r="BI43" s="40" t="str">
        <f>IF(BG43=AY43,"• Same",IF(INDEX(B_VAL,MATCH(BG43,B_LVL,0))&gt;INDEX(B_VAL,MATCH(AY43,B_LVL,0)),"▲ Up","▼ Down"))</f>
        <v>• Same</v>
      </c>
      <c r="BJ43" s="40" t="str">
        <f>IF(OR($M43="",$M43="—",$M43="Not in this file"),"",IFERROR(INDEX($BG$7:$BG$592,MATCH($M43,$D$7:$D$592,0)),""))</f>
        <v>B1</v>
      </c>
      <c r="BK43" s="40" t="str">
        <f>IFERROR(IF(BJ43="","—",IF(OR(LEFT(BG43,1)="X",LEFT(BJ43,1)="X"),"—",IF(AND(LEFT(BG43,1)="E",LEFT(BJ43,1)="E"),"Exception · Band E",IF(AND(INDEX(B_VAL,MATCH(BJ43,B_LVL,0))&gt;=7,INDEX(B_RANK,MATCH(BG43,B_LVL,0))&gt;=INDEX(B_RANK,MATCH(BJ43,B_LVL,0))),"⚠ Same band as a head manager",IF(INDEX(B_VAL,MATCH(BG43,B_LVL,0))&gt;=INDEX(B_VAL,MATCH(BJ43,B_LVL,0)),"⚠ At or above the manager's level","OK"))))),"—")</f>
        <v>OK</v>
      </c>
      <c r="BL43" s="43" t="n"/>
      <c r="BM43" s="44">
        <f>IFERROR(INDEX(LMH_PTS,MATCH(Y43,LMH_KEY,0)),0)</f>
        <v>9</v>
      </c>
      <c r="BN43" s="38">
        <f>IFERROR(INDEX(LMH_PTS,MATCH(Z43,LMH_KEY,0)),0)</f>
        <v>3</v>
      </c>
      <c r="BO43" s="38">
        <f>IFERROR(INDEX(LMH_PTS,MATCH(AA43,LMH_KEY,0)),0)</f>
        <v>3</v>
      </c>
      <c r="BP43" s="38">
        <f>IFERROR(INDEX(LMH_PTS,MATCH(AB43,LMH_KEY,0)),0)</f>
        <v>1</v>
      </c>
      <c r="BQ43" s="38">
        <f>IFERROR(INDEX(LMH_PTS,MATCH(AC43,LMH_KEY,0)),0)</f>
        <v>1</v>
      </c>
      <c r="BR43" s="38">
        <f>IFERROR(INDEX(LMH_PTS,MATCH(AD43,LMH_KEY,0)),0)</f>
        <v>1</v>
      </c>
      <c r="BS43" s="38">
        <f>IFERROR(INDEX(LMH_PTS,MATCH(AE43,LMH_KEY,0)),0)</f>
        <v>1</v>
      </c>
      <c r="BT43" s="38">
        <f>IFERROR(INDEX(LMH_STEP,MATCH(AF43,LMH_KEY,0)),0)</f>
        <v>0</v>
      </c>
      <c r="BU43" s="38">
        <f>IFERROR(INDEX(LMH_STEP,MATCH(AG43,LMH_KEY,0)),0)</f>
        <v>0</v>
      </c>
      <c r="BV43" s="38">
        <f>IFERROR(INDEX(LMH_STEP,MATCH(AH43,LMH_KEY,0)),0)</f>
        <v>0</v>
      </c>
      <c r="BW43" s="38">
        <f>IFERROR(INDEX(LMH_STEP,MATCH(AI43,LMH_KEY,0)),0)</f>
        <v>0</v>
      </c>
      <c r="BX43" s="38">
        <f>IFERROR(INDEX(LMH_STEP,MATCH(AJ43,LMH_KEY,0)),0)</f>
        <v>0</v>
      </c>
      <c r="BY43" s="38">
        <f>IFERROR(INDEX(LMH_STEP,MATCH(AK43,LMH_KEY,0)),0)</f>
        <v>0</v>
      </c>
      <c r="BZ43" s="38">
        <f>IFERROR(INDEX(LMH_STEP,MATCH(AL43,LMH_KEY,0)),0)</f>
        <v>0</v>
      </c>
      <c r="CA43" s="38" t="inlineStr">
        <is>
          <t>CARBON|Services|Service Delivery Specialist|A3|A</t>
        </is>
      </c>
    </row>
    <row r="44" ht="110" customHeight="1">
      <c r="A44" s="28" t="inlineStr">
        <is>
          <t>CARBON</t>
        </is>
      </c>
      <c r="B44" s="29" t="inlineStr">
        <is>
          <t>Services</t>
        </is>
      </c>
      <c r="C44" s="29" t="n">
        <v>7</v>
      </c>
      <c r="D44" s="29" t="inlineStr">
        <is>
          <t>IRIS0145</t>
        </is>
      </c>
      <c r="E44" s="29" t="inlineStr">
        <is>
          <t>Sunita Ram Singh</t>
        </is>
      </c>
      <c r="F44" s="29" t="inlineStr">
        <is>
          <t>Senior Financial Analyst</t>
        </is>
      </c>
      <c r="G44" s="29" t="inlineStr">
        <is>
          <t>Senior Financial Analyst</t>
        </is>
      </c>
      <c r="H44" s="29" t="inlineStr">
        <is>
          <t>Consulting &amp; Professional Services</t>
        </is>
      </c>
      <c r="I44" s="29" t="inlineStr">
        <is>
          <t>XBRL Tagging, Conversion &amp; Filing</t>
        </is>
      </c>
      <c r="J44" s="29" t="inlineStr">
        <is>
          <t>IC</t>
        </is>
      </c>
      <c r="K44" s="29" t="inlineStr">
        <is>
          <t>RC-025</t>
        </is>
      </c>
      <c r="L44" s="29" t="inlineStr">
        <is>
          <t>Priyanka Jadhav</t>
        </is>
      </c>
      <c r="M44" s="29" t="inlineStr">
        <is>
          <t>IRIS0616</t>
        </is>
      </c>
      <c r="N44" s="29" t="n">
        <v>18.8</v>
      </c>
      <c r="O44" s="29" t="n">
        <v>18.8</v>
      </c>
      <c r="P44" s="29" t="inlineStr">
        <is>
          <t>B.Com</t>
        </is>
      </c>
      <c r="Q44" s="29" t="inlineStr">
        <is>
          <t>L4 – Senior</t>
        </is>
      </c>
      <c r="R44" s="29" t="inlineStr">
        <is>
          <t>A3</t>
        </is>
      </c>
      <c r="S44" s="30" t="inlineStr">
        <is>
          <t>20 of 20</t>
        </is>
      </c>
      <c r="T44" s="31" t="inlineStr">
        <is>
          <t>• No input received.</t>
        </is>
      </c>
      <c r="U44"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44" s="31" t="inlineStr">
        <is>
          <t>Latest rating: 3 · Potential: Medium · 9-box: Core Contributor · Readiness: Develop in role</t>
        </is>
      </c>
      <c r="W44" s="31" t="inlineStr">
        <is>
          <t>C M · Au M · Ac M · L L · BI M · Exp H · 18.8 yrs vs 2–4 yrs · Edu M · B.Com</t>
        </is>
      </c>
      <c r="X44" s="33" t="inlineStr">
        <is>
          <t>Open ▸</t>
        </is>
      </c>
      <c r="Y44" s="34" t="str">
        <f>IFERROR(INDEX(DL_C,MATCH($CA44,DL_KEY,0)),"M")</f>
        <v>H</v>
      </c>
      <c r="Z44" s="35" t="str">
        <f>IFERROR(INDEX(DL_Au,MATCH($CA44,DL_KEY,0)),"M")</f>
        <v>M</v>
      </c>
      <c r="AA44" s="35" t="str">
        <f>IFERROR(INDEX(DL_Ac,MATCH($CA44,DL_KEY,0)),"M")</f>
        <v>M</v>
      </c>
      <c r="AB44" s="35" t="str">
        <f>IFERROR(INDEX(DL_L,MATCH($CA44,DL_KEY,0)),"M")</f>
        <v>L</v>
      </c>
      <c r="AC44" s="35" t="str">
        <f>IFERROR(INDEX(DL_BI,MATCH($CA44,DL_KEY,0)),"M")</f>
        <v>L</v>
      </c>
      <c r="AD44" s="35" t="str">
        <f>IFERROR(INDEX(DL_Exp,MATCH($CA44,DL_KEY,0)),"M")</f>
        <v>L</v>
      </c>
      <c r="AE44" s="35" t="str">
        <f>IFERROR(INDEX(DL_Edu,MATCH($CA44,DL_KEY,0)),"M")</f>
        <v>L</v>
      </c>
      <c r="AF44" s="34" t="inlineStr">
        <is>
          <t>M</t>
        </is>
      </c>
      <c r="AG44" s="35" t="inlineStr">
        <is>
          <t>M</t>
        </is>
      </c>
      <c r="AH44" s="35" t="inlineStr">
        <is>
          <t>M</t>
        </is>
      </c>
      <c r="AI44" s="35" t="inlineStr">
        <is>
          <t>M</t>
        </is>
      </c>
      <c r="AJ44" s="35" t="inlineStr">
        <is>
          <t>M</t>
        </is>
      </c>
      <c r="AK44" s="35" t="inlineStr">
        <is>
          <t>M</t>
        </is>
      </c>
      <c r="AL44" s="35" t="inlineStr">
        <is>
          <t>M</t>
        </is>
      </c>
      <c r="AM44" s="36" t="n">
        <v>0.583</v>
      </c>
      <c r="AN44" s="37" t="n">
        <v>0.16</v>
      </c>
      <c r="AO44" s="37" t="n">
        <v>0.09</v>
      </c>
      <c r="AP44" s="37" t="n">
        <v>0</v>
      </c>
      <c r="AQ44" s="37" t="n">
        <v>0.063</v>
      </c>
      <c r="AR44" s="37" t="n">
        <v>0.06</v>
      </c>
      <c r="AS44" s="37" t="n">
        <v>0.04</v>
      </c>
      <c r="AT44" s="38" t="inlineStr">
        <is>
          <t>2–5</t>
        </is>
      </c>
      <c r="AU44" s="38" t="inlineStr">
        <is>
          <t>Graduate; relevant certification preferred</t>
        </is>
      </c>
      <c r="AV44" s="38" t="inlineStr">
        <is>
          <t>None · guides 1–3 juniors informally</t>
        </is>
      </c>
      <c r="AW44" s="38" t="inlineStr">
        <is>
          <t>P2 · SFIA 3 Apply</t>
        </is>
      </c>
      <c r="AX4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4" s="39" t="inlineStr">
        <is>
          <t>A3</t>
        </is>
      </c>
      <c r="AZ44" s="40" t="inlineStr">
        <is>
          <t>Band A · Practitioner · Senior Associate</t>
        </is>
      </c>
      <c r="BA44" s="40" t="inlineStr">
        <is>
          <t>Model A3 from the six ratings, the market-derived weights and rules R1–R13 · then No change · already below the manager</t>
        </is>
      </c>
      <c r="BB44" s="41" t="inlineStr">
        <is>
          <t>B1</t>
        </is>
      </c>
      <c r="BC44" s="40" t="inlineStr">
        <is>
          <t>The six ratings on the market-average weights of Band A · all tracks score 3.53 → B1 · Hay, Mercer IPE and public plans · experience 18.8 yrs vs the B1 market range 4–8</t>
        </is>
      </c>
      <c r="BD44" s="42">
        <f>IF(SUM(BM44,BN44,BO44,BP44,BQ44,BR44,BS44)=0,0,(BM44*BT44+BN44*BU44+BO44*BV44+BP44*BW44+BQ44*BX44+BR44*BY44+BS44*BZ44)/SUM(BM44,BN44,BO44,BP44,BQ44,BR44,BS44))</f>
        <v>0</v>
      </c>
      <c r="BE44" s="41" t="str">
        <f>IF(LEFT(AY44,1)="X",AY44,IF(OR(AY44="B+",AY44="C+"),INDEX(LAD_PC,MAX(1,MIN(14,MATCH(AY44,LAD_PC,0)+IF(BD44&gt;=0.5,1,IF(BD44&lt;=-0.5,-1,0))))),INDEX(LAD_STD,MAX(1,MIN(12,MATCH(AY44,LAD_STD,0)+IF(BD44&gt;=0.5,1,IF(BD44&lt;=-0.5,-1,0)))))))</f>
        <v>A3</v>
      </c>
      <c r="BF44" s="43" t="n"/>
      <c r="BG44" s="41" t="str">
        <f>IF(BF44&lt;&gt;"",BF44,BE44)</f>
        <v>A3</v>
      </c>
      <c r="BH44" s="40" t="str">
        <f>IFERROR(CHOOSE(INDEX(B_RANK,MATCH(BG44,B_LVL,0)),"Band A","Band B","B+ · Player-Coach","Band C","C+ · Player-Coach","Band D","Band E"),"Band X · Consultant")</f>
        <v>Band A</v>
      </c>
      <c r="BI44" s="40" t="str">
        <f>IF(BG44=AY44,"• Same",IF(INDEX(B_VAL,MATCH(BG44,B_LVL,0))&gt;INDEX(B_VAL,MATCH(AY44,B_LVL,0)),"▲ Up","▼ Down"))</f>
        <v>• Same</v>
      </c>
      <c r="BJ44" s="40" t="str">
        <f>IF(OR($M44="",$M44="—",$M44="Not in this file"),"",IFERROR(INDEX($BG$7:$BG$592,MATCH($M44,$D$7:$D$592,0)),""))</f>
        <v>B1</v>
      </c>
      <c r="BK44" s="40" t="str">
        <f>IFERROR(IF(BJ44="","—",IF(OR(LEFT(BG44,1)="X",LEFT(BJ44,1)="X"),"—",IF(AND(LEFT(BG44,1)="E",LEFT(BJ44,1)="E"),"Exception · Band E",IF(AND(INDEX(B_VAL,MATCH(BJ44,B_LVL,0))&gt;=7,INDEX(B_RANK,MATCH(BG44,B_LVL,0))&gt;=INDEX(B_RANK,MATCH(BJ44,B_LVL,0))),"⚠ Same band as a head manager",IF(INDEX(B_VAL,MATCH(BG44,B_LVL,0))&gt;=INDEX(B_VAL,MATCH(BJ44,B_LVL,0)),"⚠ At or above the manager's level","OK"))))),"—")</f>
        <v>OK</v>
      </c>
      <c r="BL44" s="43" t="n"/>
      <c r="BM44" s="44">
        <f>IFERROR(INDEX(LMH_PTS,MATCH(Y44,LMH_KEY,0)),0)</f>
        <v>9</v>
      </c>
      <c r="BN44" s="38">
        <f>IFERROR(INDEX(LMH_PTS,MATCH(Z44,LMH_KEY,0)),0)</f>
        <v>3</v>
      </c>
      <c r="BO44" s="38">
        <f>IFERROR(INDEX(LMH_PTS,MATCH(AA44,LMH_KEY,0)),0)</f>
        <v>3</v>
      </c>
      <c r="BP44" s="38">
        <f>IFERROR(INDEX(LMH_PTS,MATCH(AB44,LMH_KEY,0)),0)</f>
        <v>1</v>
      </c>
      <c r="BQ44" s="38">
        <f>IFERROR(INDEX(LMH_PTS,MATCH(AC44,LMH_KEY,0)),0)</f>
        <v>1</v>
      </c>
      <c r="BR44" s="38">
        <f>IFERROR(INDEX(LMH_PTS,MATCH(AD44,LMH_KEY,0)),0)</f>
        <v>1</v>
      </c>
      <c r="BS44" s="38">
        <f>IFERROR(INDEX(LMH_PTS,MATCH(AE44,LMH_KEY,0)),0)</f>
        <v>1</v>
      </c>
      <c r="BT44" s="38">
        <f>IFERROR(INDEX(LMH_STEP,MATCH(AF44,LMH_KEY,0)),0)</f>
        <v>0</v>
      </c>
      <c r="BU44" s="38">
        <f>IFERROR(INDEX(LMH_STEP,MATCH(AG44,LMH_KEY,0)),0)</f>
        <v>0</v>
      </c>
      <c r="BV44" s="38">
        <f>IFERROR(INDEX(LMH_STEP,MATCH(AH44,LMH_KEY,0)),0)</f>
        <v>0</v>
      </c>
      <c r="BW44" s="38">
        <f>IFERROR(INDEX(LMH_STEP,MATCH(AI44,LMH_KEY,0)),0)</f>
        <v>0</v>
      </c>
      <c r="BX44" s="38">
        <f>IFERROR(INDEX(LMH_STEP,MATCH(AJ44,LMH_KEY,0)),0)</f>
        <v>0</v>
      </c>
      <c r="BY44" s="38">
        <f>IFERROR(INDEX(LMH_STEP,MATCH(AK44,LMH_KEY,0)),0)</f>
        <v>0</v>
      </c>
      <c r="BZ44" s="38">
        <f>IFERROR(INDEX(LMH_STEP,MATCH(AL44,LMH_KEY,0)),0)</f>
        <v>0</v>
      </c>
      <c r="CA44" s="38" t="inlineStr">
        <is>
          <t>CARBON|Services|Senior Financial Analyst|A3|A</t>
        </is>
      </c>
    </row>
    <row r="45" ht="110" customHeight="1">
      <c r="A45" s="28" t="inlineStr">
        <is>
          <t>CARBON</t>
        </is>
      </c>
      <c r="B45" s="29" t="inlineStr">
        <is>
          <t>Services</t>
        </is>
      </c>
      <c r="C45" s="29" t="n">
        <v>7</v>
      </c>
      <c r="D45" s="29" t="inlineStr">
        <is>
          <t>IRIS0128</t>
        </is>
      </c>
      <c r="E45" s="29" t="inlineStr">
        <is>
          <t>Supriya Thakur</t>
        </is>
      </c>
      <c r="F45" s="29" t="inlineStr">
        <is>
          <t>Financial Analyst</t>
        </is>
      </c>
      <c r="G45" s="29" t="inlineStr">
        <is>
          <t>Senior Financial Analyst</t>
        </is>
      </c>
      <c r="H45" s="29" t="inlineStr">
        <is>
          <t>Consulting &amp; Professional Services</t>
        </is>
      </c>
      <c r="I45" s="29" t="inlineStr">
        <is>
          <t>XBRL Tagging, Conversion &amp; Filing</t>
        </is>
      </c>
      <c r="J45" s="29" t="inlineStr">
        <is>
          <t>IC</t>
        </is>
      </c>
      <c r="K45" s="29" t="inlineStr">
        <is>
          <t>RC-025</t>
        </is>
      </c>
      <c r="L45" s="29" t="inlineStr">
        <is>
          <t>Priyanka Jadhav</t>
        </is>
      </c>
      <c r="M45" s="29" t="inlineStr">
        <is>
          <t>IRIS0616</t>
        </is>
      </c>
      <c r="N45" s="29" t="n">
        <v>18.9</v>
      </c>
      <c r="O45" s="29" t="n">
        <v>18.9</v>
      </c>
      <c r="P45" s="29" t="inlineStr">
        <is>
          <t>B.Com</t>
        </is>
      </c>
      <c r="Q45" s="29" t="inlineStr">
        <is>
          <t>L3 – Professional / Associate</t>
        </is>
      </c>
      <c r="R45" s="29" t="inlineStr">
        <is>
          <t>A3</t>
        </is>
      </c>
      <c r="S45" s="30" t="inlineStr">
        <is>
          <t>19 of 20</t>
        </is>
      </c>
      <c r="T45" s="31" t="inlineStr">
        <is>
          <t>• Role / sub-team: XBRL Conversion Service.</t>
        </is>
      </c>
      <c r="U45"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45" s="31" t="inlineStr">
        <is>
          <t>Latest rating: 3 · Potential: Medium · 9-box: Core Contributor · Readiness: Develop in role</t>
        </is>
      </c>
      <c r="W45" s="31" t="inlineStr">
        <is>
          <t>C M · Au L · Ac M · L L · BI M · Exp H · 18.9 yrs vs 2–4 yrs · Edu M · B.Com</t>
        </is>
      </c>
      <c r="X45" s="33" t="inlineStr">
        <is>
          <t>Open ▸</t>
        </is>
      </c>
      <c r="Y45" s="34" t="str">
        <f>IFERROR(INDEX(DL_C,MATCH($CA45,DL_KEY,0)),"M")</f>
        <v>H</v>
      </c>
      <c r="Z45" s="35" t="str">
        <f>IFERROR(INDEX(DL_Au,MATCH($CA45,DL_KEY,0)),"M")</f>
        <v>M</v>
      </c>
      <c r="AA45" s="35" t="str">
        <f>IFERROR(INDEX(DL_Ac,MATCH($CA45,DL_KEY,0)),"M")</f>
        <v>M</v>
      </c>
      <c r="AB45" s="35" t="str">
        <f>IFERROR(INDEX(DL_L,MATCH($CA45,DL_KEY,0)),"M")</f>
        <v>L</v>
      </c>
      <c r="AC45" s="35" t="str">
        <f>IFERROR(INDEX(DL_BI,MATCH($CA45,DL_KEY,0)),"M")</f>
        <v>L</v>
      </c>
      <c r="AD45" s="35" t="str">
        <f>IFERROR(INDEX(DL_Exp,MATCH($CA45,DL_KEY,0)),"M")</f>
        <v>L</v>
      </c>
      <c r="AE45" s="35" t="str">
        <f>IFERROR(INDEX(DL_Edu,MATCH($CA45,DL_KEY,0)),"M")</f>
        <v>L</v>
      </c>
      <c r="AF45" s="34" t="inlineStr">
        <is>
          <t>M</t>
        </is>
      </c>
      <c r="AG45" s="35" t="inlineStr">
        <is>
          <t>M</t>
        </is>
      </c>
      <c r="AH45" s="35" t="inlineStr">
        <is>
          <t>M</t>
        </is>
      </c>
      <c r="AI45" s="35" t="inlineStr">
        <is>
          <t>M</t>
        </is>
      </c>
      <c r="AJ45" s="35" t="inlineStr">
        <is>
          <t>M</t>
        </is>
      </c>
      <c r="AK45" s="35" t="inlineStr">
        <is>
          <t>M</t>
        </is>
      </c>
      <c r="AL45" s="35" t="inlineStr">
        <is>
          <t>M</t>
        </is>
      </c>
      <c r="AM45" s="36" t="n">
        <v>0.583</v>
      </c>
      <c r="AN45" s="37" t="n">
        <v>0.16</v>
      </c>
      <c r="AO45" s="37" t="n">
        <v>0.09</v>
      </c>
      <c r="AP45" s="37" t="n">
        <v>0</v>
      </c>
      <c r="AQ45" s="37" t="n">
        <v>0.063</v>
      </c>
      <c r="AR45" s="37" t="n">
        <v>0.06</v>
      </c>
      <c r="AS45" s="37" t="n">
        <v>0.04</v>
      </c>
      <c r="AT45" s="38" t="inlineStr">
        <is>
          <t>2–5</t>
        </is>
      </c>
      <c r="AU45" s="38" t="inlineStr">
        <is>
          <t>Graduate; relevant certification preferred</t>
        </is>
      </c>
      <c r="AV45" s="38" t="inlineStr">
        <is>
          <t>None · guides 1–3 juniors informally</t>
        </is>
      </c>
      <c r="AW45" s="38" t="inlineStr">
        <is>
          <t>P2 · SFIA 3 Apply</t>
        </is>
      </c>
      <c r="AX4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5" s="39" t="inlineStr">
        <is>
          <t>A3</t>
        </is>
      </c>
      <c r="AZ45" s="40" t="inlineStr">
        <is>
          <t>Band A · Practitioner · Senior Associate</t>
        </is>
      </c>
      <c r="BA45" s="40" t="inlineStr">
        <is>
          <t>Model A3 from the six ratings, the market-derived weights and rules R1–R13 · then No change · already below the manager</t>
        </is>
      </c>
      <c r="BB45" s="41" t="inlineStr">
        <is>
          <t>A3</t>
        </is>
      </c>
      <c r="BC45" s="40" t="inlineStr">
        <is>
          <t>The six ratings on the market-average weights of Band A · all tracks score 3.15 → A3 · Hay, Mercer IPE and public plans · experience 18.9 yrs vs the A3 market range 2–5</t>
        </is>
      </c>
      <c r="BD45" s="42">
        <f>IF(SUM(BM45,BN45,BO45,BP45,BQ45,BR45,BS45)=0,0,(BM45*BT45+BN45*BU45+BO45*BV45+BP45*BW45+BQ45*BX45+BR45*BY45+BS45*BZ45)/SUM(BM45,BN45,BO45,BP45,BQ45,BR45,BS45))</f>
        <v>0</v>
      </c>
      <c r="BE45" s="41" t="str">
        <f>IF(LEFT(AY45,1)="X",AY45,IF(OR(AY45="B+",AY45="C+"),INDEX(LAD_PC,MAX(1,MIN(14,MATCH(AY45,LAD_PC,0)+IF(BD45&gt;=0.5,1,IF(BD45&lt;=-0.5,-1,0))))),INDEX(LAD_STD,MAX(1,MIN(12,MATCH(AY45,LAD_STD,0)+IF(BD45&gt;=0.5,1,IF(BD45&lt;=-0.5,-1,0)))))))</f>
        <v>A3</v>
      </c>
      <c r="BF45" s="43" t="n"/>
      <c r="BG45" s="41" t="str">
        <f>IF(BF45&lt;&gt;"",BF45,BE45)</f>
        <v>A3</v>
      </c>
      <c r="BH45" s="40" t="str">
        <f>IFERROR(CHOOSE(INDEX(B_RANK,MATCH(BG45,B_LVL,0)),"Band A","Band B","B+ · Player-Coach","Band C","C+ · Player-Coach","Band D","Band E"),"Band X · Consultant")</f>
        <v>Band A</v>
      </c>
      <c r="BI45" s="40" t="str">
        <f>IF(BG45=AY45,"• Same",IF(INDEX(B_VAL,MATCH(BG45,B_LVL,0))&gt;INDEX(B_VAL,MATCH(AY45,B_LVL,0)),"▲ Up","▼ Down"))</f>
        <v>• Same</v>
      </c>
      <c r="BJ45" s="40" t="str">
        <f>IF(OR($M45="",$M45="—",$M45="Not in this file"),"",IFERROR(INDEX($BG$7:$BG$592,MATCH($M45,$D$7:$D$592,0)),""))</f>
        <v>B1</v>
      </c>
      <c r="BK45" s="40" t="str">
        <f>IFERROR(IF(BJ45="","—",IF(OR(LEFT(BG45,1)="X",LEFT(BJ45,1)="X"),"—",IF(AND(LEFT(BG45,1)="E",LEFT(BJ45,1)="E"),"Exception · Band E",IF(AND(INDEX(B_VAL,MATCH(BJ45,B_LVL,0))&gt;=7,INDEX(B_RANK,MATCH(BG45,B_LVL,0))&gt;=INDEX(B_RANK,MATCH(BJ45,B_LVL,0))),"⚠ Same band as a head manager",IF(INDEX(B_VAL,MATCH(BG45,B_LVL,0))&gt;=INDEX(B_VAL,MATCH(BJ45,B_LVL,0)),"⚠ At or above the manager's level","OK"))))),"—")</f>
        <v>OK</v>
      </c>
      <c r="BL45" s="43" t="n"/>
      <c r="BM45" s="44">
        <f>IFERROR(INDEX(LMH_PTS,MATCH(Y45,LMH_KEY,0)),0)</f>
        <v>9</v>
      </c>
      <c r="BN45" s="38">
        <f>IFERROR(INDEX(LMH_PTS,MATCH(Z45,LMH_KEY,0)),0)</f>
        <v>3</v>
      </c>
      <c r="BO45" s="38">
        <f>IFERROR(INDEX(LMH_PTS,MATCH(AA45,LMH_KEY,0)),0)</f>
        <v>3</v>
      </c>
      <c r="BP45" s="38">
        <f>IFERROR(INDEX(LMH_PTS,MATCH(AB45,LMH_KEY,0)),0)</f>
        <v>1</v>
      </c>
      <c r="BQ45" s="38">
        <f>IFERROR(INDEX(LMH_PTS,MATCH(AC45,LMH_KEY,0)),0)</f>
        <v>1</v>
      </c>
      <c r="BR45" s="38">
        <f>IFERROR(INDEX(LMH_PTS,MATCH(AD45,LMH_KEY,0)),0)</f>
        <v>1</v>
      </c>
      <c r="BS45" s="38">
        <f>IFERROR(INDEX(LMH_PTS,MATCH(AE45,LMH_KEY,0)),0)</f>
        <v>1</v>
      </c>
      <c r="BT45" s="38">
        <f>IFERROR(INDEX(LMH_STEP,MATCH(AF45,LMH_KEY,0)),0)</f>
        <v>0</v>
      </c>
      <c r="BU45" s="38">
        <f>IFERROR(INDEX(LMH_STEP,MATCH(AG45,LMH_KEY,0)),0)</f>
        <v>0</v>
      </c>
      <c r="BV45" s="38">
        <f>IFERROR(INDEX(LMH_STEP,MATCH(AH45,LMH_KEY,0)),0)</f>
        <v>0</v>
      </c>
      <c r="BW45" s="38">
        <f>IFERROR(INDEX(LMH_STEP,MATCH(AI45,LMH_KEY,0)),0)</f>
        <v>0</v>
      </c>
      <c r="BX45" s="38">
        <f>IFERROR(INDEX(LMH_STEP,MATCH(AJ45,LMH_KEY,0)),0)</f>
        <v>0</v>
      </c>
      <c r="BY45" s="38">
        <f>IFERROR(INDEX(LMH_STEP,MATCH(AK45,LMH_KEY,0)),0)</f>
        <v>0</v>
      </c>
      <c r="BZ45" s="38">
        <f>IFERROR(INDEX(LMH_STEP,MATCH(AL45,LMH_KEY,0)),0)</f>
        <v>0</v>
      </c>
      <c r="CA45" s="38" t="inlineStr">
        <is>
          <t>CARBON|Services|Senior Financial Analyst|A3|A</t>
        </is>
      </c>
    </row>
    <row r="46" ht="110" customHeight="1">
      <c r="A46" s="28" t="inlineStr">
        <is>
          <t>CARBON</t>
        </is>
      </c>
      <c r="B46" s="29" t="inlineStr">
        <is>
          <t>Services</t>
        </is>
      </c>
      <c r="C46" s="29" t="n">
        <v>7</v>
      </c>
      <c r="D46" s="29" t="inlineStr">
        <is>
          <t>IRIS0819</t>
        </is>
      </c>
      <c r="E46" s="29" t="inlineStr">
        <is>
          <t>Vikram Bangera</t>
        </is>
      </c>
      <c r="F46" s="29" t="inlineStr">
        <is>
          <t>Senior Financial Analyst</t>
        </is>
      </c>
      <c r="G46" s="29" t="inlineStr">
        <is>
          <t>Senior Financial Analyst</t>
        </is>
      </c>
      <c r="H46" s="29" t="inlineStr">
        <is>
          <t>Consulting &amp; Professional Services</t>
        </is>
      </c>
      <c r="I46" s="29" t="inlineStr">
        <is>
          <t>XBRL Tagging, Conversion &amp; Filing</t>
        </is>
      </c>
      <c r="J46" s="29" t="inlineStr">
        <is>
          <t>IC</t>
        </is>
      </c>
      <c r="K46" s="29" t="inlineStr">
        <is>
          <t>RC-025</t>
        </is>
      </c>
      <c r="L46" s="29" t="inlineStr">
        <is>
          <t>Priyanka Jadhav</t>
        </is>
      </c>
      <c r="M46" s="29" t="inlineStr">
        <is>
          <t>IRIS0616</t>
        </is>
      </c>
      <c r="N46" s="29" t="n">
        <v>15.6</v>
      </c>
      <c r="O46" s="29" t="n">
        <v>15.1</v>
      </c>
      <c r="P46" s="29" t="inlineStr">
        <is>
          <t>B.Com</t>
        </is>
      </c>
      <c r="Q46" s="29" t="inlineStr">
        <is>
          <t>L4 – Senior</t>
        </is>
      </c>
      <c r="R46" s="29" t="inlineStr">
        <is>
          <t>A3</t>
        </is>
      </c>
      <c r="S46" s="30" t="inlineStr">
        <is>
          <t>18 of 20</t>
        </is>
      </c>
      <c r="T46" s="31" t="inlineStr">
        <is>
          <t>• Role / sub-team: Tagging Analyst, Disclosure management.</t>
        </is>
      </c>
      <c r="U46"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46" s="31" t="inlineStr">
        <is>
          <t>Latest rating: 3 · Potential: High · 9-box: Core Contributor · Readiness: Ready in 6–12 months</t>
        </is>
      </c>
      <c r="W46" s="31" t="inlineStr">
        <is>
          <t>C M · Au M · Ac M · L M · BI M · Exp H · 15.6 yrs vs 2–4 yrs · Edu M · B.Com</t>
        </is>
      </c>
      <c r="X46" s="33" t="inlineStr">
        <is>
          <t>Open ▸</t>
        </is>
      </c>
      <c r="Y46" s="34" t="str">
        <f>IFERROR(INDEX(DL_C,MATCH($CA46,DL_KEY,0)),"M")</f>
        <v>H</v>
      </c>
      <c r="Z46" s="35" t="str">
        <f>IFERROR(INDEX(DL_Au,MATCH($CA46,DL_KEY,0)),"M")</f>
        <v>M</v>
      </c>
      <c r="AA46" s="35" t="str">
        <f>IFERROR(INDEX(DL_Ac,MATCH($CA46,DL_KEY,0)),"M")</f>
        <v>M</v>
      </c>
      <c r="AB46" s="35" t="str">
        <f>IFERROR(INDEX(DL_L,MATCH($CA46,DL_KEY,0)),"M")</f>
        <v>L</v>
      </c>
      <c r="AC46" s="35" t="str">
        <f>IFERROR(INDEX(DL_BI,MATCH($CA46,DL_KEY,0)),"M")</f>
        <v>L</v>
      </c>
      <c r="AD46" s="35" t="str">
        <f>IFERROR(INDEX(DL_Exp,MATCH($CA46,DL_KEY,0)),"M")</f>
        <v>L</v>
      </c>
      <c r="AE46" s="35" t="str">
        <f>IFERROR(INDEX(DL_Edu,MATCH($CA46,DL_KEY,0)),"M")</f>
        <v>L</v>
      </c>
      <c r="AF46" s="34" t="inlineStr">
        <is>
          <t>M</t>
        </is>
      </c>
      <c r="AG46" s="35" t="inlineStr">
        <is>
          <t>M</t>
        </is>
      </c>
      <c r="AH46" s="35" t="inlineStr">
        <is>
          <t>M</t>
        </is>
      </c>
      <c r="AI46" s="35" t="inlineStr">
        <is>
          <t>M</t>
        </is>
      </c>
      <c r="AJ46" s="35" t="inlineStr">
        <is>
          <t>M</t>
        </is>
      </c>
      <c r="AK46" s="35" t="inlineStr">
        <is>
          <t>M</t>
        </is>
      </c>
      <c r="AL46" s="35" t="inlineStr">
        <is>
          <t>M</t>
        </is>
      </c>
      <c r="AM46" s="36" t="n">
        <v>0.583</v>
      </c>
      <c r="AN46" s="37" t="n">
        <v>0.16</v>
      </c>
      <c r="AO46" s="37" t="n">
        <v>0.09</v>
      </c>
      <c r="AP46" s="37" t="n">
        <v>0</v>
      </c>
      <c r="AQ46" s="37" t="n">
        <v>0.063</v>
      </c>
      <c r="AR46" s="37" t="n">
        <v>0.06</v>
      </c>
      <c r="AS46" s="37" t="n">
        <v>0.04</v>
      </c>
      <c r="AT46" s="38" t="inlineStr">
        <is>
          <t>2–5</t>
        </is>
      </c>
      <c r="AU46" s="38" t="inlineStr">
        <is>
          <t>Graduate; relevant certification preferred</t>
        </is>
      </c>
      <c r="AV46" s="38" t="inlineStr">
        <is>
          <t>None · guides 1–3 juniors informally</t>
        </is>
      </c>
      <c r="AW46" s="38" t="inlineStr">
        <is>
          <t>P2 · SFIA 3 Apply</t>
        </is>
      </c>
      <c r="AX4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6" s="39" t="inlineStr">
        <is>
          <t>A3</t>
        </is>
      </c>
      <c r="AZ46" s="40" t="inlineStr">
        <is>
          <t>Band A · Practitioner · Senior Associate</t>
        </is>
      </c>
      <c r="BA46" s="40" t="inlineStr">
        <is>
          <t>Model A3 from the six ratings, the market-derived weights and rules R1–R13 · then No change · already below the manager</t>
        </is>
      </c>
      <c r="BB46" s="41" t="inlineStr">
        <is>
          <t>B1</t>
        </is>
      </c>
      <c r="BC46" s="40" t="inlineStr">
        <is>
          <t>The six ratings on the market-average weights of Band A · all tracks score 3.51 → B1 · Hay, Mercer IPE and public plans · experience 15.6 yrs vs the B1 market range 4–8</t>
        </is>
      </c>
      <c r="BD46" s="42">
        <f>IF(SUM(BM46,BN46,BO46,BP46,BQ46,BR46,BS46)=0,0,(BM46*BT46+BN46*BU46+BO46*BV46+BP46*BW46+BQ46*BX46+BR46*BY46+BS46*BZ46)/SUM(BM46,BN46,BO46,BP46,BQ46,BR46,BS46))</f>
        <v>0</v>
      </c>
      <c r="BE46" s="41" t="str">
        <f>IF(LEFT(AY46,1)="X",AY46,IF(OR(AY46="B+",AY46="C+"),INDEX(LAD_PC,MAX(1,MIN(14,MATCH(AY46,LAD_PC,0)+IF(BD46&gt;=0.5,1,IF(BD46&lt;=-0.5,-1,0))))),INDEX(LAD_STD,MAX(1,MIN(12,MATCH(AY46,LAD_STD,0)+IF(BD46&gt;=0.5,1,IF(BD46&lt;=-0.5,-1,0)))))))</f>
        <v>A3</v>
      </c>
      <c r="BF46" s="43" t="n"/>
      <c r="BG46" s="41" t="str">
        <f>IF(BF46&lt;&gt;"",BF46,BE46)</f>
        <v>A3</v>
      </c>
      <c r="BH46" s="40" t="str">
        <f>IFERROR(CHOOSE(INDEX(B_RANK,MATCH(BG46,B_LVL,0)),"Band A","Band B","B+ · Player-Coach","Band C","C+ · Player-Coach","Band D","Band E"),"Band X · Consultant")</f>
        <v>Band A</v>
      </c>
      <c r="BI46" s="40" t="str">
        <f>IF(BG46=AY46,"• Same",IF(INDEX(B_VAL,MATCH(BG46,B_LVL,0))&gt;INDEX(B_VAL,MATCH(AY46,B_LVL,0)),"▲ Up","▼ Down"))</f>
        <v>• Same</v>
      </c>
      <c r="BJ46" s="40" t="str">
        <f>IF(OR($M46="",$M46="—",$M46="Not in this file"),"",IFERROR(INDEX($BG$7:$BG$592,MATCH($M46,$D$7:$D$592,0)),""))</f>
        <v>B1</v>
      </c>
      <c r="BK46" s="40" t="str">
        <f>IFERROR(IF(BJ46="","—",IF(OR(LEFT(BG46,1)="X",LEFT(BJ46,1)="X"),"—",IF(AND(LEFT(BG46,1)="E",LEFT(BJ46,1)="E"),"Exception · Band E",IF(AND(INDEX(B_VAL,MATCH(BJ46,B_LVL,0))&gt;=7,INDEX(B_RANK,MATCH(BG46,B_LVL,0))&gt;=INDEX(B_RANK,MATCH(BJ46,B_LVL,0))),"⚠ Same band as a head manager",IF(INDEX(B_VAL,MATCH(BG46,B_LVL,0))&gt;=INDEX(B_VAL,MATCH(BJ46,B_LVL,0)),"⚠ At or above the manager's level","OK"))))),"—")</f>
        <v>OK</v>
      </c>
      <c r="BL46" s="43" t="n"/>
      <c r="BM46" s="44">
        <f>IFERROR(INDEX(LMH_PTS,MATCH(Y46,LMH_KEY,0)),0)</f>
        <v>9</v>
      </c>
      <c r="BN46" s="38">
        <f>IFERROR(INDEX(LMH_PTS,MATCH(Z46,LMH_KEY,0)),0)</f>
        <v>3</v>
      </c>
      <c r="BO46" s="38">
        <f>IFERROR(INDEX(LMH_PTS,MATCH(AA46,LMH_KEY,0)),0)</f>
        <v>3</v>
      </c>
      <c r="BP46" s="38">
        <f>IFERROR(INDEX(LMH_PTS,MATCH(AB46,LMH_KEY,0)),0)</f>
        <v>1</v>
      </c>
      <c r="BQ46" s="38">
        <f>IFERROR(INDEX(LMH_PTS,MATCH(AC46,LMH_KEY,0)),0)</f>
        <v>1</v>
      </c>
      <c r="BR46" s="38">
        <f>IFERROR(INDEX(LMH_PTS,MATCH(AD46,LMH_KEY,0)),0)</f>
        <v>1</v>
      </c>
      <c r="BS46" s="38">
        <f>IFERROR(INDEX(LMH_PTS,MATCH(AE46,LMH_KEY,0)),0)</f>
        <v>1</v>
      </c>
      <c r="BT46" s="38">
        <f>IFERROR(INDEX(LMH_STEP,MATCH(AF46,LMH_KEY,0)),0)</f>
        <v>0</v>
      </c>
      <c r="BU46" s="38">
        <f>IFERROR(INDEX(LMH_STEP,MATCH(AG46,LMH_KEY,0)),0)</f>
        <v>0</v>
      </c>
      <c r="BV46" s="38">
        <f>IFERROR(INDEX(LMH_STEP,MATCH(AH46,LMH_KEY,0)),0)</f>
        <v>0</v>
      </c>
      <c r="BW46" s="38">
        <f>IFERROR(INDEX(LMH_STEP,MATCH(AI46,LMH_KEY,0)),0)</f>
        <v>0</v>
      </c>
      <c r="BX46" s="38">
        <f>IFERROR(INDEX(LMH_STEP,MATCH(AJ46,LMH_KEY,0)),0)</f>
        <v>0</v>
      </c>
      <c r="BY46" s="38">
        <f>IFERROR(INDEX(LMH_STEP,MATCH(AK46,LMH_KEY,0)),0)</f>
        <v>0</v>
      </c>
      <c r="BZ46" s="38">
        <f>IFERROR(INDEX(LMH_STEP,MATCH(AL46,LMH_KEY,0)),0)</f>
        <v>0</v>
      </c>
      <c r="CA46" s="38" t="inlineStr">
        <is>
          <t>CARBON|Services|Senior Financial Analyst|A3|A</t>
        </is>
      </c>
    </row>
    <row r="47" ht="110" customHeight="1">
      <c r="A47" s="28" t="inlineStr">
        <is>
          <t>CARBON</t>
        </is>
      </c>
      <c r="B47" s="29" t="inlineStr">
        <is>
          <t>Services</t>
        </is>
      </c>
      <c r="C47" s="29" t="n">
        <v>6</v>
      </c>
      <c r="D47" s="29" t="inlineStr">
        <is>
          <t>IRIS0506</t>
        </is>
      </c>
      <c r="E47" s="29" t="inlineStr">
        <is>
          <t>Shailesh Kumar Sharma</t>
        </is>
      </c>
      <c r="F47" s="29" t="inlineStr">
        <is>
          <t>Process Manager</t>
        </is>
      </c>
      <c r="G47" s="29" t="inlineStr">
        <is>
          <t>Senior Manager – Service Delivery</t>
        </is>
      </c>
      <c r="H47" s="29" t="inlineStr">
        <is>
          <t>Consulting &amp; Professional Services</t>
        </is>
      </c>
      <c r="I47" s="29" t="inlineStr">
        <is>
          <t>Service Delivery Operations</t>
        </is>
      </c>
      <c r="J47" s="29" t="inlineStr">
        <is>
          <t>People Manager</t>
        </is>
      </c>
      <c r="K47" s="29" t="inlineStr">
        <is>
          <t>RC-017</t>
        </is>
      </c>
      <c r="L47" s="29" t="inlineStr">
        <is>
          <t>Shashikant Mudaliar</t>
        </is>
      </c>
      <c r="M47" s="29" t="inlineStr">
        <is>
          <t>IRIS0786</t>
        </is>
      </c>
      <c r="N47" s="29" t="n">
        <v>16</v>
      </c>
      <c r="O47" s="29" t="n">
        <v>15.7</v>
      </c>
      <c r="P47" s="29" t="inlineStr">
        <is>
          <t>B.Com</t>
        </is>
      </c>
      <c r="Q47" s="29" t="inlineStr">
        <is>
          <t>L5 – Manager</t>
        </is>
      </c>
      <c r="R47" s="29" t="inlineStr">
        <is>
          <t>B2</t>
        </is>
      </c>
      <c r="S47" s="30" t="inlineStr">
        <is>
          <t>20 of 20</t>
        </is>
      </c>
      <c r="T47" s="31" t="inlineStr">
        <is>
          <t>• Role / sub-team: XBRL Service as Pmo.</t>
        </is>
      </c>
      <c r="U47" s="31" t="inlineStr">
        <is>
          <t>Received · manager annual · 1.  Ensure files processed by team  with &gt;=99% accuracy · zero critical errors.
2. Meet 100% of regulatory / client filing deadlines · no SLA breaches
3. Maintain average turnaround per assignment within agreed TAT
4. Ensure 0% regulatory rejections across all submitted filings · Excluding issues not highlighted by …</t>
        </is>
      </c>
      <c r="V47" s="31" t="inlineStr">
        <is>
          <t>Latest rating: 3 · Potential: Medium · 9-box: Core Contributor · Readiness: Develop in role</t>
        </is>
      </c>
      <c r="W47" s="31" t="inlineStr">
        <is>
          <t>C M · Au H · Ac H · L H · BI H · Exp H · 16 yrs vs 4–7 yrs · Edu M · B.Com</t>
        </is>
      </c>
      <c r="X47" s="33" t="inlineStr">
        <is>
          <t>Open ▸</t>
        </is>
      </c>
      <c r="Y47" s="34" t="str">
        <f>IFERROR(INDEX(DL_C,MATCH($CA47,DL_KEY,0)),"M")</f>
        <v>H</v>
      </c>
      <c r="Z47" s="35" t="str">
        <f>IFERROR(INDEX(DL_Au,MATCH($CA47,DL_KEY,0)),"M")</f>
        <v>M</v>
      </c>
      <c r="AA47" s="35" t="str">
        <f>IFERROR(INDEX(DL_Ac,MATCH($CA47,DL_KEY,0)),"M")</f>
        <v>M</v>
      </c>
      <c r="AB47" s="35" t="str">
        <f>IFERROR(INDEX(DL_L,MATCH($CA47,DL_KEY,0)),"M")</f>
        <v>M</v>
      </c>
      <c r="AC47" s="35" t="str">
        <f>IFERROR(INDEX(DL_BI,MATCH($CA47,DL_KEY,0)),"M")</f>
        <v>L</v>
      </c>
      <c r="AD47" s="35" t="str">
        <f>IFERROR(INDEX(DL_Exp,MATCH($CA47,DL_KEY,0)),"M")</f>
        <v>L</v>
      </c>
      <c r="AE47" s="35" t="str">
        <f>IFERROR(INDEX(DL_Edu,MATCH($CA47,DL_KEY,0)),"M")</f>
        <v>L</v>
      </c>
      <c r="AF47" s="34" t="inlineStr">
        <is>
          <t>M</t>
        </is>
      </c>
      <c r="AG47" s="35" t="inlineStr">
        <is>
          <t>M</t>
        </is>
      </c>
      <c r="AH47" s="35" t="inlineStr">
        <is>
          <t>M</t>
        </is>
      </c>
      <c r="AI47" s="35" t="inlineStr">
        <is>
          <t>M</t>
        </is>
      </c>
      <c r="AJ47" s="35" t="inlineStr">
        <is>
          <t>M</t>
        </is>
      </c>
      <c r="AK47" s="35" t="inlineStr">
        <is>
          <t>M</t>
        </is>
      </c>
      <c r="AL47" s="35" t="inlineStr">
        <is>
          <t>M</t>
        </is>
      </c>
      <c r="AM47" s="36" t="n">
        <v>0.37</v>
      </c>
      <c r="AN47" s="37" t="n">
        <v>0.183</v>
      </c>
      <c r="AO47" s="37" t="n">
        <v>0.113</v>
      </c>
      <c r="AP47" s="37" t="n">
        <v>0.15</v>
      </c>
      <c r="AQ47" s="37" t="n">
        <v>0.08699999999999999</v>
      </c>
      <c r="AR47" s="37" t="n">
        <v>0.06</v>
      </c>
      <c r="AS47" s="37" t="n">
        <v>0.04</v>
      </c>
      <c r="AT47" s="38" t="inlineStr">
        <is>
          <t>4–8</t>
        </is>
      </c>
      <c r="AU47" s="38" t="inlineStr">
        <is>
          <t>Graduate + relevant qualification or certification preferred</t>
        </is>
      </c>
      <c r="AV47" s="38" t="inlineStr">
        <is>
          <t>IC: none · Team Lead: 3–5</t>
        </is>
      </c>
      <c r="AW47" s="38" t="inlineStr">
        <is>
          <t>P3 / M2 · SFIA 4 Enable</t>
        </is>
      </c>
      <c r="AX4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7" s="39" t="inlineStr">
        <is>
          <t>B1</t>
        </is>
      </c>
      <c r="AZ47" s="40" t="inlineStr">
        <is>
          <t>Band B · Specialist / Manager · Team Lead / Asst Manager</t>
        </is>
      </c>
      <c r="BA47" s="40" t="inlineStr">
        <is>
          <t>Model B2 from the six ratings, the market-derived weights and rules R1–R13 · then Level rule: manager B2; a reportee sits at least one level below · B2 → B1 · move down · pay and title protected for one cycle</t>
        </is>
      </c>
      <c r="BB47" s="41" t="inlineStr">
        <is>
          <t>B2</t>
        </is>
      </c>
      <c r="BC47" s="40" t="inlineStr">
        <is>
          <t>The six ratings on the market-average weights of Band B · People Manager score 5.12 → B2 · Hay, Mercer IPE and public plans · experience 16 yrs vs the B2 market range 6–10</t>
        </is>
      </c>
      <c r="BD47" s="42">
        <f>IF(SUM(BM47,BN47,BO47,BP47,BQ47,BR47,BS47)=0,0,(BM47*BT47+BN47*BU47+BO47*BV47+BP47*BW47+BQ47*BX47+BR47*BY47+BS47*BZ47)/SUM(BM47,BN47,BO47,BP47,BQ47,BR47,BS47))</f>
        <v>0</v>
      </c>
      <c r="BE47" s="41" t="str">
        <f>IF(LEFT(AY47,1)="X",AY47,IF(OR(AY47="B+",AY47="C+"),INDEX(LAD_PC,MAX(1,MIN(14,MATCH(AY47,LAD_PC,0)+IF(BD47&gt;=0.5,1,IF(BD47&lt;=-0.5,-1,0))))),INDEX(LAD_STD,MAX(1,MIN(12,MATCH(AY47,LAD_STD,0)+IF(BD47&gt;=0.5,1,IF(BD47&lt;=-0.5,-1,0)))))))</f>
        <v>B1</v>
      </c>
      <c r="BF47" s="43" t="n"/>
      <c r="BG47" s="41" t="str">
        <f>IF(BF47&lt;&gt;"",BF47,BE47)</f>
        <v>B1</v>
      </c>
      <c r="BH47" s="40" t="str">
        <f>IFERROR(CHOOSE(INDEX(B_RANK,MATCH(BG47,B_LVL,0)),"Band A","Band B","B+ · Player-Coach","Band C","C+ · Player-Coach","Band D","Band E"),"Band X · Consultant")</f>
        <v>Band B</v>
      </c>
      <c r="BI47" s="40" t="str">
        <f>IF(BG47=AY47,"• Same",IF(INDEX(B_VAL,MATCH(BG47,B_LVL,0))&gt;INDEX(B_VAL,MATCH(AY47,B_LVL,0)),"▲ Up","▼ Down"))</f>
        <v>• Same</v>
      </c>
      <c r="BJ47" s="40" t="str">
        <f>IF(OR($M47="",$M47="—",$M47="Not in this file"),"",IFERROR(INDEX($BG$7:$BG$592,MATCH($M47,$D$7:$D$592,0)),""))</f>
        <v>B2</v>
      </c>
      <c r="BK47" s="40" t="str">
        <f>IFERROR(IF(BJ47="","—",IF(OR(LEFT(BG47,1)="X",LEFT(BJ47,1)="X"),"—",IF(AND(LEFT(BG47,1)="E",LEFT(BJ47,1)="E"),"Exception · Band E",IF(AND(INDEX(B_VAL,MATCH(BJ47,B_LVL,0))&gt;=7,INDEX(B_RANK,MATCH(BG47,B_LVL,0))&gt;=INDEX(B_RANK,MATCH(BJ47,B_LVL,0))),"⚠ Same band as a head manager",IF(INDEX(B_VAL,MATCH(BG47,B_LVL,0))&gt;=INDEX(B_VAL,MATCH(BJ47,B_LVL,0)),"⚠ At or above the manager's level","OK"))))),"—")</f>
        <v>OK</v>
      </c>
      <c r="BL47" s="43" t="n"/>
      <c r="BM47" s="44">
        <f>IFERROR(INDEX(LMH_PTS,MATCH(Y47,LMH_KEY,0)),0)</f>
        <v>9</v>
      </c>
      <c r="BN47" s="38">
        <f>IFERROR(INDEX(LMH_PTS,MATCH(Z47,LMH_KEY,0)),0)</f>
        <v>3</v>
      </c>
      <c r="BO47" s="38">
        <f>IFERROR(INDEX(LMH_PTS,MATCH(AA47,LMH_KEY,0)),0)</f>
        <v>3</v>
      </c>
      <c r="BP47" s="38">
        <f>IFERROR(INDEX(LMH_PTS,MATCH(AB47,LMH_KEY,0)),0)</f>
        <v>3</v>
      </c>
      <c r="BQ47" s="38">
        <f>IFERROR(INDEX(LMH_PTS,MATCH(AC47,LMH_KEY,0)),0)</f>
        <v>1</v>
      </c>
      <c r="BR47" s="38">
        <f>IFERROR(INDEX(LMH_PTS,MATCH(AD47,LMH_KEY,0)),0)</f>
        <v>1</v>
      </c>
      <c r="BS47" s="38">
        <f>IFERROR(INDEX(LMH_PTS,MATCH(AE47,LMH_KEY,0)),0)</f>
        <v>1</v>
      </c>
      <c r="BT47" s="38">
        <f>IFERROR(INDEX(LMH_STEP,MATCH(AF47,LMH_KEY,0)),0)</f>
        <v>0</v>
      </c>
      <c r="BU47" s="38">
        <f>IFERROR(INDEX(LMH_STEP,MATCH(AG47,LMH_KEY,0)),0)</f>
        <v>0</v>
      </c>
      <c r="BV47" s="38">
        <f>IFERROR(INDEX(LMH_STEP,MATCH(AH47,LMH_KEY,0)),0)</f>
        <v>0</v>
      </c>
      <c r="BW47" s="38">
        <f>IFERROR(INDEX(LMH_STEP,MATCH(AI47,LMH_KEY,0)),0)</f>
        <v>0</v>
      </c>
      <c r="BX47" s="38">
        <f>IFERROR(INDEX(LMH_STEP,MATCH(AJ47,LMH_KEY,0)),0)</f>
        <v>0</v>
      </c>
      <c r="BY47" s="38">
        <f>IFERROR(INDEX(LMH_STEP,MATCH(AK47,LMH_KEY,0)),0)</f>
        <v>0</v>
      </c>
      <c r="BZ47" s="38">
        <f>IFERROR(INDEX(LMH_STEP,MATCH(AL47,LMH_KEY,0)),0)</f>
        <v>0</v>
      </c>
      <c r="CA47" s="38" t="inlineStr">
        <is>
          <t>CARBON|Services|Senior Manager – Service Delivery|B1|B-M</t>
        </is>
      </c>
    </row>
    <row r="48" ht="110" customHeight="1">
      <c r="A48" s="28" t="inlineStr">
        <is>
          <t>CARBON</t>
        </is>
      </c>
      <c r="B48" s="29" t="inlineStr">
        <is>
          <t>Services</t>
        </is>
      </c>
      <c r="C48" s="29" t="n">
        <v>7</v>
      </c>
      <c r="D48" s="29" t="inlineStr">
        <is>
          <t>IRIS0530</t>
        </is>
      </c>
      <c r="E48" s="29" t="inlineStr">
        <is>
          <t>Vipul Kurhade</t>
        </is>
      </c>
      <c r="F48" s="29" t="inlineStr">
        <is>
          <t>Senior Financial Analyst</t>
        </is>
      </c>
      <c r="G48" s="29" t="inlineStr">
        <is>
          <t>Team Lead – Assisted Services</t>
        </is>
      </c>
      <c r="H48" s="29" t="inlineStr">
        <is>
          <t>Consulting &amp; Professional Services</t>
        </is>
      </c>
      <c r="I48" s="29" t="inlineStr">
        <is>
          <t>XBRL Tagging, Conversion &amp; Filing</t>
        </is>
      </c>
      <c r="J48" s="29" t="inlineStr">
        <is>
          <t>People Manager</t>
        </is>
      </c>
      <c r="K48" s="29" t="inlineStr">
        <is>
          <t>RC-027</t>
        </is>
      </c>
      <c r="L48" s="29" t="inlineStr">
        <is>
          <t>Shailesh Kumar Sharma</t>
        </is>
      </c>
      <c r="M48" s="29" t="inlineStr">
        <is>
          <t>IRIS0506</t>
        </is>
      </c>
      <c r="N48" s="29" t="n">
        <v>16.6</v>
      </c>
      <c r="O48" s="29" t="n">
        <v>15.6</v>
      </c>
      <c r="P48" s="29" t="inlineStr">
        <is>
          <t>B.Com</t>
        </is>
      </c>
      <c r="Q48" s="29" t="inlineStr">
        <is>
          <t>L4 – Senior</t>
        </is>
      </c>
      <c r="R48" s="29" t="inlineStr">
        <is>
          <t>B1</t>
        </is>
      </c>
      <c r="S48" s="30" t="inlineStr">
        <is>
          <t>20 of 20</t>
        </is>
      </c>
      <c r="T48" s="31" t="inlineStr">
        <is>
          <t>• Role / sub-team: Team Lead / PMO - UK conversion team · role inferred from description.</t>
        </is>
      </c>
      <c r="U48"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48" s="31" t="inlineStr">
        <is>
          <t>Latest rating: 4 · Potential: High · 9-box: Core Contributor · Readiness: Ready now</t>
        </is>
      </c>
      <c r="W48" s="31" t="inlineStr">
        <is>
          <t>C M · Au M · Ac M · L M · BI H · Exp H · 16.6 yrs vs 2–4 yrs · Edu M · B.Com</t>
        </is>
      </c>
      <c r="X48" s="33" t="inlineStr">
        <is>
          <t>Open ▸</t>
        </is>
      </c>
      <c r="Y48" s="34" t="str">
        <f>IFERROR(INDEX(DL_C,MATCH($CA48,DL_KEY,0)),"M")</f>
        <v>H</v>
      </c>
      <c r="Z48" s="35" t="str">
        <f>IFERROR(INDEX(DL_Au,MATCH($CA48,DL_KEY,0)),"M")</f>
        <v>M</v>
      </c>
      <c r="AA48" s="35" t="str">
        <f>IFERROR(INDEX(DL_Ac,MATCH($CA48,DL_KEY,0)),"M")</f>
        <v>M</v>
      </c>
      <c r="AB48" s="35" t="str">
        <f>IFERROR(INDEX(DL_L,MATCH($CA48,DL_KEY,0)),"M")</f>
        <v>L</v>
      </c>
      <c r="AC48" s="35" t="str">
        <f>IFERROR(INDEX(DL_BI,MATCH($CA48,DL_KEY,0)),"M")</f>
        <v>L</v>
      </c>
      <c r="AD48" s="35" t="str">
        <f>IFERROR(INDEX(DL_Exp,MATCH($CA48,DL_KEY,0)),"M")</f>
        <v>L</v>
      </c>
      <c r="AE48" s="35" t="str">
        <f>IFERROR(INDEX(DL_Edu,MATCH($CA48,DL_KEY,0)),"M")</f>
        <v>L</v>
      </c>
      <c r="AF48" s="34" t="inlineStr">
        <is>
          <t>M</t>
        </is>
      </c>
      <c r="AG48" s="35" t="inlineStr">
        <is>
          <t>M</t>
        </is>
      </c>
      <c r="AH48" s="35" t="inlineStr">
        <is>
          <t>M</t>
        </is>
      </c>
      <c r="AI48" s="35" t="inlineStr">
        <is>
          <t>M</t>
        </is>
      </c>
      <c r="AJ48" s="35" t="inlineStr">
        <is>
          <t>M</t>
        </is>
      </c>
      <c r="AK48" s="35" t="inlineStr">
        <is>
          <t>M</t>
        </is>
      </c>
      <c r="AL48" s="35" t="inlineStr">
        <is>
          <t>M</t>
        </is>
      </c>
      <c r="AM48" s="36" t="n">
        <v>0.583</v>
      </c>
      <c r="AN48" s="37" t="n">
        <v>0.16</v>
      </c>
      <c r="AO48" s="37" t="n">
        <v>0.09</v>
      </c>
      <c r="AP48" s="37" t="n">
        <v>0</v>
      </c>
      <c r="AQ48" s="37" t="n">
        <v>0.063</v>
      </c>
      <c r="AR48" s="37" t="n">
        <v>0.06</v>
      </c>
      <c r="AS48" s="37" t="n">
        <v>0.04</v>
      </c>
      <c r="AT48" s="38" t="inlineStr">
        <is>
          <t>2–5</t>
        </is>
      </c>
      <c r="AU48" s="38" t="inlineStr">
        <is>
          <t>Graduate; relevant certification preferred</t>
        </is>
      </c>
      <c r="AV48" s="38" t="inlineStr">
        <is>
          <t>None · guides 1–3 juniors informally</t>
        </is>
      </c>
      <c r="AW48" s="38" t="inlineStr">
        <is>
          <t>P2 · SFIA 3 Apply</t>
        </is>
      </c>
      <c r="AX4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8" s="39" t="inlineStr">
        <is>
          <t>A3</t>
        </is>
      </c>
      <c r="AZ48" s="40" t="inlineStr">
        <is>
          <t>Band A · Practitioner · Senior Associate</t>
        </is>
      </c>
      <c r="BA48" s="40" t="inlineStr">
        <is>
          <t>Model B1 from the six ratings, the market-derived weights and rules R1–R13 · then Level rule: manager B1; a reportee sits at least one level below · B1 → A3 · move down · pay and title protected for one cycle</t>
        </is>
      </c>
      <c r="BB48" s="41" t="inlineStr">
        <is>
          <t>B1</t>
        </is>
      </c>
      <c r="BC48" s="40" t="inlineStr">
        <is>
          <t>The six ratings on the market-average weights of Band A · all tracks score 3.58 → B1 · Hay, Mercer IPE and public plans · experience 16.6 yrs vs the B1 market range 4–8</t>
        </is>
      </c>
      <c r="BD48" s="42">
        <f>IF(SUM(BM48,BN48,BO48,BP48,BQ48,BR48,BS48)=0,0,(BM48*BT48+BN48*BU48+BO48*BV48+BP48*BW48+BQ48*BX48+BR48*BY48+BS48*BZ48)/SUM(BM48,BN48,BO48,BP48,BQ48,BR48,BS48))</f>
        <v>0</v>
      </c>
      <c r="BE48" s="41" t="str">
        <f>IF(LEFT(AY48,1)="X",AY48,IF(OR(AY48="B+",AY48="C+"),INDEX(LAD_PC,MAX(1,MIN(14,MATCH(AY48,LAD_PC,0)+IF(BD48&gt;=0.5,1,IF(BD48&lt;=-0.5,-1,0))))),INDEX(LAD_STD,MAX(1,MIN(12,MATCH(AY48,LAD_STD,0)+IF(BD48&gt;=0.5,1,IF(BD48&lt;=-0.5,-1,0)))))))</f>
        <v>A3</v>
      </c>
      <c r="BF48" s="43" t="n"/>
      <c r="BG48" s="41" t="str">
        <f>IF(BF48&lt;&gt;"",BF48,BE48)</f>
        <v>A3</v>
      </c>
      <c r="BH48" s="40" t="str">
        <f>IFERROR(CHOOSE(INDEX(B_RANK,MATCH(BG48,B_LVL,0)),"Band A","Band B","B+ · Player-Coach","Band C","C+ · Player-Coach","Band D","Band E"),"Band X · Consultant")</f>
        <v>Band A</v>
      </c>
      <c r="BI48" s="40" t="str">
        <f>IF(BG48=AY48,"• Same",IF(INDEX(B_VAL,MATCH(BG48,B_LVL,0))&gt;INDEX(B_VAL,MATCH(AY48,B_LVL,0)),"▲ Up","▼ Down"))</f>
        <v>• Same</v>
      </c>
      <c r="BJ48" s="40" t="str">
        <f>IF(OR($M48="",$M48="—",$M48="Not in this file"),"",IFERROR(INDEX($BG$7:$BG$592,MATCH($M48,$D$7:$D$592,0)),""))</f>
        <v>B1</v>
      </c>
      <c r="BK48" s="40" t="str">
        <f>IFERROR(IF(BJ48="","—",IF(OR(LEFT(BG48,1)="X",LEFT(BJ48,1)="X"),"—",IF(AND(LEFT(BG48,1)="E",LEFT(BJ48,1)="E"),"Exception · Band E",IF(AND(INDEX(B_VAL,MATCH(BJ48,B_LVL,0))&gt;=7,INDEX(B_RANK,MATCH(BG48,B_LVL,0))&gt;=INDEX(B_RANK,MATCH(BJ48,B_LVL,0))),"⚠ Same band as a head manager",IF(INDEX(B_VAL,MATCH(BG48,B_LVL,0))&gt;=INDEX(B_VAL,MATCH(BJ48,B_LVL,0)),"⚠ At or above the manager's level","OK"))))),"—")</f>
        <v>OK</v>
      </c>
      <c r="BL48" s="43" t="n"/>
      <c r="BM48" s="44">
        <f>IFERROR(INDEX(LMH_PTS,MATCH(Y48,LMH_KEY,0)),0)</f>
        <v>9</v>
      </c>
      <c r="BN48" s="38">
        <f>IFERROR(INDEX(LMH_PTS,MATCH(Z48,LMH_KEY,0)),0)</f>
        <v>3</v>
      </c>
      <c r="BO48" s="38">
        <f>IFERROR(INDEX(LMH_PTS,MATCH(AA48,LMH_KEY,0)),0)</f>
        <v>3</v>
      </c>
      <c r="BP48" s="38">
        <f>IFERROR(INDEX(LMH_PTS,MATCH(AB48,LMH_KEY,0)),0)</f>
        <v>1</v>
      </c>
      <c r="BQ48" s="38">
        <f>IFERROR(INDEX(LMH_PTS,MATCH(AC48,LMH_KEY,0)),0)</f>
        <v>1</v>
      </c>
      <c r="BR48" s="38">
        <f>IFERROR(INDEX(LMH_PTS,MATCH(AD48,LMH_KEY,0)),0)</f>
        <v>1</v>
      </c>
      <c r="BS48" s="38">
        <f>IFERROR(INDEX(LMH_PTS,MATCH(AE48,LMH_KEY,0)),0)</f>
        <v>1</v>
      </c>
      <c r="BT48" s="38">
        <f>IFERROR(INDEX(LMH_STEP,MATCH(AF48,LMH_KEY,0)),0)</f>
        <v>0</v>
      </c>
      <c r="BU48" s="38">
        <f>IFERROR(INDEX(LMH_STEP,MATCH(AG48,LMH_KEY,0)),0)</f>
        <v>0</v>
      </c>
      <c r="BV48" s="38">
        <f>IFERROR(INDEX(LMH_STEP,MATCH(AH48,LMH_KEY,0)),0)</f>
        <v>0</v>
      </c>
      <c r="BW48" s="38">
        <f>IFERROR(INDEX(LMH_STEP,MATCH(AI48,LMH_KEY,0)),0)</f>
        <v>0</v>
      </c>
      <c r="BX48" s="38">
        <f>IFERROR(INDEX(LMH_STEP,MATCH(AJ48,LMH_KEY,0)),0)</f>
        <v>0</v>
      </c>
      <c r="BY48" s="38">
        <f>IFERROR(INDEX(LMH_STEP,MATCH(AK48,LMH_KEY,0)),0)</f>
        <v>0</v>
      </c>
      <c r="BZ48" s="38">
        <f>IFERROR(INDEX(LMH_STEP,MATCH(AL48,LMH_KEY,0)),0)</f>
        <v>0</v>
      </c>
      <c r="CA48" s="38" t="inlineStr">
        <is>
          <t>CARBON|Services|Team Lead – Assisted Services|A3|A</t>
        </is>
      </c>
    </row>
    <row r="49" ht="110" customHeight="1">
      <c r="A49" s="28" t="inlineStr">
        <is>
          <t>CARBON</t>
        </is>
      </c>
      <c r="B49" s="29" t="inlineStr">
        <is>
          <t>Services</t>
        </is>
      </c>
      <c r="C49" s="29" t="n">
        <v>8</v>
      </c>
      <c r="D49" s="29" t="inlineStr">
        <is>
          <t>IRIS0415</t>
        </is>
      </c>
      <c r="E49" s="29" t="inlineStr">
        <is>
          <t>Amol Keskar</t>
        </is>
      </c>
      <c r="F49" s="29" t="inlineStr">
        <is>
          <t>Financial Analyst</t>
        </is>
      </c>
      <c r="G49" s="29" t="inlineStr">
        <is>
          <t>Senior Financial Analyst</t>
        </is>
      </c>
      <c r="H49" s="29" t="inlineStr">
        <is>
          <t>Consulting &amp; Professional Services</t>
        </is>
      </c>
      <c r="I49" s="29" t="inlineStr">
        <is>
          <t>XBRL Tagging, Conversion &amp; Filing</t>
        </is>
      </c>
      <c r="J49" s="29" t="inlineStr">
        <is>
          <t>IC</t>
        </is>
      </c>
      <c r="K49" s="29" t="inlineStr">
        <is>
          <t>RC-025</t>
        </is>
      </c>
      <c r="L49" s="29" t="inlineStr">
        <is>
          <t>Vipul Kurhade</t>
        </is>
      </c>
      <c r="M49" s="29" t="inlineStr">
        <is>
          <t>IRIS0530</t>
        </is>
      </c>
      <c r="N49" s="29" t="n">
        <v>16</v>
      </c>
      <c r="O49" s="29" t="n">
        <v>16</v>
      </c>
      <c r="P49" s="29" t="inlineStr">
        <is>
          <t>B.Com</t>
        </is>
      </c>
      <c r="Q49" s="29" t="inlineStr">
        <is>
          <t>L3 – Professional / Associate</t>
        </is>
      </c>
      <c r="R49" s="29" t="inlineStr">
        <is>
          <t>A3</t>
        </is>
      </c>
      <c r="S49" s="30" t="inlineStr">
        <is>
          <t>19 of 20</t>
        </is>
      </c>
      <c r="T49" s="31" t="inlineStr">
        <is>
          <t>• Role / sub-team: Services — Financial Analyst.
• Core purpose: I am doing tagging of UK files.
• Decision-making autonomy: Can independently creating project for html.
• Is this something only they do: Same work as everyone.
• What's different about this role: We use carbon tool to tag the data and create xhtml files which are to be deliver to customers.</t>
        </is>
      </c>
      <c r="U49"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49" s="31" t="inlineStr">
        <is>
          <t>Latest rating: 3 · Potential: Medium · 9-box: Core Contributor · Readiness: Develop in role</t>
        </is>
      </c>
      <c r="W49" s="31" t="inlineStr">
        <is>
          <t>C M · Au M · Ac M · L L · BI M · Exp H · 16 yrs vs 0–2 yrs · Edu M · B.Com</t>
        </is>
      </c>
      <c r="X49" s="33" t="inlineStr">
        <is>
          <t>Open ▸</t>
        </is>
      </c>
      <c r="Y49" s="34" t="str">
        <f>IFERROR(INDEX(DL_C,MATCH($CA49,DL_KEY,0)),"M")</f>
        <v>H</v>
      </c>
      <c r="Z49" s="35" t="str">
        <f>IFERROR(INDEX(DL_Au,MATCH($CA49,DL_KEY,0)),"M")</f>
        <v>M</v>
      </c>
      <c r="AA49" s="35" t="str">
        <f>IFERROR(INDEX(DL_Ac,MATCH($CA49,DL_KEY,0)),"M")</f>
        <v>M</v>
      </c>
      <c r="AB49" s="35" t="str">
        <f>IFERROR(INDEX(DL_L,MATCH($CA49,DL_KEY,0)),"M")</f>
        <v>L</v>
      </c>
      <c r="AC49" s="35" t="str">
        <f>IFERROR(INDEX(DL_BI,MATCH($CA49,DL_KEY,0)),"M")</f>
        <v>L</v>
      </c>
      <c r="AD49" s="35" t="str">
        <f>IFERROR(INDEX(DL_Exp,MATCH($CA49,DL_KEY,0)),"M")</f>
        <v>L</v>
      </c>
      <c r="AE49" s="35" t="str">
        <f>IFERROR(INDEX(DL_Edu,MATCH($CA49,DL_KEY,0)),"M")</f>
        <v>L</v>
      </c>
      <c r="AF49" s="34" t="inlineStr">
        <is>
          <t>M</t>
        </is>
      </c>
      <c r="AG49" s="35" t="inlineStr">
        <is>
          <t>M</t>
        </is>
      </c>
      <c r="AH49" s="35" t="inlineStr">
        <is>
          <t>M</t>
        </is>
      </c>
      <c r="AI49" s="35" t="inlineStr">
        <is>
          <t>M</t>
        </is>
      </c>
      <c r="AJ49" s="35" t="inlineStr">
        <is>
          <t>M</t>
        </is>
      </c>
      <c r="AK49" s="35" t="inlineStr">
        <is>
          <t>M</t>
        </is>
      </c>
      <c r="AL49" s="35" t="inlineStr">
        <is>
          <t>M</t>
        </is>
      </c>
      <c r="AM49" s="36" t="n">
        <v>0.583</v>
      </c>
      <c r="AN49" s="37" t="n">
        <v>0.16</v>
      </c>
      <c r="AO49" s="37" t="n">
        <v>0.09</v>
      </c>
      <c r="AP49" s="37" t="n">
        <v>0</v>
      </c>
      <c r="AQ49" s="37" t="n">
        <v>0.063</v>
      </c>
      <c r="AR49" s="37" t="n">
        <v>0.06</v>
      </c>
      <c r="AS49" s="37" t="n">
        <v>0.04</v>
      </c>
      <c r="AT49" s="38" t="inlineStr">
        <is>
          <t>0–3</t>
        </is>
      </c>
      <c r="AU49" s="38" t="inlineStr">
        <is>
          <t>Graduate · or diploma with experience</t>
        </is>
      </c>
      <c r="AV49" s="38" t="inlineStr">
        <is>
          <t>No direct reports</t>
        </is>
      </c>
      <c r="AW49" s="38" t="inlineStr">
        <is>
          <t>P1–P2 · SFIA 2 Assist</t>
        </is>
      </c>
      <c r="AX4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9" s="39" t="inlineStr">
        <is>
          <t>A2</t>
        </is>
      </c>
      <c r="AZ49" s="40" t="inlineStr">
        <is>
          <t>Band A · Practitioner · Associate</t>
        </is>
      </c>
      <c r="BA49" s="40" t="inlineStr">
        <is>
          <t>Model A3 from the six ratings, the market-derived weights and rules R1–R13 · then Level rule: manager A3; a reportee sits at least one level below · A3 → A2 · move down · pay and title protected for one cycle</t>
        </is>
      </c>
      <c r="BB49" s="41" t="inlineStr">
        <is>
          <t>A3</t>
        </is>
      </c>
      <c r="BC49" s="40" t="inlineStr">
        <is>
          <t>The six ratings on the market-average weights of Band A · all tracks score 2.68 → A3 · Hay, Mercer IPE and public plans · experience 16 yrs vs the A3 market range 2–5</t>
        </is>
      </c>
      <c r="BD49" s="42">
        <f>IF(SUM(BM49,BN49,BO49,BP49,BQ49,BR49,BS49)=0,0,(BM49*BT49+BN49*BU49+BO49*BV49+BP49*BW49+BQ49*BX49+BR49*BY49+BS49*BZ49)/SUM(BM49,BN49,BO49,BP49,BQ49,BR49,BS49))</f>
        <v>0</v>
      </c>
      <c r="BE49" s="41" t="str">
        <f>IF(LEFT(AY49,1)="X",AY49,IF(OR(AY49="B+",AY49="C+"),INDEX(LAD_PC,MAX(1,MIN(14,MATCH(AY49,LAD_PC,0)+IF(BD49&gt;=0.5,1,IF(BD49&lt;=-0.5,-1,0))))),INDEX(LAD_STD,MAX(1,MIN(12,MATCH(AY49,LAD_STD,0)+IF(BD49&gt;=0.5,1,IF(BD49&lt;=-0.5,-1,0)))))))</f>
        <v>A2</v>
      </c>
      <c r="BF49" s="43" t="n"/>
      <c r="BG49" s="41" t="str">
        <f>IF(BF49&lt;&gt;"",BF49,BE49)</f>
        <v>A2</v>
      </c>
      <c r="BH49" s="40" t="str">
        <f>IFERROR(CHOOSE(INDEX(B_RANK,MATCH(BG49,B_LVL,0)),"Band A","Band B","B+ · Player-Coach","Band C","C+ · Player-Coach","Band D","Band E"),"Band X · Consultant")</f>
        <v>Band A</v>
      </c>
      <c r="BI49" s="40" t="str">
        <f>IF(BG49=AY49,"• Same",IF(INDEX(B_VAL,MATCH(BG49,B_LVL,0))&gt;INDEX(B_VAL,MATCH(AY49,B_LVL,0)),"▲ Up","▼ Down"))</f>
        <v>• Same</v>
      </c>
      <c r="BJ49" s="40" t="str">
        <f>IF(OR($M49="",$M49="—",$M49="Not in this file"),"",IFERROR(INDEX($BG$7:$BG$592,MATCH($M49,$D$7:$D$592,0)),""))</f>
        <v>A3</v>
      </c>
      <c r="BK49" s="40" t="str">
        <f>IFERROR(IF(BJ49="","—",IF(OR(LEFT(BG49,1)="X",LEFT(BJ49,1)="X"),"—",IF(AND(LEFT(BG49,1)="E",LEFT(BJ49,1)="E"),"Exception · Band E",IF(AND(INDEX(B_VAL,MATCH(BJ49,B_LVL,0))&gt;=7,INDEX(B_RANK,MATCH(BG49,B_LVL,0))&gt;=INDEX(B_RANK,MATCH(BJ49,B_LVL,0))),"⚠ Same band as a head manager",IF(INDEX(B_VAL,MATCH(BG49,B_LVL,0))&gt;=INDEX(B_VAL,MATCH(BJ49,B_LVL,0)),"⚠ At or above the manager's level","OK"))))),"—")</f>
        <v>OK</v>
      </c>
      <c r="BL49" s="43" t="n"/>
      <c r="BM49" s="44">
        <f>IFERROR(INDEX(LMH_PTS,MATCH(Y49,LMH_KEY,0)),0)</f>
        <v>9</v>
      </c>
      <c r="BN49" s="38">
        <f>IFERROR(INDEX(LMH_PTS,MATCH(Z49,LMH_KEY,0)),0)</f>
        <v>3</v>
      </c>
      <c r="BO49" s="38">
        <f>IFERROR(INDEX(LMH_PTS,MATCH(AA49,LMH_KEY,0)),0)</f>
        <v>3</v>
      </c>
      <c r="BP49" s="38">
        <f>IFERROR(INDEX(LMH_PTS,MATCH(AB49,LMH_KEY,0)),0)</f>
        <v>1</v>
      </c>
      <c r="BQ49" s="38">
        <f>IFERROR(INDEX(LMH_PTS,MATCH(AC49,LMH_KEY,0)),0)</f>
        <v>1</v>
      </c>
      <c r="BR49" s="38">
        <f>IFERROR(INDEX(LMH_PTS,MATCH(AD49,LMH_KEY,0)),0)</f>
        <v>1</v>
      </c>
      <c r="BS49" s="38">
        <f>IFERROR(INDEX(LMH_PTS,MATCH(AE49,LMH_KEY,0)),0)</f>
        <v>1</v>
      </c>
      <c r="BT49" s="38">
        <f>IFERROR(INDEX(LMH_STEP,MATCH(AF49,LMH_KEY,0)),0)</f>
        <v>0</v>
      </c>
      <c r="BU49" s="38">
        <f>IFERROR(INDEX(LMH_STEP,MATCH(AG49,LMH_KEY,0)),0)</f>
        <v>0</v>
      </c>
      <c r="BV49" s="38">
        <f>IFERROR(INDEX(LMH_STEP,MATCH(AH49,LMH_KEY,0)),0)</f>
        <v>0</v>
      </c>
      <c r="BW49" s="38">
        <f>IFERROR(INDEX(LMH_STEP,MATCH(AI49,LMH_KEY,0)),0)</f>
        <v>0</v>
      </c>
      <c r="BX49" s="38">
        <f>IFERROR(INDEX(LMH_STEP,MATCH(AJ49,LMH_KEY,0)),0)</f>
        <v>0</v>
      </c>
      <c r="BY49" s="38">
        <f>IFERROR(INDEX(LMH_STEP,MATCH(AK49,LMH_KEY,0)),0)</f>
        <v>0</v>
      </c>
      <c r="BZ49" s="38">
        <f>IFERROR(INDEX(LMH_STEP,MATCH(AL49,LMH_KEY,0)),0)</f>
        <v>0</v>
      </c>
      <c r="CA49" s="38" t="inlineStr">
        <is>
          <t>CARBON|Services|Senior Financial Analyst|A2|A</t>
        </is>
      </c>
    </row>
    <row r="50" ht="110" customHeight="1">
      <c r="A50" s="28" t="inlineStr">
        <is>
          <t>CARBON</t>
        </is>
      </c>
      <c r="B50" s="29" t="inlineStr">
        <is>
          <t>Services</t>
        </is>
      </c>
      <c r="C50" s="29" t="n">
        <v>8</v>
      </c>
      <c r="D50" s="29" t="inlineStr">
        <is>
          <t>IRIS0566</t>
        </is>
      </c>
      <c r="E50" s="29" t="inlineStr">
        <is>
          <t>Dipak Warkhade</t>
        </is>
      </c>
      <c r="F50" s="29" t="inlineStr">
        <is>
          <t>Financial Analyst</t>
        </is>
      </c>
      <c r="G50" s="29" t="inlineStr">
        <is>
          <t>Senior Financial Analyst</t>
        </is>
      </c>
      <c r="H50" s="29" t="inlineStr">
        <is>
          <t>Consulting &amp; Professional Services</t>
        </is>
      </c>
      <c r="I50" s="29" t="inlineStr">
        <is>
          <t>XBRL Tagging, Conversion &amp; Filing</t>
        </is>
      </c>
      <c r="J50" s="29" t="inlineStr">
        <is>
          <t>IC</t>
        </is>
      </c>
      <c r="K50" s="29" t="inlineStr">
        <is>
          <t>RC-025</t>
        </is>
      </c>
      <c r="L50" s="29" t="inlineStr">
        <is>
          <t>Vipul Kurhade</t>
        </is>
      </c>
      <c r="M50" s="29" t="inlineStr">
        <is>
          <t>IRIS0530</t>
        </is>
      </c>
      <c r="N50" s="29" t="n">
        <v>15.5</v>
      </c>
      <c r="O50" s="29" t="n">
        <v>15.5</v>
      </c>
      <c r="P50" s="29" t="inlineStr">
        <is>
          <t>B.Com</t>
        </is>
      </c>
      <c r="Q50" s="29" t="inlineStr">
        <is>
          <t>L3 – Professional / Associate</t>
        </is>
      </c>
      <c r="R50" s="29" t="inlineStr">
        <is>
          <t>A3</t>
        </is>
      </c>
      <c r="S50" s="30" t="inlineStr">
        <is>
          <t>20 of 20</t>
        </is>
      </c>
      <c r="T50" s="31" t="inlineStr">
        <is>
          <t>• Role / sub-team: ESMA and CIPC.</t>
        </is>
      </c>
      <c r="U50"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50" s="31" t="inlineStr">
        <is>
          <t>Latest rating: 3 · Potential: Medium · 9-box: Core Contributor · Readiness: Develop in role</t>
        </is>
      </c>
      <c r="W50" s="31" t="inlineStr">
        <is>
          <t>C M · Au M · Ac M · L L · BI M · Exp H · 15.5 yrs vs 0–2 yrs · Edu M · B.Com</t>
        </is>
      </c>
      <c r="X50" s="33" t="inlineStr">
        <is>
          <t>Open ▸</t>
        </is>
      </c>
      <c r="Y50" s="34" t="str">
        <f>IFERROR(INDEX(DL_C,MATCH($CA50,DL_KEY,0)),"M")</f>
        <v>H</v>
      </c>
      <c r="Z50" s="35" t="str">
        <f>IFERROR(INDEX(DL_Au,MATCH($CA50,DL_KEY,0)),"M")</f>
        <v>M</v>
      </c>
      <c r="AA50" s="35" t="str">
        <f>IFERROR(INDEX(DL_Ac,MATCH($CA50,DL_KEY,0)),"M")</f>
        <v>M</v>
      </c>
      <c r="AB50" s="35" t="str">
        <f>IFERROR(INDEX(DL_L,MATCH($CA50,DL_KEY,0)),"M")</f>
        <v>L</v>
      </c>
      <c r="AC50" s="35" t="str">
        <f>IFERROR(INDEX(DL_BI,MATCH($CA50,DL_KEY,0)),"M")</f>
        <v>L</v>
      </c>
      <c r="AD50" s="35" t="str">
        <f>IFERROR(INDEX(DL_Exp,MATCH($CA50,DL_KEY,0)),"M")</f>
        <v>L</v>
      </c>
      <c r="AE50" s="35" t="str">
        <f>IFERROR(INDEX(DL_Edu,MATCH($CA50,DL_KEY,0)),"M")</f>
        <v>L</v>
      </c>
      <c r="AF50" s="34" t="inlineStr">
        <is>
          <t>M</t>
        </is>
      </c>
      <c r="AG50" s="35" t="inlineStr">
        <is>
          <t>M</t>
        </is>
      </c>
      <c r="AH50" s="35" t="inlineStr">
        <is>
          <t>M</t>
        </is>
      </c>
      <c r="AI50" s="35" t="inlineStr">
        <is>
          <t>M</t>
        </is>
      </c>
      <c r="AJ50" s="35" t="inlineStr">
        <is>
          <t>M</t>
        </is>
      </c>
      <c r="AK50" s="35" t="inlineStr">
        <is>
          <t>M</t>
        </is>
      </c>
      <c r="AL50" s="35" t="inlineStr">
        <is>
          <t>M</t>
        </is>
      </c>
      <c r="AM50" s="36" t="n">
        <v>0.583</v>
      </c>
      <c r="AN50" s="37" t="n">
        <v>0.16</v>
      </c>
      <c r="AO50" s="37" t="n">
        <v>0.09</v>
      </c>
      <c r="AP50" s="37" t="n">
        <v>0</v>
      </c>
      <c r="AQ50" s="37" t="n">
        <v>0.063</v>
      </c>
      <c r="AR50" s="37" t="n">
        <v>0.06</v>
      </c>
      <c r="AS50" s="37" t="n">
        <v>0.04</v>
      </c>
      <c r="AT50" s="38" t="inlineStr">
        <is>
          <t>0–3</t>
        </is>
      </c>
      <c r="AU50" s="38" t="inlineStr">
        <is>
          <t>Graduate · or diploma with experience</t>
        </is>
      </c>
      <c r="AV50" s="38" t="inlineStr">
        <is>
          <t>No direct reports</t>
        </is>
      </c>
      <c r="AW50" s="38" t="inlineStr">
        <is>
          <t>P1–P2 · SFIA 2 Assist</t>
        </is>
      </c>
      <c r="AX5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0" s="39" t="inlineStr">
        <is>
          <t>A2</t>
        </is>
      </c>
      <c r="AZ50" s="40" t="inlineStr">
        <is>
          <t>Band A · Practitioner · Associate</t>
        </is>
      </c>
      <c r="BA50" s="40" t="inlineStr">
        <is>
          <t>Model A3 from the six ratings, the market-derived weights and rules R1–R13 · then Level rule: manager A3; a reportee sits at least one level below · A3 → A2 · move down · pay and title protected for one cycle</t>
        </is>
      </c>
      <c r="BB50" s="41" t="inlineStr">
        <is>
          <t>A3</t>
        </is>
      </c>
      <c r="BC50" s="40" t="inlineStr">
        <is>
          <t>The six ratings on the market-average weights of Band A · all tracks score 2.68 → A3 · Hay, Mercer IPE and public plans · experience 15.5 yrs vs the A3 market range 2–5</t>
        </is>
      </c>
      <c r="BD50" s="42">
        <f>IF(SUM(BM50,BN50,BO50,BP50,BQ50,BR50,BS50)=0,0,(BM50*BT50+BN50*BU50+BO50*BV50+BP50*BW50+BQ50*BX50+BR50*BY50+BS50*BZ50)/SUM(BM50,BN50,BO50,BP50,BQ50,BR50,BS50))</f>
        <v>0</v>
      </c>
      <c r="BE50" s="41" t="str">
        <f>IF(LEFT(AY50,1)="X",AY50,IF(OR(AY50="B+",AY50="C+"),INDEX(LAD_PC,MAX(1,MIN(14,MATCH(AY50,LAD_PC,0)+IF(BD50&gt;=0.5,1,IF(BD50&lt;=-0.5,-1,0))))),INDEX(LAD_STD,MAX(1,MIN(12,MATCH(AY50,LAD_STD,0)+IF(BD50&gt;=0.5,1,IF(BD50&lt;=-0.5,-1,0)))))))</f>
        <v>A2</v>
      </c>
      <c r="BF50" s="43" t="n"/>
      <c r="BG50" s="41" t="str">
        <f>IF(BF50&lt;&gt;"",BF50,BE50)</f>
        <v>A2</v>
      </c>
      <c r="BH50" s="40" t="str">
        <f>IFERROR(CHOOSE(INDEX(B_RANK,MATCH(BG50,B_LVL,0)),"Band A","Band B","B+ · Player-Coach","Band C","C+ · Player-Coach","Band D","Band E"),"Band X · Consultant")</f>
        <v>Band A</v>
      </c>
      <c r="BI50" s="40" t="str">
        <f>IF(BG50=AY50,"• Same",IF(INDEX(B_VAL,MATCH(BG50,B_LVL,0))&gt;INDEX(B_VAL,MATCH(AY50,B_LVL,0)),"▲ Up","▼ Down"))</f>
        <v>• Same</v>
      </c>
      <c r="BJ50" s="40" t="str">
        <f>IF(OR($M50="",$M50="—",$M50="Not in this file"),"",IFERROR(INDEX($BG$7:$BG$592,MATCH($M50,$D$7:$D$592,0)),""))</f>
        <v>A3</v>
      </c>
      <c r="BK50" s="40" t="str">
        <f>IFERROR(IF(BJ50="","—",IF(OR(LEFT(BG50,1)="X",LEFT(BJ50,1)="X"),"—",IF(AND(LEFT(BG50,1)="E",LEFT(BJ50,1)="E"),"Exception · Band E",IF(AND(INDEX(B_VAL,MATCH(BJ50,B_LVL,0))&gt;=7,INDEX(B_RANK,MATCH(BG50,B_LVL,0))&gt;=INDEX(B_RANK,MATCH(BJ50,B_LVL,0))),"⚠ Same band as a head manager",IF(INDEX(B_VAL,MATCH(BG50,B_LVL,0))&gt;=INDEX(B_VAL,MATCH(BJ50,B_LVL,0)),"⚠ At or above the manager's level","OK"))))),"—")</f>
        <v>OK</v>
      </c>
      <c r="BL50" s="43" t="n"/>
      <c r="BM50" s="44">
        <f>IFERROR(INDEX(LMH_PTS,MATCH(Y50,LMH_KEY,0)),0)</f>
        <v>9</v>
      </c>
      <c r="BN50" s="38">
        <f>IFERROR(INDEX(LMH_PTS,MATCH(Z50,LMH_KEY,0)),0)</f>
        <v>3</v>
      </c>
      <c r="BO50" s="38">
        <f>IFERROR(INDEX(LMH_PTS,MATCH(AA50,LMH_KEY,0)),0)</f>
        <v>3</v>
      </c>
      <c r="BP50" s="38">
        <f>IFERROR(INDEX(LMH_PTS,MATCH(AB50,LMH_KEY,0)),0)</f>
        <v>1</v>
      </c>
      <c r="BQ50" s="38">
        <f>IFERROR(INDEX(LMH_PTS,MATCH(AC50,LMH_KEY,0)),0)</f>
        <v>1</v>
      </c>
      <c r="BR50" s="38">
        <f>IFERROR(INDEX(LMH_PTS,MATCH(AD50,LMH_KEY,0)),0)</f>
        <v>1</v>
      </c>
      <c r="BS50" s="38">
        <f>IFERROR(INDEX(LMH_PTS,MATCH(AE50,LMH_KEY,0)),0)</f>
        <v>1</v>
      </c>
      <c r="BT50" s="38">
        <f>IFERROR(INDEX(LMH_STEP,MATCH(AF50,LMH_KEY,0)),0)</f>
        <v>0</v>
      </c>
      <c r="BU50" s="38">
        <f>IFERROR(INDEX(LMH_STEP,MATCH(AG50,LMH_KEY,0)),0)</f>
        <v>0</v>
      </c>
      <c r="BV50" s="38">
        <f>IFERROR(INDEX(LMH_STEP,MATCH(AH50,LMH_KEY,0)),0)</f>
        <v>0</v>
      </c>
      <c r="BW50" s="38">
        <f>IFERROR(INDEX(LMH_STEP,MATCH(AI50,LMH_KEY,0)),0)</f>
        <v>0</v>
      </c>
      <c r="BX50" s="38">
        <f>IFERROR(INDEX(LMH_STEP,MATCH(AJ50,LMH_KEY,0)),0)</f>
        <v>0</v>
      </c>
      <c r="BY50" s="38">
        <f>IFERROR(INDEX(LMH_STEP,MATCH(AK50,LMH_KEY,0)),0)</f>
        <v>0</v>
      </c>
      <c r="BZ50" s="38">
        <f>IFERROR(INDEX(LMH_STEP,MATCH(AL50,LMH_KEY,0)),0)</f>
        <v>0</v>
      </c>
      <c r="CA50" s="38" t="inlineStr">
        <is>
          <t>CARBON|Services|Senior Financial Analyst|A2|A</t>
        </is>
      </c>
    </row>
    <row r="51" ht="110" customHeight="1">
      <c r="A51" s="28" t="inlineStr">
        <is>
          <t>CARBON</t>
        </is>
      </c>
      <c r="B51" s="29" t="inlineStr">
        <is>
          <t>Services</t>
        </is>
      </c>
      <c r="C51" s="29" t="n">
        <v>8</v>
      </c>
      <c r="D51" s="29" t="inlineStr">
        <is>
          <t>IRIS1607</t>
        </is>
      </c>
      <c r="E51" s="29" t="inlineStr">
        <is>
          <t>Payal Gala</t>
        </is>
      </c>
      <c r="F51" s="29" t="inlineStr">
        <is>
          <t>Senior Financial Analyst</t>
        </is>
      </c>
      <c r="G51" s="29" t="inlineStr">
        <is>
          <t>Senior Financial Analyst</t>
        </is>
      </c>
      <c r="H51" s="29" t="inlineStr">
        <is>
          <t>Consulting &amp; Professional Services</t>
        </is>
      </c>
      <c r="I51" s="29" t="inlineStr">
        <is>
          <t>XBRL Tagging, Conversion &amp; Filing</t>
        </is>
      </c>
      <c r="J51" s="29" t="inlineStr">
        <is>
          <t>IC</t>
        </is>
      </c>
      <c r="K51" s="29" t="inlineStr">
        <is>
          <t>RC-025</t>
        </is>
      </c>
      <c r="L51" s="29" t="inlineStr">
        <is>
          <t>Vipul Kurhade</t>
        </is>
      </c>
      <c r="M51" s="29" t="inlineStr">
        <is>
          <t>IRIS0530</t>
        </is>
      </c>
      <c r="N51" s="29" t="n">
        <v>15.8</v>
      </c>
      <c r="O51" s="29" t="n">
        <v>9.800000000000001</v>
      </c>
      <c r="P51" s="29" t="inlineStr">
        <is>
          <t>B.Com</t>
        </is>
      </c>
      <c r="Q51" s="29" t="inlineStr">
        <is>
          <t>L4 – Senior</t>
        </is>
      </c>
      <c r="R51" s="29" t="inlineStr">
        <is>
          <t>A3</t>
        </is>
      </c>
      <c r="S51" s="30" t="inlineStr">
        <is>
          <t>20 of 20</t>
        </is>
      </c>
      <c r="T51" s="31" t="inlineStr">
        <is>
          <t>• No input received.</t>
        </is>
      </c>
      <c r="U51"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51" s="31" t="inlineStr">
        <is>
          <t>Latest rating: 3 · Potential: Medium · 9-box: Core Contributor · Readiness: Develop in role</t>
        </is>
      </c>
      <c r="W51" s="31" t="inlineStr">
        <is>
          <t>C H · Au M · Ac M · L M · BI H · Exp H · 15.8 yrs vs 0–2 yrs · Edu M · B.Com</t>
        </is>
      </c>
      <c r="X51" s="33" t="inlineStr">
        <is>
          <t>Open ▸</t>
        </is>
      </c>
      <c r="Y51" s="34" t="str">
        <f>IFERROR(INDEX(DL_C,MATCH($CA51,DL_KEY,0)),"M")</f>
        <v>H</v>
      </c>
      <c r="Z51" s="35" t="str">
        <f>IFERROR(INDEX(DL_Au,MATCH($CA51,DL_KEY,0)),"M")</f>
        <v>M</v>
      </c>
      <c r="AA51" s="35" t="str">
        <f>IFERROR(INDEX(DL_Ac,MATCH($CA51,DL_KEY,0)),"M")</f>
        <v>M</v>
      </c>
      <c r="AB51" s="35" t="str">
        <f>IFERROR(INDEX(DL_L,MATCH($CA51,DL_KEY,0)),"M")</f>
        <v>L</v>
      </c>
      <c r="AC51" s="35" t="str">
        <f>IFERROR(INDEX(DL_BI,MATCH($CA51,DL_KEY,0)),"M")</f>
        <v>L</v>
      </c>
      <c r="AD51" s="35" t="str">
        <f>IFERROR(INDEX(DL_Exp,MATCH($CA51,DL_KEY,0)),"M")</f>
        <v>L</v>
      </c>
      <c r="AE51" s="35" t="str">
        <f>IFERROR(INDEX(DL_Edu,MATCH($CA51,DL_KEY,0)),"M")</f>
        <v>L</v>
      </c>
      <c r="AF51" s="34" t="inlineStr">
        <is>
          <t>M</t>
        </is>
      </c>
      <c r="AG51" s="35" t="inlineStr">
        <is>
          <t>M</t>
        </is>
      </c>
      <c r="AH51" s="35" t="inlineStr">
        <is>
          <t>M</t>
        </is>
      </c>
      <c r="AI51" s="35" t="inlineStr">
        <is>
          <t>M</t>
        </is>
      </c>
      <c r="AJ51" s="35" t="inlineStr">
        <is>
          <t>M</t>
        </is>
      </c>
      <c r="AK51" s="35" t="inlineStr">
        <is>
          <t>M</t>
        </is>
      </c>
      <c r="AL51" s="35" t="inlineStr">
        <is>
          <t>M</t>
        </is>
      </c>
      <c r="AM51" s="36" t="n">
        <v>0.583</v>
      </c>
      <c r="AN51" s="37" t="n">
        <v>0.16</v>
      </c>
      <c r="AO51" s="37" t="n">
        <v>0.09</v>
      </c>
      <c r="AP51" s="37" t="n">
        <v>0</v>
      </c>
      <c r="AQ51" s="37" t="n">
        <v>0.063</v>
      </c>
      <c r="AR51" s="37" t="n">
        <v>0.06</v>
      </c>
      <c r="AS51" s="37" t="n">
        <v>0.04</v>
      </c>
      <c r="AT51" s="38" t="inlineStr">
        <is>
          <t>0–3</t>
        </is>
      </c>
      <c r="AU51" s="38" t="inlineStr">
        <is>
          <t>Graduate · or diploma with experience</t>
        </is>
      </c>
      <c r="AV51" s="38" t="inlineStr">
        <is>
          <t>No direct reports</t>
        </is>
      </c>
      <c r="AW51" s="38" t="inlineStr">
        <is>
          <t>P1–P2 · SFIA 2 Assist</t>
        </is>
      </c>
      <c r="AX5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1" s="39" t="inlineStr">
        <is>
          <t>A2</t>
        </is>
      </c>
      <c r="AZ51" s="40" t="inlineStr">
        <is>
          <t>Band A · Practitioner · Associate</t>
        </is>
      </c>
      <c r="BA51" s="40" t="inlineStr">
        <is>
          <t>Model A3 from the six ratings, the market-derived weights and rules R1–R13 · then Level rule: manager A3; a reportee sits at least one level below · A3 → A2 · move down · pay and title protected for one cycle</t>
        </is>
      </c>
      <c r="BB51" s="41" t="inlineStr">
        <is>
          <t>A3</t>
        </is>
      </c>
      <c r="BC51" s="40" t="inlineStr">
        <is>
          <t>The six ratings on the market-average weights of Band A · all tracks score 3.43 → A3 · Hay, Mercer IPE and public plans · experience 15.8 yrs vs the A3 market range 2–5</t>
        </is>
      </c>
      <c r="BD51" s="42">
        <f>IF(SUM(BM51,BN51,BO51,BP51,BQ51,BR51,BS51)=0,0,(BM51*BT51+BN51*BU51+BO51*BV51+BP51*BW51+BQ51*BX51+BR51*BY51+BS51*BZ51)/SUM(BM51,BN51,BO51,BP51,BQ51,BR51,BS51))</f>
        <v>0</v>
      </c>
      <c r="BE51" s="41" t="str">
        <f>IF(LEFT(AY51,1)="X",AY51,IF(OR(AY51="B+",AY51="C+"),INDEX(LAD_PC,MAX(1,MIN(14,MATCH(AY51,LAD_PC,0)+IF(BD51&gt;=0.5,1,IF(BD51&lt;=-0.5,-1,0))))),INDEX(LAD_STD,MAX(1,MIN(12,MATCH(AY51,LAD_STD,0)+IF(BD51&gt;=0.5,1,IF(BD51&lt;=-0.5,-1,0)))))))</f>
        <v>A2</v>
      </c>
      <c r="BF51" s="43" t="n"/>
      <c r="BG51" s="41" t="str">
        <f>IF(BF51&lt;&gt;"",BF51,BE51)</f>
        <v>A2</v>
      </c>
      <c r="BH51" s="40" t="str">
        <f>IFERROR(CHOOSE(INDEX(B_RANK,MATCH(BG51,B_LVL,0)),"Band A","Band B","B+ · Player-Coach","Band C","C+ · Player-Coach","Band D","Band E"),"Band X · Consultant")</f>
        <v>Band A</v>
      </c>
      <c r="BI51" s="40" t="str">
        <f>IF(BG51=AY51,"• Same",IF(INDEX(B_VAL,MATCH(BG51,B_LVL,0))&gt;INDEX(B_VAL,MATCH(AY51,B_LVL,0)),"▲ Up","▼ Down"))</f>
        <v>• Same</v>
      </c>
      <c r="BJ51" s="40" t="str">
        <f>IF(OR($M51="",$M51="—",$M51="Not in this file"),"",IFERROR(INDEX($BG$7:$BG$592,MATCH($M51,$D$7:$D$592,0)),""))</f>
        <v>A3</v>
      </c>
      <c r="BK51" s="40" t="str">
        <f>IFERROR(IF(BJ51="","—",IF(OR(LEFT(BG51,1)="X",LEFT(BJ51,1)="X"),"—",IF(AND(LEFT(BG51,1)="E",LEFT(BJ51,1)="E"),"Exception · Band E",IF(AND(INDEX(B_VAL,MATCH(BJ51,B_LVL,0))&gt;=7,INDEX(B_RANK,MATCH(BG51,B_LVL,0))&gt;=INDEX(B_RANK,MATCH(BJ51,B_LVL,0))),"⚠ Same band as a head manager",IF(INDEX(B_VAL,MATCH(BG51,B_LVL,0))&gt;=INDEX(B_VAL,MATCH(BJ51,B_LVL,0)),"⚠ At or above the manager's level","OK"))))),"—")</f>
        <v>OK</v>
      </c>
      <c r="BL51" s="43" t="n"/>
      <c r="BM51" s="44">
        <f>IFERROR(INDEX(LMH_PTS,MATCH(Y51,LMH_KEY,0)),0)</f>
        <v>9</v>
      </c>
      <c r="BN51" s="38">
        <f>IFERROR(INDEX(LMH_PTS,MATCH(Z51,LMH_KEY,0)),0)</f>
        <v>3</v>
      </c>
      <c r="BO51" s="38">
        <f>IFERROR(INDEX(LMH_PTS,MATCH(AA51,LMH_KEY,0)),0)</f>
        <v>3</v>
      </c>
      <c r="BP51" s="38">
        <f>IFERROR(INDEX(LMH_PTS,MATCH(AB51,LMH_KEY,0)),0)</f>
        <v>1</v>
      </c>
      <c r="BQ51" s="38">
        <f>IFERROR(INDEX(LMH_PTS,MATCH(AC51,LMH_KEY,0)),0)</f>
        <v>1</v>
      </c>
      <c r="BR51" s="38">
        <f>IFERROR(INDEX(LMH_PTS,MATCH(AD51,LMH_KEY,0)),0)</f>
        <v>1</v>
      </c>
      <c r="BS51" s="38">
        <f>IFERROR(INDEX(LMH_PTS,MATCH(AE51,LMH_KEY,0)),0)</f>
        <v>1</v>
      </c>
      <c r="BT51" s="38">
        <f>IFERROR(INDEX(LMH_STEP,MATCH(AF51,LMH_KEY,0)),0)</f>
        <v>0</v>
      </c>
      <c r="BU51" s="38">
        <f>IFERROR(INDEX(LMH_STEP,MATCH(AG51,LMH_KEY,0)),0)</f>
        <v>0</v>
      </c>
      <c r="BV51" s="38">
        <f>IFERROR(INDEX(LMH_STEP,MATCH(AH51,LMH_KEY,0)),0)</f>
        <v>0</v>
      </c>
      <c r="BW51" s="38">
        <f>IFERROR(INDEX(LMH_STEP,MATCH(AI51,LMH_KEY,0)),0)</f>
        <v>0</v>
      </c>
      <c r="BX51" s="38">
        <f>IFERROR(INDEX(LMH_STEP,MATCH(AJ51,LMH_KEY,0)),0)</f>
        <v>0</v>
      </c>
      <c r="BY51" s="38">
        <f>IFERROR(INDEX(LMH_STEP,MATCH(AK51,LMH_KEY,0)),0)</f>
        <v>0</v>
      </c>
      <c r="BZ51" s="38">
        <f>IFERROR(INDEX(LMH_STEP,MATCH(AL51,LMH_KEY,0)),0)</f>
        <v>0</v>
      </c>
      <c r="CA51" s="38" t="inlineStr">
        <is>
          <t>CARBON|Services|Senior Financial Analyst|A2|A</t>
        </is>
      </c>
    </row>
    <row r="52" ht="110" customHeight="1">
      <c r="A52" s="28" t="inlineStr">
        <is>
          <t>CARBON</t>
        </is>
      </c>
      <c r="B52" s="29" t="inlineStr">
        <is>
          <t>Services</t>
        </is>
      </c>
      <c r="C52" s="29" t="n">
        <v>8</v>
      </c>
      <c r="D52" s="29" t="inlineStr">
        <is>
          <t>IRIS0222</t>
        </is>
      </c>
      <c r="E52" s="29" t="inlineStr">
        <is>
          <t>Prerna Savaratkar</t>
        </is>
      </c>
      <c r="F52" s="29" t="inlineStr">
        <is>
          <t>Financial Analyst</t>
        </is>
      </c>
      <c r="G52" s="29" t="inlineStr">
        <is>
          <t>Senior Financial Analyst</t>
        </is>
      </c>
      <c r="H52" s="29" t="inlineStr">
        <is>
          <t>Consulting &amp; Professional Services</t>
        </is>
      </c>
      <c r="I52" s="29" t="inlineStr">
        <is>
          <t>XBRL Tagging, Conversion &amp; Filing</t>
        </is>
      </c>
      <c r="J52" s="29" t="inlineStr">
        <is>
          <t>IC</t>
        </is>
      </c>
      <c r="K52" s="29" t="inlineStr">
        <is>
          <t>RC-025</t>
        </is>
      </c>
      <c r="L52" s="29" t="inlineStr">
        <is>
          <t>Vipul Kurhade</t>
        </is>
      </c>
      <c r="M52" s="29" t="inlineStr">
        <is>
          <t>IRIS0530</t>
        </is>
      </c>
      <c r="N52" s="29" t="n">
        <v>18</v>
      </c>
      <c r="O52" s="29" t="n">
        <v>18</v>
      </c>
      <c r="P52" s="29" t="inlineStr">
        <is>
          <t>B.Com</t>
        </is>
      </c>
      <c r="Q52" s="29" t="inlineStr">
        <is>
          <t>L3 – Professional / Associate</t>
        </is>
      </c>
      <c r="R52" s="29" t="inlineStr">
        <is>
          <t>A3</t>
        </is>
      </c>
      <c r="S52" s="30" t="inlineStr">
        <is>
          <t>19 of 20</t>
        </is>
      </c>
      <c r="T52" s="31" t="inlineStr">
        <is>
          <t>• Role / sub-team: Tagging Ixbrl - uk.</t>
        </is>
      </c>
      <c r="U52"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52" s="31" t="inlineStr">
        <is>
          <t>Latest rating: 3 · Potential: Medium · 9-box: Core Contributor · Readiness: Develop in role</t>
        </is>
      </c>
      <c r="W52" s="31" t="inlineStr">
        <is>
          <t>C M · Au M · Ac M · L L · BI M · Exp H · 18 yrs vs 0–2 yrs · Edu M · B.Com</t>
        </is>
      </c>
      <c r="X52" s="33" t="inlineStr">
        <is>
          <t>Open ▸</t>
        </is>
      </c>
      <c r="Y52" s="34" t="str">
        <f>IFERROR(INDEX(DL_C,MATCH($CA52,DL_KEY,0)),"M")</f>
        <v>H</v>
      </c>
      <c r="Z52" s="35" t="str">
        <f>IFERROR(INDEX(DL_Au,MATCH($CA52,DL_KEY,0)),"M")</f>
        <v>M</v>
      </c>
      <c r="AA52" s="35" t="str">
        <f>IFERROR(INDEX(DL_Ac,MATCH($CA52,DL_KEY,0)),"M")</f>
        <v>M</v>
      </c>
      <c r="AB52" s="35" t="str">
        <f>IFERROR(INDEX(DL_L,MATCH($CA52,DL_KEY,0)),"M")</f>
        <v>L</v>
      </c>
      <c r="AC52" s="35" t="str">
        <f>IFERROR(INDEX(DL_BI,MATCH($CA52,DL_KEY,0)),"M")</f>
        <v>L</v>
      </c>
      <c r="AD52" s="35" t="str">
        <f>IFERROR(INDEX(DL_Exp,MATCH($CA52,DL_KEY,0)),"M")</f>
        <v>L</v>
      </c>
      <c r="AE52" s="35" t="str">
        <f>IFERROR(INDEX(DL_Edu,MATCH($CA52,DL_KEY,0)),"M")</f>
        <v>L</v>
      </c>
      <c r="AF52" s="34" t="inlineStr">
        <is>
          <t>M</t>
        </is>
      </c>
      <c r="AG52" s="35" t="inlineStr">
        <is>
          <t>M</t>
        </is>
      </c>
      <c r="AH52" s="35" t="inlineStr">
        <is>
          <t>M</t>
        </is>
      </c>
      <c r="AI52" s="35" t="inlineStr">
        <is>
          <t>M</t>
        </is>
      </c>
      <c r="AJ52" s="35" t="inlineStr">
        <is>
          <t>M</t>
        </is>
      </c>
      <c r="AK52" s="35" t="inlineStr">
        <is>
          <t>M</t>
        </is>
      </c>
      <c r="AL52" s="35" t="inlineStr">
        <is>
          <t>M</t>
        </is>
      </c>
      <c r="AM52" s="36" t="n">
        <v>0.583</v>
      </c>
      <c r="AN52" s="37" t="n">
        <v>0.16</v>
      </c>
      <c r="AO52" s="37" t="n">
        <v>0.09</v>
      </c>
      <c r="AP52" s="37" t="n">
        <v>0</v>
      </c>
      <c r="AQ52" s="37" t="n">
        <v>0.063</v>
      </c>
      <c r="AR52" s="37" t="n">
        <v>0.06</v>
      </c>
      <c r="AS52" s="37" t="n">
        <v>0.04</v>
      </c>
      <c r="AT52" s="38" t="inlineStr">
        <is>
          <t>0–3</t>
        </is>
      </c>
      <c r="AU52" s="38" t="inlineStr">
        <is>
          <t>Graduate · or diploma with experience</t>
        </is>
      </c>
      <c r="AV52" s="38" t="inlineStr">
        <is>
          <t>No direct reports</t>
        </is>
      </c>
      <c r="AW52" s="38" t="inlineStr">
        <is>
          <t>P1–P2 · SFIA 2 Assist</t>
        </is>
      </c>
      <c r="AX5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2" s="39" t="inlineStr">
        <is>
          <t>A2</t>
        </is>
      </c>
      <c r="AZ52" s="40" t="inlineStr">
        <is>
          <t>Band A · Practitioner · Associate</t>
        </is>
      </c>
      <c r="BA52" s="40" t="inlineStr">
        <is>
          <t>Model A3 from the six ratings, the market-derived weights and rules R1–R13 · then Level rule: manager A3; a reportee sits at least one level below · A3 → A2 · move down · pay and title protected for one cycle</t>
        </is>
      </c>
      <c r="BB52" s="41" t="inlineStr">
        <is>
          <t>A3</t>
        </is>
      </c>
      <c r="BC52" s="40" t="inlineStr">
        <is>
          <t>The six ratings on the market-average weights of Band A · all tracks score 3.03 → A3 · Hay, Mercer IPE and public plans · experience 18 yrs vs the A3 market range 2–5</t>
        </is>
      </c>
      <c r="BD52" s="42">
        <f>IF(SUM(BM52,BN52,BO52,BP52,BQ52,BR52,BS52)=0,0,(BM52*BT52+BN52*BU52+BO52*BV52+BP52*BW52+BQ52*BX52+BR52*BY52+BS52*BZ52)/SUM(BM52,BN52,BO52,BP52,BQ52,BR52,BS52))</f>
        <v>0</v>
      </c>
      <c r="BE52" s="41" t="str">
        <f>IF(LEFT(AY52,1)="X",AY52,IF(OR(AY52="B+",AY52="C+"),INDEX(LAD_PC,MAX(1,MIN(14,MATCH(AY52,LAD_PC,0)+IF(BD52&gt;=0.5,1,IF(BD52&lt;=-0.5,-1,0))))),INDEX(LAD_STD,MAX(1,MIN(12,MATCH(AY52,LAD_STD,0)+IF(BD52&gt;=0.5,1,IF(BD52&lt;=-0.5,-1,0)))))))</f>
        <v>A2</v>
      </c>
      <c r="BF52" s="43" t="n"/>
      <c r="BG52" s="41" t="str">
        <f>IF(BF52&lt;&gt;"",BF52,BE52)</f>
        <v>A2</v>
      </c>
      <c r="BH52" s="40" t="str">
        <f>IFERROR(CHOOSE(INDEX(B_RANK,MATCH(BG52,B_LVL,0)),"Band A","Band B","B+ · Player-Coach","Band C","C+ · Player-Coach","Band D","Band E"),"Band X · Consultant")</f>
        <v>Band A</v>
      </c>
      <c r="BI52" s="40" t="str">
        <f>IF(BG52=AY52,"• Same",IF(INDEX(B_VAL,MATCH(BG52,B_LVL,0))&gt;INDEX(B_VAL,MATCH(AY52,B_LVL,0)),"▲ Up","▼ Down"))</f>
        <v>• Same</v>
      </c>
      <c r="BJ52" s="40" t="str">
        <f>IF(OR($M52="",$M52="—",$M52="Not in this file"),"",IFERROR(INDEX($BG$7:$BG$592,MATCH($M52,$D$7:$D$592,0)),""))</f>
        <v>A3</v>
      </c>
      <c r="BK52" s="40" t="str">
        <f>IFERROR(IF(BJ52="","—",IF(OR(LEFT(BG52,1)="X",LEFT(BJ52,1)="X"),"—",IF(AND(LEFT(BG52,1)="E",LEFT(BJ52,1)="E"),"Exception · Band E",IF(AND(INDEX(B_VAL,MATCH(BJ52,B_LVL,0))&gt;=7,INDEX(B_RANK,MATCH(BG52,B_LVL,0))&gt;=INDEX(B_RANK,MATCH(BJ52,B_LVL,0))),"⚠ Same band as a head manager",IF(INDEX(B_VAL,MATCH(BG52,B_LVL,0))&gt;=INDEX(B_VAL,MATCH(BJ52,B_LVL,0)),"⚠ At or above the manager's level","OK"))))),"—")</f>
        <v>OK</v>
      </c>
      <c r="BL52" s="43" t="n"/>
      <c r="BM52" s="44">
        <f>IFERROR(INDEX(LMH_PTS,MATCH(Y52,LMH_KEY,0)),0)</f>
        <v>9</v>
      </c>
      <c r="BN52" s="38">
        <f>IFERROR(INDEX(LMH_PTS,MATCH(Z52,LMH_KEY,0)),0)</f>
        <v>3</v>
      </c>
      <c r="BO52" s="38">
        <f>IFERROR(INDEX(LMH_PTS,MATCH(AA52,LMH_KEY,0)),0)</f>
        <v>3</v>
      </c>
      <c r="BP52" s="38">
        <f>IFERROR(INDEX(LMH_PTS,MATCH(AB52,LMH_KEY,0)),0)</f>
        <v>1</v>
      </c>
      <c r="BQ52" s="38">
        <f>IFERROR(INDEX(LMH_PTS,MATCH(AC52,LMH_KEY,0)),0)</f>
        <v>1</v>
      </c>
      <c r="BR52" s="38">
        <f>IFERROR(INDEX(LMH_PTS,MATCH(AD52,LMH_KEY,0)),0)</f>
        <v>1</v>
      </c>
      <c r="BS52" s="38">
        <f>IFERROR(INDEX(LMH_PTS,MATCH(AE52,LMH_KEY,0)),0)</f>
        <v>1</v>
      </c>
      <c r="BT52" s="38">
        <f>IFERROR(INDEX(LMH_STEP,MATCH(AF52,LMH_KEY,0)),0)</f>
        <v>0</v>
      </c>
      <c r="BU52" s="38">
        <f>IFERROR(INDEX(LMH_STEP,MATCH(AG52,LMH_KEY,0)),0)</f>
        <v>0</v>
      </c>
      <c r="BV52" s="38">
        <f>IFERROR(INDEX(LMH_STEP,MATCH(AH52,LMH_KEY,0)),0)</f>
        <v>0</v>
      </c>
      <c r="BW52" s="38">
        <f>IFERROR(INDEX(LMH_STEP,MATCH(AI52,LMH_KEY,0)),0)</f>
        <v>0</v>
      </c>
      <c r="BX52" s="38">
        <f>IFERROR(INDEX(LMH_STEP,MATCH(AJ52,LMH_KEY,0)),0)</f>
        <v>0</v>
      </c>
      <c r="BY52" s="38">
        <f>IFERROR(INDEX(LMH_STEP,MATCH(AK52,LMH_KEY,0)),0)</f>
        <v>0</v>
      </c>
      <c r="BZ52" s="38">
        <f>IFERROR(INDEX(LMH_STEP,MATCH(AL52,LMH_KEY,0)),0)</f>
        <v>0</v>
      </c>
      <c r="CA52" s="38" t="inlineStr">
        <is>
          <t>CARBON|Services|Senior Financial Analyst|A2|A</t>
        </is>
      </c>
    </row>
    <row r="53" ht="110" customHeight="1">
      <c r="A53" s="28" t="inlineStr">
        <is>
          <t>CARBON</t>
        </is>
      </c>
      <c r="B53" s="29" t="inlineStr">
        <is>
          <t>Services</t>
        </is>
      </c>
      <c r="C53" s="29" t="n">
        <v>7</v>
      </c>
      <c r="D53" s="29" t="inlineStr">
        <is>
          <t>IRIS0474</t>
        </is>
      </c>
      <c r="E53" s="29" t="inlineStr">
        <is>
          <t>Kiran Mane</t>
        </is>
      </c>
      <c r="F53" s="29" t="inlineStr">
        <is>
          <t>Financial Analyst</t>
        </is>
      </c>
      <c r="G53" s="29" t="inlineStr">
        <is>
          <t>Senior Financial Analyst</t>
        </is>
      </c>
      <c r="H53" s="29" t="inlineStr">
        <is>
          <t>Consulting &amp; Professional Services</t>
        </is>
      </c>
      <c r="I53" s="29" t="inlineStr">
        <is>
          <t>XBRL Tagging, Conversion &amp; Filing</t>
        </is>
      </c>
      <c r="J53" s="29" t="inlineStr">
        <is>
          <t>IC</t>
        </is>
      </c>
      <c r="K53" s="29" t="inlineStr">
        <is>
          <t>RC-025</t>
        </is>
      </c>
      <c r="L53" s="29" t="inlineStr">
        <is>
          <t>Shailesh Kumar Sharma</t>
        </is>
      </c>
      <c r="M53" s="29" t="inlineStr">
        <is>
          <t>IRIS0506</t>
        </is>
      </c>
      <c r="N53" s="29" t="n">
        <v>15.8</v>
      </c>
      <c r="O53" s="29" t="n">
        <v>15.8</v>
      </c>
      <c r="P53" s="29" t="inlineStr">
        <is>
          <t>B.Com</t>
        </is>
      </c>
      <c r="Q53" s="29" t="inlineStr">
        <is>
          <t>L3 – Professional / Associate</t>
        </is>
      </c>
      <c r="R53" s="29" t="inlineStr">
        <is>
          <t>A3</t>
        </is>
      </c>
      <c r="S53" s="30" t="inlineStr">
        <is>
          <t>20 of 20</t>
        </is>
      </c>
      <c r="T53" s="31" t="inlineStr">
        <is>
          <t>• Role / sub-team: XBRL Conversion Services.</t>
        </is>
      </c>
      <c r="U53"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53" s="31" t="inlineStr">
        <is>
          <t>Latest rating: 3 · Potential: Medium · 9-box: Core Contributor · Readiness: Develop in role</t>
        </is>
      </c>
      <c r="W53" s="31" t="inlineStr">
        <is>
          <t>C M · Au L · Ac M · L L · BI M · Exp H · 15.8 yrs vs 2–4 yrs · Edu M · B.Com</t>
        </is>
      </c>
      <c r="X53" s="33" t="inlineStr">
        <is>
          <t>Open ▸</t>
        </is>
      </c>
      <c r="Y53" s="34" t="str">
        <f>IFERROR(INDEX(DL_C,MATCH($CA53,DL_KEY,0)),"M")</f>
        <v>H</v>
      </c>
      <c r="Z53" s="35" t="str">
        <f>IFERROR(INDEX(DL_Au,MATCH($CA53,DL_KEY,0)),"M")</f>
        <v>M</v>
      </c>
      <c r="AA53" s="35" t="str">
        <f>IFERROR(INDEX(DL_Ac,MATCH($CA53,DL_KEY,0)),"M")</f>
        <v>M</v>
      </c>
      <c r="AB53" s="35" t="str">
        <f>IFERROR(INDEX(DL_L,MATCH($CA53,DL_KEY,0)),"M")</f>
        <v>L</v>
      </c>
      <c r="AC53" s="35" t="str">
        <f>IFERROR(INDEX(DL_BI,MATCH($CA53,DL_KEY,0)),"M")</f>
        <v>L</v>
      </c>
      <c r="AD53" s="35" t="str">
        <f>IFERROR(INDEX(DL_Exp,MATCH($CA53,DL_KEY,0)),"M")</f>
        <v>L</v>
      </c>
      <c r="AE53" s="35" t="str">
        <f>IFERROR(INDEX(DL_Edu,MATCH($CA53,DL_KEY,0)),"M")</f>
        <v>L</v>
      </c>
      <c r="AF53" s="34" t="inlineStr">
        <is>
          <t>M</t>
        </is>
      </c>
      <c r="AG53" s="35" t="inlineStr">
        <is>
          <t>M</t>
        </is>
      </c>
      <c r="AH53" s="35" t="inlineStr">
        <is>
          <t>M</t>
        </is>
      </c>
      <c r="AI53" s="35" t="inlineStr">
        <is>
          <t>M</t>
        </is>
      </c>
      <c r="AJ53" s="35" t="inlineStr">
        <is>
          <t>M</t>
        </is>
      </c>
      <c r="AK53" s="35" t="inlineStr">
        <is>
          <t>M</t>
        </is>
      </c>
      <c r="AL53" s="35" t="inlineStr">
        <is>
          <t>M</t>
        </is>
      </c>
      <c r="AM53" s="36" t="n">
        <v>0.583</v>
      </c>
      <c r="AN53" s="37" t="n">
        <v>0.16</v>
      </c>
      <c r="AO53" s="37" t="n">
        <v>0.09</v>
      </c>
      <c r="AP53" s="37" t="n">
        <v>0</v>
      </c>
      <c r="AQ53" s="37" t="n">
        <v>0.063</v>
      </c>
      <c r="AR53" s="37" t="n">
        <v>0.06</v>
      </c>
      <c r="AS53" s="37" t="n">
        <v>0.04</v>
      </c>
      <c r="AT53" s="38" t="inlineStr">
        <is>
          <t>2–5</t>
        </is>
      </c>
      <c r="AU53" s="38" t="inlineStr">
        <is>
          <t>Graduate; relevant certification preferred</t>
        </is>
      </c>
      <c r="AV53" s="38" t="inlineStr">
        <is>
          <t>None · guides 1–3 juniors informally</t>
        </is>
      </c>
      <c r="AW53" s="38" t="inlineStr">
        <is>
          <t>P2 · SFIA 3 Apply</t>
        </is>
      </c>
      <c r="AX5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3" s="39" t="inlineStr">
        <is>
          <t>A3</t>
        </is>
      </c>
      <c r="AZ53" s="40" t="inlineStr">
        <is>
          <t>Band A · Practitioner · Senior Associate</t>
        </is>
      </c>
      <c r="BA53" s="40" t="inlineStr">
        <is>
          <t>Model A3 from the six ratings, the market-derived weights and rules R1–R13 · then No change · already below the manager</t>
        </is>
      </c>
      <c r="BB53" s="41" t="inlineStr">
        <is>
          <t>A3</t>
        </is>
      </c>
      <c r="BC53" s="40" t="inlineStr">
        <is>
          <t>The six ratings on the market-average weights of Band A · all tracks score 3.05 → A3 · Hay, Mercer IPE and public plans · experience 15.8 yrs vs the A3 market range 2–5</t>
        </is>
      </c>
      <c r="BD53" s="42">
        <f>IF(SUM(BM53,BN53,BO53,BP53,BQ53,BR53,BS53)=0,0,(BM53*BT53+BN53*BU53+BO53*BV53+BP53*BW53+BQ53*BX53+BR53*BY53+BS53*BZ53)/SUM(BM53,BN53,BO53,BP53,BQ53,BR53,BS53))</f>
        <v>0</v>
      </c>
      <c r="BE53" s="41" t="str">
        <f>IF(LEFT(AY53,1)="X",AY53,IF(OR(AY53="B+",AY53="C+"),INDEX(LAD_PC,MAX(1,MIN(14,MATCH(AY53,LAD_PC,0)+IF(BD53&gt;=0.5,1,IF(BD53&lt;=-0.5,-1,0))))),INDEX(LAD_STD,MAX(1,MIN(12,MATCH(AY53,LAD_STD,0)+IF(BD53&gt;=0.5,1,IF(BD53&lt;=-0.5,-1,0)))))))</f>
        <v>A3</v>
      </c>
      <c r="BF53" s="43" t="n"/>
      <c r="BG53" s="41" t="str">
        <f>IF(BF53&lt;&gt;"",BF53,BE53)</f>
        <v>A3</v>
      </c>
      <c r="BH53" s="40" t="str">
        <f>IFERROR(CHOOSE(INDEX(B_RANK,MATCH(BG53,B_LVL,0)),"Band A","Band B","B+ · Player-Coach","Band C","C+ · Player-Coach","Band D","Band E"),"Band X · Consultant")</f>
        <v>Band A</v>
      </c>
      <c r="BI53" s="40" t="str">
        <f>IF(BG53=AY53,"• Same",IF(INDEX(B_VAL,MATCH(BG53,B_LVL,0))&gt;INDEX(B_VAL,MATCH(AY53,B_LVL,0)),"▲ Up","▼ Down"))</f>
        <v>• Same</v>
      </c>
      <c r="BJ53" s="40" t="str">
        <f>IF(OR($M53="",$M53="—",$M53="Not in this file"),"",IFERROR(INDEX($BG$7:$BG$592,MATCH($M53,$D$7:$D$592,0)),""))</f>
        <v>B1</v>
      </c>
      <c r="BK53" s="40" t="str">
        <f>IFERROR(IF(BJ53="","—",IF(OR(LEFT(BG53,1)="X",LEFT(BJ53,1)="X"),"—",IF(AND(LEFT(BG53,1)="E",LEFT(BJ53,1)="E"),"Exception · Band E",IF(AND(INDEX(B_VAL,MATCH(BJ53,B_LVL,0))&gt;=7,INDEX(B_RANK,MATCH(BG53,B_LVL,0))&gt;=INDEX(B_RANK,MATCH(BJ53,B_LVL,0))),"⚠ Same band as a head manager",IF(INDEX(B_VAL,MATCH(BG53,B_LVL,0))&gt;=INDEX(B_VAL,MATCH(BJ53,B_LVL,0)),"⚠ At or above the manager's level","OK"))))),"—")</f>
        <v>OK</v>
      </c>
      <c r="BL53" s="43" t="n"/>
      <c r="BM53" s="44">
        <f>IFERROR(INDEX(LMH_PTS,MATCH(Y53,LMH_KEY,0)),0)</f>
        <v>9</v>
      </c>
      <c r="BN53" s="38">
        <f>IFERROR(INDEX(LMH_PTS,MATCH(Z53,LMH_KEY,0)),0)</f>
        <v>3</v>
      </c>
      <c r="BO53" s="38">
        <f>IFERROR(INDEX(LMH_PTS,MATCH(AA53,LMH_KEY,0)),0)</f>
        <v>3</v>
      </c>
      <c r="BP53" s="38">
        <f>IFERROR(INDEX(LMH_PTS,MATCH(AB53,LMH_KEY,0)),0)</f>
        <v>1</v>
      </c>
      <c r="BQ53" s="38">
        <f>IFERROR(INDEX(LMH_PTS,MATCH(AC53,LMH_KEY,0)),0)</f>
        <v>1</v>
      </c>
      <c r="BR53" s="38">
        <f>IFERROR(INDEX(LMH_PTS,MATCH(AD53,LMH_KEY,0)),0)</f>
        <v>1</v>
      </c>
      <c r="BS53" s="38">
        <f>IFERROR(INDEX(LMH_PTS,MATCH(AE53,LMH_KEY,0)),0)</f>
        <v>1</v>
      </c>
      <c r="BT53" s="38">
        <f>IFERROR(INDEX(LMH_STEP,MATCH(AF53,LMH_KEY,0)),0)</f>
        <v>0</v>
      </c>
      <c r="BU53" s="38">
        <f>IFERROR(INDEX(LMH_STEP,MATCH(AG53,LMH_KEY,0)),0)</f>
        <v>0</v>
      </c>
      <c r="BV53" s="38">
        <f>IFERROR(INDEX(LMH_STEP,MATCH(AH53,LMH_KEY,0)),0)</f>
        <v>0</v>
      </c>
      <c r="BW53" s="38">
        <f>IFERROR(INDEX(LMH_STEP,MATCH(AI53,LMH_KEY,0)),0)</f>
        <v>0</v>
      </c>
      <c r="BX53" s="38">
        <f>IFERROR(INDEX(LMH_STEP,MATCH(AJ53,LMH_KEY,0)),0)</f>
        <v>0</v>
      </c>
      <c r="BY53" s="38">
        <f>IFERROR(INDEX(LMH_STEP,MATCH(AK53,LMH_KEY,0)),0)</f>
        <v>0</v>
      </c>
      <c r="BZ53" s="38">
        <f>IFERROR(INDEX(LMH_STEP,MATCH(AL53,LMH_KEY,0)),0)</f>
        <v>0</v>
      </c>
      <c r="CA53" s="38" t="inlineStr">
        <is>
          <t>CARBON|Services|Senior Financial Analyst|A3|A</t>
        </is>
      </c>
    </row>
    <row r="54" ht="110" customHeight="1">
      <c r="A54" s="28" t="inlineStr">
        <is>
          <t>CARBON</t>
        </is>
      </c>
      <c r="B54" s="29" t="inlineStr">
        <is>
          <t>Services</t>
        </is>
      </c>
      <c r="C54" s="29" t="n">
        <v>7</v>
      </c>
      <c r="D54" s="29" t="inlineStr">
        <is>
          <t>IRIS0520</t>
        </is>
      </c>
      <c r="E54" s="29" t="inlineStr">
        <is>
          <t>Mandar Vatare</t>
        </is>
      </c>
      <c r="F54" s="29" t="inlineStr">
        <is>
          <t>Financial Analyst</t>
        </is>
      </c>
      <c r="G54" s="29" t="inlineStr">
        <is>
          <t>Senior Financial Analyst</t>
        </is>
      </c>
      <c r="H54" s="29" t="inlineStr">
        <is>
          <t>Consulting &amp; Professional Services</t>
        </is>
      </c>
      <c r="I54" s="29" t="inlineStr">
        <is>
          <t>XBRL Tagging, Conversion &amp; Filing</t>
        </is>
      </c>
      <c r="J54" s="29" t="inlineStr">
        <is>
          <t>IC</t>
        </is>
      </c>
      <c r="K54" s="29" t="inlineStr">
        <is>
          <t>RC-025</t>
        </is>
      </c>
      <c r="L54" s="29" t="inlineStr">
        <is>
          <t>Shailesh Kumar Sharma</t>
        </is>
      </c>
      <c r="M54" s="29" t="inlineStr">
        <is>
          <t>IRIS0506</t>
        </is>
      </c>
      <c r="N54" s="29" t="n">
        <v>17.3</v>
      </c>
      <c r="O54" s="29" t="n">
        <v>16.3</v>
      </c>
      <c r="P54" s="29" t="inlineStr">
        <is>
          <t>B.Com</t>
        </is>
      </c>
      <c r="Q54" s="29" t="inlineStr">
        <is>
          <t>L3 – Professional / Associate</t>
        </is>
      </c>
      <c r="R54" s="29" t="inlineStr">
        <is>
          <t>A3</t>
        </is>
      </c>
      <c r="S54" s="30" t="inlineStr">
        <is>
          <t>20 of 20</t>
        </is>
      </c>
      <c r="T54" s="31" t="inlineStr">
        <is>
          <t>• Role / sub-team: Quality Check analyst XCS- Uk, XBRL Tagging in EU &amp; KVK.</t>
        </is>
      </c>
      <c r="U54"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54" s="31" t="inlineStr">
        <is>
          <t>Latest rating: 3 · Potential: Medium · 9-box: Core Contributor · Readiness: Develop in role</t>
        </is>
      </c>
      <c r="W54" s="31" t="inlineStr">
        <is>
          <t>C M · Au L · Ac M · L L · BI M · Exp H · 17.3 yrs vs 2–4 yrs · Edu M · B.Com</t>
        </is>
      </c>
      <c r="X54" s="33" t="inlineStr">
        <is>
          <t>Open ▸</t>
        </is>
      </c>
      <c r="Y54" s="34" t="str">
        <f>IFERROR(INDEX(DL_C,MATCH($CA54,DL_KEY,0)),"M")</f>
        <v>H</v>
      </c>
      <c r="Z54" s="35" t="str">
        <f>IFERROR(INDEX(DL_Au,MATCH($CA54,DL_KEY,0)),"M")</f>
        <v>M</v>
      </c>
      <c r="AA54" s="35" t="str">
        <f>IFERROR(INDEX(DL_Ac,MATCH($CA54,DL_KEY,0)),"M")</f>
        <v>M</v>
      </c>
      <c r="AB54" s="35" t="str">
        <f>IFERROR(INDEX(DL_L,MATCH($CA54,DL_KEY,0)),"M")</f>
        <v>L</v>
      </c>
      <c r="AC54" s="35" t="str">
        <f>IFERROR(INDEX(DL_BI,MATCH($CA54,DL_KEY,0)),"M")</f>
        <v>L</v>
      </c>
      <c r="AD54" s="35" t="str">
        <f>IFERROR(INDEX(DL_Exp,MATCH($CA54,DL_KEY,0)),"M")</f>
        <v>L</v>
      </c>
      <c r="AE54" s="35" t="str">
        <f>IFERROR(INDEX(DL_Edu,MATCH($CA54,DL_KEY,0)),"M")</f>
        <v>L</v>
      </c>
      <c r="AF54" s="34" t="inlineStr">
        <is>
          <t>M</t>
        </is>
      </c>
      <c r="AG54" s="35" t="inlineStr">
        <is>
          <t>M</t>
        </is>
      </c>
      <c r="AH54" s="35" t="inlineStr">
        <is>
          <t>M</t>
        </is>
      </c>
      <c r="AI54" s="35" t="inlineStr">
        <is>
          <t>M</t>
        </is>
      </c>
      <c r="AJ54" s="35" t="inlineStr">
        <is>
          <t>M</t>
        </is>
      </c>
      <c r="AK54" s="35" t="inlineStr">
        <is>
          <t>M</t>
        </is>
      </c>
      <c r="AL54" s="35" t="inlineStr">
        <is>
          <t>M</t>
        </is>
      </c>
      <c r="AM54" s="36" t="n">
        <v>0.583</v>
      </c>
      <c r="AN54" s="37" t="n">
        <v>0.16</v>
      </c>
      <c r="AO54" s="37" t="n">
        <v>0.09</v>
      </c>
      <c r="AP54" s="37" t="n">
        <v>0</v>
      </c>
      <c r="AQ54" s="37" t="n">
        <v>0.063</v>
      </c>
      <c r="AR54" s="37" t="n">
        <v>0.06</v>
      </c>
      <c r="AS54" s="37" t="n">
        <v>0.04</v>
      </c>
      <c r="AT54" s="38" t="inlineStr">
        <is>
          <t>2–5</t>
        </is>
      </c>
      <c r="AU54" s="38" t="inlineStr">
        <is>
          <t>Graduate; relevant certification preferred</t>
        </is>
      </c>
      <c r="AV54" s="38" t="inlineStr">
        <is>
          <t>None · guides 1–3 juniors informally</t>
        </is>
      </c>
      <c r="AW54" s="38" t="inlineStr">
        <is>
          <t>P2 · SFIA 3 Apply</t>
        </is>
      </c>
      <c r="AX5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4" s="39" t="inlineStr">
        <is>
          <t>A3</t>
        </is>
      </c>
      <c r="AZ54" s="40" t="inlineStr">
        <is>
          <t>Band A · Practitioner · Senior Associate</t>
        </is>
      </c>
      <c r="BA54" s="40" t="inlineStr">
        <is>
          <t>Model A3 from the six ratings, the market-derived weights and rules R1–R13 · then No change · already below the manager</t>
        </is>
      </c>
      <c r="BB54" s="41" t="inlineStr">
        <is>
          <t>A3</t>
        </is>
      </c>
      <c r="BC54" s="40" t="inlineStr">
        <is>
          <t>The six ratings on the market-average weights of Band A · all tracks score 3.10 → A3 · Hay, Mercer IPE and public plans · experience 17.3 yrs vs the A3 market range 2–5</t>
        </is>
      </c>
      <c r="BD54" s="42">
        <f>IF(SUM(BM54,BN54,BO54,BP54,BQ54,BR54,BS54)=0,0,(BM54*BT54+BN54*BU54+BO54*BV54+BP54*BW54+BQ54*BX54+BR54*BY54+BS54*BZ54)/SUM(BM54,BN54,BO54,BP54,BQ54,BR54,BS54))</f>
        <v>0</v>
      </c>
      <c r="BE54" s="41" t="str">
        <f>IF(LEFT(AY54,1)="X",AY54,IF(OR(AY54="B+",AY54="C+"),INDEX(LAD_PC,MAX(1,MIN(14,MATCH(AY54,LAD_PC,0)+IF(BD54&gt;=0.5,1,IF(BD54&lt;=-0.5,-1,0))))),INDEX(LAD_STD,MAX(1,MIN(12,MATCH(AY54,LAD_STD,0)+IF(BD54&gt;=0.5,1,IF(BD54&lt;=-0.5,-1,0)))))))</f>
        <v>A3</v>
      </c>
      <c r="BF54" s="43" t="n"/>
      <c r="BG54" s="41" t="str">
        <f>IF(BF54&lt;&gt;"",BF54,BE54)</f>
        <v>A3</v>
      </c>
      <c r="BH54" s="40" t="str">
        <f>IFERROR(CHOOSE(INDEX(B_RANK,MATCH(BG54,B_LVL,0)),"Band A","Band B","B+ · Player-Coach","Band C","C+ · Player-Coach","Band D","Band E"),"Band X · Consultant")</f>
        <v>Band A</v>
      </c>
      <c r="BI54" s="40" t="str">
        <f>IF(BG54=AY54,"• Same",IF(INDEX(B_VAL,MATCH(BG54,B_LVL,0))&gt;INDEX(B_VAL,MATCH(AY54,B_LVL,0)),"▲ Up","▼ Down"))</f>
        <v>• Same</v>
      </c>
      <c r="BJ54" s="40" t="str">
        <f>IF(OR($M54="",$M54="—",$M54="Not in this file"),"",IFERROR(INDEX($BG$7:$BG$592,MATCH($M54,$D$7:$D$592,0)),""))</f>
        <v>B1</v>
      </c>
      <c r="BK54" s="40" t="str">
        <f>IFERROR(IF(BJ54="","—",IF(OR(LEFT(BG54,1)="X",LEFT(BJ54,1)="X"),"—",IF(AND(LEFT(BG54,1)="E",LEFT(BJ54,1)="E"),"Exception · Band E",IF(AND(INDEX(B_VAL,MATCH(BJ54,B_LVL,0))&gt;=7,INDEX(B_RANK,MATCH(BG54,B_LVL,0))&gt;=INDEX(B_RANK,MATCH(BJ54,B_LVL,0))),"⚠ Same band as a head manager",IF(INDEX(B_VAL,MATCH(BG54,B_LVL,0))&gt;=INDEX(B_VAL,MATCH(BJ54,B_LVL,0)),"⚠ At or above the manager's level","OK"))))),"—")</f>
        <v>OK</v>
      </c>
      <c r="BL54" s="43" t="n"/>
      <c r="BM54" s="44">
        <f>IFERROR(INDEX(LMH_PTS,MATCH(Y54,LMH_KEY,0)),0)</f>
        <v>9</v>
      </c>
      <c r="BN54" s="38">
        <f>IFERROR(INDEX(LMH_PTS,MATCH(Z54,LMH_KEY,0)),0)</f>
        <v>3</v>
      </c>
      <c r="BO54" s="38">
        <f>IFERROR(INDEX(LMH_PTS,MATCH(AA54,LMH_KEY,0)),0)</f>
        <v>3</v>
      </c>
      <c r="BP54" s="38">
        <f>IFERROR(INDEX(LMH_PTS,MATCH(AB54,LMH_KEY,0)),0)</f>
        <v>1</v>
      </c>
      <c r="BQ54" s="38">
        <f>IFERROR(INDEX(LMH_PTS,MATCH(AC54,LMH_KEY,0)),0)</f>
        <v>1</v>
      </c>
      <c r="BR54" s="38">
        <f>IFERROR(INDEX(LMH_PTS,MATCH(AD54,LMH_KEY,0)),0)</f>
        <v>1</v>
      </c>
      <c r="BS54" s="38">
        <f>IFERROR(INDEX(LMH_PTS,MATCH(AE54,LMH_KEY,0)),0)</f>
        <v>1</v>
      </c>
      <c r="BT54" s="38">
        <f>IFERROR(INDEX(LMH_STEP,MATCH(AF54,LMH_KEY,0)),0)</f>
        <v>0</v>
      </c>
      <c r="BU54" s="38">
        <f>IFERROR(INDEX(LMH_STEP,MATCH(AG54,LMH_KEY,0)),0)</f>
        <v>0</v>
      </c>
      <c r="BV54" s="38">
        <f>IFERROR(INDEX(LMH_STEP,MATCH(AH54,LMH_KEY,0)),0)</f>
        <v>0</v>
      </c>
      <c r="BW54" s="38">
        <f>IFERROR(INDEX(LMH_STEP,MATCH(AI54,LMH_KEY,0)),0)</f>
        <v>0</v>
      </c>
      <c r="BX54" s="38">
        <f>IFERROR(INDEX(LMH_STEP,MATCH(AJ54,LMH_KEY,0)),0)</f>
        <v>0</v>
      </c>
      <c r="BY54" s="38">
        <f>IFERROR(INDEX(LMH_STEP,MATCH(AK54,LMH_KEY,0)),0)</f>
        <v>0</v>
      </c>
      <c r="BZ54" s="38">
        <f>IFERROR(INDEX(LMH_STEP,MATCH(AL54,LMH_KEY,0)),0)</f>
        <v>0</v>
      </c>
      <c r="CA54" s="38" t="inlineStr">
        <is>
          <t>CARBON|Services|Senior Financial Analyst|A3|A</t>
        </is>
      </c>
    </row>
    <row r="55" ht="110" customHeight="1">
      <c r="A55" s="28" t="inlineStr">
        <is>
          <t>CARBON</t>
        </is>
      </c>
      <c r="B55" s="29" t="inlineStr">
        <is>
          <t>Services</t>
        </is>
      </c>
      <c r="C55" s="29" t="n">
        <v>7</v>
      </c>
      <c r="D55" s="29" t="inlineStr">
        <is>
          <t>IRIS0466</t>
        </is>
      </c>
      <c r="E55" s="29" t="inlineStr">
        <is>
          <t>Nirmala Kalyadappu</t>
        </is>
      </c>
      <c r="F55" s="29" t="inlineStr">
        <is>
          <t>Financial Analyst</t>
        </is>
      </c>
      <c r="G55" s="29" t="inlineStr">
        <is>
          <t>Senior Financial Analyst</t>
        </is>
      </c>
      <c r="H55" s="29" t="inlineStr">
        <is>
          <t>Consulting &amp; Professional Services</t>
        </is>
      </c>
      <c r="I55" s="29" t="inlineStr">
        <is>
          <t>XBRL Tagging, Conversion &amp; Filing</t>
        </is>
      </c>
      <c r="J55" s="29" t="inlineStr">
        <is>
          <t>IC</t>
        </is>
      </c>
      <c r="K55" s="29" t="inlineStr">
        <is>
          <t>RC-025</t>
        </is>
      </c>
      <c r="L55" s="29" t="inlineStr">
        <is>
          <t>Shailesh Kumar Sharma</t>
        </is>
      </c>
      <c r="M55" s="29" t="inlineStr">
        <is>
          <t>IRIS0506</t>
        </is>
      </c>
      <c r="N55" s="29" t="n">
        <v>16.9</v>
      </c>
      <c r="O55" s="29" t="n">
        <v>15.8</v>
      </c>
      <c r="P55" s="29" t="inlineStr">
        <is>
          <t>B.Com</t>
        </is>
      </c>
      <c r="Q55" s="29" t="inlineStr">
        <is>
          <t>L3 – Professional / Associate</t>
        </is>
      </c>
      <c r="R55" s="29" t="inlineStr">
        <is>
          <t>A3</t>
        </is>
      </c>
      <c r="S55" s="30" t="inlineStr">
        <is>
          <t>20 of 20</t>
        </is>
      </c>
      <c r="T55" s="31" t="inlineStr">
        <is>
          <t>• Role / sub-team: XBRL Conversion Services.</t>
        </is>
      </c>
      <c r="U55"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55" s="31" t="inlineStr">
        <is>
          <t>Latest rating: 4 · Potential: High · 9-box: Core Contributor · Readiness: Ready now</t>
        </is>
      </c>
      <c r="W55" s="31" t="inlineStr">
        <is>
          <t>C M · Au L · Ac M · L L · BI M · Exp H · 16.9 yrs vs 2–4 yrs · Edu M · B.Com</t>
        </is>
      </c>
      <c r="X55" s="33" t="inlineStr">
        <is>
          <t>Open ▸</t>
        </is>
      </c>
      <c r="Y55" s="34" t="str">
        <f>IFERROR(INDEX(DL_C,MATCH($CA55,DL_KEY,0)),"M")</f>
        <v>H</v>
      </c>
      <c r="Z55" s="35" t="str">
        <f>IFERROR(INDEX(DL_Au,MATCH($CA55,DL_KEY,0)),"M")</f>
        <v>M</v>
      </c>
      <c r="AA55" s="35" t="str">
        <f>IFERROR(INDEX(DL_Ac,MATCH($CA55,DL_KEY,0)),"M")</f>
        <v>M</v>
      </c>
      <c r="AB55" s="35" t="str">
        <f>IFERROR(INDEX(DL_L,MATCH($CA55,DL_KEY,0)),"M")</f>
        <v>L</v>
      </c>
      <c r="AC55" s="35" t="str">
        <f>IFERROR(INDEX(DL_BI,MATCH($CA55,DL_KEY,0)),"M")</f>
        <v>L</v>
      </c>
      <c r="AD55" s="35" t="str">
        <f>IFERROR(INDEX(DL_Exp,MATCH($CA55,DL_KEY,0)),"M")</f>
        <v>L</v>
      </c>
      <c r="AE55" s="35" t="str">
        <f>IFERROR(INDEX(DL_Edu,MATCH($CA55,DL_KEY,0)),"M")</f>
        <v>L</v>
      </c>
      <c r="AF55" s="34" t="inlineStr">
        <is>
          <t>M</t>
        </is>
      </c>
      <c r="AG55" s="35" t="inlineStr">
        <is>
          <t>M</t>
        </is>
      </c>
      <c r="AH55" s="35" t="inlineStr">
        <is>
          <t>M</t>
        </is>
      </c>
      <c r="AI55" s="35" t="inlineStr">
        <is>
          <t>M</t>
        </is>
      </c>
      <c r="AJ55" s="35" t="inlineStr">
        <is>
          <t>M</t>
        </is>
      </c>
      <c r="AK55" s="35" t="inlineStr">
        <is>
          <t>M</t>
        </is>
      </c>
      <c r="AL55" s="35" t="inlineStr">
        <is>
          <t>M</t>
        </is>
      </c>
      <c r="AM55" s="36" t="n">
        <v>0.583</v>
      </c>
      <c r="AN55" s="37" t="n">
        <v>0.16</v>
      </c>
      <c r="AO55" s="37" t="n">
        <v>0.09</v>
      </c>
      <c r="AP55" s="37" t="n">
        <v>0</v>
      </c>
      <c r="AQ55" s="37" t="n">
        <v>0.063</v>
      </c>
      <c r="AR55" s="37" t="n">
        <v>0.06</v>
      </c>
      <c r="AS55" s="37" t="n">
        <v>0.04</v>
      </c>
      <c r="AT55" s="38" t="inlineStr">
        <is>
          <t>2–5</t>
        </is>
      </c>
      <c r="AU55" s="38" t="inlineStr">
        <is>
          <t>Graduate; relevant certification preferred</t>
        </is>
      </c>
      <c r="AV55" s="38" t="inlineStr">
        <is>
          <t>None · guides 1–3 juniors informally</t>
        </is>
      </c>
      <c r="AW55" s="38" t="inlineStr">
        <is>
          <t>P2 · SFIA 3 Apply</t>
        </is>
      </c>
      <c r="AX5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5" s="39" t="inlineStr">
        <is>
          <t>A3</t>
        </is>
      </c>
      <c r="AZ55" s="40" t="inlineStr">
        <is>
          <t>Band A · Practitioner · Senior Associate</t>
        </is>
      </c>
      <c r="BA55" s="40" t="inlineStr">
        <is>
          <t>Model A3 from the six ratings, the market-derived weights and rules R1–R13 · then No change · already below the manager</t>
        </is>
      </c>
      <c r="BB55" s="41" t="inlineStr">
        <is>
          <t>A3</t>
        </is>
      </c>
      <c r="BC55" s="40" t="inlineStr">
        <is>
          <t>The six ratings on the market-average weights of Band A · all tracks score 3.10 → A3 · Hay, Mercer IPE and public plans · experience 16.9 yrs vs the A3 market range 2–5</t>
        </is>
      </c>
      <c r="BD55" s="42">
        <f>IF(SUM(BM55,BN55,BO55,BP55,BQ55,BR55,BS55)=0,0,(BM55*BT55+BN55*BU55+BO55*BV55+BP55*BW55+BQ55*BX55+BR55*BY55+BS55*BZ55)/SUM(BM55,BN55,BO55,BP55,BQ55,BR55,BS55))</f>
        <v>0</v>
      </c>
      <c r="BE55" s="41" t="str">
        <f>IF(LEFT(AY55,1)="X",AY55,IF(OR(AY55="B+",AY55="C+"),INDEX(LAD_PC,MAX(1,MIN(14,MATCH(AY55,LAD_PC,0)+IF(BD55&gt;=0.5,1,IF(BD55&lt;=-0.5,-1,0))))),INDEX(LAD_STD,MAX(1,MIN(12,MATCH(AY55,LAD_STD,0)+IF(BD55&gt;=0.5,1,IF(BD55&lt;=-0.5,-1,0)))))))</f>
        <v>A3</v>
      </c>
      <c r="BF55" s="43" t="n"/>
      <c r="BG55" s="41" t="str">
        <f>IF(BF55&lt;&gt;"",BF55,BE55)</f>
        <v>A3</v>
      </c>
      <c r="BH55" s="40" t="str">
        <f>IFERROR(CHOOSE(INDEX(B_RANK,MATCH(BG55,B_LVL,0)),"Band A","Band B","B+ · Player-Coach","Band C","C+ · Player-Coach","Band D","Band E"),"Band X · Consultant")</f>
        <v>Band A</v>
      </c>
      <c r="BI55" s="40" t="str">
        <f>IF(BG55=AY55,"• Same",IF(INDEX(B_VAL,MATCH(BG55,B_LVL,0))&gt;INDEX(B_VAL,MATCH(AY55,B_LVL,0)),"▲ Up","▼ Down"))</f>
        <v>• Same</v>
      </c>
      <c r="BJ55" s="40" t="str">
        <f>IF(OR($M55="",$M55="—",$M55="Not in this file"),"",IFERROR(INDEX($BG$7:$BG$592,MATCH($M55,$D$7:$D$592,0)),""))</f>
        <v>B1</v>
      </c>
      <c r="BK55" s="40" t="str">
        <f>IFERROR(IF(BJ55="","—",IF(OR(LEFT(BG55,1)="X",LEFT(BJ55,1)="X"),"—",IF(AND(LEFT(BG55,1)="E",LEFT(BJ55,1)="E"),"Exception · Band E",IF(AND(INDEX(B_VAL,MATCH(BJ55,B_LVL,0))&gt;=7,INDEX(B_RANK,MATCH(BG55,B_LVL,0))&gt;=INDEX(B_RANK,MATCH(BJ55,B_LVL,0))),"⚠ Same band as a head manager",IF(INDEX(B_VAL,MATCH(BG55,B_LVL,0))&gt;=INDEX(B_VAL,MATCH(BJ55,B_LVL,0)),"⚠ At or above the manager's level","OK"))))),"—")</f>
        <v>OK</v>
      </c>
      <c r="BL55" s="43" t="n"/>
      <c r="BM55" s="44">
        <f>IFERROR(INDEX(LMH_PTS,MATCH(Y55,LMH_KEY,0)),0)</f>
        <v>9</v>
      </c>
      <c r="BN55" s="38">
        <f>IFERROR(INDEX(LMH_PTS,MATCH(Z55,LMH_KEY,0)),0)</f>
        <v>3</v>
      </c>
      <c r="BO55" s="38">
        <f>IFERROR(INDEX(LMH_PTS,MATCH(AA55,LMH_KEY,0)),0)</f>
        <v>3</v>
      </c>
      <c r="BP55" s="38">
        <f>IFERROR(INDEX(LMH_PTS,MATCH(AB55,LMH_KEY,0)),0)</f>
        <v>1</v>
      </c>
      <c r="BQ55" s="38">
        <f>IFERROR(INDEX(LMH_PTS,MATCH(AC55,LMH_KEY,0)),0)</f>
        <v>1</v>
      </c>
      <c r="BR55" s="38">
        <f>IFERROR(INDEX(LMH_PTS,MATCH(AD55,LMH_KEY,0)),0)</f>
        <v>1</v>
      </c>
      <c r="BS55" s="38">
        <f>IFERROR(INDEX(LMH_PTS,MATCH(AE55,LMH_KEY,0)),0)</f>
        <v>1</v>
      </c>
      <c r="BT55" s="38">
        <f>IFERROR(INDEX(LMH_STEP,MATCH(AF55,LMH_KEY,0)),0)</f>
        <v>0</v>
      </c>
      <c r="BU55" s="38">
        <f>IFERROR(INDEX(LMH_STEP,MATCH(AG55,LMH_KEY,0)),0)</f>
        <v>0</v>
      </c>
      <c r="BV55" s="38">
        <f>IFERROR(INDEX(LMH_STEP,MATCH(AH55,LMH_KEY,0)),0)</f>
        <v>0</v>
      </c>
      <c r="BW55" s="38">
        <f>IFERROR(INDEX(LMH_STEP,MATCH(AI55,LMH_KEY,0)),0)</f>
        <v>0</v>
      </c>
      <c r="BX55" s="38">
        <f>IFERROR(INDEX(LMH_STEP,MATCH(AJ55,LMH_KEY,0)),0)</f>
        <v>0</v>
      </c>
      <c r="BY55" s="38">
        <f>IFERROR(INDEX(LMH_STEP,MATCH(AK55,LMH_KEY,0)),0)</f>
        <v>0</v>
      </c>
      <c r="BZ55" s="38">
        <f>IFERROR(INDEX(LMH_STEP,MATCH(AL55,LMH_KEY,0)),0)</f>
        <v>0</v>
      </c>
      <c r="CA55" s="38" t="inlineStr">
        <is>
          <t>CARBON|Services|Senior Financial Analyst|A3|A</t>
        </is>
      </c>
    </row>
    <row r="56" ht="110" customHeight="1">
      <c r="A56" s="28" t="inlineStr">
        <is>
          <t>CARBON</t>
        </is>
      </c>
      <c r="B56" s="29" t="inlineStr">
        <is>
          <t>Services</t>
        </is>
      </c>
      <c r="C56" s="29" t="n">
        <v>7</v>
      </c>
      <c r="D56" s="29" t="inlineStr">
        <is>
          <t>IRIS0149</t>
        </is>
      </c>
      <c r="E56" s="29" t="inlineStr">
        <is>
          <t>Sunny Kirtane</t>
        </is>
      </c>
      <c r="F56" s="29" t="inlineStr">
        <is>
          <t>Senior Financial Analyst</t>
        </is>
      </c>
      <c r="G56" s="29" t="inlineStr">
        <is>
          <t>Senior Financial Analyst</t>
        </is>
      </c>
      <c r="H56" s="29" t="inlineStr">
        <is>
          <t>Consulting &amp; Professional Services</t>
        </is>
      </c>
      <c r="I56" s="29" t="inlineStr">
        <is>
          <t>XBRL Tagging, Conversion &amp; Filing</t>
        </is>
      </c>
      <c r="J56" s="29" t="inlineStr">
        <is>
          <t>IC</t>
        </is>
      </c>
      <c r="K56" s="29" t="inlineStr">
        <is>
          <t>RC-025</t>
        </is>
      </c>
      <c r="L56" s="29" t="inlineStr">
        <is>
          <t>Shailesh Kumar Sharma</t>
        </is>
      </c>
      <c r="M56" s="29" t="inlineStr">
        <is>
          <t>IRIS0506</t>
        </is>
      </c>
      <c r="N56" s="29" t="n">
        <v>18.8</v>
      </c>
      <c r="O56" s="29" t="n">
        <v>18.8</v>
      </c>
      <c r="P56" s="29" t="inlineStr">
        <is>
          <t>B.Com</t>
        </is>
      </c>
      <c r="Q56" s="29" t="inlineStr">
        <is>
          <t>L4 – Senior</t>
        </is>
      </c>
      <c r="R56" s="29" t="inlineStr">
        <is>
          <t>A3</t>
        </is>
      </c>
      <c r="S56" s="30" t="inlineStr">
        <is>
          <t>20 of 20</t>
        </is>
      </c>
      <c r="T56" s="31" t="inlineStr">
        <is>
          <t>• Role / sub-team: UK ESMA CIPC.</t>
        </is>
      </c>
      <c r="U56"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56" s="31" t="inlineStr">
        <is>
          <t>Latest rating: 3 · Potential: Medium · 9-box: Core Contributor · Readiness: Develop in role</t>
        </is>
      </c>
      <c r="W56" s="31" t="inlineStr">
        <is>
          <t>C M · Au M · Ac M · L L · BI M · Exp H · 18.8 yrs vs 2–4 yrs · Edu M · B.Com</t>
        </is>
      </c>
      <c r="X56" s="33" t="inlineStr">
        <is>
          <t>Open ▸</t>
        </is>
      </c>
      <c r="Y56" s="34" t="str">
        <f>IFERROR(INDEX(DL_C,MATCH($CA56,DL_KEY,0)),"M")</f>
        <v>H</v>
      </c>
      <c r="Z56" s="35" t="str">
        <f>IFERROR(INDEX(DL_Au,MATCH($CA56,DL_KEY,0)),"M")</f>
        <v>M</v>
      </c>
      <c r="AA56" s="35" t="str">
        <f>IFERROR(INDEX(DL_Ac,MATCH($CA56,DL_KEY,0)),"M")</f>
        <v>M</v>
      </c>
      <c r="AB56" s="35" t="str">
        <f>IFERROR(INDEX(DL_L,MATCH($CA56,DL_KEY,0)),"M")</f>
        <v>L</v>
      </c>
      <c r="AC56" s="35" t="str">
        <f>IFERROR(INDEX(DL_BI,MATCH($CA56,DL_KEY,0)),"M")</f>
        <v>L</v>
      </c>
      <c r="AD56" s="35" t="str">
        <f>IFERROR(INDEX(DL_Exp,MATCH($CA56,DL_KEY,0)),"M")</f>
        <v>L</v>
      </c>
      <c r="AE56" s="35" t="str">
        <f>IFERROR(INDEX(DL_Edu,MATCH($CA56,DL_KEY,0)),"M")</f>
        <v>L</v>
      </c>
      <c r="AF56" s="34" t="inlineStr">
        <is>
          <t>M</t>
        </is>
      </c>
      <c r="AG56" s="35" t="inlineStr">
        <is>
          <t>M</t>
        </is>
      </c>
      <c r="AH56" s="35" t="inlineStr">
        <is>
          <t>M</t>
        </is>
      </c>
      <c r="AI56" s="35" t="inlineStr">
        <is>
          <t>M</t>
        </is>
      </c>
      <c r="AJ56" s="35" t="inlineStr">
        <is>
          <t>M</t>
        </is>
      </c>
      <c r="AK56" s="35" t="inlineStr">
        <is>
          <t>M</t>
        </is>
      </c>
      <c r="AL56" s="35" t="inlineStr">
        <is>
          <t>M</t>
        </is>
      </c>
      <c r="AM56" s="36" t="n">
        <v>0.583</v>
      </c>
      <c r="AN56" s="37" t="n">
        <v>0.16</v>
      </c>
      <c r="AO56" s="37" t="n">
        <v>0.09</v>
      </c>
      <c r="AP56" s="37" t="n">
        <v>0</v>
      </c>
      <c r="AQ56" s="37" t="n">
        <v>0.063</v>
      </c>
      <c r="AR56" s="37" t="n">
        <v>0.06</v>
      </c>
      <c r="AS56" s="37" t="n">
        <v>0.04</v>
      </c>
      <c r="AT56" s="38" t="inlineStr">
        <is>
          <t>2–5</t>
        </is>
      </c>
      <c r="AU56" s="38" t="inlineStr">
        <is>
          <t>Graduate; relevant certification preferred</t>
        </is>
      </c>
      <c r="AV56" s="38" t="inlineStr">
        <is>
          <t>None · guides 1–3 juniors informally</t>
        </is>
      </c>
      <c r="AW56" s="38" t="inlineStr">
        <is>
          <t>P2 · SFIA 3 Apply</t>
        </is>
      </c>
      <c r="AX5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6" s="39" t="inlineStr">
        <is>
          <t>A3</t>
        </is>
      </c>
      <c r="AZ56" s="40" t="inlineStr">
        <is>
          <t>Band A · Practitioner · Senior Associate</t>
        </is>
      </c>
      <c r="BA56" s="40" t="inlineStr">
        <is>
          <t>Model A3 from the six ratings, the market-derived weights and rules R1–R13 · then No change · already below the manager</t>
        </is>
      </c>
      <c r="BB56" s="41" t="inlineStr">
        <is>
          <t>B1</t>
        </is>
      </c>
      <c r="BC56" s="40" t="inlineStr">
        <is>
          <t>The six ratings on the market-average weights of Band A · all tracks score 3.53 → B1 · Hay, Mercer IPE and public plans · experience 18.8 yrs vs the B1 market range 4–8</t>
        </is>
      </c>
      <c r="BD56" s="42">
        <f>IF(SUM(BM56,BN56,BO56,BP56,BQ56,BR56,BS56)=0,0,(BM56*BT56+BN56*BU56+BO56*BV56+BP56*BW56+BQ56*BX56+BR56*BY56+BS56*BZ56)/SUM(BM56,BN56,BO56,BP56,BQ56,BR56,BS56))</f>
        <v>0</v>
      </c>
      <c r="BE56" s="41" t="str">
        <f>IF(LEFT(AY56,1)="X",AY56,IF(OR(AY56="B+",AY56="C+"),INDEX(LAD_PC,MAX(1,MIN(14,MATCH(AY56,LAD_PC,0)+IF(BD56&gt;=0.5,1,IF(BD56&lt;=-0.5,-1,0))))),INDEX(LAD_STD,MAX(1,MIN(12,MATCH(AY56,LAD_STD,0)+IF(BD56&gt;=0.5,1,IF(BD56&lt;=-0.5,-1,0)))))))</f>
        <v>A3</v>
      </c>
      <c r="BF56" s="43" t="n"/>
      <c r="BG56" s="41" t="str">
        <f>IF(BF56&lt;&gt;"",BF56,BE56)</f>
        <v>A3</v>
      </c>
      <c r="BH56" s="40" t="str">
        <f>IFERROR(CHOOSE(INDEX(B_RANK,MATCH(BG56,B_LVL,0)),"Band A","Band B","B+ · Player-Coach","Band C","C+ · Player-Coach","Band D","Band E"),"Band X · Consultant")</f>
        <v>Band A</v>
      </c>
      <c r="BI56" s="40" t="str">
        <f>IF(BG56=AY56,"• Same",IF(INDEX(B_VAL,MATCH(BG56,B_LVL,0))&gt;INDEX(B_VAL,MATCH(AY56,B_LVL,0)),"▲ Up","▼ Down"))</f>
        <v>• Same</v>
      </c>
      <c r="BJ56" s="40" t="str">
        <f>IF(OR($M56="",$M56="—",$M56="Not in this file"),"",IFERROR(INDEX($BG$7:$BG$592,MATCH($M56,$D$7:$D$592,0)),""))</f>
        <v>B1</v>
      </c>
      <c r="BK56" s="40" t="str">
        <f>IFERROR(IF(BJ56="","—",IF(OR(LEFT(BG56,1)="X",LEFT(BJ56,1)="X"),"—",IF(AND(LEFT(BG56,1)="E",LEFT(BJ56,1)="E"),"Exception · Band E",IF(AND(INDEX(B_VAL,MATCH(BJ56,B_LVL,0))&gt;=7,INDEX(B_RANK,MATCH(BG56,B_LVL,0))&gt;=INDEX(B_RANK,MATCH(BJ56,B_LVL,0))),"⚠ Same band as a head manager",IF(INDEX(B_VAL,MATCH(BG56,B_LVL,0))&gt;=INDEX(B_VAL,MATCH(BJ56,B_LVL,0)),"⚠ At or above the manager's level","OK"))))),"—")</f>
        <v>OK</v>
      </c>
      <c r="BL56" s="43" t="n"/>
      <c r="BM56" s="44">
        <f>IFERROR(INDEX(LMH_PTS,MATCH(Y56,LMH_KEY,0)),0)</f>
        <v>9</v>
      </c>
      <c r="BN56" s="38">
        <f>IFERROR(INDEX(LMH_PTS,MATCH(Z56,LMH_KEY,0)),0)</f>
        <v>3</v>
      </c>
      <c r="BO56" s="38">
        <f>IFERROR(INDEX(LMH_PTS,MATCH(AA56,LMH_KEY,0)),0)</f>
        <v>3</v>
      </c>
      <c r="BP56" s="38">
        <f>IFERROR(INDEX(LMH_PTS,MATCH(AB56,LMH_KEY,0)),0)</f>
        <v>1</v>
      </c>
      <c r="BQ56" s="38">
        <f>IFERROR(INDEX(LMH_PTS,MATCH(AC56,LMH_KEY,0)),0)</f>
        <v>1</v>
      </c>
      <c r="BR56" s="38">
        <f>IFERROR(INDEX(LMH_PTS,MATCH(AD56,LMH_KEY,0)),0)</f>
        <v>1</v>
      </c>
      <c r="BS56" s="38">
        <f>IFERROR(INDEX(LMH_PTS,MATCH(AE56,LMH_KEY,0)),0)</f>
        <v>1</v>
      </c>
      <c r="BT56" s="38">
        <f>IFERROR(INDEX(LMH_STEP,MATCH(AF56,LMH_KEY,0)),0)</f>
        <v>0</v>
      </c>
      <c r="BU56" s="38">
        <f>IFERROR(INDEX(LMH_STEP,MATCH(AG56,LMH_KEY,0)),0)</f>
        <v>0</v>
      </c>
      <c r="BV56" s="38">
        <f>IFERROR(INDEX(LMH_STEP,MATCH(AH56,LMH_KEY,0)),0)</f>
        <v>0</v>
      </c>
      <c r="BW56" s="38">
        <f>IFERROR(INDEX(LMH_STEP,MATCH(AI56,LMH_KEY,0)),0)</f>
        <v>0</v>
      </c>
      <c r="BX56" s="38">
        <f>IFERROR(INDEX(LMH_STEP,MATCH(AJ56,LMH_KEY,0)),0)</f>
        <v>0</v>
      </c>
      <c r="BY56" s="38">
        <f>IFERROR(INDEX(LMH_STEP,MATCH(AK56,LMH_KEY,0)),0)</f>
        <v>0</v>
      </c>
      <c r="BZ56" s="38">
        <f>IFERROR(INDEX(LMH_STEP,MATCH(AL56,LMH_KEY,0)),0)</f>
        <v>0</v>
      </c>
      <c r="CA56" s="38" t="inlineStr">
        <is>
          <t>CARBON|Services|Senior Financial Analyst|A3|A</t>
        </is>
      </c>
    </row>
    <row r="57" ht="110" customHeight="1">
      <c r="A57" s="28" t="inlineStr">
        <is>
          <t>CARBON</t>
        </is>
      </c>
      <c r="B57" s="29" t="inlineStr">
        <is>
          <t>Services</t>
        </is>
      </c>
      <c r="C57" s="29" t="n">
        <v>6</v>
      </c>
      <c r="D57" s="29" t="inlineStr">
        <is>
          <t>IRIS0558</t>
        </is>
      </c>
      <c r="E57" s="29" t="inlineStr">
        <is>
          <t>Jayaprakash Arumugam</t>
        </is>
      </c>
      <c r="F57" s="29" t="inlineStr">
        <is>
          <t>Senior Financial Analyst</t>
        </is>
      </c>
      <c r="G57" s="29" t="inlineStr">
        <is>
          <t>XBRL Specialist</t>
        </is>
      </c>
      <c r="H57" s="29" t="inlineStr">
        <is>
          <t>Consulting &amp; Professional Services</t>
        </is>
      </c>
      <c r="I57" s="29" t="inlineStr">
        <is>
          <t>XBRL Tagging, Conversion &amp; Filing</t>
        </is>
      </c>
      <c r="J57" s="29" t="inlineStr">
        <is>
          <t>IC</t>
        </is>
      </c>
      <c r="K57" s="29" t="inlineStr">
        <is>
          <t>RC-026</t>
        </is>
      </c>
      <c r="L57" s="29" t="inlineStr">
        <is>
          <t>Shashikant Mudaliar</t>
        </is>
      </c>
      <c r="M57" s="29" t="inlineStr">
        <is>
          <t>IRIS0786</t>
        </is>
      </c>
      <c r="N57" s="29" t="n">
        <v>19</v>
      </c>
      <c r="O57" s="29" t="n">
        <v>15.6</v>
      </c>
      <c r="P57" s="29" t="inlineStr">
        <is>
          <t>B.Com</t>
        </is>
      </c>
      <c r="Q57" s="29" t="inlineStr">
        <is>
          <t>L4 – Senior</t>
        </is>
      </c>
      <c r="R57" s="29" t="inlineStr">
        <is>
          <t>B1</t>
        </is>
      </c>
      <c r="S57" s="30" t="inlineStr">
        <is>
          <t>18 of 20</t>
        </is>
      </c>
      <c r="T57" s="31" t="inlineStr">
        <is>
          <t>• Role / sub-team: XBRL Convertion Services; XBRL Convertion Services as a Excel Mapper.</t>
        </is>
      </c>
      <c r="U57" s="31" t="inlineStr">
        <is>
          <t>Received · manager annual · 1. Complete assigned XBRL mapping tasks with &gt;=99% accuracy · zero critical errors
2. Meet 100% of regulatory / client filing deadlines · no SLA breaches
3. Maintain average turnaround per assignment within agreed TAT
4. 0% regulatory rejections across all submitted filings · Excluding issues not highlighted by our …</t>
        </is>
      </c>
      <c r="V57" s="31" t="inlineStr">
        <is>
          <t>Latest rating: 4 · Potential: High · 9-box: Core Contributor · Readiness: Ready now</t>
        </is>
      </c>
      <c r="W57" s="31" t="inlineStr">
        <is>
          <t>C M · Au M · Ac L · L L · BI M · Exp H · 19 yrs vs 4–7 yrs · Edu M · B.Com</t>
        </is>
      </c>
      <c r="X57" s="33" t="inlineStr">
        <is>
          <t>Open ▸</t>
        </is>
      </c>
      <c r="Y57" s="34" t="str">
        <f>IFERROR(INDEX(DL_C,MATCH($CA57,DL_KEY,0)),"M")</f>
        <v>H</v>
      </c>
      <c r="Z57" s="35" t="str">
        <f>IFERROR(INDEX(DL_Au,MATCH($CA57,DL_KEY,0)),"M")</f>
        <v>M</v>
      </c>
      <c r="AA57" s="35" t="str">
        <f>IFERROR(INDEX(DL_Ac,MATCH($CA57,DL_KEY,0)),"M")</f>
        <v>M</v>
      </c>
      <c r="AB57" s="35" t="str">
        <f>IFERROR(INDEX(DL_L,MATCH($CA57,DL_KEY,0)),"M")</f>
        <v>L</v>
      </c>
      <c r="AC57" s="35" t="str">
        <f>IFERROR(INDEX(DL_BI,MATCH($CA57,DL_KEY,0)),"M")</f>
        <v>L</v>
      </c>
      <c r="AD57" s="35" t="str">
        <f>IFERROR(INDEX(DL_Exp,MATCH($CA57,DL_KEY,0)),"M")</f>
        <v>L</v>
      </c>
      <c r="AE57" s="35" t="str">
        <f>IFERROR(INDEX(DL_Edu,MATCH($CA57,DL_KEY,0)),"M")</f>
        <v>L</v>
      </c>
      <c r="AF57" s="34" t="inlineStr">
        <is>
          <t>M</t>
        </is>
      </c>
      <c r="AG57" s="35" t="inlineStr">
        <is>
          <t>M</t>
        </is>
      </c>
      <c r="AH57" s="35" t="inlineStr">
        <is>
          <t>M</t>
        </is>
      </c>
      <c r="AI57" s="35" t="inlineStr">
        <is>
          <t>M</t>
        </is>
      </c>
      <c r="AJ57" s="35" t="inlineStr">
        <is>
          <t>M</t>
        </is>
      </c>
      <c r="AK57" s="35" t="inlineStr">
        <is>
          <t>M</t>
        </is>
      </c>
      <c r="AL57" s="35" t="inlineStr">
        <is>
          <t>M</t>
        </is>
      </c>
      <c r="AM57" s="36" t="n">
        <v>0.513</v>
      </c>
      <c r="AN57" s="37" t="n">
        <v>0.173</v>
      </c>
      <c r="AO57" s="37" t="n">
        <v>0.09699999999999999</v>
      </c>
      <c r="AP57" s="37" t="n">
        <v>0.05</v>
      </c>
      <c r="AQ57" s="37" t="n">
        <v>0.07000000000000001</v>
      </c>
      <c r="AR57" s="37" t="n">
        <v>0.06</v>
      </c>
      <c r="AS57" s="37" t="n">
        <v>0.04</v>
      </c>
      <c r="AT57" s="38" t="inlineStr">
        <is>
          <t>4–8</t>
        </is>
      </c>
      <c r="AU57" s="38" t="inlineStr">
        <is>
          <t>Graduate + relevant qualification or certification preferred</t>
        </is>
      </c>
      <c r="AV57" s="38" t="inlineStr">
        <is>
          <t>IC: none · Team Lead: 3–5</t>
        </is>
      </c>
      <c r="AW57" s="38" t="inlineStr">
        <is>
          <t>P3 / M2 · SFIA 4 Enable</t>
        </is>
      </c>
      <c r="AX5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7" s="39" t="inlineStr">
        <is>
          <t>B1</t>
        </is>
      </c>
      <c r="AZ57" s="40" t="inlineStr">
        <is>
          <t>Band B · Specialist / Manager · Specialist</t>
        </is>
      </c>
      <c r="BA57" s="40" t="inlineStr">
        <is>
          <t>Model B1 from the six ratings, the market-derived weights and rules R1–R13 · then No change · already below the manager</t>
        </is>
      </c>
      <c r="BB57" s="41" t="inlineStr">
        <is>
          <t>B1</t>
        </is>
      </c>
      <c r="BC57" s="40" t="inlineStr">
        <is>
          <t>The six ratings on the market-average weights of Band B · Specialist / POD Lead score 4.28 → B1 · Hay, Mercer IPE and public plans · experience 19 yrs vs the B1 market range 4–8</t>
        </is>
      </c>
      <c r="BD57" s="42">
        <f>IF(SUM(BM57,BN57,BO57,BP57,BQ57,BR57,BS57)=0,0,(BM57*BT57+BN57*BU57+BO57*BV57+BP57*BW57+BQ57*BX57+BR57*BY57+BS57*BZ57)/SUM(BM57,BN57,BO57,BP57,BQ57,BR57,BS57))</f>
        <v>0</v>
      </c>
      <c r="BE57" s="41" t="str">
        <f>IF(LEFT(AY57,1)="X",AY57,IF(OR(AY57="B+",AY57="C+"),INDEX(LAD_PC,MAX(1,MIN(14,MATCH(AY57,LAD_PC,0)+IF(BD57&gt;=0.5,1,IF(BD57&lt;=-0.5,-1,0))))),INDEX(LAD_STD,MAX(1,MIN(12,MATCH(AY57,LAD_STD,0)+IF(BD57&gt;=0.5,1,IF(BD57&lt;=-0.5,-1,0)))))))</f>
        <v>B1</v>
      </c>
      <c r="BF57" s="43" t="n"/>
      <c r="BG57" s="41" t="str">
        <f>IF(BF57&lt;&gt;"",BF57,BE57)</f>
        <v>B1</v>
      </c>
      <c r="BH57" s="40" t="str">
        <f>IFERROR(CHOOSE(INDEX(B_RANK,MATCH(BG57,B_LVL,0)),"Band A","Band B","B+ · Player-Coach","Band C","C+ · Player-Coach","Band D","Band E"),"Band X · Consultant")</f>
        <v>Band B</v>
      </c>
      <c r="BI57" s="40" t="str">
        <f>IF(BG57=AY57,"• Same",IF(INDEX(B_VAL,MATCH(BG57,B_LVL,0))&gt;INDEX(B_VAL,MATCH(AY57,B_LVL,0)),"▲ Up","▼ Down"))</f>
        <v>• Same</v>
      </c>
      <c r="BJ57" s="40" t="str">
        <f>IF(OR($M57="",$M57="—",$M57="Not in this file"),"",IFERROR(INDEX($BG$7:$BG$592,MATCH($M57,$D$7:$D$592,0)),""))</f>
        <v>B2</v>
      </c>
      <c r="BK57" s="40" t="str">
        <f>IFERROR(IF(BJ57="","—",IF(OR(LEFT(BG57,1)="X",LEFT(BJ57,1)="X"),"—",IF(AND(LEFT(BG57,1)="E",LEFT(BJ57,1)="E"),"Exception · Band E",IF(AND(INDEX(B_VAL,MATCH(BJ57,B_LVL,0))&gt;=7,INDEX(B_RANK,MATCH(BG57,B_LVL,0))&gt;=INDEX(B_RANK,MATCH(BJ57,B_LVL,0))),"⚠ Same band as a head manager",IF(INDEX(B_VAL,MATCH(BG57,B_LVL,0))&gt;=INDEX(B_VAL,MATCH(BJ57,B_LVL,0)),"⚠ At or above the manager's level","OK"))))),"—")</f>
        <v>OK</v>
      </c>
      <c r="BL57" s="43" t="n"/>
      <c r="BM57" s="44">
        <f>IFERROR(INDEX(LMH_PTS,MATCH(Y57,LMH_KEY,0)),0)</f>
        <v>9</v>
      </c>
      <c r="BN57" s="38">
        <f>IFERROR(INDEX(LMH_PTS,MATCH(Z57,LMH_KEY,0)),0)</f>
        <v>3</v>
      </c>
      <c r="BO57" s="38">
        <f>IFERROR(INDEX(LMH_PTS,MATCH(AA57,LMH_KEY,0)),0)</f>
        <v>3</v>
      </c>
      <c r="BP57" s="38">
        <f>IFERROR(INDEX(LMH_PTS,MATCH(AB57,LMH_KEY,0)),0)</f>
        <v>1</v>
      </c>
      <c r="BQ57" s="38">
        <f>IFERROR(INDEX(LMH_PTS,MATCH(AC57,LMH_KEY,0)),0)</f>
        <v>1</v>
      </c>
      <c r="BR57" s="38">
        <f>IFERROR(INDEX(LMH_PTS,MATCH(AD57,LMH_KEY,0)),0)</f>
        <v>1</v>
      </c>
      <c r="BS57" s="38">
        <f>IFERROR(INDEX(LMH_PTS,MATCH(AE57,LMH_KEY,0)),0)</f>
        <v>1</v>
      </c>
      <c r="BT57" s="38">
        <f>IFERROR(INDEX(LMH_STEP,MATCH(AF57,LMH_KEY,0)),0)</f>
        <v>0</v>
      </c>
      <c r="BU57" s="38">
        <f>IFERROR(INDEX(LMH_STEP,MATCH(AG57,LMH_KEY,0)),0)</f>
        <v>0</v>
      </c>
      <c r="BV57" s="38">
        <f>IFERROR(INDEX(LMH_STEP,MATCH(AH57,LMH_KEY,0)),0)</f>
        <v>0</v>
      </c>
      <c r="BW57" s="38">
        <f>IFERROR(INDEX(LMH_STEP,MATCH(AI57,LMH_KEY,0)),0)</f>
        <v>0</v>
      </c>
      <c r="BX57" s="38">
        <f>IFERROR(INDEX(LMH_STEP,MATCH(AJ57,LMH_KEY,0)),0)</f>
        <v>0</v>
      </c>
      <c r="BY57" s="38">
        <f>IFERROR(INDEX(LMH_STEP,MATCH(AK57,LMH_KEY,0)),0)</f>
        <v>0</v>
      </c>
      <c r="BZ57" s="38">
        <f>IFERROR(INDEX(LMH_STEP,MATCH(AL57,LMH_KEY,0)),0)</f>
        <v>0</v>
      </c>
      <c r="CA57" s="38" t="inlineStr">
        <is>
          <t>CARBON|Services|XBRL Specialist|B1|B-IC</t>
        </is>
      </c>
    </row>
    <row r="58" ht="110" customHeight="1">
      <c r="A58" s="28" t="inlineStr">
        <is>
          <t>CARBON</t>
        </is>
      </c>
      <c r="B58" s="29" t="inlineStr">
        <is>
          <t>Services</t>
        </is>
      </c>
      <c r="C58" s="29" t="n">
        <v>6</v>
      </c>
      <c r="D58" s="29" t="inlineStr">
        <is>
          <t>IRIS0704</t>
        </is>
      </c>
      <c r="E58" s="29" t="inlineStr">
        <is>
          <t>Jivika Wadhwani</t>
        </is>
      </c>
      <c r="F58" s="29" t="inlineStr">
        <is>
          <t>Senior Financial Analyst</t>
        </is>
      </c>
      <c r="G58" s="29" t="inlineStr">
        <is>
          <t>XBRL Specialist – POD Lead</t>
        </is>
      </c>
      <c r="H58" s="29" t="inlineStr">
        <is>
          <t>Consulting &amp; Professional Services</t>
        </is>
      </c>
      <c r="I58" s="29" t="inlineStr">
        <is>
          <t>XBRL Tagging, Conversion &amp; Filing</t>
        </is>
      </c>
      <c r="J58" s="29" t="inlineStr">
        <is>
          <t>POD Lead</t>
        </is>
      </c>
      <c r="K58" s="29" t="inlineStr">
        <is>
          <t>RC-026</t>
        </is>
      </c>
      <c r="L58" s="29" t="inlineStr">
        <is>
          <t>Shashikant Mudaliar</t>
        </is>
      </c>
      <c r="M58" s="29" t="inlineStr">
        <is>
          <t>IRIS0786</t>
        </is>
      </c>
      <c r="N58" s="29" t="n">
        <v>15.3</v>
      </c>
      <c r="O58" s="29" t="n">
        <v>15.3</v>
      </c>
      <c r="P58" s="29" t="inlineStr">
        <is>
          <t>MBA</t>
        </is>
      </c>
      <c r="Q58" s="29" t="inlineStr">
        <is>
          <t>L4 – Senior</t>
        </is>
      </c>
      <c r="R58" s="29" t="inlineStr">
        <is>
          <t>B1</t>
        </is>
      </c>
      <c r="S58" s="30" t="inlineStr">
        <is>
          <t>20 of 20</t>
        </is>
      </c>
      <c r="T58" s="31" t="inlineStr">
        <is>
          <t>• Role / sub-team: Mapping under Service Team.</t>
        </is>
      </c>
      <c r="U58" s="31" t="inlineStr">
        <is>
          <t>Received · manager annual · 1. Complete assigned XBRL mapping tasks with &gt;=99% accuracy · zero critical errors
2. Meet 100% of regulatory / client filing deadlines · no SLA breaches
3. Maintain average turnaround per assignment within agreed TAT
4. 0% regulatory rejections across all submitted filings · Excluding issues not highlighted by our …</t>
        </is>
      </c>
      <c r="V58" s="31" t="inlineStr">
        <is>
          <t>Latest rating: 4 · Potential: High · 9-box: Core Contributor · Readiness: Ready now</t>
        </is>
      </c>
      <c r="W58" s="31" t="inlineStr">
        <is>
          <t>C M · Au L · Ac M · L L · BI M · Exp H · 15.3 yrs vs 4–7 yrs · Edu H · MBA</t>
        </is>
      </c>
      <c r="X58" s="33" t="inlineStr">
        <is>
          <t>Open ▸</t>
        </is>
      </c>
      <c r="Y58" s="34" t="str">
        <f>IFERROR(INDEX(DL_C,MATCH($CA58,DL_KEY,0)),"M")</f>
        <v>H</v>
      </c>
      <c r="Z58" s="35" t="str">
        <f>IFERROR(INDEX(DL_Au,MATCH($CA58,DL_KEY,0)),"M")</f>
        <v>M</v>
      </c>
      <c r="AA58" s="35" t="str">
        <f>IFERROR(INDEX(DL_Ac,MATCH($CA58,DL_KEY,0)),"M")</f>
        <v>M</v>
      </c>
      <c r="AB58" s="35" t="str">
        <f>IFERROR(INDEX(DL_L,MATCH($CA58,DL_KEY,0)),"M")</f>
        <v>L</v>
      </c>
      <c r="AC58" s="35" t="str">
        <f>IFERROR(INDEX(DL_BI,MATCH($CA58,DL_KEY,0)),"M")</f>
        <v>L</v>
      </c>
      <c r="AD58" s="35" t="str">
        <f>IFERROR(INDEX(DL_Exp,MATCH($CA58,DL_KEY,0)),"M")</f>
        <v>L</v>
      </c>
      <c r="AE58" s="35" t="str">
        <f>IFERROR(INDEX(DL_Edu,MATCH($CA58,DL_KEY,0)),"M")</f>
        <v>L</v>
      </c>
      <c r="AF58" s="34" t="inlineStr">
        <is>
          <t>M</t>
        </is>
      </c>
      <c r="AG58" s="35" t="inlineStr">
        <is>
          <t>M</t>
        </is>
      </c>
      <c r="AH58" s="35" t="inlineStr">
        <is>
          <t>M</t>
        </is>
      </c>
      <c r="AI58" s="35" t="inlineStr">
        <is>
          <t>M</t>
        </is>
      </c>
      <c r="AJ58" s="35" t="inlineStr">
        <is>
          <t>M</t>
        </is>
      </c>
      <c r="AK58" s="35" t="inlineStr">
        <is>
          <t>M</t>
        </is>
      </c>
      <c r="AL58" s="35" t="inlineStr">
        <is>
          <t>M</t>
        </is>
      </c>
      <c r="AM58" s="36" t="n">
        <v>0.513</v>
      </c>
      <c r="AN58" s="37" t="n">
        <v>0.173</v>
      </c>
      <c r="AO58" s="37" t="n">
        <v>0.09699999999999999</v>
      </c>
      <c r="AP58" s="37" t="n">
        <v>0.05</v>
      </c>
      <c r="AQ58" s="37" t="n">
        <v>0.07000000000000001</v>
      </c>
      <c r="AR58" s="37" t="n">
        <v>0.06</v>
      </c>
      <c r="AS58" s="37" t="n">
        <v>0.04</v>
      </c>
      <c r="AT58" s="38" t="inlineStr">
        <is>
          <t>4–8</t>
        </is>
      </c>
      <c r="AU58" s="38" t="inlineStr">
        <is>
          <t>Graduate + relevant qualification or certification preferred</t>
        </is>
      </c>
      <c r="AV58" s="38" t="inlineStr">
        <is>
          <t>IC: none · Team Lead: 3–5</t>
        </is>
      </c>
      <c r="AW58" s="38" t="inlineStr">
        <is>
          <t>P3 / M2 · SFIA 4 Enable</t>
        </is>
      </c>
      <c r="AX5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8" s="39" t="inlineStr">
        <is>
          <t>B1</t>
        </is>
      </c>
      <c r="AZ58" s="40" t="inlineStr">
        <is>
          <t>Band B · Specialist / Manager · Team Lead / Asst Manager</t>
        </is>
      </c>
      <c r="BA58" s="40" t="inlineStr">
        <is>
          <t>Model B1 from the six ratings, the market-derived weights and rules R1–R13 · then No change · already below the manager</t>
        </is>
      </c>
      <c r="BB58" s="41" t="inlineStr">
        <is>
          <t>B1</t>
        </is>
      </c>
      <c r="BC58" s="40" t="inlineStr">
        <is>
          <t>The six ratings on the market-average weights of Band B · Specialist / POD Lead score 3.97 → B1 · Hay, Mercer IPE and public plans · experience 15.3 yrs vs the B1 market range 4–8</t>
        </is>
      </c>
      <c r="BD58" s="42">
        <f>IF(SUM(BM58,BN58,BO58,BP58,BQ58,BR58,BS58)=0,0,(BM58*BT58+BN58*BU58+BO58*BV58+BP58*BW58+BQ58*BX58+BR58*BY58+BS58*BZ58)/SUM(BM58,BN58,BO58,BP58,BQ58,BR58,BS58))</f>
        <v>0</v>
      </c>
      <c r="BE58" s="41" t="str">
        <f>IF(LEFT(AY58,1)="X",AY58,IF(OR(AY58="B+",AY58="C+"),INDEX(LAD_PC,MAX(1,MIN(14,MATCH(AY58,LAD_PC,0)+IF(BD58&gt;=0.5,1,IF(BD58&lt;=-0.5,-1,0))))),INDEX(LAD_STD,MAX(1,MIN(12,MATCH(AY58,LAD_STD,0)+IF(BD58&gt;=0.5,1,IF(BD58&lt;=-0.5,-1,0)))))))</f>
        <v>B1</v>
      </c>
      <c r="BF58" s="43" t="n"/>
      <c r="BG58" s="41" t="str">
        <f>IF(BF58&lt;&gt;"",BF58,BE58)</f>
        <v>B1</v>
      </c>
      <c r="BH58" s="40" t="str">
        <f>IFERROR(CHOOSE(INDEX(B_RANK,MATCH(BG58,B_LVL,0)),"Band A","Band B","B+ · Player-Coach","Band C","C+ · Player-Coach","Band D","Band E"),"Band X · Consultant")</f>
        <v>Band B</v>
      </c>
      <c r="BI58" s="40" t="str">
        <f>IF(BG58=AY58,"• Same",IF(INDEX(B_VAL,MATCH(BG58,B_LVL,0))&gt;INDEX(B_VAL,MATCH(AY58,B_LVL,0)),"▲ Up","▼ Down"))</f>
        <v>• Same</v>
      </c>
      <c r="BJ58" s="40" t="str">
        <f>IF(OR($M58="",$M58="—",$M58="Not in this file"),"",IFERROR(INDEX($BG$7:$BG$592,MATCH($M58,$D$7:$D$592,0)),""))</f>
        <v>B2</v>
      </c>
      <c r="BK58" s="40" t="str">
        <f>IFERROR(IF(BJ58="","—",IF(OR(LEFT(BG58,1)="X",LEFT(BJ58,1)="X"),"—",IF(AND(LEFT(BG58,1)="E",LEFT(BJ58,1)="E"),"Exception · Band E",IF(AND(INDEX(B_VAL,MATCH(BJ58,B_LVL,0))&gt;=7,INDEX(B_RANK,MATCH(BG58,B_LVL,0))&gt;=INDEX(B_RANK,MATCH(BJ58,B_LVL,0))),"⚠ Same band as a head manager",IF(INDEX(B_VAL,MATCH(BG58,B_LVL,0))&gt;=INDEX(B_VAL,MATCH(BJ58,B_LVL,0)),"⚠ At or above the manager's level","OK"))))),"—")</f>
        <v>OK</v>
      </c>
      <c r="BL58" s="43" t="n"/>
      <c r="BM58" s="44">
        <f>IFERROR(INDEX(LMH_PTS,MATCH(Y58,LMH_KEY,0)),0)</f>
        <v>9</v>
      </c>
      <c r="BN58" s="38">
        <f>IFERROR(INDEX(LMH_PTS,MATCH(Z58,LMH_KEY,0)),0)</f>
        <v>3</v>
      </c>
      <c r="BO58" s="38">
        <f>IFERROR(INDEX(LMH_PTS,MATCH(AA58,LMH_KEY,0)),0)</f>
        <v>3</v>
      </c>
      <c r="BP58" s="38">
        <f>IFERROR(INDEX(LMH_PTS,MATCH(AB58,LMH_KEY,0)),0)</f>
        <v>1</v>
      </c>
      <c r="BQ58" s="38">
        <f>IFERROR(INDEX(LMH_PTS,MATCH(AC58,LMH_KEY,0)),0)</f>
        <v>1</v>
      </c>
      <c r="BR58" s="38">
        <f>IFERROR(INDEX(LMH_PTS,MATCH(AD58,LMH_KEY,0)),0)</f>
        <v>1</v>
      </c>
      <c r="BS58" s="38">
        <f>IFERROR(INDEX(LMH_PTS,MATCH(AE58,LMH_KEY,0)),0)</f>
        <v>1</v>
      </c>
      <c r="BT58" s="38">
        <f>IFERROR(INDEX(LMH_STEP,MATCH(AF58,LMH_KEY,0)),0)</f>
        <v>0</v>
      </c>
      <c r="BU58" s="38">
        <f>IFERROR(INDEX(LMH_STEP,MATCH(AG58,LMH_KEY,0)),0)</f>
        <v>0</v>
      </c>
      <c r="BV58" s="38">
        <f>IFERROR(INDEX(LMH_STEP,MATCH(AH58,LMH_KEY,0)),0)</f>
        <v>0</v>
      </c>
      <c r="BW58" s="38">
        <f>IFERROR(INDEX(LMH_STEP,MATCH(AI58,LMH_KEY,0)),0)</f>
        <v>0</v>
      </c>
      <c r="BX58" s="38">
        <f>IFERROR(INDEX(LMH_STEP,MATCH(AJ58,LMH_KEY,0)),0)</f>
        <v>0</v>
      </c>
      <c r="BY58" s="38">
        <f>IFERROR(INDEX(LMH_STEP,MATCH(AK58,LMH_KEY,0)),0)</f>
        <v>0</v>
      </c>
      <c r="BZ58" s="38">
        <f>IFERROR(INDEX(LMH_STEP,MATCH(AL58,LMH_KEY,0)),0)</f>
        <v>0</v>
      </c>
      <c r="CA58" s="38" t="inlineStr">
        <is>
          <t>CARBON|Services|XBRL Specialist – POD Lead|B1|B-IC</t>
        </is>
      </c>
    </row>
    <row r="59" ht="110" customHeight="1">
      <c r="A59" s="28" t="inlineStr">
        <is>
          <t>CARBON</t>
        </is>
      </c>
      <c r="B59" s="29" t="inlineStr">
        <is>
          <t>Services</t>
        </is>
      </c>
      <c r="C59" s="29" t="n">
        <v>7</v>
      </c>
      <c r="D59" s="29" t="inlineStr">
        <is>
          <t>IRIS2169</t>
        </is>
      </c>
      <c r="E59" s="29" t="inlineStr">
        <is>
          <t>Chetan Newase</t>
        </is>
      </c>
      <c r="F59" s="29" t="inlineStr">
        <is>
          <t>Senior Financial Analyst</t>
        </is>
      </c>
      <c r="G59" s="29" t="inlineStr">
        <is>
          <t>XBRL Specialist</t>
        </is>
      </c>
      <c r="H59" s="29" t="inlineStr">
        <is>
          <t>Consulting &amp; Professional Services</t>
        </is>
      </c>
      <c r="I59" s="29" t="inlineStr">
        <is>
          <t>XBRL Tagging, Conversion &amp; Filing</t>
        </is>
      </c>
      <c r="J59" s="29" t="inlineStr">
        <is>
          <t>IC</t>
        </is>
      </c>
      <c r="K59" s="29" t="inlineStr">
        <is>
          <t>RC-026</t>
        </is>
      </c>
      <c r="L59" s="29" t="inlineStr">
        <is>
          <t>Jivika Wadhwani</t>
        </is>
      </c>
      <c r="M59" s="29" t="inlineStr">
        <is>
          <t>IRIS0704</t>
        </is>
      </c>
      <c r="N59" s="29" t="n">
        <v>16.1</v>
      </c>
      <c r="O59" s="29" t="n">
        <v>3.1</v>
      </c>
      <c r="P59" s="29" t="inlineStr">
        <is>
          <t>MBA</t>
        </is>
      </c>
      <c r="Q59" s="29" t="inlineStr">
        <is>
          <t>L4 – Senior</t>
        </is>
      </c>
      <c r="R59" s="29" t="inlineStr">
        <is>
          <t>B1</t>
        </is>
      </c>
      <c r="S59" s="30" t="inlineStr">
        <is>
          <t>18 of 20</t>
        </is>
      </c>
      <c r="T59" s="31" t="inlineStr">
        <is>
          <t>• Role / sub-team: XBRL mapping.</t>
        </is>
      </c>
      <c r="U59" s="31" t="inlineStr">
        <is>
          <t>Received · manager annual · 1. Complete assigned XBRL mapping tasks with &gt;=99% accuracy · zero critical errors
2. Meet 100% of regulatory / client filing deadlines · no SLA breaches
3. Maintain average turnaround per assignment within agreed TAT
4. 0% regulatory rejections across all submitted filings · Excluding issues not highlighted by our …</t>
        </is>
      </c>
      <c r="V59" s="31" t="inlineStr">
        <is>
          <t>Latest rating: 3 · Potential: Medium · 9-box: Core Contributor · Readiness: Develop in role</t>
        </is>
      </c>
      <c r="W59" s="31" t="inlineStr">
        <is>
          <t>C M · Au M · Ac M · L L · BI M · Exp H · 16.1 yrs vs 2–4 yrs · Edu H · MBA</t>
        </is>
      </c>
      <c r="X59" s="33" t="inlineStr">
        <is>
          <t>Open ▸</t>
        </is>
      </c>
      <c r="Y59" s="34" t="str">
        <f>IFERROR(INDEX(DL_C,MATCH($CA59,DL_KEY,0)),"M")</f>
        <v>H</v>
      </c>
      <c r="Z59" s="35" t="str">
        <f>IFERROR(INDEX(DL_Au,MATCH($CA59,DL_KEY,0)),"M")</f>
        <v>M</v>
      </c>
      <c r="AA59" s="35" t="str">
        <f>IFERROR(INDEX(DL_Ac,MATCH($CA59,DL_KEY,0)),"M")</f>
        <v>M</v>
      </c>
      <c r="AB59" s="35" t="str">
        <f>IFERROR(INDEX(DL_L,MATCH($CA59,DL_KEY,0)),"M")</f>
        <v>L</v>
      </c>
      <c r="AC59" s="35" t="str">
        <f>IFERROR(INDEX(DL_BI,MATCH($CA59,DL_KEY,0)),"M")</f>
        <v>L</v>
      </c>
      <c r="AD59" s="35" t="str">
        <f>IFERROR(INDEX(DL_Exp,MATCH($CA59,DL_KEY,0)),"M")</f>
        <v>L</v>
      </c>
      <c r="AE59" s="35" t="str">
        <f>IFERROR(INDEX(DL_Edu,MATCH($CA59,DL_KEY,0)),"M")</f>
        <v>L</v>
      </c>
      <c r="AF59" s="34" t="inlineStr">
        <is>
          <t>M</t>
        </is>
      </c>
      <c r="AG59" s="35" t="inlineStr">
        <is>
          <t>M</t>
        </is>
      </c>
      <c r="AH59" s="35" t="inlineStr">
        <is>
          <t>M</t>
        </is>
      </c>
      <c r="AI59" s="35" t="inlineStr">
        <is>
          <t>M</t>
        </is>
      </c>
      <c r="AJ59" s="35" t="inlineStr">
        <is>
          <t>M</t>
        </is>
      </c>
      <c r="AK59" s="35" t="inlineStr">
        <is>
          <t>M</t>
        </is>
      </c>
      <c r="AL59" s="35" t="inlineStr">
        <is>
          <t>M</t>
        </is>
      </c>
      <c r="AM59" s="36" t="n">
        <v>0.583</v>
      </c>
      <c r="AN59" s="37" t="n">
        <v>0.16</v>
      </c>
      <c r="AO59" s="37" t="n">
        <v>0.09</v>
      </c>
      <c r="AP59" s="37" t="n">
        <v>0</v>
      </c>
      <c r="AQ59" s="37" t="n">
        <v>0.063</v>
      </c>
      <c r="AR59" s="37" t="n">
        <v>0.06</v>
      </c>
      <c r="AS59" s="37" t="n">
        <v>0.04</v>
      </c>
      <c r="AT59" s="38" t="inlineStr">
        <is>
          <t>2–5</t>
        </is>
      </c>
      <c r="AU59" s="38" t="inlineStr">
        <is>
          <t>Graduate; relevant certification preferred</t>
        </is>
      </c>
      <c r="AV59" s="38" t="inlineStr">
        <is>
          <t>None · guides 1–3 juniors informally</t>
        </is>
      </c>
      <c r="AW59" s="38" t="inlineStr">
        <is>
          <t>P2 · SFIA 3 Apply</t>
        </is>
      </c>
      <c r="AX5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9" s="39" t="inlineStr">
        <is>
          <t>A3</t>
        </is>
      </c>
      <c r="AZ59" s="40" t="inlineStr">
        <is>
          <t>Band A · Practitioner · Senior Associate</t>
        </is>
      </c>
      <c r="BA59" s="40" t="inlineStr">
        <is>
          <t>Model B1 from the six ratings, the market-derived weights and rules R1–R13 · then Level rule: manager B1; a reportee sits at least one level below · B1 → A3 · move down · pay and title protected for one cycle</t>
        </is>
      </c>
      <c r="BB59" s="41" t="inlineStr">
        <is>
          <t>B1</t>
        </is>
      </c>
      <c r="BC59" s="40" t="inlineStr">
        <is>
          <t>The six ratings on the market-average weights of Band A · all tracks score 3.93 → B1 · Hay, Mercer IPE and public plans · experience 16.1 yrs vs the B1 market range 4–8</t>
        </is>
      </c>
      <c r="BD59" s="42">
        <f>IF(SUM(BM59,BN59,BO59,BP59,BQ59,BR59,BS59)=0,0,(BM59*BT59+BN59*BU59+BO59*BV59+BP59*BW59+BQ59*BX59+BR59*BY59+BS59*BZ59)/SUM(BM59,BN59,BO59,BP59,BQ59,BR59,BS59))</f>
        <v>0</v>
      </c>
      <c r="BE59" s="41" t="str">
        <f>IF(LEFT(AY59,1)="X",AY59,IF(OR(AY59="B+",AY59="C+"),INDEX(LAD_PC,MAX(1,MIN(14,MATCH(AY59,LAD_PC,0)+IF(BD59&gt;=0.5,1,IF(BD59&lt;=-0.5,-1,0))))),INDEX(LAD_STD,MAX(1,MIN(12,MATCH(AY59,LAD_STD,0)+IF(BD59&gt;=0.5,1,IF(BD59&lt;=-0.5,-1,0)))))))</f>
        <v>A3</v>
      </c>
      <c r="BF59" s="43" t="n"/>
      <c r="BG59" s="41" t="str">
        <f>IF(BF59&lt;&gt;"",BF59,BE59)</f>
        <v>A3</v>
      </c>
      <c r="BH59" s="40" t="str">
        <f>IFERROR(CHOOSE(INDEX(B_RANK,MATCH(BG59,B_LVL,0)),"Band A","Band B","B+ · Player-Coach","Band C","C+ · Player-Coach","Band D","Band E"),"Band X · Consultant")</f>
        <v>Band A</v>
      </c>
      <c r="BI59" s="40" t="str">
        <f>IF(BG59=AY59,"• Same",IF(INDEX(B_VAL,MATCH(BG59,B_LVL,0))&gt;INDEX(B_VAL,MATCH(AY59,B_LVL,0)),"▲ Up","▼ Down"))</f>
        <v>• Same</v>
      </c>
      <c r="BJ59" s="40" t="str">
        <f>IF(OR($M59="",$M59="—",$M59="Not in this file"),"",IFERROR(INDEX($BG$7:$BG$592,MATCH($M59,$D$7:$D$592,0)),""))</f>
        <v>B1</v>
      </c>
      <c r="BK59" s="40" t="str">
        <f>IFERROR(IF(BJ59="","—",IF(OR(LEFT(BG59,1)="X",LEFT(BJ59,1)="X"),"—",IF(AND(LEFT(BG59,1)="E",LEFT(BJ59,1)="E"),"Exception · Band E",IF(AND(INDEX(B_VAL,MATCH(BJ59,B_LVL,0))&gt;=7,INDEX(B_RANK,MATCH(BG59,B_LVL,0))&gt;=INDEX(B_RANK,MATCH(BJ59,B_LVL,0))),"⚠ Same band as a head manager",IF(INDEX(B_VAL,MATCH(BG59,B_LVL,0))&gt;=INDEX(B_VAL,MATCH(BJ59,B_LVL,0)),"⚠ At or above the manager's level","OK"))))),"—")</f>
        <v>OK</v>
      </c>
      <c r="BL59" s="43" t="n"/>
      <c r="BM59" s="44">
        <f>IFERROR(INDEX(LMH_PTS,MATCH(Y59,LMH_KEY,0)),0)</f>
        <v>9</v>
      </c>
      <c r="BN59" s="38">
        <f>IFERROR(INDEX(LMH_PTS,MATCH(Z59,LMH_KEY,0)),0)</f>
        <v>3</v>
      </c>
      <c r="BO59" s="38">
        <f>IFERROR(INDEX(LMH_PTS,MATCH(AA59,LMH_KEY,0)),0)</f>
        <v>3</v>
      </c>
      <c r="BP59" s="38">
        <f>IFERROR(INDEX(LMH_PTS,MATCH(AB59,LMH_KEY,0)),0)</f>
        <v>1</v>
      </c>
      <c r="BQ59" s="38">
        <f>IFERROR(INDEX(LMH_PTS,MATCH(AC59,LMH_KEY,0)),0)</f>
        <v>1</v>
      </c>
      <c r="BR59" s="38">
        <f>IFERROR(INDEX(LMH_PTS,MATCH(AD59,LMH_KEY,0)),0)</f>
        <v>1</v>
      </c>
      <c r="BS59" s="38">
        <f>IFERROR(INDEX(LMH_PTS,MATCH(AE59,LMH_KEY,0)),0)</f>
        <v>1</v>
      </c>
      <c r="BT59" s="38">
        <f>IFERROR(INDEX(LMH_STEP,MATCH(AF59,LMH_KEY,0)),0)</f>
        <v>0</v>
      </c>
      <c r="BU59" s="38">
        <f>IFERROR(INDEX(LMH_STEP,MATCH(AG59,LMH_KEY,0)),0)</f>
        <v>0</v>
      </c>
      <c r="BV59" s="38">
        <f>IFERROR(INDEX(LMH_STEP,MATCH(AH59,LMH_KEY,0)),0)</f>
        <v>0</v>
      </c>
      <c r="BW59" s="38">
        <f>IFERROR(INDEX(LMH_STEP,MATCH(AI59,LMH_KEY,0)),0)</f>
        <v>0</v>
      </c>
      <c r="BX59" s="38">
        <f>IFERROR(INDEX(LMH_STEP,MATCH(AJ59,LMH_KEY,0)),0)</f>
        <v>0</v>
      </c>
      <c r="BY59" s="38">
        <f>IFERROR(INDEX(LMH_STEP,MATCH(AK59,LMH_KEY,0)),0)</f>
        <v>0</v>
      </c>
      <c r="BZ59" s="38">
        <f>IFERROR(INDEX(LMH_STEP,MATCH(AL59,LMH_KEY,0)),0)</f>
        <v>0</v>
      </c>
      <c r="CA59" s="38" t="inlineStr">
        <is>
          <t>CARBON|Services|XBRL Specialist|A3|A</t>
        </is>
      </c>
    </row>
    <row r="60" ht="110" customHeight="1">
      <c r="A60" s="28" t="inlineStr">
        <is>
          <t>CARBON</t>
        </is>
      </c>
      <c r="B60" s="29" t="inlineStr">
        <is>
          <t>Services</t>
        </is>
      </c>
      <c r="C60" s="29" t="n">
        <v>7</v>
      </c>
      <c r="D60" s="29" t="inlineStr">
        <is>
          <t>IRIS2050</t>
        </is>
      </c>
      <c r="E60" s="29" t="inlineStr">
        <is>
          <t>Ruhee Chita</t>
        </is>
      </c>
      <c r="F60" s="29" t="inlineStr">
        <is>
          <t>Senior Financial Analyst</t>
        </is>
      </c>
      <c r="G60" s="29" t="inlineStr">
        <is>
          <t>XBRL Specialist</t>
        </is>
      </c>
      <c r="H60" s="29" t="inlineStr">
        <is>
          <t>Consulting &amp; Professional Services</t>
        </is>
      </c>
      <c r="I60" s="29" t="inlineStr">
        <is>
          <t>XBRL Tagging, Conversion &amp; Filing</t>
        </is>
      </c>
      <c r="J60" s="29" t="inlineStr">
        <is>
          <t>IC</t>
        </is>
      </c>
      <c r="K60" s="29" t="inlineStr">
        <is>
          <t>RC-025</t>
        </is>
      </c>
      <c r="L60" s="29" t="inlineStr">
        <is>
          <t>Jivika Wadhwani</t>
        </is>
      </c>
      <c r="M60" s="29" t="inlineStr">
        <is>
          <t>IRIS0704</t>
        </is>
      </c>
      <c r="N60" s="29" t="n">
        <v>7.7</v>
      </c>
      <c r="O60" s="29" t="n">
        <v>4.1</v>
      </c>
      <c r="P60" s="29" t="inlineStr">
        <is>
          <t>CMA</t>
        </is>
      </c>
      <c r="Q60" s="29" t="inlineStr">
        <is>
          <t>L4 – Senior</t>
        </is>
      </c>
      <c r="R60" s="29" t="inlineStr">
        <is>
          <t>A3</t>
        </is>
      </c>
      <c r="S60" s="30" t="inlineStr">
        <is>
          <t>20 of 20</t>
        </is>
      </c>
      <c r="T60" s="31" t="inlineStr">
        <is>
          <t>• Role / sub-team: Service team: Mapping.</t>
        </is>
      </c>
      <c r="U60" s="31" t="inlineStr">
        <is>
          <t>Received · manager annual · 1. Complete assigned XBRL mapping tasks with &gt;=99% accuracy · zero critical errors
2. Meet 100% of regulatory / client filing deadlines · no SLA breaches
3. Maintain average turnaround per assignment within agreed TAT
4. 0% regulatory rejections across all submitted filings · Excluding issues not highlighted by our …</t>
        </is>
      </c>
      <c r="V60" s="31" t="inlineStr">
        <is>
          <t>Latest rating: 3 · Potential: Medium · 9-box: Core Contributor · Readiness: Develop in role</t>
        </is>
      </c>
      <c r="W60" s="31" t="inlineStr">
        <is>
          <t>C M · Au M · Ac M · L L · BI M · Exp H · 7.7 yrs vs 2–4 yrs · Edu H · CMA</t>
        </is>
      </c>
      <c r="X60" s="33" t="inlineStr">
        <is>
          <t>Open ▸</t>
        </is>
      </c>
      <c r="Y60" s="34" t="str">
        <f>IFERROR(INDEX(DL_C,MATCH($CA60,DL_KEY,0)),"M")</f>
        <v>H</v>
      </c>
      <c r="Z60" s="35" t="str">
        <f>IFERROR(INDEX(DL_Au,MATCH($CA60,DL_KEY,0)),"M")</f>
        <v>M</v>
      </c>
      <c r="AA60" s="35" t="str">
        <f>IFERROR(INDEX(DL_Ac,MATCH($CA60,DL_KEY,0)),"M")</f>
        <v>M</v>
      </c>
      <c r="AB60" s="35" t="str">
        <f>IFERROR(INDEX(DL_L,MATCH($CA60,DL_KEY,0)),"M")</f>
        <v>L</v>
      </c>
      <c r="AC60" s="35" t="str">
        <f>IFERROR(INDEX(DL_BI,MATCH($CA60,DL_KEY,0)),"M")</f>
        <v>L</v>
      </c>
      <c r="AD60" s="35" t="str">
        <f>IFERROR(INDEX(DL_Exp,MATCH($CA60,DL_KEY,0)),"M")</f>
        <v>L</v>
      </c>
      <c r="AE60" s="35" t="str">
        <f>IFERROR(INDEX(DL_Edu,MATCH($CA60,DL_KEY,0)),"M")</f>
        <v>L</v>
      </c>
      <c r="AF60" s="34" t="inlineStr">
        <is>
          <t>M</t>
        </is>
      </c>
      <c r="AG60" s="35" t="inlineStr">
        <is>
          <t>M</t>
        </is>
      </c>
      <c r="AH60" s="35" t="inlineStr">
        <is>
          <t>M</t>
        </is>
      </c>
      <c r="AI60" s="35" t="inlineStr">
        <is>
          <t>M</t>
        </is>
      </c>
      <c r="AJ60" s="35" t="inlineStr">
        <is>
          <t>M</t>
        </is>
      </c>
      <c r="AK60" s="35" t="inlineStr">
        <is>
          <t>M</t>
        </is>
      </c>
      <c r="AL60" s="35" t="inlineStr">
        <is>
          <t>M</t>
        </is>
      </c>
      <c r="AM60" s="36" t="n">
        <v>0.583</v>
      </c>
      <c r="AN60" s="37" t="n">
        <v>0.16</v>
      </c>
      <c r="AO60" s="37" t="n">
        <v>0.09</v>
      </c>
      <c r="AP60" s="37" t="n">
        <v>0</v>
      </c>
      <c r="AQ60" s="37" t="n">
        <v>0.063</v>
      </c>
      <c r="AR60" s="37" t="n">
        <v>0.06</v>
      </c>
      <c r="AS60" s="37" t="n">
        <v>0.04</v>
      </c>
      <c r="AT60" s="38" t="inlineStr">
        <is>
          <t>2–5</t>
        </is>
      </c>
      <c r="AU60" s="38" t="inlineStr">
        <is>
          <t>Graduate; relevant certification preferred</t>
        </is>
      </c>
      <c r="AV60" s="38" t="inlineStr">
        <is>
          <t>None · guides 1–3 juniors informally</t>
        </is>
      </c>
      <c r="AW60" s="38" t="inlineStr">
        <is>
          <t>P2 · SFIA 3 Apply</t>
        </is>
      </c>
      <c r="AX6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60" s="39" t="inlineStr">
        <is>
          <t>A3</t>
        </is>
      </c>
      <c r="AZ60" s="40" t="inlineStr">
        <is>
          <t>Band A · Practitioner · Senior Associate</t>
        </is>
      </c>
      <c r="BA60" s="40" t="inlineStr">
        <is>
          <t>Model A3 from the six ratings, the market-derived weights and rules R1–R13 · then No change · already below the manager</t>
        </is>
      </c>
      <c r="BB60" s="41" t="inlineStr">
        <is>
          <t>B1</t>
        </is>
      </c>
      <c r="BC60" s="40" t="inlineStr">
        <is>
          <t>The six ratings on the market-average weights of Band A · all tracks score 3.63 → B1 · Hay, Mercer IPE and public plans · experience 7.7 yrs vs the B1 market range 4–8</t>
        </is>
      </c>
      <c r="BD60" s="42">
        <f>IF(SUM(BM60,BN60,BO60,BP60,BQ60,BR60,BS60)=0,0,(BM60*BT60+BN60*BU60+BO60*BV60+BP60*BW60+BQ60*BX60+BR60*BY60+BS60*BZ60)/SUM(BM60,BN60,BO60,BP60,BQ60,BR60,BS60))</f>
        <v>0</v>
      </c>
      <c r="BE60" s="41" t="str">
        <f>IF(LEFT(AY60,1)="X",AY60,IF(OR(AY60="B+",AY60="C+"),INDEX(LAD_PC,MAX(1,MIN(14,MATCH(AY60,LAD_PC,0)+IF(BD60&gt;=0.5,1,IF(BD60&lt;=-0.5,-1,0))))),INDEX(LAD_STD,MAX(1,MIN(12,MATCH(AY60,LAD_STD,0)+IF(BD60&gt;=0.5,1,IF(BD60&lt;=-0.5,-1,0)))))))</f>
        <v>A3</v>
      </c>
      <c r="BF60" s="43" t="n"/>
      <c r="BG60" s="41" t="str">
        <f>IF(BF60&lt;&gt;"",BF60,BE60)</f>
        <v>A3</v>
      </c>
      <c r="BH60" s="40" t="str">
        <f>IFERROR(CHOOSE(INDEX(B_RANK,MATCH(BG60,B_LVL,0)),"Band A","Band B","B+ · Player-Coach","Band C","C+ · Player-Coach","Band D","Band E"),"Band X · Consultant")</f>
        <v>Band A</v>
      </c>
      <c r="BI60" s="40" t="str">
        <f>IF(BG60=AY60,"• Same",IF(INDEX(B_VAL,MATCH(BG60,B_LVL,0))&gt;INDEX(B_VAL,MATCH(AY60,B_LVL,0)),"▲ Up","▼ Down"))</f>
        <v>• Same</v>
      </c>
      <c r="BJ60" s="40" t="str">
        <f>IF(OR($M60="",$M60="—",$M60="Not in this file"),"",IFERROR(INDEX($BG$7:$BG$592,MATCH($M60,$D$7:$D$592,0)),""))</f>
        <v>B1</v>
      </c>
      <c r="BK60" s="40" t="str">
        <f>IFERROR(IF(BJ60="","—",IF(OR(LEFT(BG60,1)="X",LEFT(BJ60,1)="X"),"—",IF(AND(LEFT(BG60,1)="E",LEFT(BJ60,1)="E"),"Exception · Band E",IF(AND(INDEX(B_VAL,MATCH(BJ60,B_LVL,0))&gt;=7,INDEX(B_RANK,MATCH(BG60,B_LVL,0))&gt;=INDEX(B_RANK,MATCH(BJ60,B_LVL,0))),"⚠ Same band as a head manager",IF(INDEX(B_VAL,MATCH(BG60,B_LVL,0))&gt;=INDEX(B_VAL,MATCH(BJ60,B_LVL,0)),"⚠ At or above the manager's level","OK"))))),"—")</f>
        <v>OK</v>
      </c>
      <c r="BL60" s="43" t="n"/>
      <c r="BM60" s="44">
        <f>IFERROR(INDEX(LMH_PTS,MATCH(Y60,LMH_KEY,0)),0)</f>
        <v>9</v>
      </c>
      <c r="BN60" s="38">
        <f>IFERROR(INDEX(LMH_PTS,MATCH(Z60,LMH_KEY,0)),0)</f>
        <v>3</v>
      </c>
      <c r="BO60" s="38">
        <f>IFERROR(INDEX(LMH_PTS,MATCH(AA60,LMH_KEY,0)),0)</f>
        <v>3</v>
      </c>
      <c r="BP60" s="38">
        <f>IFERROR(INDEX(LMH_PTS,MATCH(AB60,LMH_KEY,0)),0)</f>
        <v>1</v>
      </c>
      <c r="BQ60" s="38">
        <f>IFERROR(INDEX(LMH_PTS,MATCH(AC60,LMH_KEY,0)),0)</f>
        <v>1</v>
      </c>
      <c r="BR60" s="38">
        <f>IFERROR(INDEX(LMH_PTS,MATCH(AD60,LMH_KEY,0)),0)</f>
        <v>1</v>
      </c>
      <c r="BS60" s="38">
        <f>IFERROR(INDEX(LMH_PTS,MATCH(AE60,LMH_KEY,0)),0)</f>
        <v>1</v>
      </c>
      <c r="BT60" s="38">
        <f>IFERROR(INDEX(LMH_STEP,MATCH(AF60,LMH_KEY,0)),0)</f>
        <v>0</v>
      </c>
      <c r="BU60" s="38">
        <f>IFERROR(INDEX(LMH_STEP,MATCH(AG60,LMH_KEY,0)),0)</f>
        <v>0</v>
      </c>
      <c r="BV60" s="38">
        <f>IFERROR(INDEX(LMH_STEP,MATCH(AH60,LMH_KEY,0)),0)</f>
        <v>0</v>
      </c>
      <c r="BW60" s="38">
        <f>IFERROR(INDEX(LMH_STEP,MATCH(AI60,LMH_KEY,0)),0)</f>
        <v>0</v>
      </c>
      <c r="BX60" s="38">
        <f>IFERROR(INDEX(LMH_STEP,MATCH(AJ60,LMH_KEY,0)),0)</f>
        <v>0</v>
      </c>
      <c r="BY60" s="38">
        <f>IFERROR(INDEX(LMH_STEP,MATCH(AK60,LMH_KEY,0)),0)</f>
        <v>0</v>
      </c>
      <c r="BZ60" s="38">
        <f>IFERROR(INDEX(LMH_STEP,MATCH(AL60,LMH_KEY,0)),0)</f>
        <v>0</v>
      </c>
      <c r="CA60" s="38" t="inlineStr">
        <is>
          <t>CARBON|Services|XBRL Specialist|A3|A</t>
        </is>
      </c>
    </row>
    <row r="61" ht="110" customHeight="1">
      <c r="A61" s="28" t="inlineStr">
        <is>
          <t>CARBON</t>
        </is>
      </c>
      <c r="B61" s="29" t="inlineStr">
        <is>
          <t>Services</t>
        </is>
      </c>
      <c r="C61" s="29" t="n">
        <v>6</v>
      </c>
      <c r="D61" s="29" t="inlineStr">
        <is>
          <t>IRIS0305</t>
        </is>
      </c>
      <c r="E61" s="29" t="inlineStr">
        <is>
          <t>Vivek Patil</t>
        </is>
      </c>
      <c r="F61" s="29" t="inlineStr">
        <is>
          <t>Senior Financial Analyst</t>
        </is>
      </c>
      <c r="G61" s="29" t="inlineStr">
        <is>
          <t>XBRL Specialist</t>
        </is>
      </c>
      <c r="H61" s="29" t="inlineStr">
        <is>
          <t>Consulting &amp; Professional Services</t>
        </is>
      </c>
      <c r="I61" s="29" t="inlineStr">
        <is>
          <t>XBRL Tagging, Conversion &amp; Filing</t>
        </is>
      </c>
      <c r="J61" s="29" t="inlineStr">
        <is>
          <t>IC</t>
        </is>
      </c>
      <c r="K61" s="29" t="inlineStr">
        <is>
          <t>RC-026</t>
        </is>
      </c>
      <c r="L61" s="29" t="inlineStr">
        <is>
          <t>Shashikant Mudaliar</t>
        </is>
      </c>
      <c r="M61" s="29" t="inlineStr">
        <is>
          <t>IRIS0786</t>
        </is>
      </c>
      <c r="N61" s="29" t="n">
        <v>16.6</v>
      </c>
      <c r="O61" s="29" t="n">
        <v>16.6</v>
      </c>
      <c r="P61" s="29" t="inlineStr">
        <is>
          <t>B.Com</t>
        </is>
      </c>
      <c r="Q61" s="29" t="inlineStr">
        <is>
          <t>L4 – Senior</t>
        </is>
      </c>
      <c r="R61" s="29" t="inlineStr">
        <is>
          <t>B1</t>
        </is>
      </c>
      <c r="S61" s="30" t="inlineStr">
        <is>
          <t>20 of 20</t>
        </is>
      </c>
      <c r="T61" s="31" t="inlineStr">
        <is>
          <t>• Role / sub-team: Quality check analyst and shift leading - US-Service team.</t>
        </is>
      </c>
      <c r="U61"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61" s="31" t="inlineStr">
        <is>
          <t>Latest rating: 3 · Potential: High · 9-box: Core Contributor · Readiness: Ready in 6–12 months</t>
        </is>
      </c>
      <c r="W61" s="31" t="inlineStr">
        <is>
          <t>C L · Au M · Ac M · L L · BI M · Exp H · 16.6 yrs vs 4–7 yrs · Edu M · B.Com</t>
        </is>
      </c>
      <c r="X61" s="33" t="inlineStr">
        <is>
          <t>Open ▸</t>
        </is>
      </c>
      <c r="Y61" s="34" t="str">
        <f>IFERROR(INDEX(DL_C,MATCH($CA61,DL_KEY,0)),"M")</f>
        <v>H</v>
      </c>
      <c r="Z61" s="35" t="str">
        <f>IFERROR(INDEX(DL_Au,MATCH($CA61,DL_KEY,0)),"M")</f>
        <v>M</v>
      </c>
      <c r="AA61" s="35" t="str">
        <f>IFERROR(INDEX(DL_Ac,MATCH($CA61,DL_KEY,0)),"M")</f>
        <v>M</v>
      </c>
      <c r="AB61" s="35" t="str">
        <f>IFERROR(INDEX(DL_L,MATCH($CA61,DL_KEY,0)),"M")</f>
        <v>L</v>
      </c>
      <c r="AC61" s="35" t="str">
        <f>IFERROR(INDEX(DL_BI,MATCH($CA61,DL_KEY,0)),"M")</f>
        <v>L</v>
      </c>
      <c r="AD61" s="35" t="str">
        <f>IFERROR(INDEX(DL_Exp,MATCH($CA61,DL_KEY,0)),"M")</f>
        <v>L</v>
      </c>
      <c r="AE61" s="35" t="str">
        <f>IFERROR(INDEX(DL_Edu,MATCH($CA61,DL_KEY,0)),"M")</f>
        <v>L</v>
      </c>
      <c r="AF61" s="34" t="inlineStr">
        <is>
          <t>M</t>
        </is>
      </c>
      <c r="AG61" s="35" t="inlineStr">
        <is>
          <t>M</t>
        </is>
      </c>
      <c r="AH61" s="35" t="inlineStr">
        <is>
          <t>M</t>
        </is>
      </c>
      <c r="AI61" s="35" t="inlineStr">
        <is>
          <t>M</t>
        </is>
      </c>
      <c r="AJ61" s="35" t="inlineStr">
        <is>
          <t>M</t>
        </is>
      </c>
      <c r="AK61" s="35" t="inlineStr">
        <is>
          <t>M</t>
        </is>
      </c>
      <c r="AL61" s="35" t="inlineStr">
        <is>
          <t>M</t>
        </is>
      </c>
      <c r="AM61" s="36" t="n">
        <v>0.513</v>
      </c>
      <c r="AN61" s="37" t="n">
        <v>0.173</v>
      </c>
      <c r="AO61" s="37" t="n">
        <v>0.09699999999999999</v>
      </c>
      <c r="AP61" s="37" t="n">
        <v>0.05</v>
      </c>
      <c r="AQ61" s="37" t="n">
        <v>0.07000000000000001</v>
      </c>
      <c r="AR61" s="37" t="n">
        <v>0.06</v>
      </c>
      <c r="AS61" s="37" t="n">
        <v>0.04</v>
      </c>
      <c r="AT61" s="38" t="inlineStr">
        <is>
          <t>4–8</t>
        </is>
      </c>
      <c r="AU61" s="38" t="inlineStr">
        <is>
          <t>Graduate + relevant qualification or certification preferred</t>
        </is>
      </c>
      <c r="AV61" s="38" t="inlineStr">
        <is>
          <t>IC: none · Team Lead: 3–5</t>
        </is>
      </c>
      <c r="AW61" s="38" t="inlineStr">
        <is>
          <t>P3 / M2 · SFIA 4 Enable</t>
        </is>
      </c>
      <c r="AX6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61" s="39" t="inlineStr">
        <is>
          <t>B1</t>
        </is>
      </c>
      <c r="AZ61" s="40" t="inlineStr">
        <is>
          <t>Band B · Specialist / Manager · Specialist</t>
        </is>
      </c>
      <c r="BA61" s="40" t="inlineStr">
        <is>
          <t>Model B1 from the six ratings, the market-derived weights and rules R1–R13 · then No change · already below the manager</t>
        </is>
      </c>
      <c r="BB61" s="41" t="inlineStr">
        <is>
          <t>B1</t>
        </is>
      </c>
      <c r="BC61" s="40" t="inlineStr">
        <is>
          <t>The six ratings on the market-average weights of Band B · Specialist / POD Lead score 3.75 → B1 · Hay, Mercer IPE and public plans · experience 16.6 yrs vs the B1 market range 4–8</t>
        </is>
      </c>
      <c r="BD61" s="42">
        <f>IF(SUM(BM61,BN61,BO61,BP61,BQ61,BR61,BS61)=0,0,(BM61*BT61+BN61*BU61+BO61*BV61+BP61*BW61+BQ61*BX61+BR61*BY61+BS61*BZ61)/SUM(BM61,BN61,BO61,BP61,BQ61,BR61,BS61))</f>
        <v>0</v>
      </c>
      <c r="BE61" s="41" t="str">
        <f>IF(LEFT(AY61,1)="X",AY61,IF(OR(AY61="B+",AY61="C+"),INDEX(LAD_PC,MAX(1,MIN(14,MATCH(AY61,LAD_PC,0)+IF(BD61&gt;=0.5,1,IF(BD61&lt;=-0.5,-1,0))))),INDEX(LAD_STD,MAX(1,MIN(12,MATCH(AY61,LAD_STD,0)+IF(BD61&gt;=0.5,1,IF(BD61&lt;=-0.5,-1,0)))))))</f>
        <v>B1</v>
      </c>
      <c r="BF61" s="43" t="n"/>
      <c r="BG61" s="41" t="str">
        <f>IF(BF61&lt;&gt;"",BF61,BE61)</f>
        <v>B1</v>
      </c>
      <c r="BH61" s="40" t="str">
        <f>IFERROR(CHOOSE(INDEX(B_RANK,MATCH(BG61,B_LVL,0)),"Band A","Band B","B+ · Player-Coach","Band C","C+ · Player-Coach","Band D","Band E"),"Band X · Consultant")</f>
        <v>Band B</v>
      </c>
      <c r="BI61" s="40" t="str">
        <f>IF(BG61=AY61,"• Same",IF(INDEX(B_VAL,MATCH(BG61,B_LVL,0))&gt;INDEX(B_VAL,MATCH(AY61,B_LVL,0)),"▲ Up","▼ Down"))</f>
        <v>• Same</v>
      </c>
      <c r="BJ61" s="40" t="str">
        <f>IF(OR($M61="",$M61="—",$M61="Not in this file"),"",IFERROR(INDEX($BG$7:$BG$592,MATCH($M61,$D$7:$D$592,0)),""))</f>
        <v>B2</v>
      </c>
      <c r="BK61" s="40" t="str">
        <f>IFERROR(IF(BJ61="","—",IF(OR(LEFT(BG61,1)="X",LEFT(BJ61,1)="X"),"—",IF(AND(LEFT(BG61,1)="E",LEFT(BJ61,1)="E"),"Exception · Band E",IF(AND(INDEX(B_VAL,MATCH(BJ61,B_LVL,0))&gt;=7,INDEX(B_RANK,MATCH(BG61,B_LVL,0))&gt;=INDEX(B_RANK,MATCH(BJ61,B_LVL,0))),"⚠ Same band as a head manager",IF(INDEX(B_VAL,MATCH(BG61,B_LVL,0))&gt;=INDEX(B_VAL,MATCH(BJ61,B_LVL,0)),"⚠ At or above the manager's level","OK"))))),"—")</f>
        <v>OK</v>
      </c>
      <c r="BL61" s="43" t="n"/>
      <c r="BM61" s="44">
        <f>IFERROR(INDEX(LMH_PTS,MATCH(Y61,LMH_KEY,0)),0)</f>
        <v>9</v>
      </c>
      <c r="BN61" s="38">
        <f>IFERROR(INDEX(LMH_PTS,MATCH(Z61,LMH_KEY,0)),0)</f>
        <v>3</v>
      </c>
      <c r="BO61" s="38">
        <f>IFERROR(INDEX(LMH_PTS,MATCH(AA61,LMH_KEY,0)),0)</f>
        <v>3</v>
      </c>
      <c r="BP61" s="38">
        <f>IFERROR(INDEX(LMH_PTS,MATCH(AB61,LMH_KEY,0)),0)</f>
        <v>1</v>
      </c>
      <c r="BQ61" s="38">
        <f>IFERROR(INDEX(LMH_PTS,MATCH(AC61,LMH_KEY,0)),0)</f>
        <v>1</v>
      </c>
      <c r="BR61" s="38">
        <f>IFERROR(INDEX(LMH_PTS,MATCH(AD61,LMH_KEY,0)),0)</f>
        <v>1</v>
      </c>
      <c r="BS61" s="38">
        <f>IFERROR(INDEX(LMH_PTS,MATCH(AE61,LMH_KEY,0)),0)</f>
        <v>1</v>
      </c>
      <c r="BT61" s="38">
        <f>IFERROR(INDEX(LMH_STEP,MATCH(AF61,LMH_KEY,0)),0)</f>
        <v>0</v>
      </c>
      <c r="BU61" s="38">
        <f>IFERROR(INDEX(LMH_STEP,MATCH(AG61,LMH_KEY,0)),0)</f>
        <v>0</v>
      </c>
      <c r="BV61" s="38">
        <f>IFERROR(INDEX(LMH_STEP,MATCH(AH61,LMH_KEY,0)),0)</f>
        <v>0</v>
      </c>
      <c r="BW61" s="38">
        <f>IFERROR(INDEX(LMH_STEP,MATCH(AI61,LMH_KEY,0)),0)</f>
        <v>0</v>
      </c>
      <c r="BX61" s="38">
        <f>IFERROR(INDEX(LMH_STEP,MATCH(AJ61,LMH_KEY,0)),0)</f>
        <v>0</v>
      </c>
      <c r="BY61" s="38">
        <f>IFERROR(INDEX(LMH_STEP,MATCH(AK61,LMH_KEY,0)),0)</f>
        <v>0</v>
      </c>
      <c r="BZ61" s="38">
        <f>IFERROR(INDEX(LMH_STEP,MATCH(AL61,LMH_KEY,0)),0)</f>
        <v>0</v>
      </c>
      <c r="CA61" s="38" t="inlineStr">
        <is>
          <t>CARBON|Services|XBRL Specialist|B1|B-IC</t>
        </is>
      </c>
    </row>
    <row r="62" ht="110" customHeight="1">
      <c r="A62" s="28" t="inlineStr">
        <is>
          <t>CARBON</t>
        </is>
      </c>
      <c r="B62" s="29" t="inlineStr">
        <is>
          <t>Digitizing</t>
        </is>
      </c>
      <c r="C62" s="29" t="n">
        <v>5</v>
      </c>
      <c r="D62" s="29" t="inlineStr">
        <is>
          <t>IRIS0055</t>
        </is>
      </c>
      <c r="E62" s="29" t="inlineStr">
        <is>
          <t>Vijay Parulekar</t>
        </is>
      </c>
      <c r="F62" s="29" t="inlineStr">
        <is>
          <t>Head Image Processing</t>
        </is>
      </c>
      <c r="G62" s="29" t="inlineStr">
        <is>
          <t>Associate Head – Digitization</t>
        </is>
      </c>
      <c r="H62" s="29" t="inlineStr">
        <is>
          <t>Executive Leadership</t>
        </is>
      </c>
      <c r="I62" s="29" t="inlineStr">
        <is>
          <t>Business Head</t>
        </is>
      </c>
      <c r="J62" s="29" t="inlineStr">
        <is>
          <t>People Manager</t>
        </is>
      </c>
      <c r="K62" s="29" t="inlineStr">
        <is>
          <t>RC-EL-BH-C1</t>
        </is>
      </c>
      <c r="L62" s="29" t="inlineStr">
        <is>
          <t>K Ashok Kumar</t>
        </is>
      </c>
      <c r="M62" s="29" t="inlineStr">
        <is>
          <t>IRIS0018</t>
        </is>
      </c>
      <c r="N62" s="29" t="n">
        <v>26.4</v>
      </c>
      <c r="O62" s="29" t="n">
        <v>19.9</v>
      </c>
      <c r="P62" s="29" t="inlineStr">
        <is>
          <t>B.Com</t>
        </is>
      </c>
      <c r="Q62" s="29" t="inlineStr">
        <is>
          <t>L7 – Head / Sr Director</t>
        </is>
      </c>
      <c r="R62" s="29" t="inlineStr">
        <is>
          <t>C1</t>
        </is>
      </c>
      <c r="S62" s="30" t="inlineStr">
        <is>
          <t>20 of 20</t>
        </is>
      </c>
      <c r="T62" s="31" t="inlineStr">
        <is>
          <t>• Role / sub-team: Digitizing Assisted Services.</t>
        </is>
      </c>
      <c r="U62" s="31" t="inlineStr">
        <is>
          <t>Received · manager annual · 1.  Ensure files processed by team  with &gt;=99% accuracy · zero critical errors.
2. Meet 100% of regulatory / client filing deadlines · no SLA breaches
3. Reduce average filing turnaround time by 10-20% by this year.
4. Identify and develop future team leads.
5. Deliver zero escalations from key clients.
6. Launch …</t>
        </is>
      </c>
      <c r="V62" s="31" t="inlineStr">
        <is>
          <t>Latest rating: 4 · Potential: High · 9-box: Core Contributor · Readiness: Ready now</t>
        </is>
      </c>
      <c r="W62" s="31" t="inlineStr">
        <is>
          <t>C H · Au H · Ac H · L H · BI H · Exp H · 26.4 yrs vs 6–9 yrs · Edu M · B.Com</t>
        </is>
      </c>
      <c r="X62" s="33" t="inlineStr">
        <is>
          <t>Open ▸</t>
        </is>
      </c>
      <c r="Y62" s="34" t="str">
        <f>IFERROR(INDEX(DL_C,MATCH($CA62,DL_KEY,0)),"M")</f>
        <v>H</v>
      </c>
      <c r="Z62" s="35" t="str">
        <f>IFERROR(INDEX(DL_Au,MATCH($CA62,DL_KEY,0)),"M")</f>
        <v>M</v>
      </c>
      <c r="AA62" s="35" t="str">
        <f>IFERROR(INDEX(DL_Ac,MATCH($CA62,DL_KEY,0)),"M")</f>
        <v>M</v>
      </c>
      <c r="AB62" s="35" t="str">
        <f>IFERROR(INDEX(DL_L,MATCH($CA62,DL_KEY,0)),"M")</f>
        <v>M</v>
      </c>
      <c r="AC62" s="35" t="str">
        <f>IFERROR(INDEX(DL_BI,MATCH($CA62,DL_KEY,0)),"M")</f>
        <v>L</v>
      </c>
      <c r="AD62" s="35" t="str">
        <f>IFERROR(INDEX(DL_Exp,MATCH($CA62,DL_KEY,0)),"M")</f>
        <v>L</v>
      </c>
      <c r="AE62" s="35" t="str">
        <f>IFERROR(INDEX(DL_Edu,MATCH($CA62,DL_KEY,0)),"M")</f>
        <v>L</v>
      </c>
      <c r="AF62" s="34" t="inlineStr">
        <is>
          <t>M</t>
        </is>
      </c>
      <c r="AG62" s="35" t="inlineStr">
        <is>
          <t>M</t>
        </is>
      </c>
      <c r="AH62" s="35" t="inlineStr">
        <is>
          <t>M</t>
        </is>
      </c>
      <c r="AI62" s="35" t="inlineStr">
        <is>
          <t>M</t>
        </is>
      </c>
      <c r="AJ62" s="35" t="inlineStr">
        <is>
          <t>M</t>
        </is>
      </c>
      <c r="AK62" s="35" t="inlineStr">
        <is>
          <t>M</t>
        </is>
      </c>
      <c r="AL62" s="35" t="inlineStr">
        <is>
          <t>M</t>
        </is>
      </c>
      <c r="AM62" s="36" t="n">
        <v>0.37</v>
      </c>
      <c r="AN62" s="37" t="n">
        <v>0.183</v>
      </c>
      <c r="AO62" s="37" t="n">
        <v>0.113</v>
      </c>
      <c r="AP62" s="37" t="n">
        <v>0.15</v>
      </c>
      <c r="AQ62" s="37" t="n">
        <v>0.08699999999999999</v>
      </c>
      <c r="AR62" s="37" t="n">
        <v>0.06</v>
      </c>
      <c r="AS62" s="37" t="n">
        <v>0.04</v>
      </c>
      <c r="AT62" s="38" t="inlineStr">
        <is>
          <t>6–10</t>
        </is>
      </c>
      <c r="AU62" s="38" t="inlineStr">
        <is>
          <t>Graduate or postgraduate; professional qualification preferred</t>
        </is>
      </c>
      <c r="AV62" s="38" t="inlineStr">
        <is>
          <t>IC: none · People: 6–8 knowledge work, 8–12 standardised delivery</t>
        </is>
      </c>
      <c r="AW62" s="38" t="inlineStr">
        <is>
          <t>P4 / M3 · SFIA 4–5</t>
        </is>
      </c>
      <c r="AX6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62" s="39" t="inlineStr">
        <is>
          <t>B2</t>
        </is>
      </c>
      <c r="AZ62" s="40" t="inlineStr">
        <is>
          <t>Band B · Specialist / Manager · Manager</t>
        </is>
      </c>
      <c r="BA62" s="40" t="inlineStr">
        <is>
          <t>Model C1 from the six ratings, the market-derived weights and rules R1–R13 · then Level rule: manager B3; a reportee sits at least one level below · C1 → B2 · move down · pay and title protected for one cycle</t>
        </is>
      </c>
      <c r="BB62" s="41" t="inlineStr">
        <is>
          <t>C1</t>
        </is>
      </c>
      <c r="BC62" s="40" t="inlineStr">
        <is>
          <t>The six ratings on the market-average weights of Band B · People Manager score 7.24 → C1 · Hay, Mercer IPE and public plans · experience 26.4 yrs vs the C1 market range 12–17</t>
        </is>
      </c>
      <c r="BD62" s="42">
        <f>IF(SUM(BM62,BN62,BO62,BP62,BQ62,BR62,BS62)=0,0,(BM62*BT62+BN62*BU62+BO62*BV62+BP62*BW62+BQ62*BX62+BR62*BY62+BS62*BZ62)/SUM(BM62,BN62,BO62,BP62,BQ62,BR62,BS62))</f>
        <v>0</v>
      </c>
      <c r="BE62" s="41" t="str">
        <f>IF(LEFT(AY62,1)="X",AY62,IF(OR(AY62="B+",AY62="C+"),INDEX(LAD_PC,MAX(1,MIN(14,MATCH(AY62,LAD_PC,0)+IF(BD62&gt;=0.5,1,IF(BD62&lt;=-0.5,-1,0))))),INDEX(LAD_STD,MAX(1,MIN(12,MATCH(AY62,LAD_STD,0)+IF(BD62&gt;=0.5,1,IF(BD62&lt;=-0.5,-1,0)))))))</f>
        <v>B2</v>
      </c>
      <c r="BF62" s="43" t="n"/>
      <c r="BG62" s="41" t="str">
        <f>IF(BF62&lt;&gt;"",BF62,BE62)</f>
        <v>B2</v>
      </c>
      <c r="BH62" s="40" t="str">
        <f>IFERROR(CHOOSE(INDEX(B_RANK,MATCH(BG62,B_LVL,0)),"Band A","Band B","B+ · Player-Coach","Band C","C+ · Player-Coach","Band D","Band E"),"Band X · Consultant")</f>
        <v>Band B</v>
      </c>
      <c r="BI62" s="40" t="str">
        <f>IF(BG62=AY62,"• Same",IF(INDEX(B_VAL,MATCH(BG62,B_LVL,0))&gt;INDEX(B_VAL,MATCH(AY62,B_LVL,0)),"▲ Up","▼ Down"))</f>
        <v>• Same</v>
      </c>
      <c r="BJ62" s="40" t="str">
        <f>IF(OR($M62="",$M62="—",$M62="Not in this file"),"",IFERROR(INDEX($BG$7:$BG$592,MATCH($M62,$D$7:$D$592,0)),""))</f>
        <v>B3</v>
      </c>
      <c r="BK62" s="40" t="str">
        <f>IFERROR(IF(BJ62="","—",IF(OR(LEFT(BG62,1)="X",LEFT(BJ62,1)="X"),"—",IF(AND(LEFT(BG62,1)="E",LEFT(BJ62,1)="E"),"Exception · Band E",IF(AND(INDEX(B_VAL,MATCH(BJ62,B_LVL,0))&gt;=7,INDEX(B_RANK,MATCH(BG62,B_LVL,0))&gt;=INDEX(B_RANK,MATCH(BJ62,B_LVL,0))),"⚠ Same band as a head manager",IF(INDEX(B_VAL,MATCH(BG62,B_LVL,0))&gt;=INDEX(B_VAL,MATCH(BJ62,B_LVL,0)),"⚠ At or above the manager's level","OK"))))),"—")</f>
        <v>OK</v>
      </c>
      <c r="BL62" s="43" t="n"/>
      <c r="BM62" s="44">
        <f>IFERROR(INDEX(LMH_PTS,MATCH(Y62,LMH_KEY,0)),0)</f>
        <v>9</v>
      </c>
      <c r="BN62" s="38">
        <f>IFERROR(INDEX(LMH_PTS,MATCH(Z62,LMH_KEY,0)),0)</f>
        <v>3</v>
      </c>
      <c r="BO62" s="38">
        <f>IFERROR(INDEX(LMH_PTS,MATCH(AA62,LMH_KEY,0)),0)</f>
        <v>3</v>
      </c>
      <c r="BP62" s="38">
        <f>IFERROR(INDEX(LMH_PTS,MATCH(AB62,LMH_KEY,0)),0)</f>
        <v>3</v>
      </c>
      <c r="BQ62" s="38">
        <f>IFERROR(INDEX(LMH_PTS,MATCH(AC62,LMH_KEY,0)),0)</f>
        <v>1</v>
      </c>
      <c r="BR62" s="38">
        <f>IFERROR(INDEX(LMH_PTS,MATCH(AD62,LMH_KEY,0)),0)</f>
        <v>1</v>
      </c>
      <c r="BS62" s="38">
        <f>IFERROR(INDEX(LMH_PTS,MATCH(AE62,LMH_KEY,0)),0)</f>
        <v>1</v>
      </c>
      <c r="BT62" s="38">
        <f>IFERROR(INDEX(LMH_STEP,MATCH(AF62,LMH_KEY,0)),0)</f>
        <v>0</v>
      </c>
      <c r="BU62" s="38">
        <f>IFERROR(INDEX(LMH_STEP,MATCH(AG62,LMH_KEY,0)),0)</f>
        <v>0</v>
      </c>
      <c r="BV62" s="38">
        <f>IFERROR(INDEX(LMH_STEP,MATCH(AH62,LMH_KEY,0)),0)</f>
        <v>0</v>
      </c>
      <c r="BW62" s="38">
        <f>IFERROR(INDEX(LMH_STEP,MATCH(AI62,LMH_KEY,0)),0)</f>
        <v>0</v>
      </c>
      <c r="BX62" s="38">
        <f>IFERROR(INDEX(LMH_STEP,MATCH(AJ62,LMH_KEY,0)),0)</f>
        <v>0</v>
      </c>
      <c r="BY62" s="38">
        <f>IFERROR(INDEX(LMH_STEP,MATCH(AK62,LMH_KEY,0)),0)</f>
        <v>0</v>
      </c>
      <c r="BZ62" s="38">
        <f>IFERROR(INDEX(LMH_STEP,MATCH(AL62,LMH_KEY,0)),0)</f>
        <v>0</v>
      </c>
      <c r="CA62" s="38" t="inlineStr">
        <is>
          <t>CARBON|Digitizing|Associate Head – Digitization|B2|B-M</t>
        </is>
      </c>
    </row>
    <row r="63" ht="110" customHeight="1">
      <c r="A63" s="28" t="inlineStr">
        <is>
          <t>CARBON</t>
        </is>
      </c>
      <c r="B63" s="29" t="inlineStr">
        <is>
          <t>Digitizing</t>
        </is>
      </c>
      <c r="C63" s="29" t="n">
        <v>6</v>
      </c>
      <c r="D63" s="29" t="inlineStr">
        <is>
          <t>IRIS0470</t>
        </is>
      </c>
      <c r="E63" s="29" t="inlineStr">
        <is>
          <t>Janardan Bale</t>
        </is>
      </c>
      <c r="F63" s="29" t="inlineStr">
        <is>
          <t>Image Processing Specialist</t>
        </is>
      </c>
      <c r="G63" s="29" t="inlineStr">
        <is>
          <t>Digitization Manager</t>
        </is>
      </c>
      <c r="H63" s="29" t="inlineStr">
        <is>
          <t>Data Operations &amp; Digitization</t>
        </is>
      </c>
      <c r="I63" s="29" t="inlineStr">
        <is>
          <t>Document Conversion, Formatting &amp; Web Publishing</t>
        </is>
      </c>
      <c r="J63" s="29" t="inlineStr">
        <is>
          <t>People Manager</t>
        </is>
      </c>
      <c r="K63" s="29" t="inlineStr">
        <is>
          <t>RC-050</t>
        </is>
      </c>
      <c r="L63" s="29" t="inlineStr">
        <is>
          <t>Vijay Parulekar</t>
        </is>
      </c>
      <c r="M63" s="29" t="inlineStr">
        <is>
          <t>IRIS0055</t>
        </is>
      </c>
      <c r="N63" s="29" t="n">
        <v>18</v>
      </c>
      <c r="O63" s="29" t="n">
        <v>18</v>
      </c>
      <c r="P63" s="29" t="inlineStr">
        <is>
          <t>B.Com</t>
        </is>
      </c>
      <c r="Q63" s="29" t="inlineStr">
        <is>
          <t>L3 – Professional / Associate</t>
        </is>
      </c>
      <c r="R63" s="29" t="inlineStr">
        <is>
          <t>B2</t>
        </is>
      </c>
      <c r="S63" s="30" t="inlineStr">
        <is>
          <t>20 of 20</t>
        </is>
      </c>
      <c r="T63" s="31" t="inlineStr">
        <is>
          <t>• Role / sub-team: Digitalizing Assisted Services Team.</t>
        </is>
      </c>
      <c r="U63" s="31" t="inlineStr">
        <is>
          <t>Received · manager annual · 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capabilities to work in more …</t>
        </is>
      </c>
      <c r="V63" s="31" t="inlineStr">
        <is>
          <t>Latest rating: 5 · Potential: High · 9-box: Core Contributor · Readiness: Ready now</t>
        </is>
      </c>
      <c r="W63" s="31" t="inlineStr">
        <is>
          <t>C M · Au M · Ac H · L H · BI H · Exp H · 18 yrs vs 4–7 yrs · Edu M · B.Com</t>
        </is>
      </c>
      <c r="X63" s="33" t="inlineStr">
        <is>
          <t>Open ▸</t>
        </is>
      </c>
      <c r="Y63" s="34" t="str">
        <f>IFERROR(INDEX(DL_C,MATCH($CA63,DL_KEY,0)),"M")</f>
        <v>H</v>
      </c>
      <c r="Z63" s="35" t="str">
        <f>IFERROR(INDEX(DL_Au,MATCH($CA63,DL_KEY,0)),"M")</f>
        <v>M</v>
      </c>
      <c r="AA63" s="35" t="str">
        <f>IFERROR(INDEX(DL_Ac,MATCH($CA63,DL_KEY,0)),"M")</f>
        <v>M</v>
      </c>
      <c r="AB63" s="35" t="str">
        <f>IFERROR(INDEX(DL_L,MATCH($CA63,DL_KEY,0)),"M")</f>
        <v>M</v>
      </c>
      <c r="AC63" s="35" t="str">
        <f>IFERROR(INDEX(DL_BI,MATCH($CA63,DL_KEY,0)),"M")</f>
        <v>L</v>
      </c>
      <c r="AD63" s="35" t="str">
        <f>IFERROR(INDEX(DL_Exp,MATCH($CA63,DL_KEY,0)),"M")</f>
        <v>L</v>
      </c>
      <c r="AE63" s="35" t="str">
        <f>IFERROR(INDEX(DL_Edu,MATCH($CA63,DL_KEY,0)),"M")</f>
        <v>L</v>
      </c>
      <c r="AF63" s="34" t="inlineStr">
        <is>
          <t>M</t>
        </is>
      </c>
      <c r="AG63" s="35" t="inlineStr">
        <is>
          <t>M</t>
        </is>
      </c>
      <c r="AH63" s="35" t="inlineStr">
        <is>
          <t>M</t>
        </is>
      </c>
      <c r="AI63" s="35" t="inlineStr">
        <is>
          <t>M</t>
        </is>
      </c>
      <c r="AJ63" s="35" t="inlineStr">
        <is>
          <t>M</t>
        </is>
      </c>
      <c r="AK63" s="35" t="inlineStr">
        <is>
          <t>M</t>
        </is>
      </c>
      <c r="AL63" s="35" t="inlineStr">
        <is>
          <t>M</t>
        </is>
      </c>
      <c r="AM63" s="36" t="n">
        <v>0.37</v>
      </c>
      <c r="AN63" s="37" t="n">
        <v>0.183</v>
      </c>
      <c r="AO63" s="37" t="n">
        <v>0.113</v>
      </c>
      <c r="AP63" s="37" t="n">
        <v>0.15</v>
      </c>
      <c r="AQ63" s="37" t="n">
        <v>0.08699999999999999</v>
      </c>
      <c r="AR63" s="37" t="n">
        <v>0.06</v>
      </c>
      <c r="AS63" s="37" t="n">
        <v>0.04</v>
      </c>
      <c r="AT63" s="38" t="inlineStr">
        <is>
          <t>4–8</t>
        </is>
      </c>
      <c r="AU63" s="38" t="inlineStr">
        <is>
          <t>Graduate + relevant qualification or certification preferred</t>
        </is>
      </c>
      <c r="AV63" s="38" t="inlineStr">
        <is>
          <t>IC: none · Team Lead: 3–5</t>
        </is>
      </c>
      <c r="AW63" s="38" t="inlineStr">
        <is>
          <t>P3 / M2 · SFIA 4 Enable</t>
        </is>
      </c>
      <c r="AX6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63" s="39" t="inlineStr">
        <is>
          <t>B1</t>
        </is>
      </c>
      <c r="AZ63" s="40" t="inlineStr">
        <is>
          <t>Band B · Specialist / Manager · Team Lead / Asst Manager</t>
        </is>
      </c>
      <c r="BA63" s="40" t="inlineStr">
        <is>
          <t>Model B2 from the six ratings, the market-derived weights and rules R1–R13 · then Level rule: manager B2; a reportee sits at least one level below · B2 → B1 · move down · pay and title protected for one cycle</t>
        </is>
      </c>
      <c r="BB63" s="41" t="inlineStr">
        <is>
          <t>B2</t>
        </is>
      </c>
      <c r="BC63" s="40" t="inlineStr">
        <is>
          <t>The six ratings on the market-average weights of Band B · People Manager score 4.87 → B2 · Hay, Mercer IPE and public plans · experience 18 yrs vs the B2 market range 6–10</t>
        </is>
      </c>
      <c r="BD63" s="42">
        <f>IF(SUM(BM63,BN63,BO63,BP63,BQ63,BR63,BS63)=0,0,(BM63*BT63+BN63*BU63+BO63*BV63+BP63*BW63+BQ63*BX63+BR63*BY63+BS63*BZ63)/SUM(BM63,BN63,BO63,BP63,BQ63,BR63,BS63))</f>
        <v>0</v>
      </c>
      <c r="BE63" s="41" t="str">
        <f>IF(LEFT(AY63,1)="X",AY63,IF(OR(AY63="B+",AY63="C+"),INDEX(LAD_PC,MAX(1,MIN(14,MATCH(AY63,LAD_PC,0)+IF(BD63&gt;=0.5,1,IF(BD63&lt;=-0.5,-1,0))))),INDEX(LAD_STD,MAX(1,MIN(12,MATCH(AY63,LAD_STD,0)+IF(BD63&gt;=0.5,1,IF(BD63&lt;=-0.5,-1,0)))))))</f>
        <v>B1</v>
      </c>
      <c r="BF63" s="43" t="n"/>
      <c r="BG63" s="41" t="str">
        <f>IF(BF63&lt;&gt;"",BF63,BE63)</f>
        <v>B1</v>
      </c>
      <c r="BH63" s="40" t="str">
        <f>IFERROR(CHOOSE(INDEX(B_RANK,MATCH(BG63,B_LVL,0)),"Band A","Band B","B+ · Player-Coach","Band C","C+ · Player-Coach","Band D","Band E"),"Band X · Consultant")</f>
        <v>Band B</v>
      </c>
      <c r="BI63" s="40" t="str">
        <f>IF(BG63=AY63,"• Same",IF(INDEX(B_VAL,MATCH(BG63,B_LVL,0))&gt;INDEX(B_VAL,MATCH(AY63,B_LVL,0)),"▲ Up","▼ Down"))</f>
        <v>• Same</v>
      </c>
      <c r="BJ63" s="40" t="str">
        <f>IF(OR($M63="",$M63="—",$M63="Not in this file"),"",IFERROR(INDEX($BG$7:$BG$592,MATCH($M63,$D$7:$D$592,0)),""))</f>
        <v>B2</v>
      </c>
      <c r="BK63" s="40" t="str">
        <f>IFERROR(IF(BJ63="","—",IF(OR(LEFT(BG63,1)="X",LEFT(BJ63,1)="X"),"—",IF(AND(LEFT(BG63,1)="E",LEFT(BJ63,1)="E"),"Exception · Band E",IF(AND(INDEX(B_VAL,MATCH(BJ63,B_LVL,0))&gt;=7,INDEX(B_RANK,MATCH(BG63,B_LVL,0))&gt;=INDEX(B_RANK,MATCH(BJ63,B_LVL,0))),"⚠ Same band as a head manager",IF(INDEX(B_VAL,MATCH(BG63,B_LVL,0))&gt;=INDEX(B_VAL,MATCH(BJ63,B_LVL,0)),"⚠ At or above the manager's level","OK"))))),"—")</f>
        <v>OK</v>
      </c>
      <c r="BL63" s="43" t="n"/>
      <c r="BM63" s="44">
        <f>IFERROR(INDEX(LMH_PTS,MATCH(Y63,LMH_KEY,0)),0)</f>
        <v>9</v>
      </c>
      <c r="BN63" s="38">
        <f>IFERROR(INDEX(LMH_PTS,MATCH(Z63,LMH_KEY,0)),0)</f>
        <v>3</v>
      </c>
      <c r="BO63" s="38">
        <f>IFERROR(INDEX(LMH_PTS,MATCH(AA63,LMH_KEY,0)),0)</f>
        <v>3</v>
      </c>
      <c r="BP63" s="38">
        <f>IFERROR(INDEX(LMH_PTS,MATCH(AB63,LMH_KEY,0)),0)</f>
        <v>3</v>
      </c>
      <c r="BQ63" s="38">
        <f>IFERROR(INDEX(LMH_PTS,MATCH(AC63,LMH_KEY,0)),0)</f>
        <v>1</v>
      </c>
      <c r="BR63" s="38">
        <f>IFERROR(INDEX(LMH_PTS,MATCH(AD63,LMH_KEY,0)),0)</f>
        <v>1</v>
      </c>
      <c r="BS63" s="38">
        <f>IFERROR(INDEX(LMH_PTS,MATCH(AE63,LMH_KEY,0)),0)</f>
        <v>1</v>
      </c>
      <c r="BT63" s="38">
        <f>IFERROR(INDEX(LMH_STEP,MATCH(AF63,LMH_KEY,0)),0)</f>
        <v>0</v>
      </c>
      <c r="BU63" s="38">
        <f>IFERROR(INDEX(LMH_STEP,MATCH(AG63,LMH_KEY,0)),0)</f>
        <v>0</v>
      </c>
      <c r="BV63" s="38">
        <f>IFERROR(INDEX(LMH_STEP,MATCH(AH63,LMH_KEY,0)),0)</f>
        <v>0</v>
      </c>
      <c r="BW63" s="38">
        <f>IFERROR(INDEX(LMH_STEP,MATCH(AI63,LMH_KEY,0)),0)</f>
        <v>0</v>
      </c>
      <c r="BX63" s="38">
        <f>IFERROR(INDEX(LMH_STEP,MATCH(AJ63,LMH_KEY,0)),0)</f>
        <v>0</v>
      </c>
      <c r="BY63" s="38">
        <f>IFERROR(INDEX(LMH_STEP,MATCH(AK63,LMH_KEY,0)),0)</f>
        <v>0</v>
      </c>
      <c r="BZ63" s="38">
        <f>IFERROR(INDEX(LMH_STEP,MATCH(AL63,LMH_KEY,0)),0)</f>
        <v>0</v>
      </c>
      <c r="CA63" s="38" t="inlineStr">
        <is>
          <t>CARBON|Digitizing|Digitization Manager|B1|B-M</t>
        </is>
      </c>
    </row>
    <row r="64" ht="110" customHeight="1">
      <c r="A64" s="28" t="inlineStr">
        <is>
          <t>CARBON</t>
        </is>
      </c>
      <c r="B64" s="29" t="inlineStr">
        <is>
          <t>Digitizing</t>
        </is>
      </c>
      <c r="C64" s="29" t="n">
        <v>7</v>
      </c>
      <c r="D64" s="29" t="inlineStr">
        <is>
          <t>IRIS1210</t>
        </is>
      </c>
      <c r="E64" s="29" t="inlineStr">
        <is>
          <t>Tejas Kat</t>
        </is>
      </c>
      <c r="F64" s="29" t="inlineStr">
        <is>
          <t>Image Processing Specialist</t>
        </is>
      </c>
      <c r="G64" s="29" t="inlineStr">
        <is>
          <t>Digitization Specialist – POD Lead</t>
        </is>
      </c>
      <c r="H64" s="29" t="inlineStr">
        <is>
          <t>Data Operations &amp; Digitization</t>
        </is>
      </c>
      <c r="I64" s="29" t="inlineStr">
        <is>
          <t>Document Conversion, Formatting &amp; Web Publishing</t>
        </is>
      </c>
      <c r="J64" s="29" t="inlineStr">
        <is>
          <t>POD Lead</t>
        </is>
      </c>
      <c r="K64" s="29" t="inlineStr">
        <is>
          <t>RC-048</t>
        </is>
      </c>
      <c r="L64" s="29" t="inlineStr">
        <is>
          <t>Janardan Bale</t>
        </is>
      </c>
      <c r="M64" s="29" t="inlineStr">
        <is>
          <t>IRIS0470</t>
        </is>
      </c>
      <c r="N64" s="29" t="n">
        <v>17.4</v>
      </c>
      <c r="O64" s="29" t="n">
        <v>16.4</v>
      </c>
      <c r="P64" s="29" t="inlineStr">
        <is>
          <t>Undergraduate</t>
        </is>
      </c>
      <c r="Q64" s="29" t="inlineStr">
        <is>
          <t>L3 – Professional / Associate</t>
        </is>
      </c>
      <c r="R64" s="29" t="inlineStr">
        <is>
          <t>B1</t>
        </is>
      </c>
      <c r="S64" s="30" t="inlineStr">
        <is>
          <t>20 of 20</t>
        </is>
      </c>
      <c r="T64" s="31" t="inlineStr">
        <is>
          <t>• Role / sub-team: Digitizing Associte Service.</t>
        </is>
      </c>
      <c r="U64" s="31" t="inlineStr">
        <is>
          <t>Received · manager annual · 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
        </is>
      </c>
      <c r="V64" s="31" t="inlineStr">
        <is>
          <t>Latest rating: 4 · Potential: High · 9-box: Core Contributor · Readiness: Ready now</t>
        </is>
      </c>
      <c r="W64" s="31" t="inlineStr">
        <is>
          <t>C M · Au M · Ac M · L M · BI H · Exp H · 17.4 yrs vs 2–4 yrs · Edu L · Undergraduate</t>
        </is>
      </c>
      <c r="X64" s="33" t="inlineStr">
        <is>
          <t>Open ▸</t>
        </is>
      </c>
      <c r="Y64" s="34" t="str">
        <f>IFERROR(INDEX(DL_C,MATCH($CA64,DL_KEY,0)),"M")</f>
        <v>H</v>
      </c>
      <c r="Z64" s="35" t="str">
        <f>IFERROR(INDEX(DL_Au,MATCH($CA64,DL_KEY,0)),"M")</f>
        <v>M</v>
      </c>
      <c r="AA64" s="35" t="str">
        <f>IFERROR(INDEX(DL_Ac,MATCH($CA64,DL_KEY,0)),"M")</f>
        <v>M</v>
      </c>
      <c r="AB64" s="35" t="str">
        <f>IFERROR(INDEX(DL_L,MATCH($CA64,DL_KEY,0)),"M")</f>
        <v>L</v>
      </c>
      <c r="AC64" s="35" t="str">
        <f>IFERROR(INDEX(DL_BI,MATCH($CA64,DL_KEY,0)),"M")</f>
        <v>L</v>
      </c>
      <c r="AD64" s="35" t="str">
        <f>IFERROR(INDEX(DL_Exp,MATCH($CA64,DL_KEY,0)),"M")</f>
        <v>L</v>
      </c>
      <c r="AE64" s="35" t="str">
        <f>IFERROR(INDEX(DL_Edu,MATCH($CA64,DL_KEY,0)),"M")</f>
        <v>L</v>
      </c>
      <c r="AF64" s="34" t="inlineStr">
        <is>
          <t>M</t>
        </is>
      </c>
      <c r="AG64" s="35" t="inlineStr">
        <is>
          <t>M</t>
        </is>
      </c>
      <c r="AH64" s="35" t="inlineStr">
        <is>
          <t>M</t>
        </is>
      </c>
      <c r="AI64" s="35" t="inlineStr">
        <is>
          <t>M</t>
        </is>
      </c>
      <c r="AJ64" s="35" t="inlineStr">
        <is>
          <t>M</t>
        </is>
      </c>
      <c r="AK64" s="35" t="inlineStr">
        <is>
          <t>M</t>
        </is>
      </c>
      <c r="AL64" s="35" t="inlineStr">
        <is>
          <t>M</t>
        </is>
      </c>
      <c r="AM64" s="36" t="n">
        <v>0.583</v>
      </c>
      <c r="AN64" s="37" t="n">
        <v>0.16</v>
      </c>
      <c r="AO64" s="37" t="n">
        <v>0.09</v>
      </c>
      <c r="AP64" s="37" t="n">
        <v>0</v>
      </c>
      <c r="AQ64" s="37" t="n">
        <v>0.063</v>
      </c>
      <c r="AR64" s="37" t="n">
        <v>0.06</v>
      </c>
      <c r="AS64" s="37" t="n">
        <v>0.04</v>
      </c>
      <c r="AT64" s="38" t="inlineStr">
        <is>
          <t>2–5</t>
        </is>
      </c>
      <c r="AU64" s="38" t="inlineStr">
        <is>
          <t>Graduate; relevant certification preferred</t>
        </is>
      </c>
      <c r="AV64" s="38" t="inlineStr">
        <is>
          <t>None · guides 1–3 juniors informally</t>
        </is>
      </c>
      <c r="AW64" s="38" t="inlineStr">
        <is>
          <t>P2 · SFIA 3 Apply</t>
        </is>
      </c>
      <c r="AX6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64" s="39" t="inlineStr">
        <is>
          <t>A3</t>
        </is>
      </c>
      <c r="AZ64" s="40" t="inlineStr">
        <is>
          <t>Band A · Practitioner · Senior Associate</t>
        </is>
      </c>
      <c r="BA64" s="40" t="inlineStr">
        <is>
          <t>Model B1 from the six ratings, the market-derived weights and rules R1–R13 · then Level rule: manager B1; a reportee sits at least one level below · B1 → A3 · move down · pay and title protected for one cycle</t>
        </is>
      </c>
      <c r="BB64" s="41" t="inlineStr">
        <is>
          <t>B1</t>
        </is>
      </c>
      <c r="BC64" s="40" t="inlineStr">
        <is>
          <t>The six ratings on the market-average weights of Band A · all tracks score 3.66 → B1 · Hay, Mercer IPE and public plans · experience 17.4 yrs vs the B1 market range 4–8</t>
        </is>
      </c>
      <c r="BD64" s="42">
        <f>IF(SUM(BM64,BN64,BO64,BP64,BQ64,BR64,BS64)=0,0,(BM64*BT64+BN64*BU64+BO64*BV64+BP64*BW64+BQ64*BX64+BR64*BY64+BS64*BZ64)/SUM(BM64,BN64,BO64,BP64,BQ64,BR64,BS64))</f>
        <v>0</v>
      </c>
      <c r="BE64" s="41" t="str">
        <f>IF(LEFT(AY64,1)="X",AY64,IF(OR(AY64="B+",AY64="C+"),INDEX(LAD_PC,MAX(1,MIN(14,MATCH(AY64,LAD_PC,0)+IF(BD64&gt;=0.5,1,IF(BD64&lt;=-0.5,-1,0))))),INDEX(LAD_STD,MAX(1,MIN(12,MATCH(AY64,LAD_STD,0)+IF(BD64&gt;=0.5,1,IF(BD64&lt;=-0.5,-1,0)))))))</f>
        <v>A3</v>
      </c>
      <c r="BF64" s="43" t="n"/>
      <c r="BG64" s="41" t="str">
        <f>IF(BF64&lt;&gt;"",BF64,BE64)</f>
        <v>A3</v>
      </c>
      <c r="BH64" s="40" t="str">
        <f>IFERROR(CHOOSE(INDEX(B_RANK,MATCH(BG64,B_LVL,0)),"Band A","Band B","B+ · Player-Coach","Band C","C+ · Player-Coach","Band D","Band E"),"Band X · Consultant")</f>
        <v>Band A</v>
      </c>
      <c r="BI64" s="40" t="str">
        <f>IF(BG64=AY64,"• Same",IF(INDEX(B_VAL,MATCH(BG64,B_LVL,0))&gt;INDEX(B_VAL,MATCH(AY64,B_LVL,0)),"▲ Up","▼ Down"))</f>
        <v>• Same</v>
      </c>
      <c r="BJ64" s="40" t="str">
        <f>IF(OR($M64="",$M64="—",$M64="Not in this file"),"",IFERROR(INDEX($BG$7:$BG$592,MATCH($M64,$D$7:$D$592,0)),""))</f>
        <v>B1</v>
      </c>
      <c r="BK64" s="40" t="str">
        <f>IFERROR(IF(BJ64="","—",IF(OR(LEFT(BG64,1)="X",LEFT(BJ64,1)="X"),"—",IF(AND(LEFT(BG64,1)="E",LEFT(BJ64,1)="E"),"Exception · Band E",IF(AND(INDEX(B_VAL,MATCH(BJ64,B_LVL,0))&gt;=7,INDEX(B_RANK,MATCH(BG64,B_LVL,0))&gt;=INDEX(B_RANK,MATCH(BJ64,B_LVL,0))),"⚠ Same band as a head manager",IF(INDEX(B_VAL,MATCH(BG64,B_LVL,0))&gt;=INDEX(B_VAL,MATCH(BJ64,B_LVL,0)),"⚠ At or above the manager's level","OK"))))),"—")</f>
        <v>OK</v>
      </c>
      <c r="BL64" s="43" t="n"/>
      <c r="BM64" s="44">
        <f>IFERROR(INDEX(LMH_PTS,MATCH(Y64,LMH_KEY,0)),0)</f>
        <v>9</v>
      </c>
      <c r="BN64" s="38">
        <f>IFERROR(INDEX(LMH_PTS,MATCH(Z64,LMH_KEY,0)),0)</f>
        <v>3</v>
      </c>
      <c r="BO64" s="38">
        <f>IFERROR(INDEX(LMH_PTS,MATCH(AA64,LMH_KEY,0)),0)</f>
        <v>3</v>
      </c>
      <c r="BP64" s="38">
        <f>IFERROR(INDEX(LMH_PTS,MATCH(AB64,LMH_KEY,0)),0)</f>
        <v>1</v>
      </c>
      <c r="BQ64" s="38">
        <f>IFERROR(INDEX(LMH_PTS,MATCH(AC64,LMH_KEY,0)),0)</f>
        <v>1</v>
      </c>
      <c r="BR64" s="38">
        <f>IFERROR(INDEX(LMH_PTS,MATCH(AD64,LMH_KEY,0)),0)</f>
        <v>1</v>
      </c>
      <c r="BS64" s="38">
        <f>IFERROR(INDEX(LMH_PTS,MATCH(AE64,LMH_KEY,0)),0)</f>
        <v>1</v>
      </c>
      <c r="BT64" s="38">
        <f>IFERROR(INDEX(LMH_STEP,MATCH(AF64,LMH_KEY,0)),0)</f>
        <v>0</v>
      </c>
      <c r="BU64" s="38">
        <f>IFERROR(INDEX(LMH_STEP,MATCH(AG64,LMH_KEY,0)),0)</f>
        <v>0</v>
      </c>
      <c r="BV64" s="38">
        <f>IFERROR(INDEX(LMH_STEP,MATCH(AH64,LMH_KEY,0)),0)</f>
        <v>0</v>
      </c>
      <c r="BW64" s="38">
        <f>IFERROR(INDEX(LMH_STEP,MATCH(AI64,LMH_KEY,0)),0)</f>
        <v>0</v>
      </c>
      <c r="BX64" s="38">
        <f>IFERROR(INDEX(LMH_STEP,MATCH(AJ64,LMH_KEY,0)),0)</f>
        <v>0</v>
      </c>
      <c r="BY64" s="38">
        <f>IFERROR(INDEX(LMH_STEP,MATCH(AK64,LMH_KEY,0)),0)</f>
        <v>0</v>
      </c>
      <c r="BZ64" s="38">
        <f>IFERROR(INDEX(LMH_STEP,MATCH(AL64,LMH_KEY,0)),0)</f>
        <v>0</v>
      </c>
      <c r="CA64" s="38" t="inlineStr">
        <is>
          <t>CARBON|Digitizing|Digitization Specialist – POD Lead|A3|A</t>
        </is>
      </c>
    </row>
    <row r="65" ht="110" customHeight="1">
      <c r="A65" s="28" t="inlineStr">
        <is>
          <t>CARBON</t>
        </is>
      </c>
      <c r="B65" s="29" t="inlineStr">
        <is>
          <t>Digitizing</t>
        </is>
      </c>
      <c r="C65" s="29" t="n">
        <v>8</v>
      </c>
      <c r="D65" s="29" t="inlineStr">
        <is>
          <t>IRISC224</t>
        </is>
      </c>
      <c r="E65" s="29" t="inlineStr">
        <is>
          <t>Dhanraj Patil</t>
        </is>
      </c>
      <c r="F65" s="29" t="inlineStr">
        <is>
          <t>Consultant</t>
        </is>
      </c>
      <c r="G65" s="29" t="inlineStr">
        <is>
          <t>Senior Digitization Associate</t>
        </is>
      </c>
      <c r="H65" s="29" t="inlineStr">
        <is>
          <t>Data Operations &amp; Digitization</t>
        </is>
      </c>
      <c r="I65" s="29" t="inlineStr">
        <is>
          <t>Document Conversion, Formatting &amp; Web Publishing</t>
        </is>
      </c>
      <c r="J65" s="29" t="inlineStr">
        <is>
          <t>IC</t>
        </is>
      </c>
      <c r="K65" s="29" t="inlineStr">
        <is>
          <t>RC-047</t>
        </is>
      </c>
      <c r="L65" s="29" t="inlineStr">
        <is>
          <t>Tejas Kat</t>
        </is>
      </c>
      <c r="M65" s="29" t="inlineStr">
        <is>
          <t>IRIS1210</t>
        </is>
      </c>
      <c r="N65" s="29" t="n">
        <v>13.1</v>
      </c>
      <c r="O65" s="29" t="n">
        <v>4.6</v>
      </c>
      <c r="P65" s="29" t="inlineStr">
        <is>
          <t>B.Com</t>
        </is>
      </c>
      <c r="Q65" s="29" t="inlineStr">
        <is>
          <t>L3 – Professional / Associate</t>
        </is>
      </c>
      <c r="R65" s="29" t="inlineStr">
        <is>
          <t>A3</t>
        </is>
      </c>
      <c r="S65" s="30" t="inlineStr">
        <is>
          <t>20 of 20</t>
        </is>
      </c>
      <c r="T65" s="31" t="inlineStr">
        <is>
          <t>• Role / sub-team: Digitizing Assited Services.</t>
        </is>
      </c>
      <c r="U65" s="31" t="inlineStr">
        <is>
          <t>Received · manager annual · 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
        </is>
      </c>
      <c r="V65" s="31" t="inlineStr">
        <is>
          <t>Latest rating: 3 · Potential: Medium · 9-box: Core Contributor · Readiness: Develop in role</t>
        </is>
      </c>
      <c r="W65" s="31" t="inlineStr">
        <is>
          <t>C M · Au M · Ac M · L L · BI M · Exp H · 13.1 yrs vs 0–2 yrs · Edu M · B.Com</t>
        </is>
      </c>
      <c r="X65" s="33" t="inlineStr">
        <is>
          <t>Open ▸</t>
        </is>
      </c>
      <c r="Y65" s="34" t="str">
        <f>IFERROR(INDEX(DL_C,MATCH($CA65,DL_KEY,0)),"M")</f>
        <v>H</v>
      </c>
      <c r="Z65" s="35" t="str">
        <f>IFERROR(INDEX(DL_Au,MATCH($CA65,DL_KEY,0)),"M")</f>
        <v>M</v>
      </c>
      <c r="AA65" s="35" t="str">
        <f>IFERROR(INDEX(DL_Ac,MATCH($CA65,DL_KEY,0)),"M")</f>
        <v>M</v>
      </c>
      <c r="AB65" s="35" t="str">
        <f>IFERROR(INDEX(DL_L,MATCH($CA65,DL_KEY,0)),"M")</f>
        <v>L</v>
      </c>
      <c r="AC65" s="35" t="str">
        <f>IFERROR(INDEX(DL_BI,MATCH($CA65,DL_KEY,0)),"M")</f>
        <v>L</v>
      </c>
      <c r="AD65" s="35" t="str">
        <f>IFERROR(INDEX(DL_Exp,MATCH($CA65,DL_KEY,0)),"M")</f>
        <v>L</v>
      </c>
      <c r="AE65" s="35" t="str">
        <f>IFERROR(INDEX(DL_Edu,MATCH($CA65,DL_KEY,0)),"M")</f>
        <v>L</v>
      </c>
      <c r="AF65" s="34" t="inlineStr">
        <is>
          <t>M</t>
        </is>
      </c>
      <c r="AG65" s="35" t="inlineStr">
        <is>
          <t>M</t>
        </is>
      </c>
      <c r="AH65" s="35" t="inlineStr">
        <is>
          <t>M</t>
        </is>
      </c>
      <c r="AI65" s="35" t="inlineStr">
        <is>
          <t>M</t>
        </is>
      </c>
      <c r="AJ65" s="35" t="inlineStr">
        <is>
          <t>M</t>
        </is>
      </c>
      <c r="AK65" s="35" t="inlineStr">
        <is>
          <t>M</t>
        </is>
      </c>
      <c r="AL65" s="35" t="inlineStr">
        <is>
          <t>M</t>
        </is>
      </c>
      <c r="AM65" s="36" t="n">
        <v>0.583</v>
      </c>
      <c r="AN65" s="37" t="n">
        <v>0.16</v>
      </c>
      <c r="AO65" s="37" t="n">
        <v>0.09</v>
      </c>
      <c r="AP65" s="37" t="n">
        <v>0</v>
      </c>
      <c r="AQ65" s="37" t="n">
        <v>0.063</v>
      </c>
      <c r="AR65" s="37" t="n">
        <v>0.06</v>
      </c>
      <c r="AS65" s="37" t="n">
        <v>0.04</v>
      </c>
      <c r="AT65" s="38" t="inlineStr">
        <is>
          <t>0–3</t>
        </is>
      </c>
      <c r="AU65" s="38" t="inlineStr">
        <is>
          <t>Graduate · or diploma with experience</t>
        </is>
      </c>
      <c r="AV65" s="38" t="inlineStr">
        <is>
          <t>No direct reports</t>
        </is>
      </c>
      <c r="AW65" s="38" t="inlineStr">
        <is>
          <t>P1–P2 · SFIA 2 Assist</t>
        </is>
      </c>
      <c r="AX6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65" s="39" t="inlineStr">
        <is>
          <t>A2</t>
        </is>
      </c>
      <c r="AZ65" s="40" t="inlineStr">
        <is>
          <t>Band A · Practitioner · Associate</t>
        </is>
      </c>
      <c r="BA65" s="40" t="inlineStr">
        <is>
          <t>Model A3 from the six ratings, the market-derived weights and rules R1–R13 · then Level rule: manager A3; a reportee sits at least one level below · A3 → A2 · move down · pay and title protected for one cycle</t>
        </is>
      </c>
      <c r="BB65" s="41" t="inlineStr">
        <is>
          <t>A3</t>
        </is>
      </c>
      <c r="BC65" s="40" t="inlineStr">
        <is>
          <t>The six ratings on the market-average weights of Band A · all tracks score 2.50 → A3 · Hay, Mercer IPE and public plans · experience 13.1 yrs vs the A3 market range 2–5</t>
        </is>
      </c>
      <c r="BD65" s="42">
        <f>IF(SUM(BM65,BN65,BO65,BP65,BQ65,BR65,BS65)=0,0,(BM65*BT65+BN65*BU65+BO65*BV65+BP65*BW65+BQ65*BX65+BR65*BY65+BS65*BZ65)/SUM(BM65,BN65,BO65,BP65,BQ65,BR65,BS65))</f>
        <v>0</v>
      </c>
      <c r="BE65" s="41" t="str">
        <f>IF(LEFT(AY65,1)="X",AY65,IF(OR(AY65="B+",AY65="C+"),INDEX(LAD_PC,MAX(1,MIN(14,MATCH(AY65,LAD_PC,0)+IF(BD65&gt;=0.5,1,IF(BD65&lt;=-0.5,-1,0))))),INDEX(LAD_STD,MAX(1,MIN(12,MATCH(AY65,LAD_STD,0)+IF(BD65&gt;=0.5,1,IF(BD65&lt;=-0.5,-1,0)))))))</f>
        <v>A2</v>
      </c>
      <c r="BF65" s="43" t="n"/>
      <c r="BG65" s="41" t="str">
        <f>IF(BF65&lt;&gt;"",BF65,BE65)</f>
        <v>A2</v>
      </c>
      <c r="BH65" s="40" t="str">
        <f>IFERROR(CHOOSE(INDEX(B_RANK,MATCH(BG65,B_LVL,0)),"Band A","Band B","B+ · Player-Coach","Band C","C+ · Player-Coach","Band D","Band E"),"Band X · Consultant")</f>
        <v>Band A</v>
      </c>
      <c r="BI65" s="40" t="str">
        <f>IF(BG65=AY65,"• Same",IF(INDEX(B_VAL,MATCH(BG65,B_LVL,0))&gt;INDEX(B_VAL,MATCH(AY65,B_LVL,0)),"▲ Up","▼ Down"))</f>
        <v>• Same</v>
      </c>
      <c r="BJ65" s="40" t="str">
        <f>IF(OR($M65="",$M65="—",$M65="Not in this file"),"",IFERROR(INDEX($BG$7:$BG$592,MATCH($M65,$D$7:$D$592,0)),""))</f>
        <v>A3</v>
      </c>
      <c r="BK65" s="40" t="str">
        <f>IFERROR(IF(BJ65="","—",IF(OR(LEFT(BG65,1)="X",LEFT(BJ65,1)="X"),"—",IF(AND(LEFT(BG65,1)="E",LEFT(BJ65,1)="E"),"Exception · Band E",IF(AND(INDEX(B_VAL,MATCH(BJ65,B_LVL,0))&gt;=7,INDEX(B_RANK,MATCH(BG65,B_LVL,0))&gt;=INDEX(B_RANK,MATCH(BJ65,B_LVL,0))),"⚠ Same band as a head manager",IF(INDEX(B_VAL,MATCH(BG65,B_LVL,0))&gt;=INDEX(B_VAL,MATCH(BJ65,B_LVL,0)),"⚠ At or above the manager's level","OK"))))),"—")</f>
        <v>OK</v>
      </c>
      <c r="BL65" s="43" t="n"/>
      <c r="BM65" s="44">
        <f>IFERROR(INDEX(LMH_PTS,MATCH(Y65,LMH_KEY,0)),0)</f>
        <v>9</v>
      </c>
      <c r="BN65" s="38">
        <f>IFERROR(INDEX(LMH_PTS,MATCH(Z65,LMH_KEY,0)),0)</f>
        <v>3</v>
      </c>
      <c r="BO65" s="38">
        <f>IFERROR(INDEX(LMH_PTS,MATCH(AA65,LMH_KEY,0)),0)</f>
        <v>3</v>
      </c>
      <c r="BP65" s="38">
        <f>IFERROR(INDEX(LMH_PTS,MATCH(AB65,LMH_KEY,0)),0)</f>
        <v>1</v>
      </c>
      <c r="BQ65" s="38">
        <f>IFERROR(INDEX(LMH_PTS,MATCH(AC65,LMH_KEY,0)),0)</f>
        <v>1</v>
      </c>
      <c r="BR65" s="38">
        <f>IFERROR(INDEX(LMH_PTS,MATCH(AD65,LMH_KEY,0)),0)</f>
        <v>1</v>
      </c>
      <c r="BS65" s="38">
        <f>IFERROR(INDEX(LMH_PTS,MATCH(AE65,LMH_KEY,0)),0)</f>
        <v>1</v>
      </c>
      <c r="BT65" s="38">
        <f>IFERROR(INDEX(LMH_STEP,MATCH(AF65,LMH_KEY,0)),0)</f>
        <v>0</v>
      </c>
      <c r="BU65" s="38">
        <f>IFERROR(INDEX(LMH_STEP,MATCH(AG65,LMH_KEY,0)),0)</f>
        <v>0</v>
      </c>
      <c r="BV65" s="38">
        <f>IFERROR(INDEX(LMH_STEP,MATCH(AH65,LMH_KEY,0)),0)</f>
        <v>0</v>
      </c>
      <c r="BW65" s="38">
        <f>IFERROR(INDEX(LMH_STEP,MATCH(AI65,LMH_KEY,0)),0)</f>
        <v>0</v>
      </c>
      <c r="BX65" s="38">
        <f>IFERROR(INDEX(LMH_STEP,MATCH(AJ65,LMH_KEY,0)),0)</f>
        <v>0</v>
      </c>
      <c r="BY65" s="38">
        <f>IFERROR(INDEX(LMH_STEP,MATCH(AK65,LMH_KEY,0)),0)</f>
        <v>0</v>
      </c>
      <c r="BZ65" s="38">
        <f>IFERROR(INDEX(LMH_STEP,MATCH(AL65,LMH_KEY,0)),0)</f>
        <v>0</v>
      </c>
      <c r="CA65" s="38" t="inlineStr">
        <is>
          <t>CARBON|Digitizing|Senior Digitization Associate|A2|A</t>
        </is>
      </c>
    </row>
    <row r="66" ht="110" customHeight="1">
      <c r="A66" s="28" t="inlineStr">
        <is>
          <t>CARBON</t>
        </is>
      </c>
      <c r="B66" s="29" t="inlineStr">
        <is>
          <t>Digitizing</t>
        </is>
      </c>
      <c r="C66" s="29" t="n">
        <v>8</v>
      </c>
      <c r="D66" s="29" t="inlineStr">
        <is>
          <t>IRISC173</t>
        </is>
      </c>
      <c r="E66" s="29" t="inlineStr">
        <is>
          <t>Snehal Kardekar</t>
        </is>
      </c>
      <c r="F66" s="29" t="inlineStr">
        <is>
          <t>Consultant</t>
        </is>
      </c>
      <c r="G66" s="29" t="inlineStr">
        <is>
          <t>Senior Digitization Associate</t>
        </is>
      </c>
      <c r="H66" s="29" t="inlineStr">
        <is>
          <t>Data Operations &amp; Digitization</t>
        </is>
      </c>
      <c r="I66" s="29" t="inlineStr">
        <is>
          <t>Document Conversion, Formatting &amp; Web Publishing</t>
        </is>
      </c>
      <c r="J66" s="29" t="inlineStr">
        <is>
          <t>IC</t>
        </is>
      </c>
      <c r="K66" s="29" t="inlineStr">
        <is>
          <t>RC-047</t>
        </is>
      </c>
      <c r="L66" s="29" t="inlineStr">
        <is>
          <t>Tejas Kat</t>
        </is>
      </c>
      <c r="M66" s="29" t="inlineStr">
        <is>
          <t>IRIS1210</t>
        </is>
      </c>
      <c r="N66" s="29" t="n">
        <v>13.2</v>
      </c>
      <c r="O66" s="29" t="n">
        <v>6.2</v>
      </c>
      <c r="P66" s="29" t="inlineStr">
        <is>
          <t>BA</t>
        </is>
      </c>
      <c r="Q66" s="29" t="inlineStr">
        <is>
          <t>L3 – Professional / Associate</t>
        </is>
      </c>
      <c r="R66" s="29" t="inlineStr">
        <is>
          <t>A3</t>
        </is>
      </c>
      <c r="S66" s="30" t="inlineStr">
        <is>
          <t>19 of 20</t>
        </is>
      </c>
      <c r="T66" s="31" t="inlineStr">
        <is>
          <t>• Role / sub-team: Digitizing Assisted Services.</t>
        </is>
      </c>
      <c r="U66" s="31" t="inlineStr">
        <is>
          <t>Received · manager annual · 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
        </is>
      </c>
      <c r="V66" s="31" t="inlineStr">
        <is>
          <t>Latest rating: 3 · Potential: Medium · 9-box: Core Contributor · Readiness: Develop in role</t>
        </is>
      </c>
      <c r="W66" s="31" t="inlineStr">
        <is>
          <t>C M · Au M · Ac M · L M · BI M · Exp H · 13.2 yrs vs 0–2 yrs · Edu M · BA</t>
        </is>
      </c>
      <c r="X66" s="33" t="inlineStr">
        <is>
          <t>Open ▸</t>
        </is>
      </c>
      <c r="Y66" s="34" t="str">
        <f>IFERROR(INDEX(DL_C,MATCH($CA66,DL_KEY,0)),"M")</f>
        <v>H</v>
      </c>
      <c r="Z66" s="35" t="str">
        <f>IFERROR(INDEX(DL_Au,MATCH($CA66,DL_KEY,0)),"M")</f>
        <v>M</v>
      </c>
      <c r="AA66" s="35" t="str">
        <f>IFERROR(INDEX(DL_Ac,MATCH($CA66,DL_KEY,0)),"M")</f>
        <v>M</v>
      </c>
      <c r="AB66" s="35" t="str">
        <f>IFERROR(INDEX(DL_L,MATCH($CA66,DL_KEY,0)),"M")</f>
        <v>L</v>
      </c>
      <c r="AC66" s="35" t="str">
        <f>IFERROR(INDEX(DL_BI,MATCH($CA66,DL_KEY,0)),"M")</f>
        <v>L</v>
      </c>
      <c r="AD66" s="35" t="str">
        <f>IFERROR(INDEX(DL_Exp,MATCH($CA66,DL_KEY,0)),"M")</f>
        <v>L</v>
      </c>
      <c r="AE66" s="35" t="str">
        <f>IFERROR(INDEX(DL_Edu,MATCH($CA66,DL_KEY,0)),"M")</f>
        <v>L</v>
      </c>
      <c r="AF66" s="34" t="inlineStr">
        <is>
          <t>M</t>
        </is>
      </c>
      <c r="AG66" s="35" t="inlineStr">
        <is>
          <t>M</t>
        </is>
      </c>
      <c r="AH66" s="35" t="inlineStr">
        <is>
          <t>M</t>
        </is>
      </c>
      <c r="AI66" s="35" t="inlineStr">
        <is>
          <t>M</t>
        </is>
      </c>
      <c r="AJ66" s="35" t="inlineStr">
        <is>
          <t>M</t>
        </is>
      </c>
      <c r="AK66" s="35" t="inlineStr">
        <is>
          <t>M</t>
        </is>
      </c>
      <c r="AL66" s="35" t="inlineStr">
        <is>
          <t>M</t>
        </is>
      </c>
      <c r="AM66" s="36" t="n">
        <v>0.583</v>
      </c>
      <c r="AN66" s="37" t="n">
        <v>0.16</v>
      </c>
      <c r="AO66" s="37" t="n">
        <v>0.09</v>
      </c>
      <c r="AP66" s="37" t="n">
        <v>0</v>
      </c>
      <c r="AQ66" s="37" t="n">
        <v>0.063</v>
      </c>
      <c r="AR66" s="37" t="n">
        <v>0.06</v>
      </c>
      <c r="AS66" s="37" t="n">
        <v>0.04</v>
      </c>
      <c r="AT66" s="38" t="inlineStr">
        <is>
          <t>0–3</t>
        </is>
      </c>
      <c r="AU66" s="38" t="inlineStr">
        <is>
          <t>Graduate · or diploma with experience</t>
        </is>
      </c>
      <c r="AV66" s="38" t="inlineStr">
        <is>
          <t>No direct reports</t>
        </is>
      </c>
      <c r="AW66" s="38" t="inlineStr">
        <is>
          <t>P1–P2 · SFIA 2 Assist</t>
        </is>
      </c>
      <c r="AX6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66" s="39" t="inlineStr">
        <is>
          <t>A2</t>
        </is>
      </c>
      <c r="AZ66" s="40" t="inlineStr">
        <is>
          <t>Band A · Practitioner · Associate</t>
        </is>
      </c>
      <c r="BA66" s="40" t="inlineStr">
        <is>
          <t>Model A3 from the six ratings, the market-derived weights and rules R1–R13 · then Level rule: manager A3; a reportee sits at least one level below · A3 → A2 · move down · pay and title protected for one cycle</t>
        </is>
      </c>
      <c r="BB66" s="41" t="inlineStr">
        <is>
          <t>A3</t>
        </is>
      </c>
      <c r="BC66" s="40" t="inlineStr">
        <is>
          <t>The six ratings on the market-average weights of Band A · all tracks score 2.88 → A3 · Hay, Mercer IPE and public plans · experience 13.2 yrs vs the A3 market range 2–5</t>
        </is>
      </c>
      <c r="BD66" s="42">
        <f>IF(SUM(BM66,BN66,BO66,BP66,BQ66,BR66,BS66)=0,0,(BM66*BT66+BN66*BU66+BO66*BV66+BP66*BW66+BQ66*BX66+BR66*BY66+BS66*BZ66)/SUM(BM66,BN66,BO66,BP66,BQ66,BR66,BS66))</f>
        <v>0</v>
      </c>
      <c r="BE66" s="41" t="str">
        <f>IF(LEFT(AY66,1)="X",AY66,IF(OR(AY66="B+",AY66="C+"),INDEX(LAD_PC,MAX(1,MIN(14,MATCH(AY66,LAD_PC,0)+IF(BD66&gt;=0.5,1,IF(BD66&lt;=-0.5,-1,0))))),INDEX(LAD_STD,MAX(1,MIN(12,MATCH(AY66,LAD_STD,0)+IF(BD66&gt;=0.5,1,IF(BD66&lt;=-0.5,-1,0)))))))</f>
        <v>A2</v>
      </c>
      <c r="BF66" s="43" t="n"/>
      <c r="BG66" s="41" t="str">
        <f>IF(BF66&lt;&gt;"",BF66,BE66)</f>
        <v>A2</v>
      </c>
      <c r="BH66" s="40" t="str">
        <f>IFERROR(CHOOSE(INDEX(B_RANK,MATCH(BG66,B_LVL,0)),"Band A","Band B","B+ · Player-Coach","Band C","C+ · Player-Coach","Band D","Band E"),"Band X · Consultant")</f>
        <v>Band A</v>
      </c>
      <c r="BI66" s="40" t="str">
        <f>IF(BG66=AY66,"• Same",IF(INDEX(B_VAL,MATCH(BG66,B_LVL,0))&gt;INDEX(B_VAL,MATCH(AY66,B_LVL,0)),"▲ Up","▼ Down"))</f>
        <v>• Same</v>
      </c>
      <c r="BJ66" s="40" t="str">
        <f>IF(OR($M66="",$M66="—",$M66="Not in this file"),"",IFERROR(INDEX($BG$7:$BG$592,MATCH($M66,$D$7:$D$592,0)),""))</f>
        <v>A3</v>
      </c>
      <c r="BK66" s="40" t="str">
        <f>IFERROR(IF(BJ66="","—",IF(OR(LEFT(BG66,1)="X",LEFT(BJ66,1)="X"),"—",IF(AND(LEFT(BG66,1)="E",LEFT(BJ66,1)="E"),"Exception · Band E",IF(AND(INDEX(B_VAL,MATCH(BJ66,B_LVL,0))&gt;=7,INDEX(B_RANK,MATCH(BG66,B_LVL,0))&gt;=INDEX(B_RANK,MATCH(BJ66,B_LVL,0))),"⚠ Same band as a head manager",IF(INDEX(B_VAL,MATCH(BG66,B_LVL,0))&gt;=INDEX(B_VAL,MATCH(BJ66,B_LVL,0)),"⚠ At or above the manager's level","OK"))))),"—")</f>
        <v>OK</v>
      </c>
      <c r="BL66" s="43" t="n"/>
      <c r="BM66" s="44">
        <f>IFERROR(INDEX(LMH_PTS,MATCH(Y66,LMH_KEY,0)),0)</f>
        <v>9</v>
      </c>
      <c r="BN66" s="38">
        <f>IFERROR(INDEX(LMH_PTS,MATCH(Z66,LMH_KEY,0)),0)</f>
        <v>3</v>
      </c>
      <c r="BO66" s="38">
        <f>IFERROR(INDEX(LMH_PTS,MATCH(AA66,LMH_KEY,0)),0)</f>
        <v>3</v>
      </c>
      <c r="BP66" s="38">
        <f>IFERROR(INDEX(LMH_PTS,MATCH(AB66,LMH_KEY,0)),0)</f>
        <v>1</v>
      </c>
      <c r="BQ66" s="38">
        <f>IFERROR(INDEX(LMH_PTS,MATCH(AC66,LMH_KEY,0)),0)</f>
        <v>1</v>
      </c>
      <c r="BR66" s="38">
        <f>IFERROR(INDEX(LMH_PTS,MATCH(AD66,LMH_KEY,0)),0)</f>
        <v>1</v>
      </c>
      <c r="BS66" s="38">
        <f>IFERROR(INDEX(LMH_PTS,MATCH(AE66,LMH_KEY,0)),0)</f>
        <v>1</v>
      </c>
      <c r="BT66" s="38">
        <f>IFERROR(INDEX(LMH_STEP,MATCH(AF66,LMH_KEY,0)),0)</f>
        <v>0</v>
      </c>
      <c r="BU66" s="38">
        <f>IFERROR(INDEX(LMH_STEP,MATCH(AG66,LMH_KEY,0)),0)</f>
        <v>0</v>
      </c>
      <c r="BV66" s="38">
        <f>IFERROR(INDEX(LMH_STEP,MATCH(AH66,LMH_KEY,0)),0)</f>
        <v>0</v>
      </c>
      <c r="BW66" s="38">
        <f>IFERROR(INDEX(LMH_STEP,MATCH(AI66,LMH_KEY,0)),0)</f>
        <v>0</v>
      </c>
      <c r="BX66" s="38">
        <f>IFERROR(INDEX(LMH_STEP,MATCH(AJ66,LMH_KEY,0)),0)</f>
        <v>0</v>
      </c>
      <c r="BY66" s="38">
        <f>IFERROR(INDEX(LMH_STEP,MATCH(AK66,LMH_KEY,0)),0)</f>
        <v>0</v>
      </c>
      <c r="BZ66" s="38">
        <f>IFERROR(INDEX(LMH_STEP,MATCH(AL66,LMH_KEY,0)),0)</f>
        <v>0</v>
      </c>
      <c r="CA66" s="38" t="inlineStr">
        <is>
          <t>CARBON|Digitizing|Senior Digitization Associate|A2|A</t>
        </is>
      </c>
    </row>
    <row r="67" ht="110" customHeight="1">
      <c r="A67" s="28" t="inlineStr">
        <is>
          <t>CARBON</t>
        </is>
      </c>
      <c r="B67" s="29" t="inlineStr">
        <is>
          <t>Digitizing</t>
        </is>
      </c>
      <c r="C67" s="29" t="n">
        <v>7</v>
      </c>
      <c r="D67" s="29" t="inlineStr">
        <is>
          <t>IRISC286</t>
        </is>
      </c>
      <c r="E67" s="29" t="inlineStr">
        <is>
          <t>Bhavesh Gusain</t>
        </is>
      </c>
      <c r="F67" s="29" t="inlineStr">
        <is>
          <t>Consultant</t>
        </is>
      </c>
      <c r="G67" s="29" t="inlineStr">
        <is>
          <t>Senior Digitization Associate</t>
        </is>
      </c>
      <c r="H67" s="29" t="inlineStr">
        <is>
          <t>Data Operations &amp; Digitization</t>
        </is>
      </c>
      <c r="I67" s="29" t="inlineStr">
        <is>
          <t>Document Conversion, Formatting &amp; Web Publishing</t>
        </is>
      </c>
      <c r="J67" s="29" t="inlineStr">
        <is>
          <t>IC</t>
        </is>
      </c>
      <c r="K67" s="29" t="inlineStr">
        <is>
          <t>RC-047</t>
        </is>
      </c>
      <c r="L67" s="29" t="inlineStr">
        <is>
          <t>Janardan Bale</t>
        </is>
      </c>
      <c r="M67" s="29" t="inlineStr">
        <is>
          <t>IRIS0470</t>
        </is>
      </c>
      <c r="N67" s="29" t="n">
        <v>2.6</v>
      </c>
      <c r="O67" s="29" t="n">
        <v>2.6</v>
      </c>
      <c r="P67" s="29" t="inlineStr">
        <is>
          <t>B.Com</t>
        </is>
      </c>
      <c r="Q67" s="29" t="inlineStr">
        <is>
          <t>L3 – Professional / Associate</t>
        </is>
      </c>
      <c r="R67" s="29" t="inlineStr">
        <is>
          <t>A3</t>
        </is>
      </c>
      <c r="S67" s="30" t="inlineStr">
        <is>
          <t>20 of 20</t>
        </is>
      </c>
      <c r="T67" s="31" t="inlineStr">
        <is>
          <t>• Role / sub-team: Digitizing Assited Services.</t>
        </is>
      </c>
      <c r="U67" s="31" t="inlineStr">
        <is>
          <t>Received · manager annual · 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
        </is>
      </c>
      <c r="V67" s="31" t="inlineStr">
        <is>
          <t>Latest rating: 3 · Potential: Medium · 9-box: Core Contributor · Readiness: Develop in role</t>
        </is>
      </c>
      <c r="W67" s="31" t="inlineStr">
        <is>
          <t>C L · Au L · Ac L · L L · BI M · Exp M · 2.6 yrs vs 2–4 yrs · Edu M · B.Com</t>
        </is>
      </c>
      <c r="X67" s="33" t="inlineStr">
        <is>
          <t>Open ▸</t>
        </is>
      </c>
      <c r="Y67" s="34" t="str">
        <f>IFERROR(INDEX(DL_C,MATCH($CA67,DL_KEY,0)),"M")</f>
        <v>H</v>
      </c>
      <c r="Z67" s="35" t="str">
        <f>IFERROR(INDEX(DL_Au,MATCH($CA67,DL_KEY,0)),"M")</f>
        <v>M</v>
      </c>
      <c r="AA67" s="35" t="str">
        <f>IFERROR(INDEX(DL_Ac,MATCH($CA67,DL_KEY,0)),"M")</f>
        <v>M</v>
      </c>
      <c r="AB67" s="35" t="str">
        <f>IFERROR(INDEX(DL_L,MATCH($CA67,DL_KEY,0)),"M")</f>
        <v>L</v>
      </c>
      <c r="AC67" s="35" t="str">
        <f>IFERROR(INDEX(DL_BI,MATCH($CA67,DL_KEY,0)),"M")</f>
        <v>L</v>
      </c>
      <c r="AD67" s="35" t="str">
        <f>IFERROR(INDEX(DL_Exp,MATCH($CA67,DL_KEY,0)),"M")</f>
        <v>L</v>
      </c>
      <c r="AE67" s="35" t="str">
        <f>IFERROR(INDEX(DL_Edu,MATCH($CA67,DL_KEY,0)),"M")</f>
        <v>L</v>
      </c>
      <c r="AF67" s="34" t="inlineStr">
        <is>
          <t>M</t>
        </is>
      </c>
      <c r="AG67" s="35" t="inlineStr">
        <is>
          <t>M</t>
        </is>
      </c>
      <c r="AH67" s="35" t="inlineStr">
        <is>
          <t>M</t>
        </is>
      </c>
      <c r="AI67" s="35" t="inlineStr">
        <is>
          <t>M</t>
        </is>
      </c>
      <c r="AJ67" s="35" t="inlineStr">
        <is>
          <t>M</t>
        </is>
      </c>
      <c r="AK67" s="35" t="inlineStr">
        <is>
          <t>M</t>
        </is>
      </c>
      <c r="AL67" s="35" t="inlineStr">
        <is>
          <t>M</t>
        </is>
      </c>
      <c r="AM67" s="36" t="n">
        <v>0.583</v>
      </c>
      <c r="AN67" s="37" t="n">
        <v>0.16</v>
      </c>
      <c r="AO67" s="37" t="n">
        <v>0.09</v>
      </c>
      <c r="AP67" s="37" t="n">
        <v>0</v>
      </c>
      <c r="AQ67" s="37" t="n">
        <v>0.063</v>
      </c>
      <c r="AR67" s="37" t="n">
        <v>0.06</v>
      </c>
      <c r="AS67" s="37" t="n">
        <v>0.04</v>
      </c>
      <c r="AT67" s="38" t="inlineStr">
        <is>
          <t>2–5</t>
        </is>
      </c>
      <c r="AU67" s="38" t="inlineStr">
        <is>
          <t>Graduate; relevant certification preferred</t>
        </is>
      </c>
      <c r="AV67" s="38" t="inlineStr">
        <is>
          <t>None · guides 1–3 juniors informally</t>
        </is>
      </c>
      <c r="AW67" s="38" t="inlineStr">
        <is>
          <t>P2 · SFIA 3 Apply</t>
        </is>
      </c>
      <c r="AX6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67" s="39" t="inlineStr">
        <is>
          <t>A3</t>
        </is>
      </c>
      <c r="AZ67" s="40" t="inlineStr">
        <is>
          <t>Band A · Practitioner · Senior Associate</t>
        </is>
      </c>
      <c r="BA67" s="40" t="inlineStr">
        <is>
          <t>Model A3 from the six ratings, the market-derived weights and rules R1–R13 · then No change · already below the manager</t>
        </is>
      </c>
      <c r="BB67" s="41" t="inlineStr">
        <is>
          <t>A2</t>
        </is>
      </c>
      <c r="BC67" s="40" t="inlineStr">
        <is>
          <t>The six ratings on the market-average weights of Band A · all tracks score 2.13 → A2 · Hay, Mercer IPE and public plans · experience 2.6 yrs vs the A2 market range 0–3</t>
        </is>
      </c>
      <c r="BD67" s="42">
        <f>IF(SUM(BM67,BN67,BO67,BP67,BQ67,BR67,BS67)=0,0,(BM67*BT67+BN67*BU67+BO67*BV67+BP67*BW67+BQ67*BX67+BR67*BY67+BS67*BZ67)/SUM(BM67,BN67,BO67,BP67,BQ67,BR67,BS67))</f>
        <v>0</v>
      </c>
      <c r="BE67" s="41" t="str">
        <f>IF(LEFT(AY67,1)="X",AY67,IF(OR(AY67="B+",AY67="C+"),INDEX(LAD_PC,MAX(1,MIN(14,MATCH(AY67,LAD_PC,0)+IF(BD67&gt;=0.5,1,IF(BD67&lt;=-0.5,-1,0))))),INDEX(LAD_STD,MAX(1,MIN(12,MATCH(AY67,LAD_STD,0)+IF(BD67&gt;=0.5,1,IF(BD67&lt;=-0.5,-1,0)))))))</f>
        <v>A3</v>
      </c>
      <c r="BF67" s="43" t="n"/>
      <c r="BG67" s="41" t="str">
        <f>IF(BF67&lt;&gt;"",BF67,BE67)</f>
        <v>A3</v>
      </c>
      <c r="BH67" s="40" t="str">
        <f>IFERROR(CHOOSE(INDEX(B_RANK,MATCH(BG67,B_LVL,0)),"Band A","Band B","B+ · Player-Coach","Band C","C+ · Player-Coach","Band D","Band E"),"Band X · Consultant")</f>
        <v>Band A</v>
      </c>
      <c r="BI67" s="40" t="str">
        <f>IF(BG67=AY67,"• Same",IF(INDEX(B_VAL,MATCH(BG67,B_LVL,0))&gt;INDEX(B_VAL,MATCH(AY67,B_LVL,0)),"▲ Up","▼ Down"))</f>
        <v>• Same</v>
      </c>
      <c r="BJ67" s="40" t="str">
        <f>IF(OR($M67="",$M67="—",$M67="Not in this file"),"",IFERROR(INDEX($BG$7:$BG$592,MATCH($M67,$D$7:$D$592,0)),""))</f>
        <v>B1</v>
      </c>
      <c r="BK67" s="40" t="str">
        <f>IFERROR(IF(BJ67="","—",IF(OR(LEFT(BG67,1)="X",LEFT(BJ67,1)="X"),"—",IF(AND(LEFT(BG67,1)="E",LEFT(BJ67,1)="E"),"Exception · Band E",IF(AND(INDEX(B_VAL,MATCH(BJ67,B_LVL,0))&gt;=7,INDEX(B_RANK,MATCH(BG67,B_LVL,0))&gt;=INDEX(B_RANK,MATCH(BJ67,B_LVL,0))),"⚠ Same band as a head manager",IF(INDEX(B_VAL,MATCH(BG67,B_LVL,0))&gt;=INDEX(B_VAL,MATCH(BJ67,B_LVL,0)),"⚠ At or above the manager's level","OK"))))),"—")</f>
        <v>OK</v>
      </c>
      <c r="BL67" s="43" t="n"/>
      <c r="BM67" s="44">
        <f>IFERROR(INDEX(LMH_PTS,MATCH(Y67,LMH_KEY,0)),0)</f>
        <v>9</v>
      </c>
      <c r="BN67" s="38">
        <f>IFERROR(INDEX(LMH_PTS,MATCH(Z67,LMH_KEY,0)),0)</f>
        <v>3</v>
      </c>
      <c r="BO67" s="38">
        <f>IFERROR(INDEX(LMH_PTS,MATCH(AA67,LMH_KEY,0)),0)</f>
        <v>3</v>
      </c>
      <c r="BP67" s="38">
        <f>IFERROR(INDEX(LMH_PTS,MATCH(AB67,LMH_KEY,0)),0)</f>
        <v>1</v>
      </c>
      <c r="BQ67" s="38">
        <f>IFERROR(INDEX(LMH_PTS,MATCH(AC67,LMH_KEY,0)),0)</f>
        <v>1</v>
      </c>
      <c r="BR67" s="38">
        <f>IFERROR(INDEX(LMH_PTS,MATCH(AD67,LMH_KEY,0)),0)</f>
        <v>1</v>
      </c>
      <c r="BS67" s="38">
        <f>IFERROR(INDEX(LMH_PTS,MATCH(AE67,LMH_KEY,0)),0)</f>
        <v>1</v>
      </c>
      <c r="BT67" s="38">
        <f>IFERROR(INDEX(LMH_STEP,MATCH(AF67,LMH_KEY,0)),0)</f>
        <v>0</v>
      </c>
      <c r="BU67" s="38">
        <f>IFERROR(INDEX(LMH_STEP,MATCH(AG67,LMH_KEY,0)),0)</f>
        <v>0</v>
      </c>
      <c r="BV67" s="38">
        <f>IFERROR(INDEX(LMH_STEP,MATCH(AH67,LMH_KEY,0)),0)</f>
        <v>0</v>
      </c>
      <c r="BW67" s="38">
        <f>IFERROR(INDEX(LMH_STEP,MATCH(AI67,LMH_KEY,0)),0)</f>
        <v>0</v>
      </c>
      <c r="BX67" s="38">
        <f>IFERROR(INDEX(LMH_STEP,MATCH(AJ67,LMH_KEY,0)),0)</f>
        <v>0</v>
      </c>
      <c r="BY67" s="38">
        <f>IFERROR(INDEX(LMH_STEP,MATCH(AK67,LMH_KEY,0)),0)</f>
        <v>0</v>
      </c>
      <c r="BZ67" s="38">
        <f>IFERROR(INDEX(LMH_STEP,MATCH(AL67,LMH_KEY,0)),0)</f>
        <v>0</v>
      </c>
      <c r="CA67" s="38" t="inlineStr">
        <is>
          <t>CARBON|Digitizing|Senior Digitization Associate|A3|A</t>
        </is>
      </c>
    </row>
    <row r="68" ht="110" customHeight="1">
      <c r="A68" s="28" t="inlineStr">
        <is>
          <t>CARBON</t>
        </is>
      </c>
      <c r="B68" s="29" t="inlineStr">
        <is>
          <t>Digitizing</t>
        </is>
      </c>
      <c r="C68" s="29" t="n">
        <v>7</v>
      </c>
      <c r="D68" s="29" t="inlineStr">
        <is>
          <t>IRISC237</t>
        </is>
      </c>
      <c r="E68" s="29" t="inlineStr">
        <is>
          <t>Deepak Nirmal</t>
        </is>
      </c>
      <c r="F68" s="29" t="inlineStr">
        <is>
          <t>Consultant</t>
        </is>
      </c>
      <c r="G68" s="29" t="inlineStr">
        <is>
          <t>Senior Digitization Associate</t>
        </is>
      </c>
      <c r="H68" s="29" t="inlineStr">
        <is>
          <t>Data Operations &amp; Digitization</t>
        </is>
      </c>
      <c r="I68" s="29" t="inlineStr">
        <is>
          <t>Document Conversion, Formatting &amp; Web Publishing</t>
        </is>
      </c>
      <c r="J68" s="29" t="inlineStr">
        <is>
          <t>IC</t>
        </is>
      </c>
      <c r="K68" s="29" t="inlineStr">
        <is>
          <t>RC-047</t>
        </is>
      </c>
      <c r="L68" s="29" t="inlineStr">
        <is>
          <t>Janardan Bale</t>
        </is>
      </c>
      <c r="M68" s="29" t="inlineStr">
        <is>
          <t>IRIS0470</t>
        </is>
      </c>
      <c r="N68" s="29" t="n">
        <v>11</v>
      </c>
      <c r="O68" s="29" t="n">
        <v>4</v>
      </c>
      <c r="P68" s="29" t="inlineStr">
        <is>
          <t>Undergraduate</t>
        </is>
      </c>
      <c r="Q68" s="29" t="inlineStr">
        <is>
          <t>L3 – Professional / Associate</t>
        </is>
      </c>
      <c r="R68" s="29" t="inlineStr">
        <is>
          <t>A3</t>
        </is>
      </c>
      <c r="S68" s="30" t="inlineStr">
        <is>
          <t>20 of 20</t>
        </is>
      </c>
      <c r="T68" s="31" t="inlineStr">
        <is>
          <t>• Role / sub-team: Digitizing Assited Services.</t>
        </is>
      </c>
      <c r="U68" s="31" t="inlineStr">
        <is>
          <t>Received · manager annual · 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
        </is>
      </c>
      <c r="V68" s="31" t="inlineStr">
        <is>
          <t>Latest rating: 3 · Potential: Medium · 9-box: Core Contributor · Readiness: Develop in role</t>
        </is>
      </c>
      <c r="W68" s="31" t="inlineStr">
        <is>
          <t>C L · Au L · Ac L · L L · BI M · Exp H · 11 yrs vs 2–4 yrs · Edu L · Undergraduate</t>
        </is>
      </c>
      <c r="X68" s="33" t="inlineStr">
        <is>
          <t>Open ▸</t>
        </is>
      </c>
      <c r="Y68" s="34" t="str">
        <f>IFERROR(INDEX(DL_C,MATCH($CA68,DL_KEY,0)),"M")</f>
        <v>H</v>
      </c>
      <c r="Z68" s="35" t="str">
        <f>IFERROR(INDEX(DL_Au,MATCH($CA68,DL_KEY,0)),"M")</f>
        <v>M</v>
      </c>
      <c r="AA68" s="35" t="str">
        <f>IFERROR(INDEX(DL_Ac,MATCH($CA68,DL_KEY,0)),"M")</f>
        <v>M</v>
      </c>
      <c r="AB68" s="35" t="str">
        <f>IFERROR(INDEX(DL_L,MATCH($CA68,DL_KEY,0)),"M")</f>
        <v>L</v>
      </c>
      <c r="AC68" s="35" t="str">
        <f>IFERROR(INDEX(DL_BI,MATCH($CA68,DL_KEY,0)),"M")</f>
        <v>L</v>
      </c>
      <c r="AD68" s="35" t="str">
        <f>IFERROR(INDEX(DL_Exp,MATCH($CA68,DL_KEY,0)),"M")</f>
        <v>L</v>
      </c>
      <c r="AE68" s="35" t="str">
        <f>IFERROR(INDEX(DL_Edu,MATCH($CA68,DL_KEY,0)),"M")</f>
        <v>L</v>
      </c>
      <c r="AF68" s="34" t="inlineStr">
        <is>
          <t>M</t>
        </is>
      </c>
      <c r="AG68" s="35" t="inlineStr">
        <is>
          <t>M</t>
        </is>
      </c>
      <c r="AH68" s="35" t="inlineStr">
        <is>
          <t>M</t>
        </is>
      </c>
      <c r="AI68" s="35" t="inlineStr">
        <is>
          <t>M</t>
        </is>
      </c>
      <c r="AJ68" s="35" t="inlineStr">
        <is>
          <t>M</t>
        </is>
      </c>
      <c r="AK68" s="35" t="inlineStr">
        <is>
          <t>M</t>
        </is>
      </c>
      <c r="AL68" s="35" t="inlineStr">
        <is>
          <t>M</t>
        </is>
      </c>
      <c r="AM68" s="36" t="n">
        <v>0.583</v>
      </c>
      <c r="AN68" s="37" t="n">
        <v>0.16</v>
      </c>
      <c r="AO68" s="37" t="n">
        <v>0.09</v>
      </c>
      <c r="AP68" s="37" t="n">
        <v>0</v>
      </c>
      <c r="AQ68" s="37" t="n">
        <v>0.063</v>
      </c>
      <c r="AR68" s="37" t="n">
        <v>0.06</v>
      </c>
      <c r="AS68" s="37" t="n">
        <v>0.04</v>
      </c>
      <c r="AT68" s="38" t="inlineStr">
        <is>
          <t>2–5</t>
        </is>
      </c>
      <c r="AU68" s="38" t="inlineStr">
        <is>
          <t>Graduate; relevant certification preferred</t>
        </is>
      </c>
      <c r="AV68" s="38" t="inlineStr">
        <is>
          <t>None · guides 1–3 juniors informally</t>
        </is>
      </c>
      <c r="AW68" s="38" t="inlineStr">
        <is>
          <t>P2 · SFIA 3 Apply</t>
        </is>
      </c>
      <c r="AX6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68" s="39" t="inlineStr">
        <is>
          <t>A3</t>
        </is>
      </c>
      <c r="AZ68" s="40" t="inlineStr">
        <is>
          <t>Band A · Practitioner · Senior Associate</t>
        </is>
      </c>
      <c r="BA68" s="40" t="inlineStr">
        <is>
          <t>Model A3 from the six ratings, the market-derived weights and rules R1–R13 · then No change · already below the manager</t>
        </is>
      </c>
      <c r="BB68" s="41" t="inlineStr">
        <is>
          <t>A2</t>
        </is>
      </c>
      <c r="BC68" s="40" t="inlineStr">
        <is>
          <t>The six ratings on the market-average weights of Band A · all tracks score 2.43 → A2 · Hay, Mercer IPE and public plans · experience 11 yrs vs the A2 market range 0–3</t>
        </is>
      </c>
      <c r="BD68" s="42">
        <f>IF(SUM(BM68,BN68,BO68,BP68,BQ68,BR68,BS68)=0,0,(BM68*BT68+BN68*BU68+BO68*BV68+BP68*BW68+BQ68*BX68+BR68*BY68+BS68*BZ68)/SUM(BM68,BN68,BO68,BP68,BQ68,BR68,BS68))</f>
        <v>0</v>
      </c>
      <c r="BE68" s="41" t="str">
        <f>IF(LEFT(AY68,1)="X",AY68,IF(OR(AY68="B+",AY68="C+"),INDEX(LAD_PC,MAX(1,MIN(14,MATCH(AY68,LAD_PC,0)+IF(BD68&gt;=0.5,1,IF(BD68&lt;=-0.5,-1,0))))),INDEX(LAD_STD,MAX(1,MIN(12,MATCH(AY68,LAD_STD,0)+IF(BD68&gt;=0.5,1,IF(BD68&lt;=-0.5,-1,0)))))))</f>
        <v>A3</v>
      </c>
      <c r="BF68" s="43" t="n"/>
      <c r="BG68" s="41" t="str">
        <f>IF(BF68&lt;&gt;"",BF68,BE68)</f>
        <v>A3</v>
      </c>
      <c r="BH68" s="40" t="str">
        <f>IFERROR(CHOOSE(INDEX(B_RANK,MATCH(BG68,B_LVL,0)),"Band A","Band B","B+ · Player-Coach","Band C","C+ · Player-Coach","Band D","Band E"),"Band X · Consultant")</f>
        <v>Band A</v>
      </c>
      <c r="BI68" s="40" t="str">
        <f>IF(BG68=AY68,"• Same",IF(INDEX(B_VAL,MATCH(BG68,B_LVL,0))&gt;INDEX(B_VAL,MATCH(AY68,B_LVL,0)),"▲ Up","▼ Down"))</f>
        <v>• Same</v>
      </c>
      <c r="BJ68" s="40" t="str">
        <f>IF(OR($M68="",$M68="—",$M68="Not in this file"),"",IFERROR(INDEX($BG$7:$BG$592,MATCH($M68,$D$7:$D$592,0)),""))</f>
        <v>B1</v>
      </c>
      <c r="BK68" s="40" t="str">
        <f>IFERROR(IF(BJ68="","—",IF(OR(LEFT(BG68,1)="X",LEFT(BJ68,1)="X"),"—",IF(AND(LEFT(BG68,1)="E",LEFT(BJ68,1)="E"),"Exception · Band E",IF(AND(INDEX(B_VAL,MATCH(BJ68,B_LVL,0))&gt;=7,INDEX(B_RANK,MATCH(BG68,B_LVL,0))&gt;=INDEX(B_RANK,MATCH(BJ68,B_LVL,0))),"⚠ Same band as a head manager",IF(INDEX(B_VAL,MATCH(BG68,B_LVL,0))&gt;=INDEX(B_VAL,MATCH(BJ68,B_LVL,0)),"⚠ At or above the manager's level","OK"))))),"—")</f>
        <v>OK</v>
      </c>
      <c r="BL68" s="43" t="n"/>
      <c r="BM68" s="44">
        <f>IFERROR(INDEX(LMH_PTS,MATCH(Y68,LMH_KEY,0)),0)</f>
        <v>9</v>
      </c>
      <c r="BN68" s="38">
        <f>IFERROR(INDEX(LMH_PTS,MATCH(Z68,LMH_KEY,0)),0)</f>
        <v>3</v>
      </c>
      <c r="BO68" s="38">
        <f>IFERROR(INDEX(LMH_PTS,MATCH(AA68,LMH_KEY,0)),0)</f>
        <v>3</v>
      </c>
      <c r="BP68" s="38">
        <f>IFERROR(INDEX(LMH_PTS,MATCH(AB68,LMH_KEY,0)),0)</f>
        <v>1</v>
      </c>
      <c r="BQ68" s="38">
        <f>IFERROR(INDEX(LMH_PTS,MATCH(AC68,LMH_KEY,0)),0)</f>
        <v>1</v>
      </c>
      <c r="BR68" s="38">
        <f>IFERROR(INDEX(LMH_PTS,MATCH(AD68,LMH_KEY,0)),0)</f>
        <v>1</v>
      </c>
      <c r="BS68" s="38">
        <f>IFERROR(INDEX(LMH_PTS,MATCH(AE68,LMH_KEY,0)),0)</f>
        <v>1</v>
      </c>
      <c r="BT68" s="38">
        <f>IFERROR(INDEX(LMH_STEP,MATCH(AF68,LMH_KEY,0)),0)</f>
        <v>0</v>
      </c>
      <c r="BU68" s="38">
        <f>IFERROR(INDEX(LMH_STEP,MATCH(AG68,LMH_KEY,0)),0)</f>
        <v>0</v>
      </c>
      <c r="BV68" s="38">
        <f>IFERROR(INDEX(LMH_STEP,MATCH(AH68,LMH_KEY,0)),0)</f>
        <v>0</v>
      </c>
      <c r="BW68" s="38">
        <f>IFERROR(INDEX(LMH_STEP,MATCH(AI68,LMH_KEY,0)),0)</f>
        <v>0</v>
      </c>
      <c r="BX68" s="38">
        <f>IFERROR(INDEX(LMH_STEP,MATCH(AJ68,LMH_KEY,0)),0)</f>
        <v>0</v>
      </c>
      <c r="BY68" s="38">
        <f>IFERROR(INDEX(LMH_STEP,MATCH(AK68,LMH_KEY,0)),0)</f>
        <v>0</v>
      </c>
      <c r="BZ68" s="38">
        <f>IFERROR(INDEX(LMH_STEP,MATCH(AL68,LMH_KEY,0)),0)</f>
        <v>0</v>
      </c>
      <c r="CA68" s="38" t="inlineStr">
        <is>
          <t>CARBON|Digitizing|Senior Digitization Associate|A3|A</t>
        </is>
      </c>
    </row>
    <row r="69" ht="110" customHeight="1">
      <c r="A69" s="28" t="inlineStr">
        <is>
          <t>CARBON</t>
        </is>
      </c>
      <c r="B69" s="29" t="inlineStr">
        <is>
          <t>Digitizing</t>
        </is>
      </c>
      <c r="C69" s="29" t="n">
        <v>7</v>
      </c>
      <c r="D69" s="29" t="inlineStr">
        <is>
          <t>IRISC325</t>
        </is>
      </c>
      <c r="E69" s="29" t="inlineStr">
        <is>
          <t>Gaurav Yashwant Chaulkar</t>
        </is>
      </c>
      <c r="F69" s="29" t="inlineStr">
        <is>
          <t>Consultant</t>
        </is>
      </c>
      <c r="G69" s="29" t="inlineStr">
        <is>
          <t>Senior Digitization Associate</t>
        </is>
      </c>
      <c r="H69" s="29" t="inlineStr">
        <is>
          <t>Data Operations &amp; Digitization</t>
        </is>
      </c>
      <c r="I69" s="29" t="inlineStr">
        <is>
          <t>Document Conversion, Formatting &amp; Web Publishing</t>
        </is>
      </c>
      <c r="J69" s="29" t="inlineStr">
        <is>
          <t>IC</t>
        </is>
      </c>
      <c r="K69" s="29" t="inlineStr">
        <is>
          <t>RC-047</t>
        </is>
      </c>
      <c r="L69" s="29" t="inlineStr">
        <is>
          <t>Janardan Bale</t>
        </is>
      </c>
      <c r="M69" s="29" t="inlineStr">
        <is>
          <t>IRIS0470</t>
        </is>
      </c>
      <c r="N69" s="29" t="n">
        <v>3</v>
      </c>
      <c r="O69" s="29" t="n">
        <v>0.8</v>
      </c>
      <c r="P69" s="29" t="inlineStr">
        <is>
          <t>Diploma Electronic Mechanic</t>
        </is>
      </c>
      <c r="Q69" s="29" t="inlineStr">
        <is>
          <t>L3 – Professional / Associate</t>
        </is>
      </c>
      <c r="R69" s="29" t="inlineStr">
        <is>
          <t>A3</t>
        </is>
      </c>
      <c r="S69" s="30" t="inlineStr">
        <is>
          <t>19 of 20</t>
        </is>
      </c>
      <c r="T69" s="31" t="inlineStr">
        <is>
          <t>• Role / sub-team: Digitizing Assisted service.</t>
        </is>
      </c>
      <c r="U69" s="31" t="inlineStr">
        <is>
          <t>Received · manager annual · 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
        </is>
      </c>
      <c r="V69" s="31" t="inlineStr">
        <is>
          <t>Latest rating: 3 · Potential: Medium · 9-box: Core Contributor · Readiness: Develop in role</t>
        </is>
      </c>
      <c r="W69" s="31" t="inlineStr">
        <is>
          <t>C L · Au L · Ac L · L L · BI M · Exp M · 3 yrs vs 2–4 yrs · Edu L · Diploma Electronic Mechanic</t>
        </is>
      </c>
      <c r="X69" s="33" t="inlineStr">
        <is>
          <t>Open ▸</t>
        </is>
      </c>
      <c r="Y69" s="34" t="str">
        <f>IFERROR(INDEX(DL_C,MATCH($CA69,DL_KEY,0)),"M")</f>
        <v>H</v>
      </c>
      <c r="Z69" s="35" t="str">
        <f>IFERROR(INDEX(DL_Au,MATCH($CA69,DL_KEY,0)),"M")</f>
        <v>M</v>
      </c>
      <c r="AA69" s="35" t="str">
        <f>IFERROR(INDEX(DL_Ac,MATCH($CA69,DL_KEY,0)),"M")</f>
        <v>M</v>
      </c>
      <c r="AB69" s="35" t="str">
        <f>IFERROR(INDEX(DL_L,MATCH($CA69,DL_KEY,0)),"M")</f>
        <v>L</v>
      </c>
      <c r="AC69" s="35" t="str">
        <f>IFERROR(INDEX(DL_BI,MATCH($CA69,DL_KEY,0)),"M")</f>
        <v>L</v>
      </c>
      <c r="AD69" s="35" t="str">
        <f>IFERROR(INDEX(DL_Exp,MATCH($CA69,DL_KEY,0)),"M")</f>
        <v>L</v>
      </c>
      <c r="AE69" s="35" t="str">
        <f>IFERROR(INDEX(DL_Edu,MATCH($CA69,DL_KEY,0)),"M")</f>
        <v>L</v>
      </c>
      <c r="AF69" s="34" t="inlineStr">
        <is>
          <t>M</t>
        </is>
      </c>
      <c r="AG69" s="35" t="inlineStr">
        <is>
          <t>M</t>
        </is>
      </c>
      <c r="AH69" s="35" t="inlineStr">
        <is>
          <t>M</t>
        </is>
      </c>
      <c r="AI69" s="35" t="inlineStr">
        <is>
          <t>M</t>
        </is>
      </c>
      <c r="AJ69" s="35" t="inlineStr">
        <is>
          <t>M</t>
        </is>
      </c>
      <c r="AK69" s="35" t="inlineStr">
        <is>
          <t>M</t>
        </is>
      </c>
      <c r="AL69" s="35" t="inlineStr">
        <is>
          <t>M</t>
        </is>
      </c>
      <c r="AM69" s="36" t="n">
        <v>0.583</v>
      </c>
      <c r="AN69" s="37" t="n">
        <v>0.16</v>
      </c>
      <c r="AO69" s="37" t="n">
        <v>0.09</v>
      </c>
      <c r="AP69" s="37" t="n">
        <v>0</v>
      </c>
      <c r="AQ69" s="37" t="n">
        <v>0.063</v>
      </c>
      <c r="AR69" s="37" t="n">
        <v>0.06</v>
      </c>
      <c r="AS69" s="37" t="n">
        <v>0.04</v>
      </c>
      <c r="AT69" s="38" t="inlineStr">
        <is>
          <t>2–5</t>
        </is>
      </c>
      <c r="AU69" s="38" t="inlineStr">
        <is>
          <t>Graduate; relevant certification preferred</t>
        </is>
      </c>
      <c r="AV69" s="38" t="inlineStr">
        <is>
          <t>None · guides 1–3 juniors informally</t>
        </is>
      </c>
      <c r="AW69" s="38" t="inlineStr">
        <is>
          <t>P2 · SFIA 3 Apply</t>
        </is>
      </c>
      <c r="AX6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69" s="39" t="inlineStr">
        <is>
          <t>A3</t>
        </is>
      </c>
      <c r="AZ69" s="40" t="inlineStr">
        <is>
          <t>Band A · Practitioner · Senior Associate</t>
        </is>
      </c>
      <c r="BA69" s="40" t="inlineStr">
        <is>
          <t>Model A3 from the six ratings, the market-derived weights and rules R1–R13 · then No change · already below the manager</t>
        </is>
      </c>
      <c r="BB69" s="41" t="inlineStr">
        <is>
          <t>A2</t>
        </is>
      </c>
      <c r="BC69" s="40" t="inlineStr">
        <is>
          <t>The six ratings on the market-average weights of Band A · all tracks score 2.08 → A2 · Hay, Mercer IPE and public plans · experience 3 yrs vs the A2 market range 0–3</t>
        </is>
      </c>
      <c r="BD69" s="42">
        <f>IF(SUM(BM69,BN69,BO69,BP69,BQ69,BR69,BS69)=0,0,(BM69*BT69+BN69*BU69+BO69*BV69+BP69*BW69+BQ69*BX69+BR69*BY69+BS69*BZ69)/SUM(BM69,BN69,BO69,BP69,BQ69,BR69,BS69))</f>
        <v>0</v>
      </c>
      <c r="BE69" s="41" t="str">
        <f>IF(LEFT(AY69,1)="X",AY69,IF(OR(AY69="B+",AY69="C+"),INDEX(LAD_PC,MAX(1,MIN(14,MATCH(AY69,LAD_PC,0)+IF(BD69&gt;=0.5,1,IF(BD69&lt;=-0.5,-1,0))))),INDEX(LAD_STD,MAX(1,MIN(12,MATCH(AY69,LAD_STD,0)+IF(BD69&gt;=0.5,1,IF(BD69&lt;=-0.5,-1,0)))))))</f>
        <v>A3</v>
      </c>
      <c r="BF69" s="43" t="n"/>
      <c r="BG69" s="41" t="str">
        <f>IF(BF69&lt;&gt;"",BF69,BE69)</f>
        <v>A3</v>
      </c>
      <c r="BH69" s="40" t="str">
        <f>IFERROR(CHOOSE(INDEX(B_RANK,MATCH(BG69,B_LVL,0)),"Band A","Band B","B+ · Player-Coach","Band C","C+ · Player-Coach","Band D","Band E"),"Band X · Consultant")</f>
        <v>Band A</v>
      </c>
      <c r="BI69" s="40" t="str">
        <f>IF(BG69=AY69,"• Same",IF(INDEX(B_VAL,MATCH(BG69,B_LVL,0))&gt;INDEX(B_VAL,MATCH(AY69,B_LVL,0)),"▲ Up","▼ Down"))</f>
        <v>• Same</v>
      </c>
      <c r="BJ69" s="40" t="str">
        <f>IF(OR($M69="",$M69="—",$M69="Not in this file"),"",IFERROR(INDEX($BG$7:$BG$592,MATCH($M69,$D$7:$D$592,0)),""))</f>
        <v>B1</v>
      </c>
      <c r="BK69" s="40" t="str">
        <f>IFERROR(IF(BJ69="","—",IF(OR(LEFT(BG69,1)="X",LEFT(BJ69,1)="X"),"—",IF(AND(LEFT(BG69,1)="E",LEFT(BJ69,1)="E"),"Exception · Band E",IF(AND(INDEX(B_VAL,MATCH(BJ69,B_LVL,0))&gt;=7,INDEX(B_RANK,MATCH(BG69,B_LVL,0))&gt;=INDEX(B_RANK,MATCH(BJ69,B_LVL,0))),"⚠ Same band as a head manager",IF(INDEX(B_VAL,MATCH(BG69,B_LVL,0))&gt;=INDEX(B_VAL,MATCH(BJ69,B_LVL,0)),"⚠ At or above the manager's level","OK"))))),"—")</f>
        <v>OK</v>
      </c>
      <c r="BL69" s="43" t="n"/>
      <c r="BM69" s="44">
        <f>IFERROR(INDEX(LMH_PTS,MATCH(Y69,LMH_KEY,0)),0)</f>
        <v>9</v>
      </c>
      <c r="BN69" s="38">
        <f>IFERROR(INDEX(LMH_PTS,MATCH(Z69,LMH_KEY,0)),0)</f>
        <v>3</v>
      </c>
      <c r="BO69" s="38">
        <f>IFERROR(INDEX(LMH_PTS,MATCH(AA69,LMH_KEY,0)),0)</f>
        <v>3</v>
      </c>
      <c r="BP69" s="38">
        <f>IFERROR(INDEX(LMH_PTS,MATCH(AB69,LMH_KEY,0)),0)</f>
        <v>1</v>
      </c>
      <c r="BQ69" s="38">
        <f>IFERROR(INDEX(LMH_PTS,MATCH(AC69,LMH_KEY,0)),0)</f>
        <v>1</v>
      </c>
      <c r="BR69" s="38">
        <f>IFERROR(INDEX(LMH_PTS,MATCH(AD69,LMH_KEY,0)),0)</f>
        <v>1</v>
      </c>
      <c r="BS69" s="38">
        <f>IFERROR(INDEX(LMH_PTS,MATCH(AE69,LMH_KEY,0)),0)</f>
        <v>1</v>
      </c>
      <c r="BT69" s="38">
        <f>IFERROR(INDEX(LMH_STEP,MATCH(AF69,LMH_KEY,0)),0)</f>
        <v>0</v>
      </c>
      <c r="BU69" s="38">
        <f>IFERROR(INDEX(LMH_STEP,MATCH(AG69,LMH_KEY,0)),0)</f>
        <v>0</v>
      </c>
      <c r="BV69" s="38">
        <f>IFERROR(INDEX(LMH_STEP,MATCH(AH69,LMH_KEY,0)),0)</f>
        <v>0</v>
      </c>
      <c r="BW69" s="38">
        <f>IFERROR(INDEX(LMH_STEP,MATCH(AI69,LMH_KEY,0)),0)</f>
        <v>0</v>
      </c>
      <c r="BX69" s="38">
        <f>IFERROR(INDEX(LMH_STEP,MATCH(AJ69,LMH_KEY,0)),0)</f>
        <v>0</v>
      </c>
      <c r="BY69" s="38">
        <f>IFERROR(INDEX(LMH_STEP,MATCH(AK69,LMH_KEY,0)),0)</f>
        <v>0</v>
      </c>
      <c r="BZ69" s="38">
        <f>IFERROR(INDEX(LMH_STEP,MATCH(AL69,LMH_KEY,0)),0)</f>
        <v>0</v>
      </c>
      <c r="CA69" s="38" t="inlineStr">
        <is>
          <t>CARBON|Digitizing|Senior Digitization Associate|A3|A</t>
        </is>
      </c>
    </row>
    <row r="70" ht="110" customHeight="1">
      <c r="A70" s="28" t="inlineStr">
        <is>
          <t>CARBON</t>
        </is>
      </c>
      <c r="B70" s="29" t="inlineStr">
        <is>
          <t>Digitizing</t>
        </is>
      </c>
      <c r="C70" s="29" t="n">
        <v>7</v>
      </c>
      <c r="D70" s="29" t="inlineStr">
        <is>
          <t>IRISC316</t>
        </is>
      </c>
      <c r="E70" s="29" t="inlineStr">
        <is>
          <t>Samiksha Ramdas Bhabal</t>
        </is>
      </c>
      <c r="F70" s="29" t="inlineStr">
        <is>
          <t>Consultant</t>
        </is>
      </c>
      <c r="G70" s="29" t="inlineStr">
        <is>
          <t>Senior Digitization Associate</t>
        </is>
      </c>
      <c r="H70" s="29" t="inlineStr">
        <is>
          <t>Data Operations &amp; Digitization</t>
        </is>
      </c>
      <c r="I70" s="29" t="inlineStr">
        <is>
          <t>Document Conversion, Formatting &amp; Web Publishing</t>
        </is>
      </c>
      <c r="J70" s="29" t="inlineStr">
        <is>
          <t>IC</t>
        </is>
      </c>
      <c r="K70" s="29" t="inlineStr">
        <is>
          <t>RC-047</t>
        </is>
      </c>
      <c r="L70" s="29" t="inlineStr">
        <is>
          <t>Janardan Bale</t>
        </is>
      </c>
      <c r="M70" s="29" t="inlineStr">
        <is>
          <t>IRIS0470</t>
        </is>
      </c>
      <c r="N70" s="29" t="n">
        <v>3.1</v>
      </c>
      <c r="O70" s="29" t="n">
        <v>1.1</v>
      </c>
      <c r="P70" s="29" t="inlineStr">
        <is>
          <t>B.Com</t>
        </is>
      </c>
      <c r="Q70" s="29" t="inlineStr">
        <is>
          <t>L3 – Professional / Associate</t>
        </is>
      </c>
      <c r="R70" s="29" t="inlineStr">
        <is>
          <t>A3</t>
        </is>
      </c>
      <c r="S70" s="30" t="inlineStr">
        <is>
          <t>19 of 20</t>
        </is>
      </c>
      <c r="T70" s="31" t="inlineStr">
        <is>
          <t>• Role / sub-team: OCR Team; Digitizing Assisted Service.</t>
        </is>
      </c>
      <c r="U70" s="31" t="inlineStr">
        <is>
          <t>Received · manager annual · 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
        </is>
      </c>
      <c r="V70" s="31" t="inlineStr">
        <is>
          <t>Latest rating: 3 · Potential: Medium · 9-box: Core Contributor · Readiness: Develop in role</t>
        </is>
      </c>
      <c r="W70" s="31" t="inlineStr">
        <is>
          <t>C L · Au L · Ac L · L L · BI M · Exp M · 3.1 yrs vs 2–4 yrs · Edu M · B.Com</t>
        </is>
      </c>
      <c r="X70" s="33" t="inlineStr">
        <is>
          <t>Open ▸</t>
        </is>
      </c>
      <c r="Y70" s="34" t="str">
        <f>IFERROR(INDEX(DL_C,MATCH($CA70,DL_KEY,0)),"M")</f>
        <v>H</v>
      </c>
      <c r="Z70" s="35" t="str">
        <f>IFERROR(INDEX(DL_Au,MATCH($CA70,DL_KEY,0)),"M")</f>
        <v>M</v>
      </c>
      <c r="AA70" s="35" t="str">
        <f>IFERROR(INDEX(DL_Ac,MATCH($CA70,DL_KEY,0)),"M")</f>
        <v>M</v>
      </c>
      <c r="AB70" s="35" t="str">
        <f>IFERROR(INDEX(DL_L,MATCH($CA70,DL_KEY,0)),"M")</f>
        <v>L</v>
      </c>
      <c r="AC70" s="35" t="str">
        <f>IFERROR(INDEX(DL_BI,MATCH($CA70,DL_KEY,0)),"M")</f>
        <v>L</v>
      </c>
      <c r="AD70" s="35" t="str">
        <f>IFERROR(INDEX(DL_Exp,MATCH($CA70,DL_KEY,0)),"M")</f>
        <v>L</v>
      </c>
      <c r="AE70" s="35" t="str">
        <f>IFERROR(INDEX(DL_Edu,MATCH($CA70,DL_KEY,0)),"M")</f>
        <v>L</v>
      </c>
      <c r="AF70" s="34" t="inlineStr">
        <is>
          <t>M</t>
        </is>
      </c>
      <c r="AG70" s="35" t="inlineStr">
        <is>
          <t>M</t>
        </is>
      </c>
      <c r="AH70" s="35" t="inlineStr">
        <is>
          <t>M</t>
        </is>
      </c>
      <c r="AI70" s="35" t="inlineStr">
        <is>
          <t>M</t>
        </is>
      </c>
      <c r="AJ70" s="35" t="inlineStr">
        <is>
          <t>M</t>
        </is>
      </c>
      <c r="AK70" s="35" t="inlineStr">
        <is>
          <t>M</t>
        </is>
      </c>
      <c r="AL70" s="35" t="inlineStr">
        <is>
          <t>M</t>
        </is>
      </c>
      <c r="AM70" s="36" t="n">
        <v>0.583</v>
      </c>
      <c r="AN70" s="37" t="n">
        <v>0.16</v>
      </c>
      <c r="AO70" s="37" t="n">
        <v>0.09</v>
      </c>
      <c r="AP70" s="37" t="n">
        <v>0</v>
      </c>
      <c r="AQ70" s="37" t="n">
        <v>0.063</v>
      </c>
      <c r="AR70" s="37" t="n">
        <v>0.06</v>
      </c>
      <c r="AS70" s="37" t="n">
        <v>0.04</v>
      </c>
      <c r="AT70" s="38" t="inlineStr">
        <is>
          <t>2–5</t>
        </is>
      </c>
      <c r="AU70" s="38" t="inlineStr">
        <is>
          <t>Graduate; relevant certification preferred</t>
        </is>
      </c>
      <c r="AV70" s="38" t="inlineStr">
        <is>
          <t>None · guides 1–3 juniors informally</t>
        </is>
      </c>
      <c r="AW70" s="38" t="inlineStr">
        <is>
          <t>P2 · SFIA 3 Apply</t>
        </is>
      </c>
      <c r="AX7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70" s="39" t="inlineStr">
        <is>
          <t>A3</t>
        </is>
      </c>
      <c r="AZ70" s="40" t="inlineStr">
        <is>
          <t>Band A · Practitioner · Senior Associate</t>
        </is>
      </c>
      <c r="BA70" s="40" t="inlineStr">
        <is>
          <t>Model A3 from the six ratings, the market-derived weights and rules R1–R13 · then No change · already below the manager</t>
        </is>
      </c>
      <c r="BB70" s="41" t="inlineStr">
        <is>
          <t>A2</t>
        </is>
      </c>
      <c r="BC70" s="40" t="inlineStr">
        <is>
          <t>The six ratings on the market-average weights of Band A · all tracks score 2.05 → A2 · Hay, Mercer IPE and public plans · experience 3.1 yrs vs the A2 market range 0–3</t>
        </is>
      </c>
      <c r="BD70" s="42">
        <f>IF(SUM(BM70,BN70,BO70,BP70,BQ70,BR70,BS70)=0,0,(BM70*BT70+BN70*BU70+BO70*BV70+BP70*BW70+BQ70*BX70+BR70*BY70+BS70*BZ70)/SUM(BM70,BN70,BO70,BP70,BQ70,BR70,BS70))</f>
        <v>0</v>
      </c>
      <c r="BE70" s="41" t="str">
        <f>IF(LEFT(AY70,1)="X",AY70,IF(OR(AY70="B+",AY70="C+"),INDEX(LAD_PC,MAX(1,MIN(14,MATCH(AY70,LAD_PC,0)+IF(BD70&gt;=0.5,1,IF(BD70&lt;=-0.5,-1,0))))),INDEX(LAD_STD,MAX(1,MIN(12,MATCH(AY70,LAD_STD,0)+IF(BD70&gt;=0.5,1,IF(BD70&lt;=-0.5,-1,0)))))))</f>
        <v>A3</v>
      </c>
      <c r="BF70" s="43" t="n"/>
      <c r="BG70" s="41" t="str">
        <f>IF(BF70&lt;&gt;"",BF70,BE70)</f>
        <v>A3</v>
      </c>
      <c r="BH70" s="40" t="str">
        <f>IFERROR(CHOOSE(INDEX(B_RANK,MATCH(BG70,B_LVL,0)),"Band A","Band B","B+ · Player-Coach","Band C","C+ · Player-Coach","Band D","Band E"),"Band X · Consultant")</f>
        <v>Band A</v>
      </c>
      <c r="BI70" s="40" t="str">
        <f>IF(BG70=AY70,"• Same",IF(INDEX(B_VAL,MATCH(BG70,B_LVL,0))&gt;INDEX(B_VAL,MATCH(AY70,B_LVL,0)),"▲ Up","▼ Down"))</f>
        <v>• Same</v>
      </c>
      <c r="BJ70" s="40" t="str">
        <f>IF(OR($M70="",$M70="—",$M70="Not in this file"),"",IFERROR(INDEX($BG$7:$BG$592,MATCH($M70,$D$7:$D$592,0)),""))</f>
        <v>B1</v>
      </c>
      <c r="BK70" s="40" t="str">
        <f>IFERROR(IF(BJ70="","—",IF(OR(LEFT(BG70,1)="X",LEFT(BJ70,1)="X"),"—",IF(AND(LEFT(BG70,1)="E",LEFT(BJ70,1)="E"),"Exception · Band E",IF(AND(INDEX(B_VAL,MATCH(BJ70,B_LVL,0))&gt;=7,INDEX(B_RANK,MATCH(BG70,B_LVL,0))&gt;=INDEX(B_RANK,MATCH(BJ70,B_LVL,0))),"⚠ Same band as a head manager",IF(INDEX(B_VAL,MATCH(BG70,B_LVL,0))&gt;=INDEX(B_VAL,MATCH(BJ70,B_LVL,0)),"⚠ At or above the manager's level","OK"))))),"—")</f>
        <v>OK</v>
      </c>
      <c r="BL70" s="43" t="n"/>
      <c r="BM70" s="44">
        <f>IFERROR(INDEX(LMH_PTS,MATCH(Y70,LMH_KEY,0)),0)</f>
        <v>9</v>
      </c>
      <c r="BN70" s="38">
        <f>IFERROR(INDEX(LMH_PTS,MATCH(Z70,LMH_KEY,0)),0)</f>
        <v>3</v>
      </c>
      <c r="BO70" s="38">
        <f>IFERROR(INDEX(LMH_PTS,MATCH(AA70,LMH_KEY,0)),0)</f>
        <v>3</v>
      </c>
      <c r="BP70" s="38">
        <f>IFERROR(INDEX(LMH_PTS,MATCH(AB70,LMH_KEY,0)),0)</f>
        <v>1</v>
      </c>
      <c r="BQ70" s="38">
        <f>IFERROR(INDEX(LMH_PTS,MATCH(AC70,LMH_KEY,0)),0)</f>
        <v>1</v>
      </c>
      <c r="BR70" s="38">
        <f>IFERROR(INDEX(LMH_PTS,MATCH(AD70,LMH_KEY,0)),0)</f>
        <v>1</v>
      </c>
      <c r="BS70" s="38">
        <f>IFERROR(INDEX(LMH_PTS,MATCH(AE70,LMH_KEY,0)),0)</f>
        <v>1</v>
      </c>
      <c r="BT70" s="38">
        <f>IFERROR(INDEX(LMH_STEP,MATCH(AF70,LMH_KEY,0)),0)</f>
        <v>0</v>
      </c>
      <c r="BU70" s="38">
        <f>IFERROR(INDEX(LMH_STEP,MATCH(AG70,LMH_KEY,0)),0)</f>
        <v>0</v>
      </c>
      <c r="BV70" s="38">
        <f>IFERROR(INDEX(LMH_STEP,MATCH(AH70,LMH_KEY,0)),0)</f>
        <v>0</v>
      </c>
      <c r="BW70" s="38">
        <f>IFERROR(INDEX(LMH_STEP,MATCH(AI70,LMH_KEY,0)),0)</f>
        <v>0</v>
      </c>
      <c r="BX70" s="38">
        <f>IFERROR(INDEX(LMH_STEP,MATCH(AJ70,LMH_KEY,0)),0)</f>
        <v>0</v>
      </c>
      <c r="BY70" s="38">
        <f>IFERROR(INDEX(LMH_STEP,MATCH(AK70,LMH_KEY,0)),0)</f>
        <v>0</v>
      </c>
      <c r="BZ70" s="38">
        <f>IFERROR(INDEX(LMH_STEP,MATCH(AL70,LMH_KEY,0)),0)</f>
        <v>0</v>
      </c>
      <c r="CA70" s="38" t="inlineStr">
        <is>
          <t>CARBON|Digitizing|Senior Digitization Associate|A3|A</t>
        </is>
      </c>
    </row>
    <row r="71" ht="110" customHeight="1">
      <c r="A71" s="28" t="inlineStr">
        <is>
          <t>CARBON</t>
        </is>
      </c>
      <c r="B71" s="29" t="inlineStr">
        <is>
          <t>Digitizing</t>
        </is>
      </c>
      <c r="C71" s="29" t="n">
        <v>7</v>
      </c>
      <c r="D71" s="29" t="inlineStr">
        <is>
          <t>IRISC327</t>
        </is>
      </c>
      <c r="E71" s="29" t="inlineStr">
        <is>
          <t>Satyajeet Patil</t>
        </is>
      </c>
      <c r="F71" s="29" t="inlineStr">
        <is>
          <t>Consultant</t>
        </is>
      </c>
      <c r="G71" s="29" t="inlineStr">
        <is>
          <t>Digitization Associate</t>
        </is>
      </c>
      <c r="H71" s="29" t="inlineStr">
        <is>
          <t>Data Operations &amp; Digitization</t>
        </is>
      </c>
      <c r="I71" s="29" t="inlineStr">
        <is>
          <t>Document Conversion, Formatting &amp; Web Publishing</t>
        </is>
      </c>
      <c r="J71" s="29" t="inlineStr">
        <is>
          <t>IC</t>
        </is>
      </c>
      <c r="K71" s="29" t="inlineStr">
        <is>
          <t>RC-046</t>
        </is>
      </c>
      <c r="L71" s="29" t="inlineStr">
        <is>
          <t>Janardan Bale</t>
        </is>
      </c>
      <c r="M71" s="29" t="inlineStr">
        <is>
          <t>IRIS0470</t>
        </is>
      </c>
      <c r="N71" s="29" t="n">
        <v>0.8</v>
      </c>
      <c r="O71" s="29" t="n">
        <v>0.8</v>
      </c>
      <c r="P71" s="29" t="inlineStr">
        <is>
          <t>BCA</t>
        </is>
      </c>
      <c r="Q71" s="29" t="inlineStr">
        <is>
          <t>L3 – Professional / Associate</t>
        </is>
      </c>
      <c r="R71" s="29" t="inlineStr">
        <is>
          <t>A2</t>
        </is>
      </c>
      <c r="S71" s="30" t="inlineStr">
        <is>
          <t>20 of 20</t>
        </is>
      </c>
      <c r="T71" s="31" t="inlineStr">
        <is>
          <t>• Role / sub-team: Digitizing Assisted Service.</t>
        </is>
      </c>
      <c r="U71" s="31" t="inlineStr">
        <is>
          <t>Received · manager annual · 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
        </is>
      </c>
      <c r="V71" s="31" t="inlineStr">
        <is>
          <t>Latest rating: 3 · Potential: Medium · 9-box: Core Contributor · Readiness: Develop in role</t>
        </is>
      </c>
      <c r="W71" s="31" t="inlineStr">
        <is>
          <t>C M · Au M · Ac M · L L · BI M · Exp M · 0.8 yrs vs 0–2 yrs · Edu M · BCA</t>
        </is>
      </c>
      <c r="X71" s="33" t="inlineStr">
        <is>
          <t>Open ▸</t>
        </is>
      </c>
      <c r="Y71" s="34" t="str">
        <f>IFERROR(INDEX(DL_C,MATCH($CA71,DL_KEY,0)),"M")</f>
        <v>H</v>
      </c>
      <c r="Z71" s="35" t="str">
        <f>IFERROR(INDEX(DL_Au,MATCH($CA71,DL_KEY,0)),"M")</f>
        <v>M</v>
      </c>
      <c r="AA71" s="35" t="str">
        <f>IFERROR(INDEX(DL_Ac,MATCH($CA71,DL_KEY,0)),"M")</f>
        <v>M</v>
      </c>
      <c r="AB71" s="35" t="str">
        <f>IFERROR(INDEX(DL_L,MATCH($CA71,DL_KEY,0)),"M")</f>
        <v>L</v>
      </c>
      <c r="AC71" s="35" t="str">
        <f>IFERROR(INDEX(DL_BI,MATCH($CA71,DL_KEY,0)),"M")</f>
        <v>L</v>
      </c>
      <c r="AD71" s="35" t="str">
        <f>IFERROR(INDEX(DL_Exp,MATCH($CA71,DL_KEY,0)),"M")</f>
        <v>L</v>
      </c>
      <c r="AE71" s="35" t="str">
        <f>IFERROR(INDEX(DL_Edu,MATCH($CA71,DL_KEY,0)),"M")</f>
        <v>L</v>
      </c>
      <c r="AF71" s="34" t="inlineStr">
        <is>
          <t>M</t>
        </is>
      </c>
      <c r="AG71" s="35" t="inlineStr">
        <is>
          <t>M</t>
        </is>
      </c>
      <c r="AH71" s="35" t="inlineStr">
        <is>
          <t>M</t>
        </is>
      </c>
      <c r="AI71" s="35" t="inlineStr">
        <is>
          <t>M</t>
        </is>
      </c>
      <c r="AJ71" s="35" t="inlineStr">
        <is>
          <t>M</t>
        </is>
      </c>
      <c r="AK71" s="35" t="inlineStr">
        <is>
          <t>M</t>
        </is>
      </c>
      <c r="AL71" s="35" t="inlineStr">
        <is>
          <t>M</t>
        </is>
      </c>
      <c r="AM71" s="36" t="n">
        <v>0.583</v>
      </c>
      <c r="AN71" s="37" t="n">
        <v>0.16</v>
      </c>
      <c r="AO71" s="37" t="n">
        <v>0.09</v>
      </c>
      <c r="AP71" s="37" t="n">
        <v>0</v>
      </c>
      <c r="AQ71" s="37" t="n">
        <v>0.063</v>
      </c>
      <c r="AR71" s="37" t="n">
        <v>0.06</v>
      </c>
      <c r="AS71" s="37" t="n">
        <v>0.04</v>
      </c>
      <c r="AT71" s="38" t="inlineStr">
        <is>
          <t>0–3</t>
        </is>
      </c>
      <c r="AU71" s="38" t="inlineStr">
        <is>
          <t>Graduate · or diploma with experience</t>
        </is>
      </c>
      <c r="AV71" s="38" t="inlineStr">
        <is>
          <t>No direct reports</t>
        </is>
      </c>
      <c r="AW71" s="38" t="inlineStr">
        <is>
          <t>P1–P2 · SFIA 2 Assist</t>
        </is>
      </c>
      <c r="AX7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71" s="39" t="inlineStr">
        <is>
          <t>A2</t>
        </is>
      </c>
      <c r="AZ71" s="40" t="inlineStr">
        <is>
          <t>Band A · Practitioner · Associate</t>
        </is>
      </c>
      <c r="BA71" s="40" t="inlineStr">
        <is>
          <t>Model A2 from the six ratings, the market-derived weights and rules R1–R13 · then No change · already below the manager</t>
        </is>
      </c>
      <c r="BB71" s="41" t="inlineStr">
        <is>
          <t>A2</t>
        </is>
      </c>
      <c r="BC71" s="40" t="inlineStr">
        <is>
          <t>The six ratings on the market-average weights of Band A · all tracks score 1.95 → A2 · Hay, Mercer IPE and public plans · experience 0.8 yrs vs the A2 market range 0–3</t>
        </is>
      </c>
      <c r="BD71" s="42">
        <f>IF(SUM(BM71,BN71,BO71,BP71,BQ71,BR71,BS71)=0,0,(BM71*BT71+BN71*BU71+BO71*BV71+BP71*BW71+BQ71*BX71+BR71*BY71+BS71*BZ71)/SUM(BM71,BN71,BO71,BP71,BQ71,BR71,BS71))</f>
        <v>0</v>
      </c>
      <c r="BE71" s="41" t="str">
        <f>IF(LEFT(AY71,1)="X",AY71,IF(OR(AY71="B+",AY71="C+"),INDEX(LAD_PC,MAX(1,MIN(14,MATCH(AY71,LAD_PC,0)+IF(BD71&gt;=0.5,1,IF(BD71&lt;=-0.5,-1,0))))),INDEX(LAD_STD,MAX(1,MIN(12,MATCH(AY71,LAD_STD,0)+IF(BD71&gt;=0.5,1,IF(BD71&lt;=-0.5,-1,0)))))))</f>
        <v>A2</v>
      </c>
      <c r="BF71" s="43" t="n"/>
      <c r="BG71" s="41" t="str">
        <f>IF(BF71&lt;&gt;"",BF71,BE71)</f>
        <v>A2</v>
      </c>
      <c r="BH71" s="40" t="str">
        <f>IFERROR(CHOOSE(INDEX(B_RANK,MATCH(BG71,B_LVL,0)),"Band A","Band B","B+ · Player-Coach","Band C","C+ · Player-Coach","Band D","Band E"),"Band X · Consultant")</f>
        <v>Band A</v>
      </c>
      <c r="BI71" s="40" t="str">
        <f>IF(BG71=AY71,"• Same",IF(INDEX(B_VAL,MATCH(BG71,B_LVL,0))&gt;INDEX(B_VAL,MATCH(AY71,B_LVL,0)),"▲ Up","▼ Down"))</f>
        <v>• Same</v>
      </c>
      <c r="BJ71" s="40" t="str">
        <f>IF(OR($M71="",$M71="—",$M71="Not in this file"),"",IFERROR(INDEX($BG$7:$BG$592,MATCH($M71,$D$7:$D$592,0)),""))</f>
        <v>B1</v>
      </c>
      <c r="BK71" s="40" t="str">
        <f>IFERROR(IF(BJ71="","—",IF(OR(LEFT(BG71,1)="X",LEFT(BJ71,1)="X"),"—",IF(AND(LEFT(BG71,1)="E",LEFT(BJ71,1)="E"),"Exception · Band E",IF(AND(INDEX(B_VAL,MATCH(BJ71,B_LVL,0))&gt;=7,INDEX(B_RANK,MATCH(BG71,B_LVL,0))&gt;=INDEX(B_RANK,MATCH(BJ71,B_LVL,0))),"⚠ Same band as a head manager",IF(INDEX(B_VAL,MATCH(BG71,B_LVL,0))&gt;=INDEX(B_VAL,MATCH(BJ71,B_LVL,0)),"⚠ At or above the manager's level","OK"))))),"—")</f>
        <v>OK</v>
      </c>
      <c r="BL71" s="43" t="n"/>
      <c r="BM71" s="44">
        <f>IFERROR(INDEX(LMH_PTS,MATCH(Y71,LMH_KEY,0)),0)</f>
        <v>9</v>
      </c>
      <c r="BN71" s="38">
        <f>IFERROR(INDEX(LMH_PTS,MATCH(Z71,LMH_KEY,0)),0)</f>
        <v>3</v>
      </c>
      <c r="BO71" s="38">
        <f>IFERROR(INDEX(LMH_PTS,MATCH(AA71,LMH_KEY,0)),0)</f>
        <v>3</v>
      </c>
      <c r="BP71" s="38">
        <f>IFERROR(INDEX(LMH_PTS,MATCH(AB71,LMH_KEY,0)),0)</f>
        <v>1</v>
      </c>
      <c r="BQ71" s="38">
        <f>IFERROR(INDEX(LMH_PTS,MATCH(AC71,LMH_KEY,0)),0)</f>
        <v>1</v>
      </c>
      <c r="BR71" s="38">
        <f>IFERROR(INDEX(LMH_PTS,MATCH(AD71,LMH_KEY,0)),0)</f>
        <v>1</v>
      </c>
      <c r="BS71" s="38">
        <f>IFERROR(INDEX(LMH_PTS,MATCH(AE71,LMH_KEY,0)),0)</f>
        <v>1</v>
      </c>
      <c r="BT71" s="38">
        <f>IFERROR(INDEX(LMH_STEP,MATCH(AF71,LMH_KEY,0)),0)</f>
        <v>0</v>
      </c>
      <c r="BU71" s="38">
        <f>IFERROR(INDEX(LMH_STEP,MATCH(AG71,LMH_KEY,0)),0)</f>
        <v>0</v>
      </c>
      <c r="BV71" s="38">
        <f>IFERROR(INDEX(LMH_STEP,MATCH(AH71,LMH_KEY,0)),0)</f>
        <v>0</v>
      </c>
      <c r="BW71" s="38">
        <f>IFERROR(INDEX(LMH_STEP,MATCH(AI71,LMH_KEY,0)),0)</f>
        <v>0</v>
      </c>
      <c r="BX71" s="38">
        <f>IFERROR(INDEX(LMH_STEP,MATCH(AJ71,LMH_KEY,0)),0)</f>
        <v>0</v>
      </c>
      <c r="BY71" s="38">
        <f>IFERROR(INDEX(LMH_STEP,MATCH(AK71,LMH_KEY,0)),0)</f>
        <v>0</v>
      </c>
      <c r="BZ71" s="38">
        <f>IFERROR(INDEX(LMH_STEP,MATCH(AL71,LMH_KEY,0)),0)</f>
        <v>0</v>
      </c>
      <c r="CA71" s="38" t="inlineStr">
        <is>
          <t>CARBON|Digitizing|Digitization Associate|A2|A</t>
        </is>
      </c>
    </row>
    <row r="72" ht="110" customHeight="1">
      <c r="A72" s="28" t="inlineStr">
        <is>
          <t>Consume</t>
        </is>
      </c>
      <c r="B72" s="29" t="inlineStr">
        <is>
          <t>Digitizing</t>
        </is>
      </c>
      <c r="C72" s="29" t="n">
        <v>6</v>
      </c>
      <c r="D72" s="29" t="inlineStr">
        <is>
          <t>IRIS0114</t>
        </is>
      </c>
      <c r="E72" s="29" t="inlineStr">
        <is>
          <t>Shraddha Patil</t>
        </is>
      </c>
      <c r="F72" s="29" t="inlineStr">
        <is>
          <t>Image Processing Specialist</t>
        </is>
      </c>
      <c r="G72" s="29" t="inlineStr">
        <is>
          <t>Digitization Manager</t>
        </is>
      </c>
      <c r="H72" s="29" t="inlineStr">
        <is>
          <t>Data Operations &amp; Digitization</t>
        </is>
      </c>
      <c r="I72" s="29" t="inlineStr">
        <is>
          <t>Document Conversion, Formatting &amp; Web Publishing</t>
        </is>
      </c>
      <c r="J72" s="29" t="inlineStr">
        <is>
          <t>People Manager</t>
        </is>
      </c>
      <c r="K72" s="29" t="inlineStr">
        <is>
          <t>RC-050</t>
        </is>
      </c>
      <c r="L72" s="29" t="inlineStr">
        <is>
          <t>Vijay Parulekar</t>
        </is>
      </c>
      <c r="M72" s="29" t="inlineStr">
        <is>
          <t>IRIS0055</t>
        </is>
      </c>
      <c r="N72" s="29" t="n">
        <v>19.1</v>
      </c>
      <c r="O72" s="29" t="n">
        <v>19.1</v>
      </c>
      <c r="P72" s="29" t="inlineStr">
        <is>
          <t>BA</t>
        </is>
      </c>
      <c r="Q72" s="29" t="inlineStr">
        <is>
          <t>L3 – Professional / Associate</t>
        </is>
      </c>
      <c r="R72" s="29" t="inlineStr">
        <is>
          <t>B2</t>
        </is>
      </c>
      <c r="S72" s="30" t="inlineStr">
        <is>
          <t>20 of 20</t>
        </is>
      </c>
      <c r="T72" s="31" t="inlineStr">
        <is>
          <t>• Role / sub-team: Digitizing — Image Processing Specialist.
• Core purpose: My core purpose is to align my team, clear away roadblocks, and drive us together".
• Decision-making autonomy: No input received.
• Is this something only they do: No input received.</t>
        </is>
      </c>
      <c r="U72" s="31" t="inlineStr">
        <is>
          <t>Received · manager annual · 1. Complete assigned conversion/formatting tasks with &gt;=99% accuracy · zero critical errors.
2. Meet 100% of client publishing deadlines · no SLA breaches.
3. Upgrade senior members to manage RBI portal in your absence.
4. Train each senior members to handle of all RBI portal updates/uploads.
5. Train next layer …</t>
        </is>
      </c>
      <c r="V72" s="31" t="inlineStr">
        <is>
          <t>Latest rating: 5 · Potential: High · 9-box: Core Contributor · Readiness: Ready now</t>
        </is>
      </c>
      <c r="W72" s="31" t="inlineStr">
        <is>
          <t>C M · Au M · Ac H · L H · BI H · Exp H · 19.1 yrs vs 4–7 yrs · Edu M · BA</t>
        </is>
      </c>
      <c r="X72" s="33" t="inlineStr">
        <is>
          <t>Open ▸</t>
        </is>
      </c>
      <c r="Y72" s="34" t="str">
        <f>IFERROR(INDEX(DL_C,MATCH($CA72,DL_KEY,0)),"M")</f>
        <v>H</v>
      </c>
      <c r="Z72" s="35" t="str">
        <f>IFERROR(INDEX(DL_Au,MATCH($CA72,DL_KEY,0)),"M")</f>
        <v>M</v>
      </c>
      <c r="AA72" s="35" t="str">
        <f>IFERROR(INDEX(DL_Ac,MATCH($CA72,DL_KEY,0)),"M")</f>
        <v>M</v>
      </c>
      <c r="AB72" s="35" t="str">
        <f>IFERROR(INDEX(DL_L,MATCH($CA72,DL_KEY,0)),"M")</f>
        <v>M</v>
      </c>
      <c r="AC72" s="35" t="str">
        <f>IFERROR(INDEX(DL_BI,MATCH($CA72,DL_KEY,0)),"M")</f>
        <v>L</v>
      </c>
      <c r="AD72" s="35" t="str">
        <f>IFERROR(INDEX(DL_Exp,MATCH($CA72,DL_KEY,0)),"M")</f>
        <v>L</v>
      </c>
      <c r="AE72" s="35" t="str">
        <f>IFERROR(INDEX(DL_Edu,MATCH($CA72,DL_KEY,0)),"M")</f>
        <v>L</v>
      </c>
      <c r="AF72" s="34" t="inlineStr">
        <is>
          <t>M</t>
        </is>
      </c>
      <c r="AG72" s="35" t="inlineStr">
        <is>
          <t>M</t>
        </is>
      </c>
      <c r="AH72" s="35" t="inlineStr">
        <is>
          <t>M</t>
        </is>
      </c>
      <c r="AI72" s="35" t="inlineStr">
        <is>
          <t>M</t>
        </is>
      </c>
      <c r="AJ72" s="35" t="inlineStr">
        <is>
          <t>M</t>
        </is>
      </c>
      <c r="AK72" s="35" t="inlineStr">
        <is>
          <t>M</t>
        </is>
      </c>
      <c r="AL72" s="35" t="inlineStr">
        <is>
          <t>M</t>
        </is>
      </c>
      <c r="AM72" s="36" t="n">
        <v>0.37</v>
      </c>
      <c r="AN72" s="37" t="n">
        <v>0.183</v>
      </c>
      <c r="AO72" s="37" t="n">
        <v>0.113</v>
      </c>
      <c r="AP72" s="37" t="n">
        <v>0.15</v>
      </c>
      <c r="AQ72" s="37" t="n">
        <v>0.08699999999999999</v>
      </c>
      <c r="AR72" s="37" t="n">
        <v>0.06</v>
      </c>
      <c r="AS72" s="37" t="n">
        <v>0.04</v>
      </c>
      <c r="AT72" s="38" t="inlineStr">
        <is>
          <t>4–8</t>
        </is>
      </c>
      <c r="AU72" s="38" t="inlineStr">
        <is>
          <t>Graduate + relevant qualification or certification preferred</t>
        </is>
      </c>
      <c r="AV72" s="38" t="inlineStr">
        <is>
          <t>IC: none · Team Lead: 3–5</t>
        </is>
      </c>
      <c r="AW72" s="38" t="inlineStr">
        <is>
          <t>P3 / M2 · SFIA 4 Enable</t>
        </is>
      </c>
      <c r="AX7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72" s="39" t="inlineStr">
        <is>
          <t>B1</t>
        </is>
      </c>
      <c r="AZ72" s="40" t="inlineStr">
        <is>
          <t>Band B · Specialist / Manager · Team Lead / Asst Manager</t>
        </is>
      </c>
      <c r="BA72" s="40" t="inlineStr">
        <is>
          <t>Model B2 from the six ratings, the market-derived weights and rules R1–R13 · then Level rule: manager B2; a reportee sits at least one level below · B2 → B1 · move down · pay and title protected for one cycle</t>
        </is>
      </c>
      <c r="BB72" s="41" t="inlineStr">
        <is>
          <t>B2</t>
        </is>
      </c>
      <c r="BC72" s="40" t="inlineStr">
        <is>
          <t>The six ratings on the market-average weights of Band B · People Manager score 4.85 → B2 · Hay, Mercer IPE and public plans · experience 19.1 yrs vs the B2 market range 6–10</t>
        </is>
      </c>
      <c r="BD72" s="42">
        <f>IF(SUM(BM72,BN72,BO72,BP72,BQ72,BR72,BS72)=0,0,(BM72*BT72+BN72*BU72+BO72*BV72+BP72*BW72+BQ72*BX72+BR72*BY72+BS72*BZ72)/SUM(BM72,BN72,BO72,BP72,BQ72,BR72,BS72))</f>
        <v>0</v>
      </c>
      <c r="BE72" s="41" t="str">
        <f>IF(LEFT(AY72,1)="X",AY72,IF(OR(AY72="B+",AY72="C+"),INDEX(LAD_PC,MAX(1,MIN(14,MATCH(AY72,LAD_PC,0)+IF(BD72&gt;=0.5,1,IF(BD72&lt;=-0.5,-1,0))))),INDEX(LAD_STD,MAX(1,MIN(12,MATCH(AY72,LAD_STD,0)+IF(BD72&gt;=0.5,1,IF(BD72&lt;=-0.5,-1,0)))))))</f>
        <v>B1</v>
      </c>
      <c r="BF72" s="43" t="n"/>
      <c r="BG72" s="41" t="str">
        <f>IF(BF72&lt;&gt;"",BF72,BE72)</f>
        <v>B1</v>
      </c>
      <c r="BH72" s="40" t="str">
        <f>IFERROR(CHOOSE(INDEX(B_RANK,MATCH(BG72,B_LVL,0)),"Band A","Band B","B+ · Player-Coach","Band C","C+ · Player-Coach","Band D","Band E"),"Band X · Consultant")</f>
        <v>Band B</v>
      </c>
      <c r="BI72" s="40" t="str">
        <f>IF(BG72=AY72,"• Same",IF(INDEX(B_VAL,MATCH(BG72,B_LVL,0))&gt;INDEX(B_VAL,MATCH(AY72,B_LVL,0)),"▲ Up","▼ Down"))</f>
        <v>• Same</v>
      </c>
      <c r="BJ72" s="40" t="str">
        <f>IF(OR($M72="",$M72="—",$M72="Not in this file"),"",IFERROR(INDEX($BG$7:$BG$592,MATCH($M72,$D$7:$D$592,0)),""))</f>
        <v>B2</v>
      </c>
      <c r="BK72" s="40" t="str">
        <f>IFERROR(IF(BJ72="","—",IF(OR(LEFT(BG72,1)="X",LEFT(BJ72,1)="X"),"—",IF(AND(LEFT(BG72,1)="E",LEFT(BJ72,1)="E"),"Exception · Band E",IF(AND(INDEX(B_VAL,MATCH(BJ72,B_LVL,0))&gt;=7,INDEX(B_RANK,MATCH(BG72,B_LVL,0))&gt;=INDEX(B_RANK,MATCH(BJ72,B_LVL,0))),"⚠ Same band as a head manager",IF(INDEX(B_VAL,MATCH(BG72,B_LVL,0))&gt;=INDEX(B_VAL,MATCH(BJ72,B_LVL,0)),"⚠ At or above the manager's level","OK"))))),"—")</f>
        <v>OK</v>
      </c>
      <c r="BL72" s="43" t="n"/>
      <c r="BM72" s="44">
        <f>IFERROR(INDEX(LMH_PTS,MATCH(Y72,LMH_KEY,0)),0)</f>
        <v>9</v>
      </c>
      <c r="BN72" s="38">
        <f>IFERROR(INDEX(LMH_PTS,MATCH(Z72,LMH_KEY,0)),0)</f>
        <v>3</v>
      </c>
      <c r="BO72" s="38">
        <f>IFERROR(INDEX(LMH_PTS,MATCH(AA72,LMH_KEY,0)),0)</f>
        <v>3</v>
      </c>
      <c r="BP72" s="38">
        <f>IFERROR(INDEX(LMH_PTS,MATCH(AB72,LMH_KEY,0)),0)</f>
        <v>3</v>
      </c>
      <c r="BQ72" s="38">
        <f>IFERROR(INDEX(LMH_PTS,MATCH(AC72,LMH_KEY,0)),0)</f>
        <v>1</v>
      </c>
      <c r="BR72" s="38">
        <f>IFERROR(INDEX(LMH_PTS,MATCH(AD72,LMH_KEY,0)),0)</f>
        <v>1</v>
      </c>
      <c r="BS72" s="38">
        <f>IFERROR(INDEX(LMH_PTS,MATCH(AE72,LMH_KEY,0)),0)</f>
        <v>1</v>
      </c>
      <c r="BT72" s="38">
        <f>IFERROR(INDEX(LMH_STEP,MATCH(AF72,LMH_KEY,0)),0)</f>
        <v>0</v>
      </c>
      <c r="BU72" s="38">
        <f>IFERROR(INDEX(LMH_STEP,MATCH(AG72,LMH_KEY,0)),0)</f>
        <v>0</v>
      </c>
      <c r="BV72" s="38">
        <f>IFERROR(INDEX(LMH_STEP,MATCH(AH72,LMH_KEY,0)),0)</f>
        <v>0</v>
      </c>
      <c r="BW72" s="38">
        <f>IFERROR(INDEX(LMH_STEP,MATCH(AI72,LMH_KEY,0)),0)</f>
        <v>0</v>
      </c>
      <c r="BX72" s="38">
        <f>IFERROR(INDEX(LMH_STEP,MATCH(AJ72,LMH_KEY,0)),0)</f>
        <v>0</v>
      </c>
      <c r="BY72" s="38">
        <f>IFERROR(INDEX(LMH_STEP,MATCH(AK72,LMH_KEY,0)),0)</f>
        <v>0</v>
      </c>
      <c r="BZ72" s="38">
        <f>IFERROR(INDEX(LMH_STEP,MATCH(AL72,LMH_KEY,0)),0)</f>
        <v>0</v>
      </c>
      <c r="CA72" s="38" t="inlineStr">
        <is>
          <t>Consume|Digitizing|Digitization Manager|B1|B-M</t>
        </is>
      </c>
    </row>
    <row r="73" ht="110" customHeight="1">
      <c r="A73" s="28" t="inlineStr">
        <is>
          <t>Consume</t>
        </is>
      </c>
      <c r="B73" s="29" t="inlineStr">
        <is>
          <t>Digitizing</t>
        </is>
      </c>
      <c r="C73" s="29" t="n">
        <v>7</v>
      </c>
      <c r="D73" s="29" t="inlineStr">
        <is>
          <t>IRIS0167</t>
        </is>
      </c>
      <c r="E73" s="29" t="inlineStr">
        <is>
          <t>Nitin Bhoir</t>
        </is>
      </c>
      <c r="F73" s="29" t="inlineStr">
        <is>
          <t>Image Processing Specialist</t>
        </is>
      </c>
      <c r="G73" s="29" t="inlineStr">
        <is>
          <t>Digitization Specialist</t>
        </is>
      </c>
      <c r="H73" s="29" t="inlineStr">
        <is>
          <t>Data Operations &amp; Digitization</t>
        </is>
      </c>
      <c r="I73" s="29" t="inlineStr">
        <is>
          <t>Document Conversion, Formatting &amp; Web Publishing</t>
        </is>
      </c>
      <c r="J73" s="29" t="inlineStr">
        <is>
          <t>IC</t>
        </is>
      </c>
      <c r="K73" s="29" t="inlineStr">
        <is>
          <t>RC-048</t>
        </is>
      </c>
      <c r="L73" s="29" t="inlineStr">
        <is>
          <t>Shraddha Patil</t>
        </is>
      </c>
      <c r="M73" s="29" t="inlineStr">
        <is>
          <t>IRIS0114</t>
        </is>
      </c>
      <c r="N73" s="29" t="n">
        <v>18.9</v>
      </c>
      <c r="O73" s="29" t="n">
        <v>18.7</v>
      </c>
      <c r="P73" s="29" t="inlineStr">
        <is>
          <t>BA</t>
        </is>
      </c>
      <c r="Q73" s="29" t="inlineStr">
        <is>
          <t>L3 – Professional / Associate</t>
        </is>
      </c>
      <c r="R73" s="29" t="inlineStr">
        <is>
          <t>B1</t>
        </is>
      </c>
      <c r="S73" s="30" t="inlineStr">
        <is>
          <t>20 of 20</t>
        </is>
      </c>
      <c r="T73" s="31" t="inlineStr">
        <is>
          <t>• Role / sub-team: Digitizing — Image Processing Specialist.
• Core purpose: My roll to do daily data QC, Upload and Updation on rbi website.
• Decision-making autonomy: Can independently correct document syntax.
• Is this something only they do: No input received.
• What's different about this role: High regulatory risk, strict process, Dreamweaver …</t>
        </is>
      </c>
      <c r="U73" s="31" t="inlineStr">
        <is>
          <t>Received · manager annual · 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manage …</t>
        </is>
      </c>
      <c r="V73" s="31" t="inlineStr">
        <is>
          <t>Latest rating: 3 · Potential: Medium · 9-box: Core Contributor · Readiness: Develop in role</t>
        </is>
      </c>
      <c r="W73" s="31" t="inlineStr">
        <is>
          <t>C M · Au M · Ac M · L L · BI M · Exp H · 18.9 yrs vs 2–4 yrs · Edu M · BA</t>
        </is>
      </c>
      <c r="X73" s="33" t="inlineStr">
        <is>
          <t>Open ▸</t>
        </is>
      </c>
      <c r="Y73" s="34" t="str">
        <f>IFERROR(INDEX(DL_C,MATCH($CA73,DL_KEY,0)),"M")</f>
        <v>H</v>
      </c>
      <c r="Z73" s="35" t="str">
        <f>IFERROR(INDEX(DL_Au,MATCH($CA73,DL_KEY,0)),"M")</f>
        <v>M</v>
      </c>
      <c r="AA73" s="35" t="str">
        <f>IFERROR(INDEX(DL_Ac,MATCH($CA73,DL_KEY,0)),"M")</f>
        <v>M</v>
      </c>
      <c r="AB73" s="35" t="str">
        <f>IFERROR(INDEX(DL_L,MATCH($CA73,DL_KEY,0)),"M")</f>
        <v>L</v>
      </c>
      <c r="AC73" s="35" t="str">
        <f>IFERROR(INDEX(DL_BI,MATCH($CA73,DL_KEY,0)),"M")</f>
        <v>L</v>
      </c>
      <c r="AD73" s="35" t="str">
        <f>IFERROR(INDEX(DL_Exp,MATCH($CA73,DL_KEY,0)),"M")</f>
        <v>L</v>
      </c>
      <c r="AE73" s="35" t="str">
        <f>IFERROR(INDEX(DL_Edu,MATCH($CA73,DL_KEY,0)),"M")</f>
        <v>L</v>
      </c>
      <c r="AF73" s="34" t="inlineStr">
        <is>
          <t>M</t>
        </is>
      </c>
      <c r="AG73" s="35" t="inlineStr">
        <is>
          <t>M</t>
        </is>
      </c>
      <c r="AH73" s="35" t="inlineStr">
        <is>
          <t>M</t>
        </is>
      </c>
      <c r="AI73" s="35" t="inlineStr">
        <is>
          <t>M</t>
        </is>
      </c>
      <c r="AJ73" s="35" t="inlineStr">
        <is>
          <t>M</t>
        </is>
      </c>
      <c r="AK73" s="35" t="inlineStr">
        <is>
          <t>M</t>
        </is>
      </c>
      <c r="AL73" s="35" t="inlineStr">
        <is>
          <t>M</t>
        </is>
      </c>
      <c r="AM73" s="36" t="n">
        <v>0.583</v>
      </c>
      <c r="AN73" s="37" t="n">
        <v>0.16</v>
      </c>
      <c r="AO73" s="37" t="n">
        <v>0.09</v>
      </c>
      <c r="AP73" s="37" t="n">
        <v>0</v>
      </c>
      <c r="AQ73" s="37" t="n">
        <v>0.063</v>
      </c>
      <c r="AR73" s="37" t="n">
        <v>0.06</v>
      </c>
      <c r="AS73" s="37" t="n">
        <v>0.04</v>
      </c>
      <c r="AT73" s="38" t="inlineStr">
        <is>
          <t>2–5</t>
        </is>
      </c>
      <c r="AU73" s="38" t="inlineStr">
        <is>
          <t>Graduate; relevant certification preferred</t>
        </is>
      </c>
      <c r="AV73" s="38" t="inlineStr">
        <is>
          <t>None · guides 1–3 juniors informally</t>
        </is>
      </c>
      <c r="AW73" s="38" t="inlineStr">
        <is>
          <t>P2 · SFIA 3 Apply</t>
        </is>
      </c>
      <c r="AX7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73" s="39" t="inlineStr">
        <is>
          <t>A3</t>
        </is>
      </c>
      <c r="AZ73" s="40" t="inlineStr">
        <is>
          <t>Band A · Practitioner · Senior Associate</t>
        </is>
      </c>
      <c r="BA73" s="40" t="inlineStr">
        <is>
          <t>Model B1 from the six ratings, the market-derived weights and rules R1–R13 · then Level rule: manager B1; a reportee sits at least one level below · B1 → A3 · move down · pay and title protected for one cycle</t>
        </is>
      </c>
      <c r="BB73" s="41" t="inlineStr">
        <is>
          <t>B1</t>
        </is>
      </c>
      <c r="BC73" s="40" t="inlineStr">
        <is>
          <t>The six ratings on the market-average weights of Band A · all tracks score 3.60 → B1 · Hay, Mercer IPE and public plans · experience 18.9 yrs vs the B1 market range 4–8</t>
        </is>
      </c>
      <c r="BD73" s="42">
        <f>IF(SUM(BM73,BN73,BO73,BP73,BQ73,BR73,BS73)=0,0,(BM73*BT73+BN73*BU73+BO73*BV73+BP73*BW73+BQ73*BX73+BR73*BY73+BS73*BZ73)/SUM(BM73,BN73,BO73,BP73,BQ73,BR73,BS73))</f>
        <v>0</v>
      </c>
      <c r="BE73" s="41" t="str">
        <f>IF(LEFT(AY73,1)="X",AY73,IF(OR(AY73="B+",AY73="C+"),INDEX(LAD_PC,MAX(1,MIN(14,MATCH(AY73,LAD_PC,0)+IF(BD73&gt;=0.5,1,IF(BD73&lt;=-0.5,-1,0))))),INDEX(LAD_STD,MAX(1,MIN(12,MATCH(AY73,LAD_STD,0)+IF(BD73&gt;=0.5,1,IF(BD73&lt;=-0.5,-1,0)))))))</f>
        <v>A3</v>
      </c>
      <c r="BF73" s="43" t="n"/>
      <c r="BG73" s="41" t="str">
        <f>IF(BF73&lt;&gt;"",BF73,BE73)</f>
        <v>A3</v>
      </c>
      <c r="BH73" s="40" t="str">
        <f>IFERROR(CHOOSE(INDEX(B_RANK,MATCH(BG73,B_LVL,0)),"Band A","Band B","B+ · Player-Coach","Band C","C+ · Player-Coach","Band D","Band E"),"Band X · Consultant")</f>
        <v>Band A</v>
      </c>
      <c r="BI73" s="40" t="str">
        <f>IF(BG73=AY73,"• Same",IF(INDEX(B_VAL,MATCH(BG73,B_LVL,0))&gt;INDEX(B_VAL,MATCH(AY73,B_LVL,0)),"▲ Up","▼ Down"))</f>
        <v>• Same</v>
      </c>
      <c r="BJ73" s="40" t="str">
        <f>IF(OR($M73="",$M73="—",$M73="Not in this file"),"",IFERROR(INDEX($BG$7:$BG$592,MATCH($M73,$D$7:$D$592,0)),""))</f>
        <v>B1</v>
      </c>
      <c r="BK73" s="40" t="str">
        <f>IFERROR(IF(BJ73="","—",IF(OR(LEFT(BG73,1)="X",LEFT(BJ73,1)="X"),"—",IF(AND(LEFT(BG73,1)="E",LEFT(BJ73,1)="E"),"Exception · Band E",IF(AND(INDEX(B_VAL,MATCH(BJ73,B_LVL,0))&gt;=7,INDEX(B_RANK,MATCH(BG73,B_LVL,0))&gt;=INDEX(B_RANK,MATCH(BJ73,B_LVL,0))),"⚠ Same band as a head manager",IF(INDEX(B_VAL,MATCH(BG73,B_LVL,0))&gt;=INDEX(B_VAL,MATCH(BJ73,B_LVL,0)),"⚠ At or above the manager's level","OK"))))),"—")</f>
        <v>OK</v>
      </c>
      <c r="BL73" s="43" t="n"/>
      <c r="BM73" s="44">
        <f>IFERROR(INDEX(LMH_PTS,MATCH(Y73,LMH_KEY,0)),0)</f>
        <v>9</v>
      </c>
      <c r="BN73" s="38">
        <f>IFERROR(INDEX(LMH_PTS,MATCH(Z73,LMH_KEY,0)),0)</f>
        <v>3</v>
      </c>
      <c r="BO73" s="38">
        <f>IFERROR(INDEX(LMH_PTS,MATCH(AA73,LMH_KEY,0)),0)</f>
        <v>3</v>
      </c>
      <c r="BP73" s="38">
        <f>IFERROR(INDEX(LMH_PTS,MATCH(AB73,LMH_KEY,0)),0)</f>
        <v>1</v>
      </c>
      <c r="BQ73" s="38">
        <f>IFERROR(INDEX(LMH_PTS,MATCH(AC73,LMH_KEY,0)),0)</f>
        <v>1</v>
      </c>
      <c r="BR73" s="38">
        <f>IFERROR(INDEX(LMH_PTS,MATCH(AD73,LMH_KEY,0)),0)</f>
        <v>1</v>
      </c>
      <c r="BS73" s="38">
        <f>IFERROR(INDEX(LMH_PTS,MATCH(AE73,LMH_KEY,0)),0)</f>
        <v>1</v>
      </c>
      <c r="BT73" s="38">
        <f>IFERROR(INDEX(LMH_STEP,MATCH(AF73,LMH_KEY,0)),0)</f>
        <v>0</v>
      </c>
      <c r="BU73" s="38">
        <f>IFERROR(INDEX(LMH_STEP,MATCH(AG73,LMH_KEY,0)),0)</f>
        <v>0</v>
      </c>
      <c r="BV73" s="38">
        <f>IFERROR(INDEX(LMH_STEP,MATCH(AH73,LMH_KEY,0)),0)</f>
        <v>0</v>
      </c>
      <c r="BW73" s="38">
        <f>IFERROR(INDEX(LMH_STEP,MATCH(AI73,LMH_KEY,0)),0)</f>
        <v>0</v>
      </c>
      <c r="BX73" s="38">
        <f>IFERROR(INDEX(LMH_STEP,MATCH(AJ73,LMH_KEY,0)),0)</f>
        <v>0</v>
      </c>
      <c r="BY73" s="38">
        <f>IFERROR(INDEX(LMH_STEP,MATCH(AK73,LMH_KEY,0)),0)</f>
        <v>0</v>
      </c>
      <c r="BZ73" s="38">
        <f>IFERROR(INDEX(LMH_STEP,MATCH(AL73,LMH_KEY,0)),0)</f>
        <v>0</v>
      </c>
      <c r="CA73" s="38" t="inlineStr">
        <is>
          <t>Consume|Digitizing|Digitization Specialist|A3|A</t>
        </is>
      </c>
    </row>
    <row r="74" ht="110" customHeight="1">
      <c r="A74" s="28" t="inlineStr">
        <is>
          <t>Consume</t>
        </is>
      </c>
      <c r="B74" s="29" t="inlineStr">
        <is>
          <t>Digitizing</t>
        </is>
      </c>
      <c r="C74" s="29" t="n">
        <v>7</v>
      </c>
      <c r="D74" s="29" t="inlineStr">
        <is>
          <t>IRIS0110</t>
        </is>
      </c>
      <c r="E74" s="29" t="inlineStr">
        <is>
          <t>Aniket Manval</t>
        </is>
      </c>
      <c r="F74" s="29" t="inlineStr">
        <is>
          <t>Image Processing Specialist</t>
        </is>
      </c>
      <c r="G74" s="29" t="inlineStr">
        <is>
          <t>Senior Digitization Associate</t>
        </is>
      </c>
      <c r="H74" s="29" t="inlineStr">
        <is>
          <t>Data Operations &amp; Digitization</t>
        </is>
      </c>
      <c r="I74" s="29" t="inlineStr">
        <is>
          <t>Document Conversion, Formatting &amp; Web Publishing</t>
        </is>
      </c>
      <c r="J74" s="29" t="inlineStr">
        <is>
          <t>IC</t>
        </is>
      </c>
      <c r="K74" s="29" t="inlineStr">
        <is>
          <t>RC-047</t>
        </is>
      </c>
      <c r="L74" s="29" t="inlineStr">
        <is>
          <t>Shraddha Patil</t>
        </is>
      </c>
      <c r="M74" s="29" t="inlineStr">
        <is>
          <t>IRIS0114</t>
        </is>
      </c>
      <c r="N74" s="29" t="n">
        <v>19.4</v>
      </c>
      <c r="O74" s="29" t="n">
        <v>19.1</v>
      </c>
      <c r="P74" s="29" t="inlineStr">
        <is>
          <t>Undergraduate</t>
        </is>
      </c>
      <c r="Q74" s="29" t="inlineStr">
        <is>
          <t>L3 – Professional / Associate</t>
        </is>
      </c>
      <c r="R74" s="29" t="inlineStr">
        <is>
          <t>A3</t>
        </is>
      </c>
      <c r="S74" s="30" t="inlineStr">
        <is>
          <t>20 of 20</t>
        </is>
      </c>
      <c r="T74" s="31" t="inlineStr">
        <is>
          <t>• Role / sub-team: Digitizing — Image Processing Specialist.
• Core purpose: Uploading content on RBI website from client site.
• Decision-making autonomy: Can independently upload Content.
• Is this something only they do: QA/testing — verifies changes before release.
• What's different about this role: The process. It is very risky and confidential …</t>
        </is>
      </c>
      <c r="U74" s="31" t="inlineStr">
        <is>
          <t>Received · manager annual · 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manage …</t>
        </is>
      </c>
      <c r="V74" s="31" t="inlineStr">
        <is>
          <t>Latest rating: 4 · Potential: High · 9-box: Core Contributor · Readiness: Ready now</t>
        </is>
      </c>
      <c r="W74" s="31" t="inlineStr">
        <is>
          <t>C M · Au M · Ac M · L L · BI M · Exp H · 19.4 yrs vs 2–4 yrs · Edu L · Undergraduate</t>
        </is>
      </c>
      <c r="X74" s="33" t="inlineStr">
        <is>
          <t>Open ▸</t>
        </is>
      </c>
      <c r="Y74" s="34" t="str">
        <f>IFERROR(INDEX(DL_C,MATCH($CA74,DL_KEY,0)),"M")</f>
        <v>H</v>
      </c>
      <c r="Z74" s="35" t="str">
        <f>IFERROR(INDEX(DL_Au,MATCH($CA74,DL_KEY,0)),"M")</f>
        <v>M</v>
      </c>
      <c r="AA74" s="35" t="str">
        <f>IFERROR(INDEX(DL_Ac,MATCH($CA74,DL_KEY,0)),"M")</f>
        <v>M</v>
      </c>
      <c r="AB74" s="35" t="str">
        <f>IFERROR(INDEX(DL_L,MATCH($CA74,DL_KEY,0)),"M")</f>
        <v>L</v>
      </c>
      <c r="AC74" s="35" t="str">
        <f>IFERROR(INDEX(DL_BI,MATCH($CA74,DL_KEY,0)),"M")</f>
        <v>L</v>
      </c>
      <c r="AD74" s="35" t="str">
        <f>IFERROR(INDEX(DL_Exp,MATCH($CA74,DL_KEY,0)),"M")</f>
        <v>L</v>
      </c>
      <c r="AE74" s="35" t="str">
        <f>IFERROR(INDEX(DL_Edu,MATCH($CA74,DL_KEY,0)),"M")</f>
        <v>L</v>
      </c>
      <c r="AF74" s="34" t="inlineStr">
        <is>
          <t>M</t>
        </is>
      </c>
      <c r="AG74" s="35" t="inlineStr">
        <is>
          <t>M</t>
        </is>
      </c>
      <c r="AH74" s="35" t="inlineStr">
        <is>
          <t>M</t>
        </is>
      </c>
      <c r="AI74" s="35" t="inlineStr">
        <is>
          <t>M</t>
        </is>
      </c>
      <c r="AJ74" s="35" t="inlineStr">
        <is>
          <t>M</t>
        </is>
      </c>
      <c r="AK74" s="35" t="inlineStr">
        <is>
          <t>M</t>
        </is>
      </c>
      <c r="AL74" s="35" t="inlineStr">
        <is>
          <t>M</t>
        </is>
      </c>
      <c r="AM74" s="36" t="n">
        <v>0.583</v>
      </c>
      <c r="AN74" s="37" t="n">
        <v>0.16</v>
      </c>
      <c r="AO74" s="37" t="n">
        <v>0.09</v>
      </c>
      <c r="AP74" s="37" t="n">
        <v>0</v>
      </c>
      <c r="AQ74" s="37" t="n">
        <v>0.063</v>
      </c>
      <c r="AR74" s="37" t="n">
        <v>0.06</v>
      </c>
      <c r="AS74" s="37" t="n">
        <v>0.04</v>
      </c>
      <c r="AT74" s="38" t="inlineStr">
        <is>
          <t>2–5</t>
        </is>
      </c>
      <c r="AU74" s="38" t="inlineStr">
        <is>
          <t>Graduate; relevant certification preferred</t>
        </is>
      </c>
      <c r="AV74" s="38" t="inlineStr">
        <is>
          <t>None · guides 1–3 juniors informally</t>
        </is>
      </c>
      <c r="AW74" s="38" t="inlineStr">
        <is>
          <t>P2 · SFIA 3 Apply</t>
        </is>
      </c>
      <c r="AX7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74" s="39" t="inlineStr">
        <is>
          <t>A3</t>
        </is>
      </c>
      <c r="AZ74" s="40" t="inlineStr">
        <is>
          <t>Band A · Practitioner · Senior Associate</t>
        </is>
      </c>
      <c r="BA74" s="40" t="inlineStr">
        <is>
          <t>Model A3 from the six ratings, the market-derived weights and rules R1–R13 · then No change · already below the manager</t>
        </is>
      </c>
      <c r="BB74" s="41" t="inlineStr">
        <is>
          <t>A3</t>
        </is>
      </c>
      <c r="BC74" s="40" t="inlineStr">
        <is>
          <t>The six ratings on the market-average weights of Band A · all tracks score 3.18 → A3 · Hay, Mercer IPE and public plans · experience 19.4 yrs vs the A3 market range 2–5</t>
        </is>
      </c>
      <c r="BD74" s="42">
        <f>IF(SUM(BM74,BN74,BO74,BP74,BQ74,BR74,BS74)=0,0,(BM74*BT74+BN74*BU74+BO74*BV74+BP74*BW74+BQ74*BX74+BR74*BY74+BS74*BZ74)/SUM(BM74,BN74,BO74,BP74,BQ74,BR74,BS74))</f>
        <v>0</v>
      </c>
      <c r="BE74" s="41" t="str">
        <f>IF(LEFT(AY74,1)="X",AY74,IF(OR(AY74="B+",AY74="C+"),INDEX(LAD_PC,MAX(1,MIN(14,MATCH(AY74,LAD_PC,0)+IF(BD74&gt;=0.5,1,IF(BD74&lt;=-0.5,-1,0))))),INDEX(LAD_STD,MAX(1,MIN(12,MATCH(AY74,LAD_STD,0)+IF(BD74&gt;=0.5,1,IF(BD74&lt;=-0.5,-1,0)))))))</f>
        <v>A3</v>
      </c>
      <c r="BF74" s="43" t="n"/>
      <c r="BG74" s="41" t="str">
        <f>IF(BF74&lt;&gt;"",BF74,BE74)</f>
        <v>A3</v>
      </c>
      <c r="BH74" s="40" t="str">
        <f>IFERROR(CHOOSE(INDEX(B_RANK,MATCH(BG74,B_LVL,0)),"Band A","Band B","B+ · Player-Coach","Band C","C+ · Player-Coach","Band D","Band E"),"Band X · Consultant")</f>
        <v>Band A</v>
      </c>
      <c r="BI74" s="40" t="str">
        <f>IF(BG74=AY74,"• Same",IF(INDEX(B_VAL,MATCH(BG74,B_LVL,0))&gt;INDEX(B_VAL,MATCH(AY74,B_LVL,0)),"▲ Up","▼ Down"))</f>
        <v>• Same</v>
      </c>
      <c r="BJ74" s="40" t="str">
        <f>IF(OR($M74="",$M74="—",$M74="Not in this file"),"",IFERROR(INDEX($BG$7:$BG$592,MATCH($M74,$D$7:$D$592,0)),""))</f>
        <v>B1</v>
      </c>
      <c r="BK74" s="40" t="str">
        <f>IFERROR(IF(BJ74="","—",IF(OR(LEFT(BG74,1)="X",LEFT(BJ74,1)="X"),"—",IF(AND(LEFT(BG74,1)="E",LEFT(BJ74,1)="E"),"Exception · Band E",IF(AND(INDEX(B_VAL,MATCH(BJ74,B_LVL,0))&gt;=7,INDEX(B_RANK,MATCH(BG74,B_LVL,0))&gt;=INDEX(B_RANK,MATCH(BJ74,B_LVL,0))),"⚠ Same band as a head manager",IF(INDEX(B_VAL,MATCH(BG74,B_LVL,0))&gt;=INDEX(B_VAL,MATCH(BJ74,B_LVL,0)),"⚠ At or above the manager's level","OK"))))),"—")</f>
        <v>OK</v>
      </c>
      <c r="BL74" s="43" t="n"/>
      <c r="BM74" s="44">
        <f>IFERROR(INDEX(LMH_PTS,MATCH(Y74,LMH_KEY,0)),0)</f>
        <v>9</v>
      </c>
      <c r="BN74" s="38">
        <f>IFERROR(INDEX(LMH_PTS,MATCH(Z74,LMH_KEY,0)),0)</f>
        <v>3</v>
      </c>
      <c r="BO74" s="38">
        <f>IFERROR(INDEX(LMH_PTS,MATCH(AA74,LMH_KEY,0)),0)</f>
        <v>3</v>
      </c>
      <c r="BP74" s="38">
        <f>IFERROR(INDEX(LMH_PTS,MATCH(AB74,LMH_KEY,0)),0)</f>
        <v>1</v>
      </c>
      <c r="BQ74" s="38">
        <f>IFERROR(INDEX(LMH_PTS,MATCH(AC74,LMH_KEY,0)),0)</f>
        <v>1</v>
      </c>
      <c r="BR74" s="38">
        <f>IFERROR(INDEX(LMH_PTS,MATCH(AD74,LMH_KEY,0)),0)</f>
        <v>1</v>
      </c>
      <c r="BS74" s="38">
        <f>IFERROR(INDEX(LMH_PTS,MATCH(AE74,LMH_KEY,0)),0)</f>
        <v>1</v>
      </c>
      <c r="BT74" s="38">
        <f>IFERROR(INDEX(LMH_STEP,MATCH(AF74,LMH_KEY,0)),0)</f>
        <v>0</v>
      </c>
      <c r="BU74" s="38">
        <f>IFERROR(INDEX(LMH_STEP,MATCH(AG74,LMH_KEY,0)),0)</f>
        <v>0</v>
      </c>
      <c r="BV74" s="38">
        <f>IFERROR(INDEX(LMH_STEP,MATCH(AH74,LMH_KEY,0)),0)</f>
        <v>0</v>
      </c>
      <c r="BW74" s="38">
        <f>IFERROR(INDEX(LMH_STEP,MATCH(AI74,LMH_KEY,0)),0)</f>
        <v>0</v>
      </c>
      <c r="BX74" s="38">
        <f>IFERROR(INDEX(LMH_STEP,MATCH(AJ74,LMH_KEY,0)),0)</f>
        <v>0</v>
      </c>
      <c r="BY74" s="38">
        <f>IFERROR(INDEX(LMH_STEP,MATCH(AK74,LMH_KEY,0)),0)</f>
        <v>0</v>
      </c>
      <c r="BZ74" s="38">
        <f>IFERROR(INDEX(LMH_STEP,MATCH(AL74,LMH_KEY,0)),0)</f>
        <v>0</v>
      </c>
      <c r="CA74" s="38" t="inlineStr">
        <is>
          <t>Consume|Digitizing|Senior Digitization Associate|A3|A</t>
        </is>
      </c>
    </row>
    <row r="75" ht="110" customHeight="1">
      <c r="A75" s="28" t="inlineStr">
        <is>
          <t>Consume</t>
        </is>
      </c>
      <c r="B75" s="29" t="inlineStr">
        <is>
          <t>Digitizing</t>
        </is>
      </c>
      <c r="C75" s="29" t="n">
        <v>7</v>
      </c>
      <c r="D75" s="29" t="inlineStr">
        <is>
          <t>IRIS0170</t>
        </is>
      </c>
      <c r="E75" s="29" t="inlineStr">
        <is>
          <t>Manish Paithankar</t>
        </is>
      </c>
      <c r="F75" s="29" t="inlineStr">
        <is>
          <t>Image Processing Specialist</t>
        </is>
      </c>
      <c r="G75" s="29" t="inlineStr">
        <is>
          <t>Senior Digitization Associate</t>
        </is>
      </c>
      <c r="H75" s="29" t="inlineStr">
        <is>
          <t>Data Operations &amp; Digitization</t>
        </is>
      </c>
      <c r="I75" s="29" t="inlineStr">
        <is>
          <t>Document Conversion, Formatting &amp; Web Publishing</t>
        </is>
      </c>
      <c r="J75" s="29" t="inlineStr">
        <is>
          <t>IC</t>
        </is>
      </c>
      <c r="K75" s="29" t="inlineStr">
        <is>
          <t>RC-047</t>
        </is>
      </c>
      <c r="L75" s="29" t="inlineStr">
        <is>
          <t>Shraddha Patil</t>
        </is>
      </c>
      <c r="M75" s="29" t="inlineStr">
        <is>
          <t>IRIS0114</t>
        </is>
      </c>
      <c r="N75" s="29" t="n">
        <v>18.7</v>
      </c>
      <c r="O75" s="29" t="n">
        <v>18.7</v>
      </c>
      <c r="P75" s="29" t="inlineStr">
        <is>
          <t>B.Com</t>
        </is>
      </c>
      <c r="Q75" s="29" t="inlineStr">
        <is>
          <t>L3 – Professional / Associate</t>
        </is>
      </c>
      <c r="R75" s="29" t="inlineStr">
        <is>
          <t>A3</t>
        </is>
      </c>
      <c r="S75" s="30" t="inlineStr">
        <is>
          <t>20 of 20</t>
        </is>
      </c>
      <c r="T75" s="31" t="inlineStr">
        <is>
          <t>• Role / sub-team: Digitizing — Image Processing Specialist.
• Core purpose: Input not given by Participant.
• Decision-making autonomy: Input not given by Participant.
• Is this something only they do: Input not given by Participant.</t>
        </is>
      </c>
      <c r="U75" s="31" t="inlineStr">
        <is>
          <t>Received · manager annual · 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manage …</t>
        </is>
      </c>
      <c r="V75" s="31" t="inlineStr">
        <is>
          <t>Latest rating: 3 · Potential: Medium · 9-box: Core Contributor · Readiness: Develop in role</t>
        </is>
      </c>
      <c r="W75" s="31" t="inlineStr">
        <is>
          <t>C M · Au M · Ac M · L L · BI M · Exp H · 18.7 yrs vs 2–4 yrs · Edu M · B.Com</t>
        </is>
      </c>
      <c r="X75" s="33" t="inlineStr">
        <is>
          <t>Open ▸</t>
        </is>
      </c>
      <c r="Y75" s="34" t="str">
        <f>IFERROR(INDEX(DL_C,MATCH($CA75,DL_KEY,0)),"M")</f>
        <v>H</v>
      </c>
      <c r="Z75" s="35" t="str">
        <f>IFERROR(INDEX(DL_Au,MATCH($CA75,DL_KEY,0)),"M")</f>
        <v>M</v>
      </c>
      <c r="AA75" s="35" t="str">
        <f>IFERROR(INDEX(DL_Ac,MATCH($CA75,DL_KEY,0)),"M")</f>
        <v>M</v>
      </c>
      <c r="AB75" s="35" t="str">
        <f>IFERROR(INDEX(DL_L,MATCH($CA75,DL_KEY,0)),"M")</f>
        <v>L</v>
      </c>
      <c r="AC75" s="35" t="str">
        <f>IFERROR(INDEX(DL_BI,MATCH($CA75,DL_KEY,0)),"M")</f>
        <v>L</v>
      </c>
      <c r="AD75" s="35" t="str">
        <f>IFERROR(INDEX(DL_Exp,MATCH($CA75,DL_KEY,0)),"M")</f>
        <v>L</v>
      </c>
      <c r="AE75" s="35" t="str">
        <f>IFERROR(INDEX(DL_Edu,MATCH($CA75,DL_KEY,0)),"M")</f>
        <v>L</v>
      </c>
      <c r="AF75" s="34" t="inlineStr">
        <is>
          <t>M</t>
        </is>
      </c>
      <c r="AG75" s="35" t="inlineStr">
        <is>
          <t>M</t>
        </is>
      </c>
      <c r="AH75" s="35" t="inlineStr">
        <is>
          <t>M</t>
        </is>
      </c>
      <c r="AI75" s="35" t="inlineStr">
        <is>
          <t>M</t>
        </is>
      </c>
      <c r="AJ75" s="35" t="inlineStr">
        <is>
          <t>M</t>
        </is>
      </c>
      <c r="AK75" s="35" t="inlineStr">
        <is>
          <t>M</t>
        </is>
      </c>
      <c r="AL75" s="35" t="inlineStr">
        <is>
          <t>M</t>
        </is>
      </c>
      <c r="AM75" s="36" t="n">
        <v>0.583</v>
      </c>
      <c r="AN75" s="37" t="n">
        <v>0.16</v>
      </c>
      <c r="AO75" s="37" t="n">
        <v>0.09</v>
      </c>
      <c r="AP75" s="37" t="n">
        <v>0</v>
      </c>
      <c r="AQ75" s="37" t="n">
        <v>0.063</v>
      </c>
      <c r="AR75" s="37" t="n">
        <v>0.06</v>
      </c>
      <c r="AS75" s="37" t="n">
        <v>0.04</v>
      </c>
      <c r="AT75" s="38" t="inlineStr">
        <is>
          <t>2–5</t>
        </is>
      </c>
      <c r="AU75" s="38" t="inlineStr">
        <is>
          <t>Graduate; relevant certification preferred</t>
        </is>
      </c>
      <c r="AV75" s="38" t="inlineStr">
        <is>
          <t>None · guides 1–3 juniors informally</t>
        </is>
      </c>
      <c r="AW75" s="38" t="inlineStr">
        <is>
          <t>P2 · SFIA 3 Apply</t>
        </is>
      </c>
      <c r="AX7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75" s="39" t="inlineStr">
        <is>
          <t>A3</t>
        </is>
      </c>
      <c r="AZ75" s="40" t="inlineStr">
        <is>
          <t>Band A · Practitioner · Senior Associate</t>
        </is>
      </c>
      <c r="BA75" s="40" t="inlineStr">
        <is>
          <t>Model A3 from the six ratings, the market-derived weights and rules R1–R13 · then No change · already below the manager</t>
        </is>
      </c>
      <c r="BB75" s="41" t="inlineStr">
        <is>
          <t>B1</t>
        </is>
      </c>
      <c r="BC75" s="40" t="inlineStr">
        <is>
          <t>The six ratings on the market-average weights of Band A · all tracks score 3.61 → B1 · Hay, Mercer IPE and public plans · experience 18.7 yrs vs the B1 market range 4–8</t>
        </is>
      </c>
      <c r="BD75" s="42">
        <f>IF(SUM(BM75,BN75,BO75,BP75,BQ75,BR75,BS75)=0,0,(BM75*BT75+BN75*BU75+BO75*BV75+BP75*BW75+BQ75*BX75+BR75*BY75+BS75*BZ75)/SUM(BM75,BN75,BO75,BP75,BQ75,BR75,BS75))</f>
        <v>0</v>
      </c>
      <c r="BE75" s="41" t="str">
        <f>IF(LEFT(AY75,1)="X",AY75,IF(OR(AY75="B+",AY75="C+"),INDEX(LAD_PC,MAX(1,MIN(14,MATCH(AY75,LAD_PC,0)+IF(BD75&gt;=0.5,1,IF(BD75&lt;=-0.5,-1,0))))),INDEX(LAD_STD,MAX(1,MIN(12,MATCH(AY75,LAD_STD,0)+IF(BD75&gt;=0.5,1,IF(BD75&lt;=-0.5,-1,0)))))))</f>
        <v>A3</v>
      </c>
      <c r="BF75" s="43" t="n"/>
      <c r="BG75" s="41" t="str">
        <f>IF(BF75&lt;&gt;"",BF75,BE75)</f>
        <v>A3</v>
      </c>
      <c r="BH75" s="40" t="str">
        <f>IFERROR(CHOOSE(INDEX(B_RANK,MATCH(BG75,B_LVL,0)),"Band A","Band B","B+ · Player-Coach","Band C","C+ · Player-Coach","Band D","Band E"),"Band X · Consultant")</f>
        <v>Band A</v>
      </c>
      <c r="BI75" s="40" t="str">
        <f>IF(BG75=AY75,"• Same",IF(INDEX(B_VAL,MATCH(BG75,B_LVL,0))&gt;INDEX(B_VAL,MATCH(AY75,B_LVL,0)),"▲ Up","▼ Down"))</f>
        <v>• Same</v>
      </c>
      <c r="BJ75" s="40" t="str">
        <f>IF(OR($M75="",$M75="—",$M75="Not in this file"),"",IFERROR(INDEX($BG$7:$BG$592,MATCH($M75,$D$7:$D$592,0)),""))</f>
        <v>B1</v>
      </c>
      <c r="BK75" s="40" t="str">
        <f>IFERROR(IF(BJ75="","—",IF(OR(LEFT(BG75,1)="X",LEFT(BJ75,1)="X"),"—",IF(AND(LEFT(BG75,1)="E",LEFT(BJ75,1)="E"),"Exception · Band E",IF(AND(INDEX(B_VAL,MATCH(BJ75,B_LVL,0))&gt;=7,INDEX(B_RANK,MATCH(BG75,B_LVL,0))&gt;=INDEX(B_RANK,MATCH(BJ75,B_LVL,0))),"⚠ Same band as a head manager",IF(INDEX(B_VAL,MATCH(BG75,B_LVL,0))&gt;=INDEX(B_VAL,MATCH(BJ75,B_LVL,0)),"⚠ At or above the manager's level","OK"))))),"—")</f>
        <v>OK</v>
      </c>
      <c r="BL75" s="43" t="n"/>
      <c r="BM75" s="44">
        <f>IFERROR(INDEX(LMH_PTS,MATCH(Y75,LMH_KEY,0)),0)</f>
        <v>9</v>
      </c>
      <c r="BN75" s="38">
        <f>IFERROR(INDEX(LMH_PTS,MATCH(Z75,LMH_KEY,0)),0)</f>
        <v>3</v>
      </c>
      <c r="BO75" s="38">
        <f>IFERROR(INDEX(LMH_PTS,MATCH(AA75,LMH_KEY,0)),0)</f>
        <v>3</v>
      </c>
      <c r="BP75" s="38">
        <f>IFERROR(INDEX(LMH_PTS,MATCH(AB75,LMH_KEY,0)),0)</f>
        <v>1</v>
      </c>
      <c r="BQ75" s="38">
        <f>IFERROR(INDEX(LMH_PTS,MATCH(AC75,LMH_KEY,0)),0)</f>
        <v>1</v>
      </c>
      <c r="BR75" s="38">
        <f>IFERROR(INDEX(LMH_PTS,MATCH(AD75,LMH_KEY,0)),0)</f>
        <v>1</v>
      </c>
      <c r="BS75" s="38">
        <f>IFERROR(INDEX(LMH_PTS,MATCH(AE75,LMH_KEY,0)),0)</f>
        <v>1</v>
      </c>
      <c r="BT75" s="38">
        <f>IFERROR(INDEX(LMH_STEP,MATCH(AF75,LMH_KEY,0)),0)</f>
        <v>0</v>
      </c>
      <c r="BU75" s="38">
        <f>IFERROR(INDEX(LMH_STEP,MATCH(AG75,LMH_KEY,0)),0)</f>
        <v>0</v>
      </c>
      <c r="BV75" s="38">
        <f>IFERROR(INDEX(LMH_STEP,MATCH(AH75,LMH_KEY,0)),0)</f>
        <v>0</v>
      </c>
      <c r="BW75" s="38">
        <f>IFERROR(INDEX(LMH_STEP,MATCH(AI75,LMH_KEY,0)),0)</f>
        <v>0</v>
      </c>
      <c r="BX75" s="38">
        <f>IFERROR(INDEX(LMH_STEP,MATCH(AJ75,LMH_KEY,0)),0)</f>
        <v>0</v>
      </c>
      <c r="BY75" s="38">
        <f>IFERROR(INDEX(LMH_STEP,MATCH(AK75,LMH_KEY,0)),0)</f>
        <v>0</v>
      </c>
      <c r="BZ75" s="38">
        <f>IFERROR(INDEX(LMH_STEP,MATCH(AL75,LMH_KEY,0)),0)</f>
        <v>0</v>
      </c>
      <c r="CA75" s="38" t="inlineStr">
        <is>
          <t>Consume|Digitizing|Senior Digitization Associate|A3|A</t>
        </is>
      </c>
    </row>
    <row r="76" ht="110" customHeight="1">
      <c r="A76" s="28" t="inlineStr">
        <is>
          <t>Consume</t>
        </is>
      </c>
      <c r="B76" s="29" t="inlineStr">
        <is>
          <t>Digitizing</t>
        </is>
      </c>
      <c r="C76" s="29" t="n">
        <v>7</v>
      </c>
      <c r="D76" s="29" t="inlineStr">
        <is>
          <t>IRIS1211</t>
        </is>
      </c>
      <c r="E76" s="29" t="inlineStr">
        <is>
          <t>Manoj Ravidas</t>
        </is>
      </c>
      <c r="F76" s="29" t="inlineStr">
        <is>
          <t>Image Processing Specialist</t>
        </is>
      </c>
      <c r="G76" s="29" t="inlineStr">
        <is>
          <t>Senior Digitization Associate</t>
        </is>
      </c>
      <c r="H76" s="29" t="inlineStr">
        <is>
          <t>Data Operations &amp; Digitization</t>
        </is>
      </c>
      <c r="I76" s="29" t="inlineStr">
        <is>
          <t>Document Conversion, Formatting &amp; Web Publishing</t>
        </is>
      </c>
      <c r="J76" s="29" t="inlineStr">
        <is>
          <t>IC</t>
        </is>
      </c>
      <c r="K76" s="29" t="inlineStr">
        <is>
          <t>RC-047</t>
        </is>
      </c>
      <c r="L76" s="29" t="inlineStr">
        <is>
          <t>Shraddha Patil</t>
        </is>
      </c>
      <c r="M76" s="29" t="inlineStr">
        <is>
          <t>IRIS0114</t>
        </is>
      </c>
      <c r="N76" s="29" t="n">
        <v>16.3</v>
      </c>
      <c r="O76" s="29" t="n">
        <v>16.3</v>
      </c>
      <c r="P76" s="29" t="inlineStr">
        <is>
          <t>B.Com</t>
        </is>
      </c>
      <c r="Q76" s="29" t="inlineStr">
        <is>
          <t>L3 – Professional / Associate</t>
        </is>
      </c>
      <c r="R76" s="29" t="inlineStr">
        <is>
          <t>A3</t>
        </is>
      </c>
      <c r="S76" s="30" t="inlineStr">
        <is>
          <t>20 of 20</t>
        </is>
      </c>
      <c r="T76" s="31" t="inlineStr">
        <is>
          <t>• Role / sub-team: Digitizing — Image Processing Specialist.
• Core purpose: Delivering results, solving problems, and supporting the overall success of the organization.
• Decision-making autonomy: Can independently hard work.
• Is this something only they do: Everyone Mainten and Upload File in RBI Website.
• What's different about this role: RBI client …</t>
        </is>
      </c>
      <c r="U76" s="31" t="inlineStr">
        <is>
          <t>Received · manager annual · 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manage …</t>
        </is>
      </c>
      <c r="V76" s="31" t="inlineStr">
        <is>
          <t>Latest rating: 4 · Potential: High · 9-box: Core Contributor · Readiness: Ready now</t>
        </is>
      </c>
      <c r="W76" s="31" t="inlineStr">
        <is>
          <t>C M · Au M · Ac M · L L · BI M · Exp H · 16.3 yrs vs 2–4 yrs · Edu M · B.Com</t>
        </is>
      </c>
      <c r="X76" s="33" t="inlineStr">
        <is>
          <t>Open ▸</t>
        </is>
      </c>
      <c r="Y76" s="34" t="str">
        <f>IFERROR(INDEX(DL_C,MATCH($CA76,DL_KEY,0)),"M")</f>
        <v>H</v>
      </c>
      <c r="Z76" s="35" t="str">
        <f>IFERROR(INDEX(DL_Au,MATCH($CA76,DL_KEY,0)),"M")</f>
        <v>M</v>
      </c>
      <c r="AA76" s="35" t="str">
        <f>IFERROR(INDEX(DL_Ac,MATCH($CA76,DL_KEY,0)),"M")</f>
        <v>M</v>
      </c>
      <c r="AB76" s="35" t="str">
        <f>IFERROR(INDEX(DL_L,MATCH($CA76,DL_KEY,0)),"M")</f>
        <v>L</v>
      </c>
      <c r="AC76" s="35" t="str">
        <f>IFERROR(INDEX(DL_BI,MATCH($CA76,DL_KEY,0)),"M")</f>
        <v>L</v>
      </c>
      <c r="AD76" s="35" t="str">
        <f>IFERROR(INDEX(DL_Exp,MATCH($CA76,DL_KEY,0)),"M")</f>
        <v>L</v>
      </c>
      <c r="AE76" s="35" t="str">
        <f>IFERROR(INDEX(DL_Edu,MATCH($CA76,DL_KEY,0)),"M")</f>
        <v>L</v>
      </c>
      <c r="AF76" s="34" t="inlineStr">
        <is>
          <t>M</t>
        </is>
      </c>
      <c r="AG76" s="35" t="inlineStr">
        <is>
          <t>M</t>
        </is>
      </c>
      <c r="AH76" s="35" t="inlineStr">
        <is>
          <t>M</t>
        </is>
      </c>
      <c r="AI76" s="35" t="inlineStr">
        <is>
          <t>M</t>
        </is>
      </c>
      <c r="AJ76" s="35" t="inlineStr">
        <is>
          <t>M</t>
        </is>
      </c>
      <c r="AK76" s="35" t="inlineStr">
        <is>
          <t>M</t>
        </is>
      </c>
      <c r="AL76" s="35" t="inlineStr">
        <is>
          <t>M</t>
        </is>
      </c>
      <c r="AM76" s="36" t="n">
        <v>0.583</v>
      </c>
      <c r="AN76" s="37" t="n">
        <v>0.16</v>
      </c>
      <c r="AO76" s="37" t="n">
        <v>0.09</v>
      </c>
      <c r="AP76" s="37" t="n">
        <v>0</v>
      </c>
      <c r="AQ76" s="37" t="n">
        <v>0.063</v>
      </c>
      <c r="AR76" s="37" t="n">
        <v>0.06</v>
      </c>
      <c r="AS76" s="37" t="n">
        <v>0.04</v>
      </c>
      <c r="AT76" s="38" t="inlineStr">
        <is>
          <t>2–5</t>
        </is>
      </c>
      <c r="AU76" s="38" t="inlineStr">
        <is>
          <t>Graduate; relevant certification preferred</t>
        </is>
      </c>
      <c r="AV76" s="38" t="inlineStr">
        <is>
          <t>None · guides 1–3 juniors informally</t>
        </is>
      </c>
      <c r="AW76" s="38" t="inlineStr">
        <is>
          <t>P2 · SFIA 3 Apply</t>
        </is>
      </c>
      <c r="AX7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76" s="39" t="inlineStr">
        <is>
          <t>A3</t>
        </is>
      </c>
      <c r="AZ76" s="40" t="inlineStr">
        <is>
          <t>Band A · Practitioner · Senior Associate</t>
        </is>
      </c>
      <c r="BA76" s="40" t="inlineStr">
        <is>
          <t>Model A3 from the six ratings, the market-derived weights and rules R1–R13 · then No change · already below the manager</t>
        </is>
      </c>
      <c r="BB76" s="41" t="inlineStr">
        <is>
          <t>B1</t>
        </is>
      </c>
      <c r="BC76" s="40" t="inlineStr">
        <is>
          <t>The six ratings on the market-average weights of Band A · all tracks score 3.51 → B1 · Hay, Mercer IPE and public plans · experience 16.3 yrs vs the B1 market range 4–8</t>
        </is>
      </c>
      <c r="BD76" s="42">
        <f>IF(SUM(BM76,BN76,BO76,BP76,BQ76,BR76,BS76)=0,0,(BM76*BT76+BN76*BU76+BO76*BV76+BP76*BW76+BQ76*BX76+BR76*BY76+BS76*BZ76)/SUM(BM76,BN76,BO76,BP76,BQ76,BR76,BS76))</f>
        <v>0</v>
      </c>
      <c r="BE76" s="41" t="str">
        <f>IF(LEFT(AY76,1)="X",AY76,IF(OR(AY76="B+",AY76="C+"),INDEX(LAD_PC,MAX(1,MIN(14,MATCH(AY76,LAD_PC,0)+IF(BD76&gt;=0.5,1,IF(BD76&lt;=-0.5,-1,0))))),INDEX(LAD_STD,MAX(1,MIN(12,MATCH(AY76,LAD_STD,0)+IF(BD76&gt;=0.5,1,IF(BD76&lt;=-0.5,-1,0)))))))</f>
        <v>A3</v>
      </c>
      <c r="BF76" s="43" t="n"/>
      <c r="BG76" s="41" t="str">
        <f>IF(BF76&lt;&gt;"",BF76,BE76)</f>
        <v>A3</v>
      </c>
      <c r="BH76" s="40" t="str">
        <f>IFERROR(CHOOSE(INDEX(B_RANK,MATCH(BG76,B_LVL,0)),"Band A","Band B","B+ · Player-Coach","Band C","C+ · Player-Coach","Band D","Band E"),"Band X · Consultant")</f>
        <v>Band A</v>
      </c>
      <c r="BI76" s="40" t="str">
        <f>IF(BG76=AY76,"• Same",IF(INDEX(B_VAL,MATCH(BG76,B_LVL,0))&gt;INDEX(B_VAL,MATCH(AY76,B_LVL,0)),"▲ Up","▼ Down"))</f>
        <v>• Same</v>
      </c>
      <c r="BJ76" s="40" t="str">
        <f>IF(OR($M76="",$M76="—",$M76="Not in this file"),"",IFERROR(INDEX($BG$7:$BG$592,MATCH($M76,$D$7:$D$592,0)),""))</f>
        <v>B1</v>
      </c>
      <c r="BK76" s="40" t="str">
        <f>IFERROR(IF(BJ76="","—",IF(OR(LEFT(BG76,1)="X",LEFT(BJ76,1)="X"),"—",IF(AND(LEFT(BG76,1)="E",LEFT(BJ76,1)="E"),"Exception · Band E",IF(AND(INDEX(B_VAL,MATCH(BJ76,B_LVL,0))&gt;=7,INDEX(B_RANK,MATCH(BG76,B_LVL,0))&gt;=INDEX(B_RANK,MATCH(BJ76,B_LVL,0))),"⚠ Same band as a head manager",IF(INDEX(B_VAL,MATCH(BG76,B_LVL,0))&gt;=INDEX(B_VAL,MATCH(BJ76,B_LVL,0)),"⚠ At or above the manager's level","OK"))))),"—")</f>
        <v>OK</v>
      </c>
      <c r="BL76" s="43" t="n"/>
      <c r="BM76" s="44">
        <f>IFERROR(INDEX(LMH_PTS,MATCH(Y76,LMH_KEY,0)),0)</f>
        <v>9</v>
      </c>
      <c r="BN76" s="38">
        <f>IFERROR(INDEX(LMH_PTS,MATCH(Z76,LMH_KEY,0)),0)</f>
        <v>3</v>
      </c>
      <c r="BO76" s="38">
        <f>IFERROR(INDEX(LMH_PTS,MATCH(AA76,LMH_KEY,0)),0)</f>
        <v>3</v>
      </c>
      <c r="BP76" s="38">
        <f>IFERROR(INDEX(LMH_PTS,MATCH(AB76,LMH_KEY,0)),0)</f>
        <v>1</v>
      </c>
      <c r="BQ76" s="38">
        <f>IFERROR(INDEX(LMH_PTS,MATCH(AC76,LMH_KEY,0)),0)</f>
        <v>1</v>
      </c>
      <c r="BR76" s="38">
        <f>IFERROR(INDEX(LMH_PTS,MATCH(AD76,LMH_KEY,0)),0)</f>
        <v>1</v>
      </c>
      <c r="BS76" s="38">
        <f>IFERROR(INDEX(LMH_PTS,MATCH(AE76,LMH_KEY,0)),0)</f>
        <v>1</v>
      </c>
      <c r="BT76" s="38">
        <f>IFERROR(INDEX(LMH_STEP,MATCH(AF76,LMH_KEY,0)),0)</f>
        <v>0</v>
      </c>
      <c r="BU76" s="38">
        <f>IFERROR(INDEX(LMH_STEP,MATCH(AG76,LMH_KEY,0)),0)</f>
        <v>0</v>
      </c>
      <c r="BV76" s="38">
        <f>IFERROR(INDEX(LMH_STEP,MATCH(AH76,LMH_KEY,0)),0)</f>
        <v>0</v>
      </c>
      <c r="BW76" s="38">
        <f>IFERROR(INDEX(LMH_STEP,MATCH(AI76,LMH_KEY,0)),0)</f>
        <v>0</v>
      </c>
      <c r="BX76" s="38">
        <f>IFERROR(INDEX(LMH_STEP,MATCH(AJ76,LMH_KEY,0)),0)</f>
        <v>0</v>
      </c>
      <c r="BY76" s="38">
        <f>IFERROR(INDEX(LMH_STEP,MATCH(AK76,LMH_KEY,0)),0)</f>
        <v>0</v>
      </c>
      <c r="BZ76" s="38">
        <f>IFERROR(INDEX(LMH_STEP,MATCH(AL76,LMH_KEY,0)),0)</f>
        <v>0</v>
      </c>
      <c r="CA76" s="38" t="inlineStr">
        <is>
          <t>Consume|Digitizing|Senior Digitization Associate|A3|A</t>
        </is>
      </c>
    </row>
    <row r="77" ht="110" customHeight="1">
      <c r="A77" s="28" t="inlineStr">
        <is>
          <t>Consume</t>
        </is>
      </c>
      <c r="B77" s="29" t="inlineStr">
        <is>
          <t>Digitizing</t>
        </is>
      </c>
      <c r="C77" s="29" t="n">
        <v>7</v>
      </c>
      <c r="D77" s="29" t="inlineStr">
        <is>
          <t>IRIS1213</t>
        </is>
      </c>
      <c r="E77" s="29" t="inlineStr">
        <is>
          <t>Manoj Tiwari</t>
        </is>
      </c>
      <c r="F77" s="29" t="inlineStr">
        <is>
          <t>Image Processing Specialist</t>
        </is>
      </c>
      <c r="G77" s="29" t="inlineStr">
        <is>
          <t>Senior Digitization Associate</t>
        </is>
      </c>
      <c r="H77" s="29" t="inlineStr">
        <is>
          <t>Data Operations &amp; Digitization</t>
        </is>
      </c>
      <c r="I77" s="29" t="inlineStr">
        <is>
          <t>Document Conversion, Formatting &amp; Web Publishing</t>
        </is>
      </c>
      <c r="J77" s="29" t="inlineStr">
        <is>
          <t>IC</t>
        </is>
      </c>
      <c r="K77" s="29" t="inlineStr">
        <is>
          <t>RC-047</t>
        </is>
      </c>
      <c r="L77" s="29" t="inlineStr">
        <is>
          <t>Shraddha Patil</t>
        </is>
      </c>
      <c r="M77" s="29" t="inlineStr">
        <is>
          <t>IRIS0114</t>
        </is>
      </c>
      <c r="N77" s="29" t="n">
        <v>16.7</v>
      </c>
      <c r="O77" s="29" t="n">
        <v>15.7</v>
      </c>
      <c r="P77" s="29" t="inlineStr">
        <is>
          <t>B.Com</t>
        </is>
      </c>
      <c r="Q77" s="29" t="inlineStr">
        <is>
          <t>L3 – Professional / Associate</t>
        </is>
      </c>
      <c r="R77" s="29" t="inlineStr">
        <is>
          <t>A3</t>
        </is>
      </c>
      <c r="S77" s="30" t="inlineStr">
        <is>
          <t>20 of 20</t>
        </is>
      </c>
      <c r="T77" s="31" t="inlineStr">
        <is>
          <t>• Role / sub-team: Digitizing — Image Processing Specialist.
• Core purpose: My purpose is uploading and updating content on RBI Website.
• Decision-making autonomy: Can independently i verify data accuracy; I check data completeness; I validate HTML content; I upload approved data.
• Is this something only they do: This is a shared responsibility, with a …</t>
        </is>
      </c>
      <c r="U77" s="31" t="inlineStr">
        <is>
          <t>Received · manager annual · 1. Complete assigned conversion/formatting tasks with &gt;=99% accuracy · zero critical errors.
2. Meet 100% of client publishing deadlines · no SLA breaches.
3. Should be well verse with conversion of all RBI documents.
4. Should be well verse with handling of all RBI portal updates/uploads.
5. Interaction with client …</t>
        </is>
      </c>
      <c r="V77" s="31" t="inlineStr">
        <is>
          <t>Latest rating: 4 · Potential: Medium · 9-box: Core Contributor · Readiness: Ready in 6–12 months</t>
        </is>
      </c>
      <c r="W77" s="31" t="inlineStr">
        <is>
          <t>C M · Au M · Ac M · L L · BI M · Exp H · 16.7 yrs vs 2–4 yrs · Edu M · B.Com</t>
        </is>
      </c>
      <c r="X77" s="33" t="inlineStr">
        <is>
          <t>Open ▸</t>
        </is>
      </c>
      <c r="Y77" s="34" t="str">
        <f>IFERROR(INDEX(DL_C,MATCH($CA77,DL_KEY,0)),"M")</f>
        <v>H</v>
      </c>
      <c r="Z77" s="35" t="str">
        <f>IFERROR(INDEX(DL_Au,MATCH($CA77,DL_KEY,0)),"M")</f>
        <v>M</v>
      </c>
      <c r="AA77" s="35" t="str">
        <f>IFERROR(INDEX(DL_Ac,MATCH($CA77,DL_KEY,0)),"M")</f>
        <v>M</v>
      </c>
      <c r="AB77" s="35" t="str">
        <f>IFERROR(INDEX(DL_L,MATCH($CA77,DL_KEY,0)),"M")</f>
        <v>L</v>
      </c>
      <c r="AC77" s="35" t="str">
        <f>IFERROR(INDEX(DL_BI,MATCH($CA77,DL_KEY,0)),"M")</f>
        <v>L</v>
      </c>
      <c r="AD77" s="35" t="str">
        <f>IFERROR(INDEX(DL_Exp,MATCH($CA77,DL_KEY,0)),"M")</f>
        <v>L</v>
      </c>
      <c r="AE77" s="35" t="str">
        <f>IFERROR(INDEX(DL_Edu,MATCH($CA77,DL_KEY,0)),"M")</f>
        <v>L</v>
      </c>
      <c r="AF77" s="34" t="inlineStr">
        <is>
          <t>M</t>
        </is>
      </c>
      <c r="AG77" s="35" t="inlineStr">
        <is>
          <t>M</t>
        </is>
      </c>
      <c r="AH77" s="35" t="inlineStr">
        <is>
          <t>M</t>
        </is>
      </c>
      <c r="AI77" s="35" t="inlineStr">
        <is>
          <t>M</t>
        </is>
      </c>
      <c r="AJ77" s="35" t="inlineStr">
        <is>
          <t>M</t>
        </is>
      </c>
      <c r="AK77" s="35" t="inlineStr">
        <is>
          <t>M</t>
        </is>
      </c>
      <c r="AL77" s="35" t="inlineStr">
        <is>
          <t>M</t>
        </is>
      </c>
      <c r="AM77" s="36" t="n">
        <v>0.583</v>
      </c>
      <c r="AN77" s="37" t="n">
        <v>0.16</v>
      </c>
      <c r="AO77" s="37" t="n">
        <v>0.09</v>
      </c>
      <c r="AP77" s="37" t="n">
        <v>0</v>
      </c>
      <c r="AQ77" s="37" t="n">
        <v>0.063</v>
      </c>
      <c r="AR77" s="37" t="n">
        <v>0.06</v>
      </c>
      <c r="AS77" s="37" t="n">
        <v>0.04</v>
      </c>
      <c r="AT77" s="38" t="inlineStr">
        <is>
          <t>2–5</t>
        </is>
      </c>
      <c r="AU77" s="38" t="inlineStr">
        <is>
          <t>Graduate; relevant certification preferred</t>
        </is>
      </c>
      <c r="AV77" s="38" t="inlineStr">
        <is>
          <t>None · guides 1–3 juniors informally</t>
        </is>
      </c>
      <c r="AW77" s="38" t="inlineStr">
        <is>
          <t>P2 · SFIA 3 Apply</t>
        </is>
      </c>
      <c r="AX7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77" s="39" t="inlineStr">
        <is>
          <t>A3</t>
        </is>
      </c>
      <c r="AZ77" s="40" t="inlineStr">
        <is>
          <t>Band A · Practitioner · Senior Associate</t>
        </is>
      </c>
      <c r="BA77" s="40" t="inlineStr">
        <is>
          <t>Model A3 from the six ratings, the market-derived weights and rules R1–R13 · then No change · already below the manager</t>
        </is>
      </c>
      <c r="BB77" s="41" t="inlineStr">
        <is>
          <t>A3</t>
        </is>
      </c>
      <c r="BC77" s="40" t="inlineStr">
        <is>
          <t>The six ratings on the market-average weights of Band A · all tracks score 3.21 → A3 · Hay, Mercer IPE and public plans · experience 16.7 yrs vs the A3 market range 2–5</t>
        </is>
      </c>
      <c r="BD77" s="42">
        <f>IF(SUM(BM77,BN77,BO77,BP77,BQ77,BR77,BS77)=0,0,(BM77*BT77+BN77*BU77+BO77*BV77+BP77*BW77+BQ77*BX77+BR77*BY77+BS77*BZ77)/SUM(BM77,BN77,BO77,BP77,BQ77,BR77,BS77))</f>
        <v>0</v>
      </c>
      <c r="BE77" s="41" t="str">
        <f>IF(LEFT(AY77,1)="X",AY77,IF(OR(AY77="B+",AY77="C+"),INDEX(LAD_PC,MAX(1,MIN(14,MATCH(AY77,LAD_PC,0)+IF(BD77&gt;=0.5,1,IF(BD77&lt;=-0.5,-1,0))))),INDEX(LAD_STD,MAX(1,MIN(12,MATCH(AY77,LAD_STD,0)+IF(BD77&gt;=0.5,1,IF(BD77&lt;=-0.5,-1,0)))))))</f>
        <v>A3</v>
      </c>
      <c r="BF77" s="43" t="n"/>
      <c r="BG77" s="41" t="str">
        <f>IF(BF77&lt;&gt;"",BF77,BE77)</f>
        <v>A3</v>
      </c>
      <c r="BH77" s="40" t="str">
        <f>IFERROR(CHOOSE(INDEX(B_RANK,MATCH(BG77,B_LVL,0)),"Band A","Band B","B+ · Player-Coach","Band C","C+ · Player-Coach","Band D","Band E"),"Band X · Consultant")</f>
        <v>Band A</v>
      </c>
      <c r="BI77" s="40" t="str">
        <f>IF(BG77=AY77,"• Same",IF(INDEX(B_VAL,MATCH(BG77,B_LVL,0))&gt;INDEX(B_VAL,MATCH(AY77,B_LVL,0)),"▲ Up","▼ Down"))</f>
        <v>• Same</v>
      </c>
      <c r="BJ77" s="40" t="str">
        <f>IF(OR($M77="",$M77="—",$M77="Not in this file"),"",IFERROR(INDEX($BG$7:$BG$592,MATCH($M77,$D$7:$D$592,0)),""))</f>
        <v>B1</v>
      </c>
      <c r="BK77" s="40" t="str">
        <f>IFERROR(IF(BJ77="","—",IF(OR(LEFT(BG77,1)="X",LEFT(BJ77,1)="X"),"—",IF(AND(LEFT(BG77,1)="E",LEFT(BJ77,1)="E"),"Exception · Band E",IF(AND(INDEX(B_VAL,MATCH(BJ77,B_LVL,0))&gt;=7,INDEX(B_RANK,MATCH(BG77,B_LVL,0))&gt;=INDEX(B_RANK,MATCH(BJ77,B_LVL,0))),"⚠ Same band as a head manager",IF(INDEX(B_VAL,MATCH(BG77,B_LVL,0))&gt;=INDEX(B_VAL,MATCH(BJ77,B_LVL,0)),"⚠ At or above the manager's level","OK"))))),"—")</f>
        <v>OK</v>
      </c>
      <c r="BL77" s="43" t="n"/>
      <c r="BM77" s="44">
        <f>IFERROR(INDEX(LMH_PTS,MATCH(Y77,LMH_KEY,0)),0)</f>
        <v>9</v>
      </c>
      <c r="BN77" s="38">
        <f>IFERROR(INDEX(LMH_PTS,MATCH(Z77,LMH_KEY,0)),0)</f>
        <v>3</v>
      </c>
      <c r="BO77" s="38">
        <f>IFERROR(INDEX(LMH_PTS,MATCH(AA77,LMH_KEY,0)),0)</f>
        <v>3</v>
      </c>
      <c r="BP77" s="38">
        <f>IFERROR(INDEX(LMH_PTS,MATCH(AB77,LMH_KEY,0)),0)</f>
        <v>1</v>
      </c>
      <c r="BQ77" s="38">
        <f>IFERROR(INDEX(LMH_PTS,MATCH(AC77,LMH_KEY,0)),0)</f>
        <v>1</v>
      </c>
      <c r="BR77" s="38">
        <f>IFERROR(INDEX(LMH_PTS,MATCH(AD77,LMH_KEY,0)),0)</f>
        <v>1</v>
      </c>
      <c r="BS77" s="38">
        <f>IFERROR(INDEX(LMH_PTS,MATCH(AE77,LMH_KEY,0)),0)</f>
        <v>1</v>
      </c>
      <c r="BT77" s="38">
        <f>IFERROR(INDEX(LMH_STEP,MATCH(AF77,LMH_KEY,0)),0)</f>
        <v>0</v>
      </c>
      <c r="BU77" s="38">
        <f>IFERROR(INDEX(LMH_STEP,MATCH(AG77,LMH_KEY,0)),0)</f>
        <v>0</v>
      </c>
      <c r="BV77" s="38">
        <f>IFERROR(INDEX(LMH_STEP,MATCH(AH77,LMH_KEY,0)),0)</f>
        <v>0</v>
      </c>
      <c r="BW77" s="38">
        <f>IFERROR(INDEX(LMH_STEP,MATCH(AI77,LMH_KEY,0)),0)</f>
        <v>0</v>
      </c>
      <c r="BX77" s="38">
        <f>IFERROR(INDEX(LMH_STEP,MATCH(AJ77,LMH_KEY,0)),0)</f>
        <v>0</v>
      </c>
      <c r="BY77" s="38">
        <f>IFERROR(INDEX(LMH_STEP,MATCH(AK77,LMH_KEY,0)),0)</f>
        <v>0</v>
      </c>
      <c r="BZ77" s="38">
        <f>IFERROR(INDEX(LMH_STEP,MATCH(AL77,LMH_KEY,0)),0)</f>
        <v>0</v>
      </c>
      <c r="CA77" s="38" t="inlineStr">
        <is>
          <t>Consume|Digitizing|Senior Digitization Associate|A3|A</t>
        </is>
      </c>
    </row>
    <row r="78" ht="110" customHeight="1">
      <c r="A78" s="28" t="inlineStr">
        <is>
          <t>Consume</t>
        </is>
      </c>
      <c r="B78" s="29" t="inlineStr">
        <is>
          <t>Digitizing</t>
        </is>
      </c>
      <c r="C78" s="29" t="n">
        <v>7</v>
      </c>
      <c r="D78" s="29" t="inlineStr">
        <is>
          <t>IRISC283</t>
        </is>
      </c>
      <c r="E78" s="29" t="inlineStr">
        <is>
          <t>Saurav Kamtekar</t>
        </is>
      </c>
      <c r="F78" s="29" t="inlineStr">
        <is>
          <t>Consultant</t>
        </is>
      </c>
      <c r="G78" s="29" t="inlineStr">
        <is>
          <t>Senior Digitization Associate</t>
        </is>
      </c>
      <c r="H78" s="29" t="inlineStr">
        <is>
          <t>Data Operations &amp; Digitization</t>
        </is>
      </c>
      <c r="I78" s="29" t="inlineStr">
        <is>
          <t>Document Conversion, Formatting &amp; Web Publishing</t>
        </is>
      </c>
      <c r="J78" s="29" t="inlineStr">
        <is>
          <t>IC</t>
        </is>
      </c>
      <c r="K78" s="29" t="inlineStr">
        <is>
          <t>RC-047</t>
        </is>
      </c>
      <c r="L78" s="29" t="inlineStr">
        <is>
          <t>Shraddha Patil</t>
        </is>
      </c>
      <c r="M78" s="29" t="inlineStr">
        <is>
          <t>IRIS0114</t>
        </is>
      </c>
      <c r="N78" s="29" t="n">
        <v>2.6</v>
      </c>
      <c r="O78" s="29" t="n">
        <v>2.6</v>
      </c>
      <c r="P78" s="29" t="inlineStr">
        <is>
          <t>Undergraduate</t>
        </is>
      </c>
      <c r="Q78" s="29" t="inlineStr">
        <is>
          <t>L3 – Professional / Associate</t>
        </is>
      </c>
      <c r="R78" s="29" t="inlineStr">
        <is>
          <t>A3</t>
        </is>
      </c>
      <c r="S78" s="30" t="inlineStr">
        <is>
          <t>20 of 20</t>
        </is>
      </c>
      <c r="T78" s="31" t="inlineStr">
        <is>
          <t>• Role / sub-team: Digitizing — Consultant.
• Core purpose: Input not given by Participant.
• Decision-making autonomy: Input not given by Participant.
• Is this something only they do: Input not given by Participant.</t>
        </is>
      </c>
      <c r="U78" s="31" t="inlineStr">
        <is>
          <t>Received · manager annual · 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perform …</t>
        </is>
      </c>
      <c r="V78" s="31" t="inlineStr">
        <is>
          <t>Latest rating: 3 · Potential: Medium · 9-box: Core Contributor · Readiness: Develop in role</t>
        </is>
      </c>
      <c r="W78" s="31" t="inlineStr">
        <is>
          <t>C L · Au L · Ac L · L L · BI M · Exp M · 2.6 yrs vs 2–4 yrs · Edu L · Undergraduate</t>
        </is>
      </c>
      <c r="X78" s="33" t="inlineStr">
        <is>
          <t>Open ▸</t>
        </is>
      </c>
      <c r="Y78" s="34" t="str">
        <f>IFERROR(INDEX(DL_C,MATCH($CA78,DL_KEY,0)),"M")</f>
        <v>H</v>
      </c>
      <c r="Z78" s="35" t="str">
        <f>IFERROR(INDEX(DL_Au,MATCH($CA78,DL_KEY,0)),"M")</f>
        <v>M</v>
      </c>
      <c r="AA78" s="35" t="str">
        <f>IFERROR(INDEX(DL_Ac,MATCH($CA78,DL_KEY,0)),"M")</f>
        <v>M</v>
      </c>
      <c r="AB78" s="35" t="str">
        <f>IFERROR(INDEX(DL_L,MATCH($CA78,DL_KEY,0)),"M")</f>
        <v>L</v>
      </c>
      <c r="AC78" s="35" t="str">
        <f>IFERROR(INDEX(DL_BI,MATCH($CA78,DL_KEY,0)),"M")</f>
        <v>L</v>
      </c>
      <c r="AD78" s="35" t="str">
        <f>IFERROR(INDEX(DL_Exp,MATCH($CA78,DL_KEY,0)),"M")</f>
        <v>L</v>
      </c>
      <c r="AE78" s="35" t="str">
        <f>IFERROR(INDEX(DL_Edu,MATCH($CA78,DL_KEY,0)),"M")</f>
        <v>L</v>
      </c>
      <c r="AF78" s="34" t="inlineStr">
        <is>
          <t>M</t>
        </is>
      </c>
      <c r="AG78" s="35" t="inlineStr">
        <is>
          <t>M</t>
        </is>
      </c>
      <c r="AH78" s="35" t="inlineStr">
        <is>
          <t>M</t>
        </is>
      </c>
      <c r="AI78" s="35" t="inlineStr">
        <is>
          <t>M</t>
        </is>
      </c>
      <c r="AJ78" s="35" t="inlineStr">
        <is>
          <t>M</t>
        </is>
      </c>
      <c r="AK78" s="35" t="inlineStr">
        <is>
          <t>M</t>
        </is>
      </c>
      <c r="AL78" s="35" t="inlineStr">
        <is>
          <t>M</t>
        </is>
      </c>
      <c r="AM78" s="36" t="n">
        <v>0.583</v>
      </c>
      <c r="AN78" s="37" t="n">
        <v>0.16</v>
      </c>
      <c r="AO78" s="37" t="n">
        <v>0.09</v>
      </c>
      <c r="AP78" s="37" t="n">
        <v>0</v>
      </c>
      <c r="AQ78" s="37" t="n">
        <v>0.063</v>
      </c>
      <c r="AR78" s="37" t="n">
        <v>0.06</v>
      </c>
      <c r="AS78" s="37" t="n">
        <v>0.04</v>
      </c>
      <c r="AT78" s="38" t="inlineStr">
        <is>
          <t>2–5</t>
        </is>
      </c>
      <c r="AU78" s="38" t="inlineStr">
        <is>
          <t>Graduate; relevant certification preferred</t>
        </is>
      </c>
      <c r="AV78" s="38" t="inlineStr">
        <is>
          <t>None · guides 1–3 juniors informally</t>
        </is>
      </c>
      <c r="AW78" s="38" t="inlineStr">
        <is>
          <t>P2 · SFIA 3 Apply</t>
        </is>
      </c>
      <c r="AX7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78" s="39" t="inlineStr">
        <is>
          <t>A3</t>
        </is>
      </c>
      <c r="AZ78" s="40" t="inlineStr">
        <is>
          <t>Band A · Practitioner · Senior Associate</t>
        </is>
      </c>
      <c r="BA78" s="40" t="inlineStr">
        <is>
          <t>Model A3 from the six ratings, the market-derived weights and rules R1–R13 · then No change · already below the manager</t>
        </is>
      </c>
      <c r="BB78" s="41" t="inlineStr">
        <is>
          <t>A2</t>
        </is>
      </c>
      <c r="BC78" s="40" t="inlineStr">
        <is>
          <t>The six ratings on the market-average weights of Band A · all tracks score 2.08 → A2 · Hay, Mercer IPE and public plans · experience 2.6 yrs vs the A2 market range 0–3</t>
        </is>
      </c>
      <c r="BD78" s="42">
        <f>IF(SUM(BM78,BN78,BO78,BP78,BQ78,BR78,BS78)=0,0,(BM78*BT78+BN78*BU78+BO78*BV78+BP78*BW78+BQ78*BX78+BR78*BY78+BS78*BZ78)/SUM(BM78,BN78,BO78,BP78,BQ78,BR78,BS78))</f>
        <v>0</v>
      </c>
      <c r="BE78" s="41" t="str">
        <f>IF(LEFT(AY78,1)="X",AY78,IF(OR(AY78="B+",AY78="C+"),INDEX(LAD_PC,MAX(1,MIN(14,MATCH(AY78,LAD_PC,0)+IF(BD78&gt;=0.5,1,IF(BD78&lt;=-0.5,-1,0))))),INDEX(LAD_STD,MAX(1,MIN(12,MATCH(AY78,LAD_STD,0)+IF(BD78&gt;=0.5,1,IF(BD78&lt;=-0.5,-1,0)))))))</f>
        <v>A3</v>
      </c>
      <c r="BF78" s="43" t="n"/>
      <c r="BG78" s="41" t="str">
        <f>IF(BF78&lt;&gt;"",BF78,BE78)</f>
        <v>A3</v>
      </c>
      <c r="BH78" s="40" t="str">
        <f>IFERROR(CHOOSE(INDEX(B_RANK,MATCH(BG78,B_LVL,0)),"Band A","Band B","B+ · Player-Coach","Band C","C+ · Player-Coach","Band D","Band E"),"Band X · Consultant")</f>
        <v>Band A</v>
      </c>
      <c r="BI78" s="40" t="str">
        <f>IF(BG78=AY78,"• Same",IF(INDEX(B_VAL,MATCH(BG78,B_LVL,0))&gt;INDEX(B_VAL,MATCH(AY78,B_LVL,0)),"▲ Up","▼ Down"))</f>
        <v>• Same</v>
      </c>
      <c r="BJ78" s="40" t="str">
        <f>IF(OR($M78="",$M78="—",$M78="Not in this file"),"",IFERROR(INDEX($BG$7:$BG$592,MATCH($M78,$D$7:$D$592,0)),""))</f>
        <v>B1</v>
      </c>
      <c r="BK78" s="40" t="str">
        <f>IFERROR(IF(BJ78="","—",IF(OR(LEFT(BG78,1)="X",LEFT(BJ78,1)="X"),"—",IF(AND(LEFT(BG78,1)="E",LEFT(BJ78,1)="E"),"Exception · Band E",IF(AND(INDEX(B_VAL,MATCH(BJ78,B_LVL,0))&gt;=7,INDEX(B_RANK,MATCH(BG78,B_LVL,0))&gt;=INDEX(B_RANK,MATCH(BJ78,B_LVL,0))),"⚠ Same band as a head manager",IF(INDEX(B_VAL,MATCH(BG78,B_LVL,0))&gt;=INDEX(B_VAL,MATCH(BJ78,B_LVL,0)),"⚠ At or above the manager's level","OK"))))),"—")</f>
        <v>OK</v>
      </c>
      <c r="BL78" s="43" t="n"/>
      <c r="BM78" s="44">
        <f>IFERROR(INDEX(LMH_PTS,MATCH(Y78,LMH_KEY,0)),0)</f>
        <v>9</v>
      </c>
      <c r="BN78" s="38">
        <f>IFERROR(INDEX(LMH_PTS,MATCH(Z78,LMH_KEY,0)),0)</f>
        <v>3</v>
      </c>
      <c r="BO78" s="38">
        <f>IFERROR(INDEX(LMH_PTS,MATCH(AA78,LMH_KEY,0)),0)</f>
        <v>3</v>
      </c>
      <c r="BP78" s="38">
        <f>IFERROR(INDEX(LMH_PTS,MATCH(AB78,LMH_KEY,0)),0)</f>
        <v>1</v>
      </c>
      <c r="BQ78" s="38">
        <f>IFERROR(INDEX(LMH_PTS,MATCH(AC78,LMH_KEY,0)),0)</f>
        <v>1</v>
      </c>
      <c r="BR78" s="38">
        <f>IFERROR(INDEX(LMH_PTS,MATCH(AD78,LMH_KEY,0)),0)</f>
        <v>1</v>
      </c>
      <c r="BS78" s="38">
        <f>IFERROR(INDEX(LMH_PTS,MATCH(AE78,LMH_KEY,0)),0)</f>
        <v>1</v>
      </c>
      <c r="BT78" s="38">
        <f>IFERROR(INDEX(LMH_STEP,MATCH(AF78,LMH_KEY,0)),0)</f>
        <v>0</v>
      </c>
      <c r="BU78" s="38">
        <f>IFERROR(INDEX(LMH_STEP,MATCH(AG78,LMH_KEY,0)),0)</f>
        <v>0</v>
      </c>
      <c r="BV78" s="38">
        <f>IFERROR(INDEX(LMH_STEP,MATCH(AH78,LMH_KEY,0)),0)</f>
        <v>0</v>
      </c>
      <c r="BW78" s="38">
        <f>IFERROR(INDEX(LMH_STEP,MATCH(AI78,LMH_KEY,0)),0)</f>
        <v>0</v>
      </c>
      <c r="BX78" s="38">
        <f>IFERROR(INDEX(LMH_STEP,MATCH(AJ78,LMH_KEY,0)),0)</f>
        <v>0</v>
      </c>
      <c r="BY78" s="38">
        <f>IFERROR(INDEX(LMH_STEP,MATCH(AK78,LMH_KEY,0)),0)</f>
        <v>0</v>
      </c>
      <c r="BZ78" s="38">
        <f>IFERROR(INDEX(LMH_STEP,MATCH(AL78,LMH_KEY,0)),0)</f>
        <v>0</v>
      </c>
      <c r="CA78" s="38" t="inlineStr">
        <is>
          <t>Consume|Digitizing|Senior Digitization Associate|A3|A</t>
        </is>
      </c>
    </row>
    <row r="79" ht="110" customHeight="1">
      <c r="A79" s="28" t="inlineStr">
        <is>
          <t>Consume</t>
        </is>
      </c>
      <c r="B79" s="29" t="inlineStr">
        <is>
          <t>Digitizing</t>
        </is>
      </c>
      <c r="C79" s="29" t="n">
        <v>7</v>
      </c>
      <c r="D79" s="29" t="inlineStr">
        <is>
          <t>IRISC338</t>
        </is>
      </c>
      <c r="E79" s="29" t="inlineStr">
        <is>
          <t>Snehal Bhavesh Farad</t>
        </is>
      </c>
      <c r="F79" s="29" t="inlineStr">
        <is>
          <t>Consultant</t>
        </is>
      </c>
      <c r="G79" s="29" t="inlineStr">
        <is>
          <t>Senior Digitization Associate</t>
        </is>
      </c>
      <c r="H79" s="29" t="inlineStr">
        <is>
          <t>Data Operations &amp; Digitization</t>
        </is>
      </c>
      <c r="I79" s="29" t="inlineStr">
        <is>
          <t>Document Conversion, Formatting &amp; Web Publishing</t>
        </is>
      </c>
      <c r="J79" s="29" t="inlineStr">
        <is>
          <t>IC</t>
        </is>
      </c>
      <c r="K79" s="29" t="inlineStr">
        <is>
          <t>RC-047</t>
        </is>
      </c>
      <c r="L79" s="29" t="inlineStr">
        <is>
          <t>Shraddha Patil</t>
        </is>
      </c>
      <c r="M79" s="29" t="inlineStr">
        <is>
          <t>IRIS0114</t>
        </is>
      </c>
      <c r="N79" s="29" t="n">
        <v>5.1</v>
      </c>
      <c r="O79" s="29" t="n">
        <v>0.7</v>
      </c>
      <c r="P79" s="29" t="inlineStr">
        <is>
          <t>BA</t>
        </is>
      </c>
      <c r="Q79" s="29" t="inlineStr">
        <is>
          <t>L3 – Professional / Associate</t>
        </is>
      </c>
      <c r="R79" s="29" t="inlineStr">
        <is>
          <t>A3</t>
        </is>
      </c>
      <c r="S79" s="30" t="inlineStr">
        <is>
          <t>17 of 20</t>
        </is>
      </c>
      <c r="T79" s="31" t="inlineStr">
        <is>
          <t>• Role / sub-team: Digitizing — Consultant.
• Core purpose: Conversion ms word to html; Daily update excel sheet.
• Decision-making autonomy: No input received.
• Is this something only they do: No input received.</t>
        </is>
      </c>
      <c r="U79" s="31" t="inlineStr">
        <is>
          <t>Received · manager annual · 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perform …</t>
        </is>
      </c>
      <c r="V79" s="31" t="inlineStr">
        <is>
          <t>Latest rating: 3 · Potential: Medium · 9-box: Core Contributor · Readiness: Develop in role</t>
        </is>
      </c>
      <c r="W79" s="31" t="inlineStr">
        <is>
          <t>C L · Au L · Ac L · L L · BI M · Exp H · 5.1 yrs vs 2–4 yrs · Edu M · BA</t>
        </is>
      </c>
      <c r="X79" s="33" t="inlineStr">
        <is>
          <t>Open ▸</t>
        </is>
      </c>
      <c r="Y79" s="34" t="str">
        <f>IFERROR(INDEX(DL_C,MATCH($CA79,DL_KEY,0)),"M")</f>
        <v>H</v>
      </c>
      <c r="Z79" s="35" t="str">
        <f>IFERROR(INDEX(DL_Au,MATCH($CA79,DL_KEY,0)),"M")</f>
        <v>M</v>
      </c>
      <c r="AA79" s="35" t="str">
        <f>IFERROR(INDEX(DL_Ac,MATCH($CA79,DL_KEY,0)),"M")</f>
        <v>M</v>
      </c>
      <c r="AB79" s="35" t="str">
        <f>IFERROR(INDEX(DL_L,MATCH($CA79,DL_KEY,0)),"M")</f>
        <v>L</v>
      </c>
      <c r="AC79" s="35" t="str">
        <f>IFERROR(INDEX(DL_BI,MATCH($CA79,DL_KEY,0)),"M")</f>
        <v>L</v>
      </c>
      <c r="AD79" s="35" t="str">
        <f>IFERROR(INDEX(DL_Exp,MATCH($CA79,DL_KEY,0)),"M")</f>
        <v>L</v>
      </c>
      <c r="AE79" s="35" t="str">
        <f>IFERROR(INDEX(DL_Edu,MATCH($CA79,DL_KEY,0)),"M")</f>
        <v>L</v>
      </c>
      <c r="AF79" s="34" t="inlineStr">
        <is>
          <t>M</t>
        </is>
      </c>
      <c r="AG79" s="35" t="inlineStr">
        <is>
          <t>M</t>
        </is>
      </c>
      <c r="AH79" s="35" t="inlineStr">
        <is>
          <t>M</t>
        </is>
      </c>
      <c r="AI79" s="35" t="inlineStr">
        <is>
          <t>M</t>
        </is>
      </c>
      <c r="AJ79" s="35" t="inlineStr">
        <is>
          <t>M</t>
        </is>
      </c>
      <c r="AK79" s="35" t="inlineStr">
        <is>
          <t>M</t>
        </is>
      </c>
      <c r="AL79" s="35" t="inlineStr">
        <is>
          <t>M</t>
        </is>
      </c>
      <c r="AM79" s="36" t="n">
        <v>0.583</v>
      </c>
      <c r="AN79" s="37" t="n">
        <v>0.16</v>
      </c>
      <c r="AO79" s="37" t="n">
        <v>0.09</v>
      </c>
      <c r="AP79" s="37" t="n">
        <v>0</v>
      </c>
      <c r="AQ79" s="37" t="n">
        <v>0.063</v>
      </c>
      <c r="AR79" s="37" t="n">
        <v>0.06</v>
      </c>
      <c r="AS79" s="37" t="n">
        <v>0.04</v>
      </c>
      <c r="AT79" s="38" t="inlineStr">
        <is>
          <t>2–5</t>
        </is>
      </c>
      <c r="AU79" s="38" t="inlineStr">
        <is>
          <t>Graduate; relevant certification preferred</t>
        </is>
      </c>
      <c r="AV79" s="38" t="inlineStr">
        <is>
          <t>None · guides 1–3 juniors informally</t>
        </is>
      </c>
      <c r="AW79" s="38" t="inlineStr">
        <is>
          <t>P2 · SFIA 3 Apply</t>
        </is>
      </c>
      <c r="AX7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79" s="39" t="inlineStr">
        <is>
          <t>A3</t>
        </is>
      </c>
      <c r="AZ79" s="40" t="inlineStr">
        <is>
          <t>Band A · Practitioner · Senior Associate</t>
        </is>
      </c>
      <c r="BA79" s="40" t="inlineStr">
        <is>
          <t>Model A3 from the six ratings, the market-derived weights and rules R1–R13 · then No change · already below the manager</t>
        </is>
      </c>
      <c r="BB79" s="41" t="inlineStr">
        <is>
          <t>A2</t>
        </is>
      </c>
      <c r="BC79" s="40" t="inlineStr">
        <is>
          <t>The six ratings on the market-average weights of Band A · all tracks score 2.15 → A2 · Hay, Mercer IPE and public plans · experience 5.1 yrs vs the A2 market range 0–3</t>
        </is>
      </c>
      <c r="BD79" s="42">
        <f>IF(SUM(BM79,BN79,BO79,BP79,BQ79,BR79,BS79)=0,0,(BM79*BT79+BN79*BU79+BO79*BV79+BP79*BW79+BQ79*BX79+BR79*BY79+BS79*BZ79)/SUM(BM79,BN79,BO79,BP79,BQ79,BR79,BS79))</f>
        <v>0</v>
      </c>
      <c r="BE79" s="41" t="str">
        <f>IF(LEFT(AY79,1)="X",AY79,IF(OR(AY79="B+",AY79="C+"),INDEX(LAD_PC,MAX(1,MIN(14,MATCH(AY79,LAD_PC,0)+IF(BD79&gt;=0.5,1,IF(BD79&lt;=-0.5,-1,0))))),INDEX(LAD_STD,MAX(1,MIN(12,MATCH(AY79,LAD_STD,0)+IF(BD79&gt;=0.5,1,IF(BD79&lt;=-0.5,-1,0)))))))</f>
        <v>A3</v>
      </c>
      <c r="BF79" s="43" t="n"/>
      <c r="BG79" s="41" t="str">
        <f>IF(BF79&lt;&gt;"",BF79,BE79)</f>
        <v>A3</v>
      </c>
      <c r="BH79" s="40" t="str">
        <f>IFERROR(CHOOSE(INDEX(B_RANK,MATCH(BG79,B_LVL,0)),"Band A","Band B","B+ · Player-Coach","Band C","C+ · Player-Coach","Band D","Band E"),"Band X · Consultant")</f>
        <v>Band A</v>
      </c>
      <c r="BI79" s="40" t="str">
        <f>IF(BG79=AY79,"• Same",IF(INDEX(B_VAL,MATCH(BG79,B_LVL,0))&gt;INDEX(B_VAL,MATCH(AY79,B_LVL,0)),"▲ Up","▼ Down"))</f>
        <v>• Same</v>
      </c>
      <c r="BJ79" s="40" t="str">
        <f>IF(OR($M79="",$M79="—",$M79="Not in this file"),"",IFERROR(INDEX($BG$7:$BG$592,MATCH($M79,$D$7:$D$592,0)),""))</f>
        <v>B1</v>
      </c>
      <c r="BK79" s="40" t="str">
        <f>IFERROR(IF(BJ79="","—",IF(OR(LEFT(BG79,1)="X",LEFT(BJ79,1)="X"),"—",IF(AND(LEFT(BG79,1)="E",LEFT(BJ79,1)="E"),"Exception · Band E",IF(AND(INDEX(B_VAL,MATCH(BJ79,B_LVL,0))&gt;=7,INDEX(B_RANK,MATCH(BG79,B_LVL,0))&gt;=INDEX(B_RANK,MATCH(BJ79,B_LVL,0))),"⚠ Same band as a head manager",IF(INDEX(B_VAL,MATCH(BG79,B_LVL,0))&gt;=INDEX(B_VAL,MATCH(BJ79,B_LVL,0)),"⚠ At or above the manager's level","OK"))))),"—")</f>
        <v>OK</v>
      </c>
      <c r="BL79" s="43" t="n"/>
      <c r="BM79" s="44">
        <f>IFERROR(INDEX(LMH_PTS,MATCH(Y79,LMH_KEY,0)),0)</f>
        <v>9</v>
      </c>
      <c r="BN79" s="38">
        <f>IFERROR(INDEX(LMH_PTS,MATCH(Z79,LMH_KEY,0)),0)</f>
        <v>3</v>
      </c>
      <c r="BO79" s="38">
        <f>IFERROR(INDEX(LMH_PTS,MATCH(AA79,LMH_KEY,0)),0)</f>
        <v>3</v>
      </c>
      <c r="BP79" s="38">
        <f>IFERROR(INDEX(LMH_PTS,MATCH(AB79,LMH_KEY,0)),0)</f>
        <v>1</v>
      </c>
      <c r="BQ79" s="38">
        <f>IFERROR(INDEX(LMH_PTS,MATCH(AC79,LMH_KEY,0)),0)</f>
        <v>1</v>
      </c>
      <c r="BR79" s="38">
        <f>IFERROR(INDEX(LMH_PTS,MATCH(AD79,LMH_KEY,0)),0)</f>
        <v>1</v>
      </c>
      <c r="BS79" s="38">
        <f>IFERROR(INDEX(LMH_PTS,MATCH(AE79,LMH_KEY,0)),0)</f>
        <v>1</v>
      </c>
      <c r="BT79" s="38">
        <f>IFERROR(INDEX(LMH_STEP,MATCH(AF79,LMH_KEY,0)),0)</f>
        <v>0</v>
      </c>
      <c r="BU79" s="38">
        <f>IFERROR(INDEX(LMH_STEP,MATCH(AG79,LMH_KEY,0)),0)</f>
        <v>0</v>
      </c>
      <c r="BV79" s="38">
        <f>IFERROR(INDEX(LMH_STEP,MATCH(AH79,LMH_KEY,0)),0)</f>
        <v>0</v>
      </c>
      <c r="BW79" s="38">
        <f>IFERROR(INDEX(LMH_STEP,MATCH(AI79,LMH_KEY,0)),0)</f>
        <v>0</v>
      </c>
      <c r="BX79" s="38">
        <f>IFERROR(INDEX(LMH_STEP,MATCH(AJ79,LMH_KEY,0)),0)</f>
        <v>0</v>
      </c>
      <c r="BY79" s="38">
        <f>IFERROR(INDEX(LMH_STEP,MATCH(AK79,LMH_KEY,0)),0)</f>
        <v>0</v>
      </c>
      <c r="BZ79" s="38">
        <f>IFERROR(INDEX(LMH_STEP,MATCH(AL79,LMH_KEY,0)),0)</f>
        <v>0</v>
      </c>
      <c r="CA79" s="38" t="inlineStr">
        <is>
          <t>Consume|Digitizing|Senior Digitization Associate|A3|A</t>
        </is>
      </c>
    </row>
    <row r="80" ht="110" customHeight="1">
      <c r="A80" s="28" t="inlineStr">
        <is>
          <t>Consume</t>
        </is>
      </c>
      <c r="B80" s="29" t="inlineStr">
        <is>
          <t>Digitizing</t>
        </is>
      </c>
      <c r="C80" s="29" t="n">
        <v>7</v>
      </c>
      <c r="D80" s="29" t="inlineStr">
        <is>
          <t>IRISC337</t>
        </is>
      </c>
      <c r="E80" s="29" t="inlineStr">
        <is>
          <t>Siddhesh Harishchandra Mali</t>
        </is>
      </c>
      <c r="F80" s="29" t="inlineStr">
        <is>
          <t>Consultant</t>
        </is>
      </c>
      <c r="G80" s="29" t="inlineStr">
        <is>
          <t>Digitization Associate</t>
        </is>
      </c>
      <c r="H80" s="29" t="inlineStr">
        <is>
          <t>Data Operations &amp; Digitization</t>
        </is>
      </c>
      <c r="I80" s="29" t="inlineStr">
        <is>
          <t>Document Conversion, Formatting &amp; Web Publishing</t>
        </is>
      </c>
      <c r="J80" s="29" t="inlineStr">
        <is>
          <t>IC</t>
        </is>
      </c>
      <c r="K80" s="29" t="inlineStr">
        <is>
          <t>RC-046</t>
        </is>
      </c>
      <c r="L80" s="29" t="inlineStr">
        <is>
          <t>Shraddha Patil</t>
        </is>
      </c>
      <c r="M80" s="29" t="inlineStr">
        <is>
          <t>IRIS0114</t>
        </is>
      </c>
      <c r="N80" s="29" t="n">
        <v>0.8</v>
      </c>
      <c r="O80" s="29" t="n">
        <v>0.7</v>
      </c>
      <c r="P80" s="29" t="inlineStr">
        <is>
          <t>B.Sc</t>
        </is>
      </c>
      <c r="Q80" s="29" t="inlineStr">
        <is>
          <t>L3 – Professional / Associate</t>
        </is>
      </c>
      <c r="R80" s="29" t="inlineStr">
        <is>
          <t>A2</t>
        </is>
      </c>
      <c r="S80" s="30" t="inlineStr">
        <is>
          <t>20 of 20</t>
        </is>
      </c>
      <c r="T80" s="31" t="inlineStr">
        <is>
          <t>• Role / sub-team: Digitizing — Consultant.
• Core purpose: My purpose is to convert word/pdf documents data to html that will be published on RBI Website.
• Decision-making autonomy: No input received.
• Is this something only they do: No input received.</t>
        </is>
      </c>
      <c r="U80" s="31" t="inlineStr">
        <is>
          <t>Received · manager annual · 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perform …</t>
        </is>
      </c>
      <c r="V80" s="31" t="inlineStr">
        <is>
          <t>Latest rating: 3 · Potential: Medium · 9-box: Core Contributor · Readiness: Develop in role</t>
        </is>
      </c>
      <c r="W80" s="31" t="inlineStr">
        <is>
          <t>C M · Au M · Ac M · L L · BI M · Exp M · 0.8 yrs vs 0–2 yrs · Edu M · B.Sc</t>
        </is>
      </c>
      <c r="X80" s="33" t="inlineStr">
        <is>
          <t>Open ▸</t>
        </is>
      </c>
      <c r="Y80" s="34" t="str">
        <f>IFERROR(INDEX(DL_C,MATCH($CA80,DL_KEY,0)),"M")</f>
        <v>H</v>
      </c>
      <c r="Z80" s="35" t="str">
        <f>IFERROR(INDEX(DL_Au,MATCH($CA80,DL_KEY,0)),"M")</f>
        <v>M</v>
      </c>
      <c r="AA80" s="35" t="str">
        <f>IFERROR(INDEX(DL_Ac,MATCH($CA80,DL_KEY,0)),"M")</f>
        <v>M</v>
      </c>
      <c r="AB80" s="35" t="str">
        <f>IFERROR(INDEX(DL_L,MATCH($CA80,DL_KEY,0)),"M")</f>
        <v>L</v>
      </c>
      <c r="AC80" s="35" t="str">
        <f>IFERROR(INDEX(DL_BI,MATCH($CA80,DL_KEY,0)),"M")</f>
        <v>L</v>
      </c>
      <c r="AD80" s="35" t="str">
        <f>IFERROR(INDEX(DL_Exp,MATCH($CA80,DL_KEY,0)),"M")</f>
        <v>L</v>
      </c>
      <c r="AE80" s="35" t="str">
        <f>IFERROR(INDEX(DL_Edu,MATCH($CA80,DL_KEY,0)),"M")</f>
        <v>L</v>
      </c>
      <c r="AF80" s="34" t="inlineStr">
        <is>
          <t>M</t>
        </is>
      </c>
      <c r="AG80" s="35" t="inlineStr">
        <is>
          <t>M</t>
        </is>
      </c>
      <c r="AH80" s="35" t="inlineStr">
        <is>
          <t>M</t>
        </is>
      </c>
      <c r="AI80" s="35" t="inlineStr">
        <is>
          <t>M</t>
        </is>
      </c>
      <c r="AJ80" s="35" t="inlineStr">
        <is>
          <t>M</t>
        </is>
      </c>
      <c r="AK80" s="35" t="inlineStr">
        <is>
          <t>M</t>
        </is>
      </c>
      <c r="AL80" s="35" t="inlineStr">
        <is>
          <t>M</t>
        </is>
      </c>
      <c r="AM80" s="36" t="n">
        <v>0.583</v>
      </c>
      <c r="AN80" s="37" t="n">
        <v>0.16</v>
      </c>
      <c r="AO80" s="37" t="n">
        <v>0.09</v>
      </c>
      <c r="AP80" s="37" t="n">
        <v>0</v>
      </c>
      <c r="AQ80" s="37" t="n">
        <v>0.063</v>
      </c>
      <c r="AR80" s="37" t="n">
        <v>0.06</v>
      </c>
      <c r="AS80" s="37" t="n">
        <v>0.04</v>
      </c>
      <c r="AT80" s="38" t="inlineStr">
        <is>
          <t>0–3</t>
        </is>
      </c>
      <c r="AU80" s="38" t="inlineStr">
        <is>
          <t>Graduate · or diploma with experience</t>
        </is>
      </c>
      <c r="AV80" s="38" t="inlineStr">
        <is>
          <t>No direct reports</t>
        </is>
      </c>
      <c r="AW80" s="38" t="inlineStr">
        <is>
          <t>P1–P2 · SFIA 2 Assist</t>
        </is>
      </c>
      <c r="AX8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80" s="39" t="inlineStr">
        <is>
          <t>A2</t>
        </is>
      </c>
      <c r="AZ80" s="40" t="inlineStr">
        <is>
          <t>Band A · Practitioner · Associate</t>
        </is>
      </c>
      <c r="BA80" s="40" t="inlineStr">
        <is>
          <t>Model A2 from the six ratings, the market-derived weights and rules R1–R13 · then No change · already below the manager</t>
        </is>
      </c>
      <c r="BB80" s="41" t="inlineStr">
        <is>
          <t>A2</t>
        </is>
      </c>
      <c r="BC80" s="40" t="inlineStr">
        <is>
          <t>The six ratings on the market-average weights of Band A · all tracks score 2.03 → A2 · Hay, Mercer IPE and public plans · experience 0.8 yrs vs the A2 market range 0–3</t>
        </is>
      </c>
      <c r="BD80" s="42">
        <f>IF(SUM(BM80,BN80,BO80,BP80,BQ80,BR80,BS80)=0,0,(BM80*BT80+BN80*BU80+BO80*BV80+BP80*BW80+BQ80*BX80+BR80*BY80+BS80*BZ80)/SUM(BM80,BN80,BO80,BP80,BQ80,BR80,BS80))</f>
        <v>0</v>
      </c>
      <c r="BE80" s="41" t="str">
        <f>IF(LEFT(AY80,1)="X",AY80,IF(OR(AY80="B+",AY80="C+"),INDEX(LAD_PC,MAX(1,MIN(14,MATCH(AY80,LAD_PC,0)+IF(BD80&gt;=0.5,1,IF(BD80&lt;=-0.5,-1,0))))),INDEX(LAD_STD,MAX(1,MIN(12,MATCH(AY80,LAD_STD,0)+IF(BD80&gt;=0.5,1,IF(BD80&lt;=-0.5,-1,0)))))))</f>
        <v>A2</v>
      </c>
      <c r="BF80" s="43" t="n"/>
      <c r="BG80" s="41" t="str">
        <f>IF(BF80&lt;&gt;"",BF80,BE80)</f>
        <v>A2</v>
      </c>
      <c r="BH80" s="40" t="str">
        <f>IFERROR(CHOOSE(INDEX(B_RANK,MATCH(BG80,B_LVL,0)),"Band A","Band B","B+ · Player-Coach","Band C","C+ · Player-Coach","Band D","Band E"),"Band X · Consultant")</f>
        <v>Band A</v>
      </c>
      <c r="BI80" s="40" t="str">
        <f>IF(BG80=AY80,"• Same",IF(INDEX(B_VAL,MATCH(BG80,B_LVL,0))&gt;INDEX(B_VAL,MATCH(AY80,B_LVL,0)),"▲ Up","▼ Down"))</f>
        <v>• Same</v>
      </c>
      <c r="BJ80" s="40" t="str">
        <f>IF(OR($M80="",$M80="—",$M80="Not in this file"),"",IFERROR(INDEX($BG$7:$BG$592,MATCH($M80,$D$7:$D$592,0)),""))</f>
        <v>B1</v>
      </c>
      <c r="BK80" s="40" t="str">
        <f>IFERROR(IF(BJ80="","—",IF(OR(LEFT(BG80,1)="X",LEFT(BJ80,1)="X"),"—",IF(AND(LEFT(BG80,1)="E",LEFT(BJ80,1)="E"),"Exception · Band E",IF(AND(INDEX(B_VAL,MATCH(BJ80,B_LVL,0))&gt;=7,INDEX(B_RANK,MATCH(BG80,B_LVL,0))&gt;=INDEX(B_RANK,MATCH(BJ80,B_LVL,0))),"⚠ Same band as a head manager",IF(INDEX(B_VAL,MATCH(BG80,B_LVL,0))&gt;=INDEX(B_VAL,MATCH(BJ80,B_LVL,0)),"⚠ At or above the manager's level","OK"))))),"—")</f>
        <v>OK</v>
      </c>
      <c r="BL80" s="43" t="n"/>
      <c r="BM80" s="44">
        <f>IFERROR(INDEX(LMH_PTS,MATCH(Y80,LMH_KEY,0)),0)</f>
        <v>9</v>
      </c>
      <c r="BN80" s="38">
        <f>IFERROR(INDEX(LMH_PTS,MATCH(Z80,LMH_KEY,0)),0)</f>
        <v>3</v>
      </c>
      <c r="BO80" s="38">
        <f>IFERROR(INDEX(LMH_PTS,MATCH(AA80,LMH_KEY,0)),0)</f>
        <v>3</v>
      </c>
      <c r="BP80" s="38">
        <f>IFERROR(INDEX(LMH_PTS,MATCH(AB80,LMH_KEY,0)),0)</f>
        <v>1</v>
      </c>
      <c r="BQ80" s="38">
        <f>IFERROR(INDEX(LMH_PTS,MATCH(AC80,LMH_KEY,0)),0)</f>
        <v>1</v>
      </c>
      <c r="BR80" s="38">
        <f>IFERROR(INDEX(LMH_PTS,MATCH(AD80,LMH_KEY,0)),0)</f>
        <v>1</v>
      </c>
      <c r="BS80" s="38">
        <f>IFERROR(INDEX(LMH_PTS,MATCH(AE80,LMH_KEY,0)),0)</f>
        <v>1</v>
      </c>
      <c r="BT80" s="38">
        <f>IFERROR(INDEX(LMH_STEP,MATCH(AF80,LMH_KEY,0)),0)</f>
        <v>0</v>
      </c>
      <c r="BU80" s="38">
        <f>IFERROR(INDEX(LMH_STEP,MATCH(AG80,LMH_KEY,0)),0)</f>
        <v>0</v>
      </c>
      <c r="BV80" s="38">
        <f>IFERROR(INDEX(LMH_STEP,MATCH(AH80,LMH_KEY,0)),0)</f>
        <v>0</v>
      </c>
      <c r="BW80" s="38">
        <f>IFERROR(INDEX(LMH_STEP,MATCH(AI80,LMH_KEY,0)),0)</f>
        <v>0</v>
      </c>
      <c r="BX80" s="38">
        <f>IFERROR(INDEX(LMH_STEP,MATCH(AJ80,LMH_KEY,0)),0)</f>
        <v>0</v>
      </c>
      <c r="BY80" s="38">
        <f>IFERROR(INDEX(LMH_STEP,MATCH(AK80,LMH_KEY,0)),0)</f>
        <v>0</v>
      </c>
      <c r="BZ80" s="38">
        <f>IFERROR(INDEX(LMH_STEP,MATCH(AL80,LMH_KEY,0)),0)</f>
        <v>0</v>
      </c>
      <c r="CA80" s="38" t="inlineStr">
        <is>
          <t>Consume|Digitizing|Digitization Associate|A2|A</t>
        </is>
      </c>
    </row>
    <row r="81" ht="110" customHeight="1">
      <c r="A81" s="28" t="inlineStr">
        <is>
          <t>CARBON</t>
        </is>
      </c>
      <c r="B81" s="29" t="inlineStr">
        <is>
          <t>Digitizing</t>
        </is>
      </c>
      <c r="C81" s="29" t="n">
        <v>6</v>
      </c>
      <c r="D81" s="29" t="inlineStr">
        <is>
          <t>IRIS1005</t>
        </is>
      </c>
      <c r="E81" s="29" t="inlineStr">
        <is>
          <t>Datta Hatagale</t>
        </is>
      </c>
      <c r="F81" s="29" t="inlineStr">
        <is>
          <t>Image Processing Specialist</t>
        </is>
      </c>
      <c r="G81" s="29" t="inlineStr">
        <is>
          <t>Customer Enablement Specialist – POD Lead</t>
        </is>
      </c>
      <c r="H81" s="29" t="inlineStr">
        <is>
          <t>Customer Success &amp; Support</t>
        </is>
      </c>
      <c r="I81" s="29" t="inlineStr">
        <is>
          <t>Customer Training &amp; Enablement</t>
        </is>
      </c>
      <c r="J81" s="29" t="inlineStr">
        <is>
          <t>POD Lead</t>
        </is>
      </c>
      <c r="K81" s="29" t="inlineStr">
        <is>
          <t>RC-039</t>
        </is>
      </c>
      <c r="L81" s="29" t="inlineStr">
        <is>
          <t>Vijay Parulekar</t>
        </is>
      </c>
      <c r="M81" s="29" t="inlineStr">
        <is>
          <t>IRIS0055</t>
        </is>
      </c>
      <c r="N81" s="29" t="n">
        <v>14.9</v>
      </c>
      <c r="O81" s="29" t="n">
        <v>14.9</v>
      </c>
      <c r="P81" s="29" t="inlineStr">
        <is>
          <t>BA</t>
        </is>
      </c>
      <c r="Q81" s="29" t="inlineStr">
        <is>
          <t>L3 – Professional / Associate</t>
        </is>
      </c>
      <c r="R81" s="29" t="inlineStr">
        <is>
          <t>B1</t>
        </is>
      </c>
      <c r="S81" s="30" t="inlineStr">
        <is>
          <t>20 of 20</t>
        </is>
      </c>
      <c r="T81" s="31" t="inlineStr">
        <is>
          <t>• Role / sub-team: Digitizing assisted services.</t>
        </is>
      </c>
      <c r="U81" s="31" t="inlineStr">
        <is>
          <t>Received · manager annual · 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capabilities to work in more …</t>
        </is>
      </c>
      <c r="V81" s="31" t="inlineStr">
        <is>
          <t>Latest rating: 4 · Potential: High · 9-box: Core Contributor · Readiness: Ready now</t>
        </is>
      </c>
      <c r="W81" s="31" t="inlineStr">
        <is>
          <t>C L · Au L · Ac M · L M · BI M · Exp H · 14.9 yrs vs 4–7 yrs · Edu M · BA</t>
        </is>
      </c>
      <c r="X81" s="33" t="inlineStr">
        <is>
          <t>Open ▸</t>
        </is>
      </c>
      <c r="Y81" s="34" t="str">
        <f>IFERROR(INDEX(DL_C,MATCH($CA81,DL_KEY,0)),"M")</f>
        <v>H</v>
      </c>
      <c r="Z81" s="35" t="str">
        <f>IFERROR(INDEX(DL_Au,MATCH($CA81,DL_KEY,0)),"M")</f>
        <v>M</v>
      </c>
      <c r="AA81" s="35" t="str">
        <f>IFERROR(INDEX(DL_Ac,MATCH($CA81,DL_KEY,0)),"M")</f>
        <v>M</v>
      </c>
      <c r="AB81" s="35" t="str">
        <f>IFERROR(INDEX(DL_L,MATCH($CA81,DL_KEY,0)),"M")</f>
        <v>L</v>
      </c>
      <c r="AC81" s="35" t="str">
        <f>IFERROR(INDEX(DL_BI,MATCH($CA81,DL_KEY,0)),"M")</f>
        <v>M</v>
      </c>
      <c r="AD81" s="35" t="str">
        <f>IFERROR(INDEX(DL_Exp,MATCH($CA81,DL_KEY,0)),"M")</f>
        <v>L</v>
      </c>
      <c r="AE81" s="35" t="str">
        <f>IFERROR(INDEX(DL_Edu,MATCH($CA81,DL_KEY,0)),"M")</f>
        <v>L</v>
      </c>
      <c r="AF81" s="34" t="inlineStr">
        <is>
          <t>M</t>
        </is>
      </c>
      <c r="AG81" s="35" t="inlineStr">
        <is>
          <t>M</t>
        </is>
      </c>
      <c r="AH81" s="35" t="inlineStr">
        <is>
          <t>M</t>
        </is>
      </c>
      <c r="AI81" s="35" t="inlineStr">
        <is>
          <t>M</t>
        </is>
      </c>
      <c r="AJ81" s="35" t="inlineStr">
        <is>
          <t>M</t>
        </is>
      </c>
      <c r="AK81" s="35" t="inlineStr">
        <is>
          <t>M</t>
        </is>
      </c>
      <c r="AL81" s="35" t="inlineStr">
        <is>
          <t>M</t>
        </is>
      </c>
      <c r="AM81" s="36" t="n">
        <v>0.513</v>
      </c>
      <c r="AN81" s="37" t="n">
        <v>0.173</v>
      </c>
      <c r="AO81" s="37" t="n">
        <v>0.09699999999999999</v>
      </c>
      <c r="AP81" s="37" t="n">
        <v>0.05</v>
      </c>
      <c r="AQ81" s="37" t="n">
        <v>0.07000000000000001</v>
      </c>
      <c r="AR81" s="37" t="n">
        <v>0.06</v>
      </c>
      <c r="AS81" s="37" t="n">
        <v>0.04</v>
      </c>
      <c r="AT81" s="38" t="inlineStr">
        <is>
          <t>4–8</t>
        </is>
      </c>
      <c r="AU81" s="38" t="inlineStr">
        <is>
          <t>Graduate + relevant qualification or certification preferred</t>
        </is>
      </c>
      <c r="AV81" s="38" t="inlineStr">
        <is>
          <t>IC: none · Team Lead: 3–5</t>
        </is>
      </c>
      <c r="AW81" s="38" t="inlineStr">
        <is>
          <t>P3 / M2 · SFIA 4 Enable</t>
        </is>
      </c>
      <c r="AX8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81" s="39" t="inlineStr">
        <is>
          <t>B1</t>
        </is>
      </c>
      <c r="AZ81" s="40" t="inlineStr">
        <is>
          <t>Band B · Specialist / Manager · Team Lead / Asst Manager</t>
        </is>
      </c>
      <c r="BA81" s="40" t="inlineStr">
        <is>
          <t>Model B1 from the six ratings, the market-derived weights and rules R1–R13 · then No change · already below the manager</t>
        </is>
      </c>
      <c r="BB81" s="41" t="inlineStr">
        <is>
          <t>B1</t>
        </is>
      </c>
      <c r="BC81" s="40" t="inlineStr">
        <is>
          <t>The six ratings on the market-average weights of Band B · Specialist / POD Lead score 3.64 → B1 · Hay, Mercer IPE and public plans · experience 14.9 yrs vs the B1 market range 4–8</t>
        </is>
      </c>
      <c r="BD81" s="42">
        <f>IF(SUM(BM81,BN81,BO81,BP81,BQ81,BR81,BS81)=0,0,(BM81*BT81+BN81*BU81+BO81*BV81+BP81*BW81+BQ81*BX81+BR81*BY81+BS81*BZ81)/SUM(BM81,BN81,BO81,BP81,BQ81,BR81,BS81))</f>
        <v>0</v>
      </c>
      <c r="BE81" s="41" t="str">
        <f>IF(LEFT(AY81,1)="X",AY81,IF(OR(AY81="B+",AY81="C+"),INDEX(LAD_PC,MAX(1,MIN(14,MATCH(AY81,LAD_PC,0)+IF(BD81&gt;=0.5,1,IF(BD81&lt;=-0.5,-1,0))))),INDEX(LAD_STD,MAX(1,MIN(12,MATCH(AY81,LAD_STD,0)+IF(BD81&gt;=0.5,1,IF(BD81&lt;=-0.5,-1,0)))))))</f>
        <v>B1</v>
      </c>
      <c r="BF81" s="43" t="n"/>
      <c r="BG81" s="41" t="str">
        <f>IF(BF81&lt;&gt;"",BF81,BE81)</f>
        <v>B1</v>
      </c>
      <c r="BH81" s="40" t="str">
        <f>IFERROR(CHOOSE(INDEX(B_RANK,MATCH(BG81,B_LVL,0)),"Band A","Band B","B+ · Player-Coach","Band C","C+ · Player-Coach","Band D","Band E"),"Band X · Consultant")</f>
        <v>Band B</v>
      </c>
      <c r="BI81" s="40" t="str">
        <f>IF(BG81=AY81,"• Same",IF(INDEX(B_VAL,MATCH(BG81,B_LVL,0))&gt;INDEX(B_VAL,MATCH(AY81,B_LVL,0)),"▲ Up","▼ Down"))</f>
        <v>• Same</v>
      </c>
      <c r="BJ81" s="40" t="str">
        <f>IF(OR($M81="",$M81="—",$M81="Not in this file"),"",IFERROR(INDEX($BG$7:$BG$592,MATCH($M81,$D$7:$D$592,0)),""))</f>
        <v>B2</v>
      </c>
      <c r="BK81" s="40" t="str">
        <f>IFERROR(IF(BJ81="","—",IF(OR(LEFT(BG81,1)="X",LEFT(BJ81,1)="X"),"—",IF(AND(LEFT(BG81,1)="E",LEFT(BJ81,1)="E"),"Exception · Band E",IF(AND(INDEX(B_VAL,MATCH(BJ81,B_LVL,0))&gt;=7,INDEX(B_RANK,MATCH(BG81,B_LVL,0))&gt;=INDEX(B_RANK,MATCH(BJ81,B_LVL,0))),"⚠ Same band as a head manager",IF(INDEX(B_VAL,MATCH(BG81,B_LVL,0))&gt;=INDEX(B_VAL,MATCH(BJ81,B_LVL,0)),"⚠ At or above the manager's level","OK"))))),"—")</f>
        <v>OK</v>
      </c>
      <c r="BL81" s="43" t="n"/>
      <c r="BM81" s="44">
        <f>IFERROR(INDEX(LMH_PTS,MATCH(Y81,LMH_KEY,0)),0)</f>
        <v>9</v>
      </c>
      <c r="BN81" s="38">
        <f>IFERROR(INDEX(LMH_PTS,MATCH(Z81,LMH_KEY,0)),0)</f>
        <v>3</v>
      </c>
      <c r="BO81" s="38">
        <f>IFERROR(INDEX(LMH_PTS,MATCH(AA81,LMH_KEY,0)),0)</f>
        <v>3</v>
      </c>
      <c r="BP81" s="38">
        <f>IFERROR(INDEX(LMH_PTS,MATCH(AB81,LMH_KEY,0)),0)</f>
        <v>1</v>
      </c>
      <c r="BQ81" s="38">
        <f>IFERROR(INDEX(LMH_PTS,MATCH(AC81,LMH_KEY,0)),0)</f>
        <v>3</v>
      </c>
      <c r="BR81" s="38">
        <f>IFERROR(INDEX(LMH_PTS,MATCH(AD81,LMH_KEY,0)),0)</f>
        <v>1</v>
      </c>
      <c r="BS81" s="38">
        <f>IFERROR(INDEX(LMH_PTS,MATCH(AE81,LMH_KEY,0)),0)</f>
        <v>1</v>
      </c>
      <c r="BT81" s="38">
        <f>IFERROR(INDEX(LMH_STEP,MATCH(AF81,LMH_KEY,0)),0)</f>
        <v>0</v>
      </c>
      <c r="BU81" s="38">
        <f>IFERROR(INDEX(LMH_STEP,MATCH(AG81,LMH_KEY,0)),0)</f>
        <v>0</v>
      </c>
      <c r="BV81" s="38">
        <f>IFERROR(INDEX(LMH_STEP,MATCH(AH81,LMH_KEY,0)),0)</f>
        <v>0</v>
      </c>
      <c r="BW81" s="38">
        <f>IFERROR(INDEX(LMH_STEP,MATCH(AI81,LMH_KEY,0)),0)</f>
        <v>0</v>
      </c>
      <c r="BX81" s="38">
        <f>IFERROR(INDEX(LMH_STEP,MATCH(AJ81,LMH_KEY,0)),0)</f>
        <v>0</v>
      </c>
      <c r="BY81" s="38">
        <f>IFERROR(INDEX(LMH_STEP,MATCH(AK81,LMH_KEY,0)),0)</f>
        <v>0</v>
      </c>
      <c r="BZ81" s="38">
        <f>IFERROR(INDEX(LMH_STEP,MATCH(AL81,LMH_KEY,0)),0)</f>
        <v>0</v>
      </c>
      <c r="CA81" s="38" t="inlineStr">
        <is>
          <t>CARBON|Digitizing|Customer Enablement Specialist – POD Lead|B1|B-IC</t>
        </is>
      </c>
    </row>
    <row r="82" ht="110" customHeight="1">
      <c r="A82" s="28" t="inlineStr">
        <is>
          <t>CARBON</t>
        </is>
      </c>
      <c r="B82" s="29" t="inlineStr">
        <is>
          <t>Digitizing</t>
        </is>
      </c>
      <c r="C82" s="29" t="n">
        <v>7</v>
      </c>
      <c r="D82" s="29" t="inlineStr">
        <is>
          <t>IRISC238</t>
        </is>
      </c>
      <c r="E82" s="29" t="inlineStr">
        <is>
          <t>Aishwarya Chaulkar</t>
        </is>
      </c>
      <c r="F82" s="29" t="inlineStr">
        <is>
          <t>Consultant</t>
        </is>
      </c>
      <c r="G82" s="29" t="inlineStr">
        <is>
          <t>Senior Digitization Associate</t>
        </is>
      </c>
      <c r="H82" s="29" t="inlineStr">
        <is>
          <t>Data Operations &amp; Digitization</t>
        </is>
      </c>
      <c r="I82" s="29" t="inlineStr">
        <is>
          <t>Document Conversion, Formatting &amp; Web Publishing</t>
        </is>
      </c>
      <c r="J82" s="29" t="inlineStr">
        <is>
          <t>IC</t>
        </is>
      </c>
      <c r="K82" s="29" t="inlineStr">
        <is>
          <t>RC-047</t>
        </is>
      </c>
      <c r="L82" s="29" t="inlineStr">
        <is>
          <t>Datta Hatagale</t>
        </is>
      </c>
      <c r="M82" s="29" t="inlineStr">
        <is>
          <t>IRIS1005</t>
        </is>
      </c>
      <c r="N82" s="29" t="n">
        <v>3.9</v>
      </c>
      <c r="O82" s="29" t="n">
        <v>3.9</v>
      </c>
      <c r="P82" s="29" t="inlineStr">
        <is>
          <t>B.Com</t>
        </is>
      </c>
      <c r="Q82" s="29" t="inlineStr">
        <is>
          <t>L3 – Professional / Associate</t>
        </is>
      </c>
      <c r="R82" s="29" t="inlineStr">
        <is>
          <t>A3</t>
        </is>
      </c>
      <c r="S82" s="30" t="inlineStr">
        <is>
          <t>20 of 20</t>
        </is>
      </c>
      <c r="T82" s="31" t="inlineStr">
        <is>
          <t>• Role / sub-team: Digitizing Assisted Service.</t>
        </is>
      </c>
      <c r="U82" s="31" t="inlineStr">
        <is>
          <t>Received · manager annual · 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
        </is>
      </c>
      <c r="V82" s="31" t="inlineStr">
        <is>
          <t>Latest rating: 3 · Potential: High · 9-box: Core Contributor · Readiness: Ready in 6–12 months</t>
        </is>
      </c>
      <c r="W82" s="31" t="inlineStr">
        <is>
          <t>C M · Au M · Ac L · L L · BI M · Exp M · 3.9 yrs vs 2–4 yrs · Edu M · B.Com</t>
        </is>
      </c>
      <c r="X82" s="33" t="inlineStr">
        <is>
          <t>Open ▸</t>
        </is>
      </c>
      <c r="Y82" s="34" t="str">
        <f>IFERROR(INDEX(DL_C,MATCH($CA82,DL_KEY,0)),"M")</f>
        <v>H</v>
      </c>
      <c r="Z82" s="35" t="str">
        <f>IFERROR(INDEX(DL_Au,MATCH($CA82,DL_KEY,0)),"M")</f>
        <v>M</v>
      </c>
      <c r="AA82" s="35" t="str">
        <f>IFERROR(INDEX(DL_Ac,MATCH($CA82,DL_KEY,0)),"M")</f>
        <v>M</v>
      </c>
      <c r="AB82" s="35" t="str">
        <f>IFERROR(INDEX(DL_L,MATCH($CA82,DL_KEY,0)),"M")</f>
        <v>L</v>
      </c>
      <c r="AC82" s="35" t="str">
        <f>IFERROR(INDEX(DL_BI,MATCH($CA82,DL_KEY,0)),"M")</f>
        <v>L</v>
      </c>
      <c r="AD82" s="35" t="str">
        <f>IFERROR(INDEX(DL_Exp,MATCH($CA82,DL_KEY,0)),"M")</f>
        <v>L</v>
      </c>
      <c r="AE82" s="35" t="str">
        <f>IFERROR(INDEX(DL_Edu,MATCH($CA82,DL_KEY,0)),"M")</f>
        <v>L</v>
      </c>
      <c r="AF82" s="34" t="inlineStr">
        <is>
          <t>M</t>
        </is>
      </c>
      <c r="AG82" s="35" t="inlineStr">
        <is>
          <t>M</t>
        </is>
      </c>
      <c r="AH82" s="35" t="inlineStr">
        <is>
          <t>M</t>
        </is>
      </c>
      <c r="AI82" s="35" t="inlineStr">
        <is>
          <t>M</t>
        </is>
      </c>
      <c r="AJ82" s="35" t="inlineStr">
        <is>
          <t>M</t>
        </is>
      </c>
      <c r="AK82" s="35" t="inlineStr">
        <is>
          <t>M</t>
        </is>
      </c>
      <c r="AL82" s="35" t="inlineStr">
        <is>
          <t>M</t>
        </is>
      </c>
      <c r="AM82" s="36" t="n">
        <v>0.583</v>
      </c>
      <c r="AN82" s="37" t="n">
        <v>0.16</v>
      </c>
      <c r="AO82" s="37" t="n">
        <v>0.09</v>
      </c>
      <c r="AP82" s="37" t="n">
        <v>0</v>
      </c>
      <c r="AQ82" s="37" t="n">
        <v>0.063</v>
      </c>
      <c r="AR82" s="37" t="n">
        <v>0.06</v>
      </c>
      <c r="AS82" s="37" t="n">
        <v>0.04</v>
      </c>
      <c r="AT82" s="38" t="inlineStr">
        <is>
          <t>2–5</t>
        </is>
      </c>
      <c r="AU82" s="38" t="inlineStr">
        <is>
          <t>Graduate; relevant certification preferred</t>
        </is>
      </c>
      <c r="AV82" s="38" t="inlineStr">
        <is>
          <t>None · guides 1–3 juniors informally</t>
        </is>
      </c>
      <c r="AW82" s="38" t="inlineStr">
        <is>
          <t>P2 · SFIA 3 Apply</t>
        </is>
      </c>
      <c r="AX8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82" s="39" t="inlineStr">
        <is>
          <t>A3</t>
        </is>
      </c>
      <c r="AZ82" s="40" t="inlineStr">
        <is>
          <t>Band A · Practitioner · Senior Associate</t>
        </is>
      </c>
      <c r="BA82" s="40" t="inlineStr">
        <is>
          <t>Model A3 from the six ratings, the market-derived weights and rules R1–R13 · then No change · already below the manager</t>
        </is>
      </c>
      <c r="BB82" s="41" t="inlineStr">
        <is>
          <t>A3</t>
        </is>
      </c>
      <c r="BC82" s="40" t="inlineStr">
        <is>
          <t>The six ratings on the market-average weights of Band A · all tracks score 2.56 → A3 · Hay, Mercer IPE and public plans · experience 3.9 yrs vs the A3 market range 2–5</t>
        </is>
      </c>
      <c r="BD82" s="42">
        <f>IF(SUM(BM82,BN82,BO82,BP82,BQ82,BR82,BS82)=0,0,(BM82*BT82+BN82*BU82+BO82*BV82+BP82*BW82+BQ82*BX82+BR82*BY82+BS82*BZ82)/SUM(BM82,BN82,BO82,BP82,BQ82,BR82,BS82))</f>
        <v>0</v>
      </c>
      <c r="BE82" s="41" t="str">
        <f>IF(LEFT(AY82,1)="X",AY82,IF(OR(AY82="B+",AY82="C+"),INDEX(LAD_PC,MAX(1,MIN(14,MATCH(AY82,LAD_PC,0)+IF(BD82&gt;=0.5,1,IF(BD82&lt;=-0.5,-1,0))))),INDEX(LAD_STD,MAX(1,MIN(12,MATCH(AY82,LAD_STD,0)+IF(BD82&gt;=0.5,1,IF(BD82&lt;=-0.5,-1,0)))))))</f>
        <v>A3</v>
      </c>
      <c r="BF82" s="43" t="n"/>
      <c r="BG82" s="41" t="str">
        <f>IF(BF82&lt;&gt;"",BF82,BE82)</f>
        <v>A3</v>
      </c>
      <c r="BH82" s="40" t="str">
        <f>IFERROR(CHOOSE(INDEX(B_RANK,MATCH(BG82,B_LVL,0)),"Band A","Band B","B+ · Player-Coach","Band C","C+ · Player-Coach","Band D","Band E"),"Band X · Consultant")</f>
        <v>Band A</v>
      </c>
      <c r="BI82" s="40" t="str">
        <f>IF(BG82=AY82,"• Same",IF(INDEX(B_VAL,MATCH(BG82,B_LVL,0))&gt;INDEX(B_VAL,MATCH(AY82,B_LVL,0)),"▲ Up","▼ Down"))</f>
        <v>• Same</v>
      </c>
      <c r="BJ82" s="40" t="str">
        <f>IF(OR($M82="",$M82="—",$M82="Not in this file"),"",IFERROR(INDEX($BG$7:$BG$592,MATCH($M82,$D$7:$D$592,0)),""))</f>
        <v>B1</v>
      </c>
      <c r="BK82" s="40" t="str">
        <f>IFERROR(IF(BJ82="","—",IF(OR(LEFT(BG82,1)="X",LEFT(BJ82,1)="X"),"—",IF(AND(LEFT(BG82,1)="E",LEFT(BJ82,1)="E"),"Exception · Band E",IF(AND(INDEX(B_VAL,MATCH(BJ82,B_LVL,0))&gt;=7,INDEX(B_RANK,MATCH(BG82,B_LVL,0))&gt;=INDEX(B_RANK,MATCH(BJ82,B_LVL,0))),"⚠ Same band as a head manager",IF(INDEX(B_VAL,MATCH(BG82,B_LVL,0))&gt;=INDEX(B_VAL,MATCH(BJ82,B_LVL,0)),"⚠ At or above the manager's level","OK"))))),"—")</f>
        <v>OK</v>
      </c>
      <c r="BL82" s="43" t="n"/>
      <c r="BM82" s="44">
        <f>IFERROR(INDEX(LMH_PTS,MATCH(Y82,LMH_KEY,0)),0)</f>
        <v>9</v>
      </c>
      <c r="BN82" s="38">
        <f>IFERROR(INDEX(LMH_PTS,MATCH(Z82,LMH_KEY,0)),0)</f>
        <v>3</v>
      </c>
      <c r="BO82" s="38">
        <f>IFERROR(INDEX(LMH_PTS,MATCH(AA82,LMH_KEY,0)),0)</f>
        <v>3</v>
      </c>
      <c r="BP82" s="38">
        <f>IFERROR(INDEX(LMH_PTS,MATCH(AB82,LMH_KEY,0)),0)</f>
        <v>1</v>
      </c>
      <c r="BQ82" s="38">
        <f>IFERROR(INDEX(LMH_PTS,MATCH(AC82,LMH_KEY,0)),0)</f>
        <v>1</v>
      </c>
      <c r="BR82" s="38">
        <f>IFERROR(INDEX(LMH_PTS,MATCH(AD82,LMH_KEY,0)),0)</f>
        <v>1</v>
      </c>
      <c r="BS82" s="38">
        <f>IFERROR(INDEX(LMH_PTS,MATCH(AE82,LMH_KEY,0)),0)</f>
        <v>1</v>
      </c>
      <c r="BT82" s="38">
        <f>IFERROR(INDEX(LMH_STEP,MATCH(AF82,LMH_KEY,0)),0)</f>
        <v>0</v>
      </c>
      <c r="BU82" s="38">
        <f>IFERROR(INDEX(LMH_STEP,MATCH(AG82,LMH_KEY,0)),0)</f>
        <v>0</v>
      </c>
      <c r="BV82" s="38">
        <f>IFERROR(INDEX(LMH_STEP,MATCH(AH82,LMH_KEY,0)),0)</f>
        <v>0</v>
      </c>
      <c r="BW82" s="38">
        <f>IFERROR(INDEX(LMH_STEP,MATCH(AI82,LMH_KEY,0)),0)</f>
        <v>0</v>
      </c>
      <c r="BX82" s="38">
        <f>IFERROR(INDEX(LMH_STEP,MATCH(AJ82,LMH_KEY,0)),0)</f>
        <v>0</v>
      </c>
      <c r="BY82" s="38">
        <f>IFERROR(INDEX(LMH_STEP,MATCH(AK82,LMH_KEY,0)),0)</f>
        <v>0</v>
      </c>
      <c r="BZ82" s="38">
        <f>IFERROR(INDEX(LMH_STEP,MATCH(AL82,LMH_KEY,0)),0)</f>
        <v>0</v>
      </c>
      <c r="CA82" s="38" t="inlineStr">
        <is>
          <t>CARBON|Digitizing|Senior Digitization Associate|A3|A</t>
        </is>
      </c>
    </row>
    <row r="83" ht="110" customHeight="1">
      <c r="A83" s="28" t="inlineStr">
        <is>
          <t>CARBON</t>
        </is>
      </c>
      <c r="B83" s="29" t="inlineStr">
        <is>
          <t>Digitizing</t>
        </is>
      </c>
      <c r="C83" s="29" t="n">
        <v>7</v>
      </c>
      <c r="D83" s="29" t="inlineStr">
        <is>
          <t>IRISC225</t>
        </is>
      </c>
      <c r="E83" s="29" t="inlineStr">
        <is>
          <t>Shravan Ghadi</t>
        </is>
      </c>
      <c r="F83" s="29" t="inlineStr">
        <is>
          <t>Consultant</t>
        </is>
      </c>
      <c r="G83" s="29" t="inlineStr">
        <is>
          <t>Senior Digitization Associate</t>
        </is>
      </c>
      <c r="H83" s="29" t="inlineStr">
        <is>
          <t>Data Operations &amp; Digitization</t>
        </is>
      </c>
      <c r="I83" s="29" t="inlineStr">
        <is>
          <t>Document Conversion, Formatting &amp; Web Publishing</t>
        </is>
      </c>
      <c r="J83" s="29" t="inlineStr">
        <is>
          <t>IC</t>
        </is>
      </c>
      <c r="K83" s="29" t="inlineStr">
        <is>
          <t>RC-047</t>
        </is>
      </c>
      <c r="L83" s="29" t="inlineStr">
        <is>
          <t>Datta Hatagale</t>
        </is>
      </c>
      <c r="M83" s="29" t="inlineStr">
        <is>
          <t>IRIS1005</t>
        </is>
      </c>
      <c r="N83" s="29" t="n">
        <v>4.5</v>
      </c>
      <c r="O83" s="29" t="n">
        <v>4.5</v>
      </c>
      <c r="P83" s="29" t="inlineStr">
        <is>
          <t>Undergraduate</t>
        </is>
      </c>
      <c r="Q83" s="29" t="inlineStr">
        <is>
          <t>L3 – Professional / Associate</t>
        </is>
      </c>
      <c r="R83" s="29" t="inlineStr">
        <is>
          <t>A3</t>
        </is>
      </c>
      <c r="S83" s="30" t="inlineStr">
        <is>
          <t>19 of 20</t>
        </is>
      </c>
      <c r="T83" s="31" t="inlineStr">
        <is>
          <t>• Role / sub-team: Digitising Assited Services.</t>
        </is>
      </c>
      <c r="U83" s="31" t="inlineStr">
        <is>
          <t>Received · manager annual · 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
        </is>
      </c>
      <c r="V83" s="31" t="inlineStr">
        <is>
          <t>Latest rating: 3 · Potential: Medium · 9-box: Core Contributor · Readiness: Develop in role</t>
        </is>
      </c>
      <c r="W83" s="31" t="inlineStr">
        <is>
          <t>C L · Au L · Ac L · L L · BI M · Exp H · 4.5 yrs vs 2–4 yrs · Edu L · Undergraduate</t>
        </is>
      </c>
      <c r="X83" s="33" t="inlineStr">
        <is>
          <t>Open ▸</t>
        </is>
      </c>
      <c r="Y83" s="34" t="str">
        <f>IFERROR(INDEX(DL_C,MATCH($CA83,DL_KEY,0)),"M")</f>
        <v>H</v>
      </c>
      <c r="Z83" s="35" t="str">
        <f>IFERROR(INDEX(DL_Au,MATCH($CA83,DL_KEY,0)),"M")</f>
        <v>M</v>
      </c>
      <c r="AA83" s="35" t="str">
        <f>IFERROR(INDEX(DL_Ac,MATCH($CA83,DL_KEY,0)),"M")</f>
        <v>M</v>
      </c>
      <c r="AB83" s="35" t="str">
        <f>IFERROR(INDEX(DL_L,MATCH($CA83,DL_KEY,0)),"M")</f>
        <v>L</v>
      </c>
      <c r="AC83" s="35" t="str">
        <f>IFERROR(INDEX(DL_BI,MATCH($CA83,DL_KEY,0)),"M")</f>
        <v>L</v>
      </c>
      <c r="AD83" s="35" t="str">
        <f>IFERROR(INDEX(DL_Exp,MATCH($CA83,DL_KEY,0)),"M")</f>
        <v>L</v>
      </c>
      <c r="AE83" s="35" t="str">
        <f>IFERROR(INDEX(DL_Edu,MATCH($CA83,DL_KEY,0)),"M")</f>
        <v>L</v>
      </c>
      <c r="AF83" s="34" t="inlineStr">
        <is>
          <t>M</t>
        </is>
      </c>
      <c r="AG83" s="35" t="inlineStr">
        <is>
          <t>M</t>
        </is>
      </c>
      <c r="AH83" s="35" t="inlineStr">
        <is>
          <t>M</t>
        </is>
      </c>
      <c r="AI83" s="35" t="inlineStr">
        <is>
          <t>M</t>
        </is>
      </c>
      <c r="AJ83" s="35" t="inlineStr">
        <is>
          <t>M</t>
        </is>
      </c>
      <c r="AK83" s="35" t="inlineStr">
        <is>
          <t>M</t>
        </is>
      </c>
      <c r="AL83" s="35" t="inlineStr">
        <is>
          <t>M</t>
        </is>
      </c>
      <c r="AM83" s="36" t="n">
        <v>0.583</v>
      </c>
      <c r="AN83" s="37" t="n">
        <v>0.16</v>
      </c>
      <c r="AO83" s="37" t="n">
        <v>0.09</v>
      </c>
      <c r="AP83" s="37" t="n">
        <v>0</v>
      </c>
      <c r="AQ83" s="37" t="n">
        <v>0.063</v>
      </c>
      <c r="AR83" s="37" t="n">
        <v>0.06</v>
      </c>
      <c r="AS83" s="37" t="n">
        <v>0.04</v>
      </c>
      <c r="AT83" s="38" t="inlineStr">
        <is>
          <t>2–5</t>
        </is>
      </c>
      <c r="AU83" s="38" t="inlineStr">
        <is>
          <t>Graduate; relevant certification preferred</t>
        </is>
      </c>
      <c r="AV83" s="38" t="inlineStr">
        <is>
          <t>None · guides 1–3 juniors informally</t>
        </is>
      </c>
      <c r="AW83" s="38" t="inlineStr">
        <is>
          <t>P2 · SFIA 3 Apply</t>
        </is>
      </c>
      <c r="AX8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83" s="39" t="inlineStr">
        <is>
          <t>A3</t>
        </is>
      </c>
      <c r="AZ83" s="40" t="inlineStr">
        <is>
          <t>Band A · Practitioner · Senior Associate</t>
        </is>
      </c>
      <c r="BA83" s="40" t="inlineStr">
        <is>
          <t>Model A3 from the six ratings, the market-derived weights and rules R1–R13 · then No change · already below the manager</t>
        </is>
      </c>
      <c r="BB83" s="41" t="inlineStr">
        <is>
          <t>A2</t>
        </is>
      </c>
      <c r="BC83" s="40" t="inlineStr">
        <is>
          <t>The six ratings on the market-average weights of Band A · all tracks score 2.13 → A2 · Hay, Mercer IPE and public plans · experience 4.5 yrs vs the A2 market range 0–3</t>
        </is>
      </c>
      <c r="BD83" s="42">
        <f>IF(SUM(BM83,BN83,BO83,BP83,BQ83,BR83,BS83)=0,0,(BM83*BT83+BN83*BU83+BO83*BV83+BP83*BW83+BQ83*BX83+BR83*BY83+BS83*BZ83)/SUM(BM83,BN83,BO83,BP83,BQ83,BR83,BS83))</f>
        <v>0</v>
      </c>
      <c r="BE83" s="41" t="str">
        <f>IF(LEFT(AY83,1)="X",AY83,IF(OR(AY83="B+",AY83="C+"),INDEX(LAD_PC,MAX(1,MIN(14,MATCH(AY83,LAD_PC,0)+IF(BD83&gt;=0.5,1,IF(BD83&lt;=-0.5,-1,0))))),INDEX(LAD_STD,MAX(1,MIN(12,MATCH(AY83,LAD_STD,0)+IF(BD83&gt;=0.5,1,IF(BD83&lt;=-0.5,-1,0)))))))</f>
        <v>A3</v>
      </c>
      <c r="BF83" s="43" t="n"/>
      <c r="BG83" s="41" t="str">
        <f>IF(BF83&lt;&gt;"",BF83,BE83)</f>
        <v>A3</v>
      </c>
      <c r="BH83" s="40" t="str">
        <f>IFERROR(CHOOSE(INDEX(B_RANK,MATCH(BG83,B_LVL,0)),"Band A","Band B","B+ · Player-Coach","Band C","C+ · Player-Coach","Band D","Band E"),"Band X · Consultant")</f>
        <v>Band A</v>
      </c>
      <c r="BI83" s="40" t="str">
        <f>IF(BG83=AY83,"• Same",IF(INDEX(B_VAL,MATCH(BG83,B_LVL,0))&gt;INDEX(B_VAL,MATCH(AY83,B_LVL,0)),"▲ Up","▼ Down"))</f>
        <v>• Same</v>
      </c>
      <c r="BJ83" s="40" t="str">
        <f>IF(OR($M83="",$M83="—",$M83="Not in this file"),"",IFERROR(INDEX($BG$7:$BG$592,MATCH($M83,$D$7:$D$592,0)),""))</f>
        <v>B1</v>
      </c>
      <c r="BK83" s="40" t="str">
        <f>IFERROR(IF(BJ83="","—",IF(OR(LEFT(BG83,1)="X",LEFT(BJ83,1)="X"),"—",IF(AND(LEFT(BG83,1)="E",LEFT(BJ83,1)="E"),"Exception · Band E",IF(AND(INDEX(B_VAL,MATCH(BJ83,B_LVL,0))&gt;=7,INDEX(B_RANK,MATCH(BG83,B_LVL,0))&gt;=INDEX(B_RANK,MATCH(BJ83,B_LVL,0))),"⚠ Same band as a head manager",IF(INDEX(B_VAL,MATCH(BG83,B_LVL,0))&gt;=INDEX(B_VAL,MATCH(BJ83,B_LVL,0)),"⚠ At or above the manager's level","OK"))))),"—")</f>
        <v>OK</v>
      </c>
      <c r="BL83" s="43" t="n"/>
      <c r="BM83" s="44">
        <f>IFERROR(INDEX(LMH_PTS,MATCH(Y83,LMH_KEY,0)),0)</f>
        <v>9</v>
      </c>
      <c r="BN83" s="38">
        <f>IFERROR(INDEX(LMH_PTS,MATCH(Z83,LMH_KEY,0)),0)</f>
        <v>3</v>
      </c>
      <c r="BO83" s="38">
        <f>IFERROR(INDEX(LMH_PTS,MATCH(AA83,LMH_KEY,0)),0)</f>
        <v>3</v>
      </c>
      <c r="BP83" s="38">
        <f>IFERROR(INDEX(LMH_PTS,MATCH(AB83,LMH_KEY,0)),0)</f>
        <v>1</v>
      </c>
      <c r="BQ83" s="38">
        <f>IFERROR(INDEX(LMH_PTS,MATCH(AC83,LMH_KEY,0)),0)</f>
        <v>1</v>
      </c>
      <c r="BR83" s="38">
        <f>IFERROR(INDEX(LMH_PTS,MATCH(AD83,LMH_KEY,0)),0)</f>
        <v>1</v>
      </c>
      <c r="BS83" s="38">
        <f>IFERROR(INDEX(LMH_PTS,MATCH(AE83,LMH_KEY,0)),0)</f>
        <v>1</v>
      </c>
      <c r="BT83" s="38">
        <f>IFERROR(INDEX(LMH_STEP,MATCH(AF83,LMH_KEY,0)),0)</f>
        <v>0</v>
      </c>
      <c r="BU83" s="38">
        <f>IFERROR(INDEX(LMH_STEP,MATCH(AG83,LMH_KEY,0)),0)</f>
        <v>0</v>
      </c>
      <c r="BV83" s="38">
        <f>IFERROR(INDEX(LMH_STEP,MATCH(AH83,LMH_KEY,0)),0)</f>
        <v>0</v>
      </c>
      <c r="BW83" s="38">
        <f>IFERROR(INDEX(LMH_STEP,MATCH(AI83,LMH_KEY,0)),0)</f>
        <v>0</v>
      </c>
      <c r="BX83" s="38">
        <f>IFERROR(INDEX(LMH_STEP,MATCH(AJ83,LMH_KEY,0)),0)</f>
        <v>0</v>
      </c>
      <c r="BY83" s="38">
        <f>IFERROR(INDEX(LMH_STEP,MATCH(AK83,LMH_KEY,0)),0)</f>
        <v>0</v>
      </c>
      <c r="BZ83" s="38">
        <f>IFERROR(INDEX(LMH_STEP,MATCH(AL83,LMH_KEY,0)),0)</f>
        <v>0</v>
      </c>
      <c r="CA83" s="38" t="inlineStr">
        <is>
          <t>CARBON|Digitizing|Senior Digitization Associate|A3|A</t>
        </is>
      </c>
    </row>
    <row r="84" ht="110" customHeight="1">
      <c r="A84" s="28" t="inlineStr">
        <is>
          <t>CARBON</t>
        </is>
      </c>
      <c r="B84" s="29" t="inlineStr">
        <is>
          <t>Digitizing</t>
        </is>
      </c>
      <c r="C84" s="29" t="n">
        <v>7</v>
      </c>
      <c r="D84" s="29" t="inlineStr">
        <is>
          <t>IRISC271</t>
        </is>
      </c>
      <c r="E84" s="29" t="inlineStr">
        <is>
          <t>Siddhesh Manjrekar</t>
        </is>
      </c>
      <c r="F84" s="29" t="inlineStr">
        <is>
          <t>Consultant</t>
        </is>
      </c>
      <c r="G84" s="29" t="inlineStr">
        <is>
          <t>Senior Digitization Associate</t>
        </is>
      </c>
      <c r="H84" s="29" t="inlineStr">
        <is>
          <t>Data Operations &amp; Digitization</t>
        </is>
      </c>
      <c r="I84" s="29" t="inlineStr">
        <is>
          <t>Document Conversion, Formatting &amp; Web Publishing</t>
        </is>
      </c>
      <c r="J84" s="29" t="inlineStr">
        <is>
          <t>IC</t>
        </is>
      </c>
      <c r="K84" s="29" t="inlineStr">
        <is>
          <t>RC-047</t>
        </is>
      </c>
      <c r="L84" s="29" t="inlineStr">
        <is>
          <t>Datta Hatagale</t>
        </is>
      </c>
      <c r="M84" s="29" t="inlineStr">
        <is>
          <t>IRIS1005</t>
        </is>
      </c>
      <c r="N84" s="29" t="n">
        <v>3.5</v>
      </c>
      <c r="O84" s="29" t="n">
        <v>3.1</v>
      </c>
      <c r="P84" s="29" t="inlineStr">
        <is>
          <t>BMS</t>
        </is>
      </c>
      <c r="Q84" s="29" t="inlineStr">
        <is>
          <t>L3 – Professional / Associate</t>
        </is>
      </c>
      <c r="R84" s="29" t="inlineStr">
        <is>
          <t>A3</t>
        </is>
      </c>
      <c r="S84" s="30" t="inlineStr">
        <is>
          <t>20 of 20</t>
        </is>
      </c>
      <c r="T84" s="31" t="inlineStr">
        <is>
          <t>• Role / sub-team: Digitizing Assisted Services.</t>
        </is>
      </c>
      <c r="U84" s="31" t="inlineStr">
        <is>
          <t>Received · manager annual · 1. Complete assigned conversion/formatting tasks with &gt;=99% accuracy · zero critical errors
2. Meet 100% of client filing deadlines · no SLA breaches
3. Maintain average turnaround per assignment within agreed TAT
4. Should be able to do Quality check process.
5. Develop capabilites to work in more than 2 …</t>
        </is>
      </c>
      <c r="V84" s="31" t="inlineStr">
        <is>
          <t>Latest rating: 3 · Potential: Medium · 9-box: Core Contributor · Readiness: Develop in role</t>
        </is>
      </c>
      <c r="W84" s="31" t="inlineStr">
        <is>
          <t>C L · Au L · Ac L · L L · BI M · Exp M · 3.5 yrs vs 2–4 yrs · Edu M · BMS</t>
        </is>
      </c>
      <c r="X84" s="33" t="inlineStr">
        <is>
          <t>Open ▸</t>
        </is>
      </c>
      <c r="Y84" s="34" t="str">
        <f>IFERROR(INDEX(DL_C,MATCH($CA84,DL_KEY,0)),"M")</f>
        <v>H</v>
      </c>
      <c r="Z84" s="35" t="str">
        <f>IFERROR(INDEX(DL_Au,MATCH($CA84,DL_KEY,0)),"M")</f>
        <v>M</v>
      </c>
      <c r="AA84" s="35" t="str">
        <f>IFERROR(INDEX(DL_Ac,MATCH($CA84,DL_KEY,0)),"M")</f>
        <v>M</v>
      </c>
      <c r="AB84" s="35" t="str">
        <f>IFERROR(INDEX(DL_L,MATCH($CA84,DL_KEY,0)),"M")</f>
        <v>L</v>
      </c>
      <c r="AC84" s="35" t="str">
        <f>IFERROR(INDEX(DL_BI,MATCH($CA84,DL_KEY,0)),"M")</f>
        <v>L</v>
      </c>
      <c r="AD84" s="35" t="str">
        <f>IFERROR(INDEX(DL_Exp,MATCH($CA84,DL_KEY,0)),"M")</f>
        <v>L</v>
      </c>
      <c r="AE84" s="35" t="str">
        <f>IFERROR(INDEX(DL_Edu,MATCH($CA84,DL_KEY,0)),"M")</f>
        <v>L</v>
      </c>
      <c r="AF84" s="34" t="inlineStr">
        <is>
          <t>M</t>
        </is>
      </c>
      <c r="AG84" s="35" t="inlineStr">
        <is>
          <t>M</t>
        </is>
      </c>
      <c r="AH84" s="35" t="inlineStr">
        <is>
          <t>M</t>
        </is>
      </c>
      <c r="AI84" s="35" t="inlineStr">
        <is>
          <t>M</t>
        </is>
      </c>
      <c r="AJ84" s="35" t="inlineStr">
        <is>
          <t>M</t>
        </is>
      </c>
      <c r="AK84" s="35" t="inlineStr">
        <is>
          <t>M</t>
        </is>
      </c>
      <c r="AL84" s="35" t="inlineStr">
        <is>
          <t>M</t>
        </is>
      </c>
      <c r="AM84" s="36" t="n">
        <v>0.583</v>
      </c>
      <c r="AN84" s="37" t="n">
        <v>0.16</v>
      </c>
      <c r="AO84" s="37" t="n">
        <v>0.09</v>
      </c>
      <c r="AP84" s="37" t="n">
        <v>0</v>
      </c>
      <c r="AQ84" s="37" t="n">
        <v>0.063</v>
      </c>
      <c r="AR84" s="37" t="n">
        <v>0.06</v>
      </c>
      <c r="AS84" s="37" t="n">
        <v>0.04</v>
      </c>
      <c r="AT84" s="38" t="inlineStr">
        <is>
          <t>2–5</t>
        </is>
      </c>
      <c r="AU84" s="38" t="inlineStr">
        <is>
          <t>Graduate; relevant certification preferred</t>
        </is>
      </c>
      <c r="AV84" s="38" t="inlineStr">
        <is>
          <t>None · guides 1–3 juniors informally</t>
        </is>
      </c>
      <c r="AW84" s="38" t="inlineStr">
        <is>
          <t>P2 · SFIA 3 Apply</t>
        </is>
      </c>
      <c r="AX8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84" s="39" t="inlineStr">
        <is>
          <t>A3</t>
        </is>
      </c>
      <c r="AZ84" s="40" t="inlineStr">
        <is>
          <t>Band A · Practitioner · Senior Associate</t>
        </is>
      </c>
      <c r="BA84" s="40" t="inlineStr">
        <is>
          <t>Model A3 from the six ratings, the market-derived weights and rules R1–R13 · then No change · already below the manager</t>
        </is>
      </c>
      <c r="BB84" s="41" t="inlineStr">
        <is>
          <t>A2</t>
        </is>
      </c>
      <c r="BC84" s="40" t="inlineStr">
        <is>
          <t>The six ratings on the market-average weights of Band A · all tracks score 2.13 → A2 · Hay, Mercer IPE and public plans · experience 3.5 yrs vs the A2 market range 0–3</t>
        </is>
      </c>
      <c r="BD84" s="42">
        <f>IF(SUM(BM84,BN84,BO84,BP84,BQ84,BR84,BS84)=0,0,(BM84*BT84+BN84*BU84+BO84*BV84+BP84*BW84+BQ84*BX84+BR84*BY84+BS84*BZ84)/SUM(BM84,BN84,BO84,BP84,BQ84,BR84,BS84))</f>
        <v>0</v>
      </c>
      <c r="BE84" s="41" t="str">
        <f>IF(LEFT(AY84,1)="X",AY84,IF(OR(AY84="B+",AY84="C+"),INDEX(LAD_PC,MAX(1,MIN(14,MATCH(AY84,LAD_PC,0)+IF(BD84&gt;=0.5,1,IF(BD84&lt;=-0.5,-1,0))))),INDEX(LAD_STD,MAX(1,MIN(12,MATCH(AY84,LAD_STD,0)+IF(BD84&gt;=0.5,1,IF(BD84&lt;=-0.5,-1,0)))))))</f>
        <v>A3</v>
      </c>
      <c r="BF84" s="43" t="n"/>
      <c r="BG84" s="41" t="str">
        <f>IF(BF84&lt;&gt;"",BF84,BE84)</f>
        <v>A3</v>
      </c>
      <c r="BH84" s="40" t="str">
        <f>IFERROR(CHOOSE(INDEX(B_RANK,MATCH(BG84,B_LVL,0)),"Band A","Band B","B+ · Player-Coach","Band C","C+ · Player-Coach","Band D","Band E"),"Band X · Consultant")</f>
        <v>Band A</v>
      </c>
      <c r="BI84" s="40" t="str">
        <f>IF(BG84=AY84,"• Same",IF(INDEX(B_VAL,MATCH(BG84,B_LVL,0))&gt;INDEX(B_VAL,MATCH(AY84,B_LVL,0)),"▲ Up","▼ Down"))</f>
        <v>• Same</v>
      </c>
      <c r="BJ84" s="40" t="str">
        <f>IF(OR($M84="",$M84="—",$M84="Not in this file"),"",IFERROR(INDEX($BG$7:$BG$592,MATCH($M84,$D$7:$D$592,0)),""))</f>
        <v>B1</v>
      </c>
      <c r="BK84" s="40" t="str">
        <f>IFERROR(IF(BJ84="","—",IF(OR(LEFT(BG84,1)="X",LEFT(BJ84,1)="X"),"—",IF(AND(LEFT(BG84,1)="E",LEFT(BJ84,1)="E"),"Exception · Band E",IF(AND(INDEX(B_VAL,MATCH(BJ84,B_LVL,0))&gt;=7,INDEX(B_RANK,MATCH(BG84,B_LVL,0))&gt;=INDEX(B_RANK,MATCH(BJ84,B_LVL,0))),"⚠ Same band as a head manager",IF(INDEX(B_VAL,MATCH(BG84,B_LVL,0))&gt;=INDEX(B_VAL,MATCH(BJ84,B_LVL,0)),"⚠ At or above the manager's level","OK"))))),"—")</f>
        <v>OK</v>
      </c>
      <c r="BL84" s="43" t="n"/>
      <c r="BM84" s="44">
        <f>IFERROR(INDEX(LMH_PTS,MATCH(Y84,LMH_KEY,0)),0)</f>
        <v>9</v>
      </c>
      <c r="BN84" s="38">
        <f>IFERROR(INDEX(LMH_PTS,MATCH(Z84,LMH_KEY,0)),0)</f>
        <v>3</v>
      </c>
      <c r="BO84" s="38">
        <f>IFERROR(INDEX(LMH_PTS,MATCH(AA84,LMH_KEY,0)),0)</f>
        <v>3</v>
      </c>
      <c r="BP84" s="38">
        <f>IFERROR(INDEX(LMH_PTS,MATCH(AB84,LMH_KEY,0)),0)</f>
        <v>1</v>
      </c>
      <c r="BQ84" s="38">
        <f>IFERROR(INDEX(LMH_PTS,MATCH(AC84,LMH_KEY,0)),0)</f>
        <v>1</v>
      </c>
      <c r="BR84" s="38">
        <f>IFERROR(INDEX(LMH_PTS,MATCH(AD84,LMH_KEY,0)),0)</f>
        <v>1</v>
      </c>
      <c r="BS84" s="38">
        <f>IFERROR(INDEX(LMH_PTS,MATCH(AE84,LMH_KEY,0)),0)</f>
        <v>1</v>
      </c>
      <c r="BT84" s="38">
        <f>IFERROR(INDEX(LMH_STEP,MATCH(AF84,LMH_KEY,0)),0)</f>
        <v>0</v>
      </c>
      <c r="BU84" s="38">
        <f>IFERROR(INDEX(LMH_STEP,MATCH(AG84,LMH_KEY,0)),0)</f>
        <v>0</v>
      </c>
      <c r="BV84" s="38">
        <f>IFERROR(INDEX(LMH_STEP,MATCH(AH84,LMH_KEY,0)),0)</f>
        <v>0</v>
      </c>
      <c r="BW84" s="38">
        <f>IFERROR(INDEX(LMH_STEP,MATCH(AI84,LMH_KEY,0)),0)</f>
        <v>0</v>
      </c>
      <c r="BX84" s="38">
        <f>IFERROR(INDEX(LMH_STEP,MATCH(AJ84,LMH_KEY,0)),0)</f>
        <v>0</v>
      </c>
      <c r="BY84" s="38">
        <f>IFERROR(INDEX(LMH_STEP,MATCH(AK84,LMH_KEY,0)),0)</f>
        <v>0</v>
      </c>
      <c r="BZ84" s="38">
        <f>IFERROR(INDEX(LMH_STEP,MATCH(AL84,LMH_KEY,0)),0)</f>
        <v>0</v>
      </c>
      <c r="CA84" s="38" t="inlineStr">
        <is>
          <t>CARBON|Digitizing|Senior Digitization Associate|A3|A</t>
        </is>
      </c>
    </row>
    <row r="85" ht="110" customHeight="1">
      <c r="A85" s="28" t="inlineStr">
        <is>
          <t>CARBON</t>
        </is>
      </c>
      <c r="B85" s="29" t="inlineStr">
        <is>
          <t>Digitizing</t>
        </is>
      </c>
      <c r="C85" s="29" t="n">
        <v>6</v>
      </c>
      <c r="D85" s="29" t="inlineStr">
        <is>
          <t>IRIS1204</t>
        </is>
      </c>
      <c r="E85" s="29" t="inlineStr">
        <is>
          <t>Dinesh Sharma</t>
        </is>
      </c>
      <c r="F85" s="29" t="inlineStr">
        <is>
          <t>Image Processing Specialist</t>
        </is>
      </c>
      <c r="G85" s="29" t="inlineStr">
        <is>
          <t>Team Lead – Digitization</t>
        </is>
      </c>
      <c r="H85" s="29" t="inlineStr">
        <is>
          <t>Data Operations &amp; Digitization</t>
        </is>
      </c>
      <c r="I85" s="29" t="inlineStr">
        <is>
          <t>Document Conversion, Formatting &amp; Web Publishing</t>
        </is>
      </c>
      <c r="J85" s="29" t="inlineStr">
        <is>
          <t>People Manager</t>
        </is>
      </c>
      <c r="K85" s="29" t="inlineStr">
        <is>
          <t>RC-049</t>
        </is>
      </c>
      <c r="L85" s="29" t="inlineStr">
        <is>
          <t>Vijay Parulekar</t>
        </is>
      </c>
      <c r="M85" s="29" t="inlineStr">
        <is>
          <t>IRIS0055</t>
        </is>
      </c>
      <c r="N85" s="29" t="n">
        <v>18</v>
      </c>
      <c r="O85" s="29" t="n">
        <v>18</v>
      </c>
      <c r="P85" s="29" t="inlineStr">
        <is>
          <t>B.Com</t>
        </is>
      </c>
      <c r="Q85" s="29" t="inlineStr">
        <is>
          <t>L3 – Professional / Associate</t>
        </is>
      </c>
      <c r="R85" s="29" t="inlineStr">
        <is>
          <t>B1</t>
        </is>
      </c>
      <c r="S85" s="30" t="inlineStr">
        <is>
          <t>20 of 20</t>
        </is>
      </c>
      <c r="T85" s="31" t="inlineStr">
        <is>
          <t>• Role / sub-team: Digitizing assited service.</t>
        </is>
      </c>
      <c r="U85" s="31" t="inlineStr">
        <is>
          <t>Received · manager annual · 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capabilities to work in more …</t>
        </is>
      </c>
      <c r="V85" s="31" t="inlineStr">
        <is>
          <t>Latest rating: 5 · Potential: High · 9-box: Core Contributor · Readiness: Ready now</t>
        </is>
      </c>
      <c r="W85" s="31" t="inlineStr">
        <is>
          <t>C L · Au M · Ac M · L M · BI M · Exp H · 18 yrs vs 4–7 yrs · Edu M · B.Com</t>
        </is>
      </c>
      <c r="X85" s="33" t="inlineStr">
        <is>
          <t>Open ▸</t>
        </is>
      </c>
      <c r="Y85" s="34" t="str">
        <f>IFERROR(INDEX(DL_C,MATCH($CA85,DL_KEY,0)),"M")</f>
        <v>H</v>
      </c>
      <c r="Z85" s="35" t="str">
        <f>IFERROR(INDEX(DL_Au,MATCH($CA85,DL_KEY,0)),"M")</f>
        <v>M</v>
      </c>
      <c r="AA85" s="35" t="str">
        <f>IFERROR(INDEX(DL_Ac,MATCH($CA85,DL_KEY,0)),"M")</f>
        <v>M</v>
      </c>
      <c r="AB85" s="35" t="str">
        <f>IFERROR(INDEX(DL_L,MATCH($CA85,DL_KEY,0)),"M")</f>
        <v>M</v>
      </c>
      <c r="AC85" s="35" t="str">
        <f>IFERROR(INDEX(DL_BI,MATCH($CA85,DL_KEY,0)),"M")</f>
        <v>L</v>
      </c>
      <c r="AD85" s="35" t="str">
        <f>IFERROR(INDEX(DL_Exp,MATCH($CA85,DL_KEY,0)),"M")</f>
        <v>L</v>
      </c>
      <c r="AE85" s="35" t="str">
        <f>IFERROR(INDEX(DL_Edu,MATCH($CA85,DL_KEY,0)),"M")</f>
        <v>L</v>
      </c>
      <c r="AF85" s="34" t="inlineStr">
        <is>
          <t>M</t>
        </is>
      </c>
      <c r="AG85" s="35" t="inlineStr">
        <is>
          <t>M</t>
        </is>
      </c>
      <c r="AH85" s="35" t="inlineStr">
        <is>
          <t>M</t>
        </is>
      </c>
      <c r="AI85" s="35" t="inlineStr">
        <is>
          <t>M</t>
        </is>
      </c>
      <c r="AJ85" s="35" t="inlineStr">
        <is>
          <t>M</t>
        </is>
      </c>
      <c r="AK85" s="35" t="inlineStr">
        <is>
          <t>M</t>
        </is>
      </c>
      <c r="AL85" s="35" t="inlineStr">
        <is>
          <t>M</t>
        </is>
      </c>
      <c r="AM85" s="36" t="n">
        <v>0.37</v>
      </c>
      <c r="AN85" s="37" t="n">
        <v>0.183</v>
      </c>
      <c r="AO85" s="37" t="n">
        <v>0.113</v>
      </c>
      <c r="AP85" s="37" t="n">
        <v>0.15</v>
      </c>
      <c r="AQ85" s="37" t="n">
        <v>0.08699999999999999</v>
      </c>
      <c r="AR85" s="37" t="n">
        <v>0.06</v>
      </c>
      <c r="AS85" s="37" t="n">
        <v>0.04</v>
      </c>
      <c r="AT85" s="38" t="inlineStr">
        <is>
          <t>4–8</t>
        </is>
      </c>
      <c r="AU85" s="38" t="inlineStr">
        <is>
          <t>Graduate + relevant qualification or certification preferred</t>
        </is>
      </c>
      <c r="AV85" s="38" t="inlineStr">
        <is>
          <t>IC: none · Team Lead: 3–5</t>
        </is>
      </c>
      <c r="AW85" s="38" t="inlineStr">
        <is>
          <t>P3 / M2 · SFIA 4 Enable</t>
        </is>
      </c>
      <c r="AX8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85" s="39" t="inlineStr">
        <is>
          <t>B1</t>
        </is>
      </c>
      <c r="AZ85" s="40" t="inlineStr">
        <is>
          <t>Band B · Specialist / Manager · Team Lead / Asst Manager</t>
        </is>
      </c>
      <c r="BA85" s="40" t="inlineStr">
        <is>
          <t>Model B1 from the six ratings, the market-derived weights and rules R1–R13 · then No change · already below the manager</t>
        </is>
      </c>
      <c r="BB85" s="41" t="inlineStr">
        <is>
          <t>B1</t>
        </is>
      </c>
      <c r="BC85" s="40" t="inlineStr">
        <is>
          <t>The six ratings on the market-average weights of Band B · People Manager score 3.98 → B1 · Hay, Mercer IPE and public plans · experience 18 yrs vs the B1 market range 4–8</t>
        </is>
      </c>
      <c r="BD85" s="42">
        <f>IF(SUM(BM85,BN85,BO85,BP85,BQ85,BR85,BS85)=0,0,(BM85*BT85+BN85*BU85+BO85*BV85+BP85*BW85+BQ85*BX85+BR85*BY85+BS85*BZ85)/SUM(BM85,BN85,BO85,BP85,BQ85,BR85,BS85))</f>
        <v>0</v>
      </c>
      <c r="BE85" s="41" t="str">
        <f>IF(LEFT(AY85,1)="X",AY85,IF(OR(AY85="B+",AY85="C+"),INDEX(LAD_PC,MAX(1,MIN(14,MATCH(AY85,LAD_PC,0)+IF(BD85&gt;=0.5,1,IF(BD85&lt;=-0.5,-1,0))))),INDEX(LAD_STD,MAX(1,MIN(12,MATCH(AY85,LAD_STD,0)+IF(BD85&gt;=0.5,1,IF(BD85&lt;=-0.5,-1,0)))))))</f>
        <v>B1</v>
      </c>
      <c r="BF85" s="43" t="n"/>
      <c r="BG85" s="41" t="str">
        <f>IF(BF85&lt;&gt;"",BF85,BE85)</f>
        <v>B1</v>
      </c>
      <c r="BH85" s="40" t="str">
        <f>IFERROR(CHOOSE(INDEX(B_RANK,MATCH(BG85,B_LVL,0)),"Band A","Band B","B+ · Player-Coach","Band C","C+ · Player-Coach","Band D","Band E"),"Band X · Consultant")</f>
        <v>Band B</v>
      </c>
      <c r="BI85" s="40" t="str">
        <f>IF(BG85=AY85,"• Same",IF(INDEX(B_VAL,MATCH(BG85,B_LVL,0))&gt;INDEX(B_VAL,MATCH(AY85,B_LVL,0)),"▲ Up","▼ Down"))</f>
        <v>• Same</v>
      </c>
      <c r="BJ85" s="40" t="str">
        <f>IF(OR($M85="",$M85="—",$M85="Not in this file"),"",IFERROR(INDEX($BG$7:$BG$592,MATCH($M85,$D$7:$D$592,0)),""))</f>
        <v>B2</v>
      </c>
      <c r="BK85" s="40" t="str">
        <f>IFERROR(IF(BJ85="","—",IF(OR(LEFT(BG85,1)="X",LEFT(BJ85,1)="X"),"—",IF(AND(LEFT(BG85,1)="E",LEFT(BJ85,1)="E"),"Exception · Band E",IF(AND(INDEX(B_VAL,MATCH(BJ85,B_LVL,0))&gt;=7,INDEX(B_RANK,MATCH(BG85,B_LVL,0))&gt;=INDEX(B_RANK,MATCH(BJ85,B_LVL,0))),"⚠ Same band as a head manager",IF(INDEX(B_VAL,MATCH(BG85,B_LVL,0))&gt;=INDEX(B_VAL,MATCH(BJ85,B_LVL,0)),"⚠ At or above the manager's level","OK"))))),"—")</f>
        <v>OK</v>
      </c>
      <c r="BL85" s="43" t="n"/>
      <c r="BM85" s="44">
        <f>IFERROR(INDEX(LMH_PTS,MATCH(Y85,LMH_KEY,0)),0)</f>
        <v>9</v>
      </c>
      <c r="BN85" s="38">
        <f>IFERROR(INDEX(LMH_PTS,MATCH(Z85,LMH_KEY,0)),0)</f>
        <v>3</v>
      </c>
      <c r="BO85" s="38">
        <f>IFERROR(INDEX(LMH_PTS,MATCH(AA85,LMH_KEY,0)),0)</f>
        <v>3</v>
      </c>
      <c r="BP85" s="38">
        <f>IFERROR(INDEX(LMH_PTS,MATCH(AB85,LMH_KEY,0)),0)</f>
        <v>3</v>
      </c>
      <c r="BQ85" s="38">
        <f>IFERROR(INDEX(LMH_PTS,MATCH(AC85,LMH_KEY,0)),0)</f>
        <v>1</v>
      </c>
      <c r="BR85" s="38">
        <f>IFERROR(INDEX(LMH_PTS,MATCH(AD85,LMH_KEY,0)),0)</f>
        <v>1</v>
      </c>
      <c r="BS85" s="38">
        <f>IFERROR(INDEX(LMH_PTS,MATCH(AE85,LMH_KEY,0)),0)</f>
        <v>1</v>
      </c>
      <c r="BT85" s="38">
        <f>IFERROR(INDEX(LMH_STEP,MATCH(AF85,LMH_KEY,0)),0)</f>
        <v>0</v>
      </c>
      <c r="BU85" s="38">
        <f>IFERROR(INDEX(LMH_STEP,MATCH(AG85,LMH_KEY,0)),0)</f>
        <v>0</v>
      </c>
      <c r="BV85" s="38">
        <f>IFERROR(INDEX(LMH_STEP,MATCH(AH85,LMH_KEY,0)),0)</f>
        <v>0</v>
      </c>
      <c r="BW85" s="38">
        <f>IFERROR(INDEX(LMH_STEP,MATCH(AI85,LMH_KEY,0)),0)</f>
        <v>0</v>
      </c>
      <c r="BX85" s="38">
        <f>IFERROR(INDEX(LMH_STEP,MATCH(AJ85,LMH_KEY,0)),0)</f>
        <v>0</v>
      </c>
      <c r="BY85" s="38">
        <f>IFERROR(INDEX(LMH_STEP,MATCH(AK85,LMH_KEY,0)),0)</f>
        <v>0</v>
      </c>
      <c r="BZ85" s="38">
        <f>IFERROR(INDEX(LMH_STEP,MATCH(AL85,LMH_KEY,0)),0)</f>
        <v>0</v>
      </c>
      <c r="CA85" s="38" t="inlineStr">
        <is>
          <t>CARBON|Digitizing|Team Lead – Digitization|B1|B-M</t>
        </is>
      </c>
    </row>
    <row r="86" ht="110" customHeight="1">
      <c r="A86" s="28" t="inlineStr">
        <is>
          <t>CARBON</t>
        </is>
      </c>
      <c r="B86" s="29" t="inlineStr">
        <is>
          <t>Digitizing</t>
        </is>
      </c>
      <c r="C86" s="29" t="n">
        <v>7</v>
      </c>
      <c r="D86" s="29" t="inlineStr">
        <is>
          <t>IRIS0171</t>
        </is>
      </c>
      <c r="E86" s="29" t="inlineStr">
        <is>
          <t>Ritesh Yeram</t>
        </is>
      </c>
      <c r="F86" s="29" t="inlineStr">
        <is>
          <t>Image Processing Specialist</t>
        </is>
      </c>
      <c r="G86" s="29" t="inlineStr">
        <is>
          <t>Digitization Specialist – POD Lead</t>
        </is>
      </c>
      <c r="H86" s="29" t="inlineStr">
        <is>
          <t>Data Operations &amp; Digitization</t>
        </is>
      </c>
      <c r="I86" s="29" t="inlineStr">
        <is>
          <t>Document Conversion, Formatting &amp; Web Publishing</t>
        </is>
      </c>
      <c r="J86" s="29" t="inlineStr">
        <is>
          <t>POD Lead</t>
        </is>
      </c>
      <c r="K86" s="29" t="inlineStr">
        <is>
          <t>RC-048</t>
        </is>
      </c>
      <c r="L86" s="29" t="inlineStr">
        <is>
          <t>Dinesh Sharma</t>
        </is>
      </c>
      <c r="M86" s="29" t="inlineStr">
        <is>
          <t>IRIS1204</t>
        </is>
      </c>
      <c r="N86" s="29" t="n">
        <v>20.7</v>
      </c>
      <c r="O86" s="29" t="n">
        <v>18.7</v>
      </c>
      <c r="P86" s="29" t="inlineStr">
        <is>
          <t>Undergraduate</t>
        </is>
      </c>
      <c r="Q86" s="29" t="inlineStr">
        <is>
          <t>L3 – Professional / Associate</t>
        </is>
      </c>
      <c r="R86" s="29" t="inlineStr">
        <is>
          <t>B1</t>
        </is>
      </c>
      <c r="S86" s="30" t="inlineStr">
        <is>
          <t>19 of 20</t>
        </is>
      </c>
      <c r="T86" s="31" t="inlineStr">
        <is>
          <t>• Role / sub-team: Digitizing Assited service.</t>
        </is>
      </c>
      <c r="U86" s="31" t="inlineStr">
        <is>
          <t>Received · manager annual · 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
        </is>
      </c>
      <c r="V86" s="31" t="inlineStr">
        <is>
          <t>Latest rating: 4 · Potential: High · 9-box: Core Contributor · Readiness: Ready now</t>
        </is>
      </c>
      <c r="W86" s="31" t="inlineStr">
        <is>
          <t>C M · Au M · Ac M · L M · BI H · Exp H · 20.7 yrs vs 2–4 yrs · Edu L · Undergraduate</t>
        </is>
      </c>
      <c r="X86" s="33" t="inlineStr">
        <is>
          <t>Open ▸</t>
        </is>
      </c>
      <c r="Y86" s="34" t="str">
        <f>IFERROR(INDEX(DL_C,MATCH($CA86,DL_KEY,0)),"M")</f>
        <v>H</v>
      </c>
      <c r="Z86" s="35" t="str">
        <f>IFERROR(INDEX(DL_Au,MATCH($CA86,DL_KEY,0)),"M")</f>
        <v>M</v>
      </c>
      <c r="AA86" s="35" t="str">
        <f>IFERROR(INDEX(DL_Ac,MATCH($CA86,DL_KEY,0)),"M")</f>
        <v>M</v>
      </c>
      <c r="AB86" s="35" t="str">
        <f>IFERROR(INDEX(DL_L,MATCH($CA86,DL_KEY,0)),"M")</f>
        <v>L</v>
      </c>
      <c r="AC86" s="35" t="str">
        <f>IFERROR(INDEX(DL_BI,MATCH($CA86,DL_KEY,0)),"M")</f>
        <v>L</v>
      </c>
      <c r="AD86" s="35" t="str">
        <f>IFERROR(INDEX(DL_Exp,MATCH($CA86,DL_KEY,0)),"M")</f>
        <v>L</v>
      </c>
      <c r="AE86" s="35" t="str">
        <f>IFERROR(INDEX(DL_Edu,MATCH($CA86,DL_KEY,0)),"M")</f>
        <v>L</v>
      </c>
      <c r="AF86" s="34" t="inlineStr">
        <is>
          <t>M</t>
        </is>
      </c>
      <c r="AG86" s="35" t="inlineStr">
        <is>
          <t>M</t>
        </is>
      </c>
      <c r="AH86" s="35" t="inlineStr">
        <is>
          <t>M</t>
        </is>
      </c>
      <c r="AI86" s="35" t="inlineStr">
        <is>
          <t>M</t>
        </is>
      </c>
      <c r="AJ86" s="35" t="inlineStr">
        <is>
          <t>M</t>
        </is>
      </c>
      <c r="AK86" s="35" t="inlineStr">
        <is>
          <t>M</t>
        </is>
      </c>
      <c r="AL86" s="35" t="inlineStr">
        <is>
          <t>M</t>
        </is>
      </c>
      <c r="AM86" s="36" t="n">
        <v>0.583</v>
      </c>
      <c r="AN86" s="37" t="n">
        <v>0.16</v>
      </c>
      <c r="AO86" s="37" t="n">
        <v>0.09</v>
      </c>
      <c r="AP86" s="37" t="n">
        <v>0</v>
      </c>
      <c r="AQ86" s="37" t="n">
        <v>0.063</v>
      </c>
      <c r="AR86" s="37" t="n">
        <v>0.06</v>
      </c>
      <c r="AS86" s="37" t="n">
        <v>0.04</v>
      </c>
      <c r="AT86" s="38" t="inlineStr">
        <is>
          <t>2–5</t>
        </is>
      </c>
      <c r="AU86" s="38" t="inlineStr">
        <is>
          <t>Graduate; relevant certification preferred</t>
        </is>
      </c>
      <c r="AV86" s="38" t="inlineStr">
        <is>
          <t>None · guides 1–3 juniors informally</t>
        </is>
      </c>
      <c r="AW86" s="38" t="inlineStr">
        <is>
          <t>P2 · SFIA 3 Apply</t>
        </is>
      </c>
      <c r="AX8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86" s="39" t="inlineStr">
        <is>
          <t>A3</t>
        </is>
      </c>
      <c r="AZ86" s="40" t="inlineStr">
        <is>
          <t>Band A · Practitioner · Senior Associate</t>
        </is>
      </c>
      <c r="BA86" s="40" t="inlineStr">
        <is>
          <t>Model B1 from the six ratings, the market-derived weights and rules R1–R13 · then Level rule: manager B1; a reportee sits at least one level below · B1 → A3 · move down · pay and title protected for one cycle</t>
        </is>
      </c>
      <c r="BB86" s="41" t="inlineStr">
        <is>
          <t>B1</t>
        </is>
      </c>
      <c r="BC86" s="40" t="inlineStr">
        <is>
          <t>The six ratings on the market-average weights of Band A · all tracks score 3.68 → B1 · Hay, Mercer IPE and public plans · experience 20.7 yrs vs the B1 market range 4–8</t>
        </is>
      </c>
      <c r="BD86" s="42">
        <f>IF(SUM(BM86,BN86,BO86,BP86,BQ86,BR86,BS86)=0,0,(BM86*BT86+BN86*BU86+BO86*BV86+BP86*BW86+BQ86*BX86+BR86*BY86+BS86*BZ86)/SUM(BM86,BN86,BO86,BP86,BQ86,BR86,BS86))</f>
        <v>0</v>
      </c>
      <c r="BE86" s="41" t="str">
        <f>IF(LEFT(AY86,1)="X",AY86,IF(OR(AY86="B+",AY86="C+"),INDEX(LAD_PC,MAX(1,MIN(14,MATCH(AY86,LAD_PC,0)+IF(BD86&gt;=0.5,1,IF(BD86&lt;=-0.5,-1,0))))),INDEX(LAD_STD,MAX(1,MIN(12,MATCH(AY86,LAD_STD,0)+IF(BD86&gt;=0.5,1,IF(BD86&lt;=-0.5,-1,0)))))))</f>
        <v>A3</v>
      </c>
      <c r="BF86" s="43" t="n"/>
      <c r="BG86" s="41" t="str">
        <f>IF(BF86&lt;&gt;"",BF86,BE86)</f>
        <v>A3</v>
      </c>
      <c r="BH86" s="40" t="str">
        <f>IFERROR(CHOOSE(INDEX(B_RANK,MATCH(BG86,B_LVL,0)),"Band A","Band B","B+ · Player-Coach","Band C","C+ · Player-Coach","Band D","Band E"),"Band X · Consultant")</f>
        <v>Band A</v>
      </c>
      <c r="BI86" s="40" t="str">
        <f>IF(BG86=AY86,"• Same",IF(INDEX(B_VAL,MATCH(BG86,B_LVL,0))&gt;INDEX(B_VAL,MATCH(AY86,B_LVL,0)),"▲ Up","▼ Down"))</f>
        <v>• Same</v>
      </c>
      <c r="BJ86" s="40" t="str">
        <f>IF(OR($M86="",$M86="—",$M86="Not in this file"),"",IFERROR(INDEX($BG$7:$BG$592,MATCH($M86,$D$7:$D$592,0)),""))</f>
        <v>B1</v>
      </c>
      <c r="BK86" s="40" t="str">
        <f>IFERROR(IF(BJ86="","—",IF(OR(LEFT(BG86,1)="X",LEFT(BJ86,1)="X"),"—",IF(AND(LEFT(BG86,1)="E",LEFT(BJ86,1)="E"),"Exception · Band E",IF(AND(INDEX(B_VAL,MATCH(BJ86,B_LVL,0))&gt;=7,INDEX(B_RANK,MATCH(BG86,B_LVL,0))&gt;=INDEX(B_RANK,MATCH(BJ86,B_LVL,0))),"⚠ Same band as a head manager",IF(INDEX(B_VAL,MATCH(BG86,B_LVL,0))&gt;=INDEX(B_VAL,MATCH(BJ86,B_LVL,0)),"⚠ At or above the manager's level","OK"))))),"—")</f>
        <v>OK</v>
      </c>
      <c r="BL86" s="43" t="n"/>
      <c r="BM86" s="44">
        <f>IFERROR(INDEX(LMH_PTS,MATCH(Y86,LMH_KEY,0)),0)</f>
        <v>9</v>
      </c>
      <c r="BN86" s="38">
        <f>IFERROR(INDEX(LMH_PTS,MATCH(Z86,LMH_KEY,0)),0)</f>
        <v>3</v>
      </c>
      <c r="BO86" s="38">
        <f>IFERROR(INDEX(LMH_PTS,MATCH(AA86,LMH_KEY,0)),0)</f>
        <v>3</v>
      </c>
      <c r="BP86" s="38">
        <f>IFERROR(INDEX(LMH_PTS,MATCH(AB86,LMH_KEY,0)),0)</f>
        <v>1</v>
      </c>
      <c r="BQ86" s="38">
        <f>IFERROR(INDEX(LMH_PTS,MATCH(AC86,LMH_KEY,0)),0)</f>
        <v>1</v>
      </c>
      <c r="BR86" s="38">
        <f>IFERROR(INDEX(LMH_PTS,MATCH(AD86,LMH_KEY,0)),0)</f>
        <v>1</v>
      </c>
      <c r="BS86" s="38">
        <f>IFERROR(INDEX(LMH_PTS,MATCH(AE86,LMH_KEY,0)),0)</f>
        <v>1</v>
      </c>
      <c r="BT86" s="38">
        <f>IFERROR(INDEX(LMH_STEP,MATCH(AF86,LMH_KEY,0)),0)</f>
        <v>0</v>
      </c>
      <c r="BU86" s="38">
        <f>IFERROR(INDEX(LMH_STEP,MATCH(AG86,LMH_KEY,0)),0)</f>
        <v>0</v>
      </c>
      <c r="BV86" s="38">
        <f>IFERROR(INDEX(LMH_STEP,MATCH(AH86,LMH_KEY,0)),0)</f>
        <v>0</v>
      </c>
      <c r="BW86" s="38">
        <f>IFERROR(INDEX(LMH_STEP,MATCH(AI86,LMH_KEY,0)),0)</f>
        <v>0</v>
      </c>
      <c r="BX86" s="38">
        <f>IFERROR(INDEX(LMH_STEP,MATCH(AJ86,LMH_KEY,0)),0)</f>
        <v>0</v>
      </c>
      <c r="BY86" s="38">
        <f>IFERROR(INDEX(LMH_STEP,MATCH(AK86,LMH_KEY,0)),0)</f>
        <v>0</v>
      </c>
      <c r="BZ86" s="38">
        <f>IFERROR(INDEX(LMH_STEP,MATCH(AL86,LMH_KEY,0)),0)</f>
        <v>0</v>
      </c>
      <c r="CA86" s="38" t="inlineStr">
        <is>
          <t>CARBON|Digitizing|Digitization Specialist – POD Lead|A3|A</t>
        </is>
      </c>
    </row>
    <row r="87" ht="110" customHeight="1">
      <c r="A87" s="28" t="inlineStr">
        <is>
          <t>CARBON</t>
        </is>
      </c>
      <c r="B87" s="29" t="inlineStr">
        <is>
          <t>Digitizing</t>
        </is>
      </c>
      <c r="C87" s="29" t="n">
        <v>8</v>
      </c>
      <c r="D87" s="29" t="inlineStr">
        <is>
          <t>IRIS1205</t>
        </is>
      </c>
      <c r="E87" s="29" t="inlineStr">
        <is>
          <t>Justeen Koola</t>
        </is>
      </c>
      <c r="F87" s="29" t="inlineStr">
        <is>
          <t>Image Processing Specialist</t>
        </is>
      </c>
      <c r="G87" s="29" t="inlineStr">
        <is>
          <t>Senior Digitization Associate</t>
        </is>
      </c>
      <c r="H87" s="29" t="inlineStr">
        <is>
          <t>Data Operations &amp; Digitization</t>
        </is>
      </c>
      <c r="I87" s="29" t="inlineStr">
        <is>
          <t>Document Conversion, Formatting &amp; Web Publishing</t>
        </is>
      </c>
      <c r="J87" s="29" t="inlineStr">
        <is>
          <t>IC</t>
        </is>
      </c>
      <c r="K87" s="29" t="inlineStr">
        <is>
          <t>RC-047</t>
        </is>
      </c>
      <c r="L87" s="29" t="inlineStr">
        <is>
          <t>Ritesh Yeram</t>
        </is>
      </c>
      <c r="M87" s="29" t="inlineStr">
        <is>
          <t>IRIS0171</t>
        </is>
      </c>
      <c r="N87" s="29" t="n">
        <v>18.9</v>
      </c>
      <c r="O87" s="29" t="n">
        <v>17.9</v>
      </c>
      <c r="P87" s="29" t="inlineStr">
        <is>
          <t>Undergraduate</t>
        </is>
      </c>
      <c r="Q87" s="29" t="inlineStr">
        <is>
          <t>L3 – Professional / Associate</t>
        </is>
      </c>
      <c r="R87" s="29" t="inlineStr">
        <is>
          <t>A3</t>
        </is>
      </c>
      <c r="S87" s="30" t="inlineStr">
        <is>
          <t>19 of 20</t>
        </is>
      </c>
      <c r="T87" s="31" t="inlineStr">
        <is>
          <t>• Role / sub-team: Digitizing Assited Services.</t>
        </is>
      </c>
      <c r="U87" s="31" t="inlineStr">
        <is>
          <t>Received · manager annual · 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
        </is>
      </c>
      <c r="V87" s="31" t="inlineStr">
        <is>
          <t>Latest rating: 3 · Potential: Medium · 9-box: Core Contributor · Readiness: Develop in role</t>
        </is>
      </c>
      <c r="W87" s="31" t="inlineStr">
        <is>
          <t>C M · Au M · Ac M · L M · BI H · Exp H · 18.9 yrs vs 0–2 yrs · Edu L · Undergraduate</t>
        </is>
      </c>
      <c r="X87" s="33" t="inlineStr">
        <is>
          <t>Open ▸</t>
        </is>
      </c>
      <c r="Y87" s="34" t="str">
        <f>IFERROR(INDEX(DL_C,MATCH($CA87,DL_KEY,0)),"M")</f>
        <v>H</v>
      </c>
      <c r="Z87" s="35" t="str">
        <f>IFERROR(INDEX(DL_Au,MATCH($CA87,DL_KEY,0)),"M")</f>
        <v>M</v>
      </c>
      <c r="AA87" s="35" t="str">
        <f>IFERROR(INDEX(DL_Ac,MATCH($CA87,DL_KEY,0)),"M")</f>
        <v>M</v>
      </c>
      <c r="AB87" s="35" t="str">
        <f>IFERROR(INDEX(DL_L,MATCH($CA87,DL_KEY,0)),"M")</f>
        <v>L</v>
      </c>
      <c r="AC87" s="35" t="str">
        <f>IFERROR(INDEX(DL_BI,MATCH($CA87,DL_KEY,0)),"M")</f>
        <v>L</v>
      </c>
      <c r="AD87" s="35" t="str">
        <f>IFERROR(INDEX(DL_Exp,MATCH($CA87,DL_KEY,0)),"M")</f>
        <v>L</v>
      </c>
      <c r="AE87" s="35" t="str">
        <f>IFERROR(INDEX(DL_Edu,MATCH($CA87,DL_KEY,0)),"M")</f>
        <v>L</v>
      </c>
      <c r="AF87" s="34" t="inlineStr">
        <is>
          <t>M</t>
        </is>
      </c>
      <c r="AG87" s="35" t="inlineStr">
        <is>
          <t>M</t>
        </is>
      </c>
      <c r="AH87" s="35" t="inlineStr">
        <is>
          <t>M</t>
        </is>
      </c>
      <c r="AI87" s="35" t="inlineStr">
        <is>
          <t>M</t>
        </is>
      </c>
      <c r="AJ87" s="35" t="inlineStr">
        <is>
          <t>M</t>
        </is>
      </c>
      <c r="AK87" s="35" t="inlineStr">
        <is>
          <t>M</t>
        </is>
      </c>
      <c r="AL87" s="35" t="inlineStr">
        <is>
          <t>M</t>
        </is>
      </c>
      <c r="AM87" s="36" t="n">
        <v>0.583</v>
      </c>
      <c r="AN87" s="37" t="n">
        <v>0.16</v>
      </c>
      <c r="AO87" s="37" t="n">
        <v>0.09</v>
      </c>
      <c r="AP87" s="37" t="n">
        <v>0</v>
      </c>
      <c r="AQ87" s="37" t="n">
        <v>0.063</v>
      </c>
      <c r="AR87" s="37" t="n">
        <v>0.06</v>
      </c>
      <c r="AS87" s="37" t="n">
        <v>0.04</v>
      </c>
      <c r="AT87" s="38" t="inlineStr">
        <is>
          <t>0–3</t>
        </is>
      </c>
      <c r="AU87" s="38" t="inlineStr">
        <is>
          <t>Graduate · or diploma with experience</t>
        </is>
      </c>
      <c r="AV87" s="38" t="inlineStr">
        <is>
          <t>No direct reports</t>
        </is>
      </c>
      <c r="AW87" s="38" t="inlineStr">
        <is>
          <t>P1–P2 · SFIA 2 Assist</t>
        </is>
      </c>
      <c r="AX8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87" s="39" t="inlineStr">
        <is>
          <t>A2</t>
        </is>
      </c>
      <c r="AZ87" s="40" t="inlineStr">
        <is>
          <t>Band A · Practitioner · Associate</t>
        </is>
      </c>
      <c r="BA87" s="40" t="inlineStr">
        <is>
          <t>Model A3 from the six ratings, the market-derived weights and rules R1–R13 · then Level rule: manager A3; a reportee sits at least one level below · A3 → A2 · move down · pay and title protected for one cycle</t>
        </is>
      </c>
      <c r="BB87" s="41" t="inlineStr">
        <is>
          <t>A3</t>
        </is>
      </c>
      <c r="BC87" s="40" t="inlineStr">
        <is>
          <t>The six ratings on the market-average weights of Band A · all tracks score 3.18 → A3 · Hay, Mercer IPE and public plans · experience 18.9 yrs vs the A3 market range 2–5</t>
        </is>
      </c>
      <c r="BD87" s="42">
        <f>IF(SUM(BM87,BN87,BO87,BP87,BQ87,BR87,BS87)=0,0,(BM87*BT87+BN87*BU87+BO87*BV87+BP87*BW87+BQ87*BX87+BR87*BY87+BS87*BZ87)/SUM(BM87,BN87,BO87,BP87,BQ87,BR87,BS87))</f>
        <v>0</v>
      </c>
      <c r="BE87" s="41" t="str">
        <f>IF(LEFT(AY87,1)="X",AY87,IF(OR(AY87="B+",AY87="C+"),INDEX(LAD_PC,MAX(1,MIN(14,MATCH(AY87,LAD_PC,0)+IF(BD87&gt;=0.5,1,IF(BD87&lt;=-0.5,-1,0))))),INDEX(LAD_STD,MAX(1,MIN(12,MATCH(AY87,LAD_STD,0)+IF(BD87&gt;=0.5,1,IF(BD87&lt;=-0.5,-1,0)))))))</f>
        <v>A2</v>
      </c>
      <c r="BF87" s="43" t="n"/>
      <c r="BG87" s="41" t="str">
        <f>IF(BF87&lt;&gt;"",BF87,BE87)</f>
        <v>A2</v>
      </c>
      <c r="BH87" s="40" t="str">
        <f>IFERROR(CHOOSE(INDEX(B_RANK,MATCH(BG87,B_LVL,0)),"Band A","Band B","B+ · Player-Coach","Band C","C+ · Player-Coach","Band D","Band E"),"Band X · Consultant")</f>
        <v>Band A</v>
      </c>
      <c r="BI87" s="40" t="str">
        <f>IF(BG87=AY87,"• Same",IF(INDEX(B_VAL,MATCH(BG87,B_LVL,0))&gt;INDEX(B_VAL,MATCH(AY87,B_LVL,0)),"▲ Up","▼ Down"))</f>
        <v>• Same</v>
      </c>
      <c r="BJ87" s="40" t="str">
        <f>IF(OR($M87="",$M87="—",$M87="Not in this file"),"",IFERROR(INDEX($BG$7:$BG$592,MATCH($M87,$D$7:$D$592,0)),""))</f>
        <v>A3</v>
      </c>
      <c r="BK87" s="40" t="str">
        <f>IFERROR(IF(BJ87="","—",IF(OR(LEFT(BG87,1)="X",LEFT(BJ87,1)="X"),"—",IF(AND(LEFT(BG87,1)="E",LEFT(BJ87,1)="E"),"Exception · Band E",IF(AND(INDEX(B_VAL,MATCH(BJ87,B_LVL,0))&gt;=7,INDEX(B_RANK,MATCH(BG87,B_LVL,0))&gt;=INDEX(B_RANK,MATCH(BJ87,B_LVL,0))),"⚠ Same band as a head manager",IF(INDEX(B_VAL,MATCH(BG87,B_LVL,0))&gt;=INDEX(B_VAL,MATCH(BJ87,B_LVL,0)),"⚠ At or above the manager's level","OK"))))),"—")</f>
        <v>OK</v>
      </c>
      <c r="BL87" s="43" t="n"/>
      <c r="BM87" s="44">
        <f>IFERROR(INDEX(LMH_PTS,MATCH(Y87,LMH_KEY,0)),0)</f>
        <v>9</v>
      </c>
      <c r="BN87" s="38">
        <f>IFERROR(INDEX(LMH_PTS,MATCH(Z87,LMH_KEY,0)),0)</f>
        <v>3</v>
      </c>
      <c r="BO87" s="38">
        <f>IFERROR(INDEX(LMH_PTS,MATCH(AA87,LMH_KEY,0)),0)</f>
        <v>3</v>
      </c>
      <c r="BP87" s="38">
        <f>IFERROR(INDEX(LMH_PTS,MATCH(AB87,LMH_KEY,0)),0)</f>
        <v>1</v>
      </c>
      <c r="BQ87" s="38">
        <f>IFERROR(INDEX(LMH_PTS,MATCH(AC87,LMH_KEY,0)),0)</f>
        <v>1</v>
      </c>
      <c r="BR87" s="38">
        <f>IFERROR(INDEX(LMH_PTS,MATCH(AD87,LMH_KEY,0)),0)</f>
        <v>1</v>
      </c>
      <c r="BS87" s="38">
        <f>IFERROR(INDEX(LMH_PTS,MATCH(AE87,LMH_KEY,0)),0)</f>
        <v>1</v>
      </c>
      <c r="BT87" s="38">
        <f>IFERROR(INDEX(LMH_STEP,MATCH(AF87,LMH_KEY,0)),0)</f>
        <v>0</v>
      </c>
      <c r="BU87" s="38">
        <f>IFERROR(INDEX(LMH_STEP,MATCH(AG87,LMH_KEY,0)),0)</f>
        <v>0</v>
      </c>
      <c r="BV87" s="38">
        <f>IFERROR(INDEX(LMH_STEP,MATCH(AH87,LMH_KEY,0)),0)</f>
        <v>0</v>
      </c>
      <c r="BW87" s="38">
        <f>IFERROR(INDEX(LMH_STEP,MATCH(AI87,LMH_KEY,0)),0)</f>
        <v>0</v>
      </c>
      <c r="BX87" s="38">
        <f>IFERROR(INDEX(LMH_STEP,MATCH(AJ87,LMH_KEY,0)),0)</f>
        <v>0</v>
      </c>
      <c r="BY87" s="38">
        <f>IFERROR(INDEX(LMH_STEP,MATCH(AK87,LMH_KEY,0)),0)</f>
        <v>0</v>
      </c>
      <c r="BZ87" s="38">
        <f>IFERROR(INDEX(LMH_STEP,MATCH(AL87,LMH_KEY,0)),0)</f>
        <v>0</v>
      </c>
      <c r="CA87" s="38" t="inlineStr">
        <is>
          <t>CARBON|Digitizing|Senior Digitization Associate|A2|A</t>
        </is>
      </c>
    </row>
    <row r="88" ht="110" customHeight="1">
      <c r="A88" s="28" t="inlineStr">
        <is>
          <t>CARBON</t>
        </is>
      </c>
      <c r="B88" s="29" t="inlineStr">
        <is>
          <t>Digitizing</t>
        </is>
      </c>
      <c r="C88" s="29" t="n">
        <v>8</v>
      </c>
      <c r="D88" s="29" t="inlineStr">
        <is>
          <t>IRIS1774</t>
        </is>
      </c>
      <c r="E88" s="29" t="inlineStr">
        <is>
          <t>Tabassum Ali</t>
        </is>
      </c>
      <c r="F88" s="29" t="inlineStr">
        <is>
          <t>Image Processing Specialist</t>
        </is>
      </c>
      <c r="G88" s="29" t="inlineStr">
        <is>
          <t>Senior Digitization Associate</t>
        </is>
      </c>
      <c r="H88" s="29" t="inlineStr">
        <is>
          <t>Data Operations &amp; Digitization</t>
        </is>
      </c>
      <c r="I88" s="29" t="inlineStr">
        <is>
          <t>Document Conversion, Formatting &amp; Web Publishing</t>
        </is>
      </c>
      <c r="J88" s="29" t="inlineStr">
        <is>
          <t>IC</t>
        </is>
      </c>
      <c r="K88" s="29" t="inlineStr">
        <is>
          <t>RC-047</t>
        </is>
      </c>
      <c r="L88" s="29" t="inlineStr">
        <is>
          <t>Ritesh Yeram</t>
        </is>
      </c>
      <c r="M88" s="29" t="inlineStr">
        <is>
          <t>IRIS0171</t>
        </is>
      </c>
      <c r="N88" s="29" t="n">
        <v>9.4</v>
      </c>
      <c r="O88" s="29" t="n">
        <v>7.5</v>
      </c>
      <c r="P88" s="29" t="inlineStr">
        <is>
          <t>B.Com</t>
        </is>
      </c>
      <c r="Q88" s="29" t="inlineStr">
        <is>
          <t>L3 – Professional / Associate</t>
        </is>
      </c>
      <c r="R88" s="29" t="inlineStr">
        <is>
          <t>A3</t>
        </is>
      </c>
      <c r="S88" s="30" t="inlineStr">
        <is>
          <t>0 of 20</t>
        </is>
      </c>
      <c r="T88" s="31" t="inlineStr">
        <is>
          <t>Business Impact: Moved +0.5: the survey / manager mapping marks it business-critical.</t>
        </is>
      </c>
      <c r="U88" s="31" t="inlineStr">
        <is>
          <t>Received · manager annual · 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
        </is>
      </c>
      <c r="V88" s="31" t="inlineStr">
        <is>
          <t>Latest rating: 3 · Potential: Medium · 9-box: Core Contributor · Readiness: Develop in role</t>
        </is>
      </c>
      <c r="W88" s="31" t="inlineStr">
        <is>
          <t>C H · Au H · Ac M · L M · BI H · Exp H · 9.4 yrs vs 0–2 yrs · Edu M · B.Com</t>
        </is>
      </c>
      <c r="X88" s="33" t="inlineStr">
        <is>
          <t>Open ▸</t>
        </is>
      </c>
      <c r="Y88" s="34" t="str">
        <f>IFERROR(INDEX(DL_C,MATCH($CA88,DL_KEY,0)),"M")</f>
        <v>H</v>
      </c>
      <c r="Z88" s="35" t="str">
        <f>IFERROR(INDEX(DL_Au,MATCH($CA88,DL_KEY,0)),"M")</f>
        <v>M</v>
      </c>
      <c r="AA88" s="35" t="str">
        <f>IFERROR(INDEX(DL_Ac,MATCH($CA88,DL_KEY,0)),"M")</f>
        <v>M</v>
      </c>
      <c r="AB88" s="35" t="str">
        <f>IFERROR(INDEX(DL_L,MATCH($CA88,DL_KEY,0)),"M")</f>
        <v>L</v>
      </c>
      <c r="AC88" s="35" t="str">
        <f>IFERROR(INDEX(DL_BI,MATCH($CA88,DL_KEY,0)),"M")</f>
        <v>L</v>
      </c>
      <c r="AD88" s="35" t="str">
        <f>IFERROR(INDEX(DL_Exp,MATCH($CA88,DL_KEY,0)),"M")</f>
        <v>L</v>
      </c>
      <c r="AE88" s="35" t="str">
        <f>IFERROR(INDEX(DL_Edu,MATCH($CA88,DL_KEY,0)),"M")</f>
        <v>L</v>
      </c>
      <c r="AF88" s="34" t="inlineStr">
        <is>
          <t>M</t>
        </is>
      </c>
      <c r="AG88" s="35" t="inlineStr">
        <is>
          <t>M</t>
        </is>
      </c>
      <c r="AH88" s="35" t="inlineStr">
        <is>
          <t>M</t>
        </is>
      </c>
      <c r="AI88" s="35" t="inlineStr">
        <is>
          <t>M</t>
        </is>
      </c>
      <c r="AJ88" s="35" t="inlineStr">
        <is>
          <t>M</t>
        </is>
      </c>
      <c r="AK88" s="35" t="inlineStr">
        <is>
          <t>M</t>
        </is>
      </c>
      <c r="AL88" s="35" t="inlineStr">
        <is>
          <t>M</t>
        </is>
      </c>
      <c r="AM88" s="36" t="n">
        <v>0.583</v>
      </c>
      <c r="AN88" s="37" t="n">
        <v>0.16</v>
      </c>
      <c r="AO88" s="37" t="n">
        <v>0.09</v>
      </c>
      <c r="AP88" s="37" t="n">
        <v>0</v>
      </c>
      <c r="AQ88" s="37" t="n">
        <v>0.063</v>
      </c>
      <c r="AR88" s="37" t="n">
        <v>0.06</v>
      </c>
      <c r="AS88" s="37" t="n">
        <v>0.04</v>
      </c>
      <c r="AT88" s="38" t="inlineStr">
        <is>
          <t>0–3</t>
        </is>
      </c>
      <c r="AU88" s="38" t="inlineStr">
        <is>
          <t>Graduate · or diploma with experience</t>
        </is>
      </c>
      <c r="AV88" s="38" t="inlineStr">
        <is>
          <t>No direct reports</t>
        </is>
      </c>
      <c r="AW88" s="38" t="inlineStr">
        <is>
          <t>P1–P2 · SFIA 2 Assist</t>
        </is>
      </c>
      <c r="AX8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88" s="39" t="inlineStr">
        <is>
          <t>A2</t>
        </is>
      </c>
      <c r="AZ88" s="40" t="inlineStr">
        <is>
          <t>Band A · Practitioner · Associate</t>
        </is>
      </c>
      <c r="BA88" s="40" t="inlineStr">
        <is>
          <t>Model A3 from the six ratings, the market-derived weights and rules R1–R13 · then Level rule: manager A3; a reportee sits at least one level below · A3 → A2 · move down · pay and title protected for one cycle</t>
        </is>
      </c>
      <c r="BB88" s="41" t="inlineStr">
        <is>
          <t>A3</t>
        </is>
      </c>
      <c r="BC88" s="40" t="inlineStr">
        <is>
          <t>The six ratings on the market-average weights of Band A · all tracks score 3.26 → A3 · Hay, Mercer IPE and public plans · experience 9.4 yrs vs the A3 market range 2–5</t>
        </is>
      </c>
      <c r="BD88" s="42">
        <f>IF(SUM(BM88,BN88,BO88,BP88,BQ88,BR88,BS88)=0,0,(BM88*BT88+BN88*BU88+BO88*BV88+BP88*BW88+BQ88*BX88+BR88*BY88+BS88*BZ88)/SUM(BM88,BN88,BO88,BP88,BQ88,BR88,BS88))</f>
        <v>0</v>
      </c>
      <c r="BE88" s="41" t="str">
        <f>IF(LEFT(AY88,1)="X",AY88,IF(OR(AY88="B+",AY88="C+"),INDEX(LAD_PC,MAX(1,MIN(14,MATCH(AY88,LAD_PC,0)+IF(BD88&gt;=0.5,1,IF(BD88&lt;=-0.5,-1,0))))),INDEX(LAD_STD,MAX(1,MIN(12,MATCH(AY88,LAD_STD,0)+IF(BD88&gt;=0.5,1,IF(BD88&lt;=-0.5,-1,0)))))))</f>
        <v>A2</v>
      </c>
      <c r="BF88" s="43" t="n"/>
      <c r="BG88" s="41" t="str">
        <f>IF(BF88&lt;&gt;"",BF88,BE88)</f>
        <v>A2</v>
      </c>
      <c r="BH88" s="40" t="str">
        <f>IFERROR(CHOOSE(INDEX(B_RANK,MATCH(BG88,B_LVL,0)),"Band A","Band B","B+ · Player-Coach","Band C","C+ · Player-Coach","Band D","Band E"),"Band X · Consultant")</f>
        <v>Band A</v>
      </c>
      <c r="BI88" s="40" t="str">
        <f>IF(BG88=AY88,"• Same",IF(INDEX(B_VAL,MATCH(BG88,B_LVL,0))&gt;INDEX(B_VAL,MATCH(AY88,B_LVL,0)),"▲ Up","▼ Down"))</f>
        <v>• Same</v>
      </c>
      <c r="BJ88" s="40" t="str">
        <f>IF(OR($M88="",$M88="—",$M88="Not in this file"),"",IFERROR(INDEX($BG$7:$BG$592,MATCH($M88,$D$7:$D$592,0)),""))</f>
        <v>A3</v>
      </c>
      <c r="BK88" s="40" t="str">
        <f>IFERROR(IF(BJ88="","—",IF(OR(LEFT(BG88,1)="X",LEFT(BJ88,1)="X"),"—",IF(AND(LEFT(BG88,1)="E",LEFT(BJ88,1)="E"),"Exception · Band E",IF(AND(INDEX(B_VAL,MATCH(BJ88,B_LVL,0))&gt;=7,INDEX(B_RANK,MATCH(BG88,B_LVL,0))&gt;=INDEX(B_RANK,MATCH(BJ88,B_LVL,0))),"⚠ Same band as a head manager",IF(INDEX(B_VAL,MATCH(BG88,B_LVL,0))&gt;=INDEX(B_VAL,MATCH(BJ88,B_LVL,0)),"⚠ At or above the manager's level","OK"))))),"—")</f>
        <v>OK</v>
      </c>
      <c r="BL88" s="43" t="n"/>
      <c r="BM88" s="44">
        <f>IFERROR(INDEX(LMH_PTS,MATCH(Y88,LMH_KEY,0)),0)</f>
        <v>9</v>
      </c>
      <c r="BN88" s="38">
        <f>IFERROR(INDEX(LMH_PTS,MATCH(Z88,LMH_KEY,0)),0)</f>
        <v>3</v>
      </c>
      <c r="BO88" s="38">
        <f>IFERROR(INDEX(LMH_PTS,MATCH(AA88,LMH_KEY,0)),0)</f>
        <v>3</v>
      </c>
      <c r="BP88" s="38">
        <f>IFERROR(INDEX(LMH_PTS,MATCH(AB88,LMH_KEY,0)),0)</f>
        <v>1</v>
      </c>
      <c r="BQ88" s="38">
        <f>IFERROR(INDEX(LMH_PTS,MATCH(AC88,LMH_KEY,0)),0)</f>
        <v>1</v>
      </c>
      <c r="BR88" s="38">
        <f>IFERROR(INDEX(LMH_PTS,MATCH(AD88,LMH_KEY,0)),0)</f>
        <v>1</v>
      </c>
      <c r="BS88" s="38">
        <f>IFERROR(INDEX(LMH_PTS,MATCH(AE88,LMH_KEY,0)),0)</f>
        <v>1</v>
      </c>
      <c r="BT88" s="38">
        <f>IFERROR(INDEX(LMH_STEP,MATCH(AF88,LMH_KEY,0)),0)</f>
        <v>0</v>
      </c>
      <c r="BU88" s="38">
        <f>IFERROR(INDEX(LMH_STEP,MATCH(AG88,LMH_KEY,0)),0)</f>
        <v>0</v>
      </c>
      <c r="BV88" s="38">
        <f>IFERROR(INDEX(LMH_STEP,MATCH(AH88,LMH_KEY,0)),0)</f>
        <v>0</v>
      </c>
      <c r="BW88" s="38">
        <f>IFERROR(INDEX(LMH_STEP,MATCH(AI88,LMH_KEY,0)),0)</f>
        <v>0</v>
      </c>
      <c r="BX88" s="38">
        <f>IFERROR(INDEX(LMH_STEP,MATCH(AJ88,LMH_KEY,0)),0)</f>
        <v>0</v>
      </c>
      <c r="BY88" s="38">
        <f>IFERROR(INDEX(LMH_STEP,MATCH(AK88,LMH_KEY,0)),0)</f>
        <v>0</v>
      </c>
      <c r="BZ88" s="38">
        <f>IFERROR(INDEX(LMH_STEP,MATCH(AL88,LMH_KEY,0)),0)</f>
        <v>0</v>
      </c>
      <c r="CA88" s="38" t="inlineStr">
        <is>
          <t>CARBON|Digitizing|Senior Digitization Associate|A2|A</t>
        </is>
      </c>
    </row>
    <row r="89" ht="110" customHeight="1">
      <c r="A89" s="28" t="inlineStr">
        <is>
          <t>CARBON</t>
        </is>
      </c>
      <c r="B89" s="29" t="inlineStr">
        <is>
          <t>Digitizing</t>
        </is>
      </c>
      <c r="C89" s="29" t="n">
        <v>7</v>
      </c>
      <c r="D89" s="29" t="inlineStr">
        <is>
          <t>IRISC287</t>
        </is>
      </c>
      <c r="E89" s="29" t="inlineStr">
        <is>
          <t>Farina Pathan</t>
        </is>
      </c>
      <c r="F89" s="29" t="inlineStr">
        <is>
          <t>Consultant</t>
        </is>
      </c>
      <c r="G89" s="29" t="inlineStr">
        <is>
          <t>Senior Digitization Associate</t>
        </is>
      </c>
      <c r="H89" s="29" t="inlineStr">
        <is>
          <t>Data Operations &amp; Digitization</t>
        </is>
      </c>
      <c r="I89" s="29" t="inlineStr">
        <is>
          <t>Document Conversion, Formatting &amp; Web Publishing</t>
        </is>
      </c>
      <c r="J89" s="29" t="inlineStr">
        <is>
          <t>IC</t>
        </is>
      </c>
      <c r="K89" s="29" t="inlineStr">
        <is>
          <t>RC-047</t>
        </is>
      </c>
      <c r="L89" s="29" t="inlineStr">
        <is>
          <t>Dinesh Sharma</t>
        </is>
      </c>
      <c r="M89" s="29" t="inlineStr">
        <is>
          <t>IRIS1204</t>
        </is>
      </c>
      <c r="N89" s="29" t="n">
        <v>2.6</v>
      </c>
      <c r="O89" s="29" t="n">
        <v>2.6</v>
      </c>
      <c r="P89" s="29" t="inlineStr">
        <is>
          <t>B.Com</t>
        </is>
      </c>
      <c r="Q89" s="29" t="inlineStr">
        <is>
          <t>L3 – Professional / Associate</t>
        </is>
      </c>
      <c r="R89" s="29" t="inlineStr">
        <is>
          <t>A3</t>
        </is>
      </c>
      <c r="S89" s="30" t="inlineStr">
        <is>
          <t>19 of 20</t>
        </is>
      </c>
      <c r="T89" s="31" t="inlineStr">
        <is>
          <t>• Role / sub-team: Digitizing Assited Services.</t>
        </is>
      </c>
      <c r="U89" s="31" t="inlineStr">
        <is>
          <t>Received · manager annual · 1. Complete assigned conversion/formatting tasks with &gt;=99% accuracy · zero critical errors
2. Meet 100% of client filing deadlines · no SLA breaches
3. Maintain average turnaround per assignment within agreed TAT
4. Should be able to do Quality check process.
5. Develop capabilites to work in more than 2 …</t>
        </is>
      </c>
      <c r="V89" s="31" t="inlineStr">
        <is>
          <t>Latest rating: 3 · Potential: Medium · 9-box: Core Contributor · Readiness: Develop in role</t>
        </is>
      </c>
      <c r="W89" s="31" t="inlineStr">
        <is>
          <t>C L · Au L · Ac L · L L · BI M · Exp M · 2.6 yrs vs 2–4 yrs · Edu M · B.Com</t>
        </is>
      </c>
      <c r="X89" s="33" t="inlineStr">
        <is>
          <t>Open ▸</t>
        </is>
      </c>
      <c r="Y89" s="34" t="str">
        <f>IFERROR(INDEX(DL_C,MATCH($CA89,DL_KEY,0)),"M")</f>
        <v>H</v>
      </c>
      <c r="Z89" s="35" t="str">
        <f>IFERROR(INDEX(DL_Au,MATCH($CA89,DL_KEY,0)),"M")</f>
        <v>M</v>
      </c>
      <c r="AA89" s="35" t="str">
        <f>IFERROR(INDEX(DL_Ac,MATCH($CA89,DL_KEY,0)),"M")</f>
        <v>M</v>
      </c>
      <c r="AB89" s="35" t="str">
        <f>IFERROR(INDEX(DL_L,MATCH($CA89,DL_KEY,0)),"M")</f>
        <v>L</v>
      </c>
      <c r="AC89" s="35" t="str">
        <f>IFERROR(INDEX(DL_BI,MATCH($CA89,DL_KEY,0)),"M")</f>
        <v>L</v>
      </c>
      <c r="AD89" s="35" t="str">
        <f>IFERROR(INDEX(DL_Exp,MATCH($CA89,DL_KEY,0)),"M")</f>
        <v>L</v>
      </c>
      <c r="AE89" s="35" t="str">
        <f>IFERROR(INDEX(DL_Edu,MATCH($CA89,DL_KEY,0)),"M")</f>
        <v>L</v>
      </c>
      <c r="AF89" s="34" t="inlineStr">
        <is>
          <t>M</t>
        </is>
      </c>
      <c r="AG89" s="35" t="inlineStr">
        <is>
          <t>M</t>
        </is>
      </c>
      <c r="AH89" s="35" t="inlineStr">
        <is>
          <t>M</t>
        </is>
      </c>
      <c r="AI89" s="35" t="inlineStr">
        <is>
          <t>M</t>
        </is>
      </c>
      <c r="AJ89" s="35" t="inlineStr">
        <is>
          <t>M</t>
        </is>
      </c>
      <c r="AK89" s="35" t="inlineStr">
        <is>
          <t>M</t>
        </is>
      </c>
      <c r="AL89" s="35" t="inlineStr">
        <is>
          <t>M</t>
        </is>
      </c>
      <c r="AM89" s="36" t="n">
        <v>0.583</v>
      </c>
      <c r="AN89" s="37" t="n">
        <v>0.16</v>
      </c>
      <c r="AO89" s="37" t="n">
        <v>0.09</v>
      </c>
      <c r="AP89" s="37" t="n">
        <v>0</v>
      </c>
      <c r="AQ89" s="37" t="n">
        <v>0.063</v>
      </c>
      <c r="AR89" s="37" t="n">
        <v>0.06</v>
      </c>
      <c r="AS89" s="37" t="n">
        <v>0.04</v>
      </c>
      <c r="AT89" s="38" t="inlineStr">
        <is>
          <t>2–5</t>
        </is>
      </c>
      <c r="AU89" s="38" t="inlineStr">
        <is>
          <t>Graduate; relevant certification preferred</t>
        </is>
      </c>
      <c r="AV89" s="38" t="inlineStr">
        <is>
          <t>None · guides 1–3 juniors informally</t>
        </is>
      </c>
      <c r="AW89" s="38" t="inlineStr">
        <is>
          <t>P2 · SFIA 3 Apply</t>
        </is>
      </c>
      <c r="AX8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89" s="39" t="inlineStr">
        <is>
          <t>A3</t>
        </is>
      </c>
      <c r="AZ89" s="40" t="inlineStr">
        <is>
          <t>Band A · Practitioner · Senior Associate</t>
        </is>
      </c>
      <c r="BA89" s="40" t="inlineStr">
        <is>
          <t>Model A3 from the six ratings, the market-derived weights and rules R1–R13 · then No change · already below the manager</t>
        </is>
      </c>
      <c r="BB89" s="41" t="inlineStr">
        <is>
          <t>A2</t>
        </is>
      </c>
      <c r="BC89" s="40" t="inlineStr">
        <is>
          <t>The six ratings on the market-average weights of Band A · all tracks score 2.05 → A2 · Hay, Mercer IPE and public plans · experience 2.6 yrs vs the A2 market range 0–3</t>
        </is>
      </c>
      <c r="BD89" s="42">
        <f>IF(SUM(BM89,BN89,BO89,BP89,BQ89,BR89,BS89)=0,0,(BM89*BT89+BN89*BU89+BO89*BV89+BP89*BW89+BQ89*BX89+BR89*BY89+BS89*BZ89)/SUM(BM89,BN89,BO89,BP89,BQ89,BR89,BS89))</f>
        <v>0</v>
      </c>
      <c r="BE89" s="41" t="str">
        <f>IF(LEFT(AY89,1)="X",AY89,IF(OR(AY89="B+",AY89="C+"),INDEX(LAD_PC,MAX(1,MIN(14,MATCH(AY89,LAD_PC,0)+IF(BD89&gt;=0.5,1,IF(BD89&lt;=-0.5,-1,0))))),INDEX(LAD_STD,MAX(1,MIN(12,MATCH(AY89,LAD_STD,0)+IF(BD89&gt;=0.5,1,IF(BD89&lt;=-0.5,-1,0)))))))</f>
        <v>A3</v>
      </c>
      <c r="BF89" s="43" t="n"/>
      <c r="BG89" s="41" t="str">
        <f>IF(BF89&lt;&gt;"",BF89,BE89)</f>
        <v>A3</v>
      </c>
      <c r="BH89" s="40" t="str">
        <f>IFERROR(CHOOSE(INDEX(B_RANK,MATCH(BG89,B_LVL,0)),"Band A","Band B","B+ · Player-Coach","Band C","C+ · Player-Coach","Band D","Band E"),"Band X · Consultant")</f>
        <v>Band A</v>
      </c>
      <c r="BI89" s="40" t="str">
        <f>IF(BG89=AY89,"• Same",IF(INDEX(B_VAL,MATCH(BG89,B_LVL,0))&gt;INDEX(B_VAL,MATCH(AY89,B_LVL,0)),"▲ Up","▼ Down"))</f>
        <v>• Same</v>
      </c>
      <c r="BJ89" s="40" t="str">
        <f>IF(OR($M89="",$M89="—",$M89="Not in this file"),"",IFERROR(INDEX($BG$7:$BG$592,MATCH($M89,$D$7:$D$592,0)),""))</f>
        <v>B1</v>
      </c>
      <c r="BK89" s="40" t="str">
        <f>IFERROR(IF(BJ89="","—",IF(OR(LEFT(BG89,1)="X",LEFT(BJ89,1)="X"),"—",IF(AND(LEFT(BG89,1)="E",LEFT(BJ89,1)="E"),"Exception · Band E",IF(AND(INDEX(B_VAL,MATCH(BJ89,B_LVL,0))&gt;=7,INDEX(B_RANK,MATCH(BG89,B_LVL,0))&gt;=INDEX(B_RANK,MATCH(BJ89,B_LVL,0))),"⚠ Same band as a head manager",IF(INDEX(B_VAL,MATCH(BG89,B_LVL,0))&gt;=INDEX(B_VAL,MATCH(BJ89,B_LVL,0)),"⚠ At or above the manager's level","OK"))))),"—")</f>
        <v>OK</v>
      </c>
      <c r="BL89" s="43" t="n"/>
      <c r="BM89" s="44">
        <f>IFERROR(INDEX(LMH_PTS,MATCH(Y89,LMH_KEY,0)),0)</f>
        <v>9</v>
      </c>
      <c r="BN89" s="38">
        <f>IFERROR(INDEX(LMH_PTS,MATCH(Z89,LMH_KEY,0)),0)</f>
        <v>3</v>
      </c>
      <c r="BO89" s="38">
        <f>IFERROR(INDEX(LMH_PTS,MATCH(AA89,LMH_KEY,0)),0)</f>
        <v>3</v>
      </c>
      <c r="BP89" s="38">
        <f>IFERROR(INDEX(LMH_PTS,MATCH(AB89,LMH_KEY,0)),0)</f>
        <v>1</v>
      </c>
      <c r="BQ89" s="38">
        <f>IFERROR(INDEX(LMH_PTS,MATCH(AC89,LMH_KEY,0)),0)</f>
        <v>1</v>
      </c>
      <c r="BR89" s="38">
        <f>IFERROR(INDEX(LMH_PTS,MATCH(AD89,LMH_KEY,0)),0)</f>
        <v>1</v>
      </c>
      <c r="BS89" s="38">
        <f>IFERROR(INDEX(LMH_PTS,MATCH(AE89,LMH_KEY,0)),0)</f>
        <v>1</v>
      </c>
      <c r="BT89" s="38">
        <f>IFERROR(INDEX(LMH_STEP,MATCH(AF89,LMH_KEY,0)),0)</f>
        <v>0</v>
      </c>
      <c r="BU89" s="38">
        <f>IFERROR(INDEX(LMH_STEP,MATCH(AG89,LMH_KEY,0)),0)</f>
        <v>0</v>
      </c>
      <c r="BV89" s="38">
        <f>IFERROR(INDEX(LMH_STEP,MATCH(AH89,LMH_KEY,0)),0)</f>
        <v>0</v>
      </c>
      <c r="BW89" s="38">
        <f>IFERROR(INDEX(LMH_STEP,MATCH(AI89,LMH_KEY,0)),0)</f>
        <v>0</v>
      </c>
      <c r="BX89" s="38">
        <f>IFERROR(INDEX(LMH_STEP,MATCH(AJ89,LMH_KEY,0)),0)</f>
        <v>0</v>
      </c>
      <c r="BY89" s="38">
        <f>IFERROR(INDEX(LMH_STEP,MATCH(AK89,LMH_KEY,0)),0)</f>
        <v>0</v>
      </c>
      <c r="BZ89" s="38">
        <f>IFERROR(INDEX(LMH_STEP,MATCH(AL89,LMH_KEY,0)),0)</f>
        <v>0</v>
      </c>
      <c r="CA89" s="38" t="inlineStr">
        <is>
          <t>CARBON|Digitizing|Senior Digitization Associate|A3|A</t>
        </is>
      </c>
    </row>
    <row r="90" ht="110" customHeight="1">
      <c r="A90" s="28" t="inlineStr">
        <is>
          <t>CARBON</t>
        </is>
      </c>
      <c r="B90" s="29" t="inlineStr">
        <is>
          <t>Digitizing</t>
        </is>
      </c>
      <c r="C90" s="29" t="n">
        <v>7</v>
      </c>
      <c r="D90" s="29" t="inlineStr">
        <is>
          <t>IRISC332</t>
        </is>
      </c>
      <c r="E90" s="29" t="inlineStr">
        <is>
          <t>Aditya Kumar Diwakar</t>
        </is>
      </c>
      <c r="F90" s="29" t="inlineStr">
        <is>
          <t>Consultant</t>
        </is>
      </c>
      <c r="G90" s="29" t="inlineStr">
        <is>
          <t>Digitization Associate</t>
        </is>
      </c>
      <c r="H90" s="29" t="inlineStr">
        <is>
          <t>Data Operations &amp; Digitization</t>
        </is>
      </c>
      <c r="I90" s="29" t="inlineStr">
        <is>
          <t>Document Conversion, Formatting &amp; Web Publishing</t>
        </is>
      </c>
      <c r="J90" s="29" t="inlineStr">
        <is>
          <t>IC</t>
        </is>
      </c>
      <c r="K90" s="29" t="inlineStr">
        <is>
          <t>RC-046</t>
        </is>
      </c>
      <c r="L90" s="29" t="inlineStr">
        <is>
          <t>Dinesh Sharma</t>
        </is>
      </c>
      <c r="M90" s="29" t="inlineStr">
        <is>
          <t>IRIS1204</t>
        </is>
      </c>
      <c r="N90" s="29" t="n">
        <v>0.7</v>
      </c>
      <c r="O90" s="29" t="n">
        <v>0.7</v>
      </c>
      <c r="P90" s="29" t="inlineStr">
        <is>
          <t>Undergraduate</t>
        </is>
      </c>
      <c r="Q90" s="29" t="inlineStr">
        <is>
          <t>L3 – Professional / Associate</t>
        </is>
      </c>
      <c r="R90" s="29" t="inlineStr">
        <is>
          <t>A2</t>
        </is>
      </c>
      <c r="S90" s="30" t="inlineStr">
        <is>
          <t>18 of 20</t>
        </is>
      </c>
      <c r="T90" s="31" t="inlineStr">
        <is>
          <t>• Role / sub-team: Digitizing Assisted service.</t>
        </is>
      </c>
      <c r="U90" s="31" t="inlineStr">
        <is>
          <t>Received · manager annual · 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
        </is>
      </c>
      <c r="V90" s="31" t="inlineStr">
        <is>
          <t>Latest rating: 3 · Potential: Medium · 9-box: Core Contributor · Readiness: Develop in role</t>
        </is>
      </c>
      <c r="W90" s="31" t="inlineStr">
        <is>
          <t>C M · Au M · Ac M · L L · BI M · Exp M · 0.7 yrs vs 0–2 yrs · Edu L · Undergraduate</t>
        </is>
      </c>
      <c r="X90" s="33" t="inlineStr">
        <is>
          <t>Open ▸</t>
        </is>
      </c>
      <c r="Y90" s="34" t="str">
        <f>IFERROR(INDEX(DL_C,MATCH($CA90,DL_KEY,0)),"M")</f>
        <v>H</v>
      </c>
      <c r="Z90" s="35" t="str">
        <f>IFERROR(INDEX(DL_Au,MATCH($CA90,DL_KEY,0)),"M")</f>
        <v>M</v>
      </c>
      <c r="AA90" s="35" t="str">
        <f>IFERROR(INDEX(DL_Ac,MATCH($CA90,DL_KEY,0)),"M")</f>
        <v>M</v>
      </c>
      <c r="AB90" s="35" t="str">
        <f>IFERROR(INDEX(DL_L,MATCH($CA90,DL_KEY,0)),"M")</f>
        <v>L</v>
      </c>
      <c r="AC90" s="35" t="str">
        <f>IFERROR(INDEX(DL_BI,MATCH($CA90,DL_KEY,0)),"M")</f>
        <v>L</v>
      </c>
      <c r="AD90" s="35" t="str">
        <f>IFERROR(INDEX(DL_Exp,MATCH($CA90,DL_KEY,0)),"M")</f>
        <v>L</v>
      </c>
      <c r="AE90" s="35" t="str">
        <f>IFERROR(INDEX(DL_Edu,MATCH($CA90,DL_KEY,0)),"M")</f>
        <v>L</v>
      </c>
      <c r="AF90" s="34" t="inlineStr">
        <is>
          <t>M</t>
        </is>
      </c>
      <c r="AG90" s="35" t="inlineStr">
        <is>
          <t>M</t>
        </is>
      </c>
      <c r="AH90" s="35" t="inlineStr">
        <is>
          <t>M</t>
        </is>
      </c>
      <c r="AI90" s="35" t="inlineStr">
        <is>
          <t>M</t>
        </is>
      </c>
      <c r="AJ90" s="35" t="inlineStr">
        <is>
          <t>M</t>
        </is>
      </c>
      <c r="AK90" s="35" t="inlineStr">
        <is>
          <t>M</t>
        </is>
      </c>
      <c r="AL90" s="35" t="inlineStr">
        <is>
          <t>M</t>
        </is>
      </c>
      <c r="AM90" s="36" t="n">
        <v>0.583</v>
      </c>
      <c r="AN90" s="37" t="n">
        <v>0.16</v>
      </c>
      <c r="AO90" s="37" t="n">
        <v>0.09</v>
      </c>
      <c r="AP90" s="37" t="n">
        <v>0</v>
      </c>
      <c r="AQ90" s="37" t="n">
        <v>0.063</v>
      </c>
      <c r="AR90" s="37" t="n">
        <v>0.06</v>
      </c>
      <c r="AS90" s="37" t="n">
        <v>0.04</v>
      </c>
      <c r="AT90" s="38" t="inlineStr">
        <is>
          <t>0–3</t>
        </is>
      </c>
      <c r="AU90" s="38" t="inlineStr">
        <is>
          <t>Graduate · or diploma with experience</t>
        </is>
      </c>
      <c r="AV90" s="38" t="inlineStr">
        <is>
          <t>No direct reports</t>
        </is>
      </c>
      <c r="AW90" s="38" t="inlineStr">
        <is>
          <t>P1–P2 · SFIA 2 Assist</t>
        </is>
      </c>
      <c r="AX9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90" s="39" t="inlineStr">
        <is>
          <t>A2</t>
        </is>
      </c>
      <c r="AZ90" s="40" t="inlineStr">
        <is>
          <t>Band A · Practitioner · Associate</t>
        </is>
      </c>
      <c r="BA90" s="40" t="inlineStr">
        <is>
          <t>Model A2 from the six ratings, the market-derived weights and rules R1–R13 · then No change · already below the manager</t>
        </is>
      </c>
      <c r="BB90" s="41" t="inlineStr">
        <is>
          <t>A2</t>
        </is>
      </c>
      <c r="BC90" s="40" t="inlineStr">
        <is>
          <t>The six ratings on the market-average weights of Band A · all tracks score 1.93 → A2 · Hay, Mercer IPE and public plans · experience 0.7 yrs vs the A2 market range 0–3</t>
        </is>
      </c>
      <c r="BD90" s="42">
        <f>IF(SUM(BM90,BN90,BO90,BP90,BQ90,BR90,BS90)=0,0,(BM90*BT90+BN90*BU90+BO90*BV90+BP90*BW90+BQ90*BX90+BR90*BY90+BS90*BZ90)/SUM(BM90,BN90,BO90,BP90,BQ90,BR90,BS90))</f>
        <v>0</v>
      </c>
      <c r="BE90" s="41" t="str">
        <f>IF(LEFT(AY90,1)="X",AY90,IF(OR(AY90="B+",AY90="C+"),INDEX(LAD_PC,MAX(1,MIN(14,MATCH(AY90,LAD_PC,0)+IF(BD90&gt;=0.5,1,IF(BD90&lt;=-0.5,-1,0))))),INDEX(LAD_STD,MAX(1,MIN(12,MATCH(AY90,LAD_STD,0)+IF(BD90&gt;=0.5,1,IF(BD90&lt;=-0.5,-1,0)))))))</f>
        <v>A2</v>
      </c>
      <c r="BF90" s="43" t="n"/>
      <c r="BG90" s="41" t="str">
        <f>IF(BF90&lt;&gt;"",BF90,BE90)</f>
        <v>A2</v>
      </c>
      <c r="BH90" s="40" t="str">
        <f>IFERROR(CHOOSE(INDEX(B_RANK,MATCH(BG90,B_LVL,0)),"Band A","Band B","B+ · Player-Coach","Band C","C+ · Player-Coach","Band D","Band E"),"Band X · Consultant")</f>
        <v>Band A</v>
      </c>
      <c r="BI90" s="40" t="str">
        <f>IF(BG90=AY90,"• Same",IF(INDEX(B_VAL,MATCH(BG90,B_LVL,0))&gt;INDEX(B_VAL,MATCH(AY90,B_LVL,0)),"▲ Up","▼ Down"))</f>
        <v>• Same</v>
      </c>
      <c r="BJ90" s="40" t="str">
        <f>IF(OR($M90="",$M90="—",$M90="Not in this file"),"",IFERROR(INDEX($BG$7:$BG$592,MATCH($M90,$D$7:$D$592,0)),""))</f>
        <v>B1</v>
      </c>
      <c r="BK90" s="40" t="str">
        <f>IFERROR(IF(BJ90="","—",IF(OR(LEFT(BG90,1)="X",LEFT(BJ90,1)="X"),"—",IF(AND(LEFT(BG90,1)="E",LEFT(BJ90,1)="E"),"Exception · Band E",IF(AND(INDEX(B_VAL,MATCH(BJ90,B_LVL,0))&gt;=7,INDEX(B_RANK,MATCH(BG90,B_LVL,0))&gt;=INDEX(B_RANK,MATCH(BJ90,B_LVL,0))),"⚠ Same band as a head manager",IF(INDEX(B_VAL,MATCH(BG90,B_LVL,0))&gt;=INDEX(B_VAL,MATCH(BJ90,B_LVL,0)),"⚠ At or above the manager's level","OK"))))),"—")</f>
        <v>OK</v>
      </c>
      <c r="BL90" s="43" t="n"/>
      <c r="BM90" s="44">
        <f>IFERROR(INDEX(LMH_PTS,MATCH(Y90,LMH_KEY,0)),0)</f>
        <v>9</v>
      </c>
      <c r="BN90" s="38">
        <f>IFERROR(INDEX(LMH_PTS,MATCH(Z90,LMH_KEY,0)),0)</f>
        <v>3</v>
      </c>
      <c r="BO90" s="38">
        <f>IFERROR(INDEX(LMH_PTS,MATCH(AA90,LMH_KEY,0)),0)</f>
        <v>3</v>
      </c>
      <c r="BP90" s="38">
        <f>IFERROR(INDEX(LMH_PTS,MATCH(AB90,LMH_KEY,0)),0)</f>
        <v>1</v>
      </c>
      <c r="BQ90" s="38">
        <f>IFERROR(INDEX(LMH_PTS,MATCH(AC90,LMH_KEY,0)),0)</f>
        <v>1</v>
      </c>
      <c r="BR90" s="38">
        <f>IFERROR(INDEX(LMH_PTS,MATCH(AD90,LMH_KEY,0)),0)</f>
        <v>1</v>
      </c>
      <c r="BS90" s="38">
        <f>IFERROR(INDEX(LMH_PTS,MATCH(AE90,LMH_KEY,0)),0)</f>
        <v>1</v>
      </c>
      <c r="BT90" s="38">
        <f>IFERROR(INDEX(LMH_STEP,MATCH(AF90,LMH_KEY,0)),0)</f>
        <v>0</v>
      </c>
      <c r="BU90" s="38">
        <f>IFERROR(INDEX(LMH_STEP,MATCH(AG90,LMH_KEY,0)),0)</f>
        <v>0</v>
      </c>
      <c r="BV90" s="38">
        <f>IFERROR(INDEX(LMH_STEP,MATCH(AH90,LMH_KEY,0)),0)</f>
        <v>0</v>
      </c>
      <c r="BW90" s="38">
        <f>IFERROR(INDEX(LMH_STEP,MATCH(AI90,LMH_KEY,0)),0)</f>
        <v>0</v>
      </c>
      <c r="BX90" s="38">
        <f>IFERROR(INDEX(LMH_STEP,MATCH(AJ90,LMH_KEY,0)),0)</f>
        <v>0</v>
      </c>
      <c r="BY90" s="38">
        <f>IFERROR(INDEX(LMH_STEP,MATCH(AK90,LMH_KEY,0)),0)</f>
        <v>0</v>
      </c>
      <c r="BZ90" s="38">
        <f>IFERROR(INDEX(LMH_STEP,MATCH(AL90,LMH_KEY,0)),0)</f>
        <v>0</v>
      </c>
      <c r="CA90" s="38" t="inlineStr">
        <is>
          <t>CARBON|Digitizing|Digitization Associate|A2|A</t>
        </is>
      </c>
    </row>
    <row r="91" ht="110" customHeight="1">
      <c r="A91" s="28" t="inlineStr">
        <is>
          <t>CARBON</t>
        </is>
      </c>
      <c r="B91" s="29" t="inlineStr">
        <is>
          <t>Digitizing</t>
        </is>
      </c>
      <c r="C91" s="29" t="n">
        <v>7</v>
      </c>
      <c r="D91" s="29" t="inlineStr">
        <is>
          <t>IRISC324</t>
        </is>
      </c>
      <c r="E91" s="29" t="inlineStr">
        <is>
          <t>Kajal Srivastava</t>
        </is>
      </c>
      <c r="F91" s="29" t="inlineStr">
        <is>
          <t>Consultant</t>
        </is>
      </c>
      <c r="G91" s="29" t="inlineStr">
        <is>
          <t>Digitization Associate</t>
        </is>
      </c>
      <c r="H91" s="29" t="inlineStr">
        <is>
          <t>Data Operations &amp; Digitization</t>
        </is>
      </c>
      <c r="I91" s="29" t="inlineStr">
        <is>
          <t>Document Conversion, Formatting &amp; Web Publishing</t>
        </is>
      </c>
      <c r="J91" s="29" t="inlineStr">
        <is>
          <t>IC</t>
        </is>
      </c>
      <c r="K91" s="29" t="inlineStr">
        <is>
          <t>RC-046</t>
        </is>
      </c>
      <c r="L91" s="29" t="inlineStr">
        <is>
          <t>Dinesh Sharma</t>
        </is>
      </c>
      <c r="M91" s="29" t="inlineStr">
        <is>
          <t>IRIS1204</t>
        </is>
      </c>
      <c r="N91" s="29" t="n">
        <v>1.3</v>
      </c>
      <c r="O91" s="29" t="n">
        <v>0.8</v>
      </c>
      <c r="P91" s="29" t="inlineStr">
        <is>
          <t>B.Com</t>
        </is>
      </c>
      <c r="Q91" s="29" t="inlineStr">
        <is>
          <t>L3 – Professional / Associate</t>
        </is>
      </c>
      <c r="R91" s="29" t="inlineStr">
        <is>
          <t>A2</t>
        </is>
      </c>
      <c r="S91" s="30" t="inlineStr">
        <is>
          <t>19 of 20</t>
        </is>
      </c>
      <c r="T91" s="31" t="inlineStr">
        <is>
          <t>• Role / sub-team: Digitizing Assited Services.</t>
        </is>
      </c>
      <c r="U91" s="31" t="inlineStr">
        <is>
          <t>Received · manager annual · 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
        </is>
      </c>
      <c r="V91" s="31" t="inlineStr">
        <is>
          <t>Latest rating: 3 · Potential: Medium · 9-box: Core Contributor · Readiness: Develop in role</t>
        </is>
      </c>
      <c r="W91" s="31" t="inlineStr">
        <is>
          <t>C M · Au M · Ac M · L L · BI M · Exp M · 1.3 yrs vs 0–2 yrs · Edu M · B.Com</t>
        </is>
      </c>
      <c r="X91" s="33" t="inlineStr">
        <is>
          <t>Open ▸</t>
        </is>
      </c>
      <c r="Y91" s="34" t="str">
        <f>IFERROR(INDEX(DL_C,MATCH($CA91,DL_KEY,0)),"M")</f>
        <v>H</v>
      </c>
      <c r="Z91" s="35" t="str">
        <f>IFERROR(INDEX(DL_Au,MATCH($CA91,DL_KEY,0)),"M")</f>
        <v>M</v>
      </c>
      <c r="AA91" s="35" t="str">
        <f>IFERROR(INDEX(DL_Ac,MATCH($CA91,DL_KEY,0)),"M")</f>
        <v>M</v>
      </c>
      <c r="AB91" s="35" t="str">
        <f>IFERROR(INDEX(DL_L,MATCH($CA91,DL_KEY,0)),"M")</f>
        <v>L</v>
      </c>
      <c r="AC91" s="35" t="str">
        <f>IFERROR(INDEX(DL_BI,MATCH($CA91,DL_KEY,0)),"M")</f>
        <v>L</v>
      </c>
      <c r="AD91" s="35" t="str">
        <f>IFERROR(INDEX(DL_Exp,MATCH($CA91,DL_KEY,0)),"M")</f>
        <v>L</v>
      </c>
      <c r="AE91" s="35" t="str">
        <f>IFERROR(INDEX(DL_Edu,MATCH($CA91,DL_KEY,0)),"M")</f>
        <v>L</v>
      </c>
      <c r="AF91" s="34" t="inlineStr">
        <is>
          <t>M</t>
        </is>
      </c>
      <c r="AG91" s="35" t="inlineStr">
        <is>
          <t>M</t>
        </is>
      </c>
      <c r="AH91" s="35" t="inlineStr">
        <is>
          <t>M</t>
        </is>
      </c>
      <c r="AI91" s="35" t="inlineStr">
        <is>
          <t>M</t>
        </is>
      </c>
      <c r="AJ91" s="35" t="inlineStr">
        <is>
          <t>M</t>
        </is>
      </c>
      <c r="AK91" s="35" t="inlineStr">
        <is>
          <t>M</t>
        </is>
      </c>
      <c r="AL91" s="35" t="inlineStr">
        <is>
          <t>M</t>
        </is>
      </c>
      <c r="AM91" s="36" t="n">
        <v>0.583</v>
      </c>
      <c r="AN91" s="37" t="n">
        <v>0.16</v>
      </c>
      <c r="AO91" s="37" t="n">
        <v>0.09</v>
      </c>
      <c r="AP91" s="37" t="n">
        <v>0</v>
      </c>
      <c r="AQ91" s="37" t="n">
        <v>0.063</v>
      </c>
      <c r="AR91" s="37" t="n">
        <v>0.06</v>
      </c>
      <c r="AS91" s="37" t="n">
        <v>0.04</v>
      </c>
      <c r="AT91" s="38" t="inlineStr">
        <is>
          <t>0–3</t>
        </is>
      </c>
      <c r="AU91" s="38" t="inlineStr">
        <is>
          <t>Graduate · or diploma with experience</t>
        </is>
      </c>
      <c r="AV91" s="38" t="inlineStr">
        <is>
          <t>No direct reports</t>
        </is>
      </c>
      <c r="AW91" s="38" t="inlineStr">
        <is>
          <t>P1–P2 · SFIA 2 Assist</t>
        </is>
      </c>
      <c r="AX9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91" s="39" t="inlineStr">
        <is>
          <t>A2</t>
        </is>
      </c>
      <c r="AZ91" s="40" t="inlineStr">
        <is>
          <t>Band A · Practitioner · Associate</t>
        </is>
      </c>
      <c r="BA91" s="40" t="inlineStr">
        <is>
          <t>Model A2 from the six ratings, the market-derived weights and rules R1–R13 · then No change · already below the manager</t>
        </is>
      </c>
      <c r="BB91" s="41" t="inlineStr">
        <is>
          <t>A2</t>
        </is>
      </c>
      <c r="BC91" s="40" t="inlineStr">
        <is>
          <t>The six ratings on the market-average weights of Band A · all tracks score 2.03 → A2 · Hay, Mercer IPE and public plans · experience 1.3 yrs vs the A2 market range 0–3</t>
        </is>
      </c>
      <c r="BD91" s="42">
        <f>IF(SUM(BM91,BN91,BO91,BP91,BQ91,BR91,BS91)=0,0,(BM91*BT91+BN91*BU91+BO91*BV91+BP91*BW91+BQ91*BX91+BR91*BY91+BS91*BZ91)/SUM(BM91,BN91,BO91,BP91,BQ91,BR91,BS91))</f>
        <v>0</v>
      </c>
      <c r="BE91" s="41" t="str">
        <f>IF(LEFT(AY91,1)="X",AY91,IF(OR(AY91="B+",AY91="C+"),INDEX(LAD_PC,MAX(1,MIN(14,MATCH(AY91,LAD_PC,0)+IF(BD91&gt;=0.5,1,IF(BD91&lt;=-0.5,-1,0))))),INDEX(LAD_STD,MAX(1,MIN(12,MATCH(AY91,LAD_STD,0)+IF(BD91&gt;=0.5,1,IF(BD91&lt;=-0.5,-1,0)))))))</f>
        <v>A2</v>
      </c>
      <c r="BF91" s="43" t="n"/>
      <c r="BG91" s="41" t="str">
        <f>IF(BF91&lt;&gt;"",BF91,BE91)</f>
        <v>A2</v>
      </c>
      <c r="BH91" s="40" t="str">
        <f>IFERROR(CHOOSE(INDEX(B_RANK,MATCH(BG91,B_LVL,0)),"Band A","Band B","B+ · Player-Coach","Band C","C+ · Player-Coach","Band D","Band E"),"Band X · Consultant")</f>
        <v>Band A</v>
      </c>
      <c r="BI91" s="40" t="str">
        <f>IF(BG91=AY91,"• Same",IF(INDEX(B_VAL,MATCH(BG91,B_LVL,0))&gt;INDEX(B_VAL,MATCH(AY91,B_LVL,0)),"▲ Up","▼ Down"))</f>
        <v>• Same</v>
      </c>
      <c r="BJ91" s="40" t="str">
        <f>IF(OR($M91="",$M91="—",$M91="Not in this file"),"",IFERROR(INDEX($BG$7:$BG$592,MATCH($M91,$D$7:$D$592,0)),""))</f>
        <v>B1</v>
      </c>
      <c r="BK91" s="40" t="str">
        <f>IFERROR(IF(BJ91="","—",IF(OR(LEFT(BG91,1)="X",LEFT(BJ91,1)="X"),"—",IF(AND(LEFT(BG91,1)="E",LEFT(BJ91,1)="E"),"Exception · Band E",IF(AND(INDEX(B_VAL,MATCH(BJ91,B_LVL,0))&gt;=7,INDEX(B_RANK,MATCH(BG91,B_LVL,0))&gt;=INDEX(B_RANK,MATCH(BJ91,B_LVL,0))),"⚠ Same band as a head manager",IF(INDEX(B_VAL,MATCH(BG91,B_LVL,0))&gt;=INDEX(B_VAL,MATCH(BJ91,B_LVL,0)),"⚠ At or above the manager's level","OK"))))),"—")</f>
        <v>OK</v>
      </c>
      <c r="BL91" s="43" t="n"/>
      <c r="BM91" s="44">
        <f>IFERROR(INDEX(LMH_PTS,MATCH(Y91,LMH_KEY,0)),0)</f>
        <v>9</v>
      </c>
      <c r="BN91" s="38">
        <f>IFERROR(INDEX(LMH_PTS,MATCH(Z91,LMH_KEY,0)),0)</f>
        <v>3</v>
      </c>
      <c r="BO91" s="38">
        <f>IFERROR(INDEX(LMH_PTS,MATCH(AA91,LMH_KEY,0)),0)</f>
        <v>3</v>
      </c>
      <c r="BP91" s="38">
        <f>IFERROR(INDEX(LMH_PTS,MATCH(AB91,LMH_KEY,0)),0)</f>
        <v>1</v>
      </c>
      <c r="BQ91" s="38">
        <f>IFERROR(INDEX(LMH_PTS,MATCH(AC91,LMH_KEY,0)),0)</f>
        <v>1</v>
      </c>
      <c r="BR91" s="38">
        <f>IFERROR(INDEX(LMH_PTS,MATCH(AD91,LMH_KEY,0)),0)</f>
        <v>1</v>
      </c>
      <c r="BS91" s="38">
        <f>IFERROR(INDEX(LMH_PTS,MATCH(AE91,LMH_KEY,0)),0)</f>
        <v>1</v>
      </c>
      <c r="BT91" s="38">
        <f>IFERROR(INDEX(LMH_STEP,MATCH(AF91,LMH_KEY,0)),0)</f>
        <v>0</v>
      </c>
      <c r="BU91" s="38">
        <f>IFERROR(INDEX(LMH_STEP,MATCH(AG91,LMH_KEY,0)),0)</f>
        <v>0</v>
      </c>
      <c r="BV91" s="38">
        <f>IFERROR(INDEX(LMH_STEP,MATCH(AH91,LMH_KEY,0)),0)</f>
        <v>0</v>
      </c>
      <c r="BW91" s="38">
        <f>IFERROR(INDEX(LMH_STEP,MATCH(AI91,LMH_KEY,0)),0)</f>
        <v>0</v>
      </c>
      <c r="BX91" s="38">
        <f>IFERROR(INDEX(LMH_STEP,MATCH(AJ91,LMH_KEY,0)),0)</f>
        <v>0</v>
      </c>
      <c r="BY91" s="38">
        <f>IFERROR(INDEX(LMH_STEP,MATCH(AK91,LMH_KEY,0)),0)</f>
        <v>0</v>
      </c>
      <c r="BZ91" s="38">
        <f>IFERROR(INDEX(LMH_STEP,MATCH(AL91,LMH_KEY,0)),0)</f>
        <v>0</v>
      </c>
      <c r="CA91" s="38" t="inlineStr">
        <is>
          <t>CARBON|Digitizing|Digitization Associate|A2|A</t>
        </is>
      </c>
    </row>
    <row r="92" ht="110" customHeight="1">
      <c r="A92" s="28" t="inlineStr">
        <is>
          <t>CARBON</t>
        </is>
      </c>
      <c r="B92" s="29" t="inlineStr">
        <is>
          <t>Digitizing</t>
        </is>
      </c>
      <c r="C92" s="29" t="n">
        <v>6</v>
      </c>
      <c r="D92" s="29" t="inlineStr">
        <is>
          <t>IRIS0117</t>
        </is>
      </c>
      <c r="E92" s="29" t="inlineStr">
        <is>
          <t>Prajakta Mokal</t>
        </is>
      </c>
      <c r="F92" s="29" t="inlineStr">
        <is>
          <t>Image Processing Specialist</t>
        </is>
      </c>
      <c r="G92" s="29" t="inlineStr">
        <is>
          <t>Digitization Specialist – POD Lead</t>
        </is>
      </c>
      <c r="H92" s="29" t="inlineStr">
        <is>
          <t>Data Operations &amp; Digitization</t>
        </is>
      </c>
      <c r="I92" s="29" t="inlineStr">
        <is>
          <t>Document Conversion, Formatting &amp; Web Publishing</t>
        </is>
      </c>
      <c r="J92" s="29" t="inlineStr">
        <is>
          <t>POD Lead</t>
        </is>
      </c>
      <c r="K92" s="29" t="inlineStr">
        <is>
          <t>RC-048</t>
        </is>
      </c>
      <c r="L92" s="29" t="inlineStr">
        <is>
          <t>Vijay Parulekar</t>
        </is>
      </c>
      <c r="M92" s="29" t="inlineStr">
        <is>
          <t>IRIS0055</t>
        </is>
      </c>
      <c r="N92" s="29" t="n">
        <v>19.5</v>
      </c>
      <c r="O92" s="29" t="n">
        <v>19.1</v>
      </c>
      <c r="P92" s="29" t="inlineStr">
        <is>
          <t>BA</t>
        </is>
      </c>
      <c r="Q92" s="29" t="inlineStr">
        <is>
          <t>L3 – Professional / Associate</t>
        </is>
      </c>
      <c r="R92" s="29" t="inlineStr">
        <is>
          <t>B1</t>
        </is>
      </c>
      <c r="S92" s="30" t="inlineStr">
        <is>
          <t>20 of 20</t>
        </is>
      </c>
      <c r="T92" s="31" t="inlineStr">
        <is>
          <t>• Role / sub-team: Digitizing Assisted Services.</t>
        </is>
      </c>
      <c r="U92" s="31" t="inlineStr">
        <is>
          <t>Received · manager annual · 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capabilities to work in more …</t>
        </is>
      </c>
      <c r="V92" s="31" t="inlineStr">
        <is>
          <t>Latest rating: 4 · Potential: High · 9-box: Core Contributor · Readiness: Ready now</t>
        </is>
      </c>
      <c r="W92" s="31" t="inlineStr">
        <is>
          <t>C L · Au L · Ac L · L L · BI M · Exp H · 19.5 yrs vs 4–7 yrs · Edu M · BA</t>
        </is>
      </c>
      <c r="X92" s="33" t="inlineStr">
        <is>
          <t>Open ▸</t>
        </is>
      </c>
      <c r="Y92" s="34" t="str">
        <f>IFERROR(INDEX(DL_C,MATCH($CA92,DL_KEY,0)),"M")</f>
        <v>H</v>
      </c>
      <c r="Z92" s="35" t="str">
        <f>IFERROR(INDEX(DL_Au,MATCH($CA92,DL_KEY,0)),"M")</f>
        <v>M</v>
      </c>
      <c r="AA92" s="35" t="str">
        <f>IFERROR(INDEX(DL_Ac,MATCH($CA92,DL_KEY,0)),"M")</f>
        <v>M</v>
      </c>
      <c r="AB92" s="35" t="str">
        <f>IFERROR(INDEX(DL_L,MATCH($CA92,DL_KEY,0)),"M")</f>
        <v>L</v>
      </c>
      <c r="AC92" s="35" t="str">
        <f>IFERROR(INDEX(DL_BI,MATCH($CA92,DL_KEY,0)),"M")</f>
        <v>L</v>
      </c>
      <c r="AD92" s="35" t="str">
        <f>IFERROR(INDEX(DL_Exp,MATCH($CA92,DL_KEY,0)),"M")</f>
        <v>L</v>
      </c>
      <c r="AE92" s="35" t="str">
        <f>IFERROR(INDEX(DL_Edu,MATCH($CA92,DL_KEY,0)),"M")</f>
        <v>L</v>
      </c>
      <c r="AF92" s="34" t="inlineStr">
        <is>
          <t>M</t>
        </is>
      </c>
      <c r="AG92" s="35" t="inlineStr">
        <is>
          <t>M</t>
        </is>
      </c>
      <c r="AH92" s="35" t="inlineStr">
        <is>
          <t>M</t>
        </is>
      </c>
      <c r="AI92" s="35" t="inlineStr">
        <is>
          <t>M</t>
        </is>
      </c>
      <c r="AJ92" s="35" t="inlineStr">
        <is>
          <t>M</t>
        </is>
      </c>
      <c r="AK92" s="35" t="inlineStr">
        <is>
          <t>M</t>
        </is>
      </c>
      <c r="AL92" s="35" t="inlineStr">
        <is>
          <t>M</t>
        </is>
      </c>
      <c r="AM92" s="36" t="n">
        <v>0.513</v>
      </c>
      <c r="AN92" s="37" t="n">
        <v>0.173</v>
      </c>
      <c r="AO92" s="37" t="n">
        <v>0.09699999999999999</v>
      </c>
      <c r="AP92" s="37" t="n">
        <v>0.05</v>
      </c>
      <c r="AQ92" s="37" t="n">
        <v>0.07000000000000001</v>
      </c>
      <c r="AR92" s="37" t="n">
        <v>0.06</v>
      </c>
      <c r="AS92" s="37" t="n">
        <v>0.04</v>
      </c>
      <c r="AT92" s="38" t="inlineStr">
        <is>
          <t>4–8</t>
        </is>
      </c>
      <c r="AU92" s="38" t="inlineStr">
        <is>
          <t>Graduate + relevant qualification or certification preferred</t>
        </is>
      </c>
      <c r="AV92" s="38" t="inlineStr">
        <is>
          <t>IC: none · Team Lead: 3–5</t>
        </is>
      </c>
      <c r="AW92" s="38" t="inlineStr">
        <is>
          <t>P3 / M2 · SFIA 4 Enable</t>
        </is>
      </c>
      <c r="AX9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92" s="39" t="inlineStr">
        <is>
          <t>B1</t>
        </is>
      </c>
      <c r="AZ92" s="40" t="inlineStr">
        <is>
          <t>Band B · Specialist / Manager · Team Lead / Asst Manager</t>
        </is>
      </c>
      <c r="BA92" s="40" t="inlineStr">
        <is>
          <t>Model B1 from the six ratings, the market-derived weights and rules R1–R13 · then No change · already below the manager</t>
        </is>
      </c>
      <c r="BB92" s="41" t="inlineStr">
        <is>
          <t>B1</t>
        </is>
      </c>
      <c r="BC92" s="40" t="inlineStr">
        <is>
          <t>The six ratings on the market-average weights of Band B · Specialist / POD Lead score 3.68 → B1 · Hay, Mercer IPE and public plans · experience 19.5 yrs vs the B1 market range 4–8</t>
        </is>
      </c>
      <c r="BD92" s="42">
        <f>IF(SUM(BM92,BN92,BO92,BP92,BQ92,BR92,BS92)=0,0,(BM92*BT92+BN92*BU92+BO92*BV92+BP92*BW92+BQ92*BX92+BR92*BY92+BS92*BZ92)/SUM(BM92,BN92,BO92,BP92,BQ92,BR92,BS92))</f>
        <v>0</v>
      </c>
      <c r="BE92" s="41" t="str">
        <f>IF(LEFT(AY92,1)="X",AY92,IF(OR(AY92="B+",AY92="C+"),INDEX(LAD_PC,MAX(1,MIN(14,MATCH(AY92,LAD_PC,0)+IF(BD92&gt;=0.5,1,IF(BD92&lt;=-0.5,-1,0))))),INDEX(LAD_STD,MAX(1,MIN(12,MATCH(AY92,LAD_STD,0)+IF(BD92&gt;=0.5,1,IF(BD92&lt;=-0.5,-1,0)))))))</f>
        <v>B1</v>
      </c>
      <c r="BF92" s="43" t="n"/>
      <c r="BG92" s="41" t="str">
        <f>IF(BF92&lt;&gt;"",BF92,BE92)</f>
        <v>B1</v>
      </c>
      <c r="BH92" s="40" t="str">
        <f>IFERROR(CHOOSE(INDEX(B_RANK,MATCH(BG92,B_LVL,0)),"Band A","Band B","B+ · Player-Coach","Band C","C+ · Player-Coach","Band D","Band E"),"Band X · Consultant")</f>
        <v>Band B</v>
      </c>
      <c r="BI92" s="40" t="str">
        <f>IF(BG92=AY92,"• Same",IF(INDEX(B_VAL,MATCH(BG92,B_LVL,0))&gt;INDEX(B_VAL,MATCH(AY92,B_LVL,0)),"▲ Up","▼ Down"))</f>
        <v>• Same</v>
      </c>
      <c r="BJ92" s="40" t="str">
        <f>IF(OR($M92="",$M92="—",$M92="Not in this file"),"",IFERROR(INDEX($BG$7:$BG$592,MATCH($M92,$D$7:$D$592,0)),""))</f>
        <v>B2</v>
      </c>
      <c r="BK92" s="40" t="str">
        <f>IFERROR(IF(BJ92="","—",IF(OR(LEFT(BG92,1)="X",LEFT(BJ92,1)="X"),"—",IF(AND(LEFT(BG92,1)="E",LEFT(BJ92,1)="E"),"Exception · Band E",IF(AND(INDEX(B_VAL,MATCH(BJ92,B_LVL,0))&gt;=7,INDEX(B_RANK,MATCH(BG92,B_LVL,0))&gt;=INDEX(B_RANK,MATCH(BJ92,B_LVL,0))),"⚠ Same band as a head manager",IF(INDEX(B_VAL,MATCH(BG92,B_LVL,0))&gt;=INDEX(B_VAL,MATCH(BJ92,B_LVL,0)),"⚠ At or above the manager's level","OK"))))),"—")</f>
        <v>OK</v>
      </c>
      <c r="BL92" s="43" t="n"/>
      <c r="BM92" s="44">
        <f>IFERROR(INDEX(LMH_PTS,MATCH(Y92,LMH_KEY,0)),0)</f>
        <v>9</v>
      </c>
      <c r="BN92" s="38">
        <f>IFERROR(INDEX(LMH_PTS,MATCH(Z92,LMH_KEY,0)),0)</f>
        <v>3</v>
      </c>
      <c r="BO92" s="38">
        <f>IFERROR(INDEX(LMH_PTS,MATCH(AA92,LMH_KEY,0)),0)</f>
        <v>3</v>
      </c>
      <c r="BP92" s="38">
        <f>IFERROR(INDEX(LMH_PTS,MATCH(AB92,LMH_KEY,0)),0)</f>
        <v>1</v>
      </c>
      <c r="BQ92" s="38">
        <f>IFERROR(INDEX(LMH_PTS,MATCH(AC92,LMH_KEY,0)),0)</f>
        <v>1</v>
      </c>
      <c r="BR92" s="38">
        <f>IFERROR(INDEX(LMH_PTS,MATCH(AD92,LMH_KEY,0)),0)</f>
        <v>1</v>
      </c>
      <c r="BS92" s="38">
        <f>IFERROR(INDEX(LMH_PTS,MATCH(AE92,LMH_KEY,0)),0)</f>
        <v>1</v>
      </c>
      <c r="BT92" s="38">
        <f>IFERROR(INDEX(LMH_STEP,MATCH(AF92,LMH_KEY,0)),0)</f>
        <v>0</v>
      </c>
      <c r="BU92" s="38">
        <f>IFERROR(INDEX(LMH_STEP,MATCH(AG92,LMH_KEY,0)),0)</f>
        <v>0</v>
      </c>
      <c r="BV92" s="38">
        <f>IFERROR(INDEX(LMH_STEP,MATCH(AH92,LMH_KEY,0)),0)</f>
        <v>0</v>
      </c>
      <c r="BW92" s="38">
        <f>IFERROR(INDEX(LMH_STEP,MATCH(AI92,LMH_KEY,0)),0)</f>
        <v>0</v>
      </c>
      <c r="BX92" s="38">
        <f>IFERROR(INDEX(LMH_STEP,MATCH(AJ92,LMH_KEY,0)),0)</f>
        <v>0</v>
      </c>
      <c r="BY92" s="38">
        <f>IFERROR(INDEX(LMH_STEP,MATCH(AK92,LMH_KEY,0)),0)</f>
        <v>0</v>
      </c>
      <c r="BZ92" s="38">
        <f>IFERROR(INDEX(LMH_STEP,MATCH(AL92,LMH_KEY,0)),0)</f>
        <v>0</v>
      </c>
      <c r="CA92" s="38" t="inlineStr">
        <is>
          <t>CARBON|Digitizing|Digitization Specialist – POD Lead|B1|B-IC</t>
        </is>
      </c>
    </row>
    <row r="93" ht="110" customHeight="1">
      <c r="A93" s="28" t="inlineStr">
        <is>
          <t>CARBON</t>
        </is>
      </c>
      <c r="B93" s="29" t="inlineStr">
        <is>
          <t>Digitizing</t>
        </is>
      </c>
      <c r="C93" s="29" t="n">
        <v>7</v>
      </c>
      <c r="D93" s="29" t="inlineStr">
        <is>
          <t>IRISC131</t>
        </is>
      </c>
      <c r="E93" s="29" t="inlineStr">
        <is>
          <t>Vanita Gaikwad</t>
        </is>
      </c>
      <c r="F93" s="29" t="inlineStr">
        <is>
          <t>Consultant</t>
        </is>
      </c>
      <c r="G93" s="29" t="inlineStr">
        <is>
          <t>Senior Digitization Associate</t>
        </is>
      </c>
      <c r="H93" s="29" t="inlineStr">
        <is>
          <t>Data Operations &amp; Digitization</t>
        </is>
      </c>
      <c r="I93" s="29" t="inlineStr">
        <is>
          <t>Document Conversion, Formatting &amp; Web Publishing</t>
        </is>
      </c>
      <c r="J93" s="29" t="inlineStr">
        <is>
          <t>IC</t>
        </is>
      </c>
      <c r="K93" s="29" t="inlineStr">
        <is>
          <t>RC-047</t>
        </is>
      </c>
      <c r="L93" s="29" t="inlineStr">
        <is>
          <t>Prajakta Mokal</t>
        </is>
      </c>
      <c r="M93" s="29" t="inlineStr">
        <is>
          <t>IRIS0117</t>
        </is>
      </c>
      <c r="N93" s="29" t="n">
        <v>7.9</v>
      </c>
      <c r="O93" s="29" t="n">
        <v>7.9</v>
      </c>
      <c r="P93" s="29" t="inlineStr">
        <is>
          <t>BA</t>
        </is>
      </c>
      <c r="Q93" s="29" t="inlineStr">
        <is>
          <t>L3 – Professional / Associate</t>
        </is>
      </c>
      <c r="R93" s="29" t="inlineStr">
        <is>
          <t>A3</t>
        </is>
      </c>
      <c r="S93" s="30" t="inlineStr">
        <is>
          <t>19 of 20</t>
        </is>
      </c>
      <c r="T93" s="31" t="inlineStr">
        <is>
          <t>• Role / sub-team: Digitizing Assisted services.</t>
        </is>
      </c>
      <c r="U93" s="31" t="inlineStr">
        <is>
          <t>Received · manager annual · 1. Complete assigned conversion/formatting tasks with &gt;=99% accuracy · zero critical errors
2. Meet 100% of client filing deadlines · no SLA breaches
3. Maintain average turnaround per assignment within agreed TAT
4. Should be able to do Quality check process.
5. Develop capabilites to work in more than 2 …</t>
        </is>
      </c>
      <c r="V93" s="31" t="inlineStr">
        <is>
          <t>Latest rating: 3 · Potential: Medium · 9-box: Core Contributor · Readiness: Develop in role</t>
        </is>
      </c>
      <c r="W93" s="31" t="inlineStr">
        <is>
          <t>C L · Au L · Ac L · L L · BI M · Exp H · 7.9 yrs vs 2–4 yrs · Edu M · BA</t>
        </is>
      </c>
      <c r="X93" s="33" t="inlineStr">
        <is>
          <t>Open ▸</t>
        </is>
      </c>
      <c r="Y93" s="34" t="str">
        <f>IFERROR(INDEX(DL_C,MATCH($CA93,DL_KEY,0)),"M")</f>
        <v>H</v>
      </c>
      <c r="Z93" s="35" t="str">
        <f>IFERROR(INDEX(DL_Au,MATCH($CA93,DL_KEY,0)),"M")</f>
        <v>M</v>
      </c>
      <c r="AA93" s="35" t="str">
        <f>IFERROR(INDEX(DL_Ac,MATCH($CA93,DL_KEY,0)),"M")</f>
        <v>M</v>
      </c>
      <c r="AB93" s="35" t="str">
        <f>IFERROR(INDEX(DL_L,MATCH($CA93,DL_KEY,0)),"M")</f>
        <v>L</v>
      </c>
      <c r="AC93" s="35" t="str">
        <f>IFERROR(INDEX(DL_BI,MATCH($CA93,DL_KEY,0)),"M")</f>
        <v>L</v>
      </c>
      <c r="AD93" s="35" t="str">
        <f>IFERROR(INDEX(DL_Exp,MATCH($CA93,DL_KEY,0)),"M")</f>
        <v>L</v>
      </c>
      <c r="AE93" s="35" t="str">
        <f>IFERROR(INDEX(DL_Edu,MATCH($CA93,DL_KEY,0)),"M")</f>
        <v>L</v>
      </c>
      <c r="AF93" s="34" t="inlineStr">
        <is>
          <t>M</t>
        </is>
      </c>
      <c r="AG93" s="35" t="inlineStr">
        <is>
          <t>M</t>
        </is>
      </c>
      <c r="AH93" s="35" t="inlineStr">
        <is>
          <t>M</t>
        </is>
      </c>
      <c r="AI93" s="35" t="inlineStr">
        <is>
          <t>M</t>
        </is>
      </c>
      <c r="AJ93" s="35" t="inlineStr">
        <is>
          <t>M</t>
        </is>
      </c>
      <c r="AK93" s="35" t="inlineStr">
        <is>
          <t>M</t>
        </is>
      </c>
      <c r="AL93" s="35" t="inlineStr">
        <is>
          <t>M</t>
        </is>
      </c>
      <c r="AM93" s="36" t="n">
        <v>0.583</v>
      </c>
      <c r="AN93" s="37" t="n">
        <v>0.16</v>
      </c>
      <c r="AO93" s="37" t="n">
        <v>0.09</v>
      </c>
      <c r="AP93" s="37" t="n">
        <v>0</v>
      </c>
      <c r="AQ93" s="37" t="n">
        <v>0.063</v>
      </c>
      <c r="AR93" s="37" t="n">
        <v>0.06</v>
      </c>
      <c r="AS93" s="37" t="n">
        <v>0.04</v>
      </c>
      <c r="AT93" s="38" t="inlineStr">
        <is>
          <t>2–5</t>
        </is>
      </c>
      <c r="AU93" s="38" t="inlineStr">
        <is>
          <t>Graduate; relevant certification preferred</t>
        </is>
      </c>
      <c r="AV93" s="38" t="inlineStr">
        <is>
          <t>None · guides 1–3 juniors informally</t>
        </is>
      </c>
      <c r="AW93" s="38" t="inlineStr">
        <is>
          <t>P2 · SFIA 3 Apply</t>
        </is>
      </c>
      <c r="AX9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93" s="39" t="inlineStr">
        <is>
          <t>A3</t>
        </is>
      </c>
      <c r="AZ93" s="40" t="inlineStr">
        <is>
          <t>Band A · Practitioner · Senior Associate</t>
        </is>
      </c>
      <c r="BA93" s="40" t="inlineStr">
        <is>
          <t>Model A3 from the six ratings, the market-derived weights and rules R1–R13 · then No change · already below the manager</t>
        </is>
      </c>
      <c r="BB93" s="41" t="inlineStr">
        <is>
          <t>A2</t>
        </is>
      </c>
      <c r="BC93" s="40" t="inlineStr">
        <is>
          <t>The six ratings on the market-average weights of Band A · all tracks score 2.33 → A2 · Hay, Mercer IPE and public plans · experience 7.9 yrs vs the A2 market range 0–3</t>
        </is>
      </c>
      <c r="BD93" s="42">
        <f>IF(SUM(BM93,BN93,BO93,BP93,BQ93,BR93,BS93)=0,0,(BM93*BT93+BN93*BU93+BO93*BV93+BP93*BW93+BQ93*BX93+BR93*BY93+BS93*BZ93)/SUM(BM93,BN93,BO93,BP93,BQ93,BR93,BS93))</f>
        <v>0</v>
      </c>
      <c r="BE93" s="41" t="str">
        <f>IF(LEFT(AY93,1)="X",AY93,IF(OR(AY93="B+",AY93="C+"),INDEX(LAD_PC,MAX(1,MIN(14,MATCH(AY93,LAD_PC,0)+IF(BD93&gt;=0.5,1,IF(BD93&lt;=-0.5,-1,0))))),INDEX(LAD_STD,MAX(1,MIN(12,MATCH(AY93,LAD_STD,0)+IF(BD93&gt;=0.5,1,IF(BD93&lt;=-0.5,-1,0)))))))</f>
        <v>A3</v>
      </c>
      <c r="BF93" s="43" t="n"/>
      <c r="BG93" s="41" t="str">
        <f>IF(BF93&lt;&gt;"",BF93,BE93)</f>
        <v>A3</v>
      </c>
      <c r="BH93" s="40" t="str">
        <f>IFERROR(CHOOSE(INDEX(B_RANK,MATCH(BG93,B_LVL,0)),"Band A","Band B","B+ · Player-Coach","Band C","C+ · Player-Coach","Band D","Band E"),"Band X · Consultant")</f>
        <v>Band A</v>
      </c>
      <c r="BI93" s="40" t="str">
        <f>IF(BG93=AY93,"• Same",IF(INDEX(B_VAL,MATCH(BG93,B_LVL,0))&gt;INDEX(B_VAL,MATCH(AY93,B_LVL,0)),"▲ Up","▼ Down"))</f>
        <v>• Same</v>
      </c>
      <c r="BJ93" s="40" t="str">
        <f>IF(OR($M93="",$M93="—",$M93="Not in this file"),"",IFERROR(INDEX($BG$7:$BG$592,MATCH($M93,$D$7:$D$592,0)),""))</f>
        <v>B1</v>
      </c>
      <c r="BK93" s="40" t="str">
        <f>IFERROR(IF(BJ93="","—",IF(OR(LEFT(BG93,1)="X",LEFT(BJ93,1)="X"),"—",IF(AND(LEFT(BG93,1)="E",LEFT(BJ93,1)="E"),"Exception · Band E",IF(AND(INDEX(B_VAL,MATCH(BJ93,B_LVL,0))&gt;=7,INDEX(B_RANK,MATCH(BG93,B_LVL,0))&gt;=INDEX(B_RANK,MATCH(BJ93,B_LVL,0))),"⚠ Same band as a head manager",IF(INDEX(B_VAL,MATCH(BG93,B_LVL,0))&gt;=INDEX(B_VAL,MATCH(BJ93,B_LVL,0)),"⚠ At or above the manager's level","OK"))))),"—")</f>
        <v>OK</v>
      </c>
      <c r="BL93" s="43" t="n"/>
      <c r="BM93" s="44">
        <f>IFERROR(INDEX(LMH_PTS,MATCH(Y93,LMH_KEY,0)),0)</f>
        <v>9</v>
      </c>
      <c r="BN93" s="38">
        <f>IFERROR(INDEX(LMH_PTS,MATCH(Z93,LMH_KEY,0)),0)</f>
        <v>3</v>
      </c>
      <c r="BO93" s="38">
        <f>IFERROR(INDEX(LMH_PTS,MATCH(AA93,LMH_KEY,0)),0)</f>
        <v>3</v>
      </c>
      <c r="BP93" s="38">
        <f>IFERROR(INDEX(LMH_PTS,MATCH(AB93,LMH_KEY,0)),0)</f>
        <v>1</v>
      </c>
      <c r="BQ93" s="38">
        <f>IFERROR(INDEX(LMH_PTS,MATCH(AC93,LMH_KEY,0)),0)</f>
        <v>1</v>
      </c>
      <c r="BR93" s="38">
        <f>IFERROR(INDEX(LMH_PTS,MATCH(AD93,LMH_KEY,0)),0)</f>
        <v>1</v>
      </c>
      <c r="BS93" s="38">
        <f>IFERROR(INDEX(LMH_PTS,MATCH(AE93,LMH_KEY,0)),0)</f>
        <v>1</v>
      </c>
      <c r="BT93" s="38">
        <f>IFERROR(INDEX(LMH_STEP,MATCH(AF93,LMH_KEY,0)),0)</f>
        <v>0</v>
      </c>
      <c r="BU93" s="38">
        <f>IFERROR(INDEX(LMH_STEP,MATCH(AG93,LMH_KEY,0)),0)</f>
        <v>0</v>
      </c>
      <c r="BV93" s="38">
        <f>IFERROR(INDEX(LMH_STEP,MATCH(AH93,LMH_KEY,0)),0)</f>
        <v>0</v>
      </c>
      <c r="BW93" s="38">
        <f>IFERROR(INDEX(LMH_STEP,MATCH(AI93,LMH_KEY,0)),0)</f>
        <v>0</v>
      </c>
      <c r="BX93" s="38">
        <f>IFERROR(INDEX(LMH_STEP,MATCH(AJ93,LMH_KEY,0)),0)</f>
        <v>0</v>
      </c>
      <c r="BY93" s="38">
        <f>IFERROR(INDEX(LMH_STEP,MATCH(AK93,LMH_KEY,0)),0)</f>
        <v>0</v>
      </c>
      <c r="BZ93" s="38">
        <f>IFERROR(INDEX(LMH_STEP,MATCH(AL93,LMH_KEY,0)),0)</f>
        <v>0</v>
      </c>
      <c r="CA93" s="38" t="inlineStr">
        <is>
          <t>CARBON|Digitizing|Senior Digitization Associate|A3|A</t>
        </is>
      </c>
    </row>
    <row r="94" ht="110" customHeight="1">
      <c r="A94" s="28" t="inlineStr">
        <is>
          <t>CARBON</t>
        </is>
      </c>
      <c r="B94" s="29" t="inlineStr">
        <is>
          <t>Digitizing</t>
        </is>
      </c>
      <c r="C94" s="29" t="n">
        <v>6</v>
      </c>
      <c r="D94" s="29" t="inlineStr">
        <is>
          <t>IRISC301</t>
        </is>
      </c>
      <c r="E94" s="29" t="inlineStr">
        <is>
          <t>Saurav Nirmal</t>
        </is>
      </c>
      <c r="F94" s="29" t="inlineStr">
        <is>
          <t>Consultant</t>
        </is>
      </c>
      <c r="G94" s="29" t="inlineStr">
        <is>
          <t>Senior Digitization Associate</t>
        </is>
      </c>
      <c r="H94" s="29" t="inlineStr">
        <is>
          <t>Data Operations &amp; Digitization</t>
        </is>
      </c>
      <c r="I94" s="29" t="inlineStr">
        <is>
          <t>Document Conversion, Formatting &amp; Web Publishing</t>
        </is>
      </c>
      <c r="J94" s="29" t="inlineStr">
        <is>
          <t>IC</t>
        </is>
      </c>
      <c r="K94" s="29" t="inlineStr">
        <is>
          <t>RC-047</t>
        </is>
      </c>
      <c r="L94" s="29" t="inlineStr">
        <is>
          <t>Vijay Parulekar</t>
        </is>
      </c>
      <c r="M94" s="29" t="inlineStr">
        <is>
          <t>IRIS0055</t>
        </is>
      </c>
      <c r="N94" s="29" t="n">
        <v>2.7</v>
      </c>
      <c r="O94" s="29" t="n">
        <v>1.7</v>
      </c>
      <c r="P94" s="29" t="inlineStr">
        <is>
          <t>B.Com</t>
        </is>
      </c>
      <c r="Q94" s="29" t="inlineStr">
        <is>
          <t>L3 – Professional / Associate</t>
        </is>
      </c>
      <c r="R94" s="29" t="inlineStr">
        <is>
          <t>A3</t>
        </is>
      </c>
      <c r="S94" s="30" t="inlineStr">
        <is>
          <t>20 of 20</t>
        </is>
      </c>
      <c r="T94" s="31" t="inlineStr">
        <is>
          <t>• Role / sub-team: Digitizing Assisted Services.</t>
        </is>
      </c>
      <c r="U94" s="31" t="inlineStr">
        <is>
          <t>Received · manager annual · 1. Complete assigned conversion/formatting tasks with &gt;=99% accuracy · zero critical errors
2. Meet 100% of client filing deadlines · no SLA breaches
3. Maintain average turnaround per assignment within agreed TAT
4. Should be able to do Quality check process.
5. Develop capabilites to work in more than 2 …</t>
        </is>
      </c>
      <c r="V94" s="31" t="inlineStr">
        <is>
          <t>Latest rating: 3 · Potential: Medium · 9-box: Core Contributor · Readiness: Develop in role</t>
        </is>
      </c>
      <c r="W94" s="31" t="inlineStr">
        <is>
          <t>C L · Au L · Ac L · L L · BI M · Exp M · 2.7 yrs vs 2–4 yrs · Edu M · B.Com</t>
        </is>
      </c>
      <c r="X94" s="33" t="inlineStr">
        <is>
          <t>Open ▸</t>
        </is>
      </c>
      <c r="Y94" s="34" t="str">
        <f>IFERROR(INDEX(DL_C,MATCH($CA94,DL_KEY,0)),"M")</f>
        <v>H</v>
      </c>
      <c r="Z94" s="35" t="str">
        <f>IFERROR(INDEX(DL_Au,MATCH($CA94,DL_KEY,0)),"M")</f>
        <v>M</v>
      </c>
      <c r="AA94" s="35" t="str">
        <f>IFERROR(INDEX(DL_Ac,MATCH($CA94,DL_KEY,0)),"M")</f>
        <v>M</v>
      </c>
      <c r="AB94" s="35" t="str">
        <f>IFERROR(INDEX(DL_L,MATCH($CA94,DL_KEY,0)),"M")</f>
        <v>L</v>
      </c>
      <c r="AC94" s="35" t="str">
        <f>IFERROR(INDEX(DL_BI,MATCH($CA94,DL_KEY,0)),"M")</f>
        <v>L</v>
      </c>
      <c r="AD94" s="35" t="str">
        <f>IFERROR(INDEX(DL_Exp,MATCH($CA94,DL_KEY,0)),"M")</f>
        <v>L</v>
      </c>
      <c r="AE94" s="35" t="str">
        <f>IFERROR(INDEX(DL_Edu,MATCH($CA94,DL_KEY,0)),"M")</f>
        <v>L</v>
      </c>
      <c r="AF94" s="34" t="inlineStr">
        <is>
          <t>M</t>
        </is>
      </c>
      <c r="AG94" s="35" t="inlineStr">
        <is>
          <t>M</t>
        </is>
      </c>
      <c r="AH94" s="35" t="inlineStr">
        <is>
          <t>M</t>
        </is>
      </c>
      <c r="AI94" s="35" t="inlineStr">
        <is>
          <t>M</t>
        </is>
      </c>
      <c r="AJ94" s="35" t="inlineStr">
        <is>
          <t>M</t>
        </is>
      </c>
      <c r="AK94" s="35" t="inlineStr">
        <is>
          <t>M</t>
        </is>
      </c>
      <c r="AL94" s="35" t="inlineStr">
        <is>
          <t>M</t>
        </is>
      </c>
      <c r="AM94" s="36" t="n">
        <v>0.583</v>
      </c>
      <c r="AN94" s="37" t="n">
        <v>0.16</v>
      </c>
      <c r="AO94" s="37" t="n">
        <v>0.09</v>
      </c>
      <c r="AP94" s="37" t="n">
        <v>0</v>
      </c>
      <c r="AQ94" s="37" t="n">
        <v>0.063</v>
      </c>
      <c r="AR94" s="37" t="n">
        <v>0.06</v>
      </c>
      <c r="AS94" s="37" t="n">
        <v>0.04</v>
      </c>
      <c r="AT94" s="38" t="inlineStr">
        <is>
          <t>2–5</t>
        </is>
      </c>
      <c r="AU94" s="38" t="inlineStr">
        <is>
          <t>Graduate; relevant certification preferred</t>
        </is>
      </c>
      <c r="AV94" s="38" t="inlineStr">
        <is>
          <t>None · guides 1–3 juniors informally</t>
        </is>
      </c>
      <c r="AW94" s="38" t="inlineStr">
        <is>
          <t>P2 · SFIA 3 Apply</t>
        </is>
      </c>
      <c r="AX9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94" s="39" t="inlineStr">
        <is>
          <t>A3</t>
        </is>
      </c>
      <c r="AZ94" s="40" t="inlineStr">
        <is>
          <t>Band A · Practitioner · Senior Associate</t>
        </is>
      </c>
      <c r="BA94" s="40" t="inlineStr">
        <is>
          <t>Model A3 from the six ratings, the market-derived weights and rules R1–R13 · then No change · already below the manager</t>
        </is>
      </c>
      <c r="BB94" s="41" t="inlineStr">
        <is>
          <t>A2</t>
        </is>
      </c>
      <c r="BC94" s="40" t="inlineStr">
        <is>
          <t>The six ratings on the market-average weights of Band A · all tracks score 2.13 → A2 · Hay, Mercer IPE and public plans · experience 2.7 yrs vs the A2 market range 0–3</t>
        </is>
      </c>
      <c r="BD94" s="42">
        <f>IF(SUM(BM94,BN94,BO94,BP94,BQ94,BR94,BS94)=0,0,(BM94*BT94+BN94*BU94+BO94*BV94+BP94*BW94+BQ94*BX94+BR94*BY94+BS94*BZ94)/SUM(BM94,BN94,BO94,BP94,BQ94,BR94,BS94))</f>
        <v>0</v>
      </c>
      <c r="BE94" s="41" t="str">
        <f>IF(LEFT(AY94,1)="X",AY94,IF(OR(AY94="B+",AY94="C+"),INDEX(LAD_PC,MAX(1,MIN(14,MATCH(AY94,LAD_PC,0)+IF(BD94&gt;=0.5,1,IF(BD94&lt;=-0.5,-1,0))))),INDEX(LAD_STD,MAX(1,MIN(12,MATCH(AY94,LAD_STD,0)+IF(BD94&gt;=0.5,1,IF(BD94&lt;=-0.5,-1,0)))))))</f>
        <v>A3</v>
      </c>
      <c r="BF94" s="43" t="n"/>
      <c r="BG94" s="41" t="str">
        <f>IF(BF94&lt;&gt;"",BF94,BE94)</f>
        <v>A3</v>
      </c>
      <c r="BH94" s="40" t="str">
        <f>IFERROR(CHOOSE(INDEX(B_RANK,MATCH(BG94,B_LVL,0)),"Band A","Band B","B+ · Player-Coach","Band C","C+ · Player-Coach","Band D","Band E"),"Band X · Consultant")</f>
        <v>Band A</v>
      </c>
      <c r="BI94" s="40" t="str">
        <f>IF(BG94=AY94,"• Same",IF(INDEX(B_VAL,MATCH(BG94,B_LVL,0))&gt;INDEX(B_VAL,MATCH(AY94,B_LVL,0)),"▲ Up","▼ Down"))</f>
        <v>• Same</v>
      </c>
      <c r="BJ94" s="40" t="str">
        <f>IF(OR($M94="",$M94="—",$M94="Not in this file"),"",IFERROR(INDEX($BG$7:$BG$592,MATCH($M94,$D$7:$D$592,0)),""))</f>
        <v>B2</v>
      </c>
      <c r="BK94" s="40" t="str">
        <f>IFERROR(IF(BJ94="","—",IF(OR(LEFT(BG94,1)="X",LEFT(BJ94,1)="X"),"—",IF(AND(LEFT(BG94,1)="E",LEFT(BJ94,1)="E"),"Exception · Band E",IF(AND(INDEX(B_VAL,MATCH(BJ94,B_LVL,0))&gt;=7,INDEX(B_RANK,MATCH(BG94,B_LVL,0))&gt;=INDEX(B_RANK,MATCH(BJ94,B_LVL,0))),"⚠ Same band as a head manager",IF(INDEX(B_VAL,MATCH(BG94,B_LVL,0))&gt;=INDEX(B_VAL,MATCH(BJ94,B_LVL,0)),"⚠ At or above the manager's level","OK"))))),"—")</f>
        <v>OK</v>
      </c>
      <c r="BL94" s="43" t="n"/>
      <c r="BM94" s="44">
        <f>IFERROR(INDEX(LMH_PTS,MATCH(Y94,LMH_KEY,0)),0)</f>
        <v>9</v>
      </c>
      <c r="BN94" s="38">
        <f>IFERROR(INDEX(LMH_PTS,MATCH(Z94,LMH_KEY,0)),0)</f>
        <v>3</v>
      </c>
      <c r="BO94" s="38">
        <f>IFERROR(INDEX(LMH_PTS,MATCH(AA94,LMH_KEY,0)),0)</f>
        <v>3</v>
      </c>
      <c r="BP94" s="38">
        <f>IFERROR(INDEX(LMH_PTS,MATCH(AB94,LMH_KEY,0)),0)</f>
        <v>1</v>
      </c>
      <c r="BQ94" s="38">
        <f>IFERROR(INDEX(LMH_PTS,MATCH(AC94,LMH_KEY,0)),0)</f>
        <v>1</v>
      </c>
      <c r="BR94" s="38">
        <f>IFERROR(INDEX(LMH_PTS,MATCH(AD94,LMH_KEY,0)),0)</f>
        <v>1</v>
      </c>
      <c r="BS94" s="38">
        <f>IFERROR(INDEX(LMH_PTS,MATCH(AE94,LMH_KEY,0)),0)</f>
        <v>1</v>
      </c>
      <c r="BT94" s="38">
        <f>IFERROR(INDEX(LMH_STEP,MATCH(AF94,LMH_KEY,0)),0)</f>
        <v>0</v>
      </c>
      <c r="BU94" s="38">
        <f>IFERROR(INDEX(LMH_STEP,MATCH(AG94,LMH_KEY,0)),0)</f>
        <v>0</v>
      </c>
      <c r="BV94" s="38">
        <f>IFERROR(INDEX(LMH_STEP,MATCH(AH94,LMH_KEY,0)),0)</f>
        <v>0</v>
      </c>
      <c r="BW94" s="38">
        <f>IFERROR(INDEX(LMH_STEP,MATCH(AI94,LMH_KEY,0)),0)</f>
        <v>0</v>
      </c>
      <c r="BX94" s="38">
        <f>IFERROR(INDEX(LMH_STEP,MATCH(AJ94,LMH_KEY,0)),0)</f>
        <v>0</v>
      </c>
      <c r="BY94" s="38">
        <f>IFERROR(INDEX(LMH_STEP,MATCH(AK94,LMH_KEY,0)),0)</f>
        <v>0</v>
      </c>
      <c r="BZ94" s="38">
        <f>IFERROR(INDEX(LMH_STEP,MATCH(AL94,LMH_KEY,0)),0)</f>
        <v>0</v>
      </c>
      <c r="CA94" s="38" t="inlineStr">
        <is>
          <t>CARBON|Digitizing|Senior Digitization Associate|A3|A</t>
        </is>
      </c>
    </row>
    <row r="95" ht="110" customHeight="1">
      <c r="A95" s="28" t="inlineStr">
        <is>
          <t>CARBON</t>
        </is>
      </c>
      <c r="B95" s="29" t="inlineStr">
        <is>
          <t>Services</t>
        </is>
      </c>
      <c r="C95" s="29" t="n">
        <v>5</v>
      </c>
      <c r="D95" s="29" t="inlineStr">
        <is>
          <t>IRIS0393</t>
        </is>
      </c>
      <c r="E95" s="29" t="inlineStr">
        <is>
          <t>Mayur Zope</t>
        </is>
      </c>
      <c r="F95" s="29" t="inlineStr">
        <is>
          <t>Lead Financial Analyst</t>
        </is>
      </c>
      <c r="G95" s="29" t="inlineStr">
        <is>
          <t>Senior Manager – Assisted Services</t>
        </is>
      </c>
      <c r="H95" s="29" t="inlineStr">
        <is>
          <t>Consulting &amp; Professional Services</t>
        </is>
      </c>
      <c r="I95" s="29" t="inlineStr">
        <is>
          <t>XBRL Tagging, Conversion &amp; Filing</t>
        </is>
      </c>
      <c r="J95" s="29" t="inlineStr">
        <is>
          <t>People Manager</t>
        </is>
      </c>
      <c r="K95" s="29" t="inlineStr">
        <is>
          <t>RC-028</t>
        </is>
      </c>
      <c r="L95" s="29" t="inlineStr">
        <is>
          <t>K Ashok Kumar</t>
        </is>
      </c>
      <c r="M95" s="29" t="inlineStr">
        <is>
          <t>IRIS0018</t>
        </is>
      </c>
      <c r="N95" s="29" t="n">
        <v>19.4</v>
      </c>
      <c r="O95" s="29" t="n">
        <v>16.4</v>
      </c>
      <c r="P95" s="29" t="inlineStr">
        <is>
          <t>CA</t>
        </is>
      </c>
      <c r="Q95" s="29" t="inlineStr">
        <is>
          <t>L5 – Lead · IC</t>
        </is>
      </c>
      <c r="R95" s="29" t="inlineStr">
        <is>
          <t>B2</t>
        </is>
      </c>
      <c r="S95" s="30" t="inlineStr">
        <is>
          <t>20 of 20</t>
        </is>
      </c>
      <c r="T95" s="31" t="inlineStr">
        <is>
          <t>• Role / sub-team: XBRL conversion team handling.</t>
        </is>
      </c>
      <c r="U95" s="31" t="inlineStr">
        <is>
          <t>Received · manager annual · 1.  Ensure files processed by team  with &gt;=99% accuracy · zero critical errors.
2. Meet 100% of regulatory / client filing deadlines · no SLA breaches
3. Reduce average filing turnaround time by 10-20% by this year.
4. Identify and develop future team leads.
5. Deliver zero escalations from key clients.
6. Launch …</t>
        </is>
      </c>
      <c r="V95" s="31" t="inlineStr">
        <is>
          <t>Latest rating: 4 · Potential: High · 9-box: Core Contributor · Readiness: Ready now</t>
        </is>
      </c>
      <c r="W95" s="31" t="inlineStr">
        <is>
          <t>C L · Au M · Ac M · L M · BI M · Exp H · 19.4 yrs vs 6–9 yrs · Edu H · CA</t>
        </is>
      </c>
      <c r="X95" s="33" t="inlineStr">
        <is>
          <t>Open ▸</t>
        </is>
      </c>
      <c r="Y95" s="34" t="str">
        <f>IFERROR(INDEX(DL_C,MATCH($CA95,DL_KEY,0)),"M")</f>
        <v>H</v>
      </c>
      <c r="Z95" s="35" t="str">
        <f>IFERROR(INDEX(DL_Au,MATCH($CA95,DL_KEY,0)),"M")</f>
        <v>M</v>
      </c>
      <c r="AA95" s="35" t="str">
        <f>IFERROR(INDEX(DL_Ac,MATCH($CA95,DL_KEY,0)),"M")</f>
        <v>M</v>
      </c>
      <c r="AB95" s="35" t="str">
        <f>IFERROR(INDEX(DL_L,MATCH($CA95,DL_KEY,0)),"M")</f>
        <v>M</v>
      </c>
      <c r="AC95" s="35" t="str">
        <f>IFERROR(INDEX(DL_BI,MATCH($CA95,DL_KEY,0)),"M")</f>
        <v>L</v>
      </c>
      <c r="AD95" s="35" t="str">
        <f>IFERROR(INDEX(DL_Exp,MATCH($CA95,DL_KEY,0)),"M")</f>
        <v>L</v>
      </c>
      <c r="AE95" s="35" t="str">
        <f>IFERROR(INDEX(DL_Edu,MATCH($CA95,DL_KEY,0)),"M")</f>
        <v>L</v>
      </c>
      <c r="AF95" s="34" t="inlineStr">
        <is>
          <t>M</t>
        </is>
      </c>
      <c r="AG95" s="35" t="inlineStr">
        <is>
          <t>M</t>
        </is>
      </c>
      <c r="AH95" s="35" t="inlineStr">
        <is>
          <t>M</t>
        </is>
      </c>
      <c r="AI95" s="35" t="inlineStr">
        <is>
          <t>M</t>
        </is>
      </c>
      <c r="AJ95" s="35" t="inlineStr">
        <is>
          <t>M</t>
        </is>
      </c>
      <c r="AK95" s="35" t="inlineStr">
        <is>
          <t>M</t>
        </is>
      </c>
      <c r="AL95" s="35" t="inlineStr">
        <is>
          <t>M</t>
        </is>
      </c>
      <c r="AM95" s="36" t="n">
        <v>0.37</v>
      </c>
      <c r="AN95" s="37" t="n">
        <v>0.183</v>
      </c>
      <c r="AO95" s="37" t="n">
        <v>0.113</v>
      </c>
      <c r="AP95" s="37" t="n">
        <v>0.15</v>
      </c>
      <c r="AQ95" s="37" t="n">
        <v>0.08699999999999999</v>
      </c>
      <c r="AR95" s="37" t="n">
        <v>0.06</v>
      </c>
      <c r="AS95" s="37" t="n">
        <v>0.04</v>
      </c>
      <c r="AT95" s="38" t="inlineStr">
        <is>
          <t>6–10</t>
        </is>
      </c>
      <c r="AU95" s="38" t="inlineStr">
        <is>
          <t>Graduate or postgraduate; professional qualification preferred</t>
        </is>
      </c>
      <c r="AV95" s="38" t="inlineStr">
        <is>
          <t>IC: none · People: 6–8 knowledge work, 8–12 standardised delivery</t>
        </is>
      </c>
      <c r="AW95" s="38" t="inlineStr">
        <is>
          <t>P4 / M3 · SFIA 4–5</t>
        </is>
      </c>
      <c r="AX9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95" s="39" t="inlineStr">
        <is>
          <t>B2</t>
        </is>
      </c>
      <c r="AZ95" s="40" t="inlineStr">
        <is>
          <t>Band B · Specialist / Manager · Manager</t>
        </is>
      </c>
      <c r="BA95" s="40" t="inlineStr">
        <is>
          <t>Model B2 from the six ratings, the market-derived weights and rules R1–R13 · then No change · already below the manager</t>
        </is>
      </c>
      <c r="BB95" s="41" t="inlineStr">
        <is>
          <t>B2</t>
        </is>
      </c>
      <c r="BC95" s="40" t="inlineStr">
        <is>
          <t>The six ratings on the market-average weights of Band B · People Manager score 5.22 → B2 · Hay, Mercer IPE and public plans · experience 19.4 yrs vs the B2 market range 6–10</t>
        </is>
      </c>
      <c r="BD95" s="42">
        <f>IF(SUM(BM95,BN95,BO95,BP95,BQ95,BR95,BS95)=0,0,(BM95*BT95+BN95*BU95+BO95*BV95+BP95*BW95+BQ95*BX95+BR95*BY95+BS95*BZ95)/SUM(BM95,BN95,BO95,BP95,BQ95,BR95,BS95))</f>
        <v>0</v>
      </c>
      <c r="BE95" s="41" t="str">
        <f>IF(LEFT(AY95,1)="X",AY95,IF(OR(AY95="B+",AY95="C+"),INDEX(LAD_PC,MAX(1,MIN(14,MATCH(AY95,LAD_PC,0)+IF(BD95&gt;=0.5,1,IF(BD95&lt;=-0.5,-1,0))))),INDEX(LAD_STD,MAX(1,MIN(12,MATCH(AY95,LAD_STD,0)+IF(BD95&gt;=0.5,1,IF(BD95&lt;=-0.5,-1,0)))))))</f>
        <v>B2</v>
      </c>
      <c r="BF95" s="43" t="n"/>
      <c r="BG95" s="41" t="str">
        <f>IF(BF95&lt;&gt;"",BF95,BE95)</f>
        <v>B2</v>
      </c>
      <c r="BH95" s="40" t="str">
        <f>IFERROR(CHOOSE(INDEX(B_RANK,MATCH(BG95,B_LVL,0)),"Band A","Band B","B+ · Player-Coach","Band C","C+ · Player-Coach","Band D","Band E"),"Band X · Consultant")</f>
        <v>Band B</v>
      </c>
      <c r="BI95" s="40" t="str">
        <f>IF(BG95=AY95,"• Same",IF(INDEX(B_VAL,MATCH(BG95,B_LVL,0))&gt;INDEX(B_VAL,MATCH(AY95,B_LVL,0)),"▲ Up","▼ Down"))</f>
        <v>• Same</v>
      </c>
      <c r="BJ95" s="40" t="str">
        <f>IF(OR($M95="",$M95="—",$M95="Not in this file"),"",IFERROR(INDEX($BG$7:$BG$592,MATCH($M95,$D$7:$D$592,0)),""))</f>
        <v>B3</v>
      </c>
      <c r="BK95" s="40" t="str">
        <f>IFERROR(IF(BJ95="","—",IF(OR(LEFT(BG95,1)="X",LEFT(BJ95,1)="X"),"—",IF(AND(LEFT(BG95,1)="E",LEFT(BJ95,1)="E"),"Exception · Band E",IF(AND(INDEX(B_VAL,MATCH(BJ95,B_LVL,0))&gt;=7,INDEX(B_RANK,MATCH(BG95,B_LVL,0))&gt;=INDEX(B_RANK,MATCH(BJ95,B_LVL,0))),"⚠ Same band as a head manager",IF(INDEX(B_VAL,MATCH(BG95,B_LVL,0))&gt;=INDEX(B_VAL,MATCH(BJ95,B_LVL,0)),"⚠ At or above the manager's level","OK"))))),"—")</f>
        <v>OK</v>
      </c>
      <c r="BL95" s="43" t="n"/>
      <c r="BM95" s="44">
        <f>IFERROR(INDEX(LMH_PTS,MATCH(Y95,LMH_KEY,0)),0)</f>
        <v>9</v>
      </c>
      <c r="BN95" s="38">
        <f>IFERROR(INDEX(LMH_PTS,MATCH(Z95,LMH_KEY,0)),0)</f>
        <v>3</v>
      </c>
      <c r="BO95" s="38">
        <f>IFERROR(INDEX(LMH_PTS,MATCH(AA95,LMH_KEY,0)),0)</f>
        <v>3</v>
      </c>
      <c r="BP95" s="38">
        <f>IFERROR(INDEX(LMH_PTS,MATCH(AB95,LMH_KEY,0)),0)</f>
        <v>3</v>
      </c>
      <c r="BQ95" s="38">
        <f>IFERROR(INDEX(LMH_PTS,MATCH(AC95,LMH_KEY,0)),0)</f>
        <v>1</v>
      </c>
      <c r="BR95" s="38">
        <f>IFERROR(INDEX(LMH_PTS,MATCH(AD95,LMH_KEY,0)),0)</f>
        <v>1</v>
      </c>
      <c r="BS95" s="38">
        <f>IFERROR(INDEX(LMH_PTS,MATCH(AE95,LMH_KEY,0)),0)</f>
        <v>1</v>
      </c>
      <c r="BT95" s="38">
        <f>IFERROR(INDEX(LMH_STEP,MATCH(AF95,LMH_KEY,0)),0)</f>
        <v>0</v>
      </c>
      <c r="BU95" s="38">
        <f>IFERROR(INDEX(LMH_STEP,MATCH(AG95,LMH_KEY,0)),0)</f>
        <v>0</v>
      </c>
      <c r="BV95" s="38">
        <f>IFERROR(INDEX(LMH_STEP,MATCH(AH95,LMH_KEY,0)),0)</f>
        <v>0</v>
      </c>
      <c r="BW95" s="38">
        <f>IFERROR(INDEX(LMH_STEP,MATCH(AI95,LMH_KEY,0)),0)</f>
        <v>0</v>
      </c>
      <c r="BX95" s="38">
        <f>IFERROR(INDEX(LMH_STEP,MATCH(AJ95,LMH_KEY,0)),0)</f>
        <v>0</v>
      </c>
      <c r="BY95" s="38">
        <f>IFERROR(INDEX(LMH_STEP,MATCH(AK95,LMH_KEY,0)),0)</f>
        <v>0</v>
      </c>
      <c r="BZ95" s="38">
        <f>IFERROR(INDEX(LMH_STEP,MATCH(AL95,LMH_KEY,0)),0)</f>
        <v>0</v>
      </c>
      <c r="CA95" s="38" t="inlineStr">
        <is>
          <t>CARBON|Services|Senior Manager – Assisted Services|B2|B-M</t>
        </is>
      </c>
    </row>
    <row r="96" ht="110" customHeight="1">
      <c r="A96" s="28" t="inlineStr">
        <is>
          <t>CARBON</t>
        </is>
      </c>
      <c r="B96" s="29" t="inlineStr">
        <is>
          <t>Services</t>
        </is>
      </c>
      <c r="C96" s="29" t="n">
        <v>6</v>
      </c>
      <c r="D96" s="29" t="inlineStr">
        <is>
          <t>IRIS2071</t>
        </is>
      </c>
      <c r="E96" s="29" t="inlineStr">
        <is>
          <t>Priyanka Mehra</t>
        </is>
      </c>
      <c r="F96" s="29" t="inlineStr">
        <is>
          <t>Project Manager Officer</t>
        </is>
      </c>
      <c r="G96" s="29" t="inlineStr">
        <is>
          <t>PMO Manager</t>
        </is>
      </c>
      <c r="H96" s="29" t="inlineStr">
        <is>
          <t>Project &amp; Program Management</t>
        </is>
      </c>
      <c r="I96" s="29" t="inlineStr">
        <is>
          <t>PMO &amp; Delivery Excellence</t>
        </is>
      </c>
      <c r="J96" s="29" t="inlineStr">
        <is>
          <t>People Manager</t>
        </is>
      </c>
      <c r="K96" s="29" t="inlineStr">
        <is>
          <t>RC-132</t>
        </is>
      </c>
      <c r="L96" s="29" t="inlineStr">
        <is>
          <t>Mayur Zope</t>
        </is>
      </c>
      <c r="M96" s="29" t="inlineStr">
        <is>
          <t>IRIS0393</t>
        </is>
      </c>
      <c r="N96" s="29" t="n">
        <v>17</v>
      </c>
      <c r="O96" s="29" t="n">
        <v>3.9</v>
      </c>
      <c r="P96" s="29" t="inlineStr">
        <is>
          <t>B.Com</t>
        </is>
      </c>
      <c r="Q96" s="29" t="inlineStr">
        <is>
          <t>L5 – Manager</t>
        </is>
      </c>
      <c r="R96" s="29" t="inlineStr">
        <is>
          <t>B2</t>
        </is>
      </c>
      <c r="S96" s="30" t="inlineStr">
        <is>
          <t>20 of 20</t>
        </is>
      </c>
      <c r="T96" s="31" t="inlineStr">
        <is>
          <t>• Role / sub-team: PMO.</t>
        </is>
      </c>
      <c r="U96" s="31" t="inlineStr">
        <is>
          <t>Received · manager annual · 1.  Ensure files processed by team  with &gt;=99% accuracy · zero critical errors.
2. Meet 100% of regulatory / client filing deadlines · no SLA breaches
3. Maintain average turnaround per assignment within agreed TAT
4. Ensure 0% regulatory rejections across all submitted filings · Excluding issues not highlighted by …</t>
        </is>
      </c>
      <c r="V96" s="31" t="inlineStr">
        <is>
          <t>Latest rating: 4 · Potential: High · 9-box: Core Contributor · Readiness: Ready now</t>
        </is>
      </c>
      <c r="W96" s="31" t="inlineStr">
        <is>
          <t>C M · Au M · Ac M · L M · BI H · Exp H · 17 yrs vs 4–7 yrs · Edu M · B.Com</t>
        </is>
      </c>
      <c r="X96" s="33" t="inlineStr">
        <is>
          <t>Open ▸</t>
        </is>
      </c>
      <c r="Y96" s="34" t="str">
        <f>IFERROR(INDEX(DL_C,MATCH($CA96,DL_KEY,0)),"M")</f>
        <v>H</v>
      </c>
      <c r="Z96" s="35" t="str">
        <f>IFERROR(INDEX(DL_Au,MATCH($CA96,DL_KEY,0)),"M")</f>
        <v>M</v>
      </c>
      <c r="AA96" s="35" t="str">
        <f>IFERROR(INDEX(DL_Ac,MATCH($CA96,DL_KEY,0)),"M")</f>
        <v>L</v>
      </c>
      <c r="AB96" s="35" t="str">
        <f>IFERROR(INDEX(DL_L,MATCH($CA96,DL_KEY,0)),"M")</f>
        <v>M</v>
      </c>
      <c r="AC96" s="35" t="str">
        <f>IFERROR(INDEX(DL_BI,MATCH($CA96,DL_KEY,0)),"M")</f>
        <v>L</v>
      </c>
      <c r="AD96" s="35" t="str">
        <f>IFERROR(INDEX(DL_Exp,MATCH($CA96,DL_KEY,0)),"M")</f>
        <v>L</v>
      </c>
      <c r="AE96" s="35" t="str">
        <f>IFERROR(INDEX(DL_Edu,MATCH($CA96,DL_KEY,0)),"M")</f>
        <v>L</v>
      </c>
      <c r="AF96" s="34" t="inlineStr">
        <is>
          <t>M</t>
        </is>
      </c>
      <c r="AG96" s="35" t="inlineStr">
        <is>
          <t>M</t>
        </is>
      </c>
      <c r="AH96" s="35" t="inlineStr">
        <is>
          <t>M</t>
        </is>
      </c>
      <c r="AI96" s="35" t="inlineStr">
        <is>
          <t>M</t>
        </is>
      </c>
      <c r="AJ96" s="35" t="inlineStr">
        <is>
          <t>M</t>
        </is>
      </c>
      <c r="AK96" s="35" t="inlineStr">
        <is>
          <t>M</t>
        </is>
      </c>
      <c r="AL96" s="35" t="inlineStr">
        <is>
          <t>M</t>
        </is>
      </c>
      <c r="AM96" s="36" t="n">
        <v>0.37</v>
      </c>
      <c r="AN96" s="37" t="n">
        <v>0.183</v>
      </c>
      <c r="AO96" s="37" t="n">
        <v>0.113</v>
      </c>
      <c r="AP96" s="37" t="n">
        <v>0.15</v>
      </c>
      <c r="AQ96" s="37" t="n">
        <v>0.08699999999999999</v>
      </c>
      <c r="AR96" s="37" t="n">
        <v>0.06</v>
      </c>
      <c r="AS96" s="37" t="n">
        <v>0.04</v>
      </c>
      <c r="AT96" s="38" t="inlineStr">
        <is>
          <t>4–8</t>
        </is>
      </c>
      <c r="AU96" s="38" t="inlineStr">
        <is>
          <t>Graduate + relevant qualification or certification preferred</t>
        </is>
      </c>
      <c r="AV96" s="38" t="inlineStr">
        <is>
          <t>IC: none · Team Lead: 3–5</t>
        </is>
      </c>
      <c r="AW96" s="38" t="inlineStr">
        <is>
          <t>P3 / M2 · SFIA 4 Enable</t>
        </is>
      </c>
      <c r="AX9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96" s="39" t="inlineStr">
        <is>
          <t>B1</t>
        </is>
      </c>
      <c r="AZ96" s="40" t="inlineStr">
        <is>
          <t>Band B · Specialist / Manager · Team Lead / Asst Manager</t>
        </is>
      </c>
      <c r="BA96" s="40" t="inlineStr">
        <is>
          <t>Model B2 from the six ratings, the market-derived weights and rules R1–R13 · then Level rule: manager B2; a reportee sits at least one level below · B2 → B1 · move down · pay and title protected for one cycle</t>
        </is>
      </c>
      <c r="BB96" s="41" t="inlineStr">
        <is>
          <t>B2</t>
        </is>
      </c>
      <c r="BC96" s="40" t="inlineStr">
        <is>
          <t>The six ratings on the market-average weights of Band B · People Manager score 4.99 → B2 · Hay, Mercer IPE and public plans · experience 17 yrs vs the B2 market range 6–10</t>
        </is>
      </c>
      <c r="BD96" s="42">
        <f>IF(SUM(BM96,BN96,BO96,BP96,BQ96,BR96,BS96)=0,0,(BM96*BT96+BN96*BU96+BO96*BV96+BP96*BW96+BQ96*BX96+BR96*BY96+BS96*BZ96)/SUM(BM96,BN96,BO96,BP96,BQ96,BR96,BS96))</f>
        <v>0</v>
      </c>
      <c r="BE96" s="41" t="str">
        <f>IF(LEFT(AY96,1)="X",AY96,IF(OR(AY96="B+",AY96="C+"),INDEX(LAD_PC,MAX(1,MIN(14,MATCH(AY96,LAD_PC,0)+IF(BD96&gt;=0.5,1,IF(BD96&lt;=-0.5,-1,0))))),INDEX(LAD_STD,MAX(1,MIN(12,MATCH(AY96,LAD_STD,0)+IF(BD96&gt;=0.5,1,IF(BD96&lt;=-0.5,-1,0)))))))</f>
        <v>B1</v>
      </c>
      <c r="BF96" s="43" t="n"/>
      <c r="BG96" s="41" t="str">
        <f>IF(BF96&lt;&gt;"",BF96,BE96)</f>
        <v>B1</v>
      </c>
      <c r="BH96" s="40" t="str">
        <f>IFERROR(CHOOSE(INDEX(B_RANK,MATCH(BG96,B_LVL,0)),"Band A","Band B","B+ · Player-Coach","Band C","C+ · Player-Coach","Band D","Band E"),"Band X · Consultant")</f>
        <v>Band B</v>
      </c>
      <c r="BI96" s="40" t="str">
        <f>IF(BG96=AY96,"• Same",IF(INDEX(B_VAL,MATCH(BG96,B_LVL,0))&gt;INDEX(B_VAL,MATCH(AY96,B_LVL,0)),"▲ Up","▼ Down"))</f>
        <v>• Same</v>
      </c>
      <c r="BJ96" s="40" t="str">
        <f>IF(OR($M96="",$M96="—",$M96="Not in this file"),"",IFERROR(INDEX($BG$7:$BG$592,MATCH($M96,$D$7:$D$592,0)),""))</f>
        <v>B2</v>
      </c>
      <c r="BK96" s="40" t="str">
        <f>IFERROR(IF(BJ96="","—",IF(OR(LEFT(BG96,1)="X",LEFT(BJ96,1)="X"),"—",IF(AND(LEFT(BG96,1)="E",LEFT(BJ96,1)="E"),"Exception · Band E",IF(AND(INDEX(B_VAL,MATCH(BJ96,B_LVL,0))&gt;=7,INDEX(B_RANK,MATCH(BG96,B_LVL,0))&gt;=INDEX(B_RANK,MATCH(BJ96,B_LVL,0))),"⚠ Same band as a head manager",IF(INDEX(B_VAL,MATCH(BG96,B_LVL,0))&gt;=INDEX(B_VAL,MATCH(BJ96,B_LVL,0)),"⚠ At or above the manager's level","OK"))))),"—")</f>
        <v>OK</v>
      </c>
      <c r="BL96" s="43" t="n"/>
      <c r="BM96" s="44">
        <f>IFERROR(INDEX(LMH_PTS,MATCH(Y96,LMH_KEY,0)),0)</f>
        <v>9</v>
      </c>
      <c r="BN96" s="38">
        <f>IFERROR(INDEX(LMH_PTS,MATCH(Z96,LMH_KEY,0)),0)</f>
        <v>3</v>
      </c>
      <c r="BO96" s="38">
        <f>IFERROR(INDEX(LMH_PTS,MATCH(AA96,LMH_KEY,0)),0)</f>
        <v>1</v>
      </c>
      <c r="BP96" s="38">
        <f>IFERROR(INDEX(LMH_PTS,MATCH(AB96,LMH_KEY,0)),0)</f>
        <v>3</v>
      </c>
      <c r="BQ96" s="38">
        <f>IFERROR(INDEX(LMH_PTS,MATCH(AC96,LMH_KEY,0)),0)</f>
        <v>1</v>
      </c>
      <c r="BR96" s="38">
        <f>IFERROR(INDEX(LMH_PTS,MATCH(AD96,LMH_KEY,0)),0)</f>
        <v>1</v>
      </c>
      <c r="BS96" s="38">
        <f>IFERROR(INDEX(LMH_PTS,MATCH(AE96,LMH_KEY,0)),0)</f>
        <v>1</v>
      </c>
      <c r="BT96" s="38">
        <f>IFERROR(INDEX(LMH_STEP,MATCH(AF96,LMH_KEY,0)),0)</f>
        <v>0</v>
      </c>
      <c r="BU96" s="38">
        <f>IFERROR(INDEX(LMH_STEP,MATCH(AG96,LMH_KEY,0)),0)</f>
        <v>0</v>
      </c>
      <c r="BV96" s="38">
        <f>IFERROR(INDEX(LMH_STEP,MATCH(AH96,LMH_KEY,0)),0)</f>
        <v>0</v>
      </c>
      <c r="BW96" s="38">
        <f>IFERROR(INDEX(LMH_STEP,MATCH(AI96,LMH_KEY,0)),0)</f>
        <v>0</v>
      </c>
      <c r="BX96" s="38">
        <f>IFERROR(INDEX(LMH_STEP,MATCH(AJ96,LMH_KEY,0)),0)</f>
        <v>0</v>
      </c>
      <c r="BY96" s="38">
        <f>IFERROR(INDEX(LMH_STEP,MATCH(AK96,LMH_KEY,0)),0)</f>
        <v>0</v>
      </c>
      <c r="BZ96" s="38">
        <f>IFERROR(INDEX(LMH_STEP,MATCH(AL96,LMH_KEY,0)),0)</f>
        <v>0</v>
      </c>
      <c r="CA96" s="38" t="inlineStr">
        <is>
          <t>CARBON|Services|PMO Manager|B1|B-M</t>
        </is>
      </c>
    </row>
    <row r="97" ht="110" customHeight="1">
      <c r="A97" s="28" t="inlineStr">
        <is>
          <t>CARBON</t>
        </is>
      </c>
      <c r="B97" s="29" t="inlineStr">
        <is>
          <t>Services</t>
        </is>
      </c>
      <c r="C97" s="29" t="n">
        <v>7</v>
      </c>
      <c r="D97" s="29" t="inlineStr">
        <is>
          <t>IRIS0143</t>
        </is>
      </c>
      <c r="E97" s="29" t="inlineStr">
        <is>
          <t>Ajinkya Dhumal</t>
        </is>
      </c>
      <c r="F97" s="29" t="inlineStr">
        <is>
          <t>Senior Financial Analyst</t>
        </is>
      </c>
      <c r="G97" s="29" t="inlineStr">
        <is>
          <t>Senior Financial Analyst</t>
        </is>
      </c>
      <c r="H97" s="29" t="inlineStr">
        <is>
          <t>Consulting &amp; Professional Services</t>
        </is>
      </c>
      <c r="I97" s="29" t="inlineStr">
        <is>
          <t>XBRL Tagging, Conversion &amp; Filing</t>
        </is>
      </c>
      <c r="J97" s="29" t="inlineStr">
        <is>
          <t>IC</t>
        </is>
      </c>
      <c r="K97" s="29" t="inlineStr">
        <is>
          <t>RC-025</t>
        </is>
      </c>
      <c r="L97" s="29" t="inlineStr">
        <is>
          <t>Priyanka Mehra</t>
        </is>
      </c>
      <c r="M97" s="29" t="inlineStr">
        <is>
          <t>IRIS2071</t>
        </is>
      </c>
      <c r="N97" s="29" t="n">
        <v>18.8</v>
      </c>
      <c r="O97" s="29" t="n">
        <v>18.8</v>
      </c>
      <c r="P97" s="29" t="inlineStr">
        <is>
          <t>B.Com</t>
        </is>
      </c>
      <c r="Q97" s="29" t="inlineStr">
        <is>
          <t>L4 – Senior</t>
        </is>
      </c>
      <c r="R97" s="29" t="inlineStr">
        <is>
          <t>A3</t>
        </is>
      </c>
      <c r="S97" s="30" t="inlineStr">
        <is>
          <t>20 of 20</t>
        </is>
      </c>
      <c r="T97" s="31" t="inlineStr">
        <is>
          <t>• Role / sub-team: Cipc · carbon service department.</t>
        </is>
      </c>
      <c r="U97"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97" s="31" t="inlineStr">
        <is>
          <t>Latest rating: 4 · Potential: High · 9-box: Core Contributor · Readiness: Ready now</t>
        </is>
      </c>
      <c r="W97" s="31" t="inlineStr">
        <is>
          <t>C M · Au M · Ac M · L L · BI M · Exp H · 18.8 yrs vs 2–4 yrs · Edu M · B.Com</t>
        </is>
      </c>
      <c r="X97" s="33" t="inlineStr">
        <is>
          <t>Open ▸</t>
        </is>
      </c>
      <c r="Y97" s="34" t="str">
        <f>IFERROR(INDEX(DL_C,MATCH($CA97,DL_KEY,0)),"M")</f>
        <v>H</v>
      </c>
      <c r="Z97" s="35" t="str">
        <f>IFERROR(INDEX(DL_Au,MATCH($CA97,DL_KEY,0)),"M")</f>
        <v>M</v>
      </c>
      <c r="AA97" s="35" t="str">
        <f>IFERROR(INDEX(DL_Ac,MATCH($CA97,DL_KEY,0)),"M")</f>
        <v>M</v>
      </c>
      <c r="AB97" s="35" t="str">
        <f>IFERROR(INDEX(DL_L,MATCH($CA97,DL_KEY,0)),"M")</f>
        <v>L</v>
      </c>
      <c r="AC97" s="35" t="str">
        <f>IFERROR(INDEX(DL_BI,MATCH($CA97,DL_KEY,0)),"M")</f>
        <v>L</v>
      </c>
      <c r="AD97" s="35" t="str">
        <f>IFERROR(INDEX(DL_Exp,MATCH($CA97,DL_KEY,0)),"M")</f>
        <v>L</v>
      </c>
      <c r="AE97" s="35" t="str">
        <f>IFERROR(INDEX(DL_Edu,MATCH($CA97,DL_KEY,0)),"M")</f>
        <v>L</v>
      </c>
      <c r="AF97" s="34" t="inlineStr">
        <is>
          <t>M</t>
        </is>
      </c>
      <c r="AG97" s="35" t="inlineStr">
        <is>
          <t>M</t>
        </is>
      </c>
      <c r="AH97" s="35" t="inlineStr">
        <is>
          <t>M</t>
        </is>
      </c>
      <c r="AI97" s="35" t="inlineStr">
        <is>
          <t>M</t>
        </is>
      </c>
      <c r="AJ97" s="35" t="inlineStr">
        <is>
          <t>M</t>
        </is>
      </c>
      <c r="AK97" s="35" t="inlineStr">
        <is>
          <t>M</t>
        </is>
      </c>
      <c r="AL97" s="35" t="inlineStr">
        <is>
          <t>M</t>
        </is>
      </c>
      <c r="AM97" s="36" t="n">
        <v>0.583</v>
      </c>
      <c r="AN97" s="37" t="n">
        <v>0.16</v>
      </c>
      <c r="AO97" s="37" t="n">
        <v>0.09</v>
      </c>
      <c r="AP97" s="37" t="n">
        <v>0</v>
      </c>
      <c r="AQ97" s="37" t="n">
        <v>0.063</v>
      </c>
      <c r="AR97" s="37" t="n">
        <v>0.06</v>
      </c>
      <c r="AS97" s="37" t="n">
        <v>0.04</v>
      </c>
      <c r="AT97" s="38" t="inlineStr">
        <is>
          <t>2–5</t>
        </is>
      </c>
      <c r="AU97" s="38" t="inlineStr">
        <is>
          <t>Graduate; relevant certification preferred</t>
        </is>
      </c>
      <c r="AV97" s="38" t="inlineStr">
        <is>
          <t>None · guides 1–3 juniors informally</t>
        </is>
      </c>
      <c r="AW97" s="38" t="inlineStr">
        <is>
          <t>P2 · SFIA 3 Apply</t>
        </is>
      </c>
      <c r="AX9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97" s="39" t="inlineStr">
        <is>
          <t>A3</t>
        </is>
      </c>
      <c r="AZ97" s="40" t="inlineStr">
        <is>
          <t>Band A · Practitioner · Senior Associate</t>
        </is>
      </c>
      <c r="BA97" s="40" t="inlineStr">
        <is>
          <t>Model A3 from the six ratings, the market-derived weights and rules R1–R13 · then No change · already below the manager</t>
        </is>
      </c>
      <c r="BB97" s="41" t="inlineStr">
        <is>
          <t>B1</t>
        </is>
      </c>
      <c r="BC97" s="40" t="inlineStr">
        <is>
          <t>The six ratings on the market-average weights of Band A · all tracks score 3.53 → B1 · Hay, Mercer IPE and public plans · experience 18.8 yrs vs the B1 market range 4–8</t>
        </is>
      </c>
      <c r="BD97" s="42">
        <f>IF(SUM(BM97,BN97,BO97,BP97,BQ97,BR97,BS97)=0,0,(BM97*BT97+BN97*BU97+BO97*BV97+BP97*BW97+BQ97*BX97+BR97*BY97+BS97*BZ97)/SUM(BM97,BN97,BO97,BP97,BQ97,BR97,BS97))</f>
        <v>0</v>
      </c>
      <c r="BE97" s="41" t="str">
        <f>IF(LEFT(AY97,1)="X",AY97,IF(OR(AY97="B+",AY97="C+"),INDEX(LAD_PC,MAX(1,MIN(14,MATCH(AY97,LAD_PC,0)+IF(BD97&gt;=0.5,1,IF(BD97&lt;=-0.5,-1,0))))),INDEX(LAD_STD,MAX(1,MIN(12,MATCH(AY97,LAD_STD,0)+IF(BD97&gt;=0.5,1,IF(BD97&lt;=-0.5,-1,0)))))))</f>
        <v>A3</v>
      </c>
      <c r="BF97" s="43" t="n"/>
      <c r="BG97" s="41" t="str">
        <f>IF(BF97&lt;&gt;"",BF97,BE97)</f>
        <v>A3</v>
      </c>
      <c r="BH97" s="40" t="str">
        <f>IFERROR(CHOOSE(INDEX(B_RANK,MATCH(BG97,B_LVL,0)),"Band A","Band B","B+ · Player-Coach","Band C","C+ · Player-Coach","Band D","Band E"),"Band X · Consultant")</f>
        <v>Band A</v>
      </c>
      <c r="BI97" s="40" t="str">
        <f>IF(BG97=AY97,"• Same",IF(INDEX(B_VAL,MATCH(BG97,B_LVL,0))&gt;INDEX(B_VAL,MATCH(AY97,B_LVL,0)),"▲ Up","▼ Down"))</f>
        <v>• Same</v>
      </c>
      <c r="BJ97" s="40" t="str">
        <f>IF(OR($M97="",$M97="—",$M97="Not in this file"),"",IFERROR(INDEX($BG$7:$BG$592,MATCH($M97,$D$7:$D$592,0)),""))</f>
        <v>B1</v>
      </c>
      <c r="BK97" s="40" t="str">
        <f>IFERROR(IF(BJ97="","—",IF(OR(LEFT(BG97,1)="X",LEFT(BJ97,1)="X"),"—",IF(AND(LEFT(BG97,1)="E",LEFT(BJ97,1)="E"),"Exception · Band E",IF(AND(INDEX(B_VAL,MATCH(BJ97,B_LVL,0))&gt;=7,INDEX(B_RANK,MATCH(BG97,B_LVL,0))&gt;=INDEX(B_RANK,MATCH(BJ97,B_LVL,0))),"⚠ Same band as a head manager",IF(INDEX(B_VAL,MATCH(BG97,B_LVL,0))&gt;=INDEX(B_VAL,MATCH(BJ97,B_LVL,0)),"⚠ At or above the manager's level","OK"))))),"—")</f>
        <v>OK</v>
      </c>
      <c r="BL97" s="43" t="n"/>
      <c r="BM97" s="44">
        <f>IFERROR(INDEX(LMH_PTS,MATCH(Y97,LMH_KEY,0)),0)</f>
        <v>9</v>
      </c>
      <c r="BN97" s="38">
        <f>IFERROR(INDEX(LMH_PTS,MATCH(Z97,LMH_KEY,0)),0)</f>
        <v>3</v>
      </c>
      <c r="BO97" s="38">
        <f>IFERROR(INDEX(LMH_PTS,MATCH(AA97,LMH_KEY,0)),0)</f>
        <v>3</v>
      </c>
      <c r="BP97" s="38">
        <f>IFERROR(INDEX(LMH_PTS,MATCH(AB97,LMH_KEY,0)),0)</f>
        <v>1</v>
      </c>
      <c r="BQ97" s="38">
        <f>IFERROR(INDEX(LMH_PTS,MATCH(AC97,LMH_KEY,0)),0)</f>
        <v>1</v>
      </c>
      <c r="BR97" s="38">
        <f>IFERROR(INDEX(LMH_PTS,MATCH(AD97,LMH_KEY,0)),0)</f>
        <v>1</v>
      </c>
      <c r="BS97" s="38">
        <f>IFERROR(INDEX(LMH_PTS,MATCH(AE97,LMH_KEY,0)),0)</f>
        <v>1</v>
      </c>
      <c r="BT97" s="38">
        <f>IFERROR(INDEX(LMH_STEP,MATCH(AF97,LMH_KEY,0)),0)</f>
        <v>0</v>
      </c>
      <c r="BU97" s="38">
        <f>IFERROR(INDEX(LMH_STEP,MATCH(AG97,LMH_KEY,0)),0)</f>
        <v>0</v>
      </c>
      <c r="BV97" s="38">
        <f>IFERROR(INDEX(LMH_STEP,MATCH(AH97,LMH_KEY,0)),0)</f>
        <v>0</v>
      </c>
      <c r="BW97" s="38">
        <f>IFERROR(INDEX(LMH_STEP,MATCH(AI97,LMH_KEY,0)),0)</f>
        <v>0</v>
      </c>
      <c r="BX97" s="38">
        <f>IFERROR(INDEX(LMH_STEP,MATCH(AJ97,LMH_KEY,0)),0)</f>
        <v>0</v>
      </c>
      <c r="BY97" s="38">
        <f>IFERROR(INDEX(LMH_STEP,MATCH(AK97,LMH_KEY,0)),0)</f>
        <v>0</v>
      </c>
      <c r="BZ97" s="38">
        <f>IFERROR(INDEX(LMH_STEP,MATCH(AL97,LMH_KEY,0)),0)</f>
        <v>0</v>
      </c>
      <c r="CA97" s="38" t="inlineStr">
        <is>
          <t>CARBON|Services|Senior Financial Analyst|A3|A</t>
        </is>
      </c>
    </row>
    <row r="98" ht="110" customHeight="1">
      <c r="A98" s="28" t="inlineStr">
        <is>
          <t>CARBON</t>
        </is>
      </c>
      <c r="B98" s="29" t="inlineStr">
        <is>
          <t>Services</t>
        </is>
      </c>
      <c r="C98" s="29" t="n">
        <v>7</v>
      </c>
      <c r="D98" s="29" t="inlineStr">
        <is>
          <t>IRIS2230</t>
        </is>
      </c>
      <c r="E98" s="29" t="inlineStr">
        <is>
          <t>Palak Verma</t>
        </is>
      </c>
      <c r="F98" s="29" t="inlineStr">
        <is>
          <t>Financial Analyst</t>
        </is>
      </c>
      <c r="G98" s="29" t="inlineStr">
        <is>
          <t>Senior Financial Analyst</t>
        </is>
      </c>
      <c r="H98" s="29" t="inlineStr">
        <is>
          <t>Consulting &amp; Professional Services</t>
        </is>
      </c>
      <c r="I98" s="29" t="inlineStr">
        <is>
          <t>XBRL Tagging, Conversion &amp; Filing</t>
        </is>
      </c>
      <c r="J98" s="29" t="inlineStr">
        <is>
          <t>IC</t>
        </is>
      </c>
      <c r="K98" s="29" t="inlineStr">
        <is>
          <t>RC-025</t>
        </is>
      </c>
      <c r="L98" s="29" t="inlineStr">
        <is>
          <t>Priyanka Mehra</t>
        </is>
      </c>
      <c r="M98" s="29" t="inlineStr">
        <is>
          <t>IRIS2071</t>
        </is>
      </c>
      <c r="N98" s="29" t="n">
        <v>5.5</v>
      </c>
      <c r="O98" s="29" t="n">
        <v>2.5</v>
      </c>
      <c r="P98" s="29" t="inlineStr">
        <is>
          <t>B.Com</t>
        </is>
      </c>
      <c r="Q98" s="29" t="inlineStr">
        <is>
          <t>L3 – Professional / Associate</t>
        </is>
      </c>
      <c r="R98" s="29" t="inlineStr">
        <is>
          <t>A3</t>
        </is>
      </c>
      <c r="S98" s="30" t="inlineStr">
        <is>
          <t>0 of 20</t>
        </is>
      </c>
      <c r="T98" s="31" t="inlineStr">
        <is>
          <t>• Role / sub-team: CIPC tagging.</t>
        </is>
      </c>
      <c r="U98"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98" s="31" t="inlineStr">
        <is>
          <t>Latest rating: 3 · Potential: Medium · 9-box: Core Contributor · Readiness: Develop in role</t>
        </is>
      </c>
      <c r="W98" s="31" t="inlineStr">
        <is>
          <t>C L · Au L · Ac L · L L · BI M · Exp H · 5.5 yrs vs 2–4 yrs · Edu M · B.Com</t>
        </is>
      </c>
      <c r="X98" s="33" t="inlineStr">
        <is>
          <t>Open ▸</t>
        </is>
      </c>
      <c r="Y98" s="34" t="str">
        <f>IFERROR(INDEX(DL_C,MATCH($CA98,DL_KEY,0)),"M")</f>
        <v>H</v>
      </c>
      <c r="Z98" s="35" t="str">
        <f>IFERROR(INDEX(DL_Au,MATCH($CA98,DL_KEY,0)),"M")</f>
        <v>M</v>
      </c>
      <c r="AA98" s="35" t="str">
        <f>IFERROR(INDEX(DL_Ac,MATCH($CA98,DL_KEY,0)),"M")</f>
        <v>M</v>
      </c>
      <c r="AB98" s="35" t="str">
        <f>IFERROR(INDEX(DL_L,MATCH($CA98,DL_KEY,0)),"M")</f>
        <v>L</v>
      </c>
      <c r="AC98" s="35" t="str">
        <f>IFERROR(INDEX(DL_BI,MATCH($CA98,DL_KEY,0)),"M")</f>
        <v>L</v>
      </c>
      <c r="AD98" s="35" t="str">
        <f>IFERROR(INDEX(DL_Exp,MATCH($CA98,DL_KEY,0)),"M")</f>
        <v>L</v>
      </c>
      <c r="AE98" s="35" t="str">
        <f>IFERROR(INDEX(DL_Edu,MATCH($CA98,DL_KEY,0)),"M")</f>
        <v>L</v>
      </c>
      <c r="AF98" s="34" t="inlineStr">
        <is>
          <t>M</t>
        </is>
      </c>
      <c r="AG98" s="35" t="inlineStr">
        <is>
          <t>M</t>
        </is>
      </c>
      <c r="AH98" s="35" t="inlineStr">
        <is>
          <t>M</t>
        </is>
      </c>
      <c r="AI98" s="35" t="inlineStr">
        <is>
          <t>M</t>
        </is>
      </c>
      <c r="AJ98" s="35" t="inlineStr">
        <is>
          <t>M</t>
        </is>
      </c>
      <c r="AK98" s="35" t="inlineStr">
        <is>
          <t>M</t>
        </is>
      </c>
      <c r="AL98" s="35" t="inlineStr">
        <is>
          <t>M</t>
        </is>
      </c>
      <c r="AM98" s="36" t="n">
        <v>0.583</v>
      </c>
      <c r="AN98" s="37" t="n">
        <v>0.16</v>
      </c>
      <c r="AO98" s="37" t="n">
        <v>0.09</v>
      </c>
      <c r="AP98" s="37" t="n">
        <v>0</v>
      </c>
      <c r="AQ98" s="37" t="n">
        <v>0.063</v>
      </c>
      <c r="AR98" s="37" t="n">
        <v>0.06</v>
      </c>
      <c r="AS98" s="37" t="n">
        <v>0.04</v>
      </c>
      <c r="AT98" s="38" t="inlineStr">
        <is>
          <t>2–5</t>
        </is>
      </c>
      <c r="AU98" s="38" t="inlineStr">
        <is>
          <t>Graduate; relevant certification preferred</t>
        </is>
      </c>
      <c r="AV98" s="38" t="inlineStr">
        <is>
          <t>None · guides 1–3 juniors informally</t>
        </is>
      </c>
      <c r="AW98" s="38" t="inlineStr">
        <is>
          <t>P2 · SFIA 3 Apply</t>
        </is>
      </c>
      <c r="AX9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98" s="39" t="inlineStr">
        <is>
          <t>A3</t>
        </is>
      </c>
      <c r="AZ98" s="40" t="inlineStr">
        <is>
          <t>Band A · Practitioner · Senior Associate</t>
        </is>
      </c>
      <c r="BA98" s="40" t="inlineStr">
        <is>
          <t>Model A3 from the six ratings, the market-derived weights and rules R1–R13 · then No change · already below the manager</t>
        </is>
      </c>
      <c r="BB98" s="41" t="inlineStr">
        <is>
          <t>A2</t>
        </is>
      </c>
      <c r="BC98" s="40" t="inlineStr">
        <is>
          <t>The six ratings on the market-average weights of Band A · all tracks score 2.23 → A2 · Hay, Mercer IPE and public plans · experience 5.5 yrs vs the A2 market range 0–3</t>
        </is>
      </c>
      <c r="BD98" s="42">
        <f>IF(SUM(BM98,BN98,BO98,BP98,BQ98,BR98,BS98)=0,0,(BM98*BT98+BN98*BU98+BO98*BV98+BP98*BW98+BQ98*BX98+BR98*BY98+BS98*BZ98)/SUM(BM98,BN98,BO98,BP98,BQ98,BR98,BS98))</f>
        <v>0</v>
      </c>
      <c r="BE98" s="41" t="str">
        <f>IF(LEFT(AY98,1)="X",AY98,IF(OR(AY98="B+",AY98="C+"),INDEX(LAD_PC,MAX(1,MIN(14,MATCH(AY98,LAD_PC,0)+IF(BD98&gt;=0.5,1,IF(BD98&lt;=-0.5,-1,0))))),INDEX(LAD_STD,MAX(1,MIN(12,MATCH(AY98,LAD_STD,0)+IF(BD98&gt;=0.5,1,IF(BD98&lt;=-0.5,-1,0)))))))</f>
        <v>A3</v>
      </c>
      <c r="BF98" s="43" t="n"/>
      <c r="BG98" s="41" t="str">
        <f>IF(BF98&lt;&gt;"",BF98,BE98)</f>
        <v>A3</v>
      </c>
      <c r="BH98" s="40" t="str">
        <f>IFERROR(CHOOSE(INDEX(B_RANK,MATCH(BG98,B_LVL,0)),"Band A","Band B","B+ · Player-Coach","Band C","C+ · Player-Coach","Band D","Band E"),"Band X · Consultant")</f>
        <v>Band A</v>
      </c>
      <c r="BI98" s="40" t="str">
        <f>IF(BG98=AY98,"• Same",IF(INDEX(B_VAL,MATCH(BG98,B_LVL,0))&gt;INDEX(B_VAL,MATCH(AY98,B_LVL,0)),"▲ Up","▼ Down"))</f>
        <v>• Same</v>
      </c>
      <c r="BJ98" s="40" t="str">
        <f>IF(OR($M98="",$M98="—",$M98="Not in this file"),"",IFERROR(INDEX($BG$7:$BG$592,MATCH($M98,$D$7:$D$592,0)),""))</f>
        <v>B1</v>
      </c>
      <c r="BK98" s="40" t="str">
        <f>IFERROR(IF(BJ98="","—",IF(OR(LEFT(BG98,1)="X",LEFT(BJ98,1)="X"),"—",IF(AND(LEFT(BG98,1)="E",LEFT(BJ98,1)="E"),"Exception · Band E",IF(AND(INDEX(B_VAL,MATCH(BJ98,B_LVL,0))&gt;=7,INDEX(B_RANK,MATCH(BG98,B_LVL,0))&gt;=INDEX(B_RANK,MATCH(BJ98,B_LVL,0))),"⚠ Same band as a head manager",IF(INDEX(B_VAL,MATCH(BG98,B_LVL,0))&gt;=INDEX(B_VAL,MATCH(BJ98,B_LVL,0)),"⚠ At or above the manager's level","OK"))))),"—")</f>
        <v>OK</v>
      </c>
      <c r="BL98" s="43" t="n"/>
      <c r="BM98" s="44">
        <f>IFERROR(INDEX(LMH_PTS,MATCH(Y98,LMH_KEY,0)),0)</f>
        <v>9</v>
      </c>
      <c r="BN98" s="38">
        <f>IFERROR(INDEX(LMH_PTS,MATCH(Z98,LMH_KEY,0)),0)</f>
        <v>3</v>
      </c>
      <c r="BO98" s="38">
        <f>IFERROR(INDEX(LMH_PTS,MATCH(AA98,LMH_KEY,0)),0)</f>
        <v>3</v>
      </c>
      <c r="BP98" s="38">
        <f>IFERROR(INDEX(LMH_PTS,MATCH(AB98,LMH_KEY,0)),0)</f>
        <v>1</v>
      </c>
      <c r="BQ98" s="38">
        <f>IFERROR(INDEX(LMH_PTS,MATCH(AC98,LMH_KEY,0)),0)</f>
        <v>1</v>
      </c>
      <c r="BR98" s="38">
        <f>IFERROR(INDEX(LMH_PTS,MATCH(AD98,LMH_KEY,0)),0)</f>
        <v>1</v>
      </c>
      <c r="BS98" s="38">
        <f>IFERROR(INDEX(LMH_PTS,MATCH(AE98,LMH_KEY,0)),0)</f>
        <v>1</v>
      </c>
      <c r="BT98" s="38">
        <f>IFERROR(INDEX(LMH_STEP,MATCH(AF98,LMH_KEY,0)),0)</f>
        <v>0</v>
      </c>
      <c r="BU98" s="38">
        <f>IFERROR(INDEX(LMH_STEP,MATCH(AG98,LMH_KEY,0)),0)</f>
        <v>0</v>
      </c>
      <c r="BV98" s="38">
        <f>IFERROR(INDEX(LMH_STEP,MATCH(AH98,LMH_KEY,0)),0)</f>
        <v>0</v>
      </c>
      <c r="BW98" s="38">
        <f>IFERROR(INDEX(LMH_STEP,MATCH(AI98,LMH_KEY,0)),0)</f>
        <v>0</v>
      </c>
      <c r="BX98" s="38">
        <f>IFERROR(INDEX(LMH_STEP,MATCH(AJ98,LMH_KEY,0)),0)</f>
        <v>0</v>
      </c>
      <c r="BY98" s="38">
        <f>IFERROR(INDEX(LMH_STEP,MATCH(AK98,LMH_KEY,0)),0)</f>
        <v>0</v>
      </c>
      <c r="BZ98" s="38">
        <f>IFERROR(INDEX(LMH_STEP,MATCH(AL98,LMH_KEY,0)),0)</f>
        <v>0</v>
      </c>
      <c r="CA98" s="38" t="inlineStr">
        <is>
          <t>CARBON|Services|Senior Financial Analyst|A3|A</t>
        </is>
      </c>
    </row>
    <row r="99" ht="110" customHeight="1">
      <c r="A99" s="28" t="inlineStr">
        <is>
          <t>CARBON</t>
        </is>
      </c>
      <c r="B99" s="29" t="inlineStr">
        <is>
          <t>Services</t>
        </is>
      </c>
      <c r="C99" s="29" t="n">
        <v>7</v>
      </c>
      <c r="D99" s="29" t="inlineStr">
        <is>
          <t>IRIS1340</t>
        </is>
      </c>
      <c r="E99" s="29" t="inlineStr">
        <is>
          <t>Rajendra Gupta</t>
        </is>
      </c>
      <c r="F99" s="29" t="inlineStr">
        <is>
          <t>Financial Analyst</t>
        </is>
      </c>
      <c r="G99" s="29" t="inlineStr">
        <is>
          <t>Senior Financial Analyst</t>
        </is>
      </c>
      <c r="H99" s="29" t="inlineStr">
        <is>
          <t>Consulting &amp; Professional Services</t>
        </is>
      </c>
      <c r="I99" s="29" t="inlineStr">
        <is>
          <t>XBRL Tagging, Conversion &amp; Filing</t>
        </is>
      </c>
      <c r="J99" s="29" t="inlineStr">
        <is>
          <t>IC</t>
        </is>
      </c>
      <c r="K99" s="29" t="inlineStr">
        <is>
          <t>RC-025</t>
        </is>
      </c>
      <c r="L99" s="29" t="inlineStr">
        <is>
          <t>Priyanka Mehra</t>
        </is>
      </c>
      <c r="M99" s="29" t="inlineStr">
        <is>
          <t>IRIS2071</t>
        </is>
      </c>
      <c r="N99" s="29" t="n">
        <v>14.3</v>
      </c>
      <c r="O99" s="29" t="n">
        <v>13.3</v>
      </c>
      <c r="P99" s="29" t="inlineStr">
        <is>
          <t>MBA</t>
        </is>
      </c>
      <c r="Q99" s="29" t="inlineStr">
        <is>
          <t>L3 – Professional / Associate</t>
        </is>
      </c>
      <c r="R99" s="29" t="inlineStr">
        <is>
          <t>A3</t>
        </is>
      </c>
      <c r="S99" s="30" t="inlineStr">
        <is>
          <t>20 of 20</t>
        </is>
      </c>
      <c r="T99" s="31" t="inlineStr">
        <is>
          <t>• Role / sub-team: Tagging.</t>
        </is>
      </c>
      <c r="U99"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99" s="31" t="inlineStr">
        <is>
          <t>Latest rating: 3 · Potential: Medium · 9-box: Core Contributor · Readiness: Develop in role</t>
        </is>
      </c>
      <c r="W99" s="31" t="inlineStr">
        <is>
          <t>C M · Au M · Ac M · L L · BI M · Exp H · 14.3 yrs vs 2–4 yrs · Edu H · MBA</t>
        </is>
      </c>
      <c r="X99" s="33" t="inlineStr">
        <is>
          <t>Open ▸</t>
        </is>
      </c>
      <c r="Y99" s="34" t="str">
        <f>IFERROR(INDEX(DL_C,MATCH($CA99,DL_KEY,0)),"M")</f>
        <v>H</v>
      </c>
      <c r="Z99" s="35" t="str">
        <f>IFERROR(INDEX(DL_Au,MATCH($CA99,DL_KEY,0)),"M")</f>
        <v>M</v>
      </c>
      <c r="AA99" s="35" t="str">
        <f>IFERROR(INDEX(DL_Ac,MATCH($CA99,DL_KEY,0)),"M")</f>
        <v>M</v>
      </c>
      <c r="AB99" s="35" t="str">
        <f>IFERROR(INDEX(DL_L,MATCH($CA99,DL_KEY,0)),"M")</f>
        <v>L</v>
      </c>
      <c r="AC99" s="35" t="str">
        <f>IFERROR(INDEX(DL_BI,MATCH($CA99,DL_KEY,0)),"M")</f>
        <v>L</v>
      </c>
      <c r="AD99" s="35" t="str">
        <f>IFERROR(INDEX(DL_Exp,MATCH($CA99,DL_KEY,0)),"M")</f>
        <v>L</v>
      </c>
      <c r="AE99" s="35" t="str">
        <f>IFERROR(INDEX(DL_Edu,MATCH($CA99,DL_KEY,0)),"M")</f>
        <v>L</v>
      </c>
      <c r="AF99" s="34" t="inlineStr">
        <is>
          <t>M</t>
        </is>
      </c>
      <c r="AG99" s="35" t="inlineStr">
        <is>
          <t>M</t>
        </is>
      </c>
      <c r="AH99" s="35" t="inlineStr">
        <is>
          <t>M</t>
        </is>
      </c>
      <c r="AI99" s="35" t="inlineStr">
        <is>
          <t>M</t>
        </is>
      </c>
      <c r="AJ99" s="35" t="inlineStr">
        <is>
          <t>M</t>
        </is>
      </c>
      <c r="AK99" s="35" t="inlineStr">
        <is>
          <t>M</t>
        </is>
      </c>
      <c r="AL99" s="35" t="inlineStr">
        <is>
          <t>M</t>
        </is>
      </c>
      <c r="AM99" s="36" t="n">
        <v>0.583</v>
      </c>
      <c r="AN99" s="37" t="n">
        <v>0.16</v>
      </c>
      <c r="AO99" s="37" t="n">
        <v>0.09</v>
      </c>
      <c r="AP99" s="37" t="n">
        <v>0</v>
      </c>
      <c r="AQ99" s="37" t="n">
        <v>0.063</v>
      </c>
      <c r="AR99" s="37" t="n">
        <v>0.06</v>
      </c>
      <c r="AS99" s="37" t="n">
        <v>0.04</v>
      </c>
      <c r="AT99" s="38" t="inlineStr">
        <is>
          <t>2–5</t>
        </is>
      </c>
      <c r="AU99" s="38" t="inlineStr">
        <is>
          <t>Graduate; relevant certification preferred</t>
        </is>
      </c>
      <c r="AV99" s="38" t="inlineStr">
        <is>
          <t>None · guides 1–3 juniors informally</t>
        </is>
      </c>
      <c r="AW99" s="38" t="inlineStr">
        <is>
          <t>P2 · SFIA 3 Apply</t>
        </is>
      </c>
      <c r="AX9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99" s="39" t="inlineStr">
        <is>
          <t>A3</t>
        </is>
      </c>
      <c r="AZ99" s="40" t="inlineStr">
        <is>
          <t>Band A · Practitioner · Senior Associate</t>
        </is>
      </c>
      <c r="BA99" s="40" t="inlineStr">
        <is>
          <t>Model A3 from the six ratings, the market-derived weights and rules R1–R13 · then No change · already below the manager</t>
        </is>
      </c>
      <c r="BB99" s="41" t="inlineStr">
        <is>
          <t>A3</t>
        </is>
      </c>
      <c r="BC99" s="40" t="inlineStr">
        <is>
          <t>The six ratings on the market-average weights of Band A · all tracks score 3.13 → A3 · Hay, Mercer IPE and public plans · experience 14.3 yrs vs the A3 market range 2–5</t>
        </is>
      </c>
      <c r="BD99" s="42">
        <f>IF(SUM(BM99,BN99,BO99,BP99,BQ99,BR99,BS99)=0,0,(BM99*BT99+BN99*BU99+BO99*BV99+BP99*BW99+BQ99*BX99+BR99*BY99+BS99*BZ99)/SUM(BM99,BN99,BO99,BP99,BQ99,BR99,BS99))</f>
        <v>0</v>
      </c>
      <c r="BE99" s="41" t="str">
        <f>IF(LEFT(AY99,1)="X",AY99,IF(OR(AY99="B+",AY99="C+"),INDEX(LAD_PC,MAX(1,MIN(14,MATCH(AY99,LAD_PC,0)+IF(BD99&gt;=0.5,1,IF(BD99&lt;=-0.5,-1,0))))),INDEX(LAD_STD,MAX(1,MIN(12,MATCH(AY99,LAD_STD,0)+IF(BD99&gt;=0.5,1,IF(BD99&lt;=-0.5,-1,0)))))))</f>
        <v>A3</v>
      </c>
      <c r="BF99" s="43" t="n"/>
      <c r="BG99" s="41" t="str">
        <f>IF(BF99&lt;&gt;"",BF99,BE99)</f>
        <v>A3</v>
      </c>
      <c r="BH99" s="40" t="str">
        <f>IFERROR(CHOOSE(INDEX(B_RANK,MATCH(BG99,B_LVL,0)),"Band A","Band B","B+ · Player-Coach","Band C","C+ · Player-Coach","Band D","Band E"),"Band X · Consultant")</f>
        <v>Band A</v>
      </c>
      <c r="BI99" s="40" t="str">
        <f>IF(BG99=AY99,"• Same",IF(INDEX(B_VAL,MATCH(BG99,B_LVL,0))&gt;INDEX(B_VAL,MATCH(AY99,B_LVL,0)),"▲ Up","▼ Down"))</f>
        <v>• Same</v>
      </c>
      <c r="BJ99" s="40" t="str">
        <f>IF(OR($M99="",$M99="—",$M99="Not in this file"),"",IFERROR(INDEX($BG$7:$BG$592,MATCH($M99,$D$7:$D$592,0)),""))</f>
        <v>B1</v>
      </c>
      <c r="BK99" s="40" t="str">
        <f>IFERROR(IF(BJ99="","—",IF(OR(LEFT(BG99,1)="X",LEFT(BJ99,1)="X"),"—",IF(AND(LEFT(BG99,1)="E",LEFT(BJ99,1)="E"),"Exception · Band E",IF(AND(INDEX(B_VAL,MATCH(BJ99,B_LVL,0))&gt;=7,INDEX(B_RANK,MATCH(BG99,B_LVL,0))&gt;=INDEX(B_RANK,MATCH(BJ99,B_LVL,0))),"⚠ Same band as a head manager",IF(INDEX(B_VAL,MATCH(BG99,B_LVL,0))&gt;=INDEX(B_VAL,MATCH(BJ99,B_LVL,0)),"⚠ At or above the manager's level","OK"))))),"—")</f>
        <v>OK</v>
      </c>
      <c r="BL99" s="43" t="n"/>
      <c r="BM99" s="44">
        <f>IFERROR(INDEX(LMH_PTS,MATCH(Y99,LMH_KEY,0)),0)</f>
        <v>9</v>
      </c>
      <c r="BN99" s="38">
        <f>IFERROR(INDEX(LMH_PTS,MATCH(Z99,LMH_KEY,0)),0)</f>
        <v>3</v>
      </c>
      <c r="BO99" s="38">
        <f>IFERROR(INDEX(LMH_PTS,MATCH(AA99,LMH_KEY,0)),0)</f>
        <v>3</v>
      </c>
      <c r="BP99" s="38">
        <f>IFERROR(INDEX(LMH_PTS,MATCH(AB99,LMH_KEY,0)),0)</f>
        <v>1</v>
      </c>
      <c r="BQ99" s="38">
        <f>IFERROR(INDEX(LMH_PTS,MATCH(AC99,LMH_KEY,0)),0)</f>
        <v>1</v>
      </c>
      <c r="BR99" s="38">
        <f>IFERROR(INDEX(LMH_PTS,MATCH(AD99,LMH_KEY,0)),0)</f>
        <v>1</v>
      </c>
      <c r="BS99" s="38">
        <f>IFERROR(INDEX(LMH_PTS,MATCH(AE99,LMH_KEY,0)),0)</f>
        <v>1</v>
      </c>
      <c r="BT99" s="38">
        <f>IFERROR(INDEX(LMH_STEP,MATCH(AF99,LMH_KEY,0)),0)</f>
        <v>0</v>
      </c>
      <c r="BU99" s="38">
        <f>IFERROR(INDEX(LMH_STEP,MATCH(AG99,LMH_KEY,0)),0)</f>
        <v>0</v>
      </c>
      <c r="BV99" s="38">
        <f>IFERROR(INDEX(LMH_STEP,MATCH(AH99,LMH_KEY,0)),0)</f>
        <v>0</v>
      </c>
      <c r="BW99" s="38">
        <f>IFERROR(INDEX(LMH_STEP,MATCH(AI99,LMH_KEY,0)),0)</f>
        <v>0</v>
      </c>
      <c r="BX99" s="38">
        <f>IFERROR(INDEX(LMH_STEP,MATCH(AJ99,LMH_KEY,0)),0)</f>
        <v>0</v>
      </c>
      <c r="BY99" s="38">
        <f>IFERROR(INDEX(LMH_STEP,MATCH(AK99,LMH_KEY,0)),0)</f>
        <v>0</v>
      </c>
      <c r="BZ99" s="38">
        <f>IFERROR(INDEX(LMH_STEP,MATCH(AL99,LMH_KEY,0)),0)</f>
        <v>0</v>
      </c>
      <c r="CA99" s="38" t="inlineStr">
        <is>
          <t>CARBON|Services|Senior Financial Analyst|A3|A</t>
        </is>
      </c>
    </row>
    <row r="100" ht="110" customHeight="1">
      <c r="A100" s="28" t="inlineStr">
        <is>
          <t>CARBON</t>
        </is>
      </c>
      <c r="B100" s="29" t="inlineStr">
        <is>
          <t>Services</t>
        </is>
      </c>
      <c r="C100" s="29" t="n">
        <v>7</v>
      </c>
      <c r="D100" s="29" t="inlineStr">
        <is>
          <t>IRIS0075</t>
        </is>
      </c>
      <c r="E100" s="29" t="inlineStr">
        <is>
          <t>Sudarshan Vichare</t>
        </is>
      </c>
      <c r="F100" s="29" t="inlineStr">
        <is>
          <t>Junior Financial Analyst</t>
        </is>
      </c>
      <c r="G100" s="29" t="inlineStr">
        <is>
          <t>Senior Financial Analyst</t>
        </is>
      </c>
      <c r="H100" s="29" t="inlineStr">
        <is>
          <t>Consulting &amp; Professional Services</t>
        </is>
      </c>
      <c r="I100" s="29" t="inlineStr">
        <is>
          <t>XBRL Tagging, Conversion &amp; Filing</t>
        </is>
      </c>
      <c r="J100" s="29" t="inlineStr">
        <is>
          <t>IC</t>
        </is>
      </c>
      <c r="K100" s="29" t="inlineStr">
        <is>
          <t>RC-025</t>
        </is>
      </c>
      <c r="L100" s="29" t="inlineStr">
        <is>
          <t>Priyanka Mehra</t>
        </is>
      </c>
      <c r="M100" s="29" t="inlineStr">
        <is>
          <t>IRIS2071</t>
        </is>
      </c>
      <c r="N100" s="29" t="n">
        <v>19.6</v>
      </c>
      <c r="O100" s="29" t="n">
        <v>19.6</v>
      </c>
      <c r="P100" s="29" t="inlineStr">
        <is>
          <t>B.Com</t>
        </is>
      </c>
      <c r="Q100" s="29" t="inlineStr">
        <is>
          <t>L3 – Professional / Associate</t>
        </is>
      </c>
      <c r="R100" s="29" t="inlineStr">
        <is>
          <t>A3</t>
        </is>
      </c>
      <c r="S100" s="30" t="inlineStr">
        <is>
          <t>20 of 20</t>
        </is>
      </c>
      <c r="T100" s="31" t="inlineStr">
        <is>
          <t>• Role / sub-team: CIPC Conversion Team and CIPC Tagging [Teams chat].</t>
        </is>
      </c>
      <c r="U100"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100" s="31" t="inlineStr">
        <is>
          <t>Latest rating: 3 · Potential: Medium · 9-box: Core Contributor · Readiness: Develop in role</t>
        </is>
      </c>
      <c r="W100" s="31" t="inlineStr">
        <is>
          <t>C L · Au L · Ac L · L L · BI M · Exp H · 19.6 yrs vs 2–4 yrs · Edu M · B.Com</t>
        </is>
      </c>
      <c r="X100" s="33" t="inlineStr">
        <is>
          <t>Open ▸</t>
        </is>
      </c>
      <c r="Y100" s="34" t="str">
        <f>IFERROR(INDEX(DL_C,MATCH($CA100,DL_KEY,0)),"M")</f>
        <v>H</v>
      </c>
      <c r="Z100" s="35" t="str">
        <f>IFERROR(INDEX(DL_Au,MATCH($CA100,DL_KEY,0)),"M")</f>
        <v>M</v>
      </c>
      <c r="AA100" s="35" t="str">
        <f>IFERROR(INDEX(DL_Ac,MATCH($CA100,DL_KEY,0)),"M")</f>
        <v>M</v>
      </c>
      <c r="AB100" s="35" t="str">
        <f>IFERROR(INDEX(DL_L,MATCH($CA100,DL_KEY,0)),"M")</f>
        <v>L</v>
      </c>
      <c r="AC100" s="35" t="str">
        <f>IFERROR(INDEX(DL_BI,MATCH($CA100,DL_KEY,0)),"M")</f>
        <v>L</v>
      </c>
      <c r="AD100" s="35" t="str">
        <f>IFERROR(INDEX(DL_Exp,MATCH($CA100,DL_KEY,0)),"M")</f>
        <v>L</v>
      </c>
      <c r="AE100" s="35" t="str">
        <f>IFERROR(INDEX(DL_Edu,MATCH($CA100,DL_KEY,0)),"M")</f>
        <v>L</v>
      </c>
      <c r="AF100" s="34" t="inlineStr">
        <is>
          <t>M</t>
        </is>
      </c>
      <c r="AG100" s="35" t="inlineStr">
        <is>
          <t>M</t>
        </is>
      </c>
      <c r="AH100" s="35" t="inlineStr">
        <is>
          <t>M</t>
        </is>
      </c>
      <c r="AI100" s="35" t="inlineStr">
        <is>
          <t>M</t>
        </is>
      </c>
      <c r="AJ100" s="35" t="inlineStr">
        <is>
          <t>M</t>
        </is>
      </c>
      <c r="AK100" s="35" t="inlineStr">
        <is>
          <t>M</t>
        </is>
      </c>
      <c r="AL100" s="35" t="inlineStr">
        <is>
          <t>M</t>
        </is>
      </c>
      <c r="AM100" s="36" t="n">
        <v>0.583</v>
      </c>
      <c r="AN100" s="37" t="n">
        <v>0.16</v>
      </c>
      <c r="AO100" s="37" t="n">
        <v>0.09</v>
      </c>
      <c r="AP100" s="37" t="n">
        <v>0</v>
      </c>
      <c r="AQ100" s="37" t="n">
        <v>0.063</v>
      </c>
      <c r="AR100" s="37" t="n">
        <v>0.06</v>
      </c>
      <c r="AS100" s="37" t="n">
        <v>0.04</v>
      </c>
      <c r="AT100" s="38" t="inlineStr">
        <is>
          <t>2–5</t>
        </is>
      </c>
      <c r="AU100" s="38" t="inlineStr">
        <is>
          <t>Graduate; relevant certification preferred</t>
        </is>
      </c>
      <c r="AV100" s="38" t="inlineStr">
        <is>
          <t>None · guides 1–3 juniors informally</t>
        </is>
      </c>
      <c r="AW100" s="38" t="inlineStr">
        <is>
          <t>P2 · SFIA 3 Apply</t>
        </is>
      </c>
      <c r="AX10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00" s="39" t="inlineStr">
        <is>
          <t>A3</t>
        </is>
      </c>
      <c r="AZ100" s="40" t="inlineStr">
        <is>
          <t>Band A · Practitioner · Senior Associate</t>
        </is>
      </c>
      <c r="BA100" s="40" t="inlineStr">
        <is>
          <t>Model A3 from the six ratings, the market-derived weights and rules R1–R13 · then No change · already below the manager</t>
        </is>
      </c>
      <c r="BB100" s="41" t="inlineStr">
        <is>
          <t>A3</t>
        </is>
      </c>
      <c r="BC100" s="40" t="inlineStr">
        <is>
          <t>The six ratings on the market-average weights of Band A · all tracks score 2.78 → A3 · Hay, Mercer IPE and public plans · experience 19.6 yrs vs the A3 market range 2–5</t>
        </is>
      </c>
      <c r="BD100" s="42">
        <f>IF(SUM(BM100,BN100,BO100,BP100,BQ100,BR100,BS100)=0,0,(BM100*BT100+BN100*BU100+BO100*BV100+BP100*BW100+BQ100*BX100+BR100*BY100+BS100*BZ100)/SUM(BM100,BN100,BO100,BP100,BQ100,BR100,BS100))</f>
        <v>0</v>
      </c>
      <c r="BE100" s="41" t="str">
        <f>IF(LEFT(AY100,1)="X",AY100,IF(OR(AY100="B+",AY100="C+"),INDEX(LAD_PC,MAX(1,MIN(14,MATCH(AY100,LAD_PC,0)+IF(BD100&gt;=0.5,1,IF(BD100&lt;=-0.5,-1,0))))),INDEX(LAD_STD,MAX(1,MIN(12,MATCH(AY100,LAD_STD,0)+IF(BD100&gt;=0.5,1,IF(BD100&lt;=-0.5,-1,0)))))))</f>
        <v>A3</v>
      </c>
      <c r="BF100" s="43" t="n"/>
      <c r="BG100" s="41" t="str">
        <f>IF(BF100&lt;&gt;"",BF100,BE100)</f>
        <v>A3</v>
      </c>
      <c r="BH100" s="40" t="str">
        <f>IFERROR(CHOOSE(INDEX(B_RANK,MATCH(BG100,B_LVL,0)),"Band A","Band B","B+ · Player-Coach","Band C","C+ · Player-Coach","Band D","Band E"),"Band X · Consultant")</f>
        <v>Band A</v>
      </c>
      <c r="BI100" s="40" t="str">
        <f>IF(BG100=AY100,"• Same",IF(INDEX(B_VAL,MATCH(BG100,B_LVL,0))&gt;INDEX(B_VAL,MATCH(AY100,B_LVL,0)),"▲ Up","▼ Down"))</f>
        <v>• Same</v>
      </c>
      <c r="BJ100" s="40" t="str">
        <f>IF(OR($M100="",$M100="—",$M100="Not in this file"),"",IFERROR(INDEX($BG$7:$BG$592,MATCH($M100,$D$7:$D$592,0)),""))</f>
        <v>B1</v>
      </c>
      <c r="BK100" s="40" t="str">
        <f>IFERROR(IF(BJ100="","—",IF(OR(LEFT(BG100,1)="X",LEFT(BJ100,1)="X"),"—",IF(AND(LEFT(BG100,1)="E",LEFT(BJ100,1)="E"),"Exception · Band E",IF(AND(INDEX(B_VAL,MATCH(BJ100,B_LVL,0))&gt;=7,INDEX(B_RANK,MATCH(BG100,B_LVL,0))&gt;=INDEX(B_RANK,MATCH(BJ100,B_LVL,0))),"⚠ Same band as a head manager",IF(INDEX(B_VAL,MATCH(BG100,B_LVL,0))&gt;=INDEX(B_VAL,MATCH(BJ100,B_LVL,0)),"⚠ At or above the manager's level","OK"))))),"—")</f>
        <v>OK</v>
      </c>
      <c r="BL100" s="43" t="n"/>
      <c r="BM100" s="44">
        <f>IFERROR(INDEX(LMH_PTS,MATCH(Y100,LMH_KEY,0)),0)</f>
        <v>9</v>
      </c>
      <c r="BN100" s="38">
        <f>IFERROR(INDEX(LMH_PTS,MATCH(Z100,LMH_KEY,0)),0)</f>
        <v>3</v>
      </c>
      <c r="BO100" s="38">
        <f>IFERROR(INDEX(LMH_PTS,MATCH(AA100,LMH_KEY,0)),0)</f>
        <v>3</v>
      </c>
      <c r="BP100" s="38">
        <f>IFERROR(INDEX(LMH_PTS,MATCH(AB100,LMH_KEY,0)),0)</f>
        <v>1</v>
      </c>
      <c r="BQ100" s="38">
        <f>IFERROR(INDEX(LMH_PTS,MATCH(AC100,LMH_KEY,0)),0)</f>
        <v>1</v>
      </c>
      <c r="BR100" s="38">
        <f>IFERROR(INDEX(LMH_PTS,MATCH(AD100,LMH_KEY,0)),0)</f>
        <v>1</v>
      </c>
      <c r="BS100" s="38">
        <f>IFERROR(INDEX(LMH_PTS,MATCH(AE100,LMH_KEY,0)),0)</f>
        <v>1</v>
      </c>
      <c r="BT100" s="38">
        <f>IFERROR(INDEX(LMH_STEP,MATCH(AF100,LMH_KEY,0)),0)</f>
        <v>0</v>
      </c>
      <c r="BU100" s="38">
        <f>IFERROR(INDEX(LMH_STEP,MATCH(AG100,LMH_KEY,0)),0)</f>
        <v>0</v>
      </c>
      <c r="BV100" s="38">
        <f>IFERROR(INDEX(LMH_STEP,MATCH(AH100,LMH_KEY,0)),0)</f>
        <v>0</v>
      </c>
      <c r="BW100" s="38">
        <f>IFERROR(INDEX(LMH_STEP,MATCH(AI100,LMH_KEY,0)),0)</f>
        <v>0</v>
      </c>
      <c r="BX100" s="38">
        <f>IFERROR(INDEX(LMH_STEP,MATCH(AJ100,LMH_KEY,0)),0)</f>
        <v>0</v>
      </c>
      <c r="BY100" s="38">
        <f>IFERROR(INDEX(LMH_STEP,MATCH(AK100,LMH_KEY,0)),0)</f>
        <v>0</v>
      </c>
      <c r="BZ100" s="38">
        <f>IFERROR(INDEX(LMH_STEP,MATCH(AL100,LMH_KEY,0)),0)</f>
        <v>0</v>
      </c>
      <c r="CA100" s="38" t="inlineStr">
        <is>
          <t>CARBON|Services|Senior Financial Analyst|A3|A</t>
        </is>
      </c>
    </row>
    <row r="101" ht="110" customHeight="1">
      <c r="A101" s="28" t="inlineStr">
        <is>
          <t>CARBON</t>
        </is>
      </c>
      <c r="B101" s="29" t="inlineStr">
        <is>
          <t>Services</t>
        </is>
      </c>
      <c r="C101" s="29" t="n">
        <v>7</v>
      </c>
      <c r="D101" s="29" t="inlineStr">
        <is>
          <t>IRIS1897</t>
        </is>
      </c>
      <c r="E101" s="29" t="inlineStr">
        <is>
          <t>Sunil Bist</t>
        </is>
      </c>
      <c r="F101" s="29" t="inlineStr">
        <is>
          <t>Financial Analyst</t>
        </is>
      </c>
      <c r="G101" s="29" t="inlineStr">
        <is>
          <t>Senior Financial Analyst</t>
        </is>
      </c>
      <c r="H101" s="29" t="inlineStr">
        <is>
          <t>Consulting &amp; Professional Services</t>
        </is>
      </c>
      <c r="I101" s="29" t="inlineStr">
        <is>
          <t>XBRL Tagging, Conversion &amp; Filing</t>
        </is>
      </c>
      <c r="J101" s="29" t="inlineStr">
        <is>
          <t>IC</t>
        </is>
      </c>
      <c r="K101" s="29" t="inlineStr">
        <is>
          <t>RC-025</t>
        </is>
      </c>
      <c r="L101" s="29" t="inlineStr">
        <is>
          <t>Priyanka Mehra</t>
        </is>
      </c>
      <c r="M101" s="29" t="inlineStr">
        <is>
          <t>IRIS2071</t>
        </is>
      </c>
      <c r="N101" s="29" t="n">
        <v>14</v>
      </c>
      <c r="O101" s="29" t="n">
        <v>5.6</v>
      </c>
      <c r="P101" s="29" t="inlineStr">
        <is>
          <t>B.Com</t>
        </is>
      </c>
      <c r="Q101" s="29" t="inlineStr">
        <is>
          <t>L3 – Professional / Associate</t>
        </is>
      </c>
      <c r="R101" s="29" t="inlineStr">
        <is>
          <t>A3</t>
        </is>
      </c>
      <c r="S101" s="30" t="inlineStr">
        <is>
          <t>20 of 20</t>
        </is>
      </c>
      <c r="T101" s="31" t="inlineStr">
        <is>
          <t>• Role / sub-team: CIPC · Carbon Service Department.</t>
        </is>
      </c>
      <c r="U101"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101" s="31" t="inlineStr">
        <is>
          <t>Latest rating: 4 · Potential: High · 9-box: Core Contributor · Readiness: Ready now</t>
        </is>
      </c>
      <c r="W101" s="31" t="inlineStr">
        <is>
          <t>C M · Au L · Ac L · L L · BI M · Exp H · 14 yrs vs 2–4 yrs · Edu M · B.Com</t>
        </is>
      </c>
      <c r="X101" s="33" t="inlineStr">
        <is>
          <t>Open ▸</t>
        </is>
      </c>
      <c r="Y101" s="34" t="str">
        <f>IFERROR(INDEX(DL_C,MATCH($CA101,DL_KEY,0)),"M")</f>
        <v>H</v>
      </c>
      <c r="Z101" s="35" t="str">
        <f>IFERROR(INDEX(DL_Au,MATCH($CA101,DL_KEY,0)),"M")</f>
        <v>M</v>
      </c>
      <c r="AA101" s="35" t="str">
        <f>IFERROR(INDEX(DL_Ac,MATCH($CA101,DL_KEY,0)),"M")</f>
        <v>M</v>
      </c>
      <c r="AB101" s="35" t="str">
        <f>IFERROR(INDEX(DL_L,MATCH($CA101,DL_KEY,0)),"M")</f>
        <v>L</v>
      </c>
      <c r="AC101" s="35" t="str">
        <f>IFERROR(INDEX(DL_BI,MATCH($CA101,DL_KEY,0)),"M")</f>
        <v>L</v>
      </c>
      <c r="AD101" s="35" t="str">
        <f>IFERROR(INDEX(DL_Exp,MATCH($CA101,DL_KEY,0)),"M")</f>
        <v>L</v>
      </c>
      <c r="AE101" s="35" t="str">
        <f>IFERROR(INDEX(DL_Edu,MATCH($CA101,DL_KEY,0)),"M")</f>
        <v>L</v>
      </c>
      <c r="AF101" s="34" t="inlineStr">
        <is>
          <t>M</t>
        </is>
      </c>
      <c r="AG101" s="35" t="inlineStr">
        <is>
          <t>M</t>
        </is>
      </c>
      <c r="AH101" s="35" t="inlineStr">
        <is>
          <t>M</t>
        </is>
      </c>
      <c r="AI101" s="35" t="inlineStr">
        <is>
          <t>M</t>
        </is>
      </c>
      <c r="AJ101" s="35" t="inlineStr">
        <is>
          <t>M</t>
        </is>
      </c>
      <c r="AK101" s="35" t="inlineStr">
        <is>
          <t>M</t>
        </is>
      </c>
      <c r="AL101" s="35" t="inlineStr">
        <is>
          <t>M</t>
        </is>
      </c>
      <c r="AM101" s="36" t="n">
        <v>0.583</v>
      </c>
      <c r="AN101" s="37" t="n">
        <v>0.16</v>
      </c>
      <c r="AO101" s="37" t="n">
        <v>0.09</v>
      </c>
      <c r="AP101" s="37" t="n">
        <v>0</v>
      </c>
      <c r="AQ101" s="37" t="n">
        <v>0.063</v>
      </c>
      <c r="AR101" s="37" t="n">
        <v>0.06</v>
      </c>
      <c r="AS101" s="37" t="n">
        <v>0.04</v>
      </c>
      <c r="AT101" s="38" t="inlineStr">
        <is>
          <t>2–5</t>
        </is>
      </c>
      <c r="AU101" s="38" t="inlineStr">
        <is>
          <t>Graduate; relevant certification preferred</t>
        </is>
      </c>
      <c r="AV101" s="38" t="inlineStr">
        <is>
          <t>None · guides 1–3 juniors informally</t>
        </is>
      </c>
      <c r="AW101" s="38" t="inlineStr">
        <is>
          <t>P2 · SFIA 3 Apply</t>
        </is>
      </c>
      <c r="AX10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01" s="39" t="inlineStr">
        <is>
          <t>A3</t>
        </is>
      </c>
      <c r="AZ101" s="40" t="inlineStr">
        <is>
          <t>Band A · Practitioner · Senior Associate</t>
        </is>
      </c>
      <c r="BA101" s="40" t="inlineStr">
        <is>
          <t>Model A3 from the six ratings, the market-derived weights and rules R1–R13 · then No change · already below the manager</t>
        </is>
      </c>
      <c r="BB101" s="41" t="inlineStr">
        <is>
          <t>A3</t>
        </is>
      </c>
      <c r="BC101" s="40" t="inlineStr">
        <is>
          <t>The six ratings on the market-average weights of Band A · all tracks score 2.93 → A3 · Hay, Mercer IPE and public plans · experience 14 yrs vs the A3 market range 2–5</t>
        </is>
      </c>
      <c r="BD101" s="42">
        <f>IF(SUM(BM101,BN101,BO101,BP101,BQ101,BR101,BS101)=0,0,(BM101*BT101+BN101*BU101+BO101*BV101+BP101*BW101+BQ101*BX101+BR101*BY101+BS101*BZ101)/SUM(BM101,BN101,BO101,BP101,BQ101,BR101,BS101))</f>
        <v>0</v>
      </c>
      <c r="BE101" s="41" t="str">
        <f>IF(LEFT(AY101,1)="X",AY101,IF(OR(AY101="B+",AY101="C+"),INDEX(LAD_PC,MAX(1,MIN(14,MATCH(AY101,LAD_PC,0)+IF(BD101&gt;=0.5,1,IF(BD101&lt;=-0.5,-1,0))))),INDEX(LAD_STD,MAX(1,MIN(12,MATCH(AY101,LAD_STD,0)+IF(BD101&gt;=0.5,1,IF(BD101&lt;=-0.5,-1,0)))))))</f>
        <v>A3</v>
      </c>
      <c r="BF101" s="43" t="n"/>
      <c r="BG101" s="41" t="str">
        <f>IF(BF101&lt;&gt;"",BF101,BE101)</f>
        <v>A3</v>
      </c>
      <c r="BH101" s="40" t="str">
        <f>IFERROR(CHOOSE(INDEX(B_RANK,MATCH(BG101,B_LVL,0)),"Band A","Band B","B+ · Player-Coach","Band C","C+ · Player-Coach","Band D","Band E"),"Band X · Consultant")</f>
        <v>Band A</v>
      </c>
      <c r="BI101" s="40" t="str">
        <f>IF(BG101=AY101,"• Same",IF(INDEX(B_VAL,MATCH(BG101,B_LVL,0))&gt;INDEX(B_VAL,MATCH(AY101,B_LVL,0)),"▲ Up","▼ Down"))</f>
        <v>• Same</v>
      </c>
      <c r="BJ101" s="40" t="str">
        <f>IF(OR($M101="",$M101="—",$M101="Not in this file"),"",IFERROR(INDEX($BG$7:$BG$592,MATCH($M101,$D$7:$D$592,0)),""))</f>
        <v>B1</v>
      </c>
      <c r="BK101" s="40" t="str">
        <f>IFERROR(IF(BJ101="","—",IF(OR(LEFT(BG101,1)="X",LEFT(BJ101,1)="X"),"—",IF(AND(LEFT(BG101,1)="E",LEFT(BJ101,1)="E"),"Exception · Band E",IF(AND(INDEX(B_VAL,MATCH(BJ101,B_LVL,0))&gt;=7,INDEX(B_RANK,MATCH(BG101,B_LVL,0))&gt;=INDEX(B_RANK,MATCH(BJ101,B_LVL,0))),"⚠ Same band as a head manager",IF(INDEX(B_VAL,MATCH(BG101,B_LVL,0))&gt;=INDEX(B_VAL,MATCH(BJ101,B_LVL,0)),"⚠ At or above the manager's level","OK"))))),"—")</f>
        <v>OK</v>
      </c>
      <c r="BL101" s="43" t="n"/>
      <c r="BM101" s="44">
        <f>IFERROR(INDEX(LMH_PTS,MATCH(Y101,LMH_KEY,0)),0)</f>
        <v>9</v>
      </c>
      <c r="BN101" s="38">
        <f>IFERROR(INDEX(LMH_PTS,MATCH(Z101,LMH_KEY,0)),0)</f>
        <v>3</v>
      </c>
      <c r="BO101" s="38">
        <f>IFERROR(INDEX(LMH_PTS,MATCH(AA101,LMH_KEY,0)),0)</f>
        <v>3</v>
      </c>
      <c r="BP101" s="38">
        <f>IFERROR(INDEX(LMH_PTS,MATCH(AB101,LMH_KEY,0)),0)</f>
        <v>1</v>
      </c>
      <c r="BQ101" s="38">
        <f>IFERROR(INDEX(LMH_PTS,MATCH(AC101,LMH_KEY,0)),0)</f>
        <v>1</v>
      </c>
      <c r="BR101" s="38">
        <f>IFERROR(INDEX(LMH_PTS,MATCH(AD101,LMH_KEY,0)),0)</f>
        <v>1</v>
      </c>
      <c r="BS101" s="38">
        <f>IFERROR(INDEX(LMH_PTS,MATCH(AE101,LMH_KEY,0)),0)</f>
        <v>1</v>
      </c>
      <c r="BT101" s="38">
        <f>IFERROR(INDEX(LMH_STEP,MATCH(AF101,LMH_KEY,0)),0)</f>
        <v>0</v>
      </c>
      <c r="BU101" s="38">
        <f>IFERROR(INDEX(LMH_STEP,MATCH(AG101,LMH_KEY,0)),0)</f>
        <v>0</v>
      </c>
      <c r="BV101" s="38">
        <f>IFERROR(INDEX(LMH_STEP,MATCH(AH101,LMH_KEY,0)),0)</f>
        <v>0</v>
      </c>
      <c r="BW101" s="38">
        <f>IFERROR(INDEX(LMH_STEP,MATCH(AI101,LMH_KEY,0)),0)</f>
        <v>0</v>
      </c>
      <c r="BX101" s="38">
        <f>IFERROR(INDEX(LMH_STEP,MATCH(AJ101,LMH_KEY,0)),0)</f>
        <v>0</v>
      </c>
      <c r="BY101" s="38">
        <f>IFERROR(INDEX(LMH_STEP,MATCH(AK101,LMH_KEY,0)),0)</f>
        <v>0</v>
      </c>
      <c r="BZ101" s="38">
        <f>IFERROR(INDEX(LMH_STEP,MATCH(AL101,LMH_KEY,0)),0)</f>
        <v>0</v>
      </c>
      <c r="CA101" s="38" t="inlineStr">
        <is>
          <t>CARBON|Services|Senior Financial Analyst|A3|A</t>
        </is>
      </c>
    </row>
    <row r="102" ht="110" customHeight="1">
      <c r="A102" s="28" t="inlineStr">
        <is>
          <t>CARBON</t>
        </is>
      </c>
      <c r="B102" s="29" t="inlineStr">
        <is>
          <t>Services</t>
        </is>
      </c>
      <c r="C102" s="29" t="n">
        <v>7</v>
      </c>
      <c r="D102" s="29" t="inlineStr">
        <is>
          <t>IRISC212</t>
        </is>
      </c>
      <c r="E102" s="29" t="inlineStr">
        <is>
          <t>Vishakha Vitmal</t>
        </is>
      </c>
      <c r="F102" s="29" t="inlineStr">
        <is>
          <t>Consultant</t>
        </is>
      </c>
      <c r="G102" s="29" t="inlineStr">
        <is>
          <t>Senior Financial Analyst</t>
        </is>
      </c>
      <c r="H102" s="29" t="inlineStr">
        <is>
          <t>Consulting &amp; Professional Services</t>
        </is>
      </c>
      <c r="I102" s="29" t="inlineStr">
        <is>
          <t>XBRL Tagging, Conversion &amp; Filing</t>
        </is>
      </c>
      <c r="J102" s="29" t="inlineStr">
        <is>
          <t>IC</t>
        </is>
      </c>
      <c r="K102" s="29" t="inlineStr">
        <is>
          <t>RC-025</t>
        </is>
      </c>
      <c r="L102" s="29" t="inlineStr">
        <is>
          <t>Priyanka Mehra</t>
        </is>
      </c>
      <c r="M102" s="29" t="inlineStr">
        <is>
          <t>IRIS2071</t>
        </is>
      </c>
      <c r="N102" s="29" t="n">
        <v>5.2</v>
      </c>
      <c r="O102" s="29" t="n">
        <v>5.2</v>
      </c>
      <c r="P102" s="29" t="inlineStr">
        <is>
          <t>B.Com</t>
        </is>
      </c>
      <c r="Q102" s="29" t="inlineStr">
        <is>
          <t>L3 – Professional / Associate</t>
        </is>
      </c>
      <c r="R102" s="29" t="inlineStr">
        <is>
          <t>A3</t>
        </is>
      </c>
      <c r="S102" s="30" t="inlineStr">
        <is>
          <t>19 of 20</t>
        </is>
      </c>
      <c r="T102" s="31" t="inlineStr">
        <is>
          <t>• Role / sub-team: Tagging.</t>
        </is>
      </c>
      <c r="U102"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102" s="31" t="inlineStr">
        <is>
          <t>Latest rating: 3 · Potential: Medium · 9-box: Core Contributor · Readiness: Develop in role</t>
        </is>
      </c>
      <c r="W102" s="31" t="inlineStr">
        <is>
          <t>C M · Au M · Ac M · L L · BI M · Exp H · 5.2 yrs vs 2–4 yrs · Edu M · B.Com</t>
        </is>
      </c>
      <c r="X102" s="33" t="inlineStr">
        <is>
          <t>Open ▸</t>
        </is>
      </c>
      <c r="Y102" s="34" t="str">
        <f>IFERROR(INDEX(DL_C,MATCH($CA102,DL_KEY,0)),"M")</f>
        <v>H</v>
      </c>
      <c r="Z102" s="35" t="str">
        <f>IFERROR(INDEX(DL_Au,MATCH($CA102,DL_KEY,0)),"M")</f>
        <v>M</v>
      </c>
      <c r="AA102" s="35" t="str">
        <f>IFERROR(INDEX(DL_Ac,MATCH($CA102,DL_KEY,0)),"M")</f>
        <v>M</v>
      </c>
      <c r="AB102" s="35" t="str">
        <f>IFERROR(INDEX(DL_L,MATCH($CA102,DL_KEY,0)),"M")</f>
        <v>L</v>
      </c>
      <c r="AC102" s="35" t="str">
        <f>IFERROR(INDEX(DL_BI,MATCH($CA102,DL_KEY,0)),"M")</f>
        <v>L</v>
      </c>
      <c r="AD102" s="35" t="str">
        <f>IFERROR(INDEX(DL_Exp,MATCH($CA102,DL_KEY,0)),"M")</f>
        <v>L</v>
      </c>
      <c r="AE102" s="35" t="str">
        <f>IFERROR(INDEX(DL_Edu,MATCH($CA102,DL_KEY,0)),"M")</f>
        <v>L</v>
      </c>
      <c r="AF102" s="34" t="inlineStr">
        <is>
          <t>M</t>
        </is>
      </c>
      <c r="AG102" s="35" t="inlineStr">
        <is>
          <t>M</t>
        </is>
      </c>
      <c r="AH102" s="35" t="inlineStr">
        <is>
          <t>M</t>
        </is>
      </c>
      <c r="AI102" s="35" t="inlineStr">
        <is>
          <t>M</t>
        </is>
      </c>
      <c r="AJ102" s="35" t="inlineStr">
        <is>
          <t>M</t>
        </is>
      </c>
      <c r="AK102" s="35" t="inlineStr">
        <is>
          <t>M</t>
        </is>
      </c>
      <c r="AL102" s="35" t="inlineStr">
        <is>
          <t>M</t>
        </is>
      </c>
      <c r="AM102" s="36" t="n">
        <v>0.583</v>
      </c>
      <c r="AN102" s="37" t="n">
        <v>0.16</v>
      </c>
      <c r="AO102" s="37" t="n">
        <v>0.09</v>
      </c>
      <c r="AP102" s="37" t="n">
        <v>0</v>
      </c>
      <c r="AQ102" s="37" t="n">
        <v>0.063</v>
      </c>
      <c r="AR102" s="37" t="n">
        <v>0.06</v>
      </c>
      <c r="AS102" s="37" t="n">
        <v>0.04</v>
      </c>
      <c r="AT102" s="38" t="inlineStr">
        <is>
          <t>2–5</t>
        </is>
      </c>
      <c r="AU102" s="38" t="inlineStr">
        <is>
          <t>Graduate; relevant certification preferred</t>
        </is>
      </c>
      <c r="AV102" s="38" t="inlineStr">
        <is>
          <t>None · guides 1–3 juniors informally</t>
        </is>
      </c>
      <c r="AW102" s="38" t="inlineStr">
        <is>
          <t>P2 · SFIA 3 Apply</t>
        </is>
      </c>
      <c r="AX10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02" s="39" t="inlineStr">
        <is>
          <t>A3</t>
        </is>
      </c>
      <c r="AZ102" s="40" t="inlineStr">
        <is>
          <t>Band A · Practitioner · Senior Associate</t>
        </is>
      </c>
      <c r="BA102" s="40" t="inlineStr">
        <is>
          <t>Model A3 from the six ratings, the market-derived weights and rules R1–R13 · then No change · already below the manager</t>
        </is>
      </c>
      <c r="BB102" s="41" t="inlineStr">
        <is>
          <t>A3</t>
        </is>
      </c>
      <c r="BC102" s="40" t="inlineStr">
        <is>
          <t>The six ratings on the market-average weights of Band A · all tracks score 2.68 → A3 · Hay, Mercer IPE and public plans · experience 5.2 yrs vs the A3 market range 2–5</t>
        </is>
      </c>
      <c r="BD102" s="42">
        <f>IF(SUM(BM102,BN102,BO102,BP102,BQ102,BR102,BS102)=0,0,(BM102*BT102+BN102*BU102+BO102*BV102+BP102*BW102+BQ102*BX102+BR102*BY102+BS102*BZ102)/SUM(BM102,BN102,BO102,BP102,BQ102,BR102,BS102))</f>
        <v>0</v>
      </c>
      <c r="BE102" s="41" t="str">
        <f>IF(LEFT(AY102,1)="X",AY102,IF(OR(AY102="B+",AY102="C+"),INDEX(LAD_PC,MAX(1,MIN(14,MATCH(AY102,LAD_PC,0)+IF(BD102&gt;=0.5,1,IF(BD102&lt;=-0.5,-1,0))))),INDEX(LAD_STD,MAX(1,MIN(12,MATCH(AY102,LAD_STD,0)+IF(BD102&gt;=0.5,1,IF(BD102&lt;=-0.5,-1,0)))))))</f>
        <v>A3</v>
      </c>
      <c r="BF102" s="43" t="n"/>
      <c r="BG102" s="41" t="str">
        <f>IF(BF102&lt;&gt;"",BF102,BE102)</f>
        <v>A3</v>
      </c>
      <c r="BH102" s="40" t="str">
        <f>IFERROR(CHOOSE(INDEX(B_RANK,MATCH(BG102,B_LVL,0)),"Band A","Band B","B+ · Player-Coach","Band C","C+ · Player-Coach","Band D","Band E"),"Band X · Consultant")</f>
        <v>Band A</v>
      </c>
      <c r="BI102" s="40" t="str">
        <f>IF(BG102=AY102,"• Same",IF(INDEX(B_VAL,MATCH(BG102,B_LVL,0))&gt;INDEX(B_VAL,MATCH(AY102,B_LVL,0)),"▲ Up","▼ Down"))</f>
        <v>• Same</v>
      </c>
      <c r="BJ102" s="40" t="str">
        <f>IF(OR($M102="",$M102="—",$M102="Not in this file"),"",IFERROR(INDEX($BG$7:$BG$592,MATCH($M102,$D$7:$D$592,0)),""))</f>
        <v>B1</v>
      </c>
      <c r="BK102" s="40" t="str">
        <f>IFERROR(IF(BJ102="","—",IF(OR(LEFT(BG102,1)="X",LEFT(BJ102,1)="X"),"—",IF(AND(LEFT(BG102,1)="E",LEFT(BJ102,1)="E"),"Exception · Band E",IF(AND(INDEX(B_VAL,MATCH(BJ102,B_LVL,0))&gt;=7,INDEX(B_RANK,MATCH(BG102,B_LVL,0))&gt;=INDEX(B_RANK,MATCH(BJ102,B_LVL,0))),"⚠ Same band as a head manager",IF(INDEX(B_VAL,MATCH(BG102,B_LVL,0))&gt;=INDEX(B_VAL,MATCH(BJ102,B_LVL,0)),"⚠ At or above the manager's level","OK"))))),"—")</f>
        <v>OK</v>
      </c>
      <c r="BL102" s="43" t="n"/>
      <c r="BM102" s="44">
        <f>IFERROR(INDEX(LMH_PTS,MATCH(Y102,LMH_KEY,0)),0)</f>
        <v>9</v>
      </c>
      <c r="BN102" s="38">
        <f>IFERROR(INDEX(LMH_PTS,MATCH(Z102,LMH_KEY,0)),0)</f>
        <v>3</v>
      </c>
      <c r="BO102" s="38">
        <f>IFERROR(INDEX(LMH_PTS,MATCH(AA102,LMH_KEY,0)),0)</f>
        <v>3</v>
      </c>
      <c r="BP102" s="38">
        <f>IFERROR(INDEX(LMH_PTS,MATCH(AB102,LMH_KEY,0)),0)</f>
        <v>1</v>
      </c>
      <c r="BQ102" s="38">
        <f>IFERROR(INDEX(LMH_PTS,MATCH(AC102,LMH_KEY,0)),0)</f>
        <v>1</v>
      </c>
      <c r="BR102" s="38">
        <f>IFERROR(INDEX(LMH_PTS,MATCH(AD102,LMH_KEY,0)),0)</f>
        <v>1</v>
      </c>
      <c r="BS102" s="38">
        <f>IFERROR(INDEX(LMH_PTS,MATCH(AE102,LMH_KEY,0)),0)</f>
        <v>1</v>
      </c>
      <c r="BT102" s="38">
        <f>IFERROR(INDEX(LMH_STEP,MATCH(AF102,LMH_KEY,0)),0)</f>
        <v>0</v>
      </c>
      <c r="BU102" s="38">
        <f>IFERROR(INDEX(LMH_STEP,MATCH(AG102,LMH_KEY,0)),0)</f>
        <v>0</v>
      </c>
      <c r="BV102" s="38">
        <f>IFERROR(INDEX(LMH_STEP,MATCH(AH102,LMH_KEY,0)),0)</f>
        <v>0</v>
      </c>
      <c r="BW102" s="38">
        <f>IFERROR(INDEX(LMH_STEP,MATCH(AI102,LMH_KEY,0)),0)</f>
        <v>0</v>
      </c>
      <c r="BX102" s="38">
        <f>IFERROR(INDEX(LMH_STEP,MATCH(AJ102,LMH_KEY,0)),0)</f>
        <v>0</v>
      </c>
      <c r="BY102" s="38">
        <f>IFERROR(INDEX(LMH_STEP,MATCH(AK102,LMH_KEY,0)),0)</f>
        <v>0</v>
      </c>
      <c r="BZ102" s="38">
        <f>IFERROR(INDEX(LMH_STEP,MATCH(AL102,LMH_KEY,0)),0)</f>
        <v>0</v>
      </c>
      <c r="CA102" s="38" t="inlineStr">
        <is>
          <t>CARBON|Services|Senior Financial Analyst|A3|A</t>
        </is>
      </c>
    </row>
    <row r="103" ht="110" customHeight="1">
      <c r="A103" s="28" t="inlineStr">
        <is>
          <t>CARBON</t>
        </is>
      </c>
      <c r="B103" s="29" t="inlineStr">
        <is>
          <t>Services</t>
        </is>
      </c>
      <c r="C103" s="29" t="n">
        <v>7</v>
      </c>
      <c r="D103" s="29" t="inlineStr">
        <is>
          <t>IRISC341</t>
        </is>
      </c>
      <c r="E103" s="29" t="inlineStr">
        <is>
          <t>Anjali Singh</t>
        </is>
      </c>
      <c r="F103" s="29" t="inlineStr">
        <is>
          <t>Consultant</t>
        </is>
      </c>
      <c r="G103" s="29" t="inlineStr">
        <is>
          <t>Financial Analyst</t>
        </is>
      </c>
      <c r="H103" s="29" t="inlineStr">
        <is>
          <t>Consulting &amp; Professional Services</t>
        </is>
      </c>
      <c r="I103" s="29" t="inlineStr">
        <is>
          <t>XBRL Tagging, Conversion &amp; Filing</t>
        </is>
      </c>
      <c r="J103" s="29" t="inlineStr">
        <is>
          <t>IC</t>
        </is>
      </c>
      <c r="K103" s="29" t="inlineStr">
        <is>
          <t>RC-024</t>
        </is>
      </c>
      <c r="L103" s="29" t="inlineStr">
        <is>
          <t>Priyanka Mehra</t>
        </is>
      </c>
      <c r="M103" s="29" t="inlineStr">
        <is>
          <t>IRIS2071</t>
        </is>
      </c>
      <c r="N103" s="29" t="n">
        <v>1.3</v>
      </c>
      <c r="O103" s="29" t="n">
        <v>0.6</v>
      </c>
      <c r="P103" s="29" t="inlineStr">
        <is>
          <t>M.Com</t>
        </is>
      </c>
      <c r="Q103" s="29" t="inlineStr">
        <is>
          <t>L3 – Professional / Associate</t>
        </is>
      </c>
      <c r="R103" s="29" t="inlineStr">
        <is>
          <t>A2</t>
        </is>
      </c>
      <c r="S103" s="30" t="inlineStr">
        <is>
          <t>20 of 20</t>
        </is>
      </c>
      <c r="T103" s="31" t="inlineStr">
        <is>
          <t>• Role / sub-team: CIPC.</t>
        </is>
      </c>
      <c r="U103"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103" s="31" t="inlineStr">
        <is>
          <t>Latest rating: 2 · Potential: Low · 9-box: Reliable Specialist · Readiness: Performance first</t>
        </is>
      </c>
      <c r="W103" s="31" t="inlineStr">
        <is>
          <t>C M · Au M · Ac M · L L · BI M · Exp M · 1.3 yrs vs 0–2 yrs · Edu H · M.Com</t>
        </is>
      </c>
      <c r="X103" s="33" t="inlineStr">
        <is>
          <t>Open ▸</t>
        </is>
      </c>
      <c r="Y103" s="34" t="str">
        <f>IFERROR(INDEX(DL_C,MATCH($CA103,DL_KEY,0)),"M")</f>
        <v>H</v>
      </c>
      <c r="Z103" s="35" t="str">
        <f>IFERROR(INDEX(DL_Au,MATCH($CA103,DL_KEY,0)),"M")</f>
        <v>M</v>
      </c>
      <c r="AA103" s="35" t="str">
        <f>IFERROR(INDEX(DL_Ac,MATCH($CA103,DL_KEY,0)),"M")</f>
        <v>M</v>
      </c>
      <c r="AB103" s="35" t="str">
        <f>IFERROR(INDEX(DL_L,MATCH($CA103,DL_KEY,0)),"M")</f>
        <v>L</v>
      </c>
      <c r="AC103" s="35" t="str">
        <f>IFERROR(INDEX(DL_BI,MATCH($CA103,DL_KEY,0)),"M")</f>
        <v>L</v>
      </c>
      <c r="AD103" s="35" t="str">
        <f>IFERROR(INDEX(DL_Exp,MATCH($CA103,DL_KEY,0)),"M")</f>
        <v>L</v>
      </c>
      <c r="AE103" s="35" t="str">
        <f>IFERROR(INDEX(DL_Edu,MATCH($CA103,DL_KEY,0)),"M")</f>
        <v>L</v>
      </c>
      <c r="AF103" s="34" t="inlineStr">
        <is>
          <t>M</t>
        </is>
      </c>
      <c r="AG103" s="35" t="inlineStr">
        <is>
          <t>M</t>
        </is>
      </c>
      <c r="AH103" s="35" t="inlineStr">
        <is>
          <t>M</t>
        </is>
      </c>
      <c r="AI103" s="35" t="inlineStr">
        <is>
          <t>M</t>
        </is>
      </c>
      <c r="AJ103" s="35" t="inlineStr">
        <is>
          <t>M</t>
        </is>
      </c>
      <c r="AK103" s="35" t="inlineStr">
        <is>
          <t>M</t>
        </is>
      </c>
      <c r="AL103" s="35" t="inlineStr">
        <is>
          <t>M</t>
        </is>
      </c>
      <c r="AM103" s="36" t="n">
        <v>0.583</v>
      </c>
      <c r="AN103" s="37" t="n">
        <v>0.16</v>
      </c>
      <c r="AO103" s="37" t="n">
        <v>0.09</v>
      </c>
      <c r="AP103" s="37" t="n">
        <v>0</v>
      </c>
      <c r="AQ103" s="37" t="n">
        <v>0.063</v>
      </c>
      <c r="AR103" s="37" t="n">
        <v>0.06</v>
      </c>
      <c r="AS103" s="37" t="n">
        <v>0.04</v>
      </c>
      <c r="AT103" s="38" t="inlineStr">
        <is>
          <t>0–3</t>
        </is>
      </c>
      <c r="AU103" s="38" t="inlineStr">
        <is>
          <t>Graduate · or diploma with experience</t>
        </is>
      </c>
      <c r="AV103" s="38" t="inlineStr">
        <is>
          <t>No direct reports</t>
        </is>
      </c>
      <c r="AW103" s="38" t="inlineStr">
        <is>
          <t>P1–P2 · SFIA 2 Assist</t>
        </is>
      </c>
      <c r="AX10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03" s="39" t="inlineStr">
        <is>
          <t>A2</t>
        </is>
      </c>
      <c r="AZ103" s="40" t="inlineStr">
        <is>
          <t>Band A · Practitioner · Associate</t>
        </is>
      </c>
      <c r="BA103" s="40" t="inlineStr">
        <is>
          <t>Model A2 from the six ratings, the market-derived weights and rules R1–R13 · then No change · already below the manager</t>
        </is>
      </c>
      <c r="BB103" s="41" t="inlineStr">
        <is>
          <t>A2</t>
        </is>
      </c>
      <c r="BC103" s="40" t="inlineStr">
        <is>
          <t>The six ratings on the market-average weights of Band A · all tracks score 2.08 → A2 · Hay, Mercer IPE and public plans · experience 1.3 yrs vs the A2 market range 0–3</t>
        </is>
      </c>
      <c r="BD103" s="42">
        <f>IF(SUM(BM103,BN103,BO103,BP103,BQ103,BR103,BS103)=0,0,(BM103*BT103+BN103*BU103+BO103*BV103+BP103*BW103+BQ103*BX103+BR103*BY103+BS103*BZ103)/SUM(BM103,BN103,BO103,BP103,BQ103,BR103,BS103))</f>
        <v>0</v>
      </c>
      <c r="BE103" s="41" t="str">
        <f>IF(LEFT(AY103,1)="X",AY103,IF(OR(AY103="B+",AY103="C+"),INDEX(LAD_PC,MAX(1,MIN(14,MATCH(AY103,LAD_PC,0)+IF(BD103&gt;=0.5,1,IF(BD103&lt;=-0.5,-1,0))))),INDEX(LAD_STD,MAX(1,MIN(12,MATCH(AY103,LAD_STD,0)+IF(BD103&gt;=0.5,1,IF(BD103&lt;=-0.5,-1,0)))))))</f>
        <v>A2</v>
      </c>
      <c r="BF103" s="43" t="n"/>
      <c r="BG103" s="41" t="str">
        <f>IF(BF103&lt;&gt;"",BF103,BE103)</f>
        <v>A2</v>
      </c>
      <c r="BH103" s="40" t="str">
        <f>IFERROR(CHOOSE(INDEX(B_RANK,MATCH(BG103,B_LVL,0)),"Band A","Band B","B+ · Player-Coach","Band C","C+ · Player-Coach","Band D","Band E"),"Band X · Consultant")</f>
        <v>Band A</v>
      </c>
      <c r="BI103" s="40" t="str">
        <f>IF(BG103=AY103,"• Same",IF(INDEX(B_VAL,MATCH(BG103,B_LVL,0))&gt;INDEX(B_VAL,MATCH(AY103,B_LVL,0)),"▲ Up","▼ Down"))</f>
        <v>• Same</v>
      </c>
      <c r="BJ103" s="40" t="str">
        <f>IF(OR($M103="",$M103="—",$M103="Not in this file"),"",IFERROR(INDEX($BG$7:$BG$592,MATCH($M103,$D$7:$D$592,0)),""))</f>
        <v>B1</v>
      </c>
      <c r="BK103" s="40" t="str">
        <f>IFERROR(IF(BJ103="","—",IF(OR(LEFT(BG103,1)="X",LEFT(BJ103,1)="X"),"—",IF(AND(LEFT(BG103,1)="E",LEFT(BJ103,1)="E"),"Exception · Band E",IF(AND(INDEX(B_VAL,MATCH(BJ103,B_LVL,0))&gt;=7,INDEX(B_RANK,MATCH(BG103,B_LVL,0))&gt;=INDEX(B_RANK,MATCH(BJ103,B_LVL,0))),"⚠ Same band as a head manager",IF(INDEX(B_VAL,MATCH(BG103,B_LVL,0))&gt;=INDEX(B_VAL,MATCH(BJ103,B_LVL,0)),"⚠ At or above the manager's level","OK"))))),"—")</f>
        <v>OK</v>
      </c>
      <c r="BL103" s="43" t="n"/>
      <c r="BM103" s="44">
        <f>IFERROR(INDEX(LMH_PTS,MATCH(Y103,LMH_KEY,0)),0)</f>
        <v>9</v>
      </c>
      <c r="BN103" s="38">
        <f>IFERROR(INDEX(LMH_PTS,MATCH(Z103,LMH_KEY,0)),0)</f>
        <v>3</v>
      </c>
      <c r="BO103" s="38">
        <f>IFERROR(INDEX(LMH_PTS,MATCH(AA103,LMH_KEY,0)),0)</f>
        <v>3</v>
      </c>
      <c r="BP103" s="38">
        <f>IFERROR(INDEX(LMH_PTS,MATCH(AB103,LMH_KEY,0)),0)</f>
        <v>1</v>
      </c>
      <c r="BQ103" s="38">
        <f>IFERROR(INDEX(LMH_PTS,MATCH(AC103,LMH_KEY,0)),0)</f>
        <v>1</v>
      </c>
      <c r="BR103" s="38">
        <f>IFERROR(INDEX(LMH_PTS,MATCH(AD103,LMH_KEY,0)),0)</f>
        <v>1</v>
      </c>
      <c r="BS103" s="38">
        <f>IFERROR(INDEX(LMH_PTS,MATCH(AE103,LMH_KEY,0)),0)</f>
        <v>1</v>
      </c>
      <c r="BT103" s="38">
        <f>IFERROR(INDEX(LMH_STEP,MATCH(AF103,LMH_KEY,0)),0)</f>
        <v>0</v>
      </c>
      <c r="BU103" s="38">
        <f>IFERROR(INDEX(LMH_STEP,MATCH(AG103,LMH_KEY,0)),0)</f>
        <v>0</v>
      </c>
      <c r="BV103" s="38">
        <f>IFERROR(INDEX(LMH_STEP,MATCH(AH103,LMH_KEY,0)),0)</f>
        <v>0</v>
      </c>
      <c r="BW103" s="38">
        <f>IFERROR(INDEX(LMH_STEP,MATCH(AI103,LMH_KEY,0)),0)</f>
        <v>0</v>
      </c>
      <c r="BX103" s="38">
        <f>IFERROR(INDEX(LMH_STEP,MATCH(AJ103,LMH_KEY,0)),0)</f>
        <v>0</v>
      </c>
      <c r="BY103" s="38">
        <f>IFERROR(INDEX(LMH_STEP,MATCH(AK103,LMH_KEY,0)),0)</f>
        <v>0</v>
      </c>
      <c r="BZ103" s="38">
        <f>IFERROR(INDEX(LMH_STEP,MATCH(AL103,LMH_KEY,0)),0)</f>
        <v>0</v>
      </c>
      <c r="CA103" s="38" t="inlineStr">
        <is>
          <t>CARBON|Services|Financial Analyst|A2|A</t>
        </is>
      </c>
    </row>
    <row r="104" ht="110" customHeight="1">
      <c r="A104" s="28" t="inlineStr">
        <is>
          <t>CARBON</t>
        </is>
      </c>
      <c r="B104" s="29" t="inlineStr">
        <is>
          <t>Services</t>
        </is>
      </c>
      <c r="C104" s="29" t="n">
        <v>6</v>
      </c>
      <c r="D104" s="29" t="inlineStr">
        <is>
          <t>IRIS1705</t>
        </is>
      </c>
      <c r="E104" s="29" t="inlineStr">
        <is>
          <t>Lalita Waghmare</t>
        </is>
      </c>
      <c r="F104" s="29" t="inlineStr">
        <is>
          <t>Financial Analyst</t>
        </is>
      </c>
      <c r="G104" s="29" t="inlineStr">
        <is>
          <t>Team Lead – Assisted Services</t>
        </is>
      </c>
      <c r="H104" s="29" t="inlineStr">
        <is>
          <t>Consulting &amp; Professional Services</t>
        </is>
      </c>
      <c r="I104" s="29" t="inlineStr">
        <is>
          <t>XBRL Tagging, Conversion &amp; Filing</t>
        </is>
      </c>
      <c r="J104" s="29" t="inlineStr">
        <is>
          <t>People Manager</t>
        </is>
      </c>
      <c r="K104" s="29" t="inlineStr">
        <is>
          <t>RC-027</t>
        </is>
      </c>
      <c r="L104" s="29" t="inlineStr">
        <is>
          <t>Mayur Zope</t>
        </is>
      </c>
      <c r="M104" s="29" t="inlineStr">
        <is>
          <t>IRIS0393</t>
        </is>
      </c>
      <c r="N104" s="29" t="n">
        <v>18.3</v>
      </c>
      <c r="O104" s="29" t="n">
        <v>8.6</v>
      </c>
      <c r="P104" s="29" t="inlineStr">
        <is>
          <t>B.Com</t>
        </is>
      </c>
      <c r="Q104" s="29" t="inlineStr">
        <is>
          <t>L3 – Professional / Associate</t>
        </is>
      </c>
      <c r="R104" s="29" t="inlineStr">
        <is>
          <t>B1</t>
        </is>
      </c>
      <c r="S104" s="30" t="inlineStr">
        <is>
          <t>20 of 20</t>
        </is>
      </c>
      <c r="T104" s="31" t="inlineStr">
        <is>
          <t>• Role / sub-team: MCA and ESMA.</t>
        </is>
      </c>
      <c r="U104"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104" s="31" t="inlineStr">
        <is>
          <t>Latest rating: 3 · Potential: Medium · 9-box: Core Contributor · Readiness: Develop in role</t>
        </is>
      </c>
      <c r="W104" s="31" t="inlineStr">
        <is>
          <t>C L · Au L · Ac M · L L · BI M · Exp H · 18.3 yrs vs 4–7 yrs · Edu M · B.Com</t>
        </is>
      </c>
      <c r="X104" s="33" t="inlineStr">
        <is>
          <t>Open ▸</t>
        </is>
      </c>
      <c r="Y104" s="34" t="str">
        <f>IFERROR(INDEX(DL_C,MATCH($CA104,DL_KEY,0)),"M")</f>
        <v>H</v>
      </c>
      <c r="Z104" s="35" t="str">
        <f>IFERROR(INDEX(DL_Au,MATCH($CA104,DL_KEY,0)),"M")</f>
        <v>M</v>
      </c>
      <c r="AA104" s="35" t="str">
        <f>IFERROR(INDEX(DL_Ac,MATCH($CA104,DL_KEY,0)),"M")</f>
        <v>M</v>
      </c>
      <c r="AB104" s="35" t="str">
        <f>IFERROR(INDEX(DL_L,MATCH($CA104,DL_KEY,0)),"M")</f>
        <v>M</v>
      </c>
      <c r="AC104" s="35" t="str">
        <f>IFERROR(INDEX(DL_BI,MATCH($CA104,DL_KEY,0)),"M")</f>
        <v>L</v>
      </c>
      <c r="AD104" s="35" t="str">
        <f>IFERROR(INDEX(DL_Exp,MATCH($CA104,DL_KEY,0)),"M")</f>
        <v>L</v>
      </c>
      <c r="AE104" s="35" t="str">
        <f>IFERROR(INDEX(DL_Edu,MATCH($CA104,DL_KEY,0)),"M")</f>
        <v>L</v>
      </c>
      <c r="AF104" s="34" t="inlineStr">
        <is>
          <t>M</t>
        </is>
      </c>
      <c r="AG104" s="35" t="inlineStr">
        <is>
          <t>M</t>
        </is>
      </c>
      <c r="AH104" s="35" t="inlineStr">
        <is>
          <t>M</t>
        </is>
      </c>
      <c r="AI104" s="35" t="inlineStr">
        <is>
          <t>M</t>
        </is>
      </c>
      <c r="AJ104" s="35" t="inlineStr">
        <is>
          <t>M</t>
        </is>
      </c>
      <c r="AK104" s="35" t="inlineStr">
        <is>
          <t>M</t>
        </is>
      </c>
      <c r="AL104" s="35" t="inlineStr">
        <is>
          <t>M</t>
        </is>
      </c>
      <c r="AM104" s="36" t="n">
        <v>0.37</v>
      </c>
      <c r="AN104" s="37" t="n">
        <v>0.183</v>
      </c>
      <c r="AO104" s="37" t="n">
        <v>0.113</v>
      </c>
      <c r="AP104" s="37" t="n">
        <v>0.15</v>
      </c>
      <c r="AQ104" s="37" t="n">
        <v>0.08699999999999999</v>
      </c>
      <c r="AR104" s="37" t="n">
        <v>0.06</v>
      </c>
      <c r="AS104" s="37" t="n">
        <v>0.04</v>
      </c>
      <c r="AT104" s="38" t="inlineStr">
        <is>
          <t>4–8</t>
        </is>
      </c>
      <c r="AU104" s="38" t="inlineStr">
        <is>
          <t>Graduate + relevant qualification or certification preferred</t>
        </is>
      </c>
      <c r="AV104" s="38" t="inlineStr">
        <is>
          <t>IC: none · Team Lead: 3–5</t>
        </is>
      </c>
      <c r="AW104" s="38" t="inlineStr">
        <is>
          <t>P3 / M2 · SFIA 4 Enable</t>
        </is>
      </c>
      <c r="AX10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04" s="39" t="inlineStr">
        <is>
          <t>B1</t>
        </is>
      </c>
      <c r="AZ104" s="40" t="inlineStr">
        <is>
          <t>Band B · Specialist / Manager · Team Lead / Asst Manager</t>
        </is>
      </c>
      <c r="BA104" s="40" t="inlineStr">
        <is>
          <t>Model B1 from the six ratings, the market-derived weights and rules R1–R13 · then No change · already below the manager</t>
        </is>
      </c>
      <c r="BB104" s="41" t="inlineStr">
        <is>
          <t>B1</t>
        </is>
      </c>
      <c r="BC104" s="40" t="inlineStr">
        <is>
          <t>The six ratings on the market-average weights of Band B · People Manager score 3.56 → B1 · Hay, Mercer IPE and public plans · experience 18.3 yrs vs the B1 market range 4–8</t>
        </is>
      </c>
      <c r="BD104" s="42">
        <f>IF(SUM(BM104,BN104,BO104,BP104,BQ104,BR104,BS104)=0,0,(BM104*BT104+BN104*BU104+BO104*BV104+BP104*BW104+BQ104*BX104+BR104*BY104+BS104*BZ104)/SUM(BM104,BN104,BO104,BP104,BQ104,BR104,BS104))</f>
        <v>0</v>
      </c>
      <c r="BE104" s="41" t="str">
        <f>IF(LEFT(AY104,1)="X",AY104,IF(OR(AY104="B+",AY104="C+"),INDEX(LAD_PC,MAX(1,MIN(14,MATCH(AY104,LAD_PC,0)+IF(BD104&gt;=0.5,1,IF(BD104&lt;=-0.5,-1,0))))),INDEX(LAD_STD,MAX(1,MIN(12,MATCH(AY104,LAD_STD,0)+IF(BD104&gt;=0.5,1,IF(BD104&lt;=-0.5,-1,0)))))))</f>
        <v>B1</v>
      </c>
      <c r="BF104" s="43" t="n"/>
      <c r="BG104" s="41" t="str">
        <f>IF(BF104&lt;&gt;"",BF104,BE104)</f>
        <v>B1</v>
      </c>
      <c r="BH104" s="40" t="str">
        <f>IFERROR(CHOOSE(INDEX(B_RANK,MATCH(BG104,B_LVL,0)),"Band A","Band B","B+ · Player-Coach","Band C","C+ · Player-Coach","Band D","Band E"),"Band X · Consultant")</f>
        <v>Band B</v>
      </c>
      <c r="BI104" s="40" t="str">
        <f>IF(BG104=AY104,"• Same",IF(INDEX(B_VAL,MATCH(BG104,B_LVL,0))&gt;INDEX(B_VAL,MATCH(AY104,B_LVL,0)),"▲ Up","▼ Down"))</f>
        <v>• Same</v>
      </c>
      <c r="BJ104" s="40" t="str">
        <f>IF(OR($M104="",$M104="—",$M104="Not in this file"),"",IFERROR(INDEX($BG$7:$BG$592,MATCH($M104,$D$7:$D$592,0)),""))</f>
        <v>B2</v>
      </c>
      <c r="BK104" s="40" t="str">
        <f>IFERROR(IF(BJ104="","—",IF(OR(LEFT(BG104,1)="X",LEFT(BJ104,1)="X"),"—",IF(AND(LEFT(BG104,1)="E",LEFT(BJ104,1)="E"),"Exception · Band E",IF(AND(INDEX(B_VAL,MATCH(BJ104,B_LVL,0))&gt;=7,INDEX(B_RANK,MATCH(BG104,B_LVL,0))&gt;=INDEX(B_RANK,MATCH(BJ104,B_LVL,0))),"⚠ Same band as a head manager",IF(INDEX(B_VAL,MATCH(BG104,B_LVL,0))&gt;=INDEX(B_VAL,MATCH(BJ104,B_LVL,0)),"⚠ At or above the manager's level","OK"))))),"—")</f>
        <v>OK</v>
      </c>
      <c r="BL104" s="43" t="n"/>
      <c r="BM104" s="44">
        <f>IFERROR(INDEX(LMH_PTS,MATCH(Y104,LMH_KEY,0)),0)</f>
        <v>9</v>
      </c>
      <c r="BN104" s="38">
        <f>IFERROR(INDEX(LMH_PTS,MATCH(Z104,LMH_KEY,0)),0)</f>
        <v>3</v>
      </c>
      <c r="BO104" s="38">
        <f>IFERROR(INDEX(LMH_PTS,MATCH(AA104,LMH_KEY,0)),0)</f>
        <v>3</v>
      </c>
      <c r="BP104" s="38">
        <f>IFERROR(INDEX(LMH_PTS,MATCH(AB104,LMH_KEY,0)),0)</f>
        <v>3</v>
      </c>
      <c r="BQ104" s="38">
        <f>IFERROR(INDEX(LMH_PTS,MATCH(AC104,LMH_KEY,0)),0)</f>
        <v>1</v>
      </c>
      <c r="BR104" s="38">
        <f>IFERROR(INDEX(LMH_PTS,MATCH(AD104,LMH_KEY,0)),0)</f>
        <v>1</v>
      </c>
      <c r="BS104" s="38">
        <f>IFERROR(INDEX(LMH_PTS,MATCH(AE104,LMH_KEY,0)),0)</f>
        <v>1</v>
      </c>
      <c r="BT104" s="38">
        <f>IFERROR(INDEX(LMH_STEP,MATCH(AF104,LMH_KEY,0)),0)</f>
        <v>0</v>
      </c>
      <c r="BU104" s="38">
        <f>IFERROR(INDEX(LMH_STEP,MATCH(AG104,LMH_KEY,0)),0)</f>
        <v>0</v>
      </c>
      <c r="BV104" s="38">
        <f>IFERROR(INDEX(LMH_STEP,MATCH(AH104,LMH_KEY,0)),0)</f>
        <v>0</v>
      </c>
      <c r="BW104" s="38">
        <f>IFERROR(INDEX(LMH_STEP,MATCH(AI104,LMH_KEY,0)),0)</f>
        <v>0</v>
      </c>
      <c r="BX104" s="38">
        <f>IFERROR(INDEX(LMH_STEP,MATCH(AJ104,LMH_KEY,0)),0)</f>
        <v>0</v>
      </c>
      <c r="BY104" s="38">
        <f>IFERROR(INDEX(LMH_STEP,MATCH(AK104,LMH_KEY,0)),0)</f>
        <v>0</v>
      </c>
      <c r="BZ104" s="38">
        <f>IFERROR(INDEX(LMH_STEP,MATCH(AL104,LMH_KEY,0)),0)</f>
        <v>0</v>
      </c>
      <c r="CA104" s="38" t="inlineStr">
        <is>
          <t>CARBON|Services|Team Lead – Assisted Services|B1|B-M</t>
        </is>
      </c>
    </row>
    <row r="105" ht="110" customHeight="1">
      <c r="A105" s="28" t="inlineStr">
        <is>
          <t>CARBON</t>
        </is>
      </c>
      <c r="B105" s="29" t="inlineStr">
        <is>
          <t>Services</t>
        </is>
      </c>
      <c r="C105" s="29" t="n">
        <v>7</v>
      </c>
      <c r="D105" s="29" t="inlineStr">
        <is>
          <t>IRIS0574</t>
        </is>
      </c>
      <c r="E105" s="29" t="inlineStr">
        <is>
          <t>Sandeep Dhere</t>
        </is>
      </c>
      <c r="F105" s="29" t="inlineStr">
        <is>
          <t>Senior Financial Analyst</t>
        </is>
      </c>
      <c r="G105" s="29" t="inlineStr">
        <is>
          <t>XBRL Specialist</t>
        </is>
      </c>
      <c r="H105" s="29" t="inlineStr">
        <is>
          <t>Consulting &amp; Professional Services</t>
        </is>
      </c>
      <c r="I105" s="29" t="inlineStr">
        <is>
          <t>XBRL Tagging, Conversion &amp; Filing</t>
        </is>
      </c>
      <c r="J105" s="29" t="inlineStr">
        <is>
          <t>IC</t>
        </is>
      </c>
      <c r="K105" s="29" t="inlineStr">
        <is>
          <t>RC-026</t>
        </is>
      </c>
      <c r="L105" s="29" t="inlineStr">
        <is>
          <t>Lalita Waghmare</t>
        </is>
      </c>
      <c r="M105" s="29" t="inlineStr">
        <is>
          <t>IRIS1705</t>
        </is>
      </c>
      <c r="N105" s="29" t="n">
        <v>15.5</v>
      </c>
      <c r="O105" s="29" t="n">
        <v>15.5</v>
      </c>
      <c r="P105" s="29" t="inlineStr">
        <is>
          <t>B.Com</t>
        </is>
      </c>
      <c r="Q105" s="29" t="inlineStr">
        <is>
          <t>L4 – Senior</t>
        </is>
      </c>
      <c r="R105" s="29" t="inlineStr">
        <is>
          <t>B1</t>
        </is>
      </c>
      <c r="S105" s="30" t="inlineStr">
        <is>
          <t>20 of 20</t>
        </is>
      </c>
      <c r="T105" s="31" t="inlineStr">
        <is>
          <t>• Role / sub-team: Xbrl tagging in EU and MCA.</t>
        </is>
      </c>
      <c r="U105"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105" s="31" t="inlineStr">
        <is>
          <t>Latest rating: 3 · Potential: Medium · 9-box: Core Contributor · Readiness: Develop in role</t>
        </is>
      </c>
      <c r="W105" s="31" t="inlineStr">
        <is>
          <t>C M · Au M · Ac M · L L · BI M · Exp H · 15.5 yrs vs 2–4 yrs · Edu M · B.Com</t>
        </is>
      </c>
      <c r="X105" s="33" t="inlineStr">
        <is>
          <t>Open ▸</t>
        </is>
      </c>
      <c r="Y105" s="34" t="str">
        <f>IFERROR(INDEX(DL_C,MATCH($CA105,DL_KEY,0)),"M")</f>
        <v>H</v>
      </c>
      <c r="Z105" s="35" t="str">
        <f>IFERROR(INDEX(DL_Au,MATCH($CA105,DL_KEY,0)),"M")</f>
        <v>M</v>
      </c>
      <c r="AA105" s="35" t="str">
        <f>IFERROR(INDEX(DL_Ac,MATCH($CA105,DL_KEY,0)),"M")</f>
        <v>M</v>
      </c>
      <c r="AB105" s="35" t="str">
        <f>IFERROR(INDEX(DL_L,MATCH($CA105,DL_KEY,0)),"M")</f>
        <v>L</v>
      </c>
      <c r="AC105" s="35" t="str">
        <f>IFERROR(INDEX(DL_BI,MATCH($CA105,DL_KEY,0)),"M")</f>
        <v>L</v>
      </c>
      <c r="AD105" s="35" t="str">
        <f>IFERROR(INDEX(DL_Exp,MATCH($CA105,DL_KEY,0)),"M")</f>
        <v>L</v>
      </c>
      <c r="AE105" s="35" t="str">
        <f>IFERROR(INDEX(DL_Edu,MATCH($CA105,DL_KEY,0)),"M")</f>
        <v>L</v>
      </c>
      <c r="AF105" s="34" t="inlineStr">
        <is>
          <t>M</t>
        </is>
      </c>
      <c r="AG105" s="35" t="inlineStr">
        <is>
          <t>M</t>
        </is>
      </c>
      <c r="AH105" s="35" t="inlineStr">
        <is>
          <t>M</t>
        </is>
      </c>
      <c r="AI105" s="35" t="inlineStr">
        <is>
          <t>M</t>
        </is>
      </c>
      <c r="AJ105" s="35" t="inlineStr">
        <is>
          <t>M</t>
        </is>
      </c>
      <c r="AK105" s="35" t="inlineStr">
        <is>
          <t>M</t>
        </is>
      </c>
      <c r="AL105" s="35" t="inlineStr">
        <is>
          <t>M</t>
        </is>
      </c>
      <c r="AM105" s="36" t="n">
        <v>0.583</v>
      </c>
      <c r="AN105" s="37" t="n">
        <v>0.16</v>
      </c>
      <c r="AO105" s="37" t="n">
        <v>0.09</v>
      </c>
      <c r="AP105" s="37" t="n">
        <v>0</v>
      </c>
      <c r="AQ105" s="37" t="n">
        <v>0.063</v>
      </c>
      <c r="AR105" s="37" t="n">
        <v>0.06</v>
      </c>
      <c r="AS105" s="37" t="n">
        <v>0.04</v>
      </c>
      <c r="AT105" s="38" t="inlineStr">
        <is>
          <t>2–5</t>
        </is>
      </c>
      <c r="AU105" s="38" t="inlineStr">
        <is>
          <t>Graduate; relevant certification preferred</t>
        </is>
      </c>
      <c r="AV105" s="38" t="inlineStr">
        <is>
          <t>None · guides 1–3 juniors informally</t>
        </is>
      </c>
      <c r="AW105" s="38" t="inlineStr">
        <is>
          <t>P2 · SFIA 3 Apply</t>
        </is>
      </c>
      <c r="AX10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05" s="39" t="inlineStr">
        <is>
          <t>A3</t>
        </is>
      </c>
      <c r="AZ105" s="40" t="inlineStr">
        <is>
          <t>Band A · Practitioner · Senior Associate</t>
        </is>
      </c>
      <c r="BA105" s="40" t="inlineStr">
        <is>
          <t>Model B1 from the six ratings, the market-derived weights and rules R1–R13 · then Level rule: manager B1; a reportee sits at least one level below · B1 → A3 · move down · pay and title protected for one cycle</t>
        </is>
      </c>
      <c r="BB105" s="41" t="inlineStr">
        <is>
          <t>B1</t>
        </is>
      </c>
      <c r="BC105" s="40" t="inlineStr">
        <is>
          <t>The six ratings on the market-average weights of Band A · all tracks score 3.58 → B1 · Hay, Mercer IPE and public plans · experience 15.5 yrs vs the B1 market range 4–8</t>
        </is>
      </c>
      <c r="BD105" s="42">
        <f>IF(SUM(BM105,BN105,BO105,BP105,BQ105,BR105,BS105)=0,0,(BM105*BT105+BN105*BU105+BO105*BV105+BP105*BW105+BQ105*BX105+BR105*BY105+BS105*BZ105)/SUM(BM105,BN105,BO105,BP105,BQ105,BR105,BS105))</f>
        <v>0</v>
      </c>
      <c r="BE105" s="41" t="str">
        <f>IF(LEFT(AY105,1)="X",AY105,IF(OR(AY105="B+",AY105="C+"),INDEX(LAD_PC,MAX(1,MIN(14,MATCH(AY105,LAD_PC,0)+IF(BD105&gt;=0.5,1,IF(BD105&lt;=-0.5,-1,0))))),INDEX(LAD_STD,MAX(1,MIN(12,MATCH(AY105,LAD_STD,0)+IF(BD105&gt;=0.5,1,IF(BD105&lt;=-0.5,-1,0)))))))</f>
        <v>A3</v>
      </c>
      <c r="BF105" s="43" t="n"/>
      <c r="BG105" s="41" t="str">
        <f>IF(BF105&lt;&gt;"",BF105,BE105)</f>
        <v>A3</v>
      </c>
      <c r="BH105" s="40" t="str">
        <f>IFERROR(CHOOSE(INDEX(B_RANK,MATCH(BG105,B_LVL,0)),"Band A","Band B","B+ · Player-Coach","Band C","C+ · Player-Coach","Band D","Band E"),"Band X · Consultant")</f>
        <v>Band A</v>
      </c>
      <c r="BI105" s="40" t="str">
        <f>IF(BG105=AY105,"• Same",IF(INDEX(B_VAL,MATCH(BG105,B_LVL,0))&gt;INDEX(B_VAL,MATCH(AY105,B_LVL,0)),"▲ Up","▼ Down"))</f>
        <v>• Same</v>
      </c>
      <c r="BJ105" s="40" t="str">
        <f>IF(OR($M105="",$M105="—",$M105="Not in this file"),"",IFERROR(INDEX($BG$7:$BG$592,MATCH($M105,$D$7:$D$592,0)),""))</f>
        <v>B1</v>
      </c>
      <c r="BK105" s="40" t="str">
        <f>IFERROR(IF(BJ105="","—",IF(OR(LEFT(BG105,1)="X",LEFT(BJ105,1)="X"),"—",IF(AND(LEFT(BG105,1)="E",LEFT(BJ105,1)="E"),"Exception · Band E",IF(AND(INDEX(B_VAL,MATCH(BJ105,B_LVL,0))&gt;=7,INDEX(B_RANK,MATCH(BG105,B_LVL,0))&gt;=INDEX(B_RANK,MATCH(BJ105,B_LVL,0))),"⚠ Same band as a head manager",IF(INDEX(B_VAL,MATCH(BG105,B_LVL,0))&gt;=INDEX(B_VAL,MATCH(BJ105,B_LVL,0)),"⚠ At or above the manager's level","OK"))))),"—")</f>
        <v>OK</v>
      </c>
      <c r="BL105" s="43" t="n"/>
      <c r="BM105" s="44">
        <f>IFERROR(INDEX(LMH_PTS,MATCH(Y105,LMH_KEY,0)),0)</f>
        <v>9</v>
      </c>
      <c r="BN105" s="38">
        <f>IFERROR(INDEX(LMH_PTS,MATCH(Z105,LMH_KEY,0)),0)</f>
        <v>3</v>
      </c>
      <c r="BO105" s="38">
        <f>IFERROR(INDEX(LMH_PTS,MATCH(AA105,LMH_KEY,0)),0)</f>
        <v>3</v>
      </c>
      <c r="BP105" s="38">
        <f>IFERROR(INDEX(LMH_PTS,MATCH(AB105,LMH_KEY,0)),0)</f>
        <v>1</v>
      </c>
      <c r="BQ105" s="38">
        <f>IFERROR(INDEX(LMH_PTS,MATCH(AC105,LMH_KEY,0)),0)</f>
        <v>1</v>
      </c>
      <c r="BR105" s="38">
        <f>IFERROR(INDEX(LMH_PTS,MATCH(AD105,LMH_KEY,0)),0)</f>
        <v>1</v>
      </c>
      <c r="BS105" s="38">
        <f>IFERROR(INDEX(LMH_PTS,MATCH(AE105,LMH_KEY,0)),0)</f>
        <v>1</v>
      </c>
      <c r="BT105" s="38">
        <f>IFERROR(INDEX(LMH_STEP,MATCH(AF105,LMH_KEY,0)),0)</f>
        <v>0</v>
      </c>
      <c r="BU105" s="38">
        <f>IFERROR(INDEX(LMH_STEP,MATCH(AG105,LMH_KEY,0)),0)</f>
        <v>0</v>
      </c>
      <c r="BV105" s="38">
        <f>IFERROR(INDEX(LMH_STEP,MATCH(AH105,LMH_KEY,0)),0)</f>
        <v>0</v>
      </c>
      <c r="BW105" s="38">
        <f>IFERROR(INDEX(LMH_STEP,MATCH(AI105,LMH_KEY,0)),0)</f>
        <v>0</v>
      </c>
      <c r="BX105" s="38">
        <f>IFERROR(INDEX(LMH_STEP,MATCH(AJ105,LMH_KEY,0)),0)</f>
        <v>0</v>
      </c>
      <c r="BY105" s="38">
        <f>IFERROR(INDEX(LMH_STEP,MATCH(AK105,LMH_KEY,0)),0)</f>
        <v>0</v>
      </c>
      <c r="BZ105" s="38">
        <f>IFERROR(INDEX(LMH_STEP,MATCH(AL105,LMH_KEY,0)),0)</f>
        <v>0</v>
      </c>
      <c r="CA105" s="38" t="inlineStr">
        <is>
          <t>CARBON|Services|XBRL Specialist|A3|A</t>
        </is>
      </c>
    </row>
    <row r="106" ht="110" customHeight="1">
      <c r="A106" s="28" t="inlineStr">
        <is>
          <t>CARBON</t>
        </is>
      </c>
      <c r="B106" s="29" t="inlineStr">
        <is>
          <t>Services</t>
        </is>
      </c>
      <c r="C106" s="29" t="n">
        <v>7</v>
      </c>
      <c r="D106" s="29" t="inlineStr">
        <is>
          <t>IRIS1703</t>
        </is>
      </c>
      <c r="E106" s="29" t="inlineStr">
        <is>
          <t>Atul Paradkar</t>
        </is>
      </c>
      <c r="F106" s="29" t="inlineStr">
        <is>
          <t>Financial Analyst</t>
        </is>
      </c>
      <c r="G106" s="29" t="inlineStr">
        <is>
          <t>Senior Financial Analyst</t>
        </is>
      </c>
      <c r="H106" s="29" t="inlineStr">
        <is>
          <t>Consulting &amp; Professional Services</t>
        </is>
      </c>
      <c r="I106" s="29" t="inlineStr">
        <is>
          <t>XBRL Tagging, Conversion &amp; Filing</t>
        </is>
      </c>
      <c r="J106" s="29" t="inlineStr">
        <is>
          <t>IC</t>
        </is>
      </c>
      <c r="K106" s="29" t="inlineStr">
        <is>
          <t>RC-025</t>
        </is>
      </c>
      <c r="L106" s="29" t="inlineStr">
        <is>
          <t>Lalita Waghmare</t>
        </is>
      </c>
      <c r="M106" s="29" t="inlineStr">
        <is>
          <t>IRIS1705</t>
        </is>
      </c>
      <c r="N106" s="29" t="n">
        <v>17.3</v>
      </c>
      <c r="O106" s="29" t="n">
        <v>8.699999999999999</v>
      </c>
      <c r="P106" s="29" t="inlineStr">
        <is>
          <t>PGDM</t>
        </is>
      </c>
      <c r="Q106" s="29" t="inlineStr">
        <is>
          <t>L3 – Professional / Associate</t>
        </is>
      </c>
      <c r="R106" s="29" t="inlineStr">
        <is>
          <t>A3</t>
        </is>
      </c>
      <c r="S106" s="30" t="inlineStr">
        <is>
          <t>19 of 20</t>
        </is>
      </c>
      <c r="T106" s="31" t="inlineStr">
        <is>
          <t>• Role / sub-team: Xbrl conversion service.</t>
        </is>
      </c>
      <c r="U106"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106" s="31" t="inlineStr">
        <is>
          <t>Latest rating: 3 · Potential: Medium · 9-box: Core Contributor · Readiness: Develop in role</t>
        </is>
      </c>
      <c r="W106" s="31" t="inlineStr">
        <is>
          <t>C M · Au L · Ac M · L L · BI M · Exp H · 17.3 yrs vs 2–4 yrs · Edu H · PGDM</t>
        </is>
      </c>
      <c r="X106" s="33" t="inlineStr">
        <is>
          <t>Open ▸</t>
        </is>
      </c>
      <c r="Y106" s="34" t="str">
        <f>IFERROR(INDEX(DL_C,MATCH($CA106,DL_KEY,0)),"M")</f>
        <v>H</v>
      </c>
      <c r="Z106" s="35" t="str">
        <f>IFERROR(INDEX(DL_Au,MATCH($CA106,DL_KEY,0)),"M")</f>
        <v>M</v>
      </c>
      <c r="AA106" s="35" t="str">
        <f>IFERROR(INDEX(DL_Ac,MATCH($CA106,DL_KEY,0)),"M")</f>
        <v>M</v>
      </c>
      <c r="AB106" s="35" t="str">
        <f>IFERROR(INDEX(DL_L,MATCH($CA106,DL_KEY,0)),"M")</f>
        <v>L</v>
      </c>
      <c r="AC106" s="35" t="str">
        <f>IFERROR(INDEX(DL_BI,MATCH($CA106,DL_KEY,0)),"M")</f>
        <v>L</v>
      </c>
      <c r="AD106" s="35" t="str">
        <f>IFERROR(INDEX(DL_Exp,MATCH($CA106,DL_KEY,0)),"M")</f>
        <v>L</v>
      </c>
      <c r="AE106" s="35" t="str">
        <f>IFERROR(INDEX(DL_Edu,MATCH($CA106,DL_KEY,0)),"M")</f>
        <v>L</v>
      </c>
      <c r="AF106" s="34" t="inlineStr">
        <is>
          <t>M</t>
        </is>
      </c>
      <c r="AG106" s="35" t="inlineStr">
        <is>
          <t>M</t>
        </is>
      </c>
      <c r="AH106" s="35" t="inlineStr">
        <is>
          <t>M</t>
        </is>
      </c>
      <c r="AI106" s="35" t="inlineStr">
        <is>
          <t>M</t>
        </is>
      </c>
      <c r="AJ106" s="35" t="inlineStr">
        <is>
          <t>M</t>
        </is>
      </c>
      <c r="AK106" s="35" t="inlineStr">
        <is>
          <t>M</t>
        </is>
      </c>
      <c r="AL106" s="35" t="inlineStr">
        <is>
          <t>M</t>
        </is>
      </c>
      <c r="AM106" s="36" t="n">
        <v>0.583</v>
      </c>
      <c r="AN106" s="37" t="n">
        <v>0.16</v>
      </c>
      <c r="AO106" s="37" t="n">
        <v>0.09</v>
      </c>
      <c r="AP106" s="37" t="n">
        <v>0</v>
      </c>
      <c r="AQ106" s="37" t="n">
        <v>0.063</v>
      </c>
      <c r="AR106" s="37" t="n">
        <v>0.06</v>
      </c>
      <c r="AS106" s="37" t="n">
        <v>0.04</v>
      </c>
      <c r="AT106" s="38" t="inlineStr">
        <is>
          <t>2–5</t>
        </is>
      </c>
      <c r="AU106" s="38" t="inlineStr">
        <is>
          <t>Graduate; relevant certification preferred</t>
        </is>
      </c>
      <c r="AV106" s="38" t="inlineStr">
        <is>
          <t>None · guides 1–3 juniors informally</t>
        </is>
      </c>
      <c r="AW106" s="38" t="inlineStr">
        <is>
          <t>P2 · SFIA 3 Apply</t>
        </is>
      </c>
      <c r="AX10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06" s="39" t="inlineStr">
        <is>
          <t>A3</t>
        </is>
      </c>
      <c r="AZ106" s="40" t="inlineStr">
        <is>
          <t>Band A · Practitioner · Senior Associate</t>
        </is>
      </c>
      <c r="BA106" s="40" t="inlineStr">
        <is>
          <t>Model A3 from the six ratings, the market-derived weights and rules R1–R13 · then No change · already below the manager</t>
        </is>
      </c>
      <c r="BB106" s="41" t="inlineStr">
        <is>
          <t>A3</t>
        </is>
      </c>
      <c r="BC106" s="40" t="inlineStr">
        <is>
          <t>The six ratings on the market-average weights of Band A · all tracks score 3.15 → A3 · Hay, Mercer IPE and public plans · experience 17.3 yrs vs the A3 market range 2–5</t>
        </is>
      </c>
      <c r="BD106" s="42">
        <f>IF(SUM(BM106,BN106,BO106,BP106,BQ106,BR106,BS106)=0,0,(BM106*BT106+BN106*BU106+BO106*BV106+BP106*BW106+BQ106*BX106+BR106*BY106+BS106*BZ106)/SUM(BM106,BN106,BO106,BP106,BQ106,BR106,BS106))</f>
        <v>0</v>
      </c>
      <c r="BE106" s="41" t="str">
        <f>IF(LEFT(AY106,1)="X",AY106,IF(OR(AY106="B+",AY106="C+"),INDEX(LAD_PC,MAX(1,MIN(14,MATCH(AY106,LAD_PC,0)+IF(BD106&gt;=0.5,1,IF(BD106&lt;=-0.5,-1,0))))),INDEX(LAD_STD,MAX(1,MIN(12,MATCH(AY106,LAD_STD,0)+IF(BD106&gt;=0.5,1,IF(BD106&lt;=-0.5,-1,0)))))))</f>
        <v>A3</v>
      </c>
      <c r="BF106" s="43" t="n"/>
      <c r="BG106" s="41" t="str">
        <f>IF(BF106&lt;&gt;"",BF106,BE106)</f>
        <v>A3</v>
      </c>
      <c r="BH106" s="40" t="str">
        <f>IFERROR(CHOOSE(INDEX(B_RANK,MATCH(BG106,B_LVL,0)),"Band A","Band B","B+ · Player-Coach","Band C","C+ · Player-Coach","Band D","Band E"),"Band X · Consultant")</f>
        <v>Band A</v>
      </c>
      <c r="BI106" s="40" t="str">
        <f>IF(BG106=AY106,"• Same",IF(INDEX(B_VAL,MATCH(BG106,B_LVL,0))&gt;INDEX(B_VAL,MATCH(AY106,B_LVL,0)),"▲ Up","▼ Down"))</f>
        <v>• Same</v>
      </c>
      <c r="BJ106" s="40" t="str">
        <f>IF(OR($M106="",$M106="—",$M106="Not in this file"),"",IFERROR(INDEX($BG$7:$BG$592,MATCH($M106,$D$7:$D$592,0)),""))</f>
        <v>B1</v>
      </c>
      <c r="BK106" s="40" t="str">
        <f>IFERROR(IF(BJ106="","—",IF(OR(LEFT(BG106,1)="X",LEFT(BJ106,1)="X"),"—",IF(AND(LEFT(BG106,1)="E",LEFT(BJ106,1)="E"),"Exception · Band E",IF(AND(INDEX(B_VAL,MATCH(BJ106,B_LVL,0))&gt;=7,INDEX(B_RANK,MATCH(BG106,B_LVL,0))&gt;=INDEX(B_RANK,MATCH(BJ106,B_LVL,0))),"⚠ Same band as a head manager",IF(INDEX(B_VAL,MATCH(BG106,B_LVL,0))&gt;=INDEX(B_VAL,MATCH(BJ106,B_LVL,0)),"⚠ At or above the manager's level","OK"))))),"—")</f>
        <v>OK</v>
      </c>
      <c r="BL106" s="43" t="n"/>
      <c r="BM106" s="44">
        <f>IFERROR(INDEX(LMH_PTS,MATCH(Y106,LMH_KEY,0)),0)</f>
        <v>9</v>
      </c>
      <c r="BN106" s="38">
        <f>IFERROR(INDEX(LMH_PTS,MATCH(Z106,LMH_KEY,0)),0)</f>
        <v>3</v>
      </c>
      <c r="BO106" s="38">
        <f>IFERROR(INDEX(LMH_PTS,MATCH(AA106,LMH_KEY,0)),0)</f>
        <v>3</v>
      </c>
      <c r="BP106" s="38">
        <f>IFERROR(INDEX(LMH_PTS,MATCH(AB106,LMH_KEY,0)),0)</f>
        <v>1</v>
      </c>
      <c r="BQ106" s="38">
        <f>IFERROR(INDEX(LMH_PTS,MATCH(AC106,LMH_KEY,0)),0)</f>
        <v>1</v>
      </c>
      <c r="BR106" s="38">
        <f>IFERROR(INDEX(LMH_PTS,MATCH(AD106,LMH_KEY,0)),0)</f>
        <v>1</v>
      </c>
      <c r="BS106" s="38">
        <f>IFERROR(INDEX(LMH_PTS,MATCH(AE106,LMH_KEY,0)),0)</f>
        <v>1</v>
      </c>
      <c r="BT106" s="38">
        <f>IFERROR(INDEX(LMH_STEP,MATCH(AF106,LMH_KEY,0)),0)</f>
        <v>0</v>
      </c>
      <c r="BU106" s="38">
        <f>IFERROR(INDEX(LMH_STEP,MATCH(AG106,LMH_KEY,0)),0)</f>
        <v>0</v>
      </c>
      <c r="BV106" s="38">
        <f>IFERROR(INDEX(LMH_STEP,MATCH(AH106,LMH_KEY,0)),0)</f>
        <v>0</v>
      </c>
      <c r="BW106" s="38">
        <f>IFERROR(INDEX(LMH_STEP,MATCH(AI106,LMH_KEY,0)),0)</f>
        <v>0</v>
      </c>
      <c r="BX106" s="38">
        <f>IFERROR(INDEX(LMH_STEP,MATCH(AJ106,LMH_KEY,0)),0)</f>
        <v>0</v>
      </c>
      <c r="BY106" s="38">
        <f>IFERROR(INDEX(LMH_STEP,MATCH(AK106,LMH_KEY,0)),0)</f>
        <v>0</v>
      </c>
      <c r="BZ106" s="38">
        <f>IFERROR(INDEX(LMH_STEP,MATCH(AL106,LMH_KEY,0)),0)</f>
        <v>0</v>
      </c>
      <c r="CA106" s="38" t="inlineStr">
        <is>
          <t>CARBON|Services|Senior Financial Analyst|A3|A</t>
        </is>
      </c>
    </row>
    <row r="107" ht="110" customHeight="1">
      <c r="A107" s="28" t="inlineStr">
        <is>
          <t>CARBON</t>
        </is>
      </c>
      <c r="B107" s="29" t="inlineStr">
        <is>
          <t>Services</t>
        </is>
      </c>
      <c r="C107" s="29" t="n">
        <v>7</v>
      </c>
      <c r="D107" s="29" t="inlineStr">
        <is>
          <t>IRISC267</t>
        </is>
      </c>
      <c r="E107" s="29" t="inlineStr">
        <is>
          <t>Chaitali Chatterjee</t>
        </is>
      </c>
      <c r="F107" s="29" t="inlineStr">
        <is>
          <t>Consultant</t>
        </is>
      </c>
      <c r="G107" s="29" t="inlineStr">
        <is>
          <t>Senior Financial Analyst</t>
        </is>
      </c>
      <c r="H107" s="29" t="inlineStr">
        <is>
          <t>Consulting &amp; Professional Services</t>
        </is>
      </c>
      <c r="I107" s="29" t="inlineStr">
        <is>
          <t>XBRL Tagging, Conversion &amp; Filing</t>
        </is>
      </c>
      <c r="J107" s="29" t="inlineStr">
        <is>
          <t>IC</t>
        </is>
      </c>
      <c r="K107" s="29" t="inlineStr">
        <is>
          <t>RC-025</t>
        </is>
      </c>
      <c r="L107" s="29" t="inlineStr">
        <is>
          <t>Lalita Waghmare</t>
        </is>
      </c>
      <c r="M107" s="29" t="inlineStr">
        <is>
          <t>IRIS1705</t>
        </is>
      </c>
      <c r="N107" s="29" t="n">
        <v>11.3</v>
      </c>
      <c r="O107" s="29" t="n">
        <v>3.1</v>
      </c>
      <c r="P107" s="29" t="inlineStr">
        <is>
          <t>B.Com</t>
        </is>
      </c>
      <c r="Q107" s="29" t="inlineStr">
        <is>
          <t>L3 – Professional / Associate</t>
        </is>
      </c>
      <c r="R107" s="29" t="inlineStr">
        <is>
          <t>A3</t>
        </is>
      </c>
      <c r="S107" s="30" t="inlineStr">
        <is>
          <t>0 of 20</t>
        </is>
      </c>
      <c r="T107" s="31" t="inlineStr">
        <is>
          <t>Business Impact: Moved +0.5: the survey / manager mapping marks it business-critical.</t>
        </is>
      </c>
      <c r="U107"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107" s="31" t="inlineStr">
        <is>
          <t>Latest rating: Not rated · manager · 9-box: Not placed · manager · Readiness: No rating data</t>
        </is>
      </c>
      <c r="W107" s="31" t="inlineStr">
        <is>
          <t>C M · Au M · Ac M · L L · BI M · Exp H · 11.3 yrs vs 2–4 yrs · Edu M · B.Com</t>
        </is>
      </c>
      <c r="X107" s="33" t="inlineStr">
        <is>
          <t>Open ▸</t>
        </is>
      </c>
      <c r="Y107" s="34" t="str">
        <f>IFERROR(INDEX(DL_C,MATCH($CA107,DL_KEY,0)),"M")</f>
        <v>H</v>
      </c>
      <c r="Z107" s="35" t="str">
        <f>IFERROR(INDEX(DL_Au,MATCH($CA107,DL_KEY,0)),"M")</f>
        <v>M</v>
      </c>
      <c r="AA107" s="35" t="str">
        <f>IFERROR(INDEX(DL_Ac,MATCH($CA107,DL_KEY,0)),"M")</f>
        <v>M</v>
      </c>
      <c r="AB107" s="35" t="str">
        <f>IFERROR(INDEX(DL_L,MATCH($CA107,DL_KEY,0)),"M")</f>
        <v>L</v>
      </c>
      <c r="AC107" s="35" t="str">
        <f>IFERROR(INDEX(DL_BI,MATCH($CA107,DL_KEY,0)),"M")</f>
        <v>L</v>
      </c>
      <c r="AD107" s="35" t="str">
        <f>IFERROR(INDEX(DL_Exp,MATCH($CA107,DL_KEY,0)),"M")</f>
        <v>L</v>
      </c>
      <c r="AE107" s="35" t="str">
        <f>IFERROR(INDEX(DL_Edu,MATCH($CA107,DL_KEY,0)),"M")</f>
        <v>L</v>
      </c>
      <c r="AF107" s="34" t="inlineStr">
        <is>
          <t>M</t>
        </is>
      </c>
      <c r="AG107" s="35" t="inlineStr">
        <is>
          <t>M</t>
        </is>
      </c>
      <c r="AH107" s="35" t="inlineStr">
        <is>
          <t>M</t>
        </is>
      </c>
      <c r="AI107" s="35" t="inlineStr">
        <is>
          <t>M</t>
        </is>
      </c>
      <c r="AJ107" s="35" t="inlineStr">
        <is>
          <t>M</t>
        </is>
      </c>
      <c r="AK107" s="35" t="inlineStr">
        <is>
          <t>M</t>
        </is>
      </c>
      <c r="AL107" s="35" t="inlineStr">
        <is>
          <t>M</t>
        </is>
      </c>
      <c r="AM107" s="36" t="n">
        <v>0.583</v>
      </c>
      <c r="AN107" s="37" t="n">
        <v>0.16</v>
      </c>
      <c r="AO107" s="37" t="n">
        <v>0.09</v>
      </c>
      <c r="AP107" s="37" t="n">
        <v>0</v>
      </c>
      <c r="AQ107" s="37" t="n">
        <v>0.063</v>
      </c>
      <c r="AR107" s="37" t="n">
        <v>0.06</v>
      </c>
      <c r="AS107" s="37" t="n">
        <v>0.04</v>
      </c>
      <c r="AT107" s="38" t="inlineStr">
        <is>
          <t>2–5</t>
        </is>
      </c>
      <c r="AU107" s="38" t="inlineStr">
        <is>
          <t>Graduate; relevant certification preferred</t>
        </is>
      </c>
      <c r="AV107" s="38" t="inlineStr">
        <is>
          <t>None · guides 1–3 juniors informally</t>
        </is>
      </c>
      <c r="AW107" s="38" t="inlineStr">
        <is>
          <t>P2 · SFIA 3 Apply</t>
        </is>
      </c>
      <c r="AX10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07" s="39" t="inlineStr">
        <is>
          <t>A3</t>
        </is>
      </c>
      <c r="AZ107" s="40" t="inlineStr">
        <is>
          <t>Band A · Practitioner · Senior Associate</t>
        </is>
      </c>
      <c r="BA107" s="40" t="inlineStr">
        <is>
          <t>Model A3 from the six ratings, the market-derived weights and rules R1–R13 · then No change · already below the manager</t>
        </is>
      </c>
      <c r="BB107" s="41" t="inlineStr">
        <is>
          <t>A3</t>
        </is>
      </c>
      <c r="BC107" s="40" t="inlineStr">
        <is>
          <t>The six ratings on the market-average weights of Band A · all tracks score 2.93 → A3 · Hay, Mercer IPE and public plans · experience 11.3 yrs vs the A3 market range 2–5</t>
        </is>
      </c>
      <c r="BD107" s="42">
        <f>IF(SUM(BM107,BN107,BO107,BP107,BQ107,BR107,BS107)=0,0,(BM107*BT107+BN107*BU107+BO107*BV107+BP107*BW107+BQ107*BX107+BR107*BY107+BS107*BZ107)/SUM(BM107,BN107,BO107,BP107,BQ107,BR107,BS107))</f>
        <v>0</v>
      </c>
      <c r="BE107" s="41" t="str">
        <f>IF(LEFT(AY107,1)="X",AY107,IF(OR(AY107="B+",AY107="C+"),INDEX(LAD_PC,MAX(1,MIN(14,MATCH(AY107,LAD_PC,0)+IF(BD107&gt;=0.5,1,IF(BD107&lt;=-0.5,-1,0))))),INDEX(LAD_STD,MAX(1,MIN(12,MATCH(AY107,LAD_STD,0)+IF(BD107&gt;=0.5,1,IF(BD107&lt;=-0.5,-1,0)))))))</f>
        <v>A3</v>
      </c>
      <c r="BF107" s="43" t="n"/>
      <c r="BG107" s="41" t="str">
        <f>IF(BF107&lt;&gt;"",BF107,BE107)</f>
        <v>A3</v>
      </c>
      <c r="BH107" s="40" t="str">
        <f>IFERROR(CHOOSE(INDEX(B_RANK,MATCH(BG107,B_LVL,0)),"Band A","Band B","B+ · Player-Coach","Band C","C+ · Player-Coach","Band D","Band E"),"Band X · Consultant")</f>
        <v>Band A</v>
      </c>
      <c r="BI107" s="40" t="str">
        <f>IF(BG107=AY107,"• Same",IF(INDEX(B_VAL,MATCH(BG107,B_LVL,0))&gt;INDEX(B_VAL,MATCH(AY107,B_LVL,0)),"▲ Up","▼ Down"))</f>
        <v>• Same</v>
      </c>
      <c r="BJ107" s="40" t="str">
        <f>IF(OR($M107="",$M107="—",$M107="Not in this file"),"",IFERROR(INDEX($BG$7:$BG$592,MATCH($M107,$D$7:$D$592,0)),""))</f>
        <v>B1</v>
      </c>
      <c r="BK107" s="40" t="str">
        <f>IFERROR(IF(BJ107="","—",IF(OR(LEFT(BG107,1)="X",LEFT(BJ107,1)="X"),"—",IF(AND(LEFT(BG107,1)="E",LEFT(BJ107,1)="E"),"Exception · Band E",IF(AND(INDEX(B_VAL,MATCH(BJ107,B_LVL,0))&gt;=7,INDEX(B_RANK,MATCH(BG107,B_LVL,0))&gt;=INDEX(B_RANK,MATCH(BJ107,B_LVL,0))),"⚠ Same band as a head manager",IF(INDEX(B_VAL,MATCH(BG107,B_LVL,0))&gt;=INDEX(B_VAL,MATCH(BJ107,B_LVL,0)),"⚠ At or above the manager's level","OK"))))),"—")</f>
        <v>OK</v>
      </c>
      <c r="BL107" s="43" t="n"/>
      <c r="BM107" s="44">
        <f>IFERROR(INDEX(LMH_PTS,MATCH(Y107,LMH_KEY,0)),0)</f>
        <v>9</v>
      </c>
      <c r="BN107" s="38">
        <f>IFERROR(INDEX(LMH_PTS,MATCH(Z107,LMH_KEY,0)),0)</f>
        <v>3</v>
      </c>
      <c r="BO107" s="38">
        <f>IFERROR(INDEX(LMH_PTS,MATCH(AA107,LMH_KEY,0)),0)</f>
        <v>3</v>
      </c>
      <c r="BP107" s="38">
        <f>IFERROR(INDEX(LMH_PTS,MATCH(AB107,LMH_KEY,0)),0)</f>
        <v>1</v>
      </c>
      <c r="BQ107" s="38">
        <f>IFERROR(INDEX(LMH_PTS,MATCH(AC107,LMH_KEY,0)),0)</f>
        <v>1</v>
      </c>
      <c r="BR107" s="38">
        <f>IFERROR(INDEX(LMH_PTS,MATCH(AD107,LMH_KEY,0)),0)</f>
        <v>1</v>
      </c>
      <c r="BS107" s="38">
        <f>IFERROR(INDEX(LMH_PTS,MATCH(AE107,LMH_KEY,0)),0)</f>
        <v>1</v>
      </c>
      <c r="BT107" s="38">
        <f>IFERROR(INDEX(LMH_STEP,MATCH(AF107,LMH_KEY,0)),0)</f>
        <v>0</v>
      </c>
      <c r="BU107" s="38">
        <f>IFERROR(INDEX(LMH_STEP,MATCH(AG107,LMH_KEY,0)),0)</f>
        <v>0</v>
      </c>
      <c r="BV107" s="38">
        <f>IFERROR(INDEX(LMH_STEP,MATCH(AH107,LMH_KEY,0)),0)</f>
        <v>0</v>
      </c>
      <c r="BW107" s="38">
        <f>IFERROR(INDEX(LMH_STEP,MATCH(AI107,LMH_KEY,0)),0)</f>
        <v>0</v>
      </c>
      <c r="BX107" s="38">
        <f>IFERROR(INDEX(LMH_STEP,MATCH(AJ107,LMH_KEY,0)),0)</f>
        <v>0</v>
      </c>
      <c r="BY107" s="38">
        <f>IFERROR(INDEX(LMH_STEP,MATCH(AK107,LMH_KEY,0)),0)</f>
        <v>0</v>
      </c>
      <c r="BZ107" s="38">
        <f>IFERROR(INDEX(LMH_STEP,MATCH(AL107,LMH_KEY,0)),0)</f>
        <v>0</v>
      </c>
      <c r="CA107" s="38" t="inlineStr">
        <is>
          <t>CARBON|Services|Senior Financial Analyst|A3|A</t>
        </is>
      </c>
    </row>
    <row r="108" ht="110" customHeight="1">
      <c r="A108" s="28" t="inlineStr">
        <is>
          <t>CARBON</t>
        </is>
      </c>
      <c r="B108" s="29" t="inlineStr">
        <is>
          <t>Services</t>
        </is>
      </c>
      <c r="C108" s="29" t="n">
        <v>7</v>
      </c>
      <c r="D108" s="29" t="inlineStr">
        <is>
          <t>IRIS1247</t>
        </is>
      </c>
      <c r="E108" s="29" t="inlineStr">
        <is>
          <t>Sushma Shinde</t>
        </is>
      </c>
      <c r="F108" s="29" t="inlineStr">
        <is>
          <t>Financial Analyst</t>
        </is>
      </c>
      <c r="G108" s="29" t="inlineStr">
        <is>
          <t>Senior Financial Analyst</t>
        </is>
      </c>
      <c r="H108" s="29" t="inlineStr">
        <is>
          <t>Consulting &amp; Professional Services</t>
        </is>
      </c>
      <c r="I108" s="29" t="inlineStr">
        <is>
          <t>XBRL Tagging, Conversion &amp; Filing</t>
        </is>
      </c>
      <c r="J108" s="29" t="inlineStr">
        <is>
          <t>IC</t>
        </is>
      </c>
      <c r="K108" s="29" t="inlineStr">
        <is>
          <t>RC-025</t>
        </is>
      </c>
      <c r="L108" s="29" t="inlineStr">
        <is>
          <t>Lalita Waghmare</t>
        </is>
      </c>
      <c r="M108" s="29" t="inlineStr">
        <is>
          <t>IRIS1705</t>
        </is>
      </c>
      <c r="N108" s="29" t="n">
        <v>14.1</v>
      </c>
      <c r="O108" s="29" t="n">
        <v>14.1</v>
      </c>
      <c r="P108" s="29" t="inlineStr">
        <is>
          <t>M.Com</t>
        </is>
      </c>
      <c r="Q108" s="29" t="inlineStr">
        <is>
          <t>L3 – Professional / Associate</t>
        </is>
      </c>
      <c r="R108" s="29" t="inlineStr">
        <is>
          <t>A3</t>
        </is>
      </c>
      <c r="S108" s="30" t="inlineStr">
        <is>
          <t>18 of 20</t>
        </is>
      </c>
      <c r="T108" s="31" t="inlineStr">
        <is>
          <t>• Role / sub-team: Tagging Analyst</t>
        </is>
      </c>
      <c r="U108"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108" s="31" t="inlineStr">
        <is>
          <t>Latest rating: 5 · Potential: High · 9-box: Emerging Talent · Readiness: Ready now</t>
        </is>
      </c>
      <c r="W108" s="31" t="inlineStr">
        <is>
          <t>C M · Au L · Ac M · L L · BI M · Exp H · 14.1 yrs vs 2–4 yrs · Edu H · M.Com</t>
        </is>
      </c>
      <c r="X108" s="33" t="inlineStr">
        <is>
          <t>Open ▸</t>
        </is>
      </c>
      <c r="Y108" s="34" t="str">
        <f>IFERROR(INDEX(DL_C,MATCH($CA108,DL_KEY,0)),"M")</f>
        <v>H</v>
      </c>
      <c r="Z108" s="35" t="str">
        <f>IFERROR(INDEX(DL_Au,MATCH($CA108,DL_KEY,0)),"M")</f>
        <v>M</v>
      </c>
      <c r="AA108" s="35" t="str">
        <f>IFERROR(INDEX(DL_Ac,MATCH($CA108,DL_KEY,0)),"M")</f>
        <v>M</v>
      </c>
      <c r="AB108" s="35" t="str">
        <f>IFERROR(INDEX(DL_L,MATCH($CA108,DL_KEY,0)),"M")</f>
        <v>L</v>
      </c>
      <c r="AC108" s="35" t="str">
        <f>IFERROR(INDEX(DL_BI,MATCH($CA108,DL_KEY,0)),"M")</f>
        <v>L</v>
      </c>
      <c r="AD108" s="35" t="str">
        <f>IFERROR(INDEX(DL_Exp,MATCH($CA108,DL_KEY,0)),"M")</f>
        <v>L</v>
      </c>
      <c r="AE108" s="35" t="str">
        <f>IFERROR(INDEX(DL_Edu,MATCH($CA108,DL_KEY,0)),"M")</f>
        <v>L</v>
      </c>
      <c r="AF108" s="34" t="inlineStr">
        <is>
          <t>M</t>
        </is>
      </c>
      <c r="AG108" s="35" t="inlineStr">
        <is>
          <t>M</t>
        </is>
      </c>
      <c r="AH108" s="35" t="inlineStr">
        <is>
          <t>M</t>
        </is>
      </c>
      <c r="AI108" s="35" t="inlineStr">
        <is>
          <t>M</t>
        </is>
      </c>
      <c r="AJ108" s="35" t="inlineStr">
        <is>
          <t>M</t>
        </is>
      </c>
      <c r="AK108" s="35" t="inlineStr">
        <is>
          <t>M</t>
        </is>
      </c>
      <c r="AL108" s="35" t="inlineStr">
        <is>
          <t>M</t>
        </is>
      </c>
      <c r="AM108" s="36" t="n">
        <v>0.583</v>
      </c>
      <c r="AN108" s="37" t="n">
        <v>0.16</v>
      </c>
      <c r="AO108" s="37" t="n">
        <v>0.09</v>
      </c>
      <c r="AP108" s="37" t="n">
        <v>0</v>
      </c>
      <c r="AQ108" s="37" t="n">
        <v>0.063</v>
      </c>
      <c r="AR108" s="37" t="n">
        <v>0.06</v>
      </c>
      <c r="AS108" s="37" t="n">
        <v>0.04</v>
      </c>
      <c r="AT108" s="38" t="inlineStr">
        <is>
          <t>2–5</t>
        </is>
      </c>
      <c r="AU108" s="38" t="inlineStr">
        <is>
          <t>Graduate; relevant certification preferred</t>
        </is>
      </c>
      <c r="AV108" s="38" t="inlineStr">
        <is>
          <t>None · guides 1–3 juniors informally</t>
        </is>
      </c>
      <c r="AW108" s="38" t="inlineStr">
        <is>
          <t>P2 · SFIA 3 Apply</t>
        </is>
      </c>
      <c r="AX10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08" s="39" t="inlineStr">
        <is>
          <t>A3</t>
        </is>
      </c>
      <c r="AZ108" s="40" t="inlineStr">
        <is>
          <t>Band A · Practitioner · Senior Associate</t>
        </is>
      </c>
      <c r="BA108" s="40" t="inlineStr">
        <is>
          <t>Model A3 from the six ratings, the market-derived weights and rules R1–R13 · then No change · already below the manager</t>
        </is>
      </c>
      <c r="BB108" s="41" t="inlineStr">
        <is>
          <t>A3</t>
        </is>
      </c>
      <c r="BC108" s="40" t="inlineStr">
        <is>
          <t>The six ratings on the market-average weights of Band A · all tracks score 3.05 → A3 · Hay, Mercer IPE and public plans · experience 14.1 yrs vs the A3 market range 2–5</t>
        </is>
      </c>
      <c r="BD108" s="42">
        <f>IF(SUM(BM108,BN108,BO108,BP108,BQ108,BR108,BS108)=0,0,(BM108*BT108+BN108*BU108+BO108*BV108+BP108*BW108+BQ108*BX108+BR108*BY108+BS108*BZ108)/SUM(BM108,BN108,BO108,BP108,BQ108,BR108,BS108))</f>
        <v>0</v>
      </c>
      <c r="BE108" s="41" t="str">
        <f>IF(LEFT(AY108,1)="X",AY108,IF(OR(AY108="B+",AY108="C+"),INDEX(LAD_PC,MAX(1,MIN(14,MATCH(AY108,LAD_PC,0)+IF(BD108&gt;=0.5,1,IF(BD108&lt;=-0.5,-1,0))))),INDEX(LAD_STD,MAX(1,MIN(12,MATCH(AY108,LAD_STD,0)+IF(BD108&gt;=0.5,1,IF(BD108&lt;=-0.5,-1,0)))))))</f>
        <v>A3</v>
      </c>
      <c r="BF108" s="43" t="n"/>
      <c r="BG108" s="41" t="str">
        <f>IF(BF108&lt;&gt;"",BF108,BE108)</f>
        <v>A3</v>
      </c>
      <c r="BH108" s="40" t="str">
        <f>IFERROR(CHOOSE(INDEX(B_RANK,MATCH(BG108,B_LVL,0)),"Band A","Band B","B+ · Player-Coach","Band C","C+ · Player-Coach","Band D","Band E"),"Band X · Consultant")</f>
        <v>Band A</v>
      </c>
      <c r="BI108" s="40" t="str">
        <f>IF(BG108=AY108,"• Same",IF(INDEX(B_VAL,MATCH(BG108,B_LVL,0))&gt;INDEX(B_VAL,MATCH(AY108,B_LVL,0)),"▲ Up","▼ Down"))</f>
        <v>• Same</v>
      </c>
      <c r="BJ108" s="40" t="str">
        <f>IF(OR($M108="",$M108="—",$M108="Not in this file"),"",IFERROR(INDEX($BG$7:$BG$592,MATCH($M108,$D$7:$D$592,0)),""))</f>
        <v>B1</v>
      </c>
      <c r="BK108" s="40" t="str">
        <f>IFERROR(IF(BJ108="","—",IF(OR(LEFT(BG108,1)="X",LEFT(BJ108,1)="X"),"—",IF(AND(LEFT(BG108,1)="E",LEFT(BJ108,1)="E"),"Exception · Band E",IF(AND(INDEX(B_VAL,MATCH(BJ108,B_LVL,0))&gt;=7,INDEX(B_RANK,MATCH(BG108,B_LVL,0))&gt;=INDEX(B_RANK,MATCH(BJ108,B_LVL,0))),"⚠ Same band as a head manager",IF(INDEX(B_VAL,MATCH(BG108,B_LVL,0))&gt;=INDEX(B_VAL,MATCH(BJ108,B_LVL,0)),"⚠ At or above the manager's level","OK"))))),"—")</f>
        <v>OK</v>
      </c>
      <c r="BL108" s="43" t="n"/>
      <c r="BM108" s="44">
        <f>IFERROR(INDEX(LMH_PTS,MATCH(Y108,LMH_KEY,0)),0)</f>
        <v>9</v>
      </c>
      <c r="BN108" s="38">
        <f>IFERROR(INDEX(LMH_PTS,MATCH(Z108,LMH_KEY,0)),0)</f>
        <v>3</v>
      </c>
      <c r="BO108" s="38">
        <f>IFERROR(INDEX(LMH_PTS,MATCH(AA108,LMH_KEY,0)),0)</f>
        <v>3</v>
      </c>
      <c r="BP108" s="38">
        <f>IFERROR(INDEX(LMH_PTS,MATCH(AB108,LMH_KEY,0)),0)</f>
        <v>1</v>
      </c>
      <c r="BQ108" s="38">
        <f>IFERROR(INDEX(LMH_PTS,MATCH(AC108,LMH_KEY,0)),0)</f>
        <v>1</v>
      </c>
      <c r="BR108" s="38">
        <f>IFERROR(INDEX(LMH_PTS,MATCH(AD108,LMH_KEY,0)),0)</f>
        <v>1</v>
      </c>
      <c r="BS108" s="38">
        <f>IFERROR(INDEX(LMH_PTS,MATCH(AE108,LMH_KEY,0)),0)</f>
        <v>1</v>
      </c>
      <c r="BT108" s="38">
        <f>IFERROR(INDEX(LMH_STEP,MATCH(AF108,LMH_KEY,0)),0)</f>
        <v>0</v>
      </c>
      <c r="BU108" s="38">
        <f>IFERROR(INDEX(LMH_STEP,MATCH(AG108,LMH_KEY,0)),0)</f>
        <v>0</v>
      </c>
      <c r="BV108" s="38">
        <f>IFERROR(INDEX(LMH_STEP,MATCH(AH108,LMH_KEY,0)),0)</f>
        <v>0</v>
      </c>
      <c r="BW108" s="38">
        <f>IFERROR(INDEX(LMH_STEP,MATCH(AI108,LMH_KEY,0)),0)</f>
        <v>0</v>
      </c>
      <c r="BX108" s="38">
        <f>IFERROR(INDEX(LMH_STEP,MATCH(AJ108,LMH_KEY,0)),0)</f>
        <v>0</v>
      </c>
      <c r="BY108" s="38">
        <f>IFERROR(INDEX(LMH_STEP,MATCH(AK108,LMH_KEY,0)),0)</f>
        <v>0</v>
      </c>
      <c r="BZ108" s="38">
        <f>IFERROR(INDEX(LMH_STEP,MATCH(AL108,LMH_KEY,0)),0)</f>
        <v>0</v>
      </c>
      <c r="CA108" s="38" t="inlineStr">
        <is>
          <t>CARBON|Services|Senior Financial Analyst|A3|A</t>
        </is>
      </c>
    </row>
    <row r="109" ht="110" customHeight="1">
      <c r="A109" s="28" t="inlineStr">
        <is>
          <t>CARBON</t>
        </is>
      </c>
      <c r="B109" s="29" t="inlineStr">
        <is>
          <t>Services</t>
        </is>
      </c>
      <c r="C109" s="29" t="n">
        <v>6</v>
      </c>
      <c r="D109" s="29" t="inlineStr">
        <is>
          <t>IRIS1704</t>
        </is>
      </c>
      <c r="E109" s="29" t="inlineStr">
        <is>
          <t>Lucy Fernandes</t>
        </is>
      </c>
      <c r="F109" s="29" t="inlineStr">
        <is>
          <t>Senior Financial Analyst</t>
        </is>
      </c>
      <c r="G109" s="29" t="inlineStr">
        <is>
          <t>XBRL Specialist – POD Lead</t>
        </is>
      </c>
      <c r="H109" s="29" t="inlineStr">
        <is>
          <t>Consulting &amp; Professional Services</t>
        </is>
      </c>
      <c r="I109" s="29" t="inlineStr">
        <is>
          <t>XBRL Tagging, Conversion &amp; Filing</t>
        </is>
      </c>
      <c r="J109" s="29" t="inlineStr">
        <is>
          <t>POD Lead</t>
        </is>
      </c>
      <c r="K109" s="29" t="inlineStr">
        <is>
          <t>RC-026</t>
        </is>
      </c>
      <c r="L109" s="29" t="inlineStr">
        <is>
          <t>Mayur Zope</t>
        </is>
      </c>
      <c r="M109" s="29" t="inlineStr">
        <is>
          <t>IRIS0393</t>
        </is>
      </c>
      <c r="N109" s="29" t="n">
        <v>14.8</v>
      </c>
      <c r="O109" s="29" t="n">
        <v>8.699999999999999</v>
      </c>
      <c r="P109" s="29" t="inlineStr">
        <is>
          <t>MBA</t>
        </is>
      </c>
      <c r="Q109" s="29" t="inlineStr">
        <is>
          <t>L4 – Senior</t>
        </is>
      </c>
      <c r="R109" s="29" t="inlineStr">
        <is>
          <t>B1</t>
        </is>
      </c>
      <c r="S109" s="30" t="inlineStr">
        <is>
          <t>20 of 20</t>
        </is>
      </c>
      <c r="T109" s="31" t="inlineStr">
        <is>
          <t>• Role / sub-team: Mca and esma.</t>
        </is>
      </c>
      <c r="U109"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109" s="31" t="inlineStr">
        <is>
          <t>Latest rating: 4 · Potential: High · 9-box: Core Contributor · Readiness: Ready now</t>
        </is>
      </c>
      <c r="W109" s="31" t="inlineStr">
        <is>
          <t>C L · Au L · Ac L · L L · BI M · Exp H · 14.8 yrs vs 4–7 yrs · Edu H · MBA</t>
        </is>
      </c>
      <c r="X109" s="33" t="inlineStr">
        <is>
          <t>Open ▸</t>
        </is>
      </c>
      <c r="Y109" s="34" t="str">
        <f>IFERROR(INDEX(DL_C,MATCH($CA109,DL_KEY,0)),"M")</f>
        <v>H</v>
      </c>
      <c r="Z109" s="35" t="str">
        <f>IFERROR(INDEX(DL_Au,MATCH($CA109,DL_KEY,0)),"M")</f>
        <v>M</v>
      </c>
      <c r="AA109" s="35" t="str">
        <f>IFERROR(INDEX(DL_Ac,MATCH($CA109,DL_KEY,0)),"M")</f>
        <v>M</v>
      </c>
      <c r="AB109" s="35" t="str">
        <f>IFERROR(INDEX(DL_L,MATCH($CA109,DL_KEY,0)),"M")</f>
        <v>L</v>
      </c>
      <c r="AC109" s="35" t="str">
        <f>IFERROR(INDEX(DL_BI,MATCH($CA109,DL_KEY,0)),"M")</f>
        <v>L</v>
      </c>
      <c r="AD109" s="35" t="str">
        <f>IFERROR(INDEX(DL_Exp,MATCH($CA109,DL_KEY,0)),"M")</f>
        <v>L</v>
      </c>
      <c r="AE109" s="35" t="str">
        <f>IFERROR(INDEX(DL_Edu,MATCH($CA109,DL_KEY,0)),"M")</f>
        <v>L</v>
      </c>
      <c r="AF109" s="34" t="inlineStr">
        <is>
          <t>M</t>
        </is>
      </c>
      <c r="AG109" s="35" t="inlineStr">
        <is>
          <t>M</t>
        </is>
      </c>
      <c r="AH109" s="35" t="inlineStr">
        <is>
          <t>M</t>
        </is>
      </c>
      <c r="AI109" s="35" t="inlineStr">
        <is>
          <t>M</t>
        </is>
      </c>
      <c r="AJ109" s="35" t="inlineStr">
        <is>
          <t>M</t>
        </is>
      </c>
      <c r="AK109" s="35" t="inlineStr">
        <is>
          <t>M</t>
        </is>
      </c>
      <c r="AL109" s="35" t="inlineStr">
        <is>
          <t>M</t>
        </is>
      </c>
      <c r="AM109" s="36" t="n">
        <v>0.513</v>
      </c>
      <c r="AN109" s="37" t="n">
        <v>0.173</v>
      </c>
      <c r="AO109" s="37" t="n">
        <v>0.09699999999999999</v>
      </c>
      <c r="AP109" s="37" t="n">
        <v>0.05</v>
      </c>
      <c r="AQ109" s="37" t="n">
        <v>0.07000000000000001</v>
      </c>
      <c r="AR109" s="37" t="n">
        <v>0.06</v>
      </c>
      <c r="AS109" s="37" t="n">
        <v>0.04</v>
      </c>
      <c r="AT109" s="38" t="inlineStr">
        <is>
          <t>4–8</t>
        </is>
      </c>
      <c r="AU109" s="38" t="inlineStr">
        <is>
          <t>Graduate + relevant qualification or certification preferred</t>
        </is>
      </c>
      <c r="AV109" s="38" t="inlineStr">
        <is>
          <t>IC: none · Team Lead: 3–5</t>
        </is>
      </c>
      <c r="AW109" s="38" t="inlineStr">
        <is>
          <t>P3 / M2 · SFIA 4 Enable</t>
        </is>
      </c>
      <c r="AX10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09" s="39" t="inlineStr">
        <is>
          <t>B1</t>
        </is>
      </c>
      <c r="AZ109" s="40" t="inlineStr">
        <is>
          <t>Band B · Specialist / Manager · Team Lead / Asst Manager</t>
        </is>
      </c>
      <c r="BA109" s="40" t="inlineStr">
        <is>
          <t>Model B1 from the six ratings, the market-derived weights and rules R1–R13 · then No change · already below the manager</t>
        </is>
      </c>
      <c r="BB109" s="41" t="inlineStr">
        <is>
          <t>B1</t>
        </is>
      </c>
      <c r="BC109" s="40" t="inlineStr">
        <is>
          <t>The six ratings on the market-average weights of Band B · Specialist / POD Lead score 3.56 → B1 · Hay, Mercer IPE and public plans · experience 14.8 yrs vs the B1 market range 4–8</t>
        </is>
      </c>
      <c r="BD109" s="42">
        <f>IF(SUM(BM109,BN109,BO109,BP109,BQ109,BR109,BS109)=0,0,(BM109*BT109+BN109*BU109+BO109*BV109+BP109*BW109+BQ109*BX109+BR109*BY109+BS109*BZ109)/SUM(BM109,BN109,BO109,BP109,BQ109,BR109,BS109))</f>
        <v>0</v>
      </c>
      <c r="BE109" s="41" t="str">
        <f>IF(LEFT(AY109,1)="X",AY109,IF(OR(AY109="B+",AY109="C+"),INDEX(LAD_PC,MAX(1,MIN(14,MATCH(AY109,LAD_PC,0)+IF(BD109&gt;=0.5,1,IF(BD109&lt;=-0.5,-1,0))))),INDEX(LAD_STD,MAX(1,MIN(12,MATCH(AY109,LAD_STD,0)+IF(BD109&gt;=0.5,1,IF(BD109&lt;=-0.5,-1,0)))))))</f>
        <v>B1</v>
      </c>
      <c r="BF109" s="43" t="n"/>
      <c r="BG109" s="41" t="str">
        <f>IF(BF109&lt;&gt;"",BF109,BE109)</f>
        <v>B1</v>
      </c>
      <c r="BH109" s="40" t="str">
        <f>IFERROR(CHOOSE(INDEX(B_RANK,MATCH(BG109,B_LVL,0)),"Band A","Band B","B+ · Player-Coach","Band C","C+ · Player-Coach","Band D","Band E"),"Band X · Consultant")</f>
        <v>Band B</v>
      </c>
      <c r="BI109" s="40" t="str">
        <f>IF(BG109=AY109,"• Same",IF(INDEX(B_VAL,MATCH(BG109,B_LVL,0))&gt;INDEX(B_VAL,MATCH(AY109,B_LVL,0)),"▲ Up","▼ Down"))</f>
        <v>• Same</v>
      </c>
      <c r="BJ109" s="40" t="str">
        <f>IF(OR($M109="",$M109="—",$M109="Not in this file"),"",IFERROR(INDEX($BG$7:$BG$592,MATCH($M109,$D$7:$D$592,0)),""))</f>
        <v>B2</v>
      </c>
      <c r="BK109" s="40" t="str">
        <f>IFERROR(IF(BJ109="","—",IF(OR(LEFT(BG109,1)="X",LEFT(BJ109,1)="X"),"—",IF(AND(LEFT(BG109,1)="E",LEFT(BJ109,1)="E"),"Exception · Band E",IF(AND(INDEX(B_VAL,MATCH(BJ109,B_LVL,0))&gt;=7,INDEX(B_RANK,MATCH(BG109,B_LVL,0))&gt;=INDEX(B_RANK,MATCH(BJ109,B_LVL,0))),"⚠ Same band as a head manager",IF(INDEX(B_VAL,MATCH(BG109,B_LVL,0))&gt;=INDEX(B_VAL,MATCH(BJ109,B_LVL,0)),"⚠ At or above the manager's level","OK"))))),"—")</f>
        <v>OK</v>
      </c>
      <c r="BL109" s="43" t="n"/>
      <c r="BM109" s="44">
        <f>IFERROR(INDEX(LMH_PTS,MATCH(Y109,LMH_KEY,0)),0)</f>
        <v>9</v>
      </c>
      <c r="BN109" s="38">
        <f>IFERROR(INDEX(LMH_PTS,MATCH(Z109,LMH_KEY,0)),0)</f>
        <v>3</v>
      </c>
      <c r="BO109" s="38">
        <f>IFERROR(INDEX(LMH_PTS,MATCH(AA109,LMH_KEY,0)),0)</f>
        <v>3</v>
      </c>
      <c r="BP109" s="38">
        <f>IFERROR(INDEX(LMH_PTS,MATCH(AB109,LMH_KEY,0)),0)</f>
        <v>1</v>
      </c>
      <c r="BQ109" s="38">
        <f>IFERROR(INDEX(LMH_PTS,MATCH(AC109,LMH_KEY,0)),0)</f>
        <v>1</v>
      </c>
      <c r="BR109" s="38">
        <f>IFERROR(INDEX(LMH_PTS,MATCH(AD109,LMH_KEY,0)),0)</f>
        <v>1</v>
      </c>
      <c r="BS109" s="38">
        <f>IFERROR(INDEX(LMH_PTS,MATCH(AE109,LMH_KEY,0)),0)</f>
        <v>1</v>
      </c>
      <c r="BT109" s="38">
        <f>IFERROR(INDEX(LMH_STEP,MATCH(AF109,LMH_KEY,0)),0)</f>
        <v>0</v>
      </c>
      <c r="BU109" s="38">
        <f>IFERROR(INDEX(LMH_STEP,MATCH(AG109,LMH_KEY,0)),0)</f>
        <v>0</v>
      </c>
      <c r="BV109" s="38">
        <f>IFERROR(INDEX(LMH_STEP,MATCH(AH109,LMH_KEY,0)),0)</f>
        <v>0</v>
      </c>
      <c r="BW109" s="38">
        <f>IFERROR(INDEX(LMH_STEP,MATCH(AI109,LMH_KEY,0)),0)</f>
        <v>0</v>
      </c>
      <c r="BX109" s="38">
        <f>IFERROR(INDEX(LMH_STEP,MATCH(AJ109,LMH_KEY,0)),0)</f>
        <v>0</v>
      </c>
      <c r="BY109" s="38">
        <f>IFERROR(INDEX(LMH_STEP,MATCH(AK109,LMH_KEY,0)),0)</f>
        <v>0</v>
      </c>
      <c r="BZ109" s="38">
        <f>IFERROR(INDEX(LMH_STEP,MATCH(AL109,LMH_KEY,0)),0)</f>
        <v>0</v>
      </c>
      <c r="CA109" s="38" t="inlineStr">
        <is>
          <t>CARBON|Services|XBRL Specialist – POD Lead|B1|B-IC</t>
        </is>
      </c>
    </row>
    <row r="110" ht="110" customHeight="1">
      <c r="A110" s="28" t="inlineStr">
        <is>
          <t>CARBON</t>
        </is>
      </c>
      <c r="B110" s="29" t="inlineStr">
        <is>
          <t>Services</t>
        </is>
      </c>
      <c r="C110" s="29" t="n">
        <v>7</v>
      </c>
      <c r="D110" s="29" t="inlineStr">
        <is>
          <t>IRISC265</t>
        </is>
      </c>
      <c r="E110" s="29" t="inlineStr">
        <is>
          <t>Roshni Surve</t>
        </is>
      </c>
      <c r="F110" s="29" t="inlineStr">
        <is>
          <t>Consultant</t>
        </is>
      </c>
      <c r="G110" s="29" t="inlineStr">
        <is>
          <t>Senior Financial Analyst</t>
        </is>
      </c>
      <c r="H110" s="29" t="inlineStr">
        <is>
          <t>Consulting &amp; Professional Services</t>
        </is>
      </c>
      <c r="I110" s="29" t="inlineStr">
        <is>
          <t>XBRL Tagging, Conversion &amp; Filing</t>
        </is>
      </c>
      <c r="J110" s="29" t="inlineStr">
        <is>
          <t>IC</t>
        </is>
      </c>
      <c r="K110" s="29" t="inlineStr">
        <is>
          <t>RC-025</t>
        </is>
      </c>
      <c r="L110" s="29" t="inlineStr">
        <is>
          <t>Lucy Fernandes</t>
        </is>
      </c>
      <c r="M110" s="29" t="inlineStr">
        <is>
          <t>IRIS1704</t>
        </is>
      </c>
      <c r="N110" s="29" t="n">
        <v>3.3</v>
      </c>
      <c r="O110" s="29" t="n">
        <v>3.3</v>
      </c>
      <c r="P110" s="29" t="inlineStr">
        <is>
          <t>B.Com</t>
        </is>
      </c>
      <c r="Q110" s="29" t="inlineStr">
        <is>
          <t>L3 – Professional / Associate</t>
        </is>
      </c>
      <c r="R110" s="29" t="inlineStr">
        <is>
          <t>A3</t>
        </is>
      </c>
      <c r="S110" s="30" t="inlineStr">
        <is>
          <t>20 of 20</t>
        </is>
      </c>
      <c r="T110" s="31" t="inlineStr">
        <is>
          <t>• Role / sub-team: Xbrl tagging in EU and MCA.</t>
        </is>
      </c>
      <c r="U110" s="31" t="inlineStr">
        <is>
          <t>Received · manager annual · 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t>
        </is>
      </c>
      <c r="V110" s="31" t="inlineStr">
        <is>
          <t>Latest rating: 4 · Potential: High · 9-box: Core Contributor · Readiness: Ready now</t>
        </is>
      </c>
      <c r="W110" s="31" t="inlineStr">
        <is>
          <t>C M · Au M · Ac M · L L · BI M · Exp M · 3.3 yrs vs 2–4 yrs · Edu M · B.Com</t>
        </is>
      </c>
      <c r="X110" s="33" t="inlineStr">
        <is>
          <t>Open ▸</t>
        </is>
      </c>
      <c r="Y110" s="34" t="str">
        <f>IFERROR(INDEX(DL_C,MATCH($CA110,DL_KEY,0)),"M")</f>
        <v>H</v>
      </c>
      <c r="Z110" s="35" t="str">
        <f>IFERROR(INDEX(DL_Au,MATCH($CA110,DL_KEY,0)),"M")</f>
        <v>M</v>
      </c>
      <c r="AA110" s="35" t="str">
        <f>IFERROR(INDEX(DL_Ac,MATCH($CA110,DL_KEY,0)),"M")</f>
        <v>M</v>
      </c>
      <c r="AB110" s="35" t="str">
        <f>IFERROR(INDEX(DL_L,MATCH($CA110,DL_KEY,0)),"M")</f>
        <v>L</v>
      </c>
      <c r="AC110" s="35" t="str">
        <f>IFERROR(INDEX(DL_BI,MATCH($CA110,DL_KEY,0)),"M")</f>
        <v>L</v>
      </c>
      <c r="AD110" s="35" t="str">
        <f>IFERROR(INDEX(DL_Exp,MATCH($CA110,DL_KEY,0)),"M")</f>
        <v>L</v>
      </c>
      <c r="AE110" s="35" t="str">
        <f>IFERROR(INDEX(DL_Edu,MATCH($CA110,DL_KEY,0)),"M")</f>
        <v>L</v>
      </c>
      <c r="AF110" s="34" t="inlineStr">
        <is>
          <t>M</t>
        </is>
      </c>
      <c r="AG110" s="35" t="inlineStr">
        <is>
          <t>M</t>
        </is>
      </c>
      <c r="AH110" s="35" t="inlineStr">
        <is>
          <t>M</t>
        </is>
      </c>
      <c r="AI110" s="35" t="inlineStr">
        <is>
          <t>M</t>
        </is>
      </c>
      <c r="AJ110" s="35" t="inlineStr">
        <is>
          <t>M</t>
        </is>
      </c>
      <c r="AK110" s="35" t="inlineStr">
        <is>
          <t>M</t>
        </is>
      </c>
      <c r="AL110" s="35" t="inlineStr">
        <is>
          <t>M</t>
        </is>
      </c>
      <c r="AM110" s="36" t="n">
        <v>0.583</v>
      </c>
      <c r="AN110" s="37" t="n">
        <v>0.16</v>
      </c>
      <c r="AO110" s="37" t="n">
        <v>0.09</v>
      </c>
      <c r="AP110" s="37" t="n">
        <v>0</v>
      </c>
      <c r="AQ110" s="37" t="n">
        <v>0.063</v>
      </c>
      <c r="AR110" s="37" t="n">
        <v>0.06</v>
      </c>
      <c r="AS110" s="37" t="n">
        <v>0.04</v>
      </c>
      <c r="AT110" s="38" t="inlineStr">
        <is>
          <t>2–5</t>
        </is>
      </c>
      <c r="AU110" s="38" t="inlineStr">
        <is>
          <t>Graduate; relevant certification preferred</t>
        </is>
      </c>
      <c r="AV110" s="38" t="inlineStr">
        <is>
          <t>None · guides 1–3 juniors informally</t>
        </is>
      </c>
      <c r="AW110" s="38" t="inlineStr">
        <is>
          <t>P2 · SFIA 3 Apply</t>
        </is>
      </c>
      <c r="AX11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10" s="39" t="inlineStr">
        <is>
          <t>A3</t>
        </is>
      </c>
      <c r="AZ110" s="40" t="inlineStr">
        <is>
          <t>Band A · Practitioner · Senior Associate</t>
        </is>
      </c>
      <c r="BA110" s="40" t="inlineStr">
        <is>
          <t>Model A3 from the six ratings, the market-derived weights and rules R1–R13 · then No change · already below the manager</t>
        </is>
      </c>
      <c r="BB110" s="41" t="inlineStr">
        <is>
          <t>A3</t>
        </is>
      </c>
      <c r="BC110" s="40" t="inlineStr">
        <is>
          <t>The six ratings on the market-average weights of Band A · all tracks score 2.58 → A3 · Hay, Mercer IPE and public plans · experience 3.3 yrs vs the A3 market range 2–5</t>
        </is>
      </c>
      <c r="BD110" s="42">
        <f>IF(SUM(BM110,BN110,BO110,BP110,BQ110,BR110,BS110)=0,0,(BM110*BT110+BN110*BU110+BO110*BV110+BP110*BW110+BQ110*BX110+BR110*BY110+BS110*BZ110)/SUM(BM110,BN110,BO110,BP110,BQ110,BR110,BS110))</f>
        <v>0</v>
      </c>
      <c r="BE110" s="41" t="str">
        <f>IF(LEFT(AY110,1)="X",AY110,IF(OR(AY110="B+",AY110="C+"),INDEX(LAD_PC,MAX(1,MIN(14,MATCH(AY110,LAD_PC,0)+IF(BD110&gt;=0.5,1,IF(BD110&lt;=-0.5,-1,0))))),INDEX(LAD_STD,MAX(1,MIN(12,MATCH(AY110,LAD_STD,0)+IF(BD110&gt;=0.5,1,IF(BD110&lt;=-0.5,-1,0)))))))</f>
        <v>A3</v>
      </c>
      <c r="BF110" s="43" t="n"/>
      <c r="BG110" s="41" t="str">
        <f>IF(BF110&lt;&gt;"",BF110,BE110)</f>
        <v>A3</v>
      </c>
      <c r="BH110" s="40" t="str">
        <f>IFERROR(CHOOSE(INDEX(B_RANK,MATCH(BG110,B_LVL,0)),"Band A","Band B","B+ · Player-Coach","Band C","C+ · Player-Coach","Band D","Band E"),"Band X · Consultant")</f>
        <v>Band A</v>
      </c>
      <c r="BI110" s="40" t="str">
        <f>IF(BG110=AY110,"• Same",IF(INDEX(B_VAL,MATCH(BG110,B_LVL,0))&gt;INDEX(B_VAL,MATCH(AY110,B_LVL,0)),"▲ Up","▼ Down"))</f>
        <v>• Same</v>
      </c>
      <c r="BJ110" s="40" t="str">
        <f>IF(OR($M110="",$M110="—",$M110="Not in this file"),"",IFERROR(INDEX($BG$7:$BG$592,MATCH($M110,$D$7:$D$592,0)),""))</f>
        <v>B1</v>
      </c>
      <c r="BK110" s="40" t="str">
        <f>IFERROR(IF(BJ110="","—",IF(OR(LEFT(BG110,1)="X",LEFT(BJ110,1)="X"),"—",IF(AND(LEFT(BG110,1)="E",LEFT(BJ110,1)="E"),"Exception · Band E",IF(AND(INDEX(B_VAL,MATCH(BJ110,B_LVL,0))&gt;=7,INDEX(B_RANK,MATCH(BG110,B_LVL,0))&gt;=INDEX(B_RANK,MATCH(BJ110,B_LVL,0))),"⚠ Same band as a head manager",IF(INDEX(B_VAL,MATCH(BG110,B_LVL,0))&gt;=INDEX(B_VAL,MATCH(BJ110,B_LVL,0)),"⚠ At or above the manager's level","OK"))))),"—")</f>
        <v>OK</v>
      </c>
      <c r="BL110" s="43" t="n"/>
      <c r="BM110" s="44">
        <f>IFERROR(INDEX(LMH_PTS,MATCH(Y110,LMH_KEY,0)),0)</f>
        <v>9</v>
      </c>
      <c r="BN110" s="38">
        <f>IFERROR(INDEX(LMH_PTS,MATCH(Z110,LMH_KEY,0)),0)</f>
        <v>3</v>
      </c>
      <c r="BO110" s="38">
        <f>IFERROR(INDEX(LMH_PTS,MATCH(AA110,LMH_KEY,0)),0)</f>
        <v>3</v>
      </c>
      <c r="BP110" s="38">
        <f>IFERROR(INDEX(LMH_PTS,MATCH(AB110,LMH_KEY,0)),0)</f>
        <v>1</v>
      </c>
      <c r="BQ110" s="38">
        <f>IFERROR(INDEX(LMH_PTS,MATCH(AC110,LMH_KEY,0)),0)</f>
        <v>1</v>
      </c>
      <c r="BR110" s="38">
        <f>IFERROR(INDEX(LMH_PTS,MATCH(AD110,LMH_KEY,0)),0)</f>
        <v>1</v>
      </c>
      <c r="BS110" s="38">
        <f>IFERROR(INDEX(LMH_PTS,MATCH(AE110,LMH_KEY,0)),0)</f>
        <v>1</v>
      </c>
      <c r="BT110" s="38">
        <f>IFERROR(INDEX(LMH_STEP,MATCH(AF110,LMH_KEY,0)),0)</f>
        <v>0</v>
      </c>
      <c r="BU110" s="38">
        <f>IFERROR(INDEX(LMH_STEP,MATCH(AG110,LMH_KEY,0)),0)</f>
        <v>0</v>
      </c>
      <c r="BV110" s="38">
        <f>IFERROR(INDEX(LMH_STEP,MATCH(AH110,LMH_KEY,0)),0)</f>
        <v>0</v>
      </c>
      <c r="BW110" s="38">
        <f>IFERROR(INDEX(LMH_STEP,MATCH(AI110,LMH_KEY,0)),0)</f>
        <v>0</v>
      </c>
      <c r="BX110" s="38">
        <f>IFERROR(INDEX(LMH_STEP,MATCH(AJ110,LMH_KEY,0)),0)</f>
        <v>0</v>
      </c>
      <c r="BY110" s="38">
        <f>IFERROR(INDEX(LMH_STEP,MATCH(AK110,LMH_KEY,0)),0)</f>
        <v>0</v>
      </c>
      <c r="BZ110" s="38">
        <f>IFERROR(INDEX(LMH_STEP,MATCH(AL110,LMH_KEY,0)),0)</f>
        <v>0</v>
      </c>
      <c r="CA110" s="38" t="inlineStr">
        <is>
          <t>CARBON|Services|Senior Financial Analyst|A3|A</t>
        </is>
      </c>
    </row>
    <row r="111" ht="110" customHeight="1">
      <c r="A111" s="28" t="inlineStr">
        <is>
          <t>CARBON</t>
        </is>
      </c>
      <c r="B111" s="29" t="inlineStr">
        <is>
          <t>Services</t>
        </is>
      </c>
      <c r="C111" s="29" t="n">
        <v>6</v>
      </c>
      <c r="D111" s="29" t="inlineStr">
        <is>
          <t>IRIS0014</t>
        </is>
      </c>
      <c r="E111" s="29" t="inlineStr">
        <is>
          <t>Jayavant Bhabal</t>
        </is>
      </c>
      <c r="F111" s="29" t="inlineStr">
        <is>
          <t>Financial Analyst</t>
        </is>
      </c>
      <c r="G111" s="29" t="inlineStr">
        <is>
          <t>Senior Service Delivery Analyst</t>
        </is>
      </c>
      <c r="H111" s="29" t="inlineStr">
        <is>
          <t>Consulting &amp; Professional Services</t>
        </is>
      </c>
      <c r="I111" s="29" t="inlineStr">
        <is>
          <t>Service Delivery Operations</t>
        </is>
      </c>
      <c r="J111" s="29" t="inlineStr">
        <is>
          <t>IC</t>
        </is>
      </c>
      <c r="K111" s="29" t="inlineStr">
        <is>
          <t>RC-015</t>
        </is>
      </c>
      <c r="L111" s="29" t="inlineStr">
        <is>
          <t>Mayur Zope</t>
        </is>
      </c>
      <c r="M111" s="29" t="inlineStr">
        <is>
          <t>IRIS0393</t>
        </is>
      </c>
      <c r="N111" s="29" t="n">
        <v>24.4</v>
      </c>
      <c r="O111" s="29" t="n">
        <v>22</v>
      </c>
      <c r="P111" s="29" t="inlineStr">
        <is>
          <t>B.Com</t>
        </is>
      </c>
      <c r="Q111" s="29" t="inlineStr">
        <is>
          <t>L3 – Professional / Associate</t>
        </is>
      </c>
      <c r="R111" s="29" t="inlineStr">
        <is>
          <t>A3</t>
        </is>
      </c>
      <c r="S111" s="30" t="inlineStr">
        <is>
          <t>18 of 20</t>
        </is>
      </c>
      <c r="T111" s="31" t="inlineStr">
        <is>
          <t>• Role / sub-team: PMO, MIS and Billing.</t>
        </is>
      </c>
      <c r="U111" s="31" t="inlineStr">
        <is>
          <t>Received · manager annual · 1.  Ensure files processed by team  with &gt;=99% accuracy · zero critical errors.
2. Meet 100% of regulatory / client filing deadlines · no SLA breaches
3. Maintain average turnaround per assignment within agreed TAT
4. Ensure 0% regulatory rejections across all submitted filings · Excluding issues not highlighted by …</t>
        </is>
      </c>
      <c r="V111" s="31" t="inlineStr">
        <is>
          <t>Latest rating: 4 · Potential: High · 9-box: Core Contributor · Readiness: Ready now</t>
        </is>
      </c>
      <c r="W111" s="31" t="inlineStr">
        <is>
          <t>C M · Au M · Ac M · L L · BI M · Exp H · 24.4 yrs vs 2–4 yrs · Edu M · B.Com</t>
        </is>
      </c>
      <c r="X111" s="33" t="inlineStr">
        <is>
          <t>Open ▸</t>
        </is>
      </c>
      <c r="Y111" s="34" t="str">
        <f>IFERROR(INDEX(DL_C,MATCH($CA111,DL_KEY,0)),"M")</f>
        <v>H</v>
      </c>
      <c r="Z111" s="35" t="str">
        <f>IFERROR(INDEX(DL_Au,MATCH($CA111,DL_KEY,0)),"M")</f>
        <v>M</v>
      </c>
      <c r="AA111" s="35" t="str">
        <f>IFERROR(INDEX(DL_Ac,MATCH($CA111,DL_KEY,0)),"M")</f>
        <v>M</v>
      </c>
      <c r="AB111" s="35" t="str">
        <f>IFERROR(INDEX(DL_L,MATCH($CA111,DL_KEY,0)),"M")</f>
        <v>L</v>
      </c>
      <c r="AC111" s="35" t="str">
        <f>IFERROR(INDEX(DL_BI,MATCH($CA111,DL_KEY,0)),"M")</f>
        <v>L</v>
      </c>
      <c r="AD111" s="35" t="str">
        <f>IFERROR(INDEX(DL_Exp,MATCH($CA111,DL_KEY,0)),"M")</f>
        <v>L</v>
      </c>
      <c r="AE111" s="35" t="str">
        <f>IFERROR(INDEX(DL_Edu,MATCH($CA111,DL_KEY,0)),"M")</f>
        <v>L</v>
      </c>
      <c r="AF111" s="34" t="inlineStr">
        <is>
          <t>M</t>
        </is>
      </c>
      <c r="AG111" s="35" t="inlineStr">
        <is>
          <t>M</t>
        </is>
      </c>
      <c r="AH111" s="35" t="inlineStr">
        <is>
          <t>M</t>
        </is>
      </c>
      <c r="AI111" s="35" t="inlineStr">
        <is>
          <t>M</t>
        </is>
      </c>
      <c r="AJ111" s="35" t="inlineStr">
        <is>
          <t>M</t>
        </is>
      </c>
      <c r="AK111" s="35" t="inlineStr">
        <is>
          <t>M</t>
        </is>
      </c>
      <c r="AL111" s="35" t="inlineStr">
        <is>
          <t>M</t>
        </is>
      </c>
      <c r="AM111" s="36" t="n">
        <v>0.583</v>
      </c>
      <c r="AN111" s="37" t="n">
        <v>0.16</v>
      </c>
      <c r="AO111" s="37" t="n">
        <v>0.09</v>
      </c>
      <c r="AP111" s="37" t="n">
        <v>0</v>
      </c>
      <c r="AQ111" s="37" t="n">
        <v>0.063</v>
      </c>
      <c r="AR111" s="37" t="n">
        <v>0.06</v>
      </c>
      <c r="AS111" s="37" t="n">
        <v>0.04</v>
      </c>
      <c r="AT111" s="38" t="inlineStr">
        <is>
          <t>2–5</t>
        </is>
      </c>
      <c r="AU111" s="38" t="inlineStr">
        <is>
          <t>Graduate; relevant certification preferred</t>
        </is>
      </c>
      <c r="AV111" s="38" t="inlineStr">
        <is>
          <t>None · guides 1–3 juniors informally</t>
        </is>
      </c>
      <c r="AW111" s="38" t="inlineStr">
        <is>
          <t>P2 · SFIA 3 Apply</t>
        </is>
      </c>
      <c r="AX11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11" s="39" t="inlineStr">
        <is>
          <t>A3</t>
        </is>
      </c>
      <c r="AZ111" s="40" t="inlineStr">
        <is>
          <t>Band A · Practitioner · Senior Associate</t>
        </is>
      </c>
      <c r="BA111" s="40" t="inlineStr">
        <is>
          <t>Model A3 from the six ratings, the market-derived weights and rules R1–R13 · then No change · already below the manager</t>
        </is>
      </c>
      <c r="BB111" s="41" t="inlineStr">
        <is>
          <t>A3</t>
        </is>
      </c>
      <c r="BC111" s="40" t="inlineStr">
        <is>
          <t>The six ratings on the market-average weights of Band A · all tracks score 3.39 → A3 · Hay, Mercer IPE and public plans · experience 24.4 yrs vs the A3 market range 2–5</t>
        </is>
      </c>
      <c r="BD111" s="42">
        <f>IF(SUM(BM111,BN111,BO111,BP111,BQ111,BR111,BS111)=0,0,(BM111*BT111+BN111*BU111+BO111*BV111+BP111*BW111+BQ111*BX111+BR111*BY111+BS111*BZ111)/SUM(BM111,BN111,BO111,BP111,BQ111,BR111,BS111))</f>
        <v>0</v>
      </c>
      <c r="BE111" s="41" t="str">
        <f>IF(LEFT(AY111,1)="X",AY111,IF(OR(AY111="B+",AY111="C+"),INDEX(LAD_PC,MAX(1,MIN(14,MATCH(AY111,LAD_PC,0)+IF(BD111&gt;=0.5,1,IF(BD111&lt;=-0.5,-1,0))))),INDEX(LAD_STD,MAX(1,MIN(12,MATCH(AY111,LAD_STD,0)+IF(BD111&gt;=0.5,1,IF(BD111&lt;=-0.5,-1,0)))))))</f>
        <v>A3</v>
      </c>
      <c r="BF111" s="43" t="n"/>
      <c r="BG111" s="41" t="str">
        <f>IF(BF111&lt;&gt;"",BF111,BE111)</f>
        <v>A3</v>
      </c>
      <c r="BH111" s="40" t="str">
        <f>IFERROR(CHOOSE(INDEX(B_RANK,MATCH(BG111,B_LVL,0)),"Band A","Band B","B+ · Player-Coach","Band C","C+ · Player-Coach","Band D","Band E"),"Band X · Consultant")</f>
        <v>Band A</v>
      </c>
      <c r="BI111" s="40" t="str">
        <f>IF(BG111=AY111,"• Same",IF(INDEX(B_VAL,MATCH(BG111,B_LVL,0))&gt;INDEX(B_VAL,MATCH(AY111,B_LVL,0)),"▲ Up","▼ Down"))</f>
        <v>• Same</v>
      </c>
      <c r="BJ111" s="40" t="str">
        <f>IF(OR($M111="",$M111="—",$M111="Not in this file"),"",IFERROR(INDEX($BG$7:$BG$592,MATCH($M111,$D$7:$D$592,0)),""))</f>
        <v>B2</v>
      </c>
      <c r="BK111" s="40" t="str">
        <f>IFERROR(IF(BJ111="","—",IF(OR(LEFT(BG111,1)="X",LEFT(BJ111,1)="X"),"—",IF(AND(LEFT(BG111,1)="E",LEFT(BJ111,1)="E"),"Exception · Band E",IF(AND(INDEX(B_VAL,MATCH(BJ111,B_LVL,0))&gt;=7,INDEX(B_RANK,MATCH(BG111,B_LVL,0))&gt;=INDEX(B_RANK,MATCH(BJ111,B_LVL,0))),"⚠ Same band as a head manager",IF(INDEX(B_VAL,MATCH(BG111,B_LVL,0))&gt;=INDEX(B_VAL,MATCH(BJ111,B_LVL,0)),"⚠ At or above the manager's level","OK"))))),"—")</f>
        <v>OK</v>
      </c>
      <c r="BL111" s="43" t="n"/>
      <c r="BM111" s="44">
        <f>IFERROR(INDEX(LMH_PTS,MATCH(Y111,LMH_KEY,0)),0)</f>
        <v>9</v>
      </c>
      <c r="BN111" s="38">
        <f>IFERROR(INDEX(LMH_PTS,MATCH(Z111,LMH_KEY,0)),0)</f>
        <v>3</v>
      </c>
      <c r="BO111" s="38">
        <f>IFERROR(INDEX(LMH_PTS,MATCH(AA111,LMH_KEY,0)),0)</f>
        <v>3</v>
      </c>
      <c r="BP111" s="38">
        <f>IFERROR(INDEX(LMH_PTS,MATCH(AB111,LMH_KEY,0)),0)</f>
        <v>1</v>
      </c>
      <c r="BQ111" s="38">
        <f>IFERROR(INDEX(LMH_PTS,MATCH(AC111,LMH_KEY,0)),0)</f>
        <v>1</v>
      </c>
      <c r="BR111" s="38">
        <f>IFERROR(INDEX(LMH_PTS,MATCH(AD111,LMH_KEY,0)),0)</f>
        <v>1</v>
      </c>
      <c r="BS111" s="38">
        <f>IFERROR(INDEX(LMH_PTS,MATCH(AE111,LMH_KEY,0)),0)</f>
        <v>1</v>
      </c>
      <c r="BT111" s="38">
        <f>IFERROR(INDEX(LMH_STEP,MATCH(AF111,LMH_KEY,0)),0)</f>
        <v>0</v>
      </c>
      <c r="BU111" s="38">
        <f>IFERROR(INDEX(LMH_STEP,MATCH(AG111,LMH_KEY,0)),0)</f>
        <v>0</v>
      </c>
      <c r="BV111" s="38">
        <f>IFERROR(INDEX(LMH_STEP,MATCH(AH111,LMH_KEY,0)),0)</f>
        <v>0</v>
      </c>
      <c r="BW111" s="38">
        <f>IFERROR(INDEX(LMH_STEP,MATCH(AI111,LMH_KEY,0)),0)</f>
        <v>0</v>
      </c>
      <c r="BX111" s="38">
        <f>IFERROR(INDEX(LMH_STEP,MATCH(AJ111,LMH_KEY,0)),0)</f>
        <v>0</v>
      </c>
      <c r="BY111" s="38">
        <f>IFERROR(INDEX(LMH_STEP,MATCH(AK111,LMH_KEY,0)),0)</f>
        <v>0</v>
      </c>
      <c r="BZ111" s="38">
        <f>IFERROR(INDEX(LMH_STEP,MATCH(AL111,LMH_KEY,0)),0)</f>
        <v>0</v>
      </c>
      <c r="CA111" s="38" t="inlineStr">
        <is>
          <t>CARBON|Services|Senior Service Delivery Analyst|A3|A</t>
        </is>
      </c>
    </row>
    <row r="112" ht="110" customHeight="1">
      <c r="A112" s="28" t="inlineStr">
        <is>
          <t>CARBON</t>
        </is>
      </c>
      <c r="B112" s="29" t="inlineStr">
        <is>
          <t>Services</t>
        </is>
      </c>
      <c r="C112" s="29" t="n">
        <v>5</v>
      </c>
      <c r="D112" s="29" t="inlineStr">
        <is>
          <t>IRIS2475</t>
        </is>
      </c>
      <c r="E112" s="29" t="inlineStr">
        <is>
          <t>Yadavar Velumurgan S.</t>
        </is>
      </c>
      <c r="F112" s="29" t="inlineStr">
        <is>
          <t>Senior Financial Analyst</t>
        </is>
      </c>
      <c r="G112" s="29" t="inlineStr">
        <is>
          <t>Senior QA Engineer</t>
        </is>
      </c>
      <c r="H112" s="29" t="inlineStr">
        <is>
          <t>Quality Assurance</t>
        </is>
      </c>
      <c r="I112" s="29" t="inlineStr">
        <is>
          <t>Functional &amp; Domain Testing</t>
        </is>
      </c>
      <c r="J112" s="29" t="inlineStr">
        <is>
          <t>IC</t>
        </is>
      </c>
      <c r="K112" s="29" t="inlineStr">
        <is>
          <t>RC-141</t>
        </is>
      </c>
      <c r="L112" s="29" t="inlineStr">
        <is>
          <t>K Ashok Kumar</t>
        </is>
      </c>
      <c r="M112" s="29" t="inlineStr">
        <is>
          <t>IRIS0018</t>
        </is>
      </c>
      <c r="N112" s="29" t="n">
        <v>3.3</v>
      </c>
      <c r="O112" s="29" t="n">
        <v>0.6</v>
      </c>
      <c r="P112" s="29" t="inlineStr">
        <is>
          <t>B.Com</t>
        </is>
      </c>
      <c r="Q112" s="29" t="inlineStr">
        <is>
          <t>L4 – Senior</t>
        </is>
      </c>
      <c r="R112" s="29" t="inlineStr">
        <is>
          <t>A3</t>
        </is>
      </c>
      <c r="S112" s="30" t="inlineStr">
        <is>
          <t>20 of 20</t>
        </is>
      </c>
      <c r="T112" s="31" t="inlineStr">
        <is>
          <t>• Role / sub-team: AI Testing.</t>
        </is>
      </c>
      <c r="U112" s="31" t="inlineStr">
        <is>
          <t>Received · manager annual · 1. Testing of AI related features.
2. Providing suggestions/Corrections in new and existing functionality of AI related features.
3. Providing Enhancements required in new and existing functionality of AI related features.
4. CBCR and other testing allocated to Ashok and team
5. If live file is allocated, Complete …</t>
        </is>
      </c>
      <c r="V112" s="31" t="inlineStr">
        <is>
          <t>Latest rating: 3 · Potential: Medium · 9-box: Core Contributor · Readiness: Develop in role</t>
        </is>
      </c>
      <c r="W112" s="31" t="inlineStr">
        <is>
          <t>C M · Au M · Ac M · L L · BI M · Exp M · 3.3 yrs vs 2–4 yrs · Edu M · B.Com</t>
        </is>
      </c>
      <c r="X112" s="33" t="inlineStr">
        <is>
          <t>Open ▸</t>
        </is>
      </c>
      <c r="Y112" s="34" t="str">
        <f>IFERROR(INDEX(DL_C,MATCH($CA112,DL_KEY,0)),"M")</f>
        <v>H</v>
      </c>
      <c r="Z112" s="35" t="str">
        <f>IFERROR(INDEX(DL_Au,MATCH($CA112,DL_KEY,0)),"M")</f>
        <v>M</v>
      </c>
      <c r="AA112" s="35" t="str">
        <f>IFERROR(INDEX(DL_Ac,MATCH($CA112,DL_KEY,0)),"M")</f>
        <v>L</v>
      </c>
      <c r="AB112" s="35" t="str">
        <f>IFERROR(INDEX(DL_L,MATCH($CA112,DL_KEY,0)),"M")</f>
        <v>L</v>
      </c>
      <c r="AC112" s="35" t="str">
        <f>IFERROR(INDEX(DL_BI,MATCH($CA112,DL_KEY,0)),"M")</f>
        <v>L</v>
      </c>
      <c r="AD112" s="35" t="str">
        <f>IFERROR(INDEX(DL_Exp,MATCH($CA112,DL_KEY,0)),"M")</f>
        <v>L</v>
      </c>
      <c r="AE112" s="35" t="str">
        <f>IFERROR(INDEX(DL_Edu,MATCH($CA112,DL_KEY,0)),"M")</f>
        <v>L</v>
      </c>
      <c r="AF112" s="34" t="inlineStr">
        <is>
          <t>M</t>
        </is>
      </c>
      <c r="AG112" s="35" t="inlineStr">
        <is>
          <t>M</t>
        </is>
      </c>
      <c r="AH112" s="35" t="inlineStr">
        <is>
          <t>M</t>
        </is>
      </c>
      <c r="AI112" s="35" t="inlineStr">
        <is>
          <t>M</t>
        </is>
      </c>
      <c r="AJ112" s="35" t="inlineStr">
        <is>
          <t>M</t>
        </is>
      </c>
      <c r="AK112" s="35" t="inlineStr">
        <is>
          <t>M</t>
        </is>
      </c>
      <c r="AL112" s="35" t="inlineStr">
        <is>
          <t>M</t>
        </is>
      </c>
      <c r="AM112" s="36" t="n">
        <v>0.583</v>
      </c>
      <c r="AN112" s="37" t="n">
        <v>0.16</v>
      </c>
      <c r="AO112" s="37" t="n">
        <v>0.09</v>
      </c>
      <c r="AP112" s="37" t="n">
        <v>0</v>
      </c>
      <c r="AQ112" s="37" t="n">
        <v>0.063</v>
      </c>
      <c r="AR112" s="37" t="n">
        <v>0.06</v>
      </c>
      <c r="AS112" s="37" t="n">
        <v>0.04</v>
      </c>
      <c r="AT112" s="38" t="inlineStr">
        <is>
          <t>2–5</t>
        </is>
      </c>
      <c r="AU112" s="38" t="inlineStr">
        <is>
          <t>Graduate; relevant certification preferred</t>
        </is>
      </c>
      <c r="AV112" s="38" t="inlineStr">
        <is>
          <t>None · guides 1–3 juniors informally</t>
        </is>
      </c>
      <c r="AW112" s="38" t="inlineStr">
        <is>
          <t>P2 · SFIA 3 Apply</t>
        </is>
      </c>
      <c r="AX11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12" s="39" t="inlineStr">
        <is>
          <t>A3</t>
        </is>
      </c>
      <c r="AZ112" s="40" t="inlineStr">
        <is>
          <t>Band A · Practitioner · Senior Associate</t>
        </is>
      </c>
      <c r="BA112" s="40" t="inlineStr">
        <is>
          <t>Model A3 from the six ratings, the market-derived weights and rules R1–R13 · then No change · already below the manager</t>
        </is>
      </c>
      <c r="BB112" s="41" t="inlineStr">
        <is>
          <t>A3</t>
        </is>
      </c>
      <c r="BC112" s="40" t="inlineStr">
        <is>
          <t>The six ratings on the market-average weights of Band A · all tracks score 2.95 → A3 · Hay, Mercer IPE and public plans · experience 3.3 yrs vs the A3 market range 2–5</t>
        </is>
      </c>
      <c r="BD112" s="42">
        <f>IF(SUM(BM112,BN112,BO112,BP112,BQ112,BR112,BS112)=0,0,(BM112*BT112+BN112*BU112+BO112*BV112+BP112*BW112+BQ112*BX112+BR112*BY112+BS112*BZ112)/SUM(BM112,BN112,BO112,BP112,BQ112,BR112,BS112))</f>
        <v>0</v>
      </c>
      <c r="BE112" s="41" t="str">
        <f>IF(LEFT(AY112,1)="X",AY112,IF(OR(AY112="B+",AY112="C+"),INDEX(LAD_PC,MAX(1,MIN(14,MATCH(AY112,LAD_PC,0)+IF(BD112&gt;=0.5,1,IF(BD112&lt;=-0.5,-1,0))))),INDEX(LAD_STD,MAX(1,MIN(12,MATCH(AY112,LAD_STD,0)+IF(BD112&gt;=0.5,1,IF(BD112&lt;=-0.5,-1,0)))))))</f>
        <v>A3</v>
      </c>
      <c r="BF112" s="43" t="n"/>
      <c r="BG112" s="41" t="str">
        <f>IF(BF112&lt;&gt;"",BF112,BE112)</f>
        <v>A3</v>
      </c>
      <c r="BH112" s="40" t="str">
        <f>IFERROR(CHOOSE(INDEX(B_RANK,MATCH(BG112,B_LVL,0)),"Band A","Band B","B+ · Player-Coach","Band C","C+ · Player-Coach","Band D","Band E"),"Band X · Consultant")</f>
        <v>Band A</v>
      </c>
      <c r="BI112" s="40" t="str">
        <f>IF(BG112=AY112,"• Same",IF(INDEX(B_VAL,MATCH(BG112,B_LVL,0))&gt;INDEX(B_VAL,MATCH(AY112,B_LVL,0)),"▲ Up","▼ Down"))</f>
        <v>• Same</v>
      </c>
      <c r="BJ112" s="40" t="str">
        <f>IF(OR($M112="",$M112="—",$M112="Not in this file"),"",IFERROR(INDEX($BG$7:$BG$592,MATCH($M112,$D$7:$D$592,0)),""))</f>
        <v>B3</v>
      </c>
      <c r="BK112" s="40" t="str">
        <f>IFERROR(IF(BJ112="","—",IF(OR(LEFT(BG112,1)="X",LEFT(BJ112,1)="X"),"—",IF(AND(LEFT(BG112,1)="E",LEFT(BJ112,1)="E"),"Exception · Band E",IF(AND(INDEX(B_VAL,MATCH(BJ112,B_LVL,0))&gt;=7,INDEX(B_RANK,MATCH(BG112,B_LVL,0))&gt;=INDEX(B_RANK,MATCH(BJ112,B_LVL,0))),"⚠ Same band as a head manager",IF(INDEX(B_VAL,MATCH(BG112,B_LVL,0))&gt;=INDEX(B_VAL,MATCH(BJ112,B_LVL,0)),"⚠ At or above the manager's level","OK"))))),"—")</f>
        <v>OK</v>
      </c>
      <c r="BL112" s="43" t="n"/>
      <c r="BM112" s="44">
        <f>IFERROR(INDEX(LMH_PTS,MATCH(Y112,LMH_KEY,0)),0)</f>
        <v>9</v>
      </c>
      <c r="BN112" s="38">
        <f>IFERROR(INDEX(LMH_PTS,MATCH(Z112,LMH_KEY,0)),0)</f>
        <v>3</v>
      </c>
      <c r="BO112" s="38">
        <f>IFERROR(INDEX(LMH_PTS,MATCH(AA112,LMH_KEY,0)),0)</f>
        <v>1</v>
      </c>
      <c r="BP112" s="38">
        <f>IFERROR(INDEX(LMH_PTS,MATCH(AB112,LMH_KEY,0)),0)</f>
        <v>1</v>
      </c>
      <c r="BQ112" s="38">
        <f>IFERROR(INDEX(LMH_PTS,MATCH(AC112,LMH_KEY,0)),0)</f>
        <v>1</v>
      </c>
      <c r="BR112" s="38">
        <f>IFERROR(INDEX(LMH_PTS,MATCH(AD112,LMH_KEY,0)),0)</f>
        <v>1</v>
      </c>
      <c r="BS112" s="38">
        <f>IFERROR(INDEX(LMH_PTS,MATCH(AE112,LMH_KEY,0)),0)</f>
        <v>1</v>
      </c>
      <c r="BT112" s="38">
        <f>IFERROR(INDEX(LMH_STEP,MATCH(AF112,LMH_KEY,0)),0)</f>
        <v>0</v>
      </c>
      <c r="BU112" s="38">
        <f>IFERROR(INDEX(LMH_STEP,MATCH(AG112,LMH_KEY,0)),0)</f>
        <v>0</v>
      </c>
      <c r="BV112" s="38">
        <f>IFERROR(INDEX(LMH_STEP,MATCH(AH112,LMH_KEY,0)),0)</f>
        <v>0</v>
      </c>
      <c r="BW112" s="38">
        <f>IFERROR(INDEX(LMH_STEP,MATCH(AI112,LMH_KEY,0)),0)</f>
        <v>0</v>
      </c>
      <c r="BX112" s="38">
        <f>IFERROR(INDEX(LMH_STEP,MATCH(AJ112,LMH_KEY,0)),0)</f>
        <v>0</v>
      </c>
      <c r="BY112" s="38">
        <f>IFERROR(INDEX(LMH_STEP,MATCH(AK112,LMH_KEY,0)),0)</f>
        <v>0</v>
      </c>
      <c r="BZ112" s="38">
        <f>IFERROR(INDEX(LMH_STEP,MATCH(AL112,LMH_KEY,0)),0)</f>
        <v>0</v>
      </c>
      <c r="CA112" s="38" t="inlineStr">
        <is>
          <t>CARBON|Services|Senior QA Engineer|A3|A</t>
        </is>
      </c>
    </row>
    <row r="113" ht="110" customHeight="1">
      <c r="A113" s="28" t="inlineStr">
        <is>
          <t>CARBON</t>
        </is>
      </c>
      <c r="B113" s="29" t="inlineStr">
        <is>
          <t>Technology</t>
        </is>
      </c>
      <c r="C113" s="29" t="n">
        <v>4</v>
      </c>
      <c r="D113" s="29" t="inlineStr">
        <is>
          <t>IRIS1272</t>
        </is>
      </c>
      <c r="E113" s="29" t="inlineStr">
        <is>
          <t>Aaron Michael</t>
        </is>
      </c>
      <c r="F113" s="29" t="inlineStr">
        <is>
          <t>Project Manager</t>
        </is>
      </c>
      <c r="G113" s="29" t="inlineStr">
        <is>
          <t>Project Manager</t>
        </is>
      </c>
      <c r="H113" s="29" t="inlineStr">
        <is>
          <t>Project &amp; Program Management</t>
        </is>
      </c>
      <c r="I113" s="29" t="inlineStr">
        <is>
          <t>Project &amp; Program Delivery</t>
        </is>
      </c>
      <c r="J113" s="29" t="inlineStr">
        <is>
          <t>IC</t>
        </is>
      </c>
      <c r="K113" s="29" t="inlineStr">
        <is>
          <t>RC-135</t>
        </is>
      </c>
      <c r="L113" s="29" t="inlineStr">
        <is>
          <t>Suman Adhikary</t>
        </is>
      </c>
      <c r="M113" s="29" t="inlineStr">
        <is>
          <t>IRIS2359</t>
        </is>
      </c>
      <c r="N113" s="29" t="n">
        <v>15.4</v>
      </c>
      <c r="O113" s="29" t="n">
        <v>14</v>
      </c>
      <c r="P113" s="29" t="inlineStr">
        <is>
          <t>MMS</t>
        </is>
      </c>
      <c r="Q113" s="29" t="inlineStr">
        <is>
          <t>L5 – Manager</t>
        </is>
      </c>
      <c r="R113" s="29" t="inlineStr">
        <is>
          <t>B2</t>
        </is>
      </c>
      <c r="S113" s="30" t="inlineStr">
        <is>
          <t>20 of 20</t>
        </is>
      </c>
      <c r="T113" s="31" t="inlineStr">
        <is>
          <t>• Role / sub-team: Functional — Project Manager.
• Core purpose: A project manager is bridge between the product, teams, stakeholders and client which helps to deliver end goals of the customer as well as the organization.
• Decision-making autonomy: Can independently client engagement; Assigning Tasks.
• Is this something only they do: Most of us.
• What's …</t>
        </is>
      </c>
      <c r="U113" s="31" t="inlineStr">
        <is>
          <t>Received · manager annual · On-time delivery: ≥95%
Budget adherence: ≥90%
Project CSAT: ≥4.7/5
Implementation NPS: &gt;70
First-time go-live success: ≥95%
Average implementation duration: -20% YoY
Resource utilization: 80–85%
Project gross margin: Target as per finance
Escalations: &lt;5% of projects
Critical defects after go-live: -40%</t>
        </is>
      </c>
      <c r="V113" s="31" t="inlineStr">
        <is>
          <t>Latest rating: 3 · Potential: Medium · 9-box: Core Contributor · Readiness: Develop in role</t>
        </is>
      </c>
      <c r="W113" s="31" t="inlineStr">
        <is>
          <t>C M · Au M · Ac M · L L · BI M · Exp H · 15.4 yrs vs 6–9 yrs · Edu H · MMS</t>
        </is>
      </c>
      <c r="X113" s="33" t="inlineStr">
        <is>
          <t>Open ▸</t>
        </is>
      </c>
      <c r="Y113" s="34" t="str">
        <f>IFERROR(INDEX(DL_C,MATCH($CA113,DL_KEY,0)),"M")</f>
        <v>H</v>
      </c>
      <c r="Z113" s="35" t="str">
        <f>IFERROR(INDEX(DL_Au,MATCH($CA113,DL_KEY,0)),"M")</f>
        <v>M</v>
      </c>
      <c r="AA113" s="35" t="str">
        <f>IFERROR(INDEX(DL_Ac,MATCH($CA113,DL_KEY,0)),"M")</f>
        <v>L</v>
      </c>
      <c r="AB113" s="35" t="str">
        <f>IFERROR(INDEX(DL_L,MATCH($CA113,DL_KEY,0)),"M")</f>
        <v>L</v>
      </c>
      <c r="AC113" s="35" t="str">
        <f>IFERROR(INDEX(DL_BI,MATCH($CA113,DL_KEY,0)),"M")</f>
        <v>L</v>
      </c>
      <c r="AD113" s="35" t="str">
        <f>IFERROR(INDEX(DL_Exp,MATCH($CA113,DL_KEY,0)),"M")</f>
        <v>L</v>
      </c>
      <c r="AE113" s="35" t="str">
        <f>IFERROR(INDEX(DL_Edu,MATCH($CA113,DL_KEY,0)),"M")</f>
        <v>L</v>
      </c>
      <c r="AF113" s="34" t="inlineStr">
        <is>
          <t>M</t>
        </is>
      </c>
      <c r="AG113" s="35" t="inlineStr">
        <is>
          <t>M</t>
        </is>
      </c>
      <c r="AH113" s="35" t="inlineStr">
        <is>
          <t>M</t>
        </is>
      </c>
      <c r="AI113" s="35" t="inlineStr">
        <is>
          <t>M</t>
        </is>
      </c>
      <c r="AJ113" s="35" t="inlineStr">
        <is>
          <t>M</t>
        </is>
      </c>
      <c r="AK113" s="35" t="inlineStr">
        <is>
          <t>M</t>
        </is>
      </c>
      <c r="AL113" s="35" t="inlineStr">
        <is>
          <t>M</t>
        </is>
      </c>
      <c r="AM113" s="36" t="n">
        <v>0.513</v>
      </c>
      <c r="AN113" s="37" t="n">
        <v>0.173</v>
      </c>
      <c r="AO113" s="37" t="n">
        <v>0.09699999999999999</v>
      </c>
      <c r="AP113" s="37" t="n">
        <v>0.05</v>
      </c>
      <c r="AQ113" s="37" t="n">
        <v>0.07000000000000001</v>
      </c>
      <c r="AR113" s="37" t="n">
        <v>0.06</v>
      </c>
      <c r="AS113" s="37" t="n">
        <v>0.04</v>
      </c>
      <c r="AT113" s="38" t="inlineStr">
        <is>
          <t>6–10</t>
        </is>
      </c>
      <c r="AU113" s="38" t="inlineStr">
        <is>
          <t>Graduate or postgraduate; professional qualification preferred</t>
        </is>
      </c>
      <c r="AV113" s="38" t="inlineStr">
        <is>
          <t>IC: none · People: 6–8 knowledge work, 8–12 standardised delivery</t>
        </is>
      </c>
      <c r="AW113" s="38" t="inlineStr">
        <is>
          <t>P4 / M3 · SFIA 4–5</t>
        </is>
      </c>
      <c r="AX11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13" s="39" t="inlineStr">
        <is>
          <t>B2</t>
        </is>
      </c>
      <c r="AZ113" s="40" t="inlineStr">
        <is>
          <t>Band B · Specialist / Manager · Senior Specialist</t>
        </is>
      </c>
      <c r="BA113" s="40" t="inlineStr">
        <is>
          <t>Model B2 from the six ratings, the market-derived weights and rules R1–R13 · then No change · already below the manager</t>
        </is>
      </c>
      <c r="BB113" s="41" t="inlineStr">
        <is>
          <t>B2</t>
        </is>
      </c>
      <c r="BC113" s="40" t="inlineStr">
        <is>
          <t>The six ratings on the market-average weights of Band B · Specialist / POD Lead score 5.08 → B2 · Hay, Mercer IPE and public plans · experience 15.4 yrs vs the B2 market range 6–10</t>
        </is>
      </c>
      <c r="BD113" s="42">
        <f>IF(SUM(BM113,BN113,BO113,BP113,BQ113,BR113,BS113)=0,0,(BM113*BT113+BN113*BU113+BO113*BV113+BP113*BW113+BQ113*BX113+BR113*BY113+BS113*BZ113)/SUM(BM113,BN113,BO113,BP113,BQ113,BR113,BS113))</f>
        <v>0</v>
      </c>
      <c r="BE113" s="41" t="str">
        <f>IF(LEFT(AY113,1)="X",AY113,IF(OR(AY113="B+",AY113="C+"),INDEX(LAD_PC,MAX(1,MIN(14,MATCH(AY113,LAD_PC,0)+IF(BD113&gt;=0.5,1,IF(BD113&lt;=-0.5,-1,0))))),INDEX(LAD_STD,MAX(1,MIN(12,MATCH(AY113,LAD_STD,0)+IF(BD113&gt;=0.5,1,IF(BD113&lt;=-0.5,-1,0)))))))</f>
        <v>B2</v>
      </c>
      <c r="BF113" s="43" t="n"/>
      <c r="BG113" s="41" t="str">
        <f>IF(BF113&lt;&gt;"",BF113,BE113)</f>
        <v>B2</v>
      </c>
      <c r="BH113" s="40" t="str">
        <f>IFERROR(CHOOSE(INDEX(B_RANK,MATCH(BG113,B_LVL,0)),"Band A","Band B","B+ · Player-Coach","Band C","C+ · Player-Coach","Band D","Band E"),"Band X · Consultant")</f>
        <v>Band B</v>
      </c>
      <c r="BI113" s="40" t="str">
        <f>IF(BG113=AY113,"• Same",IF(INDEX(B_VAL,MATCH(BG113,B_LVL,0))&gt;INDEX(B_VAL,MATCH(AY113,B_LVL,0)),"▲ Up","▼ Down"))</f>
        <v>• Same</v>
      </c>
      <c r="BJ113" s="40" t="str">
        <f>IF(OR($M113="",$M113="—",$M113="Not in this file"),"",IFERROR(INDEX($BG$7:$BG$592,MATCH($M113,$D$7:$D$592,0)),""))</f>
        <v>C2</v>
      </c>
      <c r="BK113" s="40" t="str">
        <f>IFERROR(IF(BJ113="","—",IF(OR(LEFT(BG113,1)="X",LEFT(BJ113,1)="X"),"—",IF(AND(LEFT(BG113,1)="E",LEFT(BJ113,1)="E"),"Exception · Band E",IF(AND(INDEX(B_VAL,MATCH(BJ113,B_LVL,0))&gt;=7,INDEX(B_RANK,MATCH(BG113,B_LVL,0))&gt;=INDEX(B_RANK,MATCH(BJ113,B_LVL,0))),"⚠ Same band as a head manager",IF(INDEX(B_VAL,MATCH(BG113,B_LVL,0))&gt;=INDEX(B_VAL,MATCH(BJ113,B_LVL,0)),"⚠ At or above the manager's level","OK"))))),"—")</f>
        <v>OK</v>
      </c>
      <c r="BL113" s="43" t="n"/>
      <c r="BM113" s="44">
        <f>IFERROR(INDEX(LMH_PTS,MATCH(Y113,LMH_KEY,0)),0)</f>
        <v>9</v>
      </c>
      <c r="BN113" s="38">
        <f>IFERROR(INDEX(LMH_PTS,MATCH(Z113,LMH_KEY,0)),0)</f>
        <v>3</v>
      </c>
      <c r="BO113" s="38">
        <f>IFERROR(INDEX(LMH_PTS,MATCH(AA113,LMH_KEY,0)),0)</f>
        <v>1</v>
      </c>
      <c r="BP113" s="38">
        <f>IFERROR(INDEX(LMH_PTS,MATCH(AB113,LMH_KEY,0)),0)</f>
        <v>1</v>
      </c>
      <c r="BQ113" s="38">
        <f>IFERROR(INDEX(LMH_PTS,MATCH(AC113,LMH_KEY,0)),0)</f>
        <v>1</v>
      </c>
      <c r="BR113" s="38">
        <f>IFERROR(INDEX(LMH_PTS,MATCH(AD113,LMH_KEY,0)),0)</f>
        <v>1</v>
      </c>
      <c r="BS113" s="38">
        <f>IFERROR(INDEX(LMH_PTS,MATCH(AE113,LMH_KEY,0)),0)</f>
        <v>1</v>
      </c>
      <c r="BT113" s="38">
        <f>IFERROR(INDEX(LMH_STEP,MATCH(AF113,LMH_KEY,0)),0)</f>
        <v>0</v>
      </c>
      <c r="BU113" s="38">
        <f>IFERROR(INDEX(LMH_STEP,MATCH(AG113,LMH_KEY,0)),0)</f>
        <v>0</v>
      </c>
      <c r="BV113" s="38">
        <f>IFERROR(INDEX(LMH_STEP,MATCH(AH113,LMH_KEY,0)),0)</f>
        <v>0</v>
      </c>
      <c r="BW113" s="38">
        <f>IFERROR(INDEX(LMH_STEP,MATCH(AI113,LMH_KEY,0)),0)</f>
        <v>0</v>
      </c>
      <c r="BX113" s="38">
        <f>IFERROR(INDEX(LMH_STEP,MATCH(AJ113,LMH_KEY,0)),0)</f>
        <v>0</v>
      </c>
      <c r="BY113" s="38">
        <f>IFERROR(INDEX(LMH_STEP,MATCH(AK113,LMH_KEY,0)),0)</f>
        <v>0</v>
      </c>
      <c r="BZ113" s="38">
        <f>IFERROR(INDEX(LMH_STEP,MATCH(AL113,LMH_KEY,0)),0)</f>
        <v>0</v>
      </c>
      <c r="CA113" s="38" t="inlineStr">
        <is>
          <t>CARBON|Technology|Project Manager|B2|B-IC</t>
        </is>
      </c>
    </row>
    <row r="114" ht="110" customHeight="1">
      <c r="A114" s="28" t="inlineStr">
        <is>
          <t>CARBON</t>
        </is>
      </c>
      <c r="B114" s="29" t="inlineStr">
        <is>
          <t>Support</t>
        </is>
      </c>
      <c r="C114" s="29" t="n">
        <v>4</v>
      </c>
      <c r="D114" s="29" t="inlineStr">
        <is>
          <t>IRIS0662</t>
        </is>
      </c>
      <c r="E114" s="29" t="inlineStr">
        <is>
          <t>Harshal Shah</t>
        </is>
      </c>
      <c r="F114" s="29" t="inlineStr">
        <is>
          <t>Support Lead</t>
        </is>
      </c>
      <c r="G114" s="29" t="inlineStr">
        <is>
          <t>Support Manager</t>
        </is>
      </c>
      <c r="H114" s="29" t="inlineStr">
        <is>
          <t>Customer Success &amp; Support</t>
        </is>
      </c>
      <c r="I114" s="29" t="inlineStr">
        <is>
          <t>Application &amp; Product Support</t>
        </is>
      </c>
      <c r="J114" s="29" t="inlineStr">
        <is>
          <t>People Manager</t>
        </is>
      </c>
      <c r="K114" s="29" t="inlineStr">
        <is>
          <t>RC-033</t>
        </is>
      </c>
      <c r="L114" s="29" t="inlineStr">
        <is>
          <t>Suman Adhikary</t>
        </is>
      </c>
      <c r="M114" s="29" t="inlineStr">
        <is>
          <t>IRIS2359</t>
        </is>
      </c>
      <c r="N114" s="29" t="n">
        <v>15.3</v>
      </c>
      <c r="O114" s="29" t="n">
        <v>15.3</v>
      </c>
      <c r="P114" s="29" t="inlineStr">
        <is>
          <t>B.Com</t>
        </is>
      </c>
      <c r="Q114" s="29" t="inlineStr">
        <is>
          <t>L5 – Lead · IC</t>
        </is>
      </c>
      <c r="R114" s="29" t="inlineStr">
        <is>
          <t>B2</t>
        </is>
      </c>
      <c r="S114" s="30" t="inlineStr">
        <is>
          <t>20 of 20</t>
        </is>
      </c>
      <c r="T114" s="31" t="inlineStr">
        <is>
          <t>• Role / sub-team: Client Success / Support — Support Lead.
• Core purpose: Handling customer queries, resolving issues, and ensuring timely and accurate customer support.
• Decision-making autonomy: Can independently handle domain support and escalation management; takes ownership, risk, and decision-making — manages the team, handles critical escalations, …</t>
        </is>
      </c>
      <c r="U114" s="31" t="inlineStr">
        <is>
          <t>Received · manager annual · •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t>
        </is>
      </c>
      <c r="V114" s="31" t="inlineStr">
        <is>
          <t>Latest rating: 4 · Potential: Medium · 9-box: High Impact / Growth Talent · Readiness: Ready in 6–12 months</t>
        </is>
      </c>
      <c r="W114" s="31" t="inlineStr">
        <is>
          <t>C L · Au L · Ac L · L L · BI M · Exp H · 15.3 yrs vs 6–9 yrs · Edu M · B.Com</t>
        </is>
      </c>
      <c r="X114" s="33" t="inlineStr">
        <is>
          <t>Open ▸</t>
        </is>
      </c>
      <c r="Y114" s="34" t="str">
        <f>IFERROR(INDEX(DL_C,MATCH($CA114,DL_KEY,0)),"M")</f>
        <v>H</v>
      </c>
      <c r="Z114" s="35" t="str">
        <f>IFERROR(INDEX(DL_Au,MATCH($CA114,DL_KEY,0)),"M")</f>
        <v>M</v>
      </c>
      <c r="AA114" s="35" t="str">
        <f>IFERROR(INDEX(DL_Ac,MATCH($CA114,DL_KEY,0)),"M")</f>
        <v>M</v>
      </c>
      <c r="AB114" s="35" t="str">
        <f>IFERROR(INDEX(DL_L,MATCH($CA114,DL_KEY,0)),"M")</f>
        <v>M</v>
      </c>
      <c r="AC114" s="35" t="str">
        <f>IFERROR(INDEX(DL_BI,MATCH($CA114,DL_KEY,0)),"M")</f>
        <v>M</v>
      </c>
      <c r="AD114" s="35" t="str">
        <f>IFERROR(INDEX(DL_Exp,MATCH($CA114,DL_KEY,0)),"M")</f>
        <v>L</v>
      </c>
      <c r="AE114" s="35" t="str">
        <f>IFERROR(INDEX(DL_Edu,MATCH($CA114,DL_KEY,0)),"M")</f>
        <v>L</v>
      </c>
      <c r="AF114" s="34" t="inlineStr">
        <is>
          <t>M</t>
        </is>
      </c>
      <c r="AG114" s="35" t="inlineStr">
        <is>
          <t>M</t>
        </is>
      </c>
      <c r="AH114" s="35" t="inlineStr">
        <is>
          <t>M</t>
        </is>
      </c>
      <c r="AI114" s="35" t="inlineStr">
        <is>
          <t>M</t>
        </is>
      </c>
      <c r="AJ114" s="35" t="inlineStr">
        <is>
          <t>M</t>
        </is>
      </c>
      <c r="AK114" s="35" t="inlineStr">
        <is>
          <t>M</t>
        </is>
      </c>
      <c r="AL114" s="35" t="inlineStr">
        <is>
          <t>M</t>
        </is>
      </c>
      <c r="AM114" s="36" t="n">
        <v>0.37</v>
      </c>
      <c r="AN114" s="37" t="n">
        <v>0.183</v>
      </c>
      <c r="AO114" s="37" t="n">
        <v>0.113</v>
      </c>
      <c r="AP114" s="37" t="n">
        <v>0.15</v>
      </c>
      <c r="AQ114" s="37" t="n">
        <v>0.08699999999999999</v>
      </c>
      <c r="AR114" s="37" t="n">
        <v>0.06</v>
      </c>
      <c r="AS114" s="37" t="n">
        <v>0.04</v>
      </c>
      <c r="AT114" s="38" t="inlineStr">
        <is>
          <t>6–10</t>
        </is>
      </c>
      <c r="AU114" s="38" t="inlineStr">
        <is>
          <t>Graduate or postgraduate; professional qualification preferred</t>
        </is>
      </c>
      <c r="AV114" s="38" t="inlineStr">
        <is>
          <t>IC: none · People: 6–8 knowledge work, 8–12 standardised delivery</t>
        </is>
      </c>
      <c r="AW114" s="38" t="inlineStr">
        <is>
          <t>P4 / M3 · SFIA 4–5</t>
        </is>
      </c>
      <c r="AX11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14" s="39" t="inlineStr">
        <is>
          <t>B2</t>
        </is>
      </c>
      <c r="AZ114" s="40" t="inlineStr">
        <is>
          <t>Band B · Specialist / Manager · Manager</t>
        </is>
      </c>
      <c r="BA114" s="40" t="inlineStr">
        <is>
          <t>Model B2 from the six ratings, the market-derived weights and rules R1–R13 · then No change · already below the manager</t>
        </is>
      </c>
      <c r="BB114" s="41" t="inlineStr">
        <is>
          <t>B2</t>
        </is>
      </c>
      <c r="BC114" s="40" t="inlineStr">
        <is>
          <t>The six ratings on the market-average weights of Band B · People Manager score 4.54 → B2 · Hay, Mercer IPE and public plans · experience 15.3 yrs vs the B2 market range 6–10</t>
        </is>
      </c>
      <c r="BD114" s="42">
        <f>IF(SUM(BM114,BN114,BO114,BP114,BQ114,BR114,BS114)=0,0,(BM114*BT114+BN114*BU114+BO114*BV114+BP114*BW114+BQ114*BX114+BR114*BY114+BS114*BZ114)/SUM(BM114,BN114,BO114,BP114,BQ114,BR114,BS114))</f>
        <v>0</v>
      </c>
      <c r="BE114" s="41" t="str">
        <f>IF(LEFT(AY114,1)="X",AY114,IF(OR(AY114="B+",AY114="C+"),INDEX(LAD_PC,MAX(1,MIN(14,MATCH(AY114,LAD_PC,0)+IF(BD114&gt;=0.5,1,IF(BD114&lt;=-0.5,-1,0))))),INDEX(LAD_STD,MAX(1,MIN(12,MATCH(AY114,LAD_STD,0)+IF(BD114&gt;=0.5,1,IF(BD114&lt;=-0.5,-1,0)))))))</f>
        <v>B2</v>
      </c>
      <c r="BF114" s="43" t="n"/>
      <c r="BG114" s="41" t="str">
        <f>IF(BF114&lt;&gt;"",BF114,BE114)</f>
        <v>B2</v>
      </c>
      <c r="BH114" s="40" t="str">
        <f>IFERROR(CHOOSE(INDEX(B_RANK,MATCH(BG114,B_LVL,0)),"Band A","Band B","B+ · Player-Coach","Band C","C+ · Player-Coach","Band D","Band E"),"Band X · Consultant")</f>
        <v>Band B</v>
      </c>
      <c r="BI114" s="40" t="str">
        <f>IF(BG114=AY114,"• Same",IF(INDEX(B_VAL,MATCH(BG114,B_LVL,0))&gt;INDEX(B_VAL,MATCH(AY114,B_LVL,0)),"▲ Up","▼ Down"))</f>
        <v>• Same</v>
      </c>
      <c r="BJ114" s="40" t="str">
        <f>IF(OR($M114="",$M114="—",$M114="Not in this file"),"",IFERROR(INDEX($BG$7:$BG$592,MATCH($M114,$D$7:$D$592,0)),""))</f>
        <v>C2</v>
      </c>
      <c r="BK114" s="40" t="str">
        <f>IFERROR(IF(BJ114="","—",IF(OR(LEFT(BG114,1)="X",LEFT(BJ114,1)="X"),"—",IF(AND(LEFT(BG114,1)="E",LEFT(BJ114,1)="E"),"Exception · Band E",IF(AND(INDEX(B_VAL,MATCH(BJ114,B_LVL,0))&gt;=7,INDEX(B_RANK,MATCH(BG114,B_LVL,0))&gt;=INDEX(B_RANK,MATCH(BJ114,B_LVL,0))),"⚠ Same band as a head manager",IF(INDEX(B_VAL,MATCH(BG114,B_LVL,0))&gt;=INDEX(B_VAL,MATCH(BJ114,B_LVL,0)),"⚠ At or above the manager's level","OK"))))),"—")</f>
        <v>OK</v>
      </c>
      <c r="BL114" s="43" t="n"/>
      <c r="BM114" s="44">
        <f>IFERROR(INDEX(LMH_PTS,MATCH(Y114,LMH_KEY,0)),0)</f>
        <v>9</v>
      </c>
      <c r="BN114" s="38">
        <f>IFERROR(INDEX(LMH_PTS,MATCH(Z114,LMH_KEY,0)),0)</f>
        <v>3</v>
      </c>
      <c r="BO114" s="38">
        <f>IFERROR(INDEX(LMH_PTS,MATCH(AA114,LMH_KEY,0)),0)</f>
        <v>3</v>
      </c>
      <c r="BP114" s="38">
        <f>IFERROR(INDEX(LMH_PTS,MATCH(AB114,LMH_KEY,0)),0)</f>
        <v>3</v>
      </c>
      <c r="BQ114" s="38">
        <f>IFERROR(INDEX(LMH_PTS,MATCH(AC114,LMH_KEY,0)),0)</f>
        <v>3</v>
      </c>
      <c r="BR114" s="38">
        <f>IFERROR(INDEX(LMH_PTS,MATCH(AD114,LMH_KEY,0)),0)</f>
        <v>1</v>
      </c>
      <c r="BS114" s="38">
        <f>IFERROR(INDEX(LMH_PTS,MATCH(AE114,LMH_KEY,0)),0)</f>
        <v>1</v>
      </c>
      <c r="BT114" s="38">
        <f>IFERROR(INDEX(LMH_STEP,MATCH(AF114,LMH_KEY,0)),0)</f>
        <v>0</v>
      </c>
      <c r="BU114" s="38">
        <f>IFERROR(INDEX(LMH_STEP,MATCH(AG114,LMH_KEY,0)),0)</f>
        <v>0</v>
      </c>
      <c r="BV114" s="38">
        <f>IFERROR(INDEX(LMH_STEP,MATCH(AH114,LMH_KEY,0)),0)</f>
        <v>0</v>
      </c>
      <c r="BW114" s="38">
        <f>IFERROR(INDEX(LMH_STEP,MATCH(AI114,LMH_KEY,0)),0)</f>
        <v>0</v>
      </c>
      <c r="BX114" s="38">
        <f>IFERROR(INDEX(LMH_STEP,MATCH(AJ114,LMH_KEY,0)),0)</f>
        <v>0</v>
      </c>
      <c r="BY114" s="38">
        <f>IFERROR(INDEX(LMH_STEP,MATCH(AK114,LMH_KEY,0)),0)</f>
        <v>0</v>
      </c>
      <c r="BZ114" s="38">
        <f>IFERROR(INDEX(LMH_STEP,MATCH(AL114,LMH_KEY,0)),0)</f>
        <v>0</v>
      </c>
      <c r="CA114" s="38" t="inlineStr">
        <is>
          <t>CARBON|Support|Support Manager|B2|B-M</t>
        </is>
      </c>
    </row>
    <row r="115" ht="110" customHeight="1">
      <c r="A115" s="28" t="inlineStr">
        <is>
          <t>CARBON</t>
        </is>
      </c>
      <c r="B115" s="29" t="inlineStr">
        <is>
          <t>Support</t>
        </is>
      </c>
      <c r="C115" s="29" t="n">
        <v>5</v>
      </c>
      <c r="D115" s="29" t="inlineStr">
        <is>
          <t>IRIS2081</t>
        </is>
      </c>
      <c r="E115" s="29" t="inlineStr">
        <is>
          <t>Chandra Sekhar Sahu</t>
        </is>
      </c>
      <c r="F115" s="29" t="inlineStr">
        <is>
          <t>Executive- Customer Support</t>
        </is>
      </c>
      <c r="G115" s="29" t="inlineStr">
        <is>
          <t>Senior Support Executive</t>
        </is>
      </c>
      <c r="H115" s="29" t="inlineStr">
        <is>
          <t>Customer Success &amp; Support</t>
        </is>
      </c>
      <c r="I115" s="29" t="inlineStr">
        <is>
          <t>Application &amp; Product Support</t>
        </is>
      </c>
      <c r="J115" s="29" t="inlineStr">
        <is>
          <t>IC</t>
        </is>
      </c>
      <c r="K115" s="29" t="inlineStr">
        <is>
          <t>RC-031</t>
        </is>
      </c>
      <c r="L115" s="29" t="inlineStr">
        <is>
          <t>Harshal Shah</t>
        </is>
      </c>
      <c r="M115" s="29" t="inlineStr">
        <is>
          <t>IRIS0662</t>
        </is>
      </c>
      <c r="N115" s="29" t="n">
        <v>5.5</v>
      </c>
      <c r="O115" s="29" t="n">
        <v>3.8</v>
      </c>
      <c r="P115" s="29" t="inlineStr">
        <is>
          <t>B.Com</t>
        </is>
      </c>
      <c r="Q115" s="29" t="inlineStr">
        <is>
          <t>L3 – Professional / Associate</t>
        </is>
      </c>
      <c r="R115" s="29" t="inlineStr">
        <is>
          <t>A3</t>
        </is>
      </c>
      <c r="S115" s="30" t="inlineStr">
        <is>
          <t>20 of 20</t>
        </is>
      </c>
      <c r="T115" s="31" t="inlineStr">
        <is>
          <t>• Role / sub-team: Client Success / Support — Executive, Customer Support.
• Core purpose: Provide support to internal teams and external clients, along with testing and troubleshooting the platform to identify and resolve issues efficiently.
• Decision-making autonomy: Can independently handle client support, issue troubleshooting, platform testing, and …</t>
        </is>
      </c>
      <c r="U115" s="31" t="inlineStr">
        <is>
          <t>Received · manager annual · "•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t>
        </is>
      </c>
      <c r="V115" s="31" t="inlineStr">
        <is>
          <t>Latest rating: 3 · Potential: Medium · 9-box: Trusted Professional · Readiness: Develop in role</t>
        </is>
      </c>
      <c r="W115" s="31" t="inlineStr">
        <is>
          <t>C M · Au L · Ac L · L L · BI L · Exp H · 5.5 yrs vs 2–4 yrs · Edu M · B.Com</t>
        </is>
      </c>
      <c r="X115" s="33" t="inlineStr">
        <is>
          <t>Open ▸</t>
        </is>
      </c>
      <c r="Y115" s="34" t="str">
        <f>IFERROR(INDEX(DL_C,MATCH($CA115,DL_KEY,0)),"M")</f>
        <v>H</v>
      </c>
      <c r="Z115" s="35" t="str">
        <f>IFERROR(INDEX(DL_Au,MATCH($CA115,DL_KEY,0)),"M")</f>
        <v>M</v>
      </c>
      <c r="AA115" s="35" t="str">
        <f>IFERROR(INDEX(DL_Ac,MATCH($CA115,DL_KEY,0)),"M")</f>
        <v>M</v>
      </c>
      <c r="AB115" s="35" t="str">
        <f>IFERROR(INDEX(DL_L,MATCH($CA115,DL_KEY,0)),"M")</f>
        <v>L</v>
      </c>
      <c r="AC115" s="35" t="str">
        <f>IFERROR(INDEX(DL_BI,MATCH($CA115,DL_KEY,0)),"M")</f>
        <v>M</v>
      </c>
      <c r="AD115" s="35" t="str">
        <f>IFERROR(INDEX(DL_Exp,MATCH($CA115,DL_KEY,0)),"M")</f>
        <v>L</v>
      </c>
      <c r="AE115" s="35" t="str">
        <f>IFERROR(INDEX(DL_Edu,MATCH($CA115,DL_KEY,0)),"M")</f>
        <v>L</v>
      </c>
      <c r="AF115" s="34" t="inlineStr">
        <is>
          <t>M</t>
        </is>
      </c>
      <c r="AG115" s="35" t="inlineStr">
        <is>
          <t>M</t>
        </is>
      </c>
      <c r="AH115" s="35" t="inlineStr">
        <is>
          <t>M</t>
        </is>
      </c>
      <c r="AI115" s="35" t="inlineStr">
        <is>
          <t>M</t>
        </is>
      </c>
      <c r="AJ115" s="35" t="inlineStr">
        <is>
          <t>M</t>
        </is>
      </c>
      <c r="AK115" s="35" t="inlineStr">
        <is>
          <t>M</t>
        </is>
      </c>
      <c r="AL115" s="35" t="inlineStr">
        <is>
          <t>M</t>
        </is>
      </c>
      <c r="AM115" s="36" t="n">
        <v>0.583</v>
      </c>
      <c r="AN115" s="37" t="n">
        <v>0.16</v>
      </c>
      <c r="AO115" s="37" t="n">
        <v>0.09</v>
      </c>
      <c r="AP115" s="37" t="n">
        <v>0</v>
      </c>
      <c r="AQ115" s="37" t="n">
        <v>0.063</v>
      </c>
      <c r="AR115" s="37" t="n">
        <v>0.06</v>
      </c>
      <c r="AS115" s="37" t="n">
        <v>0.04</v>
      </c>
      <c r="AT115" s="38" t="inlineStr">
        <is>
          <t>2–5</t>
        </is>
      </c>
      <c r="AU115" s="38" t="inlineStr">
        <is>
          <t>Graduate; relevant certification preferred</t>
        </is>
      </c>
      <c r="AV115" s="38" t="inlineStr">
        <is>
          <t>None · guides 1–3 juniors informally</t>
        </is>
      </c>
      <c r="AW115" s="38" t="inlineStr">
        <is>
          <t>P2 · SFIA 3 Apply</t>
        </is>
      </c>
      <c r="AX11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15" s="39" t="inlineStr">
        <is>
          <t>A3</t>
        </is>
      </c>
      <c r="AZ115" s="40" t="inlineStr">
        <is>
          <t>Band A · Practitioner · Senior Associate</t>
        </is>
      </c>
      <c r="BA115" s="40" t="inlineStr">
        <is>
          <t>Model A3 from the six ratings, the market-derived weights and rules R1–R13 · then No change · already below the manager</t>
        </is>
      </c>
      <c r="BB115" s="41" t="inlineStr">
        <is>
          <t>A2</t>
        </is>
      </c>
      <c r="BC115" s="40" t="inlineStr">
        <is>
          <t>The six ratings on the market-average weights of Band A · all tracks score 2.49 → A2 · Hay, Mercer IPE and public plans · experience 5.5 yrs vs the A2 market range 0–3</t>
        </is>
      </c>
      <c r="BD115" s="42">
        <f>IF(SUM(BM115,BN115,BO115,BP115,BQ115,BR115,BS115)=0,0,(BM115*BT115+BN115*BU115+BO115*BV115+BP115*BW115+BQ115*BX115+BR115*BY115+BS115*BZ115)/SUM(BM115,BN115,BO115,BP115,BQ115,BR115,BS115))</f>
        <v>0</v>
      </c>
      <c r="BE115" s="41" t="str">
        <f>IF(LEFT(AY115,1)="X",AY115,IF(OR(AY115="B+",AY115="C+"),INDEX(LAD_PC,MAX(1,MIN(14,MATCH(AY115,LAD_PC,0)+IF(BD115&gt;=0.5,1,IF(BD115&lt;=-0.5,-1,0))))),INDEX(LAD_STD,MAX(1,MIN(12,MATCH(AY115,LAD_STD,0)+IF(BD115&gt;=0.5,1,IF(BD115&lt;=-0.5,-1,0)))))))</f>
        <v>A3</v>
      </c>
      <c r="BF115" s="43" t="n"/>
      <c r="BG115" s="41" t="str">
        <f>IF(BF115&lt;&gt;"",BF115,BE115)</f>
        <v>A3</v>
      </c>
      <c r="BH115" s="40" t="str">
        <f>IFERROR(CHOOSE(INDEX(B_RANK,MATCH(BG115,B_LVL,0)),"Band A","Band B","B+ · Player-Coach","Band C","C+ · Player-Coach","Band D","Band E"),"Band X · Consultant")</f>
        <v>Band A</v>
      </c>
      <c r="BI115" s="40" t="str">
        <f>IF(BG115=AY115,"• Same",IF(INDEX(B_VAL,MATCH(BG115,B_LVL,0))&gt;INDEX(B_VAL,MATCH(AY115,B_LVL,0)),"▲ Up","▼ Down"))</f>
        <v>• Same</v>
      </c>
      <c r="BJ115" s="40" t="str">
        <f>IF(OR($M115="",$M115="—",$M115="Not in this file"),"",IFERROR(INDEX($BG$7:$BG$592,MATCH($M115,$D$7:$D$592,0)),""))</f>
        <v>B2</v>
      </c>
      <c r="BK115" s="40" t="str">
        <f>IFERROR(IF(BJ115="","—",IF(OR(LEFT(BG115,1)="X",LEFT(BJ115,1)="X"),"—",IF(AND(LEFT(BG115,1)="E",LEFT(BJ115,1)="E"),"Exception · Band E",IF(AND(INDEX(B_VAL,MATCH(BJ115,B_LVL,0))&gt;=7,INDEX(B_RANK,MATCH(BG115,B_LVL,0))&gt;=INDEX(B_RANK,MATCH(BJ115,B_LVL,0))),"⚠ Same band as a head manager",IF(INDEX(B_VAL,MATCH(BG115,B_LVL,0))&gt;=INDEX(B_VAL,MATCH(BJ115,B_LVL,0)),"⚠ At or above the manager's level","OK"))))),"—")</f>
        <v>OK</v>
      </c>
      <c r="BL115" s="43" t="n"/>
      <c r="BM115" s="44">
        <f>IFERROR(INDEX(LMH_PTS,MATCH(Y115,LMH_KEY,0)),0)</f>
        <v>9</v>
      </c>
      <c r="BN115" s="38">
        <f>IFERROR(INDEX(LMH_PTS,MATCH(Z115,LMH_KEY,0)),0)</f>
        <v>3</v>
      </c>
      <c r="BO115" s="38">
        <f>IFERROR(INDEX(LMH_PTS,MATCH(AA115,LMH_KEY,0)),0)</f>
        <v>3</v>
      </c>
      <c r="BP115" s="38">
        <f>IFERROR(INDEX(LMH_PTS,MATCH(AB115,LMH_KEY,0)),0)</f>
        <v>1</v>
      </c>
      <c r="BQ115" s="38">
        <f>IFERROR(INDEX(LMH_PTS,MATCH(AC115,LMH_KEY,0)),0)</f>
        <v>3</v>
      </c>
      <c r="BR115" s="38">
        <f>IFERROR(INDEX(LMH_PTS,MATCH(AD115,LMH_KEY,0)),0)</f>
        <v>1</v>
      </c>
      <c r="BS115" s="38">
        <f>IFERROR(INDEX(LMH_PTS,MATCH(AE115,LMH_KEY,0)),0)</f>
        <v>1</v>
      </c>
      <c r="BT115" s="38">
        <f>IFERROR(INDEX(LMH_STEP,MATCH(AF115,LMH_KEY,0)),0)</f>
        <v>0</v>
      </c>
      <c r="BU115" s="38">
        <f>IFERROR(INDEX(LMH_STEP,MATCH(AG115,LMH_KEY,0)),0)</f>
        <v>0</v>
      </c>
      <c r="BV115" s="38">
        <f>IFERROR(INDEX(LMH_STEP,MATCH(AH115,LMH_KEY,0)),0)</f>
        <v>0</v>
      </c>
      <c r="BW115" s="38">
        <f>IFERROR(INDEX(LMH_STEP,MATCH(AI115,LMH_KEY,0)),0)</f>
        <v>0</v>
      </c>
      <c r="BX115" s="38">
        <f>IFERROR(INDEX(LMH_STEP,MATCH(AJ115,LMH_KEY,0)),0)</f>
        <v>0</v>
      </c>
      <c r="BY115" s="38">
        <f>IFERROR(INDEX(LMH_STEP,MATCH(AK115,LMH_KEY,0)),0)</f>
        <v>0</v>
      </c>
      <c r="BZ115" s="38">
        <f>IFERROR(INDEX(LMH_STEP,MATCH(AL115,LMH_KEY,0)),0)</f>
        <v>0</v>
      </c>
      <c r="CA115" s="38" t="inlineStr">
        <is>
          <t>CARBON|Support|Senior Support Executive|A3|A</t>
        </is>
      </c>
    </row>
    <row r="116" ht="110" customHeight="1">
      <c r="A116" s="28" t="inlineStr">
        <is>
          <t>CARBON</t>
        </is>
      </c>
      <c r="B116" s="29" t="inlineStr">
        <is>
          <t>Support</t>
        </is>
      </c>
      <c r="C116" s="29" t="n">
        <v>5</v>
      </c>
      <c r="D116" s="29" t="inlineStr">
        <is>
          <t>IRIS1951</t>
        </is>
      </c>
      <c r="E116" s="29" t="inlineStr">
        <is>
          <t>Kiran Pawar</t>
        </is>
      </c>
      <c r="F116" s="29" t="inlineStr">
        <is>
          <t>Executive- Product Support</t>
        </is>
      </c>
      <c r="G116" s="29" t="inlineStr">
        <is>
          <t>Senior Support Executive</t>
        </is>
      </c>
      <c r="H116" s="29" t="inlineStr">
        <is>
          <t>Customer Success &amp; Support</t>
        </is>
      </c>
      <c r="I116" s="29" t="inlineStr">
        <is>
          <t>Application &amp; Product Support</t>
        </is>
      </c>
      <c r="J116" s="29" t="inlineStr">
        <is>
          <t>IC</t>
        </is>
      </c>
      <c r="K116" s="29" t="inlineStr">
        <is>
          <t>RC-031</t>
        </is>
      </c>
      <c r="L116" s="29" t="inlineStr">
        <is>
          <t>Harshal Shah</t>
        </is>
      </c>
      <c r="M116" s="29" t="inlineStr">
        <is>
          <t>IRIS0662</t>
        </is>
      </c>
      <c r="N116" s="29" t="n">
        <v>8.6</v>
      </c>
      <c r="O116" s="29" t="n">
        <v>5</v>
      </c>
      <c r="P116" s="29" t="inlineStr">
        <is>
          <t>B.Com</t>
        </is>
      </c>
      <c r="Q116" s="29" t="inlineStr">
        <is>
          <t>L3 – Professional / Associate</t>
        </is>
      </c>
      <c r="R116" s="29" t="inlineStr">
        <is>
          <t>A3</t>
        </is>
      </c>
      <c r="S116" s="30" t="inlineStr">
        <is>
          <t>20 of 20</t>
        </is>
      </c>
      <c r="T116" s="31" t="inlineStr">
        <is>
          <t>• Role / sub-team: Client Success / Support — Executive, Product Support.
• Core purpose: Resolving client queries related to the CARBON product as well as XBRL regulatory requirements, supporting clients across markets including ESMA, SEC, CIPC, and the UK.
• Decision-making autonomy: Can independently manage ticket handling, issue troubleshooting, …</t>
        </is>
      </c>
      <c r="U116" s="31" t="inlineStr">
        <is>
          <t>Received · manager annual · •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t>
        </is>
      </c>
      <c r="V116" s="31" t="inlineStr">
        <is>
          <t>Latest rating: 4 · Potential: Medium · 9-box: High Impact / Growth Talent · Readiness: Ready in 6–12 months</t>
        </is>
      </c>
      <c r="W116" s="31" t="inlineStr">
        <is>
          <t>C L · Au L · Ac L · L L · BI M · Exp H · 8.6 yrs vs 4–7 yrs · Edu M · B.Com</t>
        </is>
      </c>
      <c r="X116" s="33" t="inlineStr">
        <is>
          <t>Open ▸</t>
        </is>
      </c>
      <c r="Y116" s="34" t="str">
        <f>IFERROR(INDEX(DL_C,MATCH($CA116,DL_KEY,0)),"M")</f>
        <v>H</v>
      </c>
      <c r="Z116" s="35" t="str">
        <f>IFERROR(INDEX(DL_Au,MATCH($CA116,DL_KEY,0)),"M")</f>
        <v>M</v>
      </c>
      <c r="AA116" s="35" t="str">
        <f>IFERROR(INDEX(DL_Ac,MATCH($CA116,DL_KEY,0)),"M")</f>
        <v>M</v>
      </c>
      <c r="AB116" s="35" t="str">
        <f>IFERROR(INDEX(DL_L,MATCH($CA116,DL_KEY,0)),"M")</f>
        <v>L</v>
      </c>
      <c r="AC116" s="35" t="str">
        <f>IFERROR(INDEX(DL_BI,MATCH($CA116,DL_KEY,0)),"M")</f>
        <v>M</v>
      </c>
      <c r="AD116" s="35" t="str">
        <f>IFERROR(INDEX(DL_Exp,MATCH($CA116,DL_KEY,0)),"M")</f>
        <v>L</v>
      </c>
      <c r="AE116" s="35" t="str">
        <f>IFERROR(INDEX(DL_Edu,MATCH($CA116,DL_KEY,0)),"M")</f>
        <v>L</v>
      </c>
      <c r="AF116" s="34" t="inlineStr">
        <is>
          <t>M</t>
        </is>
      </c>
      <c r="AG116" s="35" t="inlineStr">
        <is>
          <t>M</t>
        </is>
      </c>
      <c r="AH116" s="35" t="inlineStr">
        <is>
          <t>M</t>
        </is>
      </c>
      <c r="AI116" s="35" t="inlineStr">
        <is>
          <t>M</t>
        </is>
      </c>
      <c r="AJ116" s="35" t="inlineStr">
        <is>
          <t>M</t>
        </is>
      </c>
      <c r="AK116" s="35" t="inlineStr">
        <is>
          <t>M</t>
        </is>
      </c>
      <c r="AL116" s="35" t="inlineStr">
        <is>
          <t>M</t>
        </is>
      </c>
      <c r="AM116" s="36" t="n">
        <v>0.513</v>
      </c>
      <c r="AN116" s="37" t="n">
        <v>0.173</v>
      </c>
      <c r="AO116" s="37" t="n">
        <v>0.09699999999999999</v>
      </c>
      <c r="AP116" s="37" t="n">
        <v>0.05</v>
      </c>
      <c r="AQ116" s="37" t="n">
        <v>0.07000000000000001</v>
      </c>
      <c r="AR116" s="37" t="n">
        <v>0.06</v>
      </c>
      <c r="AS116" s="37" t="n">
        <v>0.04</v>
      </c>
      <c r="AT116" s="38" t="inlineStr">
        <is>
          <t>4–8</t>
        </is>
      </c>
      <c r="AU116" s="38" t="inlineStr">
        <is>
          <t>Graduate + relevant qualification or certification preferred</t>
        </is>
      </c>
      <c r="AV116" s="38" t="inlineStr">
        <is>
          <t>IC: none · Team Lead: 3–5</t>
        </is>
      </c>
      <c r="AW116" s="38" t="inlineStr">
        <is>
          <t>P3 / M2 · SFIA 4 Enable</t>
        </is>
      </c>
      <c r="AX11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16" s="39" t="inlineStr">
        <is>
          <t>B1</t>
        </is>
      </c>
      <c r="AZ116" s="40" t="inlineStr">
        <is>
          <t>Band B · Specialist / Manager · Specialist</t>
        </is>
      </c>
      <c r="BA116" s="40" t="inlineStr">
        <is>
          <t>Model A3 from the six ratings, the market-derived weights and rules R1–R13 · then Leads people at or above their own level · A3 → B1 Team Lead</t>
        </is>
      </c>
      <c r="BB116" s="41" t="inlineStr">
        <is>
          <t>A3</t>
        </is>
      </c>
      <c r="BC116" s="40" t="inlineStr">
        <is>
          <t>The six ratings on the market-average weights of Band B · Specialist / POD Lead score 3.00 → A3 · Hay, Mercer IPE and public plans · experience 8.6 yrs vs the A3 market range 2–5</t>
        </is>
      </c>
      <c r="BD116" s="42">
        <f>IF(SUM(BM116,BN116,BO116,BP116,BQ116,BR116,BS116)=0,0,(BM116*BT116+BN116*BU116+BO116*BV116+BP116*BW116+BQ116*BX116+BR116*BY116+BS116*BZ116)/SUM(BM116,BN116,BO116,BP116,BQ116,BR116,BS116))</f>
        <v>0</v>
      </c>
      <c r="BE116" s="41" t="str">
        <f>IF(LEFT(AY116,1)="X",AY116,IF(OR(AY116="B+",AY116="C+"),INDEX(LAD_PC,MAX(1,MIN(14,MATCH(AY116,LAD_PC,0)+IF(BD116&gt;=0.5,1,IF(BD116&lt;=-0.5,-1,0))))),INDEX(LAD_STD,MAX(1,MIN(12,MATCH(AY116,LAD_STD,0)+IF(BD116&gt;=0.5,1,IF(BD116&lt;=-0.5,-1,0)))))))</f>
        <v>B1</v>
      </c>
      <c r="BF116" s="43" t="n"/>
      <c r="BG116" s="41" t="str">
        <f>IF(BF116&lt;&gt;"",BF116,BE116)</f>
        <v>B1</v>
      </c>
      <c r="BH116" s="40" t="str">
        <f>IFERROR(CHOOSE(INDEX(B_RANK,MATCH(BG116,B_LVL,0)),"Band A","Band B","B+ · Player-Coach","Band C","C+ · Player-Coach","Band D","Band E"),"Band X · Consultant")</f>
        <v>Band B</v>
      </c>
      <c r="BI116" s="40" t="str">
        <f>IF(BG116=AY116,"• Same",IF(INDEX(B_VAL,MATCH(BG116,B_LVL,0))&gt;INDEX(B_VAL,MATCH(AY116,B_LVL,0)),"▲ Up","▼ Down"))</f>
        <v>• Same</v>
      </c>
      <c r="BJ116" s="40" t="str">
        <f>IF(OR($M116="",$M116="—",$M116="Not in this file"),"",IFERROR(INDEX($BG$7:$BG$592,MATCH($M116,$D$7:$D$592,0)),""))</f>
        <v>B2</v>
      </c>
      <c r="BK116" s="40" t="str">
        <f>IFERROR(IF(BJ116="","—",IF(OR(LEFT(BG116,1)="X",LEFT(BJ116,1)="X"),"—",IF(AND(LEFT(BG116,1)="E",LEFT(BJ116,1)="E"),"Exception · Band E",IF(AND(INDEX(B_VAL,MATCH(BJ116,B_LVL,0))&gt;=7,INDEX(B_RANK,MATCH(BG116,B_LVL,0))&gt;=INDEX(B_RANK,MATCH(BJ116,B_LVL,0))),"⚠ Same band as a head manager",IF(INDEX(B_VAL,MATCH(BG116,B_LVL,0))&gt;=INDEX(B_VAL,MATCH(BJ116,B_LVL,0)),"⚠ At or above the manager's level","OK"))))),"—")</f>
        <v>OK</v>
      </c>
      <c r="BL116" s="43" t="n"/>
      <c r="BM116" s="44">
        <f>IFERROR(INDEX(LMH_PTS,MATCH(Y116,LMH_KEY,0)),0)</f>
        <v>9</v>
      </c>
      <c r="BN116" s="38">
        <f>IFERROR(INDEX(LMH_PTS,MATCH(Z116,LMH_KEY,0)),0)</f>
        <v>3</v>
      </c>
      <c r="BO116" s="38">
        <f>IFERROR(INDEX(LMH_PTS,MATCH(AA116,LMH_KEY,0)),0)</f>
        <v>3</v>
      </c>
      <c r="BP116" s="38">
        <f>IFERROR(INDEX(LMH_PTS,MATCH(AB116,LMH_KEY,0)),0)</f>
        <v>1</v>
      </c>
      <c r="BQ116" s="38">
        <f>IFERROR(INDEX(LMH_PTS,MATCH(AC116,LMH_KEY,0)),0)</f>
        <v>3</v>
      </c>
      <c r="BR116" s="38">
        <f>IFERROR(INDEX(LMH_PTS,MATCH(AD116,LMH_KEY,0)),0)</f>
        <v>1</v>
      </c>
      <c r="BS116" s="38">
        <f>IFERROR(INDEX(LMH_PTS,MATCH(AE116,LMH_KEY,0)),0)</f>
        <v>1</v>
      </c>
      <c r="BT116" s="38">
        <f>IFERROR(INDEX(LMH_STEP,MATCH(AF116,LMH_KEY,0)),0)</f>
        <v>0</v>
      </c>
      <c r="BU116" s="38">
        <f>IFERROR(INDEX(LMH_STEP,MATCH(AG116,LMH_KEY,0)),0)</f>
        <v>0</v>
      </c>
      <c r="BV116" s="38">
        <f>IFERROR(INDEX(LMH_STEP,MATCH(AH116,LMH_KEY,0)),0)</f>
        <v>0</v>
      </c>
      <c r="BW116" s="38">
        <f>IFERROR(INDEX(LMH_STEP,MATCH(AI116,LMH_KEY,0)),0)</f>
        <v>0</v>
      </c>
      <c r="BX116" s="38">
        <f>IFERROR(INDEX(LMH_STEP,MATCH(AJ116,LMH_KEY,0)),0)</f>
        <v>0</v>
      </c>
      <c r="BY116" s="38">
        <f>IFERROR(INDEX(LMH_STEP,MATCH(AK116,LMH_KEY,0)),0)</f>
        <v>0</v>
      </c>
      <c r="BZ116" s="38">
        <f>IFERROR(INDEX(LMH_STEP,MATCH(AL116,LMH_KEY,0)),0)</f>
        <v>0</v>
      </c>
      <c r="CA116" s="38" t="inlineStr">
        <is>
          <t>CARBON|Support|Senior Support Executive|B1|B-IC</t>
        </is>
      </c>
    </row>
    <row r="117" ht="110" customHeight="1">
      <c r="A117" s="28" t="inlineStr">
        <is>
          <t>CARBON</t>
        </is>
      </c>
      <c r="B117" s="29" t="inlineStr">
        <is>
          <t>Support</t>
        </is>
      </c>
      <c r="C117" s="29" t="n">
        <v>6</v>
      </c>
      <c r="D117" s="29" t="inlineStr">
        <is>
          <t>IRIS2346</t>
        </is>
      </c>
      <c r="E117" s="29" t="inlineStr">
        <is>
          <t>Ravindra Kanojiya</t>
        </is>
      </c>
      <c r="F117" s="29" t="inlineStr">
        <is>
          <t>Client Support Executive</t>
        </is>
      </c>
      <c r="G117" s="29" t="inlineStr">
        <is>
          <t>Senior Support Executive</t>
        </is>
      </c>
      <c r="H117" s="29" t="inlineStr">
        <is>
          <t>Customer Success &amp; Support</t>
        </is>
      </c>
      <c r="I117" s="29" t="inlineStr">
        <is>
          <t>Application &amp; Product Support</t>
        </is>
      </c>
      <c r="J117" s="29" t="inlineStr">
        <is>
          <t>IC</t>
        </is>
      </c>
      <c r="K117" s="29" t="inlineStr">
        <is>
          <t>RC-031</t>
        </is>
      </c>
      <c r="L117" s="29" t="inlineStr">
        <is>
          <t>Kiran Pawar</t>
        </is>
      </c>
      <c r="M117" s="29" t="inlineStr">
        <is>
          <t>IRIS1951</t>
        </is>
      </c>
      <c r="N117" s="29" t="n">
        <v>8.300000000000001</v>
      </c>
      <c r="O117" s="29" t="n">
        <v>1.6</v>
      </c>
      <c r="P117" s="29" t="inlineStr">
        <is>
          <t>MBA</t>
        </is>
      </c>
      <c r="Q117" s="29" t="inlineStr">
        <is>
          <t>L3 – Professional / Associate</t>
        </is>
      </c>
      <c r="R117" s="29" t="inlineStr">
        <is>
          <t>A3</t>
        </is>
      </c>
      <c r="S117" s="30" t="inlineStr">
        <is>
          <t>20 of 20</t>
        </is>
      </c>
      <c r="T117" s="31" t="inlineStr">
        <is>
          <t>• Role / sub-team: Client Success / Support — Client Support Executive.
• Core purpose: Support clients using DM and Carbon, understand their concerns, provide solutions, and coordinate with the Product team when needed.
• Decision-making autonomy: Can independently handle client support, issue resolution, query handling, client communication, team …</t>
        </is>
      </c>
      <c r="U117" s="31" t="inlineStr">
        <is>
          <t>Received · manager annual · •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t>
        </is>
      </c>
      <c r="V117" s="31" t="inlineStr">
        <is>
          <t>Latest rating: 3 · Potential: Low · 9-box: Core Contributor · Readiness: Develop in role</t>
        </is>
      </c>
      <c r="W117" s="31" t="inlineStr">
        <is>
          <t>C L · Au L · Ac L · L L · BI L · Exp H · 8.3 yrs vs 2–4 yrs · Edu H · MBA</t>
        </is>
      </c>
      <c r="X117" s="33" t="inlineStr">
        <is>
          <t>Open ▸</t>
        </is>
      </c>
      <c r="Y117" s="34" t="str">
        <f>IFERROR(INDEX(DL_C,MATCH($CA117,DL_KEY,0)),"M")</f>
        <v>H</v>
      </c>
      <c r="Z117" s="35" t="str">
        <f>IFERROR(INDEX(DL_Au,MATCH($CA117,DL_KEY,0)),"M")</f>
        <v>M</v>
      </c>
      <c r="AA117" s="35" t="str">
        <f>IFERROR(INDEX(DL_Ac,MATCH($CA117,DL_KEY,0)),"M")</f>
        <v>M</v>
      </c>
      <c r="AB117" s="35" t="str">
        <f>IFERROR(INDEX(DL_L,MATCH($CA117,DL_KEY,0)),"M")</f>
        <v>L</v>
      </c>
      <c r="AC117" s="35" t="str">
        <f>IFERROR(INDEX(DL_BI,MATCH($CA117,DL_KEY,0)),"M")</f>
        <v>M</v>
      </c>
      <c r="AD117" s="35" t="str">
        <f>IFERROR(INDEX(DL_Exp,MATCH($CA117,DL_KEY,0)),"M")</f>
        <v>L</v>
      </c>
      <c r="AE117" s="35" t="str">
        <f>IFERROR(INDEX(DL_Edu,MATCH($CA117,DL_KEY,0)),"M")</f>
        <v>L</v>
      </c>
      <c r="AF117" s="34" t="inlineStr">
        <is>
          <t>M</t>
        </is>
      </c>
      <c r="AG117" s="35" t="inlineStr">
        <is>
          <t>M</t>
        </is>
      </c>
      <c r="AH117" s="35" t="inlineStr">
        <is>
          <t>M</t>
        </is>
      </c>
      <c r="AI117" s="35" t="inlineStr">
        <is>
          <t>M</t>
        </is>
      </c>
      <c r="AJ117" s="35" t="inlineStr">
        <is>
          <t>M</t>
        </is>
      </c>
      <c r="AK117" s="35" t="inlineStr">
        <is>
          <t>M</t>
        </is>
      </c>
      <c r="AL117" s="35" t="inlineStr">
        <is>
          <t>M</t>
        </is>
      </c>
      <c r="AM117" s="36" t="n">
        <v>0.583</v>
      </c>
      <c r="AN117" s="37" t="n">
        <v>0.16</v>
      </c>
      <c r="AO117" s="37" t="n">
        <v>0.09</v>
      </c>
      <c r="AP117" s="37" t="n">
        <v>0</v>
      </c>
      <c r="AQ117" s="37" t="n">
        <v>0.063</v>
      </c>
      <c r="AR117" s="37" t="n">
        <v>0.06</v>
      </c>
      <c r="AS117" s="37" t="n">
        <v>0.04</v>
      </c>
      <c r="AT117" s="38" t="inlineStr">
        <is>
          <t>2–5</t>
        </is>
      </c>
      <c r="AU117" s="38" t="inlineStr">
        <is>
          <t>Graduate; relevant certification preferred</t>
        </is>
      </c>
      <c r="AV117" s="38" t="inlineStr">
        <is>
          <t>None · guides 1–3 juniors informally</t>
        </is>
      </c>
      <c r="AW117" s="38" t="inlineStr">
        <is>
          <t>P2 · SFIA 3 Apply</t>
        </is>
      </c>
      <c r="AX11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17" s="39" t="inlineStr">
        <is>
          <t>A3</t>
        </is>
      </c>
      <c r="AZ117" s="40" t="inlineStr">
        <is>
          <t>Band A · Practitioner · Senior Associate</t>
        </is>
      </c>
      <c r="BA117" s="40" t="inlineStr">
        <is>
          <t>Model A3 from the six ratings, the market-derived weights and rules R1–R13 · then No change · already below the manager</t>
        </is>
      </c>
      <c r="BB117" s="41" t="inlineStr">
        <is>
          <t>A2</t>
        </is>
      </c>
      <c r="BC117" s="40" t="inlineStr">
        <is>
          <t>The six ratings on the market-average weights of Band A · all tracks score 2.40 → A2 · Hay, Mercer IPE and public plans · experience 8.3 yrs vs the A2 market range 0–3</t>
        </is>
      </c>
      <c r="BD117" s="42">
        <f>IF(SUM(BM117,BN117,BO117,BP117,BQ117,BR117,BS117)=0,0,(BM117*BT117+BN117*BU117+BO117*BV117+BP117*BW117+BQ117*BX117+BR117*BY117+BS117*BZ117)/SUM(BM117,BN117,BO117,BP117,BQ117,BR117,BS117))</f>
        <v>0</v>
      </c>
      <c r="BE117" s="41" t="str">
        <f>IF(LEFT(AY117,1)="X",AY117,IF(OR(AY117="B+",AY117="C+"),INDEX(LAD_PC,MAX(1,MIN(14,MATCH(AY117,LAD_PC,0)+IF(BD117&gt;=0.5,1,IF(BD117&lt;=-0.5,-1,0))))),INDEX(LAD_STD,MAX(1,MIN(12,MATCH(AY117,LAD_STD,0)+IF(BD117&gt;=0.5,1,IF(BD117&lt;=-0.5,-1,0)))))))</f>
        <v>A3</v>
      </c>
      <c r="BF117" s="43" t="n"/>
      <c r="BG117" s="41" t="str">
        <f>IF(BF117&lt;&gt;"",BF117,BE117)</f>
        <v>A3</v>
      </c>
      <c r="BH117" s="40" t="str">
        <f>IFERROR(CHOOSE(INDEX(B_RANK,MATCH(BG117,B_LVL,0)),"Band A","Band B","B+ · Player-Coach","Band C","C+ · Player-Coach","Band D","Band E"),"Band X · Consultant")</f>
        <v>Band A</v>
      </c>
      <c r="BI117" s="40" t="str">
        <f>IF(BG117=AY117,"• Same",IF(INDEX(B_VAL,MATCH(BG117,B_LVL,0))&gt;INDEX(B_VAL,MATCH(AY117,B_LVL,0)),"▲ Up","▼ Down"))</f>
        <v>• Same</v>
      </c>
      <c r="BJ117" s="40" t="str">
        <f>IF(OR($M117="",$M117="—",$M117="Not in this file"),"",IFERROR(INDEX($BG$7:$BG$592,MATCH($M117,$D$7:$D$592,0)),""))</f>
        <v>B1</v>
      </c>
      <c r="BK117" s="40" t="str">
        <f>IFERROR(IF(BJ117="","—",IF(OR(LEFT(BG117,1)="X",LEFT(BJ117,1)="X"),"—",IF(AND(LEFT(BG117,1)="E",LEFT(BJ117,1)="E"),"Exception · Band E",IF(AND(INDEX(B_VAL,MATCH(BJ117,B_LVL,0))&gt;=7,INDEX(B_RANK,MATCH(BG117,B_LVL,0))&gt;=INDEX(B_RANK,MATCH(BJ117,B_LVL,0))),"⚠ Same band as a head manager",IF(INDEX(B_VAL,MATCH(BG117,B_LVL,0))&gt;=INDEX(B_VAL,MATCH(BJ117,B_LVL,0)),"⚠ At or above the manager's level","OK"))))),"—")</f>
        <v>OK</v>
      </c>
      <c r="BL117" s="43" t="n"/>
      <c r="BM117" s="44">
        <f>IFERROR(INDEX(LMH_PTS,MATCH(Y117,LMH_KEY,0)),0)</f>
        <v>9</v>
      </c>
      <c r="BN117" s="38">
        <f>IFERROR(INDEX(LMH_PTS,MATCH(Z117,LMH_KEY,0)),0)</f>
        <v>3</v>
      </c>
      <c r="BO117" s="38">
        <f>IFERROR(INDEX(LMH_PTS,MATCH(AA117,LMH_KEY,0)),0)</f>
        <v>3</v>
      </c>
      <c r="BP117" s="38">
        <f>IFERROR(INDEX(LMH_PTS,MATCH(AB117,LMH_KEY,0)),0)</f>
        <v>1</v>
      </c>
      <c r="BQ117" s="38">
        <f>IFERROR(INDEX(LMH_PTS,MATCH(AC117,LMH_KEY,0)),0)</f>
        <v>3</v>
      </c>
      <c r="BR117" s="38">
        <f>IFERROR(INDEX(LMH_PTS,MATCH(AD117,LMH_KEY,0)),0)</f>
        <v>1</v>
      </c>
      <c r="BS117" s="38">
        <f>IFERROR(INDEX(LMH_PTS,MATCH(AE117,LMH_KEY,0)),0)</f>
        <v>1</v>
      </c>
      <c r="BT117" s="38">
        <f>IFERROR(INDEX(LMH_STEP,MATCH(AF117,LMH_KEY,0)),0)</f>
        <v>0</v>
      </c>
      <c r="BU117" s="38">
        <f>IFERROR(INDEX(LMH_STEP,MATCH(AG117,LMH_KEY,0)),0)</f>
        <v>0</v>
      </c>
      <c r="BV117" s="38">
        <f>IFERROR(INDEX(LMH_STEP,MATCH(AH117,LMH_KEY,0)),0)</f>
        <v>0</v>
      </c>
      <c r="BW117" s="38">
        <f>IFERROR(INDEX(LMH_STEP,MATCH(AI117,LMH_KEY,0)),0)</f>
        <v>0</v>
      </c>
      <c r="BX117" s="38">
        <f>IFERROR(INDEX(LMH_STEP,MATCH(AJ117,LMH_KEY,0)),0)</f>
        <v>0</v>
      </c>
      <c r="BY117" s="38">
        <f>IFERROR(INDEX(LMH_STEP,MATCH(AK117,LMH_KEY,0)),0)</f>
        <v>0</v>
      </c>
      <c r="BZ117" s="38">
        <f>IFERROR(INDEX(LMH_STEP,MATCH(AL117,LMH_KEY,0)),0)</f>
        <v>0</v>
      </c>
      <c r="CA117" s="38" t="inlineStr">
        <is>
          <t>CARBON|Support|Senior Support Executive|A3|A</t>
        </is>
      </c>
    </row>
    <row r="118" ht="110" customHeight="1">
      <c r="A118" s="28" t="inlineStr">
        <is>
          <t>CARBON</t>
        </is>
      </c>
      <c r="B118" s="29" t="inlineStr">
        <is>
          <t>Support</t>
        </is>
      </c>
      <c r="C118" s="29" t="n">
        <v>5</v>
      </c>
      <c r="D118" s="29" t="inlineStr">
        <is>
          <t>IRIS0341</t>
        </is>
      </c>
      <c r="E118" s="29" t="inlineStr">
        <is>
          <t>Nelson Paul Koonan</t>
        </is>
      </c>
      <c r="F118" s="29" t="inlineStr">
        <is>
          <t>Client Solutions Executive</t>
        </is>
      </c>
      <c r="G118" s="29" t="inlineStr">
        <is>
          <t>Senior Support Executive</t>
        </is>
      </c>
      <c r="H118" s="29" t="inlineStr">
        <is>
          <t>Customer Success &amp; Support</t>
        </is>
      </c>
      <c r="I118" s="29" t="inlineStr">
        <is>
          <t>Application &amp; Product Support</t>
        </is>
      </c>
      <c r="J118" s="29" t="inlineStr">
        <is>
          <t>IC</t>
        </is>
      </c>
      <c r="K118" s="29" t="inlineStr">
        <is>
          <t>RC-031</t>
        </is>
      </c>
      <c r="L118" s="29" t="inlineStr">
        <is>
          <t>Harshal Shah</t>
        </is>
      </c>
      <c r="M118" s="29" t="inlineStr">
        <is>
          <t>IRIS0662</t>
        </is>
      </c>
      <c r="N118" s="29" t="n">
        <v>16.3</v>
      </c>
      <c r="O118" s="29" t="n">
        <v>16.3</v>
      </c>
      <c r="P118" s="29" t="inlineStr">
        <is>
          <t>B.Com</t>
        </is>
      </c>
      <c r="Q118" s="29" t="inlineStr">
        <is>
          <t>L3 – Professional / Associate</t>
        </is>
      </c>
      <c r="R118" s="29" t="inlineStr">
        <is>
          <t>A3</t>
        </is>
      </c>
      <c r="S118" s="30" t="inlineStr">
        <is>
          <t>20 of 20</t>
        </is>
      </c>
      <c r="T118" s="31" t="inlineStr">
        <is>
          <t>• Role / sub-team: Client Success / Support — Client Solutions Executive.
• Core purpose: Handling external client queries · support requests via email and calls, and internal team requests via email, calls, and Teams chat.
• Decision-making autonomy: Can independently handle customer support and mentoring the team.
• Is this something only he does: Roles …</t>
        </is>
      </c>
      <c r="U118" s="31" t="inlineStr">
        <is>
          <t>Received · manager annual · •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t>
        </is>
      </c>
      <c r="V118" s="31" t="inlineStr">
        <is>
          <t>Latest rating: 3 · Potential: Medium · 9-box: High Impact / Growth Talent · Readiness: Develop in role</t>
        </is>
      </c>
      <c r="W118" s="31" t="inlineStr">
        <is>
          <t>C L · Au L · Ac L · L M · BI M · Exp H · 16.3 yrs vs 4–7 yrs · Edu M · B.Com</t>
        </is>
      </c>
      <c r="X118" s="33" t="inlineStr">
        <is>
          <t>Open ▸</t>
        </is>
      </c>
      <c r="Y118" s="34" t="str">
        <f>IFERROR(INDEX(DL_C,MATCH($CA118,DL_KEY,0)),"M")</f>
        <v>H</v>
      </c>
      <c r="Z118" s="35" t="str">
        <f>IFERROR(INDEX(DL_Au,MATCH($CA118,DL_KEY,0)),"M")</f>
        <v>M</v>
      </c>
      <c r="AA118" s="35" t="str">
        <f>IFERROR(INDEX(DL_Ac,MATCH($CA118,DL_KEY,0)),"M")</f>
        <v>M</v>
      </c>
      <c r="AB118" s="35" t="str">
        <f>IFERROR(INDEX(DL_L,MATCH($CA118,DL_KEY,0)),"M")</f>
        <v>L</v>
      </c>
      <c r="AC118" s="35" t="str">
        <f>IFERROR(INDEX(DL_BI,MATCH($CA118,DL_KEY,0)),"M")</f>
        <v>M</v>
      </c>
      <c r="AD118" s="35" t="str">
        <f>IFERROR(INDEX(DL_Exp,MATCH($CA118,DL_KEY,0)),"M")</f>
        <v>L</v>
      </c>
      <c r="AE118" s="35" t="str">
        <f>IFERROR(INDEX(DL_Edu,MATCH($CA118,DL_KEY,0)),"M")</f>
        <v>L</v>
      </c>
      <c r="AF118" s="34" t="inlineStr">
        <is>
          <t>M</t>
        </is>
      </c>
      <c r="AG118" s="35" t="inlineStr">
        <is>
          <t>M</t>
        </is>
      </c>
      <c r="AH118" s="35" t="inlineStr">
        <is>
          <t>M</t>
        </is>
      </c>
      <c r="AI118" s="35" t="inlineStr">
        <is>
          <t>M</t>
        </is>
      </c>
      <c r="AJ118" s="35" t="inlineStr">
        <is>
          <t>M</t>
        </is>
      </c>
      <c r="AK118" s="35" t="inlineStr">
        <is>
          <t>M</t>
        </is>
      </c>
      <c r="AL118" s="35" t="inlineStr">
        <is>
          <t>M</t>
        </is>
      </c>
      <c r="AM118" s="36" t="n">
        <v>0.513</v>
      </c>
      <c r="AN118" s="37" t="n">
        <v>0.173</v>
      </c>
      <c r="AO118" s="37" t="n">
        <v>0.09699999999999999</v>
      </c>
      <c r="AP118" s="37" t="n">
        <v>0.05</v>
      </c>
      <c r="AQ118" s="37" t="n">
        <v>0.07000000000000001</v>
      </c>
      <c r="AR118" s="37" t="n">
        <v>0.06</v>
      </c>
      <c r="AS118" s="37" t="n">
        <v>0.04</v>
      </c>
      <c r="AT118" s="38" t="inlineStr">
        <is>
          <t>4–8</t>
        </is>
      </c>
      <c r="AU118" s="38" t="inlineStr">
        <is>
          <t>Graduate + relevant qualification or certification preferred</t>
        </is>
      </c>
      <c r="AV118" s="38" t="inlineStr">
        <is>
          <t>IC: none · Team Lead: 3–5</t>
        </is>
      </c>
      <c r="AW118" s="38" t="inlineStr">
        <is>
          <t>P3 / M2 · SFIA 4 Enable</t>
        </is>
      </c>
      <c r="AX11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18" s="39" t="inlineStr">
        <is>
          <t>B1</t>
        </is>
      </c>
      <c r="AZ118" s="40" t="inlineStr">
        <is>
          <t>Band B · Specialist / Manager · Specialist</t>
        </is>
      </c>
      <c r="BA118" s="40" t="inlineStr">
        <is>
          <t>Model A3 from the six ratings, the market-derived weights and rules R1–R13 · then Leads people at or above their own level · A3 → B1 Team Lead</t>
        </is>
      </c>
      <c r="BB118" s="41" t="inlineStr">
        <is>
          <t>A3</t>
        </is>
      </c>
      <c r="BC118" s="40" t="inlineStr">
        <is>
          <t>The six ratings on the market-average weights of Band B · Specialist / POD Lead score 3.01 → A3 · Hay, Mercer IPE and public plans · experience 16.3 yrs vs the A3 market range 2–5</t>
        </is>
      </c>
      <c r="BD118" s="42">
        <f>IF(SUM(BM118,BN118,BO118,BP118,BQ118,BR118,BS118)=0,0,(BM118*BT118+BN118*BU118+BO118*BV118+BP118*BW118+BQ118*BX118+BR118*BY118+BS118*BZ118)/SUM(BM118,BN118,BO118,BP118,BQ118,BR118,BS118))</f>
        <v>0</v>
      </c>
      <c r="BE118" s="41" t="str">
        <f>IF(LEFT(AY118,1)="X",AY118,IF(OR(AY118="B+",AY118="C+"),INDEX(LAD_PC,MAX(1,MIN(14,MATCH(AY118,LAD_PC,0)+IF(BD118&gt;=0.5,1,IF(BD118&lt;=-0.5,-1,0))))),INDEX(LAD_STD,MAX(1,MIN(12,MATCH(AY118,LAD_STD,0)+IF(BD118&gt;=0.5,1,IF(BD118&lt;=-0.5,-1,0)))))))</f>
        <v>B1</v>
      </c>
      <c r="BF118" s="43" t="n"/>
      <c r="BG118" s="41" t="str">
        <f>IF(BF118&lt;&gt;"",BF118,BE118)</f>
        <v>B1</v>
      </c>
      <c r="BH118" s="40" t="str">
        <f>IFERROR(CHOOSE(INDEX(B_RANK,MATCH(BG118,B_LVL,0)),"Band A","Band B","B+ · Player-Coach","Band C","C+ · Player-Coach","Band D","Band E"),"Band X · Consultant")</f>
        <v>Band B</v>
      </c>
      <c r="BI118" s="40" t="str">
        <f>IF(BG118=AY118,"• Same",IF(INDEX(B_VAL,MATCH(BG118,B_LVL,0))&gt;INDEX(B_VAL,MATCH(AY118,B_LVL,0)),"▲ Up","▼ Down"))</f>
        <v>• Same</v>
      </c>
      <c r="BJ118" s="40" t="str">
        <f>IF(OR($M118="",$M118="—",$M118="Not in this file"),"",IFERROR(INDEX($BG$7:$BG$592,MATCH($M118,$D$7:$D$592,0)),""))</f>
        <v>B2</v>
      </c>
      <c r="BK118" s="40" t="str">
        <f>IFERROR(IF(BJ118="","—",IF(OR(LEFT(BG118,1)="X",LEFT(BJ118,1)="X"),"—",IF(AND(LEFT(BG118,1)="E",LEFT(BJ118,1)="E"),"Exception · Band E",IF(AND(INDEX(B_VAL,MATCH(BJ118,B_LVL,0))&gt;=7,INDEX(B_RANK,MATCH(BG118,B_LVL,0))&gt;=INDEX(B_RANK,MATCH(BJ118,B_LVL,0))),"⚠ Same band as a head manager",IF(INDEX(B_VAL,MATCH(BG118,B_LVL,0))&gt;=INDEX(B_VAL,MATCH(BJ118,B_LVL,0)),"⚠ At or above the manager's level","OK"))))),"—")</f>
        <v>OK</v>
      </c>
      <c r="BL118" s="43" t="n"/>
      <c r="BM118" s="44">
        <f>IFERROR(INDEX(LMH_PTS,MATCH(Y118,LMH_KEY,0)),0)</f>
        <v>9</v>
      </c>
      <c r="BN118" s="38">
        <f>IFERROR(INDEX(LMH_PTS,MATCH(Z118,LMH_KEY,0)),0)</f>
        <v>3</v>
      </c>
      <c r="BO118" s="38">
        <f>IFERROR(INDEX(LMH_PTS,MATCH(AA118,LMH_KEY,0)),0)</f>
        <v>3</v>
      </c>
      <c r="BP118" s="38">
        <f>IFERROR(INDEX(LMH_PTS,MATCH(AB118,LMH_KEY,0)),0)</f>
        <v>1</v>
      </c>
      <c r="BQ118" s="38">
        <f>IFERROR(INDEX(LMH_PTS,MATCH(AC118,LMH_KEY,0)),0)</f>
        <v>3</v>
      </c>
      <c r="BR118" s="38">
        <f>IFERROR(INDEX(LMH_PTS,MATCH(AD118,LMH_KEY,0)),0)</f>
        <v>1</v>
      </c>
      <c r="BS118" s="38">
        <f>IFERROR(INDEX(LMH_PTS,MATCH(AE118,LMH_KEY,0)),0)</f>
        <v>1</v>
      </c>
      <c r="BT118" s="38">
        <f>IFERROR(INDEX(LMH_STEP,MATCH(AF118,LMH_KEY,0)),0)</f>
        <v>0</v>
      </c>
      <c r="BU118" s="38">
        <f>IFERROR(INDEX(LMH_STEP,MATCH(AG118,LMH_KEY,0)),0)</f>
        <v>0</v>
      </c>
      <c r="BV118" s="38">
        <f>IFERROR(INDEX(LMH_STEP,MATCH(AH118,LMH_KEY,0)),0)</f>
        <v>0</v>
      </c>
      <c r="BW118" s="38">
        <f>IFERROR(INDEX(LMH_STEP,MATCH(AI118,LMH_KEY,0)),0)</f>
        <v>0</v>
      </c>
      <c r="BX118" s="38">
        <f>IFERROR(INDEX(LMH_STEP,MATCH(AJ118,LMH_KEY,0)),0)</f>
        <v>0</v>
      </c>
      <c r="BY118" s="38">
        <f>IFERROR(INDEX(LMH_STEP,MATCH(AK118,LMH_KEY,0)),0)</f>
        <v>0</v>
      </c>
      <c r="BZ118" s="38">
        <f>IFERROR(INDEX(LMH_STEP,MATCH(AL118,LMH_KEY,0)),0)</f>
        <v>0</v>
      </c>
      <c r="CA118" s="38" t="inlineStr">
        <is>
          <t>CARBON|Support|Senior Support Executive|B1|B-IC</t>
        </is>
      </c>
    </row>
    <row r="119" ht="110" customHeight="1">
      <c r="A119" s="28" t="inlineStr">
        <is>
          <t>CARBON</t>
        </is>
      </c>
      <c r="B119" s="29" t="inlineStr">
        <is>
          <t>Support</t>
        </is>
      </c>
      <c r="C119" s="29" t="n">
        <v>6</v>
      </c>
      <c r="D119" s="29" t="inlineStr">
        <is>
          <t>IRIS2331</t>
        </is>
      </c>
      <c r="E119" s="29" t="inlineStr">
        <is>
          <t>Pritam Kadam</t>
        </is>
      </c>
      <c r="F119" s="29" t="inlineStr">
        <is>
          <t>Client Support Executive</t>
        </is>
      </c>
      <c r="G119" s="29" t="inlineStr">
        <is>
          <t>Senior Support Executive</t>
        </is>
      </c>
      <c r="H119" s="29" t="inlineStr">
        <is>
          <t>Customer Success &amp; Support</t>
        </is>
      </c>
      <c r="I119" s="29" t="inlineStr">
        <is>
          <t>Application &amp; Product Support</t>
        </is>
      </c>
      <c r="J119" s="29" t="inlineStr">
        <is>
          <t>IC</t>
        </is>
      </c>
      <c r="K119" s="29" t="inlineStr">
        <is>
          <t>RC-031</t>
        </is>
      </c>
      <c r="L119" s="29" t="inlineStr">
        <is>
          <t>Nelson Paul Koonan</t>
        </is>
      </c>
      <c r="M119" s="29" t="inlineStr">
        <is>
          <t>IRIS0341</t>
        </is>
      </c>
      <c r="N119" s="29" t="n">
        <v>5.7</v>
      </c>
      <c r="O119" s="29" t="n">
        <v>1.7</v>
      </c>
      <c r="P119" s="29" t="inlineStr">
        <is>
          <t>MBA</t>
        </is>
      </c>
      <c r="Q119" s="29" t="inlineStr">
        <is>
          <t>L3 – Professional / Associate</t>
        </is>
      </c>
      <c r="R119" s="29" t="inlineStr">
        <is>
          <t>A3</t>
        </is>
      </c>
      <c r="S119" s="30" t="inlineStr">
        <is>
          <t>20 of 20</t>
        </is>
      </c>
      <c r="T119" s="31" t="inlineStr">
        <is>
          <t>• Role / sub-team: Client Success / Support — Client Support Executive.
• Core purpose: Assist customers with their queries, identify and resolve issues, and ensure a smooth support experience through timely follow-ups.
• Decision-making autonomy: Can independently handle customer queries.
• Is this something only he does: Largely his alone.</t>
        </is>
      </c>
      <c r="U119" s="31" t="inlineStr">
        <is>
          <t>Received · manager annual · •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t>
        </is>
      </c>
      <c r="V119" s="31" t="inlineStr">
        <is>
          <t>Latest rating: 3 · Potential: Medium · 9-box: Core Contributor · Readiness: Develop in role</t>
        </is>
      </c>
      <c r="W119" s="31" t="inlineStr">
        <is>
          <t>C L · Au L · Ac L · L L · BI L · Exp H · 5.7 yrs vs 2–4 yrs · Edu H · MBA</t>
        </is>
      </c>
      <c r="X119" s="33" t="inlineStr">
        <is>
          <t>Open ▸</t>
        </is>
      </c>
      <c r="Y119" s="34" t="str">
        <f>IFERROR(INDEX(DL_C,MATCH($CA119,DL_KEY,0)),"M")</f>
        <v>H</v>
      </c>
      <c r="Z119" s="35" t="str">
        <f>IFERROR(INDEX(DL_Au,MATCH($CA119,DL_KEY,0)),"M")</f>
        <v>M</v>
      </c>
      <c r="AA119" s="35" t="str">
        <f>IFERROR(INDEX(DL_Ac,MATCH($CA119,DL_KEY,0)),"M")</f>
        <v>M</v>
      </c>
      <c r="AB119" s="35" t="str">
        <f>IFERROR(INDEX(DL_L,MATCH($CA119,DL_KEY,0)),"M")</f>
        <v>L</v>
      </c>
      <c r="AC119" s="35" t="str">
        <f>IFERROR(INDEX(DL_BI,MATCH($CA119,DL_KEY,0)),"M")</f>
        <v>M</v>
      </c>
      <c r="AD119" s="35" t="str">
        <f>IFERROR(INDEX(DL_Exp,MATCH($CA119,DL_KEY,0)),"M")</f>
        <v>L</v>
      </c>
      <c r="AE119" s="35" t="str">
        <f>IFERROR(INDEX(DL_Edu,MATCH($CA119,DL_KEY,0)),"M")</f>
        <v>L</v>
      </c>
      <c r="AF119" s="34" t="inlineStr">
        <is>
          <t>M</t>
        </is>
      </c>
      <c r="AG119" s="35" t="inlineStr">
        <is>
          <t>M</t>
        </is>
      </c>
      <c r="AH119" s="35" t="inlineStr">
        <is>
          <t>M</t>
        </is>
      </c>
      <c r="AI119" s="35" t="inlineStr">
        <is>
          <t>M</t>
        </is>
      </c>
      <c r="AJ119" s="35" t="inlineStr">
        <is>
          <t>M</t>
        </is>
      </c>
      <c r="AK119" s="35" t="inlineStr">
        <is>
          <t>M</t>
        </is>
      </c>
      <c r="AL119" s="35" t="inlineStr">
        <is>
          <t>M</t>
        </is>
      </c>
      <c r="AM119" s="36" t="n">
        <v>0.583</v>
      </c>
      <c r="AN119" s="37" t="n">
        <v>0.16</v>
      </c>
      <c r="AO119" s="37" t="n">
        <v>0.09</v>
      </c>
      <c r="AP119" s="37" t="n">
        <v>0</v>
      </c>
      <c r="AQ119" s="37" t="n">
        <v>0.063</v>
      </c>
      <c r="AR119" s="37" t="n">
        <v>0.06</v>
      </c>
      <c r="AS119" s="37" t="n">
        <v>0.04</v>
      </c>
      <c r="AT119" s="38" t="inlineStr">
        <is>
          <t>2–5</t>
        </is>
      </c>
      <c r="AU119" s="38" t="inlineStr">
        <is>
          <t>Graduate; relevant certification preferred</t>
        </is>
      </c>
      <c r="AV119" s="38" t="inlineStr">
        <is>
          <t>None · guides 1–3 juniors informally</t>
        </is>
      </c>
      <c r="AW119" s="38" t="inlineStr">
        <is>
          <t>P2 · SFIA 3 Apply</t>
        </is>
      </c>
      <c r="AX11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19" s="39" t="inlineStr">
        <is>
          <t>A3</t>
        </is>
      </c>
      <c r="AZ119" s="40" t="inlineStr">
        <is>
          <t>Band A · Practitioner · Senior Associate</t>
        </is>
      </c>
      <c r="BA119" s="40" t="inlineStr">
        <is>
          <t>Model A3 from the six ratings, the market-derived weights and rules R1–R13 · then No change · already below the manager</t>
        </is>
      </c>
      <c r="BB119" s="41" t="inlineStr">
        <is>
          <t>A2</t>
        </is>
      </c>
      <c r="BC119" s="40" t="inlineStr">
        <is>
          <t>The six ratings on the market-average weights of Band A · all tracks score 2.25 → A2 · Hay, Mercer IPE and public plans · experience 5.7 yrs vs the A2 market range 0–3</t>
        </is>
      </c>
      <c r="BD119" s="42">
        <f>IF(SUM(BM119,BN119,BO119,BP119,BQ119,BR119,BS119)=0,0,(BM119*BT119+BN119*BU119+BO119*BV119+BP119*BW119+BQ119*BX119+BR119*BY119+BS119*BZ119)/SUM(BM119,BN119,BO119,BP119,BQ119,BR119,BS119))</f>
        <v>0</v>
      </c>
      <c r="BE119" s="41" t="str">
        <f>IF(LEFT(AY119,1)="X",AY119,IF(OR(AY119="B+",AY119="C+"),INDEX(LAD_PC,MAX(1,MIN(14,MATCH(AY119,LAD_PC,0)+IF(BD119&gt;=0.5,1,IF(BD119&lt;=-0.5,-1,0))))),INDEX(LAD_STD,MAX(1,MIN(12,MATCH(AY119,LAD_STD,0)+IF(BD119&gt;=0.5,1,IF(BD119&lt;=-0.5,-1,0)))))))</f>
        <v>A3</v>
      </c>
      <c r="BF119" s="43" t="n"/>
      <c r="BG119" s="41" t="str">
        <f>IF(BF119&lt;&gt;"",BF119,BE119)</f>
        <v>A3</v>
      </c>
      <c r="BH119" s="40" t="str">
        <f>IFERROR(CHOOSE(INDEX(B_RANK,MATCH(BG119,B_LVL,0)),"Band A","Band B","B+ · Player-Coach","Band C","C+ · Player-Coach","Band D","Band E"),"Band X · Consultant")</f>
        <v>Band A</v>
      </c>
      <c r="BI119" s="40" t="str">
        <f>IF(BG119=AY119,"• Same",IF(INDEX(B_VAL,MATCH(BG119,B_LVL,0))&gt;INDEX(B_VAL,MATCH(AY119,B_LVL,0)),"▲ Up","▼ Down"))</f>
        <v>• Same</v>
      </c>
      <c r="BJ119" s="40" t="str">
        <f>IF(OR($M119="",$M119="—",$M119="Not in this file"),"",IFERROR(INDEX($BG$7:$BG$592,MATCH($M119,$D$7:$D$592,0)),""))</f>
        <v>B1</v>
      </c>
      <c r="BK119" s="40" t="str">
        <f>IFERROR(IF(BJ119="","—",IF(OR(LEFT(BG119,1)="X",LEFT(BJ119,1)="X"),"—",IF(AND(LEFT(BG119,1)="E",LEFT(BJ119,1)="E"),"Exception · Band E",IF(AND(INDEX(B_VAL,MATCH(BJ119,B_LVL,0))&gt;=7,INDEX(B_RANK,MATCH(BG119,B_LVL,0))&gt;=INDEX(B_RANK,MATCH(BJ119,B_LVL,0))),"⚠ Same band as a head manager",IF(INDEX(B_VAL,MATCH(BG119,B_LVL,0))&gt;=INDEX(B_VAL,MATCH(BJ119,B_LVL,0)),"⚠ At or above the manager's level","OK"))))),"—")</f>
        <v>OK</v>
      </c>
      <c r="BL119" s="43" t="n"/>
      <c r="BM119" s="44">
        <f>IFERROR(INDEX(LMH_PTS,MATCH(Y119,LMH_KEY,0)),0)</f>
        <v>9</v>
      </c>
      <c r="BN119" s="38">
        <f>IFERROR(INDEX(LMH_PTS,MATCH(Z119,LMH_KEY,0)),0)</f>
        <v>3</v>
      </c>
      <c r="BO119" s="38">
        <f>IFERROR(INDEX(LMH_PTS,MATCH(AA119,LMH_KEY,0)),0)</f>
        <v>3</v>
      </c>
      <c r="BP119" s="38">
        <f>IFERROR(INDEX(LMH_PTS,MATCH(AB119,LMH_KEY,0)),0)</f>
        <v>1</v>
      </c>
      <c r="BQ119" s="38">
        <f>IFERROR(INDEX(LMH_PTS,MATCH(AC119,LMH_KEY,0)),0)</f>
        <v>3</v>
      </c>
      <c r="BR119" s="38">
        <f>IFERROR(INDEX(LMH_PTS,MATCH(AD119,LMH_KEY,0)),0)</f>
        <v>1</v>
      </c>
      <c r="BS119" s="38">
        <f>IFERROR(INDEX(LMH_PTS,MATCH(AE119,LMH_KEY,0)),0)</f>
        <v>1</v>
      </c>
      <c r="BT119" s="38">
        <f>IFERROR(INDEX(LMH_STEP,MATCH(AF119,LMH_KEY,0)),0)</f>
        <v>0</v>
      </c>
      <c r="BU119" s="38">
        <f>IFERROR(INDEX(LMH_STEP,MATCH(AG119,LMH_KEY,0)),0)</f>
        <v>0</v>
      </c>
      <c r="BV119" s="38">
        <f>IFERROR(INDEX(LMH_STEP,MATCH(AH119,LMH_KEY,0)),0)</f>
        <v>0</v>
      </c>
      <c r="BW119" s="38">
        <f>IFERROR(INDEX(LMH_STEP,MATCH(AI119,LMH_KEY,0)),0)</f>
        <v>0</v>
      </c>
      <c r="BX119" s="38">
        <f>IFERROR(INDEX(LMH_STEP,MATCH(AJ119,LMH_KEY,0)),0)</f>
        <v>0</v>
      </c>
      <c r="BY119" s="38">
        <f>IFERROR(INDEX(LMH_STEP,MATCH(AK119,LMH_KEY,0)),0)</f>
        <v>0</v>
      </c>
      <c r="BZ119" s="38">
        <f>IFERROR(INDEX(LMH_STEP,MATCH(AL119,LMH_KEY,0)),0)</f>
        <v>0</v>
      </c>
      <c r="CA119" s="38" t="inlineStr">
        <is>
          <t>CARBON|Support|Senior Support Executive|A3|A</t>
        </is>
      </c>
    </row>
    <row r="120" ht="110" customHeight="1">
      <c r="A120" s="28" t="inlineStr">
        <is>
          <t>CARBON</t>
        </is>
      </c>
      <c r="B120" s="29" t="inlineStr">
        <is>
          <t>Support</t>
        </is>
      </c>
      <c r="C120" s="29" t="n">
        <v>6</v>
      </c>
      <c r="D120" s="29" t="inlineStr">
        <is>
          <t>IRIS2494</t>
        </is>
      </c>
      <c r="E120" s="29" t="inlineStr">
        <is>
          <t>Shruti Samant</t>
        </is>
      </c>
      <c r="F120" s="29" t="inlineStr">
        <is>
          <t>Executive- Customer Support</t>
        </is>
      </c>
      <c r="G120" s="29" t="inlineStr">
        <is>
          <t>Senior Support Executive</t>
        </is>
      </c>
      <c r="H120" s="29" t="inlineStr">
        <is>
          <t>Customer Success &amp; Support</t>
        </is>
      </c>
      <c r="I120" s="29" t="inlineStr">
        <is>
          <t>Application &amp; Product Support</t>
        </is>
      </c>
      <c r="J120" s="29" t="inlineStr">
        <is>
          <t>IC</t>
        </is>
      </c>
      <c r="K120" s="29" t="inlineStr">
        <is>
          <t>RC-031</t>
        </is>
      </c>
      <c r="L120" s="29" t="inlineStr">
        <is>
          <t>Nelson Paul Koonan</t>
        </is>
      </c>
      <c r="M120" s="29" t="inlineStr">
        <is>
          <t>IRIS0341</t>
        </is>
      </c>
      <c r="N120" s="29" t="n">
        <v>3.5</v>
      </c>
      <c r="O120" s="29" t="n">
        <v>0.5</v>
      </c>
      <c r="P120" s="29" t="inlineStr">
        <is>
          <t>PGDM</t>
        </is>
      </c>
      <c r="Q120" s="29" t="inlineStr">
        <is>
          <t>L3 – Professional / Associate</t>
        </is>
      </c>
      <c r="R120" s="29" t="inlineStr">
        <is>
          <t>A3</t>
        </is>
      </c>
      <c r="S120" s="30" t="inlineStr">
        <is>
          <t>19 of 20</t>
        </is>
      </c>
      <c r="T120" s="31" t="inlineStr">
        <is>
          <t>• Role / sub-team: Client Success / Support — Executive, Customer Support.
• Core purpose: Provide effective first-level support to customers by resolving related issues and ensuring a smooth user experience — the first point of contact between customers and the team.
• Decision-making autonomy: Can independently handle support tickets and resolve issues.
• …</t>
        </is>
      </c>
      <c r="U120" s="31" t="inlineStr">
        <is>
          <t>Received · manager annual · •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t>
        </is>
      </c>
      <c r="V120" s="31" t="inlineStr">
        <is>
          <t>Latest rating: 2 · Potential: Medium · 9-box: Emerging Talent · Readiness: Performance first</t>
        </is>
      </c>
      <c r="W120" s="31" t="inlineStr">
        <is>
          <t>C L · Au L · Ac L · L L · BI L · Exp M · 3.5 yrs vs 2–4 yrs · Edu H · PGDM</t>
        </is>
      </c>
      <c r="X120" s="33" t="inlineStr">
        <is>
          <t>Open ▸</t>
        </is>
      </c>
      <c r="Y120" s="34" t="str">
        <f>IFERROR(INDEX(DL_C,MATCH($CA120,DL_KEY,0)),"M")</f>
        <v>H</v>
      </c>
      <c r="Z120" s="35" t="str">
        <f>IFERROR(INDEX(DL_Au,MATCH($CA120,DL_KEY,0)),"M")</f>
        <v>M</v>
      </c>
      <c r="AA120" s="35" t="str">
        <f>IFERROR(INDEX(DL_Ac,MATCH($CA120,DL_KEY,0)),"M")</f>
        <v>M</v>
      </c>
      <c r="AB120" s="35" t="str">
        <f>IFERROR(INDEX(DL_L,MATCH($CA120,DL_KEY,0)),"M")</f>
        <v>L</v>
      </c>
      <c r="AC120" s="35" t="str">
        <f>IFERROR(INDEX(DL_BI,MATCH($CA120,DL_KEY,0)),"M")</f>
        <v>M</v>
      </c>
      <c r="AD120" s="35" t="str">
        <f>IFERROR(INDEX(DL_Exp,MATCH($CA120,DL_KEY,0)),"M")</f>
        <v>L</v>
      </c>
      <c r="AE120" s="35" t="str">
        <f>IFERROR(INDEX(DL_Edu,MATCH($CA120,DL_KEY,0)),"M")</f>
        <v>L</v>
      </c>
      <c r="AF120" s="34" t="inlineStr">
        <is>
          <t>M</t>
        </is>
      </c>
      <c r="AG120" s="35" t="inlineStr">
        <is>
          <t>M</t>
        </is>
      </c>
      <c r="AH120" s="35" t="inlineStr">
        <is>
          <t>M</t>
        </is>
      </c>
      <c r="AI120" s="35" t="inlineStr">
        <is>
          <t>M</t>
        </is>
      </c>
      <c r="AJ120" s="35" t="inlineStr">
        <is>
          <t>M</t>
        </is>
      </c>
      <c r="AK120" s="35" t="inlineStr">
        <is>
          <t>M</t>
        </is>
      </c>
      <c r="AL120" s="35" t="inlineStr">
        <is>
          <t>M</t>
        </is>
      </c>
      <c r="AM120" s="36" t="n">
        <v>0.583</v>
      </c>
      <c r="AN120" s="37" t="n">
        <v>0.16</v>
      </c>
      <c r="AO120" s="37" t="n">
        <v>0.09</v>
      </c>
      <c r="AP120" s="37" t="n">
        <v>0</v>
      </c>
      <c r="AQ120" s="37" t="n">
        <v>0.063</v>
      </c>
      <c r="AR120" s="37" t="n">
        <v>0.06</v>
      </c>
      <c r="AS120" s="37" t="n">
        <v>0.04</v>
      </c>
      <c r="AT120" s="38" t="inlineStr">
        <is>
          <t>2–5</t>
        </is>
      </c>
      <c r="AU120" s="38" t="inlineStr">
        <is>
          <t>Graduate; relevant certification preferred</t>
        </is>
      </c>
      <c r="AV120" s="38" t="inlineStr">
        <is>
          <t>None · guides 1–3 juniors informally</t>
        </is>
      </c>
      <c r="AW120" s="38" t="inlineStr">
        <is>
          <t>P2 · SFIA 3 Apply</t>
        </is>
      </c>
      <c r="AX12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20" s="39" t="inlineStr">
        <is>
          <t>A3</t>
        </is>
      </c>
      <c r="AZ120" s="40" t="inlineStr">
        <is>
          <t>Band A · Practitioner · Senior Associate</t>
        </is>
      </c>
      <c r="BA120" s="40" t="inlineStr">
        <is>
          <t>Model A3 from the six ratings, the market-derived weights and rules R1–R13 · then No change · already below the manager</t>
        </is>
      </c>
      <c r="BB120" s="41" t="inlineStr">
        <is>
          <t>A2</t>
        </is>
      </c>
      <c r="BC120" s="40" t="inlineStr">
        <is>
          <t>The six ratings on the market-average weights of Band A · all tracks score 2.15 → A2 · Hay, Mercer IPE and public plans · experience 3.5 yrs vs the A2 market range 0–3</t>
        </is>
      </c>
      <c r="BD120" s="42">
        <f>IF(SUM(BM120,BN120,BO120,BP120,BQ120,BR120,BS120)=0,0,(BM120*BT120+BN120*BU120+BO120*BV120+BP120*BW120+BQ120*BX120+BR120*BY120+BS120*BZ120)/SUM(BM120,BN120,BO120,BP120,BQ120,BR120,BS120))</f>
        <v>0</v>
      </c>
      <c r="BE120" s="41" t="str">
        <f>IF(LEFT(AY120,1)="X",AY120,IF(OR(AY120="B+",AY120="C+"),INDEX(LAD_PC,MAX(1,MIN(14,MATCH(AY120,LAD_PC,0)+IF(BD120&gt;=0.5,1,IF(BD120&lt;=-0.5,-1,0))))),INDEX(LAD_STD,MAX(1,MIN(12,MATCH(AY120,LAD_STD,0)+IF(BD120&gt;=0.5,1,IF(BD120&lt;=-0.5,-1,0)))))))</f>
        <v>A3</v>
      </c>
      <c r="BF120" s="43" t="n"/>
      <c r="BG120" s="41" t="str">
        <f>IF(BF120&lt;&gt;"",BF120,BE120)</f>
        <v>A3</v>
      </c>
      <c r="BH120" s="40" t="str">
        <f>IFERROR(CHOOSE(INDEX(B_RANK,MATCH(BG120,B_LVL,0)),"Band A","Band B","B+ · Player-Coach","Band C","C+ · Player-Coach","Band D","Band E"),"Band X · Consultant")</f>
        <v>Band A</v>
      </c>
      <c r="BI120" s="40" t="str">
        <f>IF(BG120=AY120,"• Same",IF(INDEX(B_VAL,MATCH(BG120,B_LVL,0))&gt;INDEX(B_VAL,MATCH(AY120,B_LVL,0)),"▲ Up","▼ Down"))</f>
        <v>• Same</v>
      </c>
      <c r="BJ120" s="40" t="str">
        <f>IF(OR($M120="",$M120="—",$M120="Not in this file"),"",IFERROR(INDEX($BG$7:$BG$592,MATCH($M120,$D$7:$D$592,0)),""))</f>
        <v>B1</v>
      </c>
      <c r="BK120" s="40" t="str">
        <f>IFERROR(IF(BJ120="","—",IF(OR(LEFT(BG120,1)="X",LEFT(BJ120,1)="X"),"—",IF(AND(LEFT(BG120,1)="E",LEFT(BJ120,1)="E"),"Exception · Band E",IF(AND(INDEX(B_VAL,MATCH(BJ120,B_LVL,0))&gt;=7,INDEX(B_RANK,MATCH(BG120,B_LVL,0))&gt;=INDEX(B_RANK,MATCH(BJ120,B_LVL,0))),"⚠ Same band as a head manager",IF(INDEX(B_VAL,MATCH(BG120,B_LVL,0))&gt;=INDEX(B_VAL,MATCH(BJ120,B_LVL,0)),"⚠ At or above the manager's level","OK"))))),"—")</f>
        <v>OK</v>
      </c>
      <c r="BL120" s="43" t="n"/>
      <c r="BM120" s="44">
        <f>IFERROR(INDEX(LMH_PTS,MATCH(Y120,LMH_KEY,0)),0)</f>
        <v>9</v>
      </c>
      <c r="BN120" s="38">
        <f>IFERROR(INDEX(LMH_PTS,MATCH(Z120,LMH_KEY,0)),0)</f>
        <v>3</v>
      </c>
      <c r="BO120" s="38">
        <f>IFERROR(INDEX(LMH_PTS,MATCH(AA120,LMH_KEY,0)),0)</f>
        <v>3</v>
      </c>
      <c r="BP120" s="38">
        <f>IFERROR(INDEX(LMH_PTS,MATCH(AB120,LMH_KEY,0)),0)</f>
        <v>1</v>
      </c>
      <c r="BQ120" s="38">
        <f>IFERROR(INDEX(LMH_PTS,MATCH(AC120,LMH_KEY,0)),0)</f>
        <v>3</v>
      </c>
      <c r="BR120" s="38">
        <f>IFERROR(INDEX(LMH_PTS,MATCH(AD120,LMH_KEY,0)),0)</f>
        <v>1</v>
      </c>
      <c r="BS120" s="38">
        <f>IFERROR(INDEX(LMH_PTS,MATCH(AE120,LMH_KEY,0)),0)</f>
        <v>1</v>
      </c>
      <c r="BT120" s="38">
        <f>IFERROR(INDEX(LMH_STEP,MATCH(AF120,LMH_KEY,0)),0)</f>
        <v>0</v>
      </c>
      <c r="BU120" s="38">
        <f>IFERROR(INDEX(LMH_STEP,MATCH(AG120,LMH_KEY,0)),0)</f>
        <v>0</v>
      </c>
      <c r="BV120" s="38">
        <f>IFERROR(INDEX(LMH_STEP,MATCH(AH120,LMH_KEY,0)),0)</f>
        <v>0</v>
      </c>
      <c r="BW120" s="38">
        <f>IFERROR(INDEX(LMH_STEP,MATCH(AI120,LMH_KEY,0)),0)</f>
        <v>0</v>
      </c>
      <c r="BX120" s="38">
        <f>IFERROR(INDEX(LMH_STEP,MATCH(AJ120,LMH_KEY,0)),0)</f>
        <v>0</v>
      </c>
      <c r="BY120" s="38">
        <f>IFERROR(INDEX(LMH_STEP,MATCH(AK120,LMH_KEY,0)),0)</f>
        <v>0</v>
      </c>
      <c r="BZ120" s="38">
        <f>IFERROR(INDEX(LMH_STEP,MATCH(AL120,LMH_KEY,0)),0)</f>
        <v>0</v>
      </c>
      <c r="CA120" s="38" t="inlineStr">
        <is>
          <t>CARBON|Support|Senior Support Executive|A3|A</t>
        </is>
      </c>
    </row>
    <row r="121" ht="110" customHeight="1">
      <c r="A121" s="28" t="inlineStr">
        <is>
          <t>CARBON</t>
        </is>
      </c>
      <c r="B121" s="29" t="inlineStr">
        <is>
          <t>Support</t>
        </is>
      </c>
      <c r="C121" s="29" t="n">
        <v>5</v>
      </c>
      <c r="D121" s="29" t="inlineStr">
        <is>
          <t>IRIS2096</t>
        </is>
      </c>
      <c r="E121" s="29" t="inlineStr">
        <is>
          <t>Sweety Mukherjee</t>
        </is>
      </c>
      <c r="F121" s="29" t="inlineStr">
        <is>
          <t>Executive- Customer Support</t>
        </is>
      </c>
      <c r="G121" s="29" t="inlineStr">
        <is>
          <t>Senior Support Executive</t>
        </is>
      </c>
      <c r="H121" s="29" t="inlineStr">
        <is>
          <t>Customer Success &amp; Support</t>
        </is>
      </c>
      <c r="I121" s="29" t="inlineStr">
        <is>
          <t>Application &amp; Product Support</t>
        </is>
      </c>
      <c r="J121" s="29" t="inlineStr">
        <is>
          <t>IC</t>
        </is>
      </c>
      <c r="K121" s="29" t="inlineStr">
        <is>
          <t>RC-031</t>
        </is>
      </c>
      <c r="L121" s="29" t="inlineStr">
        <is>
          <t>Harshal Shah</t>
        </is>
      </c>
      <c r="M121" s="29" t="inlineStr">
        <is>
          <t>IRIS0662</t>
        </is>
      </c>
      <c r="N121" s="29" t="n">
        <v>7</v>
      </c>
      <c r="O121" s="29" t="n">
        <v>3.7</v>
      </c>
      <c r="P121" s="29" t="inlineStr">
        <is>
          <t>BCA</t>
        </is>
      </c>
      <c r="Q121" s="29" t="inlineStr">
        <is>
          <t>L3 – Professional / Associate</t>
        </is>
      </c>
      <c r="R121" s="29" t="inlineStr">
        <is>
          <t>A3</t>
        </is>
      </c>
      <c r="S121" s="30" t="inlineStr">
        <is>
          <t>20 of 20</t>
        </is>
      </c>
      <c r="T121" s="31" t="inlineStr">
        <is>
          <t>• Role / sub-team: Client Success / Support — Executive, Customer Support.
• Core purpose: Build and maintain strong customer relationships, ensuring customers receive a positive experience and their needs are effectively met.
• Decision-making autonomy: Can independently handle customer complaints.
• Is this something only she does: Resolving routine …</t>
        </is>
      </c>
      <c r="U121" s="31" t="inlineStr">
        <is>
          <t>Received · manager annual · "•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t>
        </is>
      </c>
      <c r="V121" s="31" t="inlineStr">
        <is>
          <t>Latest rating: 3 · Potential: Medium · 9-box: Core Contributor · Readiness: Develop in role</t>
        </is>
      </c>
      <c r="W121" s="31" t="inlineStr">
        <is>
          <t>C L · Au L · Ac L · L L · BI L · Exp H · 7 yrs vs 2–4 yrs · Edu M · BCA</t>
        </is>
      </c>
      <c r="X121" s="33" t="inlineStr">
        <is>
          <t>Open ▸</t>
        </is>
      </c>
      <c r="Y121" s="34" t="str">
        <f>IFERROR(INDEX(DL_C,MATCH($CA121,DL_KEY,0)),"M")</f>
        <v>H</v>
      </c>
      <c r="Z121" s="35" t="str">
        <f>IFERROR(INDEX(DL_Au,MATCH($CA121,DL_KEY,0)),"M")</f>
        <v>M</v>
      </c>
      <c r="AA121" s="35" t="str">
        <f>IFERROR(INDEX(DL_Ac,MATCH($CA121,DL_KEY,0)),"M")</f>
        <v>M</v>
      </c>
      <c r="AB121" s="35" t="str">
        <f>IFERROR(INDEX(DL_L,MATCH($CA121,DL_KEY,0)),"M")</f>
        <v>L</v>
      </c>
      <c r="AC121" s="35" t="str">
        <f>IFERROR(INDEX(DL_BI,MATCH($CA121,DL_KEY,0)),"M")</f>
        <v>M</v>
      </c>
      <c r="AD121" s="35" t="str">
        <f>IFERROR(INDEX(DL_Exp,MATCH($CA121,DL_KEY,0)),"M")</f>
        <v>L</v>
      </c>
      <c r="AE121" s="35" t="str">
        <f>IFERROR(INDEX(DL_Edu,MATCH($CA121,DL_KEY,0)),"M")</f>
        <v>L</v>
      </c>
      <c r="AF121" s="34" t="inlineStr">
        <is>
          <t>M</t>
        </is>
      </c>
      <c r="AG121" s="35" t="inlineStr">
        <is>
          <t>M</t>
        </is>
      </c>
      <c r="AH121" s="35" t="inlineStr">
        <is>
          <t>M</t>
        </is>
      </c>
      <c r="AI121" s="35" t="inlineStr">
        <is>
          <t>M</t>
        </is>
      </c>
      <c r="AJ121" s="35" t="inlineStr">
        <is>
          <t>M</t>
        </is>
      </c>
      <c r="AK121" s="35" t="inlineStr">
        <is>
          <t>M</t>
        </is>
      </c>
      <c r="AL121" s="35" t="inlineStr">
        <is>
          <t>M</t>
        </is>
      </c>
      <c r="AM121" s="36" t="n">
        <v>0.583</v>
      </c>
      <c r="AN121" s="37" t="n">
        <v>0.16</v>
      </c>
      <c r="AO121" s="37" t="n">
        <v>0.09</v>
      </c>
      <c r="AP121" s="37" t="n">
        <v>0</v>
      </c>
      <c r="AQ121" s="37" t="n">
        <v>0.063</v>
      </c>
      <c r="AR121" s="37" t="n">
        <v>0.06</v>
      </c>
      <c r="AS121" s="37" t="n">
        <v>0.04</v>
      </c>
      <c r="AT121" s="38" t="inlineStr">
        <is>
          <t>2–5</t>
        </is>
      </c>
      <c r="AU121" s="38" t="inlineStr">
        <is>
          <t>Graduate; relevant certification preferred</t>
        </is>
      </c>
      <c r="AV121" s="38" t="inlineStr">
        <is>
          <t>None · guides 1–3 juniors informally</t>
        </is>
      </c>
      <c r="AW121" s="38" t="inlineStr">
        <is>
          <t>P2 · SFIA 3 Apply</t>
        </is>
      </c>
      <c r="AX12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21" s="39" t="inlineStr">
        <is>
          <t>A3</t>
        </is>
      </c>
      <c r="AZ121" s="40" t="inlineStr">
        <is>
          <t>Band A · Practitioner · Senior Associate</t>
        </is>
      </c>
      <c r="BA121" s="40" t="inlineStr">
        <is>
          <t>Model A3 from the six ratings, the market-derived weights and rules R1–R13 · then No change · already below the manager</t>
        </is>
      </c>
      <c r="BB121" s="41" t="inlineStr">
        <is>
          <t>A2</t>
        </is>
      </c>
      <c r="BC121" s="40" t="inlineStr">
        <is>
          <t>The six ratings on the market-average weights of Band A · all tracks score 2.30 → A2 · Hay, Mercer IPE and public plans · experience 7 yrs vs the A2 market range 0–3</t>
        </is>
      </c>
      <c r="BD121" s="42">
        <f>IF(SUM(BM121,BN121,BO121,BP121,BQ121,BR121,BS121)=0,0,(BM121*BT121+BN121*BU121+BO121*BV121+BP121*BW121+BQ121*BX121+BR121*BY121+BS121*BZ121)/SUM(BM121,BN121,BO121,BP121,BQ121,BR121,BS121))</f>
        <v>0</v>
      </c>
      <c r="BE121" s="41" t="str">
        <f>IF(LEFT(AY121,1)="X",AY121,IF(OR(AY121="B+",AY121="C+"),INDEX(LAD_PC,MAX(1,MIN(14,MATCH(AY121,LAD_PC,0)+IF(BD121&gt;=0.5,1,IF(BD121&lt;=-0.5,-1,0))))),INDEX(LAD_STD,MAX(1,MIN(12,MATCH(AY121,LAD_STD,0)+IF(BD121&gt;=0.5,1,IF(BD121&lt;=-0.5,-1,0)))))))</f>
        <v>A3</v>
      </c>
      <c r="BF121" s="43" t="n"/>
      <c r="BG121" s="41" t="str">
        <f>IF(BF121&lt;&gt;"",BF121,BE121)</f>
        <v>A3</v>
      </c>
      <c r="BH121" s="40" t="str">
        <f>IFERROR(CHOOSE(INDEX(B_RANK,MATCH(BG121,B_LVL,0)),"Band A","Band B","B+ · Player-Coach","Band C","C+ · Player-Coach","Band D","Band E"),"Band X · Consultant")</f>
        <v>Band A</v>
      </c>
      <c r="BI121" s="40" t="str">
        <f>IF(BG121=AY121,"• Same",IF(INDEX(B_VAL,MATCH(BG121,B_LVL,0))&gt;INDEX(B_VAL,MATCH(AY121,B_LVL,0)),"▲ Up","▼ Down"))</f>
        <v>• Same</v>
      </c>
      <c r="BJ121" s="40" t="str">
        <f>IF(OR($M121="",$M121="—",$M121="Not in this file"),"",IFERROR(INDEX($BG$7:$BG$592,MATCH($M121,$D$7:$D$592,0)),""))</f>
        <v>B2</v>
      </c>
      <c r="BK121" s="40" t="str">
        <f>IFERROR(IF(BJ121="","—",IF(OR(LEFT(BG121,1)="X",LEFT(BJ121,1)="X"),"—",IF(AND(LEFT(BG121,1)="E",LEFT(BJ121,1)="E"),"Exception · Band E",IF(AND(INDEX(B_VAL,MATCH(BJ121,B_LVL,0))&gt;=7,INDEX(B_RANK,MATCH(BG121,B_LVL,0))&gt;=INDEX(B_RANK,MATCH(BJ121,B_LVL,0))),"⚠ Same band as a head manager",IF(INDEX(B_VAL,MATCH(BG121,B_LVL,0))&gt;=INDEX(B_VAL,MATCH(BJ121,B_LVL,0)),"⚠ At or above the manager's level","OK"))))),"—")</f>
        <v>OK</v>
      </c>
      <c r="BL121" s="43" t="n"/>
      <c r="BM121" s="44">
        <f>IFERROR(INDEX(LMH_PTS,MATCH(Y121,LMH_KEY,0)),0)</f>
        <v>9</v>
      </c>
      <c r="BN121" s="38">
        <f>IFERROR(INDEX(LMH_PTS,MATCH(Z121,LMH_KEY,0)),0)</f>
        <v>3</v>
      </c>
      <c r="BO121" s="38">
        <f>IFERROR(INDEX(LMH_PTS,MATCH(AA121,LMH_KEY,0)),0)</f>
        <v>3</v>
      </c>
      <c r="BP121" s="38">
        <f>IFERROR(INDEX(LMH_PTS,MATCH(AB121,LMH_KEY,0)),0)</f>
        <v>1</v>
      </c>
      <c r="BQ121" s="38">
        <f>IFERROR(INDEX(LMH_PTS,MATCH(AC121,LMH_KEY,0)),0)</f>
        <v>3</v>
      </c>
      <c r="BR121" s="38">
        <f>IFERROR(INDEX(LMH_PTS,MATCH(AD121,LMH_KEY,0)),0)</f>
        <v>1</v>
      </c>
      <c r="BS121" s="38">
        <f>IFERROR(INDEX(LMH_PTS,MATCH(AE121,LMH_KEY,0)),0)</f>
        <v>1</v>
      </c>
      <c r="BT121" s="38">
        <f>IFERROR(INDEX(LMH_STEP,MATCH(AF121,LMH_KEY,0)),0)</f>
        <v>0</v>
      </c>
      <c r="BU121" s="38">
        <f>IFERROR(INDEX(LMH_STEP,MATCH(AG121,LMH_KEY,0)),0)</f>
        <v>0</v>
      </c>
      <c r="BV121" s="38">
        <f>IFERROR(INDEX(LMH_STEP,MATCH(AH121,LMH_KEY,0)),0)</f>
        <v>0</v>
      </c>
      <c r="BW121" s="38">
        <f>IFERROR(INDEX(LMH_STEP,MATCH(AI121,LMH_KEY,0)),0)</f>
        <v>0</v>
      </c>
      <c r="BX121" s="38">
        <f>IFERROR(INDEX(LMH_STEP,MATCH(AJ121,LMH_KEY,0)),0)</f>
        <v>0</v>
      </c>
      <c r="BY121" s="38">
        <f>IFERROR(INDEX(LMH_STEP,MATCH(AK121,LMH_KEY,0)),0)</f>
        <v>0</v>
      </c>
      <c r="BZ121" s="38">
        <f>IFERROR(INDEX(LMH_STEP,MATCH(AL121,LMH_KEY,0)),0)</f>
        <v>0</v>
      </c>
      <c r="CA121" s="38" t="inlineStr">
        <is>
          <t>CARBON|Support|Senior Support Executive|A3|A</t>
        </is>
      </c>
    </row>
    <row r="122" ht="110" customHeight="1">
      <c r="A122" s="28" t="inlineStr">
        <is>
          <t>CARBON</t>
        </is>
      </c>
      <c r="B122" s="29" t="inlineStr">
        <is>
          <t>Functional</t>
        </is>
      </c>
      <c r="C122" s="29" t="n">
        <v>4</v>
      </c>
      <c r="D122" s="29" t="inlineStr">
        <is>
          <t>IRIS2372</t>
        </is>
      </c>
      <c r="E122" s="29" t="inlineStr">
        <is>
          <t>Aakanksha Swaminathan</t>
        </is>
      </c>
      <c r="F122" s="29" t="inlineStr">
        <is>
          <t>Functional Specialist</t>
        </is>
      </c>
      <c r="G122" s="29" t="inlineStr">
        <is>
          <t>Senior Customer Success Specialist – POD Lead</t>
        </is>
      </c>
      <c r="H122" s="29" t="inlineStr">
        <is>
          <t>Customer Success &amp; Support</t>
        </is>
      </c>
      <c r="I122" s="29" t="inlineStr">
        <is>
          <t>Customer Success &amp; Account Management</t>
        </is>
      </c>
      <c r="J122" s="29" t="inlineStr">
        <is>
          <t>POD Lead</t>
        </is>
      </c>
      <c r="K122" s="29" t="inlineStr">
        <is>
          <t>RC-035</t>
        </is>
      </c>
      <c r="L122" s="29" t="inlineStr">
        <is>
          <t>Suman Adhikary</t>
        </is>
      </c>
      <c r="M122" s="29" t="inlineStr">
        <is>
          <t>IRIS2359</t>
        </is>
      </c>
      <c r="N122" s="29" t="n">
        <v>8.199999999999999</v>
      </c>
      <c r="O122" s="29" t="n">
        <v>1.4</v>
      </c>
      <c r="P122" s="29" t="inlineStr">
        <is>
          <t>CA</t>
        </is>
      </c>
      <c r="Q122" s="29" t="inlineStr">
        <is>
          <t>L3 – Professional / Associate</t>
        </is>
      </c>
      <c r="R122" s="29" t="inlineStr">
        <is>
          <t>B1</t>
        </is>
      </c>
      <c r="S122" s="30" t="inlineStr">
        <is>
          <t>16 of 20</t>
        </is>
      </c>
      <c r="T122" s="31" t="inlineStr">
        <is>
          <t>Complexity: Evidence reads like B1: Names complex implementations, new-market GTM, Asia sales, partnerships; no specifics → matches the start
Autonomy: Evidence reads like B1: Claims 'Everything'; no concrete decisions named → matches the start
Accountability: Evidence reads like B2: New business and sales for Asia plus existing complex clients; states …</t>
        </is>
      </c>
      <c r="U122" s="31" t="inlineStr">
        <is>
          <t>Received · manager annual · 1. Annual Target · ARR - INR 1 Cr from India Cross-Sell / Net-New - 100%
2. Support or own customer marketing initiatives - 4 
3. Own India solution demos for sales / move to - closed-won - 8 
4. Establish a repeatable and effective market entry pitch, pricing and closing the deals - Convert at least 5 opportunities …</t>
        </is>
      </c>
      <c r="V122" s="31" t="inlineStr">
        <is>
          <t>Latest rating: 5 · Potential: High · 9-box: Future Leader · Readiness: Ready now</t>
        </is>
      </c>
      <c r="W122" s="31" t="inlineStr">
        <is>
          <t>C M · Au M · Ac M · L M · BI M · Exp H · 8.2 yrs vs 4–7 yrs · Edu H · CA</t>
        </is>
      </c>
      <c r="X122" s="33" t="inlineStr">
        <is>
          <t>Open ▸</t>
        </is>
      </c>
      <c r="Y122" s="34" t="str">
        <f>IFERROR(INDEX(DL_C,MATCH($CA122,DL_KEY,0)),"M")</f>
        <v>H</v>
      </c>
      <c r="Z122" s="35" t="str">
        <f>IFERROR(INDEX(DL_Au,MATCH($CA122,DL_KEY,0)),"M")</f>
        <v>M</v>
      </c>
      <c r="AA122" s="35" t="str">
        <f>IFERROR(INDEX(DL_Ac,MATCH($CA122,DL_KEY,0)),"M")</f>
        <v>M</v>
      </c>
      <c r="AB122" s="35" t="str">
        <f>IFERROR(INDEX(DL_L,MATCH($CA122,DL_KEY,0)),"M")</f>
        <v>L</v>
      </c>
      <c r="AC122" s="35" t="str">
        <f>IFERROR(INDEX(DL_BI,MATCH($CA122,DL_KEY,0)),"M")</f>
        <v>M</v>
      </c>
      <c r="AD122" s="35" t="str">
        <f>IFERROR(INDEX(DL_Exp,MATCH($CA122,DL_KEY,0)),"M")</f>
        <v>L</v>
      </c>
      <c r="AE122" s="35" t="str">
        <f>IFERROR(INDEX(DL_Edu,MATCH($CA122,DL_KEY,0)),"M")</f>
        <v>L</v>
      </c>
      <c r="AF122" s="34" t="inlineStr">
        <is>
          <t>M</t>
        </is>
      </c>
      <c r="AG122" s="35" t="inlineStr">
        <is>
          <t>M</t>
        </is>
      </c>
      <c r="AH122" s="35" t="inlineStr">
        <is>
          <t>M</t>
        </is>
      </c>
      <c r="AI122" s="35" t="inlineStr">
        <is>
          <t>M</t>
        </is>
      </c>
      <c r="AJ122" s="35" t="inlineStr">
        <is>
          <t>M</t>
        </is>
      </c>
      <c r="AK122" s="35" t="inlineStr">
        <is>
          <t>M</t>
        </is>
      </c>
      <c r="AL122" s="35" t="inlineStr">
        <is>
          <t>M</t>
        </is>
      </c>
      <c r="AM122" s="36" t="n">
        <v>0.513</v>
      </c>
      <c r="AN122" s="37" t="n">
        <v>0.173</v>
      </c>
      <c r="AO122" s="37" t="n">
        <v>0.09699999999999999</v>
      </c>
      <c r="AP122" s="37" t="n">
        <v>0.05</v>
      </c>
      <c r="AQ122" s="37" t="n">
        <v>0.07000000000000001</v>
      </c>
      <c r="AR122" s="37" t="n">
        <v>0.06</v>
      </c>
      <c r="AS122" s="37" t="n">
        <v>0.04</v>
      </c>
      <c r="AT122" s="38" t="inlineStr">
        <is>
          <t>4–8</t>
        </is>
      </c>
      <c r="AU122" s="38" t="inlineStr">
        <is>
          <t>Graduate + relevant qualification or certification preferred</t>
        </is>
      </c>
      <c r="AV122" s="38" t="inlineStr">
        <is>
          <t>IC: none · Team Lead: 3–5</t>
        </is>
      </c>
      <c r="AW122" s="38" t="inlineStr">
        <is>
          <t>P3 / M2 · SFIA 4 Enable</t>
        </is>
      </c>
      <c r="AX12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22" s="39" t="inlineStr">
        <is>
          <t>B1</t>
        </is>
      </c>
      <c r="AZ122" s="40" t="inlineStr">
        <is>
          <t>Band B · Specialist / Manager · Team Lead / Asst Manager</t>
        </is>
      </c>
      <c r="BA122" s="40" t="inlineStr">
        <is>
          <t>Model B1 from the six ratings, the market-derived weights and rules R1–R13 · then No change · already below the manager</t>
        </is>
      </c>
      <c r="BB122" s="41" t="inlineStr">
        <is>
          <t>B1</t>
        </is>
      </c>
      <c r="BC122" s="40" t="inlineStr">
        <is>
          <t>The six ratings on the market-average weights of Band B · Specialist / POD Lead score 4.31 → B1 · Hay, Mercer IPE and public plans · experience 8.2 yrs vs the B1 market range 4–8</t>
        </is>
      </c>
      <c r="BD122" s="42">
        <f>IF(SUM(BM122,BN122,BO122,BP122,BQ122,BR122,BS122)=0,0,(BM122*BT122+BN122*BU122+BO122*BV122+BP122*BW122+BQ122*BX122+BR122*BY122+BS122*BZ122)/SUM(BM122,BN122,BO122,BP122,BQ122,BR122,BS122))</f>
        <v>0</v>
      </c>
      <c r="BE122" s="41" t="str">
        <f>IF(LEFT(AY122,1)="X",AY122,IF(OR(AY122="B+",AY122="C+"),INDEX(LAD_PC,MAX(1,MIN(14,MATCH(AY122,LAD_PC,0)+IF(BD122&gt;=0.5,1,IF(BD122&lt;=-0.5,-1,0))))),INDEX(LAD_STD,MAX(1,MIN(12,MATCH(AY122,LAD_STD,0)+IF(BD122&gt;=0.5,1,IF(BD122&lt;=-0.5,-1,0)))))))</f>
        <v>B1</v>
      </c>
      <c r="BF122" s="43" t="n"/>
      <c r="BG122" s="41" t="str">
        <f>IF(BF122&lt;&gt;"",BF122,BE122)</f>
        <v>B1</v>
      </c>
      <c r="BH122" s="40" t="str">
        <f>IFERROR(CHOOSE(INDEX(B_RANK,MATCH(BG122,B_LVL,0)),"Band A","Band B","B+ · Player-Coach","Band C","C+ · Player-Coach","Band D","Band E"),"Band X · Consultant")</f>
        <v>Band B</v>
      </c>
      <c r="BI122" s="40" t="str">
        <f>IF(BG122=AY122,"• Same",IF(INDEX(B_VAL,MATCH(BG122,B_LVL,0))&gt;INDEX(B_VAL,MATCH(AY122,B_LVL,0)),"▲ Up","▼ Down"))</f>
        <v>• Same</v>
      </c>
      <c r="BJ122" s="40" t="str">
        <f>IF(OR($M122="",$M122="—",$M122="Not in this file"),"",IFERROR(INDEX($BG$7:$BG$592,MATCH($M122,$D$7:$D$592,0)),""))</f>
        <v>C2</v>
      </c>
      <c r="BK122" s="40" t="str">
        <f>IFERROR(IF(BJ122="","—",IF(OR(LEFT(BG122,1)="X",LEFT(BJ122,1)="X"),"—",IF(AND(LEFT(BG122,1)="E",LEFT(BJ122,1)="E"),"Exception · Band E",IF(AND(INDEX(B_VAL,MATCH(BJ122,B_LVL,0))&gt;=7,INDEX(B_RANK,MATCH(BG122,B_LVL,0))&gt;=INDEX(B_RANK,MATCH(BJ122,B_LVL,0))),"⚠ Same band as a head manager",IF(INDEX(B_VAL,MATCH(BG122,B_LVL,0))&gt;=INDEX(B_VAL,MATCH(BJ122,B_LVL,0)),"⚠ At or above the manager's level","OK"))))),"—")</f>
        <v>OK</v>
      </c>
      <c r="BL122" s="43" t="n"/>
      <c r="BM122" s="44">
        <f>IFERROR(INDEX(LMH_PTS,MATCH(Y122,LMH_KEY,0)),0)</f>
        <v>9</v>
      </c>
      <c r="BN122" s="38">
        <f>IFERROR(INDEX(LMH_PTS,MATCH(Z122,LMH_KEY,0)),0)</f>
        <v>3</v>
      </c>
      <c r="BO122" s="38">
        <f>IFERROR(INDEX(LMH_PTS,MATCH(AA122,LMH_KEY,0)),0)</f>
        <v>3</v>
      </c>
      <c r="BP122" s="38">
        <f>IFERROR(INDEX(LMH_PTS,MATCH(AB122,LMH_KEY,0)),0)</f>
        <v>1</v>
      </c>
      <c r="BQ122" s="38">
        <f>IFERROR(INDEX(LMH_PTS,MATCH(AC122,LMH_KEY,0)),0)</f>
        <v>3</v>
      </c>
      <c r="BR122" s="38">
        <f>IFERROR(INDEX(LMH_PTS,MATCH(AD122,LMH_KEY,0)),0)</f>
        <v>1</v>
      </c>
      <c r="BS122" s="38">
        <f>IFERROR(INDEX(LMH_PTS,MATCH(AE122,LMH_KEY,0)),0)</f>
        <v>1</v>
      </c>
      <c r="BT122" s="38">
        <f>IFERROR(INDEX(LMH_STEP,MATCH(AF122,LMH_KEY,0)),0)</f>
        <v>0</v>
      </c>
      <c r="BU122" s="38">
        <f>IFERROR(INDEX(LMH_STEP,MATCH(AG122,LMH_KEY,0)),0)</f>
        <v>0</v>
      </c>
      <c r="BV122" s="38">
        <f>IFERROR(INDEX(LMH_STEP,MATCH(AH122,LMH_KEY,0)),0)</f>
        <v>0</v>
      </c>
      <c r="BW122" s="38">
        <f>IFERROR(INDEX(LMH_STEP,MATCH(AI122,LMH_KEY,0)),0)</f>
        <v>0</v>
      </c>
      <c r="BX122" s="38">
        <f>IFERROR(INDEX(LMH_STEP,MATCH(AJ122,LMH_KEY,0)),0)</f>
        <v>0</v>
      </c>
      <c r="BY122" s="38">
        <f>IFERROR(INDEX(LMH_STEP,MATCH(AK122,LMH_KEY,0)),0)</f>
        <v>0</v>
      </c>
      <c r="BZ122" s="38">
        <f>IFERROR(INDEX(LMH_STEP,MATCH(AL122,LMH_KEY,0)),0)</f>
        <v>0</v>
      </c>
      <c r="CA122" s="38" t="inlineStr">
        <is>
          <t>CARBON|Functional|Senior Customer Success Specialist – POD Lead|B1|B-IC</t>
        </is>
      </c>
    </row>
    <row r="123" ht="110" customHeight="1">
      <c r="A123" s="28" t="inlineStr">
        <is>
          <t>CARBON</t>
        </is>
      </c>
      <c r="B123" s="29" t="inlineStr">
        <is>
          <t>Functional</t>
        </is>
      </c>
      <c r="C123" s="29" t="n">
        <v>5</v>
      </c>
      <c r="D123" s="29" t="inlineStr">
        <is>
          <t>IRIS2510</t>
        </is>
      </c>
      <c r="E123" s="29" t="inlineStr">
        <is>
          <t>Chirag Shah</t>
        </is>
      </c>
      <c r="F123" s="29" t="inlineStr">
        <is>
          <t>Functional Specialist</t>
        </is>
      </c>
      <c r="G123" s="29" t="inlineStr">
        <is>
          <t>Functional Specialist</t>
        </is>
      </c>
      <c r="H123" s="29" t="inlineStr">
        <is>
          <t>Solution Consulting &amp; Implementation</t>
        </is>
      </c>
      <c r="I123" s="29" t="inlineStr">
        <is>
          <t>Solution Consulting &amp; Implementation</t>
        </is>
      </c>
      <c r="J123" s="29" t="inlineStr">
        <is>
          <t>IC</t>
        </is>
      </c>
      <c r="K123" s="29" t="inlineStr">
        <is>
          <t>RC-173</t>
        </is>
      </c>
      <c r="L123" s="29" t="inlineStr">
        <is>
          <t>Aakanksha Swaminathan</t>
        </is>
      </c>
      <c r="M123" s="29" t="inlineStr">
        <is>
          <t>IRIS2372</t>
        </is>
      </c>
      <c r="N123" s="29" t="n">
        <v>4.4</v>
      </c>
      <c r="O123" s="29" t="n">
        <v>0.4</v>
      </c>
      <c r="P123" s="29" t="inlineStr">
        <is>
          <t>CA</t>
        </is>
      </c>
      <c r="Q123" s="29" t="inlineStr">
        <is>
          <t>L3 – Professional / Associate</t>
        </is>
      </c>
      <c r="R123" s="29" t="inlineStr">
        <is>
          <t>B1</t>
        </is>
      </c>
      <c r="S123" s="30" t="inlineStr">
        <is>
          <t>20 of 20</t>
        </is>
      </c>
      <c r="T123" s="31" t="inlineStr">
        <is>
          <t>• Role / sub-team: Functional — Functional Specialist.
• Core purpose: Understand client's reporting requirements, then showcase the Iris Carbon DM  platform to address their reporting needs. Explain all the features which will address the pain points faced by clients; To capture the clients needs and address their requirements so we can convert the lead …</t>
        </is>
      </c>
      <c r="U123" s="31" t="inlineStr">
        <is>
          <t>Received · manager annual · 1. Drive Mid-Market and SMB implementation projects on or before agreed timelines. --&gt; 100%
2. Maintain a high CSAT score during the onboarding/implementation phase. --&gt; 90%
3. Drive high active user adoption post go-live --&gt; % Users active at 15 days post go-live - ≥ 80%
4. "Have at least one formal strategic …</t>
        </is>
      </c>
      <c r="V123" s="31" t="inlineStr">
        <is>
          <t>Latest rating: 3 · Potential: Medium · 9-box: Core Contributor · Readiness: Develop in role</t>
        </is>
      </c>
      <c r="W123" s="31" t="inlineStr">
        <is>
          <t>C M · Au M · Ac M · L L · BI M · Exp H · 4.4 yrs vs 2–4 yrs · Edu H · CA</t>
        </is>
      </c>
      <c r="X123" s="33" t="inlineStr">
        <is>
          <t>Open ▸</t>
        </is>
      </c>
      <c r="Y123" s="34" t="str">
        <f>IFERROR(INDEX(DL_C,MATCH($CA123,DL_KEY,0)),"M")</f>
        <v>H</v>
      </c>
      <c r="Z123" s="35" t="str">
        <f>IFERROR(INDEX(DL_Au,MATCH($CA123,DL_KEY,0)),"M")</f>
        <v>M</v>
      </c>
      <c r="AA123" s="35" t="str">
        <f>IFERROR(INDEX(DL_Ac,MATCH($CA123,DL_KEY,0)),"M")</f>
        <v>M</v>
      </c>
      <c r="AB123" s="35" t="str">
        <f>IFERROR(INDEX(DL_L,MATCH($CA123,DL_KEY,0)),"M")</f>
        <v>L</v>
      </c>
      <c r="AC123" s="35" t="str">
        <f>IFERROR(INDEX(DL_BI,MATCH($CA123,DL_KEY,0)),"M")</f>
        <v>L</v>
      </c>
      <c r="AD123" s="35" t="str">
        <f>IFERROR(INDEX(DL_Exp,MATCH($CA123,DL_KEY,0)),"M")</f>
        <v>L</v>
      </c>
      <c r="AE123" s="35" t="str">
        <f>IFERROR(INDEX(DL_Edu,MATCH($CA123,DL_KEY,0)),"M")</f>
        <v>L</v>
      </c>
      <c r="AF123" s="34" t="inlineStr">
        <is>
          <t>M</t>
        </is>
      </c>
      <c r="AG123" s="35" t="inlineStr">
        <is>
          <t>M</t>
        </is>
      </c>
      <c r="AH123" s="35" t="inlineStr">
        <is>
          <t>M</t>
        </is>
      </c>
      <c r="AI123" s="35" t="inlineStr">
        <is>
          <t>M</t>
        </is>
      </c>
      <c r="AJ123" s="35" t="inlineStr">
        <is>
          <t>M</t>
        </is>
      </c>
      <c r="AK123" s="35" t="inlineStr">
        <is>
          <t>M</t>
        </is>
      </c>
      <c r="AL123" s="35" t="inlineStr">
        <is>
          <t>M</t>
        </is>
      </c>
      <c r="AM123" s="36" t="n">
        <v>0.583</v>
      </c>
      <c r="AN123" s="37" t="n">
        <v>0.16</v>
      </c>
      <c r="AO123" s="37" t="n">
        <v>0.09</v>
      </c>
      <c r="AP123" s="37" t="n">
        <v>0</v>
      </c>
      <c r="AQ123" s="37" t="n">
        <v>0.063</v>
      </c>
      <c r="AR123" s="37" t="n">
        <v>0.06</v>
      </c>
      <c r="AS123" s="37" t="n">
        <v>0.04</v>
      </c>
      <c r="AT123" s="38" t="inlineStr">
        <is>
          <t>2–5</t>
        </is>
      </c>
      <c r="AU123" s="38" t="inlineStr">
        <is>
          <t>Graduate; relevant certification preferred</t>
        </is>
      </c>
      <c r="AV123" s="38" t="inlineStr">
        <is>
          <t>None · guides 1–3 juniors informally</t>
        </is>
      </c>
      <c r="AW123" s="38" t="inlineStr">
        <is>
          <t>P2 · SFIA 3 Apply</t>
        </is>
      </c>
      <c r="AX12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23" s="39" t="inlineStr">
        <is>
          <t>A3</t>
        </is>
      </c>
      <c r="AZ123" s="40" t="inlineStr">
        <is>
          <t>Band A · Practitioner · Senior Associate</t>
        </is>
      </c>
      <c r="BA123" s="40" t="inlineStr">
        <is>
          <t>Model B1 from the six ratings, the market-derived weights and rules R1–R13 · then Level rule: manager B1; a reportee sits at least one level below · B1 → A3 · move down · pay and title protected for one cycle</t>
        </is>
      </c>
      <c r="BB123" s="41" t="inlineStr">
        <is>
          <t>B1</t>
        </is>
      </c>
      <c r="BC123" s="40" t="inlineStr">
        <is>
          <t>The six ratings on the market-average weights of Band A · all tracks score 3.60 → B1 · Hay, Mercer IPE and public plans · experience 4.4 yrs vs the B1 market range 4–8</t>
        </is>
      </c>
      <c r="BD123" s="42">
        <f>IF(SUM(BM123,BN123,BO123,BP123,BQ123,BR123,BS123)=0,0,(BM123*BT123+BN123*BU123+BO123*BV123+BP123*BW123+BQ123*BX123+BR123*BY123+BS123*BZ123)/SUM(BM123,BN123,BO123,BP123,BQ123,BR123,BS123))</f>
        <v>0</v>
      </c>
      <c r="BE123" s="41" t="str">
        <f>IF(LEFT(AY123,1)="X",AY123,IF(OR(AY123="B+",AY123="C+"),INDEX(LAD_PC,MAX(1,MIN(14,MATCH(AY123,LAD_PC,0)+IF(BD123&gt;=0.5,1,IF(BD123&lt;=-0.5,-1,0))))),INDEX(LAD_STD,MAX(1,MIN(12,MATCH(AY123,LAD_STD,0)+IF(BD123&gt;=0.5,1,IF(BD123&lt;=-0.5,-1,0)))))))</f>
        <v>A3</v>
      </c>
      <c r="BF123" s="43" t="n"/>
      <c r="BG123" s="41" t="str">
        <f>IF(BF123&lt;&gt;"",BF123,BE123)</f>
        <v>A3</v>
      </c>
      <c r="BH123" s="40" t="str">
        <f>IFERROR(CHOOSE(INDEX(B_RANK,MATCH(BG123,B_LVL,0)),"Band A","Band B","B+ · Player-Coach","Band C","C+ · Player-Coach","Band D","Band E"),"Band X · Consultant")</f>
        <v>Band A</v>
      </c>
      <c r="BI123" s="40" t="str">
        <f>IF(BG123=AY123,"• Same",IF(INDEX(B_VAL,MATCH(BG123,B_LVL,0))&gt;INDEX(B_VAL,MATCH(AY123,B_LVL,0)),"▲ Up","▼ Down"))</f>
        <v>• Same</v>
      </c>
      <c r="BJ123" s="40" t="str">
        <f>IF(OR($M123="",$M123="—",$M123="Not in this file"),"",IFERROR(INDEX($BG$7:$BG$592,MATCH($M123,$D$7:$D$592,0)),""))</f>
        <v>B1</v>
      </c>
      <c r="BK123" s="40" t="str">
        <f>IFERROR(IF(BJ123="","—",IF(OR(LEFT(BG123,1)="X",LEFT(BJ123,1)="X"),"—",IF(AND(LEFT(BG123,1)="E",LEFT(BJ123,1)="E"),"Exception · Band E",IF(AND(INDEX(B_VAL,MATCH(BJ123,B_LVL,0))&gt;=7,INDEX(B_RANK,MATCH(BG123,B_LVL,0))&gt;=INDEX(B_RANK,MATCH(BJ123,B_LVL,0))),"⚠ Same band as a head manager",IF(INDEX(B_VAL,MATCH(BG123,B_LVL,0))&gt;=INDEX(B_VAL,MATCH(BJ123,B_LVL,0)),"⚠ At or above the manager's level","OK"))))),"—")</f>
        <v>OK</v>
      </c>
      <c r="BL123" s="43" t="n"/>
      <c r="BM123" s="44">
        <f>IFERROR(INDEX(LMH_PTS,MATCH(Y123,LMH_KEY,0)),0)</f>
        <v>9</v>
      </c>
      <c r="BN123" s="38">
        <f>IFERROR(INDEX(LMH_PTS,MATCH(Z123,LMH_KEY,0)),0)</f>
        <v>3</v>
      </c>
      <c r="BO123" s="38">
        <f>IFERROR(INDEX(LMH_PTS,MATCH(AA123,LMH_KEY,0)),0)</f>
        <v>3</v>
      </c>
      <c r="BP123" s="38">
        <f>IFERROR(INDEX(LMH_PTS,MATCH(AB123,LMH_KEY,0)),0)</f>
        <v>1</v>
      </c>
      <c r="BQ123" s="38">
        <f>IFERROR(INDEX(LMH_PTS,MATCH(AC123,LMH_KEY,0)),0)</f>
        <v>1</v>
      </c>
      <c r="BR123" s="38">
        <f>IFERROR(INDEX(LMH_PTS,MATCH(AD123,LMH_KEY,0)),0)</f>
        <v>1</v>
      </c>
      <c r="BS123" s="38">
        <f>IFERROR(INDEX(LMH_PTS,MATCH(AE123,LMH_KEY,0)),0)</f>
        <v>1</v>
      </c>
      <c r="BT123" s="38">
        <f>IFERROR(INDEX(LMH_STEP,MATCH(AF123,LMH_KEY,0)),0)</f>
        <v>0</v>
      </c>
      <c r="BU123" s="38">
        <f>IFERROR(INDEX(LMH_STEP,MATCH(AG123,LMH_KEY,0)),0)</f>
        <v>0</v>
      </c>
      <c r="BV123" s="38">
        <f>IFERROR(INDEX(LMH_STEP,MATCH(AH123,LMH_KEY,0)),0)</f>
        <v>0</v>
      </c>
      <c r="BW123" s="38">
        <f>IFERROR(INDEX(LMH_STEP,MATCH(AI123,LMH_KEY,0)),0)</f>
        <v>0</v>
      </c>
      <c r="BX123" s="38">
        <f>IFERROR(INDEX(LMH_STEP,MATCH(AJ123,LMH_KEY,0)),0)</f>
        <v>0</v>
      </c>
      <c r="BY123" s="38">
        <f>IFERROR(INDEX(LMH_STEP,MATCH(AK123,LMH_KEY,0)),0)</f>
        <v>0</v>
      </c>
      <c r="BZ123" s="38">
        <f>IFERROR(INDEX(LMH_STEP,MATCH(AL123,LMH_KEY,0)),0)</f>
        <v>0</v>
      </c>
      <c r="CA123" s="38" t="inlineStr">
        <is>
          <t>CARBON|Functional|Functional Specialist|A3|A</t>
        </is>
      </c>
    </row>
    <row r="124" ht="110" customHeight="1">
      <c r="A124" s="28" t="inlineStr">
        <is>
          <t>CARBON</t>
        </is>
      </c>
      <c r="B124" s="29" t="inlineStr">
        <is>
          <t>Marketing</t>
        </is>
      </c>
      <c r="C124" s="29" t="n">
        <v>5</v>
      </c>
      <c r="D124" s="29" t="inlineStr">
        <is>
          <t>IRIS2515</t>
        </is>
      </c>
      <c r="E124" s="29" t="inlineStr">
        <is>
          <t>Aashima Singh</t>
        </is>
      </c>
      <c r="F124" s="29" t="inlineStr">
        <is>
          <t>Marketing Associate</t>
        </is>
      </c>
      <c r="G124" s="29" t="inlineStr">
        <is>
          <t>Marketing Associate</t>
        </is>
      </c>
      <c r="H124" s="29" t="inlineStr">
        <is>
          <t>Marketing &amp; Communications</t>
        </is>
      </c>
      <c r="I124" s="29" t="inlineStr">
        <is>
          <t>Demand Generation, Brand &amp; Events</t>
        </is>
      </c>
      <c r="J124" s="29" t="inlineStr">
        <is>
          <t>IC</t>
        </is>
      </c>
      <c r="K124" s="29" t="inlineStr">
        <is>
          <t>RC-114</t>
        </is>
      </c>
      <c r="L124" s="29" t="inlineStr">
        <is>
          <t>Aakanksha Swaminathan</t>
        </is>
      </c>
      <c r="M124" s="29" t="inlineStr">
        <is>
          <t>IRIS2372</t>
        </is>
      </c>
      <c r="N124" s="29" t="n">
        <v>0.4</v>
      </c>
      <c r="O124" s="29" t="n">
        <v>0.4</v>
      </c>
      <c r="P124" s="29" t="inlineStr">
        <is>
          <t>MBA</t>
        </is>
      </c>
      <c r="Q124" s="29" t="inlineStr">
        <is>
          <t>L3 – Professional / Associate</t>
        </is>
      </c>
      <c r="R124" s="29" t="inlineStr">
        <is>
          <t>A2</t>
        </is>
      </c>
      <c r="S124" s="30" t="inlineStr">
        <is>
          <t>19 of 20</t>
        </is>
      </c>
      <c r="T124" s="31" t="inlineStr">
        <is>
          <t>• Role / sub-team: Functional — Marketing Associate.
• Core purpose: Drive IRIS's go-to-market growth by continuously scouting new market/regulatory opportunities and converting that intelligence into concrete GTM initiatives and outreach.
• Decision-making autonomy: Can independently strategy development.
• Is this something only they do: Only my team.
• …</t>
        </is>
      </c>
      <c r="U124" s="31" t="inlineStr">
        <is>
          <t>Received · manager annual · 1. Deliver committed marketing/content calendar with &gt;=90% on-time publishing
2. Meet campaign KPIs · leads/MQLs/engagement at &gt;=90% of targets
3. Grow owned channel metric · traffic / followers / engagement by &gt;=15%
4. Keep creative/content rework cycles to &lt;=2 per deliverable on average
5. Support sales with …</t>
        </is>
      </c>
      <c r="V124" s="31" t="inlineStr">
        <is>
          <t>Latest rating: 3 · Potential: Medium · 9-box: Core Contributor · Readiness: Develop in role</t>
        </is>
      </c>
      <c r="W124" s="31" t="inlineStr">
        <is>
          <t>C M · Au M · Ac M · L M · BI M · Exp M · 0.4 yrs vs 0–2 yrs · Edu H · MBA</t>
        </is>
      </c>
      <c r="X124" s="33" t="inlineStr">
        <is>
          <t>Open ▸</t>
        </is>
      </c>
      <c r="Y124" s="34" t="str">
        <f>IFERROR(INDEX(DL_C,MATCH($CA124,DL_KEY,0)),"M")</f>
        <v>H</v>
      </c>
      <c r="Z124" s="35" t="str">
        <f>IFERROR(INDEX(DL_Au,MATCH($CA124,DL_KEY,0)),"M")</f>
        <v>M</v>
      </c>
      <c r="AA124" s="35" t="str">
        <f>IFERROR(INDEX(DL_Ac,MATCH($CA124,DL_KEY,0)),"M")</f>
        <v>L</v>
      </c>
      <c r="AB124" s="35" t="str">
        <f>IFERROR(INDEX(DL_L,MATCH($CA124,DL_KEY,0)),"M")</f>
        <v>L</v>
      </c>
      <c r="AC124" s="35" t="str">
        <f>IFERROR(INDEX(DL_BI,MATCH($CA124,DL_KEY,0)),"M")</f>
        <v>M</v>
      </c>
      <c r="AD124" s="35" t="str">
        <f>IFERROR(INDEX(DL_Exp,MATCH($CA124,DL_KEY,0)),"M")</f>
        <v>L</v>
      </c>
      <c r="AE124" s="35" t="str">
        <f>IFERROR(INDEX(DL_Edu,MATCH($CA124,DL_KEY,0)),"M")</f>
        <v>L</v>
      </c>
      <c r="AF124" s="34" t="inlineStr">
        <is>
          <t>M</t>
        </is>
      </c>
      <c r="AG124" s="35" t="inlineStr">
        <is>
          <t>M</t>
        </is>
      </c>
      <c r="AH124" s="35" t="inlineStr">
        <is>
          <t>M</t>
        </is>
      </c>
      <c r="AI124" s="35" t="inlineStr">
        <is>
          <t>M</t>
        </is>
      </c>
      <c r="AJ124" s="35" t="inlineStr">
        <is>
          <t>M</t>
        </is>
      </c>
      <c r="AK124" s="35" t="inlineStr">
        <is>
          <t>M</t>
        </is>
      </c>
      <c r="AL124" s="35" t="inlineStr">
        <is>
          <t>M</t>
        </is>
      </c>
      <c r="AM124" s="36" t="n">
        <v>0.583</v>
      </c>
      <c r="AN124" s="37" t="n">
        <v>0.16</v>
      </c>
      <c r="AO124" s="37" t="n">
        <v>0.09</v>
      </c>
      <c r="AP124" s="37" t="n">
        <v>0</v>
      </c>
      <c r="AQ124" s="37" t="n">
        <v>0.063</v>
      </c>
      <c r="AR124" s="37" t="n">
        <v>0.06</v>
      </c>
      <c r="AS124" s="37" t="n">
        <v>0.04</v>
      </c>
      <c r="AT124" s="38" t="inlineStr">
        <is>
          <t>0–3</t>
        </is>
      </c>
      <c r="AU124" s="38" t="inlineStr">
        <is>
          <t>Graduate · or diploma with experience</t>
        </is>
      </c>
      <c r="AV124" s="38" t="inlineStr">
        <is>
          <t>No direct reports</t>
        </is>
      </c>
      <c r="AW124" s="38" t="inlineStr">
        <is>
          <t>P1–P2 · SFIA 2 Assist</t>
        </is>
      </c>
      <c r="AX12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24" s="39" t="inlineStr">
        <is>
          <t>A2</t>
        </is>
      </c>
      <c r="AZ124" s="40" t="inlineStr">
        <is>
          <t>Band A · Practitioner · Associate</t>
        </is>
      </c>
      <c r="BA124" s="40" t="inlineStr">
        <is>
          <t>Model A2 from the six ratings, the market-derived weights and rules R1–R13 · then No change · already below the manager</t>
        </is>
      </c>
      <c r="BB124" s="41" t="inlineStr">
        <is>
          <t>A2</t>
        </is>
      </c>
      <c r="BC124" s="40" t="inlineStr">
        <is>
          <t>The six ratings on the market-average weights of Band A · all tracks score 2.29 → A2 · Hay, Mercer IPE and public plans · experience 0.4 yrs vs the A2 market range 0–3</t>
        </is>
      </c>
      <c r="BD124" s="42">
        <f>IF(SUM(BM124,BN124,BO124,BP124,BQ124,BR124,BS124)=0,0,(BM124*BT124+BN124*BU124+BO124*BV124+BP124*BW124+BQ124*BX124+BR124*BY124+BS124*BZ124)/SUM(BM124,BN124,BO124,BP124,BQ124,BR124,BS124))</f>
        <v>0</v>
      </c>
      <c r="BE124" s="41" t="str">
        <f>IF(LEFT(AY124,1)="X",AY124,IF(OR(AY124="B+",AY124="C+"),INDEX(LAD_PC,MAX(1,MIN(14,MATCH(AY124,LAD_PC,0)+IF(BD124&gt;=0.5,1,IF(BD124&lt;=-0.5,-1,0))))),INDEX(LAD_STD,MAX(1,MIN(12,MATCH(AY124,LAD_STD,0)+IF(BD124&gt;=0.5,1,IF(BD124&lt;=-0.5,-1,0)))))))</f>
        <v>A2</v>
      </c>
      <c r="BF124" s="43" t="n"/>
      <c r="BG124" s="41" t="str">
        <f>IF(BF124&lt;&gt;"",BF124,BE124)</f>
        <v>A2</v>
      </c>
      <c r="BH124" s="40" t="str">
        <f>IFERROR(CHOOSE(INDEX(B_RANK,MATCH(BG124,B_LVL,0)),"Band A","Band B","B+ · Player-Coach","Band C","C+ · Player-Coach","Band D","Band E"),"Band X · Consultant")</f>
        <v>Band A</v>
      </c>
      <c r="BI124" s="40" t="str">
        <f>IF(BG124=AY124,"• Same",IF(INDEX(B_VAL,MATCH(BG124,B_LVL,0))&gt;INDEX(B_VAL,MATCH(AY124,B_LVL,0)),"▲ Up","▼ Down"))</f>
        <v>• Same</v>
      </c>
      <c r="BJ124" s="40" t="str">
        <f>IF(OR($M124="",$M124="—",$M124="Not in this file"),"",IFERROR(INDEX($BG$7:$BG$592,MATCH($M124,$D$7:$D$592,0)),""))</f>
        <v>B1</v>
      </c>
      <c r="BK124" s="40" t="str">
        <f>IFERROR(IF(BJ124="","—",IF(OR(LEFT(BG124,1)="X",LEFT(BJ124,1)="X"),"—",IF(AND(LEFT(BG124,1)="E",LEFT(BJ124,1)="E"),"Exception · Band E",IF(AND(INDEX(B_VAL,MATCH(BJ124,B_LVL,0))&gt;=7,INDEX(B_RANK,MATCH(BG124,B_LVL,0))&gt;=INDEX(B_RANK,MATCH(BJ124,B_LVL,0))),"⚠ Same band as a head manager",IF(INDEX(B_VAL,MATCH(BG124,B_LVL,0))&gt;=INDEX(B_VAL,MATCH(BJ124,B_LVL,0)),"⚠ At or above the manager's level","OK"))))),"—")</f>
        <v>OK</v>
      </c>
      <c r="BL124" s="43" t="n"/>
      <c r="BM124" s="44">
        <f>IFERROR(INDEX(LMH_PTS,MATCH(Y124,LMH_KEY,0)),0)</f>
        <v>9</v>
      </c>
      <c r="BN124" s="38">
        <f>IFERROR(INDEX(LMH_PTS,MATCH(Z124,LMH_KEY,0)),0)</f>
        <v>3</v>
      </c>
      <c r="BO124" s="38">
        <f>IFERROR(INDEX(LMH_PTS,MATCH(AA124,LMH_KEY,0)),0)</f>
        <v>1</v>
      </c>
      <c r="BP124" s="38">
        <f>IFERROR(INDEX(LMH_PTS,MATCH(AB124,LMH_KEY,0)),0)</f>
        <v>1</v>
      </c>
      <c r="BQ124" s="38">
        <f>IFERROR(INDEX(LMH_PTS,MATCH(AC124,LMH_KEY,0)),0)</f>
        <v>3</v>
      </c>
      <c r="BR124" s="38">
        <f>IFERROR(INDEX(LMH_PTS,MATCH(AD124,LMH_KEY,0)),0)</f>
        <v>1</v>
      </c>
      <c r="BS124" s="38">
        <f>IFERROR(INDEX(LMH_PTS,MATCH(AE124,LMH_KEY,0)),0)</f>
        <v>1</v>
      </c>
      <c r="BT124" s="38">
        <f>IFERROR(INDEX(LMH_STEP,MATCH(AF124,LMH_KEY,0)),0)</f>
        <v>0</v>
      </c>
      <c r="BU124" s="38">
        <f>IFERROR(INDEX(LMH_STEP,MATCH(AG124,LMH_KEY,0)),0)</f>
        <v>0</v>
      </c>
      <c r="BV124" s="38">
        <f>IFERROR(INDEX(LMH_STEP,MATCH(AH124,LMH_KEY,0)),0)</f>
        <v>0</v>
      </c>
      <c r="BW124" s="38">
        <f>IFERROR(INDEX(LMH_STEP,MATCH(AI124,LMH_KEY,0)),0)</f>
        <v>0</v>
      </c>
      <c r="BX124" s="38">
        <f>IFERROR(INDEX(LMH_STEP,MATCH(AJ124,LMH_KEY,0)),0)</f>
        <v>0</v>
      </c>
      <c r="BY124" s="38">
        <f>IFERROR(INDEX(LMH_STEP,MATCH(AK124,LMH_KEY,0)),0)</f>
        <v>0</v>
      </c>
      <c r="BZ124" s="38">
        <f>IFERROR(INDEX(LMH_STEP,MATCH(AL124,LMH_KEY,0)),0)</f>
        <v>0</v>
      </c>
      <c r="CA124" s="38" t="inlineStr">
        <is>
          <t>CARBON|Marketing|Marketing Associate|A2|A</t>
        </is>
      </c>
    </row>
    <row r="125" ht="110" customHeight="1">
      <c r="A125" s="28" t="inlineStr">
        <is>
          <t>CARBON</t>
        </is>
      </c>
      <c r="B125" s="29" t="inlineStr">
        <is>
          <t>Functional</t>
        </is>
      </c>
      <c r="C125" s="29" t="n">
        <v>4</v>
      </c>
      <c r="D125" s="29" t="inlineStr">
        <is>
          <t>IRIS2344</t>
        </is>
      </c>
      <c r="E125" s="29" t="inlineStr">
        <is>
          <t>Medha Ganti</t>
        </is>
      </c>
      <c r="F125" s="29" t="inlineStr">
        <is>
          <t>Functional Specialist</t>
        </is>
      </c>
      <c r="G125" s="29" t="inlineStr">
        <is>
          <t>Associate Product Manager – POD Lead</t>
        </is>
      </c>
      <c r="H125" s="29" t="inlineStr">
        <is>
          <t>Product Management</t>
        </is>
      </c>
      <c r="I125" s="29" t="inlineStr">
        <is>
          <t>Product Management</t>
        </is>
      </c>
      <c r="J125" s="29" t="inlineStr">
        <is>
          <t>POD Lead</t>
        </is>
      </c>
      <c r="K125" s="29" t="inlineStr">
        <is>
          <t>RC-125</t>
        </is>
      </c>
      <c r="L125" s="29" t="inlineStr">
        <is>
          <t>Suman Adhikary</t>
        </is>
      </c>
      <c r="M125" s="29" t="inlineStr">
        <is>
          <t>IRIS2359</t>
        </is>
      </c>
      <c r="N125" s="29" t="n">
        <v>5.6</v>
      </c>
      <c r="O125" s="29" t="n">
        <v>1.6</v>
      </c>
      <c r="P125" s="29" t="inlineStr">
        <is>
          <t>CA</t>
        </is>
      </c>
      <c r="Q125" s="29" t="inlineStr">
        <is>
          <t>L3 – Professional / Associate</t>
        </is>
      </c>
      <c r="R125" s="29" t="inlineStr">
        <is>
          <t>B1</t>
        </is>
      </c>
      <c r="S125" s="30" t="inlineStr">
        <is>
          <t>20 of 20</t>
        </is>
      </c>
      <c r="T125" s="31" t="inlineStr">
        <is>
          <t>Complexity: Evidence reads like B1: Product roadmap planning, end-to-end RFP management, competitive intelligence, demos and POCs → matches the start
Autonomy: Evidence reads like B1: Decides RFP answers, demo flow and competitive research priorities → matches the start
Accountability: Evidence reads like B1: own survey / KRA answers · summarised by the …</t>
        </is>
      </c>
      <c r="U125" s="31" t="inlineStr">
        <is>
          <t>Received · manager annual · 1. Complete Enterprise implementation projects e.g. Petrobras on or before agreed timelines. Also define, institutionalize and take back Northstar metrics back to product 
2. The roadmap around "Applied AI" should be tied to measurable business outcomes in terms of  revenue contribution · New Gross ARR Target or …</t>
        </is>
      </c>
      <c r="V125" s="31" t="inlineStr">
        <is>
          <t>Latest rating: 3 · Potential: Medium · 9-box: High Impact / Growth Talent · Readiness: Develop in role</t>
        </is>
      </c>
      <c r="W125" s="31" t="inlineStr">
        <is>
          <t>C M · Au M · Ac M · L L · BI M · Exp M · 5.6 yrs vs 4–7 yrs · Edu H · CA</t>
        </is>
      </c>
      <c r="X125" s="33" t="inlineStr">
        <is>
          <t>Open ▸</t>
        </is>
      </c>
      <c r="Y125" s="34" t="str">
        <f>IFERROR(INDEX(DL_C,MATCH($CA125,DL_KEY,0)),"M")</f>
        <v>H</v>
      </c>
      <c r="Z125" s="35" t="str">
        <f>IFERROR(INDEX(DL_Au,MATCH($CA125,DL_KEY,0)),"M")</f>
        <v>M</v>
      </c>
      <c r="AA125" s="35" t="str">
        <f>IFERROR(INDEX(DL_Ac,MATCH($CA125,DL_KEY,0)),"M")</f>
        <v>M</v>
      </c>
      <c r="AB125" s="35" t="str">
        <f>IFERROR(INDEX(DL_L,MATCH($CA125,DL_KEY,0)),"M")</f>
        <v>L</v>
      </c>
      <c r="AC125" s="35" t="str">
        <f>IFERROR(INDEX(DL_BI,MATCH($CA125,DL_KEY,0)),"M")</f>
        <v>L</v>
      </c>
      <c r="AD125" s="35" t="str">
        <f>IFERROR(INDEX(DL_Exp,MATCH($CA125,DL_KEY,0)),"M")</f>
        <v>L</v>
      </c>
      <c r="AE125" s="35" t="str">
        <f>IFERROR(INDEX(DL_Edu,MATCH($CA125,DL_KEY,0)),"M")</f>
        <v>L</v>
      </c>
      <c r="AF125" s="34" t="inlineStr">
        <is>
          <t>M</t>
        </is>
      </c>
      <c r="AG125" s="35" t="inlineStr">
        <is>
          <t>M</t>
        </is>
      </c>
      <c r="AH125" s="35" t="inlineStr">
        <is>
          <t>M</t>
        </is>
      </c>
      <c r="AI125" s="35" t="inlineStr">
        <is>
          <t>M</t>
        </is>
      </c>
      <c r="AJ125" s="35" t="inlineStr">
        <is>
          <t>M</t>
        </is>
      </c>
      <c r="AK125" s="35" t="inlineStr">
        <is>
          <t>M</t>
        </is>
      </c>
      <c r="AL125" s="35" t="inlineStr">
        <is>
          <t>M</t>
        </is>
      </c>
      <c r="AM125" s="36" t="n">
        <v>0.513</v>
      </c>
      <c r="AN125" s="37" t="n">
        <v>0.173</v>
      </c>
      <c r="AO125" s="37" t="n">
        <v>0.09699999999999999</v>
      </c>
      <c r="AP125" s="37" t="n">
        <v>0.05</v>
      </c>
      <c r="AQ125" s="37" t="n">
        <v>0.07000000000000001</v>
      </c>
      <c r="AR125" s="37" t="n">
        <v>0.06</v>
      </c>
      <c r="AS125" s="37" t="n">
        <v>0.04</v>
      </c>
      <c r="AT125" s="38" t="inlineStr">
        <is>
          <t>4–8</t>
        </is>
      </c>
      <c r="AU125" s="38" t="inlineStr">
        <is>
          <t>Graduate + relevant qualification or certification preferred</t>
        </is>
      </c>
      <c r="AV125" s="38" t="inlineStr">
        <is>
          <t>IC: none · Team Lead: 3–5</t>
        </is>
      </c>
      <c r="AW125" s="38" t="inlineStr">
        <is>
          <t>P3 / M2 · SFIA 4 Enable</t>
        </is>
      </c>
      <c r="AX12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25" s="39" t="inlineStr">
        <is>
          <t>B1</t>
        </is>
      </c>
      <c r="AZ125" s="40" t="inlineStr">
        <is>
          <t>Band B · Specialist / Manager · Team Lead / Asst Manager</t>
        </is>
      </c>
      <c r="BA125" s="40" t="inlineStr">
        <is>
          <t>Model B1 from the six ratings, the market-derived weights and rules R1–R13 · then No change · already below the manager</t>
        </is>
      </c>
      <c r="BB125" s="41" t="inlineStr">
        <is>
          <t>B1</t>
        </is>
      </c>
      <c r="BC125" s="40" t="inlineStr">
        <is>
          <t>The six ratings on the market-average weights of Band B · Specialist / POD Lead score 4.08 → B1 · Hay, Mercer IPE and public plans · experience 5.6 yrs vs the B1 market range 4–8</t>
        </is>
      </c>
      <c r="BD125" s="42">
        <f>IF(SUM(BM125,BN125,BO125,BP125,BQ125,BR125,BS125)=0,0,(BM125*BT125+BN125*BU125+BO125*BV125+BP125*BW125+BQ125*BX125+BR125*BY125+BS125*BZ125)/SUM(BM125,BN125,BO125,BP125,BQ125,BR125,BS125))</f>
        <v>0</v>
      </c>
      <c r="BE125" s="41" t="str">
        <f>IF(LEFT(AY125,1)="X",AY125,IF(OR(AY125="B+",AY125="C+"),INDEX(LAD_PC,MAX(1,MIN(14,MATCH(AY125,LAD_PC,0)+IF(BD125&gt;=0.5,1,IF(BD125&lt;=-0.5,-1,0))))),INDEX(LAD_STD,MAX(1,MIN(12,MATCH(AY125,LAD_STD,0)+IF(BD125&gt;=0.5,1,IF(BD125&lt;=-0.5,-1,0)))))))</f>
        <v>B1</v>
      </c>
      <c r="BF125" s="43" t="n"/>
      <c r="BG125" s="41" t="str">
        <f>IF(BF125&lt;&gt;"",BF125,BE125)</f>
        <v>B1</v>
      </c>
      <c r="BH125" s="40" t="str">
        <f>IFERROR(CHOOSE(INDEX(B_RANK,MATCH(BG125,B_LVL,0)),"Band A","Band B","B+ · Player-Coach","Band C","C+ · Player-Coach","Band D","Band E"),"Band X · Consultant")</f>
        <v>Band B</v>
      </c>
      <c r="BI125" s="40" t="str">
        <f>IF(BG125=AY125,"• Same",IF(INDEX(B_VAL,MATCH(BG125,B_LVL,0))&gt;INDEX(B_VAL,MATCH(AY125,B_LVL,0)),"▲ Up","▼ Down"))</f>
        <v>• Same</v>
      </c>
      <c r="BJ125" s="40" t="str">
        <f>IF(OR($M125="",$M125="—",$M125="Not in this file"),"",IFERROR(INDEX($BG$7:$BG$592,MATCH($M125,$D$7:$D$592,0)),""))</f>
        <v>C2</v>
      </c>
      <c r="BK125" s="40" t="str">
        <f>IFERROR(IF(BJ125="","—",IF(OR(LEFT(BG125,1)="X",LEFT(BJ125,1)="X"),"—",IF(AND(LEFT(BG125,1)="E",LEFT(BJ125,1)="E"),"Exception · Band E",IF(AND(INDEX(B_VAL,MATCH(BJ125,B_LVL,0))&gt;=7,INDEX(B_RANK,MATCH(BG125,B_LVL,0))&gt;=INDEX(B_RANK,MATCH(BJ125,B_LVL,0))),"⚠ Same band as a head manager",IF(INDEX(B_VAL,MATCH(BG125,B_LVL,0))&gt;=INDEX(B_VAL,MATCH(BJ125,B_LVL,0)),"⚠ At or above the manager's level","OK"))))),"—")</f>
        <v>OK</v>
      </c>
      <c r="BL125" s="43" t="n"/>
      <c r="BM125" s="44">
        <f>IFERROR(INDEX(LMH_PTS,MATCH(Y125,LMH_KEY,0)),0)</f>
        <v>9</v>
      </c>
      <c r="BN125" s="38">
        <f>IFERROR(INDEX(LMH_PTS,MATCH(Z125,LMH_KEY,0)),0)</f>
        <v>3</v>
      </c>
      <c r="BO125" s="38">
        <f>IFERROR(INDEX(LMH_PTS,MATCH(AA125,LMH_KEY,0)),0)</f>
        <v>3</v>
      </c>
      <c r="BP125" s="38">
        <f>IFERROR(INDEX(LMH_PTS,MATCH(AB125,LMH_KEY,0)),0)</f>
        <v>1</v>
      </c>
      <c r="BQ125" s="38">
        <f>IFERROR(INDEX(LMH_PTS,MATCH(AC125,LMH_KEY,0)),0)</f>
        <v>1</v>
      </c>
      <c r="BR125" s="38">
        <f>IFERROR(INDEX(LMH_PTS,MATCH(AD125,LMH_KEY,0)),0)</f>
        <v>1</v>
      </c>
      <c r="BS125" s="38">
        <f>IFERROR(INDEX(LMH_PTS,MATCH(AE125,LMH_KEY,0)),0)</f>
        <v>1</v>
      </c>
      <c r="BT125" s="38">
        <f>IFERROR(INDEX(LMH_STEP,MATCH(AF125,LMH_KEY,0)),0)</f>
        <v>0</v>
      </c>
      <c r="BU125" s="38">
        <f>IFERROR(INDEX(LMH_STEP,MATCH(AG125,LMH_KEY,0)),0)</f>
        <v>0</v>
      </c>
      <c r="BV125" s="38">
        <f>IFERROR(INDEX(LMH_STEP,MATCH(AH125,LMH_KEY,0)),0)</f>
        <v>0</v>
      </c>
      <c r="BW125" s="38">
        <f>IFERROR(INDEX(LMH_STEP,MATCH(AI125,LMH_KEY,0)),0)</f>
        <v>0</v>
      </c>
      <c r="BX125" s="38">
        <f>IFERROR(INDEX(LMH_STEP,MATCH(AJ125,LMH_KEY,0)),0)</f>
        <v>0</v>
      </c>
      <c r="BY125" s="38">
        <f>IFERROR(INDEX(LMH_STEP,MATCH(AK125,LMH_KEY,0)),0)</f>
        <v>0</v>
      </c>
      <c r="BZ125" s="38">
        <f>IFERROR(INDEX(LMH_STEP,MATCH(AL125,LMH_KEY,0)),0)</f>
        <v>0</v>
      </c>
      <c r="CA125" s="38" t="inlineStr">
        <is>
          <t>CARBON|Functional|Associate Product Manager – POD Lead|B1|B-IC</t>
        </is>
      </c>
    </row>
    <row r="126" ht="110" customHeight="1">
      <c r="A126" s="28" t="inlineStr">
        <is>
          <t>CARBON</t>
        </is>
      </c>
      <c r="B126" s="29" t="inlineStr">
        <is>
          <t>Sales</t>
        </is>
      </c>
      <c r="C126" s="29" t="n">
        <v>5</v>
      </c>
      <c r="D126" s="29" t="inlineStr">
        <is>
          <t>IRIS2308</t>
        </is>
      </c>
      <c r="E126" s="29" t="inlineStr">
        <is>
          <t>Smriti Priya</t>
        </is>
      </c>
      <c r="F126" s="29" t="inlineStr">
        <is>
          <t>Senior Analyst, Strategy and Operations</t>
        </is>
      </c>
      <c r="G126" s="29" t="inlineStr">
        <is>
          <t>Senior Sales Operations Analyst</t>
        </is>
      </c>
      <c r="H126" s="29" t="inlineStr">
        <is>
          <t>Sales &amp; Business Development</t>
        </is>
      </c>
      <c r="I126" s="29" t="inlineStr">
        <is>
          <t>Bids, RFP &amp; Sales Operations</t>
        </is>
      </c>
      <c r="J126" s="29" t="inlineStr">
        <is>
          <t>IC</t>
        </is>
      </c>
      <c r="K126" s="29" t="inlineStr">
        <is>
          <t>RC-149</t>
        </is>
      </c>
      <c r="L126" s="29" t="inlineStr">
        <is>
          <t>Medha Ganti</t>
        </is>
      </c>
      <c r="M126" s="29" t="inlineStr">
        <is>
          <t>IRIS2344</t>
        </is>
      </c>
      <c r="N126" s="29" t="n">
        <v>4</v>
      </c>
      <c r="O126" s="29" t="n">
        <v>2</v>
      </c>
      <c r="P126" s="29" t="inlineStr">
        <is>
          <t>MBA</t>
        </is>
      </c>
      <c r="Q126" s="29" t="inlineStr">
        <is>
          <t>L4 – Senior</t>
        </is>
      </c>
      <c r="R126" s="29" t="inlineStr">
        <is>
          <t>A3</t>
        </is>
      </c>
      <c r="S126" s="30" t="inlineStr">
        <is>
          <t>20 of 20</t>
        </is>
      </c>
      <c r="T126" s="31" t="inlineStr">
        <is>
          <t>Streamline and support the sales process by coordinating cross-functional inputs, managing RFPs/tenders and commercial requirements, and ensuring timely, accurate execution.; RFP Tracking Response consolidation Process Improvement Deadline Management</t>
        </is>
      </c>
      <c r="U126" s="31" t="inlineStr">
        <is>
          <t>Received · manager annual · 1. Achieve assigned annual sales / revenue quota · target: 100% of number
2. Build and maintain qualified pipeline of &gt;=3x quota coverage
3. Maintain healthy win rate · &gt;=20% on qualified opportunities
4. Keep CRM hygiene at 100% · all opportunities &amp; activities logged &amp; current
5. Drive new logo acquisition: meet …</t>
        </is>
      </c>
      <c r="V126" s="31" t="inlineStr">
        <is>
          <t>Latest rating: 3 · Potential: Low · 9-box: Reliable Specialist · Readiness: Develop in role</t>
        </is>
      </c>
      <c r="W126" s="31" t="inlineStr">
        <is>
          <t>C M · Au M · Ac M · L L · BI M · Exp M · 4 yrs vs 2–4 yrs · Edu H · MBA</t>
        </is>
      </c>
      <c r="X126" s="33" t="inlineStr">
        <is>
          <t>Open ▸</t>
        </is>
      </c>
      <c r="Y126" s="34" t="str">
        <f>IFERROR(INDEX(DL_C,MATCH($CA126,DL_KEY,0)),"M")</f>
        <v>H</v>
      </c>
      <c r="Z126" s="35" t="str">
        <f>IFERROR(INDEX(DL_Au,MATCH($CA126,DL_KEY,0)),"M")</f>
        <v>M</v>
      </c>
      <c r="AA126" s="35" t="str">
        <f>IFERROR(INDEX(DL_Ac,MATCH($CA126,DL_KEY,0)),"M")</f>
        <v>L</v>
      </c>
      <c r="AB126" s="35" t="str">
        <f>IFERROR(INDEX(DL_L,MATCH($CA126,DL_KEY,0)),"M")</f>
        <v>L</v>
      </c>
      <c r="AC126" s="35" t="str">
        <f>IFERROR(INDEX(DL_BI,MATCH($CA126,DL_KEY,0)),"M")</f>
        <v>M</v>
      </c>
      <c r="AD126" s="35" t="str">
        <f>IFERROR(INDEX(DL_Exp,MATCH($CA126,DL_KEY,0)),"M")</f>
        <v>L</v>
      </c>
      <c r="AE126" s="35" t="str">
        <f>IFERROR(INDEX(DL_Edu,MATCH($CA126,DL_KEY,0)),"M")</f>
        <v>L</v>
      </c>
      <c r="AF126" s="34" t="inlineStr">
        <is>
          <t>M</t>
        </is>
      </c>
      <c r="AG126" s="35" t="inlineStr">
        <is>
          <t>M</t>
        </is>
      </c>
      <c r="AH126" s="35" t="inlineStr">
        <is>
          <t>M</t>
        </is>
      </c>
      <c r="AI126" s="35" t="inlineStr">
        <is>
          <t>M</t>
        </is>
      </c>
      <c r="AJ126" s="35" t="inlineStr">
        <is>
          <t>M</t>
        </is>
      </c>
      <c r="AK126" s="35" t="inlineStr">
        <is>
          <t>M</t>
        </is>
      </c>
      <c r="AL126" s="35" t="inlineStr">
        <is>
          <t>M</t>
        </is>
      </c>
      <c r="AM126" s="36" t="n">
        <v>0.583</v>
      </c>
      <c r="AN126" s="37" t="n">
        <v>0.16</v>
      </c>
      <c r="AO126" s="37" t="n">
        <v>0.09</v>
      </c>
      <c r="AP126" s="37" t="n">
        <v>0</v>
      </c>
      <c r="AQ126" s="37" t="n">
        <v>0.063</v>
      </c>
      <c r="AR126" s="37" t="n">
        <v>0.06</v>
      </c>
      <c r="AS126" s="37" t="n">
        <v>0.04</v>
      </c>
      <c r="AT126" s="38" t="inlineStr">
        <is>
          <t>2–5</t>
        </is>
      </c>
      <c r="AU126" s="38" t="inlineStr">
        <is>
          <t>Graduate; relevant certification preferred</t>
        </is>
      </c>
      <c r="AV126" s="38" t="inlineStr">
        <is>
          <t>None · guides 1–3 juniors informally</t>
        </is>
      </c>
      <c r="AW126" s="38" t="inlineStr">
        <is>
          <t>P2 · SFIA 3 Apply</t>
        </is>
      </c>
      <c r="AX12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26" s="39" t="inlineStr">
        <is>
          <t>A3</t>
        </is>
      </c>
      <c r="AZ126" s="40" t="inlineStr">
        <is>
          <t>Band A · Practitioner · Senior Associate</t>
        </is>
      </c>
      <c r="BA126" s="40" t="inlineStr">
        <is>
          <t>Model A3 from the six ratings, the market-derived weights and rules R1–R13 · then No change · already below the manager</t>
        </is>
      </c>
      <c r="BB126" s="41" t="inlineStr">
        <is>
          <t>A3</t>
        </is>
      </c>
      <c r="BC126" s="40" t="inlineStr">
        <is>
          <t>The six ratings on the market-average weights of Band A · all tracks score 3.10 → A3 · Hay, Mercer IPE and public plans · experience 4 yrs vs the A3 market range 2–5</t>
        </is>
      </c>
      <c r="BD126" s="42">
        <f>IF(SUM(BM126,BN126,BO126,BP126,BQ126,BR126,BS126)=0,0,(BM126*BT126+BN126*BU126+BO126*BV126+BP126*BW126+BQ126*BX126+BR126*BY126+BS126*BZ126)/SUM(BM126,BN126,BO126,BP126,BQ126,BR126,BS126))</f>
        <v>0</v>
      </c>
      <c r="BE126" s="41" t="str">
        <f>IF(LEFT(AY126,1)="X",AY126,IF(OR(AY126="B+",AY126="C+"),INDEX(LAD_PC,MAX(1,MIN(14,MATCH(AY126,LAD_PC,0)+IF(BD126&gt;=0.5,1,IF(BD126&lt;=-0.5,-1,0))))),INDEX(LAD_STD,MAX(1,MIN(12,MATCH(AY126,LAD_STD,0)+IF(BD126&gt;=0.5,1,IF(BD126&lt;=-0.5,-1,0)))))))</f>
        <v>A3</v>
      </c>
      <c r="BF126" s="43" t="n"/>
      <c r="BG126" s="41" t="str">
        <f>IF(BF126&lt;&gt;"",BF126,BE126)</f>
        <v>A3</v>
      </c>
      <c r="BH126" s="40" t="str">
        <f>IFERROR(CHOOSE(INDEX(B_RANK,MATCH(BG126,B_LVL,0)),"Band A","Band B","B+ · Player-Coach","Band C","C+ · Player-Coach","Band D","Band E"),"Band X · Consultant")</f>
        <v>Band A</v>
      </c>
      <c r="BI126" s="40" t="str">
        <f>IF(BG126=AY126,"• Same",IF(INDEX(B_VAL,MATCH(BG126,B_LVL,0))&gt;INDEX(B_VAL,MATCH(AY126,B_LVL,0)),"▲ Up","▼ Down"))</f>
        <v>• Same</v>
      </c>
      <c r="BJ126" s="40" t="str">
        <f>IF(OR($M126="",$M126="—",$M126="Not in this file"),"",IFERROR(INDEX($BG$7:$BG$592,MATCH($M126,$D$7:$D$592,0)),""))</f>
        <v>B1</v>
      </c>
      <c r="BK126" s="40" t="str">
        <f>IFERROR(IF(BJ126="","—",IF(OR(LEFT(BG126,1)="X",LEFT(BJ126,1)="X"),"—",IF(AND(LEFT(BG126,1)="E",LEFT(BJ126,1)="E"),"Exception · Band E",IF(AND(INDEX(B_VAL,MATCH(BJ126,B_LVL,0))&gt;=7,INDEX(B_RANK,MATCH(BG126,B_LVL,0))&gt;=INDEX(B_RANK,MATCH(BJ126,B_LVL,0))),"⚠ Same band as a head manager",IF(INDEX(B_VAL,MATCH(BG126,B_LVL,0))&gt;=INDEX(B_VAL,MATCH(BJ126,B_LVL,0)),"⚠ At or above the manager's level","OK"))))),"—")</f>
        <v>OK</v>
      </c>
      <c r="BL126" s="43" t="n"/>
      <c r="BM126" s="44">
        <f>IFERROR(INDEX(LMH_PTS,MATCH(Y126,LMH_KEY,0)),0)</f>
        <v>9</v>
      </c>
      <c r="BN126" s="38">
        <f>IFERROR(INDEX(LMH_PTS,MATCH(Z126,LMH_KEY,0)),0)</f>
        <v>3</v>
      </c>
      <c r="BO126" s="38">
        <f>IFERROR(INDEX(LMH_PTS,MATCH(AA126,LMH_KEY,0)),0)</f>
        <v>1</v>
      </c>
      <c r="BP126" s="38">
        <f>IFERROR(INDEX(LMH_PTS,MATCH(AB126,LMH_KEY,0)),0)</f>
        <v>1</v>
      </c>
      <c r="BQ126" s="38">
        <f>IFERROR(INDEX(LMH_PTS,MATCH(AC126,LMH_KEY,0)),0)</f>
        <v>3</v>
      </c>
      <c r="BR126" s="38">
        <f>IFERROR(INDEX(LMH_PTS,MATCH(AD126,LMH_KEY,0)),0)</f>
        <v>1</v>
      </c>
      <c r="BS126" s="38">
        <f>IFERROR(INDEX(LMH_PTS,MATCH(AE126,LMH_KEY,0)),0)</f>
        <v>1</v>
      </c>
      <c r="BT126" s="38">
        <f>IFERROR(INDEX(LMH_STEP,MATCH(AF126,LMH_KEY,0)),0)</f>
        <v>0</v>
      </c>
      <c r="BU126" s="38">
        <f>IFERROR(INDEX(LMH_STEP,MATCH(AG126,LMH_KEY,0)),0)</f>
        <v>0</v>
      </c>
      <c r="BV126" s="38">
        <f>IFERROR(INDEX(LMH_STEP,MATCH(AH126,LMH_KEY,0)),0)</f>
        <v>0</v>
      </c>
      <c r="BW126" s="38">
        <f>IFERROR(INDEX(LMH_STEP,MATCH(AI126,LMH_KEY,0)),0)</f>
        <v>0</v>
      </c>
      <c r="BX126" s="38">
        <f>IFERROR(INDEX(LMH_STEP,MATCH(AJ126,LMH_KEY,0)),0)</f>
        <v>0</v>
      </c>
      <c r="BY126" s="38">
        <f>IFERROR(INDEX(LMH_STEP,MATCH(AK126,LMH_KEY,0)),0)</f>
        <v>0</v>
      </c>
      <c r="BZ126" s="38">
        <f>IFERROR(INDEX(LMH_STEP,MATCH(AL126,LMH_KEY,0)),0)</f>
        <v>0</v>
      </c>
      <c r="CA126" s="38" t="inlineStr">
        <is>
          <t>CARBON|Sales|Senior Sales Operations Analyst|A3|A</t>
        </is>
      </c>
    </row>
    <row r="127" ht="110" customHeight="1">
      <c r="A127" s="28" t="inlineStr">
        <is>
          <t>CARBON</t>
        </is>
      </c>
      <c r="B127" s="29" t="inlineStr">
        <is>
          <t>Functional</t>
        </is>
      </c>
      <c r="C127" s="29" t="n">
        <v>4</v>
      </c>
      <c r="D127" s="29" t="inlineStr">
        <is>
          <t>IRIS2301</t>
        </is>
      </c>
      <c r="E127" s="29" t="inlineStr">
        <is>
          <t>Priyadarsini Kairali</t>
        </is>
      </c>
      <c r="F127" s="29" t="inlineStr">
        <is>
          <t>Functional Specialist</t>
        </is>
      </c>
      <c r="G127" s="29" t="inlineStr">
        <is>
          <t>Associate Product Manager – POD Lead</t>
        </is>
      </c>
      <c r="H127" s="29" t="inlineStr">
        <is>
          <t>Product Management</t>
        </is>
      </c>
      <c r="I127" s="29" t="inlineStr">
        <is>
          <t>Product Management</t>
        </is>
      </c>
      <c r="J127" s="29" t="inlineStr">
        <is>
          <t>POD Lead</t>
        </is>
      </c>
      <c r="K127" s="29" t="inlineStr">
        <is>
          <t>RC-125</t>
        </is>
      </c>
      <c r="L127" s="29" t="inlineStr">
        <is>
          <t>Suman Adhikary</t>
        </is>
      </c>
      <c r="M127" s="29" t="inlineStr">
        <is>
          <t>IRIS2359</t>
        </is>
      </c>
      <c r="N127" s="29" t="n">
        <v>7.9</v>
      </c>
      <c r="O127" s="29" t="n">
        <v>2.1</v>
      </c>
      <c r="P127" s="29" t="inlineStr">
        <is>
          <t>MBA</t>
        </is>
      </c>
      <c r="Q127" s="29" t="inlineStr">
        <is>
          <t>L3 – Professional / Associate</t>
        </is>
      </c>
      <c r="R127" s="29" t="inlineStr">
        <is>
          <t>B1</t>
        </is>
      </c>
      <c r="S127" s="30" t="inlineStr">
        <is>
          <t>20 of 20</t>
        </is>
      </c>
      <c r="T127" s="31" t="inlineStr">
        <is>
          <t>• Role / sub-team: Functional — Functional Specialist.
• Core purpose: Expand the Disclosure Management revenue, improve the adoption of the product amongst customers and enhance the quality of the features offered.
• Decision-making autonomy: Can independently approach for client calls; How to pitch; What feedback I give.
• Is this something only they do: …</t>
        </is>
      </c>
      <c r="U127" s="31" t="inlineStr">
        <is>
          <t>Received · manager annual · 1. Drive Mid-Market and SMB implementation projects on or before agreed timelines. --&gt; 100%
2. Maintain a high CSAT score during the onboarding/implementation phase. --&gt; 90%
3. Drive high active user adoption post go-live --&gt; % Users active at 15 days post go-live - ≥ 80%
4. "Have at least one formal strategic …</t>
        </is>
      </c>
      <c r="V127" s="31" t="inlineStr">
        <is>
          <t>Latest rating: 3 · Potential: Medium · 9-box: High Impact / Growth Talent · Readiness: Develop in role</t>
        </is>
      </c>
      <c r="W127" s="31" t="inlineStr">
        <is>
          <t>C M · Au M · Ac M · L M · BI M · Exp H · 7.9 yrs vs 4–7 yrs · Edu H · MBA</t>
        </is>
      </c>
      <c r="X127" s="33" t="inlineStr">
        <is>
          <t>Open ▸</t>
        </is>
      </c>
      <c r="Y127" s="34" t="str">
        <f>IFERROR(INDEX(DL_C,MATCH($CA127,DL_KEY,0)),"M")</f>
        <v>H</v>
      </c>
      <c r="Z127" s="35" t="str">
        <f>IFERROR(INDEX(DL_Au,MATCH($CA127,DL_KEY,0)),"M")</f>
        <v>M</v>
      </c>
      <c r="AA127" s="35" t="str">
        <f>IFERROR(INDEX(DL_Ac,MATCH($CA127,DL_KEY,0)),"M")</f>
        <v>M</v>
      </c>
      <c r="AB127" s="35" t="str">
        <f>IFERROR(INDEX(DL_L,MATCH($CA127,DL_KEY,0)),"M")</f>
        <v>L</v>
      </c>
      <c r="AC127" s="35" t="str">
        <f>IFERROR(INDEX(DL_BI,MATCH($CA127,DL_KEY,0)),"M")</f>
        <v>L</v>
      </c>
      <c r="AD127" s="35" t="str">
        <f>IFERROR(INDEX(DL_Exp,MATCH($CA127,DL_KEY,0)),"M")</f>
        <v>L</v>
      </c>
      <c r="AE127" s="35" t="str">
        <f>IFERROR(INDEX(DL_Edu,MATCH($CA127,DL_KEY,0)),"M")</f>
        <v>L</v>
      </c>
      <c r="AF127" s="34" t="inlineStr">
        <is>
          <t>M</t>
        </is>
      </c>
      <c r="AG127" s="35" t="inlineStr">
        <is>
          <t>M</t>
        </is>
      </c>
      <c r="AH127" s="35" t="inlineStr">
        <is>
          <t>M</t>
        </is>
      </c>
      <c r="AI127" s="35" t="inlineStr">
        <is>
          <t>M</t>
        </is>
      </c>
      <c r="AJ127" s="35" t="inlineStr">
        <is>
          <t>M</t>
        </is>
      </c>
      <c r="AK127" s="35" t="inlineStr">
        <is>
          <t>M</t>
        </is>
      </c>
      <c r="AL127" s="35" t="inlineStr">
        <is>
          <t>M</t>
        </is>
      </c>
      <c r="AM127" s="36" t="n">
        <v>0.513</v>
      </c>
      <c r="AN127" s="37" t="n">
        <v>0.173</v>
      </c>
      <c r="AO127" s="37" t="n">
        <v>0.09699999999999999</v>
      </c>
      <c r="AP127" s="37" t="n">
        <v>0.05</v>
      </c>
      <c r="AQ127" s="37" t="n">
        <v>0.07000000000000001</v>
      </c>
      <c r="AR127" s="37" t="n">
        <v>0.06</v>
      </c>
      <c r="AS127" s="37" t="n">
        <v>0.04</v>
      </c>
      <c r="AT127" s="38" t="inlineStr">
        <is>
          <t>4–8</t>
        </is>
      </c>
      <c r="AU127" s="38" t="inlineStr">
        <is>
          <t>Graduate + relevant qualification or certification preferred</t>
        </is>
      </c>
      <c r="AV127" s="38" t="inlineStr">
        <is>
          <t>IC: none · Team Lead: 3–5</t>
        </is>
      </c>
      <c r="AW127" s="38" t="inlineStr">
        <is>
          <t>P3 / M2 · SFIA 4 Enable</t>
        </is>
      </c>
      <c r="AX12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27" s="39" t="inlineStr">
        <is>
          <t>B1</t>
        </is>
      </c>
      <c r="AZ127" s="40" t="inlineStr">
        <is>
          <t>Band B · Specialist / Manager · Team Lead / Asst Manager</t>
        </is>
      </c>
      <c r="BA127" s="40" t="inlineStr">
        <is>
          <t>Model B1 from the six ratings, the market-derived weights and rules R1–R13 · then No change · already below the manager</t>
        </is>
      </c>
      <c r="BB127" s="41" t="inlineStr">
        <is>
          <t>B1</t>
        </is>
      </c>
      <c r="BC127" s="40" t="inlineStr">
        <is>
          <t>The six ratings on the market-average weights of Band B · Specialist / POD Lead score 3.99 → B1 · Hay, Mercer IPE and public plans · experience 7.9 yrs vs the B1 market range 4–8</t>
        </is>
      </c>
      <c r="BD127" s="42">
        <f>IF(SUM(BM127,BN127,BO127,BP127,BQ127,BR127,BS127)=0,0,(BM127*BT127+BN127*BU127+BO127*BV127+BP127*BW127+BQ127*BX127+BR127*BY127+BS127*BZ127)/SUM(BM127,BN127,BO127,BP127,BQ127,BR127,BS127))</f>
        <v>0</v>
      </c>
      <c r="BE127" s="41" t="str">
        <f>IF(LEFT(AY127,1)="X",AY127,IF(OR(AY127="B+",AY127="C+"),INDEX(LAD_PC,MAX(1,MIN(14,MATCH(AY127,LAD_PC,0)+IF(BD127&gt;=0.5,1,IF(BD127&lt;=-0.5,-1,0))))),INDEX(LAD_STD,MAX(1,MIN(12,MATCH(AY127,LAD_STD,0)+IF(BD127&gt;=0.5,1,IF(BD127&lt;=-0.5,-1,0)))))))</f>
        <v>B1</v>
      </c>
      <c r="BF127" s="43" t="n"/>
      <c r="BG127" s="41" t="str">
        <f>IF(BF127&lt;&gt;"",BF127,BE127)</f>
        <v>B1</v>
      </c>
      <c r="BH127" s="40" t="str">
        <f>IFERROR(CHOOSE(INDEX(B_RANK,MATCH(BG127,B_LVL,0)),"Band A","Band B","B+ · Player-Coach","Band C","C+ · Player-Coach","Band D","Band E"),"Band X · Consultant")</f>
        <v>Band B</v>
      </c>
      <c r="BI127" s="40" t="str">
        <f>IF(BG127=AY127,"• Same",IF(INDEX(B_VAL,MATCH(BG127,B_LVL,0))&gt;INDEX(B_VAL,MATCH(AY127,B_LVL,0)),"▲ Up","▼ Down"))</f>
        <v>• Same</v>
      </c>
      <c r="BJ127" s="40" t="str">
        <f>IF(OR($M127="",$M127="—",$M127="Not in this file"),"",IFERROR(INDEX($BG$7:$BG$592,MATCH($M127,$D$7:$D$592,0)),""))</f>
        <v>C2</v>
      </c>
      <c r="BK127" s="40" t="str">
        <f>IFERROR(IF(BJ127="","—",IF(OR(LEFT(BG127,1)="X",LEFT(BJ127,1)="X"),"—",IF(AND(LEFT(BG127,1)="E",LEFT(BJ127,1)="E"),"Exception · Band E",IF(AND(INDEX(B_VAL,MATCH(BJ127,B_LVL,0))&gt;=7,INDEX(B_RANK,MATCH(BG127,B_LVL,0))&gt;=INDEX(B_RANK,MATCH(BJ127,B_LVL,0))),"⚠ Same band as a head manager",IF(INDEX(B_VAL,MATCH(BG127,B_LVL,0))&gt;=INDEX(B_VAL,MATCH(BJ127,B_LVL,0)),"⚠ At or above the manager's level","OK"))))),"—")</f>
        <v>OK</v>
      </c>
      <c r="BL127" s="43" t="n"/>
      <c r="BM127" s="44">
        <f>IFERROR(INDEX(LMH_PTS,MATCH(Y127,LMH_KEY,0)),0)</f>
        <v>9</v>
      </c>
      <c r="BN127" s="38">
        <f>IFERROR(INDEX(LMH_PTS,MATCH(Z127,LMH_KEY,0)),0)</f>
        <v>3</v>
      </c>
      <c r="BO127" s="38">
        <f>IFERROR(INDEX(LMH_PTS,MATCH(AA127,LMH_KEY,0)),0)</f>
        <v>3</v>
      </c>
      <c r="BP127" s="38">
        <f>IFERROR(INDEX(LMH_PTS,MATCH(AB127,LMH_KEY,0)),0)</f>
        <v>1</v>
      </c>
      <c r="BQ127" s="38">
        <f>IFERROR(INDEX(LMH_PTS,MATCH(AC127,LMH_KEY,0)),0)</f>
        <v>1</v>
      </c>
      <c r="BR127" s="38">
        <f>IFERROR(INDEX(LMH_PTS,MATCH(AD127,LMH_KEY,0)),0)</f>
        <v>1</v>
      </c>
      <c r="BS127" s="38">
        <f>IFERROR(INDEX(LMH_PTS,MATCH(AE127,LMH_KEY,0)),0)</f>
        <v>1</v>
      </c>
      <c r="BT127" s="38">
        <f>IFERROR(INDEX(LMH_STEP,MATCH(AF127,LMH_KEY,0)),0)</f>
        <v>0</v>
      </c>
      <c r="BU127" s="38">
        <f>IFERROR(INDEX(LMH_STEP,MATCH(AG127,LMH_KEY,0)),0)</f>
        <v>0</v>
      </c>
      <c r="BV127" s="38">
        <f>IFERROR(INDEX(LMH_STEP,MATCH(AH127,LMH_KEY,0)),0)</f>
        <v>0</v>
      </c>
      <c r="BW127" s="38">
        <f>IFERROR(INDEX(LMH_STEP,MATCH(AI127,LMH_KEY,0)),0)</f>
        <v>0</v>
      </c>
      <c r="BX127" s="38">
        <f>IFERROR(INDEX(LMH_STEP,MATCH(AJ127,LMH_KEY,0)),0)</f>
        <v>0</v>
      </c>
      <c r="BY127" s="38">
        <f>IFERROR(INDEX(LMH_STEP,MATCH(AK127,LMH_KEY,0)),0)</f>
        <v>0</v>
      </c>
      <c r="BZ127" s="38">
        <f>IFERROR(INDEX(LMH_STEP,MATCH(AL127,LMH_KEY,0)),0)</f>
        <v>0</v>
      </c>
      <c r="CA127" s="38" t="inlineStr">
        <is>
          <t>CARBON|Functional|Associate Product Manager – POD Lead|B1|B-IC</t>
        </is>
      </c>
    </row>
    <row r="128" ht="110" customHeight="1">
      <c r="A128" s="28" t="inlineStr">
        <is>
          <t>CARBON</t>
        </is>
      </c>
      <c r="B128" s="29" t="inlineStr">
        <is>
          <t>Functional</t>
        </is>
      </c>
      <c r="C128" s="29" t="n">
        <v>5</v>
      </c>
      <c r="D128" s="29" t="inlineStr">
        <is>
          <t>IRIS2463</t>
        </is>
      </c>
      <c r="E128" s="29" t="inlineStr">
        <is>
          <t>Nandit Verma</t>
        </is>
      </c>
      <c r="F128" s="29" t="inlineStr">
        <is>
          <t>Functional Specialist</t>
        </is>
      </c>
      <c r="G128" s="29" t="inlineStr">
        <is>
          <t>Functional Specialist</t>
        </is>
      </c>
      <c r="H128" s="29" t="inlineStr">
        <is>
          <t>Solution Consulting &amp; Implementation</t>
        </is>
      </c>
      <c r="I128" s="29" t="inlineStr">
        <is>
          <t>Solution Consulting &amp; Implementation</t>
        </is>
      </c>
      <c r="J128" s="29" t="inlineStr">
        <is>
          <t>IC</t>
        </is>
      </c>
      <c r="K128" s="29" t="inlineStr">
        <is>
          <t>RC-173</t>
        </is>
      </c>
      <c r="L128" s="29" t="inlineStr">
        <is>
          <t>Priyadarsini Kairali</t>
        </is>
      </c>
      <c r="M128" s="29" t="inlineStr">
        <is>
          <t>IRIS2301</t>
        </is>
      </c>
      <c r="N128" s="29" t="n">
        <v>4.9</v>
      </c>
      <c r="O128" s="29" t="n">
        <v>0.7</v>
      </c>
      <c r="P128" s="29" t="inlineStr">
        <is>
          <t>B.E</t>
        </is>
      </c>
      <c r="Q128" s="29" t="inlineStr">
        <is>
          <t>L3 – Professional / Associate</t>
        </is>
      </c>
      <c r="R128" s="29" t="inlineStr">
        <is>
          <t>B1</t>
        </is>
      </c>
      <c r="S128" s="30" t="inlineStr">
        <is>
          <t>20 of 20</t>
        </is>
      </c>
      <c r="T128" s="31" t="inlineStr">
        <is>
          <t>• Role / sub-team: Functional — Functional Specialist.
• Core purpose: My role involves working directly with clients after they onboard as customers. I understand their requirements, help implement the solution based on their needs, train users on the platform; and support them during adoption. I also coordinate with internal teams to resolve bugs, address …</t>
        </is>
      </c>
      <c r="U128" s="31" t="inlineStr">
        <is>
          <t>Received · manager annual · OKR Link</t>
        </is>
      </c>
      <c r="V128" s="31" t="inlineStr">
        <is>
          <t>Latest rating: 4 · Potential: Medium · 9-box: High Impact / Growth Talent · Readiness: Ready in 6–12 months</t>
        </is>
      </c>
      <c r="W128" s="31" t="inlineStr">
        <is>
          <t>C H · Au M · Ac H · L M · BI H · Exp H · 4.9 yrs vs 2–4 yrs · Edu M · B.E</t>
        </is>
      </c>
      <c r="X128" s="33" t="inlineStr">
        <is>
          <t>Open ▸</t>
        </is>
      </c>
      <c r="Y128" s="34" t="str">
        <f>IFERROR(INDEX(DL_C,MATCH($CA128,DL_KEY,0)),"M")</f>
        <v>H</v>
      </c>
      <c r="Z128" s="35" t="str">
        <f>IFERROR(INDEX(DL_Au,MATCH($CA128,DL_KEY,0)),"M")</f>
        <v>M</v>
      </c>
      <c r="AA128" s="35" t="str">
        <f>IFERROR(INDEX(DL_Ac,MATCH($CA128,DL_KEY,0)),"M")</f>
        <v>M</v>
      </c>
      <c r="AB128" s="35" t="str">
        <f>IFERROR(INDEX(DL_L,MATCH($CA128,DL_KEY,0)),"M")</f>
        <v>L</v>
      </c>
      <c r="AC128" s="35" t="str">
        <f>IFERROR(INDEX(DL_BI,MATCH($CA128,DL_KEY,0)),"M")</f>
        <v>L</v>
      </c>
      <c r="AD128" s="35" t="str">
        <f>IFERROR(INDEX(DL_Exp,MATCH($CA128,DL_KEY,0)),"M")</f>
        <v>L</v>
      </c>
      <c r="AE128" s="35" t="str">
        <f>IFERROR(INDEX(DL_Edu,MATCH($CA128,DL_KEY,0)),"M")</f>
        <v>L</v>
      </c>
      <c r="AF128" s="34" t="inlineStr">
        <is>
          <t>M</t>
        </is>
      </c>
      <c r="AG128" s="35" t="inlineStr">
        <is>
          <t>M</t>
        </is>
      </c>
      <c r="AH128" s="35" t="inlineStr">
        <is>
          <t>M</t>
        </is>
      </c>
      <c r="AI128" s="35" t="inlineStr">
        <is>
          <t>M</t>
        </is>
      </c>
      <c r="AJ128" s="35" t="inlineStr">
        <is>
          <t>M</t>
        </is>
      </c>
      <c r="AK128" s="35" t="inlineStr">
        <is>
          <t>M</t>
        </is>
      </c>
      <c r="AL128" s="35" t="inlineStr">
        <is>
          <t>M</t>
        </is>
      </c>
      <c r="AM128" s="36" t="n">
        <v>0.583</v>
      </c>
      <c r="AN128" s="37" t="n">
        <v>0.16</v>
      </c>
      <c r="AO128" s="37" t="n">
        <v>0.09</v>
      </c>
      <c r="AP128" s="37" t="n">
        <v>0</v>
      </c>
      <c r="AQ128" s="37" t="n">
        <v>0.063</v>
      </c>
      <c r="AR128" s="37" t="n">
        <v>0.06</v>
      </c>
      <c r="AS128" s="37" t="n">
        <v>0.04</v>
      </c>
      <c r="AT128" s="38" t="inlineStr">
        <is>
          <t>2–5</t>
        </is>
      </c>
      <c r="AU128" s="38" t="inlineStr">
        <is>
          <t>Graduate; relevant certification preferred</t>
        </is>
      </c>
      <c r="AV128" s="38" t="inlineStr">
        <is>
          <t>None · guides 1–3 juniors informally</t>
        </is>
      </c>
      <c r="AW128" s="38" t="inlineStr">
        <is>
          <t>P2 · SFIA 3 Apply</t>
        </is>
      </c>
      <c r="AX12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28" s="39" t="inlineStr">
        <is>
          <t>A3</t>
        </is>
      </c>
      <c r="AZ128" s="40" t="inlineStr">
        <is>
          <t>Band A · Practitioner · Senior Associate</t>
        </is>
      </c>
      <c r="BA128" s="40" t="inlineStr">
        <is>
          <t>Model B1 from the six ratings, the market-derived weights and rules R1–R13 · then Level rule: manager B1; a reportee sits at least one level below · B1 → A3 · move down · pay and title protected for one cycle</t>
        </is>
      </c>
      <c r="BB128" s="41" t="inlineStr">
        <is>
          <t>B1</t>
        </is>
      </c>
      <c r="BC128" s="40" t="inlineStr">
        <is>
          <t>The six ratings on the market-average weights of Band A · all tracks score 3.92 → B1 · Hay, Mercer IPE and public plans · experience 4.9 yrs vs the B1 market range 4–8</t>
        </is>
      </c>
      <c r="BD128" s="42">
        <f>IF(SUM(BM128,BN128,BO128,BP128,BQ128,BR128,BS128)=0,0,(BM128*BT128+BN128*BU128+BO128*BV128+BP128*BW128+BQ128*BX128+BR128*BY128+BS128*BZ128)/SUM(BM128,BN128,BO128,BP128,BQ128,BR128,BS128))</f>
        <v>0</v>
      </c>
      <c r="BE128" s="41" t="str">
        <f>IF(LEFT(AY128,1)="X",AY128,IF(OR(AY128="B+",AY128="C+"),INDEX(LAD_PC,MAX(1,MIN(14,MATCH(AY128,LAD_PC,0)+IF(BD128&gt;=0.5,1,IF(BD128&lt;=-0.5,-1,0))))),INDEX(LAD_STD,MAX(1,MIN(12,MATCH(AY128,LAD_STD,0)+IF(BD128&gt;=0.5,1,IF(BD128&lt;=-0.5,-1,0)))))))</f>
        <v>A3</v>
      </c>
      <c r="BF128" s="43" t="n"/>
      <c r="BG128" s="41" t="str">
        <f>IF(BF128&lt;&gt;"",BF128,BE128)</f>
        <v>A3</v>
      </c>
      <c r="BH128" s="40" t="str">
        <f>IFERROR(CHOOSE(INDEX(B_RANK,MATCH(BG128,B_LVL,0)),"Band A","Band B","B+ · Player-Coach","Band C","C+ · Player-Coach","Band D","Band E"),"Band X · Consultant")</f>
        <v>Band A</v>
      </c>
      <c r="BI128" s="40" t="str">
        <f>IF(BG128=AY128,"• Same",IF(INDEX(B_VAL,MATCH(BG128,B_LVL,0))&gt;INDEX(B_VAL,MATCH(AY128,B_LVL,0)),"▲ Up","▼ Down"))</f>
        <v>• Same</v>
      </c>
      <c r="BJ128" s="40" t="str">
        <f>IF(OR($M128="",$M128="—",$M128="Not in this file"),"",IFERROR(INDEX($BG$7:$BG$592,MATCH($M128,$D$7:$D$592,0)),""))</f>
        <v>B1</v>
      </c>
      <c r="BK128" s="40" t="str">
        <f>IFERROR(IF(BJ128="","—",IF(OR(LEFT(BG128,1)="X",LEFT(BJ128,1)="X"),"—",IF(AND(LEFT(BG128,1)="E",LEFT(BJ128,1)="E"),"Exception · Band E",IF(AND(INDEX(B_VAL,MATCH(BJ128,B_LVL,0))&gt;=7,INDEX(B_RANK,MATCH(BG128,B_LVL,0))&gt;=INDEX(B_RANK,MATCH(BJ128,B_LVL,0))),"⚠ Same band as a head manager",IF(INDEX(B_VAL,MATCH(BG128,B_LVL,0))&gt;=INDEX(B_VAL,MATCH(BJ128,B_LVL,0)),"⚠ At or above the manager's level","OK"))))),"—")</f>
        <v>OK</v>
      </c>
      <c r="BL128" s="43" t="n"/>
      <c r="BM128" s="44">
        <f>IFERROR(INDEX(LMH_PTS,MATCH(Y128,LMH_KEY,0)),0)</f>
        <v>9</v>
      </c>
      <c r="BN128" s="38">
        <f>IFERROR(INDEX(LMH_PTS,MATCH(Z128,LMH_KEY,0)),0)</f>
        <v>3</v>
      </c>
      <c r="BO128" s="38">
        <f>IFERROR(INDEX(LMH_PTS,MATCH(AA128,LMH_KEY,0)),0)</f>
        <v>3</v>
      </c>
      <c r="BP128" s="38">
        <f>IFERROR(INDEX(LMH_PTS,MATCH(AB128,LMH_KEY,0)),0)</f>
        <v>1</v>
      </c>
      <c r="BQ128" s="38">
        <f>IFERROR(INDEX(LMH_PTS,MATCH(AC128,LMH_KEY,0)),0)</f>
        <v>1</v>
      </c>
      <c r="BR128" s="38">
        <f>IFERROR(INDEX(LMH_PTS,MATCH(AD128,LMH_KEY,0)),0)</f>
        <v>1</v>
      </c>
      <c r="BS128" s="38">
        <f>IFERROR(INDEX(LMH_PTS,MATCH(AE128,LMH_KEY,0)),0)</f>
        <v>1</v>
      </c>
      <c r="BT128" s="38">
        <f>IFERROR(INDEX(LMH_STEP,MATCH(AF128,LMH_KEY,0)),0)</f>
        <v>0</v>
      </c>
      <c r="BU128" s="38">
        <f>IFERROR(INDEX(LMH_STEP,MATCH(AG128,LMH_KEY,0)),0)</f>
        <v>0</v>
      </c>
      <c r="BV128" s="38">
        <f>IFERROR(INDEX(LMH_STEP,MATCH(AH128,LMH_KEY,0)),0)</f>
        <v>0</v>
      </c>
      <c r="BW128" s="38">
        <f>IFERROR(INDEX(LMH_STEP,MATCH(AI128,LMH_KEY,0)),0)</f>
        <v>0</v>
      </c>
      <c r="BX128" s="38">
        <f>IFERROR(INDEX(LMH_STEP,MATCH(AJ128,LMH_KEY,0)),0)</f>
        <v>0</v>
      </c>
      <c r="BY128" s="38">
        <f>IFERROR(INDEX(LMH_STEP,MATCH(AK128,LMH_KEY,0)),0)</f>
        <v>0</v>
      </c>
      <c r="BZ128" s="38">
        <f>IFERROR(INDEX(LMH_STEP,MATCH(AL128,LMH_KEY,0)),0)</f>
        <v>0</v>
      </c>
      <c r="CA128" s="38" t="inlineStr">
        <is>
          <t>CARBON|Functional|Functional Specialist|A3|A</t>
        </is>
      </c>
    </row>
    <row r="129" ht="110" customHeight="1">
      <c r="A129" s="28" t="inlineStr">
        <is>
          <t>CARBON</t>
        </is>
      </c>
      <c r="B129" s="29" t="inlineStr">
        <is>
          <t>Functional</t>
        </is>
      </c>
      <c r="C129" s="29" t="n">
        <v>5</v>
      </c>
      <c r="D129" s="29" t="inlineStr">
        <is>
          <t>IRIS2421</t>
        </is>
      </c>
      <c r="E129" s="29" t="inlineStr">
        <is>
          <t>Prathamesh Patil</t>
        </is>
      </c>
      <c r="F129" s="29" t="inlineStr">
        <is>
          <t>Functional Analyst</t>
        </is>
      </c>
      <c r="G129" s="29" t="inlineStr">
        <is>
          <t>Senior Functional Analyst</t>
        </is>
      </c>
      <c r="H129" s="29" t="inlineStr">
        <is>
          <t>Solution Consulting &amp; Implementation</t>
        </is>
      </c>
      <c r="I129" s="29" t="inlineStr">
        <is>
          <t>Solution Consulting &amp; Implementation</t>
        </is>
      </c>
      <c r="J129" s="29" t="inlineStr">
        <is>
          <t>IC</t>
        </is>
      </c>
      <c r="K129" s="29" t="inlineStr">
        <is>
          <t>RC-172</t>
        </is>
      </c>
      <c r="L129" s="29" t="inlineStr">
        <is>
          <t>Priyadarsini Kairali</t>
        </is>
      </c>
      <c r="M129" s="29" t="inlineStr">
        <is>
          <t>IRIS2301</t>
        </is>
      </c>
      <c r="N129" s="29" t="n">
        <v>1.6</v>
      </c>
      <c r="O129" s="29" t="n">
        <v>1.1</v>
      </c>
      <c r="P129" s="29" t="inlineStr">
        <is>
          <t>MMS</t>
        </is>
      </c>
      <c r="Q129" s="29" t="inlineStr">
        <is>
          <t>L3 – Professional / Associate</t>
        </is>
      </c>
      <c r="R129" s="29" t="inlineStr">
        <is>
          <t>A3</t>
        </is>
      </c>
      <c r="S129" s="30" t="inlineStr">
        <is>
          <t>19 of 20</t>
        </is>
      </c>
      <c r="T129" s="31" t="inlineStr">
        <is>
          <t>• Role / sub-team: Functional — Functional Analyst.
• Core purpose: Functional analyst - Implementation of the product to the clients - plan, design, test, implement, understand the problems of the product users, Train the users for the product usability,; Work as a bridge between client and the product or services team regarding the requirements of the …</t>
        </is>
      </c>
      <c r="U129" s="32" t="inlineStr">
        <is>
          <t>KRAs not received · manager to supply</t>
        </is>
      </c>
      <c r="V129" s="31" t="inlineStr">
        <is>
          <t>Latest rating: Not rated · manager · 9-box: Not placed · manager · Readiness: No rating data</t>
        </is>
      </c>
      <c r="W129" s="31" t="inlineStr">
        <is>
          <t>C M · Au M · Ac M · L L · BI M · Exp L · 1.6 yrs vs 2–4 yrs · Edu H · MMS</t>
        </is>
      </c>
      <c r="X129" s="33" t="inlineStr">
        <is>
          <t>Open ▸</t>
        </is>
      </c>
      <c r="Y129" s="34" t="str">
        <f>IFERROR(INDEX(DL_C,MATCH($CA129,DL_KEY,0)),"M")</f>
        <v>H</v>
      </c>
      <c r="Z129" s="35" t="str">
        <f>IFERROR(INDEX(DL_Au,MATCH($CA129,DL_KEY,0)),"M")</f>
        <v>M</v>
      </c>
      <c r="AA129" s="35" t="str">
        <f>IFERROR(INDEX(DL_Ac,MATCH($CA129,DL_KEY,0)),"M")</f>
        <v>M</v>
      </c>
      <c r="AB129" s="35" t="str">
        <f>IFERROR(INDEX(DL_L,MATCH($CA129,DL_KEY,0)),"M")</f>
        <v>L</v>
      </c>
      <c r="AC129" s="35" t="str">
        <f>IFERROR(INDEX(DL_BI,MATCH($CA129,DL_KEY,0)),"M")</f>
        <v>L</v>
      </c>
      <c r="AD129" s="35" t="str">
        <f>IFERROR(INDEX(DL_Exp,MATCH($CA129,DL_KEY,0)),"M")</f>
        <v>L</v>
      </c>
      <c r="AE129" s="35" t="str">
        <f>IFERROR(INDEX(DL_Edu,MATCH($CA129,DL_KEY,0)),"M")</f>
        <v>L</v>
      </c>
      <c r="AF129" s="34" t="inlineStr">
        <is>
          <t>M</t>
        </is>
      </c>
      <c r="AG129" s="35" t="inlineStr">
        <is>
          <t>M</t>
        </is>
      </c>
      <c r="AH129" s="35" t="inlineStr">
        <is>
          <t>M</t>
        </is>
      </c>
      <c r="AI129" s="35" t="inlineStr">
        <is>
          <t>M</t>
        </is>
      </c>
      <c r="AJ129" s="35" t="inlineStr">
        <is>
          <t>M</t>
        </is>
      </c>
      <c r="AK129" s="35" t="inlineStr">
        <is>
          <t>M</t>
        </is>
      </c>
      <c r="AL129" s="35" t="inlineStr">
        <is>
          <t>M</t>
        </is>
      </c>
      <c r="AM129" s="36" t="n">
        <v>0.583</v>
      </c>
      <c r="AN129" s="37" t="n">
        <v>0.16</v>
      </c>
      <c r="AO129" s="37" t="n">
        <v>0.09</v>
      </c>
      <c r="AP129" s="37" t="n">
        <v>0</v>
      </c>
      <c r="AQ129" s="37" t="n">
        <v>0.063</v>
      </c>
      <c r="AR129" s="37" t="n">
        <v>0.06</v>
      </c>
      <c r="AS129" s="37" t="n">
        <v>0.04</v>
      </c>
      <c r="AT129" s="38" t="inlineStr">
        <is>
          <t>2–5</t>
        </is>
      </c>
      <c r="AU129" s="38" t="inlineStr">
        <is>
          <t>Graduate; relevant certification preferred</t>
        </is>
      </c>
      <c r="AV129" s="38" t="inlineStr">
        <is>
          <t>None · guides 1–3 juniors informally</t>
        </is>
      </c>
      <c r="AW129" s="38" t="inlineStr">
        <is>
          <t>P2 · SFIA 3 Apply</t>
        </is>
      </c>
      <c r="AX12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29" s="39" t="inlineStr">
        <is>
          <t>A3</t>
        </is>
      </c>
      <c r="AZ129" s="40" t="inlineStr">
        <is>
          <t>Band A · Practitioner · Senior Associate</t>
        </is>
      </c>
      <c r="BA129" s="40" t="inlineStr">
        <is>
          <t>Model A3 from the six ratings, the market-derived weights and rules R1–R13 · then No change · already below the manager</t>
        </is>
      </c>
      <c r="BB129" s="41" t="inlineStr">
        <is>
          <t>A3</t>
        </is>
      </c>
      <c r="BC129" s="40" t="inlineStr">
        <is>
          <t>The six ratings on the market-average weights of Band A · all tracks score 2.92 → A3 · Hay, Mercer IPE and public plans · experience 1.6 yrs vs the A3 market range 2–5</t>
        </is>
      </c>
      <c r="BD129" s="42">
        <f>IF(SUM(BM129,BN129,BO129,BP129,BQ129,BR129,BS129)=0,0,(BM129*BT129+BN129*BU129+BO129*BV129+BP129*BW129+BQ129*BX129+BR129*BY129+BS129*BZ129)/SUM(BM129,BN129,BO129,BP129,BQ129,BR129,BS129))</f>
        <v>0</v>
      </c>
      <c r="BE129" s="41" t="str">
        <f>IF(LEFT(AY129,1)="X",AY129,IF(OR(AY129="B+",AY129="C+"),INDEX(LAD_PC,MAX(1,MIN(14,MATCH(AY129,LAD_PC,0)+IF(BD129&gt;=0.5,1,IF(BD129&lt;=-0.5,-1,0))))),INDEX(LAD_STD,MAX(1,MIN(12,MATCH(AY129,LAD_STD,0)+IF(BD129&gt;=0.5,1,IF(BD129&lt;=-0.5,-1,0)))))))</f>
        <v>A3</v>
      </c>
      <c r="BF129" s="43" t="n"/>
      <c r="BG129" s="41" t="str">
        <f>IF(BF129&lt;&gt;"",BF129,BE129)</f>
        <v>A3</v>
      </c>
      <c r="BH129" s="40" t="str">
        <f>IFERROR(CHOOSE(INDEX(B_RANK,MATCH(BG129,B_LVL,0)),"Band A","Band B","B+ · Player-Coach","Band C","C+ · Player-Coach","Band D","Band E"),"Band X · Consultant")</f>
        <v>Band A</v>
      </c>
      <c r="BI129" s="40" t="str">
        <f>IF(BG129=AY129,"• Same",IF(INDEX(B_VAL,MATCH(BG129,B_LVL,0))&gt;INDEX(B_VAL,MATCH(AY129,B_LVL,0)),"▲ Up","▼ Down"))</f>
        <v>• Same</v>
      </c>
      <c r="BJ129" s="40" t="str">
        <f>IF(OR($M129="",$M129="—",$M129="Not in this file"),"",IFERROR(INDEX($BG$7:$BG$592,MATCH($M129,$D$7:$D$592,0)),""))</f>
        <v>B1</v>
      </c>
      <c r="BK129" s="40" t="str">
        <f>IFERROR(IF(BJ129="","—",IF(OR(LEFT(BG129,1)="X",LEFT(BJ129,1)="X"),"—",IF(AND(LEFT(BG129,1)="E",LEFT(BJ129,1)="E"),"Exception · Band E",IF(AND(INDEX(B_VAL,MATCH(BJ129,B_LVL,0))&gt;=7,INDEX(B_RANK,MATCH(BG129,B_LVL,0))&gt;=INDEX(B_RANK,MATCH(BJ129,B_LVL,0))),"⚠ Same band as a head manager",IF(INDEX(B_VAL,MATCH(BG129,B_LVL,0))&gt;=INDEX(B_VAL,MATCH(BJ129,B_LVL,0)),"⚠ At or above the manager's level","OK"))))),"—")</f>
        <v>OK</v>
      </c>
      <c r="BL129" s="43" t="n"/>
      <c r="BM129" s="44">
        <f>IFERROR(INDEX(LMH_PTS,MATCH(Y129,LMH_KEY,0)),0)</f>
        <v>9</v>
      </c>
      <c r="BN129" s="38">
        <f>IFERROR(INDEX(LMH_PTS,MATCH(Z129,LMH_KEY,0)),0)</f>
        <v>3</v>
      </c>
      <c r="BO129" s="38">
        <f>IFERROR(INDEX(LMH_PTS,MATCH(AA129,LMH_KEY,0)),0)</f>
        <v>3</v>
      </c>
      <c r="BP129" s="38">
        <f>IFERROR(INDEX(LMH_PTS,MATCH(AB129,LMH_KEY,0)),0)</f>
        <v>1</v>
      </c>
      <c r="BQ129" s="38">
        <f>IFERROR(INDEX(LMH_PTS,MATCH(AC129,LMH_KEY,0)),0)</f>
        <v>1</v>
      </c>
      <c r="BR129" s="38">
        <f>IFERROR(INDEX(LMH_PTS,MATCH(AD129,LMH_KEY,0)),0)</f>
        <v>1</v>
      </c>
      <c r="BS129" s="38">
        <f>IFERROR(INDEX(LMH_PTS,MATCH(AE129,LMH_KEY,0)),0)</f>
        <v>1</v>
      </c>
      <c r="BT129" s="38">
        <f>IFERROR(INDEX(LMH_STEP,MATCH(AF129,LMH_KEY,0)),0)</f>
        <v>0</v>
      </c>
      <c r="BU129" s="38">
        <f>IFERROR(INDEX(LMH_STEP,MATCH(AG129,LMH_KEY,0)),0)</f>
        <v>0</v>
      </c>
      <c r="BV129" s="38">
        <f>IFERROR(INDEX(LMH_STEP,MATCH(AH129,LMH_KEY,0)),0)</f>
        <v>0</v>
      </c>
      <c r="BW129" s="38">
        <f>IFERROR(INDEX(LMH_STEP,MATCH(AI129,LMH_KEY,0)),0)</f>
        <v>0</v>
      </c>
      <c r="BX129" s="38">
        <f>IFERROR(INDEX(LMH_STEP,MATCH(AJ129,LMH_KEY,0)),0)</f>
        <v>0</v>
      </c>
      <c r="BY129" s="38">
        <f>IFERROR(INDEX(LMH_STEP,MATCH(AK129,LMH_KEY,0)),0)</f>
        <v>0</v>
      </c>
      <c r="BZ129" s="38">
        <f>IFERROR(INDEX(LMH_STEP,MATCH(AL129,LMH_KEY,0)),0)</f>
        <v>0</v>
      </c>
      <c r="CA129" s="38" t="inlineStr">
        <is>
          <t>CARBON|Functional|Senior Functional Analyst|A3|A</t>
        </is>
      </c>
    </row>
    <row r="130" ht="110" customHeight="1">
      <c r="A130" s="28" t="inlineStr">
        <is>
          <t>CARBON</t>
        </is>
      </c>
      <c r="B130" s="29" t="inlineStr">
        <is>
          <t>Functional</t>
        </is>
      </c>
      <c r="C130" s="29" t="n">
        <v>4</v>
      </c>
      <c r="D130" s="29" t="inlineStr">
        <is>
          <t>IRIS1970</t>
        </is>
      </c>
      <c r="E130" s="29" t="inlineStr">
        <is>
          <t>Sharanya Balachandran</t>
        </is>
      </c>
      <c r="F130" s="29" t="inlineStr">
        <is>
          <t>Business Consultant</t>
        </is>
      </c>
      <c r="G130" s="29" t="inlineStr">
        <is>
          <t>Functional Specialist – POD Lead</t>
        </is>
      </c>
      <c r="H130" s="29" t="inlineStr">
        <is>
          <t>Solution Consulting &amp; Implementation</t>
        </is>
      </c>
      <c r="I130" s="29" t="inlineStr">
        <is>
          <t>Solution Consulting &amp; Implementation</t>
        </is>
      </c>
      <c r="J130" s="29" t="inlineStr">
        <is>
          <t>POD Lead</t>
        </is>
      </c>
      <c r="K130" s="29" t="inlineStr">
        <is>
          <t>RC-173</t>
        </is>
      </c>
      <c r="L130" s="29" t="inlineStr">
        <is>
          <t>Suman Adhikary</t>
        </is>
      </c>
      <c r="M130" s="29" t="inlineStr">
        <is>
          <t>IRIS2359</t>
        </is>
      </c>
      <c r="N130" s="29" t="n">
        <v>4.8</v>
      </c>
      <c r="O130" s="29" t="n">
        <v>4.8</v>
      </c>
      <c r="P130" s="29" t="inlineStr">
        <is>
          <t>CA</t>
        </is>
      </c>
      <c r="Q130" s="29" t="inlineStr">
        <is>
          <t>L3 – Professional / Associate</t>
        </is>
      </c>
      <c r="R130" s="29" t="inlineStr">
        <is>
          <t>B1</t>
        </is>
      </c>
      <c r="S130" s="30" t="inlineStr">
        <is>
          <t>17 of 20</t>
        </is>
      </c>
      <c r="T130" s="31"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t>
        </is>
      </c>
      <c r="U130" s="31" t="inlineStr">
        <is>
          <t>Received · manager annual · 1. % Roadmap items with defined success metric - 100%
2. Monthly Meeting Minutes with clear roadmap presentation
3. % Quarterly commitments on product items shipped on time - ≥ 80%
4. # Critical issues reported - ≤ 10 P1/P2 issues per quarter
5. # Intel briefs per quarter to team  ≥ 1 per quarter brief with the …</t>
        </is>
      </c>
      <c r="V130" s="31" t="inlineStr">
        <is>
          <t>Latest rating: 5 · Potential: High · 9-box: Future Leader · Readiness: Ready now</t>
        </is>
      </c>
      <c r="W130" s="31" t="inlineStr">
        <is>
          <t>C M · Au M · Ac M · L M · BI M · Exp M · 4.8 yrs vs 4–7 yrs · Edu H · CA</t>
        </is>
      </c>
      <c r="X130" s="33" t="inlineStr">
        <is>
          <t>Open ▸</t>
        </is>
      </c>
      <c r="Y130" s="34" t="str">
        <f>IFERROR(INDEX(DL_C,MATCH($CA130,DL_KEY,0)),"M")</f>
        <v>H</v>
      </c>
      <c r="Z130" s="35" t="str">
        <f>IFERROR(INDEX(DL_Au,MATCH($CA130,DL_KEY,0)),"M")</f>
        <v>M</v>
      </c>
      <c r="AA130" s="35" t="str">
        <f>IFERROR(INDEX(DL_Ac,MATCH($CA130,DL_KEY,0)),"M")</f>
        <v>M</v>
      </c>
      <c r="AB130" s="35" t="str">
        <f>IFERROR(INDEX(DL_L,MATCH($CA130,DL_KEY,0)),"M")</f>
        <v>L</v>
      </c>
      <c r="AC130" s="35" t="str">
        <f>IFERROR(INDEX(DL_BI,MATCH($CA130,DL_KEY,0)),"M")</f>
        <v>L</v>
      </c>
      <c r="AD130" s="35" t="str">
        <f>IFERROR(INDEX(DL_Exp,MATCH($CA130,DL_KEY,0)),"M")</f>
        <v>L</v>
      </c>
      <c r="AE130" s="35" t="str">
        <f>IFERROR(INDEX(DL_Edu,MATCH($CA130,DL_KEY,0)),"M")</f>
        <v>L</v>
      </c>
      <c r="AF130" s="34" t="inlineStr">
        <is>
          <t>M</t>
        </is>
      </c>
      <c r="AG130" s="35" t="inlineStr">
        <is>
          <t>M</t>
        </is>
      </c>
      <c r="AH130" s="35" t="inlineStr">
        <is>
          <t>M</t>
        </is>
      </c>
      <c r="AI130" s="35" t="inlineStr">
        <is>
          <t>M</t>
        </is>
      </c>
      <c r="AJ130" s="35" t="inlineStr">
        <is>
          <t>M</t>
        </is>
      </c>
      <c r="AK130" s="35" t="inlineStr">
        <is>
          <t>M</t>
        </is>
      </c>
      <c r="AL130" s="35" t="inlineStr">
        <is>
          <t>M</t>
        </is>
      </c>
      <c r="AM130" s="36" t="n">
        <v>0.513</v>
      </c>
      <c r="AN130" s="37" t="n">
        <v>0.173</v>
      </c>
      <c r="AO130" s="37" t="n">
        <v>0.09699999999999999</v>
      </c>
      <c r="AP130" s="37" t="n">
        <v>0.05</v>
      </c>
      <c r="AQ130" s="37" t="n">
        <v>0.07000000000000001</v>
      </c>
      <c r="AR130" s="37" t="n">
        <v>0.06</v>
      </c>
      <c r="AS130" s="37" t="n">
        <v>0.04</v>
      </c>
      <c r="AT130" s="38" t="inlineStr">
        <is>
          <t>4–8</t>
        </is>
      </c>
      <c r="AU130" s="38" t="inlineStr">
        <is>
          <t>Graduate + relevant qualification or certification preferred</t>
        </is>
      </c>
      <c r="AV130" s="38" t="inlineStr">
        <is>
          <t>IC: none · Team Lead: 3–5</t>
        </is>
      </c>
      <c r="AW130" s="38" t="inlineStr">
        <is>
          <t>P3 / M2 · SFIA 4 Enable</t>
        </is>
      </c>
      <c r="AX13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30" s="39" t="inlineStr">
        <is>
          <t>B1</t>
        </is>
      </c>
      <c r="AZ130" s="40" t="inlineStr">
        <is>
          <t>Band B · Specialist / Manager · Team Lead / Asst Manager</t>
        </is>
      </c>
      <c r="BA130" s="40" t="inlineStr">
        <is>
          <t>Model B1 from the six ratings, the market-derived weights and rules R1–R13 · then No change · already below the manager</t>
        </is>
      </c>
      <c r="BB130" s="41" t="inlineStr">
        <is>
          <t>B1</t>
        </is>
      </c>
      <c r="BC130" s="40" t="inlineStr">
        <is>
          <t>The six ratings on the market-average weights of Band B · Specialist / POD Lead score 4.06 → B1 · Hay, Mercer IPE and public plans · experience 4.8 yrs vs the B1 market range 4–8</t>
        </is>
      </c>
      <c r="BD130" s="42">
        <f>IF(SUM(BM130,BN130,BO130,BP130,BQ130,BR130,BS130)=0,0,(BM130*BT130+BN130*BU130+BO130*BV130+BP130*BW130+BQ130*BX130+BR130*BY130+BS130*BZ130)/SUM(BM130,BN130,BO130,BP130,BQ130,BR130,BS130))</f>
        <v>0</v>
      </c>
      <c r="BE130" s="41" t="str">
        <f>IF(LEFT(AY130,1)="X",AY130,IF(OR(AY130="B+",AY130="C+"),INDEX(LAD_PC,MAX(1,MIN(14,MATCH(AY130,LAD_PC,0)+IF(BD130&gt;=0.5,1,IF(BD130&lt;=-0.5,-1,0))))),INDEX(LAD_STD,MAX(1,MIN(12,MATCH(AY130,LAD_STD,0)+IF(BD130&gt;=0.5,1,IF(BD130&lt;=-0.5,-1,0)))))))</f>
        <v>B1</v>
      </c>
      <c r="BF130" s="43" t="n"/>
      <c r="BG130" s="41" t="str">
        <f>IF(BF130&lt;&gt;"",BF130,BE130)</f>
        <v>B1</v>
      </c>
      <c r="BH130" s="40" t="str">
        <f>IFERROR(CHOOSE(INDEX(B_RANK,MATCH(BG130,B_LVL,0)),"Band A","Band B","B+ · Player-Coach","Band C","C+ · Player-Coach","Band D","Band E"),"Band X · Consultant")</f>
        <v>Band B</v>
      </c>
      <c r="BI130" s="40" t="str">
        <f>IF(BG130=AY130,"• Same",IF(INDEX(B_VAL,MATCH(BG130,B_LVL,0))&gt;INDEX(B_VAL,MATCH(AY130,B_LVL,0)),"▲ Up","▼ Down"))</f>
        <v>• Same</v>
      </c>
      <c r="BJ130" s="40" t="str">
        <f>IF(OR($M130="",$M130="—",$M130="Not in this file"),"",IFERROR(INDEX($BG$7:$BG$592,MATCH($M130,$D$7:$D$592,0)),""))</f>
        <v>C2</v>
      </c>
      <c r="BK130" s="40" t="str">
        <f>IFERROR(IF(BJ130="","—",IF(OR(LEFT(BG130,1)="X",LEFT(BJ130,1)="X"),"—",IF(AND(LEFT(BG130,1)="E",LEFT(BJ130,1)="E"),"Exception · Band E",IF(AND(INDEX(B_VAL,MATCH(BJ130,B_LVL,0))&gt;=7,INDEX(B_RANK,MATCH(BG130,B_LVL,0))&gt;=INDEX(B_RANK,MATCH(BJ130,B_LVL,0))),"⚠ Same band as a head manager",IF(INDEX(B_VAL,MATCH(BG130,B_LVL,0))&gt;=INDEX(B_VAL,MATCH(BJ130,B_LVL,0)),"⚠ At or above the manager's level","OK"))))),"—")</f>
        <v>OK</v>
      </c>
      <c r="BL130" s="43" t="n"/>
      <c r="BM130" s="44">
        <f>IFERROR(INDEX(LMH_PTS,MATCH(Y130,LMH_KEY,0)),0)</f>
        <v>9</v>
      </c>
      <c r="BN130" s="38">
        <f>IFERROR(INDEX(LMH_PTS,MATCH(Z130,LMH_KEY,0)),0)</f>
        <v>3</v>
      </c>
      <c r="BO130" s="38">
        <f>IFERROR(INDEX(LMH_PTS,MATCH(AA130,LMH_KEY,0)),0)</f>
        <v>3</v>
      </c>
      <c r="BP130" s="38">
        <f>IFERROR(INDEX(LMH_PTS,MATCH(AB130,LMH_KEY,0)),0)</f>
        <v>1</v>
      </c>
      <c r="BQ130" s="38">
        <f>IFERROR(INDEX(LMH_PTS,MATCH(AC130,LMH_KEY,0)),0)</f>
        <v>1</v>
      </c>
      <c r="BR130" s="38">
        <f>IFERROR(INDEX(LMH_PTS,MATCH(AD130,LMH_KEY,0)),0)</f>
        <v>1</v>
      </c>
      <c r="BS130" s="38">
        <f>IFERROR(INDEX(LMH_PTS,MATCH(AE130,LMH_KEY,0)),0)</f>
        <v>1</v>
      </c>
      <c r="BT130" s="38">
        <f>IFERROR(INDEX(LMH_STEP,MATCH(AF130,LMH_KEY,0)),0)</f>
        <v>0</v>
      </c>
      <c r="BU130" s="38">
        <f>IFERROR(INDEX(LMH_STEP,MATCH(AG130,LMH_KEY,0)),0)</f>
        <v>0</v>
      </c>
      <c r="BV130" s="38">
        <f>IFERROR(INDEX(LMH_STEP,MATCH(AH130,LMH_KEY,0)),0)</f>
        <v>0</v>
      </c>
      <c r="BW130" s="38">
        <f>IFERROR(INDEX(LMH_STEP,MATCH(AI130,LMH_KEY,0)),0)</f>
        <v>0</v>
      </c>
      <c r="BX130" s="38">
        <f>IFERROR(INDEX(LMH_STEP,MATCH(AJ130,LMH_KEY,0)),0)</f>
        <v>0</v>
      </c>
      <c r="BY130" s="38">
        <f>IFERROR(INDEX(LMH_STEP,MATCH(AK130,LMH_KEY,0)),0)</f>
        <v>0</v>
      </c>
      <c r="BZ130" s="38">
        <f>IFERROR(INDEX(LMH_STEP,MATCH(AL130,LMH_KEY,0)),0)</f>
        <v>0</v>
      </c>
      <c r="CA130" s="38" t="inlineStr">
        <is>
          <t>CARBON|Functional|Functional Specialist – POD Lead|B1|B-IC</t>
        </is>
      </c>
    </row>
    <row r="131" ht="110" customHeight="1">
      <c r="A131" s="28" t="inlineStr">
        <is>
          <t>CARBON</t>
        </is>
      </c>
      <c r="B131" s="29" t="inlineStr">
        <is>
          <t>Functional</t>
        </is>
      </c>
      <c r="C131" s="29" t="n">
        <v>5</v>
      </c>
      <c r="D131" s="29" t="inlineStr">
        <is>
          <t>IRIS2545</t>
        </is>
      </c>
      <c r="E131" s="29" t="inlineStr">
        <is>
          <t>Vishal Gujar</t>
        </is>
      </c>
      <c r="F131" s="29" t="inlineStr">
        <is>
          <t>Functional Specialist</t>
        </is>
      </c>
      <c r="G131" s="29" t="inlineStr">
        <is>
          <t>Functional Specialist</t>
        </is>
      </c>
      <c r="H131" s="29" t="inlineStr">
        <is>
          <t>Solution Consulting &amp; Implementation</t>
        </is>
      </c>
      <c r="I131" s="29" t="inlineStr">
        <is>
          <t>Solution Consulting &amp; Implementation</t>
        </is>
      </c>
      <c r="J131" s="29" t="inlineStr">
        <is>
          <t>IC</t>
        </is>
      </c>
      <c r="K131" s="29" t="inlineStr">
        <is>
          <t>RC-173</t>
        </is>
      </c>
      <c r="L131" s="29" t="inlineStr">
        <is>
          <t>Sharanya Balachandran</t>
        </is>
      </c>
      <c r="M131" s="29" t="inlineStr">
        <is>
          <t>IRIS1970</t>
        </is>
      </c>
      <c r="N131" s="29" t="n">
        <v>6</v>
      </c>
      <c r="O131" s="29" t="n">
        <v>0.2</v>
      </c>
      <c r="P131" s="29" t="inlineStr">
        <is>
          <t>MBA</t>
        </is>
      </c>
      <c r="Q131" s="29" t="inlineStr">
        <is>
          <t>Not in current mapping files</t>
        </is>
      </c>
      <c r="R131" s="29" t="inlineStr">
        <is>
          <t>B1</t>
        </is>
      </c>
      <c r="S131" s="30" t="inlineStr">
        <is>
          <t>20 of 20</t>
        </is>
      </c>
      <c r="T131" s="31" t="inlineStr">
        <is>
          <t>• Role / sub-team: Functional — Functional Specialist.
• Core purpose: To implement and conduct detail demos/training of our IRIS Carbon DM platform for our customers. Also understand pain point of our potential clients through discovery calls and help win new clients.
• Decision-making autonomy: Can independently implementation Approach.
• Is this …</t>
        </is>
      </c>
      <c r="U131" s="32" t="inlineStr">
        <is>
          <t>KRAs not received · manager to supply</t>
        </is>
      </c>
      <c r="V131" s="31" t="inlineStr">
        <is>
          <t>Latest rating: Not rated · manager · 9-box: Not placed · manager · Readiness: No rating data</t>
        </is>
      </c>
      <c r="W131" s="31" t="inlineStr">
        <is>
          <t>C M · Au M · Ac M · L L · BI M · Exp H · 6 yrs vs 2–4 yrs · Edu H · MBA</t>
        </is>
      </c>
      <c r="X131" s="33" t="inlineStr">
        <is>
          <t>Open ▸</t>
        </is>
      </c>
      <c r="Y131" s="34" t="str">
        <f>IFERROR(INDEX(DL_C,MATCH($CA131,DL_KEY,0)),"M")</f>
        <v>H</v>
      </c>
      <c r="Z131" s="35" t="str">
        <f>IFERROR(INDEX(DL_Au,MATCH($CA131,DL_KEY,0)),"M")</f>
        <v>M</v>
      </c>
      <c r="AA131" s="35" t="str">
        <f>IFERROR(INDEX(DL_Ac,MATCH($CA131,DL_KEY,0)),"M")</f>
        <v>M</v>
      </c>
      <c r="AB131" s="35" t="str">
        <f>IFERROR(INDEX(DL_L,MATCH($CA131,DL_KEY,0)),"M")</f>
        <v>L</v>
      </c>
      <c r="AC131" s="35" t="str">
        <f>IFERROR(INDEX(DL_BI,MATCH($CA131,DL_KEY,0)),"M")</f>
        <v>L</v>
      </c>
      <c r="AD131" s="35" t="str">
        <f>IFERROR(INDEX(DL_Exp,MATCH($CA131,DL_KEY,0)),"M")</f>
        <v>L</v>
      </c>
      <c r="AE131" s="35" t="str">
        <f>IFERROR(INDEX(DL_Edu,MATCH($CA131,DL_KEY,0)),"M")</f>
        <v>L</v>
      </c>
      <c r="AF131" s="34" t="inlineStr">
        <is>
          <t>M</t>
        </is>
      </c>
      <c r="AG131" s="35" t="inlineStr">
        <is>
          <t>M</t>
        </is>
      </c>
      <c r="AH131" s="35" t="inlineStr">
        <is>
          <t>M</t>
        </is>
      </c>
      <c r="AI131" s="35" t="inlineStr">
        <is>
          <t>M</t>
        </is>
      </c>
      <c r="AJ131" s="35" t="inlineStr">
        <is>
          <t>M</t>
        </is>
      </c>
      <c r="AK131" s="35" t="inlineStr">
        <is>
          <t>M</t>
        </is>
      </c>
      <c r="AL131" s="35" t="inlineStr">
        <is>
          <t>M</t>
        </is>
      </c>
      <c r="AM131" s="36" t="n">
        <v>0.583</v>
      </c>
      <c r="AN131" s="37" t="n">
        <v>0.16</v>
      </c>
      <c r="AO131" s="37" t="n">
        <v>0.09</v>
      </c>
      <c r="AP131" s="37" t="n">
        <v>0</v>
      </c>
      <c r="AQ131" s="37" t="n">
        <v>0.063</v>
      </c>
      <c r="AR131" s="37" t="n">
        <v>0.06</v>
      </c>
      <c r="AS131" s="37" t="n">
        <v>0.04</v>
      </c>
      <c r="AT131" s="38" t="inlineStr">
        <is>
          <t>2–5</t>
        </is>
      </c>
      <c r="AU131" s="38" t="inlineStr">
        <is>
          <t>Graduate; relevant certification preferred</t>
        </is>
      </c>
      <c r="AV131" s="38" t="inlineStr">
        <is>
          <t>None · guides 1–3 juniors informally</t>
        </is>
      </c>
      <c r="AW131" s="38" t="inlineStr">
        <is>
          <t>P2 · SFIA 3 Apply</t>
        </is>
      </c>
      <c r="AX13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31" s="39" t="inlineStr">
        <is>
          <t>A3</t>
        </is>
      </c>
      <c r="AZ131" s="40" t="inlineStr">
        <is>
          <t>Band A · Practitioner · Senior Associate</t>
        </is>
      </c>
      <c r="BA131" s="40" t="inlineStr">
        <is>
          <t>Model B1 from the six ratings, the market-derived weights and rules R1–R13 · then Level rule: manager B1; a reportee sits at least one level below · B1 → A3 · move down · pay and title protected for one cycle</t>
        </is>
      </c>
      <c r="BB131" s="41" t="inlineStr">
        <is>
          <t>B1</t>
        </is>
      </c>
      <c r="BC131" s="40" t="inlineStr">
        <is>
          <t>The six ratings on the market-average weights of Band A · all tracks score 3.65 → B1 · Hay, Mercer IPE and public plans · experience 6 yrs vs the B1 market range 4–8</t>
        </is>
      </c>
      <c r="BD131" s="42">
        <f>IF(SUM(BM131,BN131,BO131,BP131,BQ131,BR131,BS131)=0,0,(BM131*BT131+BN131*BU131+BO131*BV131+BP131*BW131+BQ131*BX131+BR131*BY131+BS131*BZ131)/SUM(BM131,BN131,BO131,BP131,BQ131,BR131,BS131))</f>
        <v>0</v>
      </c>
      <c r="BE131" s="41" t="str">
        <f>IF(LEFT(AY131,1)="X",AY131,IF(OR(AY131="B+",AY131="C+"),INDEX(LAD_PC,MAX(1,MIN(14,MATCH(AY131,LAD_PC,0)+IF(BD131&gt;=0.5,1,IF(BD131&lt;=-0.5,-1,0))))),INDEX(LAD_STD,MAX(1,MIN(12,MATCH(AY131,LAD_STD,0)+IF(BD131&gt;=0.5,1,IF(BD131&lt;=-0.5,-1,0)))))))</f>
        <v>A3</v>
      </c>
      <c r="BF131" s="43" t="n"/>
      <c r="BG131" s="41" t="str">
        <f>IF(BF131&lt;&gt;"",BF131,BE131)</f>
        <v>A3</v>
      </c>
      <c r="BH131" s="40" t="str">
        <f>IFERROR(CHOOSE(INDEX(B_RANK,MATCH(BG131,B_LVL,0)),"Band A","Band B","B+ · Player-Coach","Band C","C+ · Player-Coach","Band D","Band E"),"Band X · Consultant")</f>
        <v>Band A</v>
      </c>
      <c r="BI131" s="40" t="str">
        <f>IF(BG131=AY131,"• Same",IF(INDEX(B_VAL,MATCH(BG131,B_LVL,0))&gt;INDEX(B_VAL,MATCH(AY131,B_LVL,0)),"▲ Up","▼ Down"))</f>
        <v>• Same</v>
      </c>
      <c r="BJ131" s="40" t="str">
        <f>IF(OR($M131="",$M131="—",$M131="Not in this file"),"",IFERROR(INDEX($BG$7:$BG$592,MATCH($M131,$D$7:$D$592,0)),""))</f>
        <v>B1</v>
      </c>
      <c r="BK131" s="40" t="str">
        <f>IFERROR(IF(BJ131="","—",IF(OR(LEFT(BG131,1)="X",LEFT(BJ131,1)="X"),"—",IF(AND(LEFT(BG131,1)="E",LEFT(BJ131,1)="E"),"Exception · Band E",IF(AND(INDEX(B_VAL,MATCH(BJ131,B_LVL,0))&gt;=7,INDEX(B_RANK,MATCH(BG131,B_LVL,0))&gt;=INDEX(B_RANK,MATCH(BJ131,B_LVL,0))),"⚠ Same band as a head manager",IF(INDEX(B_VAL,MATCH(BG131,B_LVL,0))&gt;=INDEX(B_VAL,MATCH(BJ131,B_LVL,0)),"⚠ At or above the manager's level","OK"))))),"—")</f>
        <v>OK</v>
      </c>
      <c r="BL131" s="43" t="n"/>
      <c r="BM131" s="44">
        <f>IFERROR(INDEX(LMH_PTS,MATCH(Y131,LMH_KEY,0)),0)</f>
        <v>9</v>
      </c>
      <c r="BN131" s="38">
        <f>IFERROR(INDEX(LMH_PTS,MATCH(Z131,LMH_KEY,0)),0)</f>
        <v>3</v>
      </c>
      <c r="BO131" s="38">
        <f>IFERROR(INDEX(LMH_PTS,MATCH(AA131,LMH_KEY,0)),0)</f>
        <v>3</v>
      </c>
      <c r="BP131" s="38">
        <f>IFERROR(INDEX(LMH_PTS,MATCH(AB131,LMH_KEY,0)),0)</f>
        <v>1</v>
      </c>
      <c r="BQ131" s="38">
        <f>IFERROR(INDEX(LMH_PTS,MATCH(AC131,LMH_KEY,0)),0)</f>
        <v>1</v>
      </c>
      <c r="BR131" s="38">
        <f>IFERROR(INDEX(LMH_PTS,MATCH(AD131,LMH_KEY,0)),0)</f>
        <v>1</v>
      </c>
      <c r="BS131" s="38">
        <f>IFERROR(INDEX(LMH_PTS,MATCH(AE131,LMH_KEY,0)),0)</f>
        <v>1</v>
      </c>
      <c r="BT131" s="38">
        <f>IFERROR(INDEX(LMH_STEP,MATCH(AF131,LMH_KEY,0)),0)</f>
        <v>0</v>
      </c>
      <c r="BU131" s="38">
        <f>IFERROR(INDEX(LMH_STEP,MATCH(AG131,LMH_KEY,0)),0)</f>
        <v>0</v>
      </c>
      <c r="BV131" s="38">
        <f>IFERROR(INDEX(LMH_STEP,MATCH(AH131,LMH_KEY,0)),0)</f>
        <v>0</v>
      </c>
      <c r="BW131" s="38">
        <f>IFERROR(INDEX(LMH_STEP,MATCH(AI131,LMH_KEY,0)),0)</f>
        <v>0</v>
      </c>
      <c r="BX131" s="38">
        <f>IFERROR(INDEX(LMH_STEP,MATCH(AJ131,LMH_KEY,0)),0)</f>
        <v>0</v>
      </c>
      <c r="BY131" s="38">
        <f>IFERROR(INDEX(LMH_STEP,MATCH(AK131,LMH_KEY,0)),0)</f>
        <v>0</v>
      </c>
      <c r="BZ131" s="38">
        <f>IFERROR(INDEX(LMH_STEP,MATCH(AL131,LMH_KEY,0)),0)</f>
        <v>0</v>
      </c>
      <c r="CA131" s="38" t="inlineStr">
        <is>
          <t>CARBON|Functional|Functional Specialist|A3|A</t>
        </is>
      </c>
    </row>
    <row r="132" ht="110" customHeight="1">
      <c r="A132" s="28" t="inlineStr">
        <is>
          <t>CARBON</t>
        </is>
      </c>
      <c r="B132" s="29" t="inlineStr">
        <is>
          <t>Sales</t>
        </is>
      </c>
      <c r="C132" s="29" t="n">
        <v>3</v>
      </c>
      <c r="D132" s="29" t="inlineStr">
        <is>
          <t>IRIS2489</t>
        </is>
      </c>
      <c r="E132" s="29" t="inlineStr">
        <is>
          <t>Sreyash Duragkar</t>
        </is>
      </c>
      <c r="F132" s="29" t="inlineStr">
        <is>
          <t>Director- Enterprise Sales</t>
        </is>
      </c>
      <c r="G132" s="29" t="inlineStr">
        <is>
          <t>Principal – Enterprise Sales</t>
        </is>
      </c>
      <c r="H132" s="29" t="inlineStr">
        <is>
          <t>Sales &amp; Business Development</t>
        </is>
      </c>
      <c r="I132" s="29" t="inlineStr">
        <is>
          <t>Sales Leadership</t>
        </is>
      </c>
      <c r="J132" s="29" t="inlineStr">
        <is>
          <t>IC</t>
        </is>
      </c>
      <c r="K132" s="29" t="inlineStr">
        <is>
          <t>RC-170</t>
        </is>
      </c>
      <c r="L132" s="29" t="inlineStr">
        <is>
          <t>Anuradha RK</t>
        </is>
      </c>
      <c r="M132" s="29" t="inlineStr">
        <is>
          <t>IRIS0391</t>
        </is>
      </c>
      <c r="N132" s="29" t="n">
        <v>2.6</v>
      </c>
      <c r="O132" s="29" t="n">
        <v>0.6</v>
      </c>
      <c r="P132" s="29" t="inlineStr">
        <is>
          <t>PGDM</t>
        </is>
      </c>
      <c r="Q132" s="29" t="inlineStr">
        <is>
          <t>Not in current mapping files</t>
        </is>
      </c>
      <c r="R132" s="29" t="inlineStr">
        <is>
          <t>C1</t>
        </is>
      </c>
      <c r="S132" s="30" t="inlineStr">
        <is>
          <t>0 of 20</t>
        </is>
      </c>
      <c r="T132" s="31"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t>
        </is>
      </c>
      <c r="U132" s="32" t="inlineStr">
        <is>
          <t>KRAs not received · manager to supply</t>
        </is>
      </c>
      <c r="V132" s="31" t="inlineStr">
        <is>
          <t>Latest rating: Not rated · manager · 9-box: Not placed · manager · Readiness: No rating data</t>
        </is>
      </c>
      <c r="W132" s="31" t="inlineStr">
        <is>
          <t>C H · Au H · Ac H · L H · BI H · Exp L · 2.6 yrs vs 10–14 yrs · Edu M · PGDM</t>
        </is>
      </c>
      <c r="X132" s="33" t="inlineStr">
        <is>
          <t>Open ▸</t>
        </is>
      </c>
      <c r="Y132" s="34" t="str">
        <f>IFERROR(INDEX(DL_C,MATCH($CA132,DL_KEY,0)),"M")</f>
        <v>H</v>
      </c>
      <c r="Z132" s="35" t="str">
        <f>IFERROR(INDEX(DL_Au,MATCH($CA132,DL_KEY,0)),"M")</f>
        <v>M</v>
      </c>
      <c r="AA132" s="35" t="str">
        <f>IFERROR(INDEX(DL_Ac,MATCH($CA132,DL_KEY,0)),"M")</f>
        <v>L</v>
      </c>
      <c r="AB132" s="35" t="str">
        <f>IFERROR(INDEX(DL_L,MATCH($CA132,DL_KEY,0)),"M")</f>
        <v>L</v>
      </c>
      <c r="AC132" s="35" t="str">
        <f>IFERROR(INDEX(DL_BI,MATCH($CA132,DL_KEY,0)),"M")</f>
        <v>M</v>
      </c>
      <c r="AD132" s="35" t="str">
        <f>IFERROR(INDEX(DL_Exp,MATCH($CA132,DL_KEY,0)),"M")</f>
        <v>L</v>
      </c>
      <c r="AE132" s="35" t="str">
        <f>IFERROR(INDEX(DL_Edu,MATCH($CA132,DL_KEY,0)),"M")</f>
        <v>L</v>
      </c>
      <c r="AF132" s="34" t="inlineStr">
        <is>
          <t>M</t>
        </is>
      </c>
      <c r="AG132" s="35" t="inlineStr">
        <is>
          <t>M</t>
        </is>
      </c>
      <c r="AH132" s="35" t="inlineStr">
        <is>
          <t>M</t>
        </is>
      </c>
      <c r="AI132" s="35" t="inlineStr">
        <is>
          <t>M</t>
        </is>
      </c>
      <c r="AJ132" s="35" t="inlineStr">
        <is>
          <t>M</t>
        </is>
      </c>
      <c r="AK132" s="35" t="inlineStr">
        <is>
          <t>M</t>
        </is>
      </c>
      <c r="AL132" s="35" t="inlineStr">
        <is>
          <t>M</t>
        </is>
      </c>
      <c r="AM132" s="36" t="n">
        <v>0.5429999999999999</v>
      </c>
      <c r="AN132" s="37" t="n">
        <v>0.177</v>
      </c>
      <c r="AO132" s="37" t="n">
        <v>0.103</v>
      </c>
      <c r="AP132" s="37" t="n">
        <v>0.05</v>
      </c>
      <c r="AQ132" s="37" t="n">
        <v>0.077</v>
      </c>
      <c r="AR132" s="37" t="n">
        <v>0.04</v>
      </c>
      <c r="AS132" s="37" t="n">
        <v>0.01</v>
      </c>
      <c r="AT132" s="38" t="inlineStr">
        <is>
          <t>12–17</t>
        </is>
      </c>
      <c r="AU132" s="38" t="inlineStr">
        <is>
          <t>Postgraduate / professional qualification preferred</t>
        </is>
      </c>
      <c r="AV132" s="38" t="inlineStr">
        <is>
          <t>5–8, mostly managers</t>
        </is>
      </c>
      <c r="AW132" s="38" t="inlineStr">
        <is>
          <t>P6 / M5 · SFIA 5–6</t>
        </is>
      </c>
      <c r="AX13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32" s="39" t="inlineStr">
        <is>
          <t>C1</t>
        </is>
      </c>
      <c r="AZ132" s="40" t="inlineStr">
        <is>
          <t>Band C · Principal / Head · Principal</t>
        </is>
      </c>
      <c r="BA132" s="40" t="inlineStr">
        <is>
          <t>Model C1 from the six ratings, the market-derived weights and rules R1–R13 · then No change · already below the manager</t>
        </is>
      </c>
      <c r="BB132" s="41" t="inlineStr">
        <is>
          <t>D1</t>
        </is>
      </c>
      <c r="BC132" s="40" t="inlineStr">
        <is>
          <t>The six ratings on the market-average weights of Band C · Principal specialist score 8.72 → D1 · Hay, Mercer IPE and public plans · experience 2.6 yrs vs the D1 market range 15–20 yrs</t>
        </is>
      </c>
      <c r="BD132" s="42">
        <f>IF(SUM(BM132,BN132,BO132,BP132,BQ132,BR132,BS132)=0,0,(BM132*BT132+BN132*BU132+BO132*BV132+BP132*BW132+BQ132*BX132+BR132*BY132+BS132*BZ132)/SUM(BM132,BN132,BO132,BP132,BQ132,BR132,BS132))</f>
        <v>0</v>
      </c>
      <c r="BE132" s="41" t="str">
        <f>IF(LEFT(AY132,1)="X",AY132,IF(OR(AY132="B+",AY132="C+"),INDEX(LAD_PC,MAX(1,MIN(14,MATCH(AY132,LAD_PC,0)+IF(BD132&gt;=0.5,1,IF(BD132&lt;=-0.5,-1,0))))),INDEX(LAD_STD,MAX(1,MIN(12,MATCH(AY132,LAD_STD,0)+IF(BD132&gt;=0.5,1,IF(BD132&lt;=-0.5,-1,0)))))))</f>
        <v>C1</v>
      </c>
      <c r="BF132" s="43" t="n"/>
      <c r="BG132" s="41" t="str">
        <f>IF(BF132&lt;&gt;"",BF132,BE132)</f>
        <v>C1</v>
      </c>
      <c r="BH132" s="40" t="str">
        <f>IFERROR(CHOOSE(INDEX(B_RANK,MATCH(BG132,B_LVL,0)),"Band A","Band B","B+ · Player-Coach","Band C","C+ · Player-Coach","Band D","Band E"),"Band X · Consultant")</f>
        <v>Band C</v>
      </c>
      <c r="BI132" s="40" t="str">
        <f>IF(BG132=AY132,"• Same",IF(INDEX(B_VAL,MATCH(BG132,B_LVL,0))&gt;INDEX(B_VAL,MATCH(AY132,B_LVL,0)),"▲ Up","▼ Down"))</f>
        <v>• Same</v>
      </c>
      <c r="BJ132" s="40" t="str">
        <f>IF(OR($M132="",$M132="—",$M132="Not in this file"),"",IFERROR(INDEX($BG$7:$BG$592,MATCH($M132,$D$7:$D$592,0)),""))</f>
        <v>D2</v>
      </c>
      <c r="BK132" s="40" t="str">
        <f>IFERROR(IF(BJ132="","—",IF(OR(LEFT(BG132,1)="X",LEFT(BJ132,1)="X"),"—",IF(AND(LEFT(BG132,1)="E",LEFT(BJ132,1)="E"),"Exception · Band E",IF(AND(INDEX(B_VAL,MATCH(BJ132,B_LVL,0))&gt;=7,INDEX(B_RANK,MATCH(BG132,B_LVL,0))&gt;=INDEX(B_RANK,MATCH(BJ132,B_LVL,0))),"⚠ Same band as a head manager",IF(INDEX(B_VAL,MATCH(BG132,B_LVL,0))&gt;=INDEX(B_VAL,MATCH(BJ132,B_LVL,0)),"⚠ At or above the manager's level","OK"))))),"—")</f>
        <v>OK</v>
      </c>
      <c r="BL132" s="43" t="n"/>
      <c r="BM132" s="44">
        <f>IFERROR(INDEX(LMH_PTS,MATCH(Y132,LMH_KEY,0)),0)</f>
        <v>9</v>
      </c>
      <c r="BN132" s="38">
        <f>IFERROR(INDEX(LMH_PTS,MATCH(Z132,LMH_KEY,0)),0)</f>
        <v>3</v>
      </c>
      <c r="BO132" s="38">
        <f>IFERROR(INDEX(LMH_PTS,MATCH(AA132,LMH_KEY,0)),0)</f>
        <v>1</v>
      </c>
      <c r="BP132" s="38">
        <f>IFERROR(INDEX(LMH_PTS,MATCH(AB132,LMH_KEY,0)),0)</f>
        <v>1</v>
      </c>
      <c r="BQ132" s="38">
        <f>IFERROR(INDEX(LMH_PTS,MATCH(AC132,LMH_KEY,0)),0)</f>
        <v>3</v>
      </c>
      <c r="BR132" s="38">
        <f>IFERROR(INDEX(LMH_PTS,MATCH(AD132,LMH_KEY,0)),0)</f>
        <v>1</v>
      </c>
      <c r="BS132" s="38">
        <f>IFERROR(INDEX(LMH_PTS,MATCH(AE132,LMH_KEY,0)),0)</f>
        <v>1</v>
      </c>
      <c r="BT132" s="38">
        <f>IFERROR(INDEX(LMH_STEP,MATCH(AF132,LMH_KEY,0)),0)</f>
        <v>0</v>
      </c>
      <c r="BU132" s="38">
        <f>IFERROR(INDEX(LMH_STEP,MATCH(AG132,LMH_KEY,0)),0)</f>
        <v>0</v>
      </c>
      <c r="BV132" s="38">
        <f>IFERROR(INDEX(LMH_STEP,MATCH(AH132,LMH_KEY,0)),0)</f>
        <v>0</v>
      </c>
      <c r="BW132" s="38">
        <f>IFERROR(INDEX(LMH_STEP,MATCH(AI132,LMH_KEY,0)),0)</f>
        <v>0</v>
      </c>
      <c r="BX132" s="38">
        <f>IFERROR(INDEX(LMH_STEP,MATCH(AJ132,LMH_KEY,0)),0)</f>
        <v>0</v>
      </c>
      <c r="BY132" s="38">
        <f>IFERROR(INDEX(LMH_STEP,MATCH(AK132,LMH_KEY,0)),0)</f>
        <v>0</v>
      </c>
      <c r="BZ132" s="38">
        <f>IFERROR(INDEX(LMH_STEP,MATCH(AL132,LMH_KEY,0)),0)</f>
        <v>0</v>
      </c>
      <c r="CA132" s="38" t="inlineStr">
        <is>
          <t>CARBON|Sales|Principal – Enterprise Sales|C1|C-IC</t>
        </is>
      </c>
    </row>
    <row r="133" ht="110" customHeight="1">
      <c r="A133" s="28" t="inlineStr">
        <is>
          <t>CARBON</t>
        </is>
      </c>
      <c r="B133" s="29" t="inlineStr">
        <is>
          <t>Marketing</t>
        </is>
      </c>
      <c r="C133" s="29" t="n">
        <v>3</v>
      </c>
      <c r="D133" s="29" t="inlineStr">
        <is>
          <t>IRIS2239</t>
        </is>
      </c>
      <c r="E133" s="29" t="inlineStr">
        <is>
          <t>Saahit Togaru</t>
        </is>
      </c>
      <c r="F133" s="29" t="inlineStr">
        <is>
          <t>Senior Manager - Strategy &amp; Product Marketing</t>
        </is>
      </c>
      <c r="G133" s="29" t="inlineStr">
        <is>
          <t>Senior Marketing Manager</t>
        </is>
      </c>
      <c r="H133" s="29" t="inlineStr">
        <is>
          <t>Marketing &amp; Communications</t>
        </is>
      </c>
      <c r="I133" s="29" t="inlineStr">
        <is>
          <t>Marketing Leadership</t>
        </is>
      </c>
      <c r="J133" s="29" t="inlineStr">
        <is>
          <t>People Manager</t>
        </is>
      </c>
      <c r="K133" s="29" t="inlineStr">
        <is>
          <t>RC-120</t>
        </is>
      </c>
      <c r="L133" s="29" t="inlineStr">
        <is>
          <t>Anuradha RK</t>
        </is>
      </c>
      <c r="M133" s="29" t="inlineStr">
        <is>
          <t>IRIS0391</t>
        </is>
      </c>
      <c r="N133" s="29" t="n">
        <v>10.7</v>
      </c>
      <c r="O133" s="29" t="n">
        <v>2.4</v>
      </c>
      <c r="P133" s="29" t="inlineStr">
        <is>
          <t>Masters in Liberal Arts</t>
        </is>
      </c>
      <c r="Q133" s="29" t="inlineStr">
        <is>
          <t>Not in current mapping files</t>
        </is>
      </c>
      <c r="R133" s="29" t="inlineStr">
        <is>
          <t>B3</t>
        </is>
      </c>
      <c r="S133" s="30" t="inlineStr">
        <is>
          <t>20 of 20</t>
        </is>
      </c>
      <c r="T133" s="31" t="inlineStr">
        <is>
          <t>Growth, Revenue and building the brand; Marketing Demand Capture Demand Gene Strategies GTM Strategies</t>
        </is>
      </c>
      <c r="U133" s="32" t="inlineStr">
        <is>
          <t>KRAs not received · manager to supply</t>
        </is>
      </c>
      <c r="V133" s="31" t="inlineStr">
        <is>
          <t>Latest rating: Not rated · manager · 9-box: Underperformer / Exit Risk · Readiness: No rating data</t>
        </is>
      </c>
      <c r="W133" s="31" t="inlineStr">
        <is>
          <t>C M · Au M · Ac M · L M · BI M · Exp M · 10.7 yrs vs 8–12 yrs · Edu M · Masters in Liberal Arts</t>
        </is>
      </c>
      <c r="X133" s="33" t="inlineStr">
        <is>
          <t>Open ▸</t>
        </is>
      </c>
      <c r="Y133" s="34" t="str">
        <f>IFERROR(INDEX(DL_C,MATCH($CA133,DL_KEY,0)),"M")</f>
        <v>H</v>
      </c>
      <c r="Z133" s="35" t="str">
        <f>IFERROR(INDEX(DL_Au,MATCH($CA133,DL_KEY,0)),"M")</f>
        <v>M</v>
      </c>
      <c r="AA133" s="35" t="str">
        <f>IFERROR(INDEX(DL_Ac,MATCH($CA133,DL_KEY,0)),"M")</f>
        <v>L</v>
      </c>
      <c r="AB133" s="35" t="str">
        <f>IFERROR(INDEX(DL_L,MATCH($CA133,DL_KEY,0)),"M")</f>
        <v>M</v>
      </c>
      <c r="AC133" s="35" t="str">
        <f>IFERROR(INDEX(DL_BI,MATCH($CA133,DL_KEY,0)),"M")</f>
        <v>M</v>
      </c>
      <c r="AD133" s="35" t="str">
        <f>IFERROR(INDEX(DL_Exp,MATCH($CA133,DL_KEY,0)),"M")</f>
        <v>L</v>
      </c>
      <c r="AE133" s="35" t="str">
        <f>IFERROR(INDEX(DL_Edu,MATCH($CA133,DL_KEY,0)),"M")</f>
        <v>L</v>
      </c>
      <c r="AF133" s="34" t="inlineStr">
        <is>
          <t>M</t>
        </is>
      </c>
      <c r="AG133" s="35" t="inlineStr">
        <is>
          <t>M</t>
        </is>
      </c>
      <c r="AH133" s="35" t="inlineStr">
        <is>
          <t>M</t>
        </is>
      </c>
      <c r="AI133" s="35" t="inlineStr">
        <is>
          <t>M</t>
        </is>
      </c>
      <c r="AJ133" s="35" t="inlineStr">
        <is>
          <t>M</t>
        </is>
      </c>
      <c r="AK133" s="35" t="inlineStr">
        <is>
          <t>M</t>
        </is>
      </c>
      <c r="AL133" s="35" t="inlineStr">
        <is>
          <t>M</t>
        </is>
      </c>
      <c r="AM133" s="36" t="n">
        <v>0.37</v>
      </c>
      <c r="AN133" s="37" t="n">
        <v>0.183</v>
      </c>
      <c r="AO133" s="37" t="n">
        <v>0.113</v>
      </c>
      <c r="AP133" s="37" t="n">
        <v>0.15</v>
      </c>
      <c r="AQ133" s="37" t="n">
        <v>0.08699999999999999</v>
      </c>
      <c r="AR133" s="37" t="n">
        <v>0.06</v>
      </c>
      <c r="AS133" s="37" t="n">
        <v>0.04</v>
      </c>
      <c r="AT133" s="38" t="inlineStr">
        <is>
          <t>8–13</t>
        </is>
      </c>
      <c r="AU133" s="38" t="inlineStr">
        <is>
          <t>Postgraduate or professional qualification preferred</t>
        </is>
      </c>
      <c r="AV133" s="38" t="inlineStr">
        <is>
          <t>IC: none · People: 5–8 incl. team leads</t>
        </is>
      </c>
      <c r="AW133" s="38" t="inlineStr">
        <is>
          <t>P5 / M4 · SFIA 5 Ensure, advise</t>
        </is>
      </c>
      <c r="AX13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33" s="39" t="inlineStr">
        <is>
          <t>B3</t>
        </is>
      </c>
      <c r="AZ133" s="40" t="inlineStr">
        <is>
          <t>Band B · Specialist / Manager · Senior Manager</t>
        </is>
      </c>
      <c r="BA133" s="40" t="inlineStr">
        <is>
          <t>Model B3 from the six ratings, the market-derived weights and rules R1–R13 · then No change · already below the manager</t>
        </is>
      </c>
      <c r="BB133" s="41" t="inlineStr">
        <is>
          <t>B3</t>
        </is>
      </c>
      <c r="BC133" s="40" t="inlineStr">
        <is>
          <t>The six ratings on the market-average weights of Band B · People Manager score 6.00 → B3 · Hay, Mercer IPE and public plans · experience 10.7 yrs vs the B3 market range 8–13</t>
        </is>
      </c>
      <c r="BD133" s="42">
        <f>IF(SUM(BM133,BN133,BO133,BP133,BQ133,BR133,BS133)=0,0,(BM133*BT133+BN133*BU133+BO133*BV133+BP133*BW133+BQ133*BX133+BR133*BY133+BS133*BZ133)/SUM(BM133,BN133,BO133,BP133,BQ133,BR133,BS133))</f>
        <v>0</v>
      </c>
      <c r="BE133" s="41" t="str">
        <f>IF(LEFT(AY133,1)="X",AY133,IF(OR(AY133="B+",AY133="C+"),INDEX(LAD_PC,MAX(1,MIN(14,MATCH(AY133,LAD_PC,0)+IF(BD133&gt;=0.5,1,IF(BD133&lt;=-0.5,-1,0))))),INDEX(LAD_STD,MAX(1,MIN(12,MATCH(AY133,LAD_STD,0)+IF(BD133&gt;=0.5,1,IF(BD133&lt;=-0.5,-1,0)))))))</f>
        <v>B3</v>
      </c>
      <c r="BF133" s="43" t="n"/>
      <c r="BG133" s="41" t="str">
        <f>IF(BF133&lt;&gt;"",BF133,BE133)</f>
        <v>B3</v>
      </c>
      <c r="BH133" s="40" t="str">
        <f>IFERROR(CHOOSE(INDEX(B_RANK,MATCH(BG133,B_LVL,0)),"Band A","Band B","B+ · Player-Coach","Band C","C+ · Player-Coach","Band D","Band E"),"Band X · Consultant")</f>
        <v>Band B</v>
      </c>
      <c r="BI133" s="40" t="str">
        <f>IF(BG133=AY133,"• Same",IF(INDEX(B_VAL,MATCH(BG133,B_LVL,0))&gt;INDEX(B_VAL,MATCH(AY133,B_LVL,0)),"▲ Up","▼ Down"))</f>
        <v>• Same</v>
      </c>
      <c r="BJ133" s="40" t="str">
        <f>IF(OR($M133="",$M133="—",$M133="Not in this file"),"",IFERROR(INDEX($BG$7:$BG$592,MATCH($M133,$D$7:$D$592,0)),""))</f>
        <v>D2</v>
      </c>
      <c r="BK133" s="40" t="str">
        <f>IFERROR(IF(BJ133="","—",IF(OR(LEFT(BG133,1)="X",LEFT(BJ133,1)="X"),"—",IF(AND(LEFT(BG133,1)="E",LEFT(BJ133,1)="E"),"Exception · Band E",IF(AND(INDEX(B_VAL,MATCH(BJ133,B_LVL,0))&gt;=7,INDEX(B_RANK,MATCH(BG133,B_LVL,0))&gt;=INDEX(B_RANK,MATCH(BJ133,B_LVL,0))),"⚠ Same band as a head manager",IF(INDEX(B_VAL,MATCH(BG133,B_LVL,0))&gt;=INDEX(B_VAL,MATCH(BJ133,B_LVL,0)),"⚠ At or above the manager's level","OK"))))),"—")</f>
        <v>OK</v>
      </c>
      <c r="BL133" s="43" t="n"/>
      <c r="BM133" s="44">
        <f>IFERROR(INDEX(LMH_PTS,MATCH(Y133,LMH_KEY,0)),0)</f>
        <v>9</v>
      </c>
      <c r="BN133" s="38">
        <f>IFERROR(INDEX(LMH_PTS,MATCH(Z133,LMH_KEY,0)),0)</f>
        <v>3</v>
      </c>
      <c r="BO133" s="38">
        <f>IFERROR(INDEX(LMH_PTS,MATCH(AA133,LMH_KEY,0)),0)</f>
        <v>1</v>
      </c>
      <c r="BP133" s="38">
        <f>IFERROR(INDEX(LMH_PTS,MATCH(AB133,LMH_KEY,0)),0)</f>
        <v>3</v>
      </c>
      <c r="BQ133" s="38">
        <f>IFERROR(INDEX(LMH_PTS,MATCH(AC133,LMH_KEY,0)),0)</f>
        <v>3</v>
      </c>
      <c r="BR133" s="38">
        <f>IFERROR(INDEX(LMH_PTS,MATCH(AD133,LMH_KEY,0)),0)</f>
        <v>1</v>
      </c>
      <c r="BS133" s="38">
        <f>IFERROR(INDEX(LMH_PTS,MATCH(AE133,LMH_KEY,0)),0)</f>
        <v>1</v>
      </c>
      <c r="BT133" s="38">
        <f>IFERROR(INDEX(LMH_STEP,MATCH(AF133,LMH_KEY,0)),0)</f>
        <v>0</v>
      </c>
      <c r="BU133" s="38">
        <f>IFERROR(INDEX(LMH_STEP,MATCH(AG133,LMH_KEY,0)),0)</f>
        <v>0</v>
      </c>
      <c r="BV133" s="38">
        <f>IFERROR(INDEX(LMH_STEP,MATCH(AH133,LMH_KEY,0)),0)</f>
        <v>0</v>
      </c>
      <c r="BW133" s="38">
        <f>IFERROR(INDEX(LMH_STEP,MATCH(AI133,LMH_KEY,0)),0)</f>
        <v>0</v>
      </c>
      <c r="BX133" s="38">
        <f>IFERROR(INDEX(LMH_STEP,MATCH(AJ133,LMH_KEY,0)),0)</f>
        <v>0</v>
      </c>
      <c r="BY133" s="38">
        <f>IFERROR(INDEX(LMH_STEP,MATCH(AK133,LMH_KEY,0)),0)</f>
        <v>0</v>
      </c>
      <c r="BZ133" s="38">
        <f>IFERROR(INDEX(LMH_STEP,MATCH(AL133,LMH_KEY,0)),0)</f>
        <v>0</v>
      </c>
      <c r="CA133" s="38" t="inlineStr">
        <is>
          <t>CARBON|Marketing|Senior Marketing Manager|B3|B-M</t>
        </is>
      </c>
    </row>
    <row r="134" ht="110" customHeight="1">
      <c r="A134" s="28" t="inlineStr">
        <is>
          <t>CARBON</t>
        </is>
      </c>
      <c r="B134" s="29" t="inlineStr">
        <is>
          <t>Marketing</t>
        </is>
      </c>
      <c r="C134" s="29" t="n">
        <v>4</v>
      </c>
      <c r="D134" s="29" t="inlineStr">
        <is>
          <t>IRIS2358</t>
        </is>
      </c>
      <c r="E134" s="29" t="inlineStr">
        <is>
          <t>Sobhan Pramanik</t>
        </is>
      </c>
      <c r="F134" s="29" t="inlineStr">
        <is>
          <t>Manager - Marketing</t>
        </is>
      </c>
      <c r="G134" s="29" t="inlineStr">
        <is>
          <t>Marketing Manager</t>
        </is>
      </c>
      <c r="H134" s="29" t="inlineStr">
        <is>
          <t>Marketing &amp; Communications</t>
        </is>
      </c>
      <c r="I134" s="29" t="inlineStr">
        <is>
          <t>Demand Generation, Brand &amp; Events</t>
        </is>
      </c>
      <c r="J134" s="29" t="inlineStr">
        <is>
          <t>People Manager</t>
        </is>
      </c>
      <c r="K134" s="29" t="inlineStr">
        <is>
          <t>RC-116</t>
        </is>
      </c>
      <c r="L134" s="29" t="inlineStr">
        <is>
          <t>Saahit Togaru</t>
        </is>
      </c>
      <c r="M134" s="29" t="inlineStr">
        <is>
          <t>IRIS2239</t>
        </is>
      </c>
      <c r="N134" s="29" t="n">
        <v>8.5</v>
      </c>
      <c r="O134" s="29" t="n">
        <v>1.5</v>
      </c>
      <c r="P134" s="29" t="inlineStr">
        <is>
          <t>B.Tech</t>
        </is>
      </c>
      <c r="Q134" s="29" t="inlineStr">
        <is>
          <t>L5 – Manager</t>
        </is>
      </c>
      <c r="R134" s="29" t="inlineStr">
        <is>
          <t>B2</t>
        </is>
      </c>
      <c r="S134" s="30" t="inlineStr">
        <is>
          <t>20 of 20</t>
        </is>
      </c>
      <c r="T134" s="31" t="inlineStr">
        <is>
          <t>• Role / sub-team: Marketing — Manager - Marketing.
• Core purpose: Building brand awareness and demand for IRIS CARBON globally.
• Decision-making autonomy: Can independently content Strategy.
• Is this something only they do: Everyone on the team.</t>
        </is>
      </c>
      <c r="U134" s="31" t="inlineStr">
        <is>
          <t>Received · manager annual · OKR Tracker - Marketing 2026 · FY27.xlsx</t>
        </is>
      </c>
      <c r="V134" s="31" t="inlineStr">
        <is>
          <t>Latest rating: 3 · Potential: High · 9-box: Future Leader · Readiness: Ready in 6–12 months</t>
        </is>
      </c>
      <c r="W134" s="31" t="inlineStr">
        <is>
          <t>C M · Au M · Ac M · L M · BI M · Exp M · 8.5 yrs vs 6–9 yrs · Edu M · B.Tech</t>
        </is>
      </c>
      <c r="X134" s="33" t="inlineStr">
        <is>
          <t>Open ▸</t>
        </is>
      </c>
      <c r="Y134" s="34" t="str">
        <f>IFERROR(INDEX(DL_C,MATCH($CA134,DL_KEY,0)),"M")</f>
        <v>H</v>
      </c>
      <c r="Z134" s="35" t="str">
        <f>IFERROR(INDEX(DL_Au,MATCH($CA134,DL_KEY,0)),"M")</f>
        <v>M</v>
      </c>
      <c r="AA134" s="35" t="str">
        <f>IFERROR(INDEX(DL_Ac,MATCH($CA134,DL_KEY,0)),"M")</f>
        <v>L</v>
      </c>
      <c r="AB134" s="35" t="str">
        <f>IFERROR(INDEX(DL_L,MATCH($CA134,DL_KEY,0)),"M")</f>
        <v>M</v>
      </c>
      <c r="AC134" s="35" t="str">
        <f>IFERROR(INDEX(DL_BI,MATCH($CA134,DL_KEY,0)),"M")</f>
        <v>M</v>
      </c>
      <c r="AD134" s="35" t="str">
        <f>IFERROR(INDEX(DL_Exp,MATCH($CA134,DL_KEY,0)),"M")</f>
        <v>L</v>
      </c>
      <c r="AE134" s="35" t="str">
        <f>IFERROR(INDEX(DL_Edu,MATCH($CA134,DL_KEY,0)),"M")</f>
        <v>L</v>
      </c>
      <c r="AF134" s="34" t="inlineStr">
        <is>
          <t>M</t>
        </is>
      </c>
      <c r="AG134" s="35" t="inlineStr">
        <is>
          <t>M</t>
        </is>
      </c>
      <c r="AH134" s="35" t="inlineStr">
        <is>
          <t>M</t>
        </is>
      </c>
      <c r="AI134" s="35" t="inlineStr">
        <is>
          <t>M</t>
        </is>
      </c>
      <c r="AJ134" s="35" t="inlineStr">
        <is>
          <t>M</t>
        </is>
      </c>
      <c r="AK134" s="35" t="inlineStr">
        <is>
          <t>M</t>
        </is>
      </c>
      <c r="AL134" s="35" t="inlineStr">
        <is>
          <t>M</t>
        </is>
      </c>
      <c r="AM134" s="36" t="n">
        <v>0.37</v>
      </c>
      <c r="AN134" s="37" t="n">
        <v>0.183</v>
      </c>
      <c r="AO134" s="37" t="n">
        <v>0.113</v>
      </c>
      <c r="AP134" s="37" t="n">
        <v>0.15</v>
      </c>
      <c r="AQ134" s="37" t="n">
        <v>0.08699999999999999</v>
      </c>
      <c r="AR134" s="37" t="n">
        <v>0.06</v>
      </c>
      <c r="AS134" s="37" t="n">
        <v>0.04</v>
      </c>
      <c r="AT134" s="38" t="inlineStr">
        <is>
          <t>6–10</t>
        </is>
      </c>
      <c r="AU134" s="38" t="inlineStr">
        <is>
          <t>Graduate or postgraduate; professional qualification preferred</t>
        </is>
      </c>
      <c r="AV134" s="38" t="inlineStr">
        <is>
          <t>IC: none · People: 6–8 knowledge work, 8–12 standardised delivery</t>
        </is>
      </c>
      <c r="AW134" s="38" t="inlineStr">
        <is>
          <t>P4 / M3 · SFIA 4–5</t>
        </is>
      </c>
      <c r="AX13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34" s="39" t="inlineStr">
        <is>
          <t>B2</t>
        </is>
      </c>
      <c r="AZ134" s="40" t="inlineStr">
        <is>
          <t>Band B · Specialist / Manager · Manager</t>
        </is>
      </c>
      <c r="BA134" s="40" t="inlineStr">
        <is>
          <t>Model B2 from the six ratings, the market-derived weights and rules R1–R13 · then No change · already below the manager</t>
        </is>
      </c>
      <c r="BB134" s="41" t="inlineStr">
        <is>
          <t>B2</t>
        </is>
      </c>
      <c r="BC134" s="40" t="inlineStr">
        <is>
          <t>The six ratings on the market-average weights of Band B · People Manager score 5.09 → B2 · Hay, Mercer IPE and public plans · experience 8.5 yrs vs the B2 market range 6–10</t>
        </is>
      </c>
      <c r="BD134" s="42">
        <f>IF(SUM(BM134,BN134,BO134,BP134,BQ134,BR134,BS134)=0,0,(BM134*BT134+BN134*BU134+BO134*BV134+BP134*BW134+BQ134*BX134+BR134*BY134+BS134*BZ134)/SUM(BM134,BN134,BO134,BP134,BQ134,BR134,BS134))</f>
        <v>0</v>
      </c>
      <c r="BE134" s="41" t="str">
        <f>IF(LEFT(AY134,1)="X",AY134,IF(OR(AY134="B+",AY134="C+"),INDEX(LAD_PC,MAX(1,MIN(14,MATCH(AY134,LAD_PC,0)+IF(BD134&gt;=0.5,1,IF(BD134&lt;=-0.5,-1,0))))),INDEX(LAD_STD,MAX(1,MIN(12,MATCH(AY134,LAD_STD,0)+IF(BD134&gt;=0.5,1,IF(BD134&lt;=-0.5,-1,0)))))))</f>
        <v>B2</v>
      </c>
      <c r="BF134" s="43" t="n"/>
      <c r="BG134" s="41" t="str">
        <f>IF(BF134&lt;&gt;"",BF134,BE134)</f>
        <v>B2</v>
      </c>
      <c r="BH134" s="40" t="str">
        <f>IFERROR(CHOOSE(INDEX(B_RANK,MATCH(BG134,B_LVL,0)),"Band A","Band B","B+ · Player-Coach","Band C","C+ · Player-Coach","Band D","Band E"),"Band X · Consultant")</f>
        <v>Band B</v>
      </c>
      <c r="BI134" s="40" t="str">
        <f>IF(BG134=AY134,"• Same",IF(INDEX(B_VAL,MATCH(BG134,B_LVL,0))&gt;INDEX(B_VAL,MATCH(AY134,B_LVL,0)),"▲ Up","▼ Down"))</f>
        <v>• Same</v>
      </c>
      <c r="BJ134" s="40" t="str">
        <f>IF(OR($M134="",$M134="—",$M134="Not in this file"),"",IFERROR(INDEX($BG$7:$BG$592,MATCH($M134,$D$7:$D$592,0)),""))</f>
        <v>B3</v>
      </c>
      <c r="BK134" s="40" t="str">
        <f>IFERROR(IF(BJ134="","—",IF(OR(LEFT(BG134,1)="X",LEFT(BJ134,1)="X"),"—",IF(AND(LEFT(BG134,1)="E",LEFT(BJ134,1)="E"),"Exception · Band E",IF(AND(INDEX(B_VAL,MATCH(BJ134,B_LVL,0))&gt;=7,INDEX(B_RANK,MATCH(BG134,B_LVL,0))&gt;=INDEX(B_RANK,MATCH(BJ134,B_LVL,0))),"⚠ Same band as a head manager",IF(INDEX(B_VAL,MATCH(BG134,B_LVL,0))&gt;=INDEX(B_VAL,MATCH(BJ134,B_LVL,0)),"⚠ At or above the manager's level","OK"))))),"—")</f>
        <v>OK</v>
      </c>
      <c r="BL134" s="43" t="n"/>
      <c r="BM134" s="44">
        <f>IFERROR(INDEX(LMH_PTS,MATCH(Y134,LMH_KEY,0)),0)</f>
        <v>9</v>
      </c>
      <c r="BN134" s="38">
        <f>IFERROR(INDEX(LMH_PTS,MATCH(Z134,LMH_KEY,0)),0)</f>
        <v>3</v>
      </c>
      <c r="BO134" s="38">
        <f>IFERROR(INDEX(LMH_PTS,MATCH(AA134,LMH_KEY,0)),0)</f>
        <v>1</v>
      </c>
      <c r="BP134" s="38">
        <f>IFERROR(INDEX(LMH_PTS,MATCH(AB134,LMH_KEY,0)),0)</f>
        <v>3</v>
      </c>
      <c r="BQ134" s="38">
        <f>IFERROR(INDEX(LMH_PTS,MATCH(AC134,LMH_KEY,0)),0)</f>
        <v>3</v>
      </c>
      <c r="BR134" s="38">
        <f>IFERROR(INDEX(LMH_PTS,MATCH(AD134,LMH_KEY,0)),0)</f>
        <v>1</v>
      </c>
      <c r="BS134" s="38">
        <f>IFERROR(INDEX(LMH_PTS,MATCH(AE134,LMH_KEY,0)),0)</f>
        <v>1</v>
      </c>
      <c r="BT134" s="38">
        <f>IFERROR(INDEX(LMH_STEP,MATCH(AF134,LMH_KEY,0)),0)</f>
        <v>0</v>
      </c>
      <c r="BU134" s="38">
        <f>IFERROR(INDEX(LMH_STEP,MATCH(AG134,LMH_KEY,0)),0)</f>
        <v>0</v>
      </c>
      <c r="BV134" s="38">
        <f>IFERROR(INDEX(LMH_STEP,MATCH(AH134,LMH_KEY,0)),0)</f>
        <v>0</v>
      </c>
      <c r="BW134" s="38">
        <f>IFERROR(INDEX(LMH_STEP,MATCH(AI134,LMH_KEY,0)),0)</f>
        <v>0</v>
      </c>
      <c r="BX134" s="38">
        <f>IFERROR(INDEX(LMH_STEP,MATCH(AJ134,LMH_KEY,0)),0)</f>
        <v>0</v>
      </c>
      <c r="BY134" s="38">
        <f>IFERROR(INDEX(LMH_STEP,MATCH(AK134,LMH_KEY,0)),0)</f>
        <v>0</v>
      </c>
      <c r="BZ134" s="38">
        <f>IFERROR(INDEX(LMH_STEP,MATCH(AL134,LMH_KEY,0)),0)</f>
        <v>0</v>
      </c>
      <c r="CA134" s="38" t="inlineStr">
        <is>
          <t>CARBON|Marketing|Marketing Manager|B2|B-M</t>
        </is>
      </c>
    </row>
    <row r="135" ht="110" customHeight="1">
      <c r="A135" s="28" t="inlineStr">
        <is>
          <t>CARBON</t>
        </is>
      </c>
      <c r="B135" s="29" t="inlineStr">
        <is>
          <t>Marketing</t>
        </is>
      </c>
      <c r="C135" s="29" t="n">
        <v>5</v>
      </c>
      <c r="D135" s="29" t="inlineStr">
        <is>
          <t>IRIS2400</t>
        </is>
      </c>
      <c r="E135" s="29" t="inlineStr">
        <is>
          <t>Bharani Kumar</t>
        </is>
      </c>
      <c r="F135" s="29" t="inlineStr">
        <is>
          <t>Creative Lead</t>
        </is>
      </c>
      <c r="G135" s="29" t="inlineStr">
        <is>
          <t>Design Specialist – POD Lead</t>
        </is>
      </c>
      <c r="H135" s="29" t="inlineStr">
        <is>
          <t>Design &amp; Creative</t>
        </is>
      </c>
      <c r="I135" s="29" t="inlineStr">
        <is>
          <t>Brand, Graphic &amp; Video Design</t>
        </is>
      </c>
      <c r="J135" s="29" t="inlineStr">
        <is>
          <t>POD Lead</t>
        </is>
      </c>
      <c r="K135" s="29" t="inlineStr">
        <is>
          <t>RC-053</t>
        </is>
      </c>
      <c r="L135" s="29" t="inlineStr">
        <is>
          <t>Sobhan Pramanik</t>
        </is>
      </c>
      <c r="M135" s="29" t="inlineStr">
        <is>
          <t>IRIS2358</t>
        </is>
      </c>
      <c r="N135" s="29" t="n">
        <v>12.2</v>
      </c>
      <c r="O135" s="29" t="n">
        <v>1.2</v>
      </c>
      <c r="P135" s="29" t="inlineStr">
        <is>
          <t>BA</t>
        </is>
      </c>
      <c r="Q135" s="29" t="inlineStr">
        <is>
          <t>L5 – Lead · IC</t>
        </is>
      </c>
      <c r="R135" s="29" t="inlineStr">
        <is>
          <t>B1</t>
        </is>
      </c>
      <c r="S135" s="30" t="inlineStr">
        <is>
          <t>20 of 20</t>
        </is>
      </c>
      <c r="T135" s="31" t="inlineStr">
        <is>
          <t>• Role / sub-team: Marketing — Creative Lead.
• Core purpose: Input not given by Participant.
• Decision-making autonomy: Input not given by Participant.
• Is this something only they do: Input not given by Participant.</t>
        </is>
      </c>
      <c r="U135" s="31" t="inlineStr">
        <is>
          <t>Received · manager annual · c</t>
        </is>
      </c>
      <c r="V135" s="31" t="inlineStr">
        <is>
          <t>Latest rating: Not rated · manager · Potential: Medium · 9-box: Core Contributor · Readiness: Develop in role</t>
        </is>
      </c>
      <c r="W135" s="31" t="inlineStr">
        <is>
          <t>C M · Au M · Ac M · L L · BI M · Exp H · 12.2 yrs vs 4–7 yrs · Edu M · BA</t>
        </is>
      </c>
      <c r="X135" s="33" t="inlineStr">
        <is>
          <t>Open ▸</t>
        </is>
      </c>
      <c r="Y135" s="34" t="str">
        <f>IFERROR(INDEX(DL_C,MATCH($CA135,DL_KEY,0)),"M")</f>
        <v>H</v>
      </c>
      <c r="Z135" s="35" t="str">
        <f>IFERROR(INDEX(DL_Au,MATCH($CA135,DL_KEY,0)),"M")</f>
        <v>M</v>
      </c>
      <c r="AA135" s="35" t="str">
        <f>IFERROR(INDEX(DL_Ac,MATCH($CA135,DL_KEY,0)),"M")</f>
        <v>L</v>
      </c>
      <c r="AB135" s="35" t="str">
        <f>IFERROR(INDEX(DL_L,MATCH($CA135,DL_KEY,0)),"M")</f>
        <v>L</v>
      </c>
      <c r="AC135" s="35" t="str">
        <f>IFERROR(INDEX(DL_BI,MATCH($CA135,DL_KEY,0)),"M")</f>
        <v>M</v>
      </c>
      <c r="AD135" s="35" t="str">
        <f>IFERROR(INDEX(DL_Exp,MATCH($CA135,DL_KEY,0)),"M")</f>
        <v>L</v>
      </c>
      <c r="AE135" s="35" t="str">
        <f>IFERROR(INDEX(DL_Edu,MATCH($CA135,DL_KEY,0)),"M")</f>
        <v>L</v>
      </c>
      <c r="AF135" s="34" t="inlineStr">
        <is>
          <t>M</t>
        </is>
      </c>
      <c r="AG135" s="35" t="inlineStr">
        <is>
          <t>M</t>
        </is>
      </c>
      <c r="AH135" s="35" t="inlineStr">
        <is>
          <t>M</t>
        </is>
      </c>
      <c r="AI135" s="35" t="inlineStr">
        <is>
          <t>M</t>
        </is>
      </c>
      <c r="AJ135" s="35" t="inlineStr">
        <is>
          <t>M</t>
        </is>
      </c>
      <c r="AK135" s="35" t="inlineStr">
        <is>
          <t>M</t>
        </is>
      </c>
      <c r="AL135" s="35" t="inlineStr">
        <is>
          <t>M</t>
        </is>
      </c>
      <c r="AM135" s="36" t="n">
        <v>0.513</v>
      </c>
      <c r="AN135" s="37" t="n">
        <v>0.173</v>
      </c>
      <c r="AO135" s="37" t="n">
        <v>0.09699999999999999</v>
      </c>
      <c r="AP135" s="37" t="n">
        <v>0.05</v>
      </c>
      <c r="AQ135" s="37" t="n">
        <v>0.07000000000000001</v>
      </c>
      <c r="AR135" s="37" t="n">
        <v>0.06</v>
      </c>
      <c r="AS135" s="37" t="n">
        <v>0.04</v>
      </c>
      <c r="AT135" s="38" t="inlineStr">
        <is>
          <t>4–8</t>
        </is>
      </c>
      <c r="AU135" s="38" t="inlineStr">
        <is>
          <t>Graduate + relevant qualification or certification preferred</t>
        </is>
      </c>
      <c r="AV135" s="38" t="inlineStr">
        <is>
          <t>IC: none · Team Lead: 3–5</t>
        </is>
      </c>
      <c r="AW135" s="38" t="inlineStr">
        <is>
          <t>P3 / M2 · SFIA 4 Enable</t>
        </is>
      </c>
      <c r="AX13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35" s="39" t="inlineStr">
        <is>
          <t>B1</t>
        </is>
      </c>
      <c r="AZ135" s="40" t="inlineStr">
        <is>
          <t>Band B · Specialist / Manager · Team Lead / Asst Manager</t>
        </is>
      </c>
      <c r="BA135" s="40" t="inlineStr">
        <is>
          <t>Model B1 from the six ratings, the market-derived weights and rules R1–R13 · then No change · already below the manager</t>
        </is>
      </c>
      <c r="BB135" s="41" t="inlineStr">
        <is>
          <t>B1</t>
        </is>
      </c>
      <c r="BC135" s="40" t="inlineStr">
        <is>
          <t>The six ratings on the market-average weights of Band B · Specialist / POD Lead score 4.25 → B1 · Hay, Mercer IPE and public plans · experience 12.2 yrs vs the B1 market range 4–8</t>
        </is>
      </c>
      <c r="BD135" s="42">
        <f>IF(SUM(BM135,BN135,BO135,BP135,BQ135,BR135,BS135)=0,0,(BM135*BT135+BN135*BU135+BO135*BV135+BP135*BW135+BQ135*BX135+BR135*BY135+BS135*BZ135)/SUM(BM135,BN135,BO135,BP135,BQ135,BR135,BS135))</f>
        <v>0</v>
      </c>
      <c r="BE135" s="41" t="str">
        <f>IF(LEFT(AY135,1)="X",AY135,IF(OR(AY135="B+",AY135="C+"),INDEX(LAD_PC,MAX(1,MIN(14,MATCH(AY135,LAD_PC,0)+IF(BD135&gt;=0.5,1,IF(BD135&lt;=-0.5,-1,0))))),INDEX(LAD_STD,MAX(1,MIN(12,MATCH(AY135,LAD_STD,0)+IF(BD135&gt;=0.5,1,IF(BD135&lt;=-0.5,-1,0)))))))</f>
        <v>B1</v>
      </c>
      <c r="BF135" s="43" t="n"/>
      <c r="BG135" s="41" t="str">
        <f>IF(BF135&lt;&gt;"",BF135,BE135)</f>
        <v>B1</v>
      </c>
      <c r="BH135" s="40" t="str">
        <f>IFERROR(CHOOSE(INDEX(B_RANK,MATCH(BG135,B_LVL,0)),"Band A","Band B","B+ · Player-Coach","Band C","C+ · Player-Coach","Band D","Band E"),"Band X · Consultant")</f>
        <v>Band B</v>
      </c>
      <c r="BI135" s="40" t="str">
        <f>IF(BG135=AY135,"• Same",IF(INDEX(B_VAL,MATCH(BG135,B_LVL,0))&gt;INDEX(B_VAL,MATCH(AY135,B_LVL,0)),"▲ Up","▼ Down"))</f>
        <v>• Same</v>
      </c>
      <c r="BJ135" s="40" t="str">
        <f>IF(OR($M135="",$M135="—",$M135="Not in this file"),"",IFERROR(INDEX($BG$7:$BG$592,MATCH($M135,$D$7:$D$592,0)),""))</f>
        <v>B2</v>
      </c>
      <c r="BK135" s="40" t="str">
        <f>IFERROR(IF(BJ135="","—",IF(OR(LEFT(BG135,1)="X",LEFT(BJ135,1)="X"),"—",IF(AND(LEFT(BG135,1)="E",LEFT(BJ135,1)="E"),"Exception · Band E",IF(AND(INDEX(B_VAL,MATCH(BJ135,B_LVL,0))&gt;=7,INDEX(B_RANK,MATCH(BG135,B_LVL,0))&gt;=INDEX(B_RANK,MATCH(BJ135,B_LVL,0))),"⚠ Same band as a head manager",IF(INDEX(B_VAL,MATCH(BG135,B_LVL,0))&gt;=INDEX(B_VAL,MATCH(BJ135,B_LVL,0)),"⚠ At or above the manager's level","OK"))))),"—")</f>
        <v>OK</v>
      </c>
      <c r="BL135" s="43" t="n"/>
      <c r="BM135" s="44">
        <f>IFERROR(INDEX(LMH_PTS,MATCH(Y135,LMH_KEY,0)),0)</f>
        <v>9</v>
      </c>
      <c r="BN135" s="38">
        <f>IFERROR(INDEX(LMH_PTS,MATCH(Z135,LMH_KEY,0)),0)</f>
        <v>3</v>
      </c>
      <c r="BO135" s="38">
        <f>IFERROR(INDEX(LMH_PTS,MATCH(AA135,LMH_KEY,0)),0)</f>
        <v>1</v>
      </c>
      <c r="BP135" s="38">
        <f>IFERROR(INDEX(LMH_PTS,MATCH(AB135,LMH_KEY,0)),0)</f>
        <v>1</v>
      </c>
      <c r="BQ135" s="38">
        <f>IFERROR(INDEX(LMH_PTS,MATCH(AC135,LMH_KEY,0)),0)</f>
        <v>3</v>
      </c>
      <c r="BR135" s="38">
        <f>IFERROR(INDEX(LMH_PTS,MATCH(AD135,LMH_KEY,0)),0)</f>
        <v>1</v>
      </c>
      <c r="BS135" s="38">
        <f>IFERROR(INDEX(LMH_PTS,MATCH(AE135,LMH_KEY,0)),0)</f>
        <v>1</v>
      </c>
      <c r="BT135" s="38">
        <f>IFERROR(INDEX(LMH_STEP,MATCH(AF135,LMH_KEY,0)),0)</f>
        <v>0</v>
      </c>
      <c r="BU135" s="38">
        <f>IFERROR(INDEX(LMH_STEP,MATCH(AG135,LMH_KEY,0)),0)</f>
        <v>0</v>
      </c>
      <c r="BV135" s="38">
        <f>IFERROR(INDEX(LMH_STEP,MATCH(AH135,LMH_KEY,0)),0)</f>
        <v>0</v>
      </c>
      <c r="BW135" s="38">
        <f>IFERROR(INDEX(LMH_STEP,MATCH(AI135,LMH_KEY,0)),0)</f>
        <v>0</v>
      </c>
      <c r="BX135" s="38">
        <f>IFERROR(INDEX(LMH_STEP,MATCH(AJ135,LMH_KEY,0)),0)</f>
        <v>0</v>
      </c>
      <c r="BY135" s="38">
        <f>IFERROR(INDEX(LMH_STEP,MATCH(AK135,LMH_KEY,0)),0)</f>
        <v>0</v>
      </c>
      <c r="BZ135" s="38">
        <f>IFERROR(INDEX(LMH_STEP,MATCH(AL135,LMH_KEY,0)),0)</f>
        <v>0</v>
      </c>
      <c r="CA135" s="38" t="inlineStr">
        <is>
          <t>CARBON|Marketing|Design Specialist – POD Lead|B1|B-IC</t>
        </is>
      </c>
    </row>
    <row r="136" ht="110" customHeight="1">
      <c r="A136" s="28" t="inlineStr">
        <is>
          <t>CARBON</t>
        </is>
      </c>
      <c r="B136" s="29" t="inlineStr">
        <is>
          <t>Marketing</t>
        </is>
      </c>
      <c r="C136" s="29" t="n">
        <v>6</v>
      </c>
      <c r="D136" s="29" t="inlineStr">
        <is>
          <t>IRIS2387</t>
        </is>
      </c>
      <c r="E136" s="29" t="inlineStr">
        <is>
          <t>Avidi Jeevitesh</t>
        </is>
      </c>
      <c r="F136" s="29" t="inlineStr">
        <is>
          <t>Senior Designer</t>
        </is>
      </c>
      <c r="G136" s="29" t="inlineStr">
        <is>
          <t>Senior Designer</t>
        </is>
      </c>
      <c r="H136" s="29" t="inlineStr">
        <is>
          <t>Design &amp; Creative</t>
        </is>
      </c>
      <c r="I136" s="29" t="inlineStr">
        <is>
          <t>Brand, Graphic &amp; Video Design</t>
        </is>
      </c>
      <c r="J136" s="29" t="inlineStr">
        <is>
          <t>IC</t>
        </is>
      </c>
      <c r="K136" s="29" t="inlineStr">
        <is>
          <t>RC-052</t>
        </is>
      </c>
      <c r="L136" s="29" t="inlineStr">
        <is>
          <t>Bharani Kumar</t>
        </is>
      </c>
      <c r="M136" s="29" t="inlineStr">
        <is>
          <t>IRIS2400</t>
        </is>
      </c>
      <c r="N136" s="29" t="n">
        <v>10.6</v>
      </c>
      <c r="O136" s="29" t="n">
        <v>1.3</v>
      </c>
      <c r="P136" s="29" t="inlineStr">
        <is>
          <t>Under Gratuate</t>
        </is>
      </c>
      <c r="Q136" s="29" t="inlineStr">
        <is>
          <t>L4 – Senior</t>
        </is>
      </c>
      <c r="R136" s="29" t="inlineStr">
        <is>
          <t>A3</t>
        </is>
      </c>
      <c r="S136" s="30" t="inlineStr">
        <is>
          <t>20 of 20</t>
        </is>
      </c>
      <c r="T136" s="31" t="inlineStr">
        <is>
          <t>• This role manages the visual identity of brand assets, including e-books, social-media posts and solution briefs.</t>
        </is>
      </c>
      <c r="U136" s="32" t="inlineStr">
        <is>
          <t>KRAs not received · manager to supply</t>
        </is>
      </c>
      <c r="V136" s="31" t="inlineStr">
        <is>
          <t>Latest rating: Not rated · manager · Potential: Medium · 9-box: Reliable Specialist · Readiness: Develop in role</t>
        </is>
      </c>
      <c r="W136" s="31" t="inlineStr">
        <is>
          <t>C M · Au M · Ac M · L L · BI M · Exp H · 10.6 yrs vs 2–4 yrs · Edu L · Under Gratuate</t>
        </is>
      </c>
      <c r="X136" s="33" t="inlineStr">
        <is>
          <t>Open ▸</t>
        </is>
      </c>
      <c r="Y136" s="34" t="str">
        <f>IFERROR(INDEX(DL_C,MATCH($CA136,DL_KEY,0)),"M")</f>
        <v>H</v>
      </c>
      <c r="Z136" s="35" t="str">
        <f>IFERROR(INDEX(DL_Au,MATCH($CA136,DL_KEY,0)),"M")</f>
        <v>M</v>
      </c>
      <c r="AA136" s="35" t="str">
        <f>IFERROR(INDEX(DL_Ac,MATCH($CA136,DL_KEY,0)),"M")</f>
        <v>L</v>
      </c>
      <c r="AB136" s="35" t="str">
        <f>IFERROR(INDEX(DL_L,MATCH($CA136,DL_KEY,0)),"M")</f>
        <v>L</v>
      </c>
      <c r="AC136" s="35" t="str">
        <f>IFERROR(INDEX(DL_BI,MATCH($CA136,DL_KEY,0)),"M")</f>
        <v>M</v>
      </c>
      <c r="AD136" s="35" t="str">
        <f>IFERROR(INDEX(DL_Exp,MATCH($CA136,DL_KEY,0)),"M")</f>
        <v>L</v>
      </c>
      <c r="AE136" s="35" t="str">
        <f>IFERROR(INDEX(DL_Edu,MATCH($CA136,DL_KEY,0)),"M")</f>
        <v>L</v>
      </c>
      <c r="AF136" s="34" t="inlineStr">
        <is>
          <t>M</t>
        </is>
      </c>
      <c r="AG136" s="35" t="inlineStr">
        <is>
          <t>M</t>
        </is>
      </c>
      <c r="AH136" s="35" t="inlineStr">
        <is>
          <t>M</t>
        </is>
      </c>
      <c r="AI136" s="35" t="inlineStr">
        <is>
          <t>M</t>
        </is>
      </c>
      <c r="AJ136" s="35" t="inlineStr">
        <is>
          <t>M</t>
        </is>
      </c>
      <c r="AK136" s="35" t="inlineStr">
        <is>
          <t>M</t>
        </is>
      </c>
      <c r="AL136" s="35" t="inlineStr">
        <is>
          <t>M</t>
        </is>
      </c>
      <c r="AM136" s="36" t="n">
        <v>0.583</v>
      </c>
      <c r="AN136" s="37" t="n">
        <v>0.16</v>
      </c>
      <c r="AO136" s="37" t="n">
        <v>0.09</v>
      </c>
      <c r="AP136" s="37" t="n">
        <v>0</v>
      </c>
      <c r="AQ136" s="37" t="n">
        <v>0.063</v>
      </c>
      <c r="AR136" s="37" t="n">
        <v>0.06</v>
      </c>
      <c r="AS136" s="37" t="n">
        <v>0.04</v>
      </c>
      <c r="AT136" s="38" t="inlineStr">
        <is>
          <t>2–5</t>
        </is>
      </c>
      <c r="AU136" s="38" t="inlineStr">
        <is>
          <t>Graduate; relevant certification preferred</t>
        </is>
      </c>
      <c r="AV136" s="38" t="inlineStr">
        <is>
          <t>None · guides 1–3 juniors informally</t>
        </is>
      </c>
      <c r="AW136" s="38" t="inlineStr">
        <is>
          <t>P2 · SFIA 3 Apply</t>
        </is>
      </c>
      <c r="AX13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36" s="39" t="inlineStr">
        <is>
          <t>A3</t>
        </is>
      </c>
      <c r="AZ136" s="40" t="inlineStr">
        <is>
          <t>Band A · Practitioner · Senior Associate</t>
        </is>
      </c>
      <c r="BA136" s="40" t="inlineStr">
        <is>
          <t>Model A3 from the six ratings, the market-derived weights and rules R1–R13 · then No change · already below the manager</t>
        </is>
      </c>
      <c r="BB136" s="41" t="inlineStr">
        <is>
          <t>A3</t>
        </is>
      </c>
      <c r="BC136" s="40" t="inlineStr">
        <is>
          <t>The six ratings on the market-average weights of Band A · all tracks score 2.85 → A3 · Hay, Mercer IPE and public plans · experience 10.6 yrs vs the A3 market range 2–5</t>
        </is>
      </c>
      <c r="BD136" s="42">
        <f>IF(SUM(BM136,BN136,BO136,BP136,BQ136,BR136,BS136)=0,0,(BM136*BT136+BN136*BU136+BO136*BV136+BP136*BW136+BQ136*BX136+BR136*BY136+BS136*BZ136)/SUM(BM136,BN136,BO136,BP136,BQ136,BR136,BS136))</f>
        <v>0</v>
      </c>
      <c r="BE136" s="41" t="str">
        <f>IF(LEFT(AY136,1)="X",AY136,IF(OR(AY136="B+",AY136="C+"),INDEX(LAD_PC,MAX(1,MIN(14,MATCH(AY136,LAD_PC,0)+IF(BD136&gt;=0.5,1,IF(BD136&lt;=-0.5,-1,0))))),INDEX(LAD_STD,MAX(1,MIN(12,MATCH(AY136,LAD_STD,0)+IF(BD136&gt;=0.5,1,IF(BD136&lt;=-0.5,-1,0)))))))</f>
        <v>A3</v>
      </c>
      <c r="BF136" s="43" t="n"/>
      <c r="BG136" s="41" t="str">
        <f>IF(BF136&lt;&gt;"",BF136,BE136)</f>
        <v>A3</v>
      </c>
      <c r="BH136" s="40" t="str">
        <f>IFERROR(CHOOSE(INDEX(B_RANK,MATCH(BG136,B_LVL,0)),"Band A","Band B","B+ · Player-Coach","Band C","C+ · Player-Coach","Band D","Band E"),"Band X · Consultant")</f>
        <v>Band A</v>
      </c>
      <c r="BI136" s="40" t="str">
        <f>IF(BG136=AY136,"• Same",IF(INDEX(B_VAL,MATCH(BG136,B_LVL,0))&gt;INDEX(B_VAL,MATCH(AY136,B_LVL,0)),"▲ Up","▼ Down"))</f>
        <v>• Same</v>
      </c>
      <c r="BJ136" s="40" t="str">
        <f>IF(OR($M136="",$M136="—",$M136="Not in this file"),"",IFERROR(INDEX($BG$7:$BG$592,MATCH($M136,$D$7:$D$592,0)),""))</f>
        <v>B1</v>
      </c>
      <c r="BK136" s="40" t="str">
        <f>IFERROR(IF(BJ136="","—",IF(OR(LEFT(BG136,1)="X",LEFT(BJ136,1)="X"),"—",IF(AND(LEFT(BG136,1)="E",LEFT(BJ136,1)="E"),"Exception · Band E",IF(AND(INDEX(B_VAL,MATCH(BJ136,B_LVL,0))&gt;=7,INDEX(B_RANK,MATCH(BG136,B_LVL,0))&gt;=INDEX(B_RANK,MATCH(BJ136,B_LVL,0))),"⚠ Same band as a head manager",IF(INDEX(B_VAL,MATCH(BG136,B_LVL,0))&gt;=INDEX(B_VAL,MATCH(BJ136,B_LVL,0)),"⚠ At or above the manager's level","OK"))))),"—")</f>
        <v>OK</v>
      </c>
      <c r="BL136" s="43" t="n"/>
      <c r="BM136" s="44">
        <f>IFERROR(INDEX(LMH_PTS,MATCH(Y136,LMH_KEY,0)),0)</f>
        <v>9</v>
      </c>
      <c r="BN136" s="38">
        <f>IFERROR(INDEX(LMH_PTS,MATCH(Z136,LMH_KEY,0)),0)</f>
        <v>3</v>
      </c>
      <c r="BO136" s="38">
        <f>IFERROR(INDEX(LMH_PTS,MATCH(AA136,LMH_KEY,0)),0)</f>
        <v>1</v>
      </c>
      <c r="BP136" s="38">
        <f>IFERROR(INDEX(LMH_PTS,MATCH(AB136,LMH_KEY,0)),0)</f>
        <v>1</v>
      </c>
      <c r="BQ136" s="38">
        <f>IFERROR(INDEX(LMH_PTS,MATCH(AC136,LMH_KEY,0)),0)</f>
        <v>3</v>
      </c>
      <c r="BR136" s="38">
        <f>IFERROR(INDEX(LMH_PTS,MATCH(AD136,LMH_KEY,0)),0)</f>
        <v>1</v>
      </c>
      <c r="BS136" s="38">
        <f>IFERROR(INDEX(LMH_PTS,MATCH(AE136,LMH_KEY,0)),0)</f>
        <v>1</v>
      </c>
      <c r="BT136" s="38">
        <f>IFERROR(INDEX(LMH_STEP,MATCH(AF136,LMH_KEY,0)),0)</f>
        <v>0</v>
      </c>
      <c r="BU136" s="38">
        <f>IFERROR(INDEX(LMH_STEP,MATCH(AG136,LMH_KEY,0)),0)</f>
        <v>0</v>
      </c>
      <c r="BV136" s="38">
        <f>IFERROR(INDEX(LMH_STEP,MATCH(AH136,LMH_KEY,0)),0)</f>
        <v>0</v>
      </c>
      <c r="BW136" s="38">
        <f>IFERROR(INDEX(LMH_STEP,MATCH(AI136,LMH_KEY,0)),0)</f>
        <v>0</v>
      </c>
      <c r="BX136" s="38">
        <f>IFERROR(INDEX(LMH_STEP,MATCH(AJ136,LMH_KEY,0)),0)</f>
        <v>0</v>
      </c>
      <c r="BY136" s="38">
        <f>IFERROR(INDEX(LMH_STEP,MATCH(AK136,LMH_KEY,0)),0)</f>
        <v>0</v>
      </c>
      <c r="BZ136" s="38">
        <f>IFERROR(INDEX(LMH_STEP,MATCH(AL136,LMH_KEY,0)),0)</f>
        <v>0</v>
      </c>
      <c r="CA136" s="38" t="inlineStr">
        <is>
          <t>CARBON|Marketing|Senior Designer|A3|A</t>
        </is>
      </c>
    </row>
    <row r="137" ht="110" customHeight="1">
      <c r="A137" s="28" t="inlineStr">
        <is>
          <t>CARBON</t>
        </is>
      </c>
      <c r="B137" s="29" t="inlineStr">
        <is>
          <t>Marketing</t>
        </is>
      </c>
      <c r="C137" s="29" t="n">
        <v>5</v>
      </c>
      <c r="D137" s="29" t="inlineStr">
        <is>
          <t>IRIS2348</t>
        </is>
      </c>
      <c r="E137" s="29" t="inlineStr">
        <is>
          <t>Alisha Sheikh</t>
        </is>
      </c>
      <c r="F137" s="29" t="inlineStr">
        <is>
          <t>Content Marketer</t>
        </is>
      </c>
      <c r="G137" s="29" t="inlineStr">
        <is>
          <t>Senior Content Marketing Associate</t>
        </is>
      </c>
      <c r="H137" s="29" t="inlineStr">
        <is>
          <t>Marketing &amp; Communications</t>
        </is>
      </c>
      <c r="I137" s="29" t="inlineStr">
        <is>
          <t>Content Marketing</t>
        </is>
      </c>
      <c r="J137" s="29" t="inlineStr">
        <is>
          <t>IC</t>
        </is>
      </c>
      <c r="K137" s="29" t="inlineStr">
        <is>
          <t>RC-112</t>
        </is>
      </c>
      <c r="L137" s="29" t="inlineStr">
        <is>
          <t>Sobhan Pramanik</t>
        </is>
      </c>
      <c r="M137" s="29" t="inlineStr">
        <is>
          <t>IRIS2358</t>
        </is>
      </c>
      <c r="N137" s="29" t="n">
        <v>3</v>
      </c>
      <c r="O137" s="29" t="n">
        <v>1.6</v>
      </c>
      <c r="P137" s="29" t="inlineStr">
        <is>
          <t>MBA</t>
        </is>
      </c>
      <c r="Q137" s="29" t="inlineStr">
        <is>
          <t>L3 – Professional / Associate</t>
        </is>
      </c>
      <c r="R137" s="29" t="inlineStr">
        <is>
          <t>A3</t>
        </is>
      </c>
      <c r="S137" s="30" t="inlineStr">
        <is>
          <t>20 of 20</t>
        </is>
      </c>
      <c r="T137" s="31" t="inlineStr">
        <is>
          <t>• This role creates engaging content across multiple formats and channels to strengthen brand presence and engage audiences.</t>
        </is>
      </c>
      <c r="U137" s="32" t="inlineStr">
        <is>
          <t>KRAs not received · manager to supply</t>
        </is>
      </c>
      <c r="V137" s="31" t="inlineStr">
        <is>
          <t>Latest rating: 4 · Potential: Medium · 9-box: High Impact / Growth Talent · Readiness: Ready in 6–12 months</t>
        </is>
      </c>
      <c r="W137" s="31" t="inlineStr">
        <is>
          <t>C M · Au M · Ac M · L L · BI M · Exp M · 3 yrs vs 2–4 yrs · Edu H · MBA</t>
        </is>
      </c>
      <c r="X137" s="33" t="inlineStr">
        <is>
          <t>Open ▸</t>
        </is>
      </c>
      <c r="Y137" s="34" t="str">
        <f>IFERROR(INDEX(DL_C,MATCH($CA137,DL_KEY,0)),"M")</f>
        <v>H</v>
      </c>
      <c r="Z137" s="35" t="str">
        <f>IFERROR(INDEX(DL_Au,MATCH($CA137,DL_KEY,0)),"M")</f>
        <v>M</v>
      </c>
      <c r="AA137" s="35" t="str">
        <f>IFERROR(INDEX(DL_Ac,MATCH($CA137,DL_KEY,0)),"M")</f>
        <v>L</v>
      </c>
      <c r="AB137" s="35" t="str">
        <f>IFERROR(INDEX(DL_L,MATCH($CA137,DL_KEY,0)),"M")</f>
        <v>L</v>
      </c>
      <c r="AC137" s="35" t="str">
        <f>IFERROR(INDEX(DL_BI,MATCH($CA137,DL_KEY,0)),"M")</f>
        <v>M</v>
      </c>
      <c r="AD137" s="35" t="str">
        <f>IFERROR(INDEX(DL_Exp,MATCH($CA137,DL_KEY,0)),"M")</f>
        <v>L</v>
      </c>
      <c r="AE137" s="35" t="str">
        <f>IFERROR(INDEX(DL_Edu,MATCH($CA137,DL_KEY,0)),"M")</f>
        <v>L</v>
      </c>
      <c r="AF137" s="34" t="inlineStr">
        <is>
          <t>M</t>
        </is>
      </c>
      <c r="AG137" s="35" t="inlineStr">
        <is>
          <t>M</t>
        </is>
      </c>
      <c r="AH137" s="35" t="inlineStr">
        <is>
          <t>M</t>
        </is>
      </c>
      <c r="AI137" s="35" t="inlineStr">
        <is>
          <t>M</t>
        </is>
      </c>
      <c r="AJ137" s="35" t="inlineStr">
        <is>
          <t>M</t>
        </is>
      </c>
      <c r="AK137" s="35" t="inlineStr">
        <is>
          <t>M</t>
        </is>
      </c>
      <c r="AL137" s="35" t="inlineStr">
        <is>
          <t>M</t>
        </is>
      </c>
      <c r="AM137" s="36" t="n">
        <v>0.583</v>
      </c>
      <c r="AN137" s="37" t="n">
        <v>0.16</v>
      </c>
      <c r="AO137" s="37" t="n">
        <v>0.09</v>
      </c>
      <c r="AP137" s="37" t="n">
        <v>0</v>
      </c>
      <c r="AQ137" s="37" t="n">
        <v>0.063</v>
      </c>
      <c r="AR137" s="37" t="n">
        <v>0.06</v>
      </c>
      <c r="AS137" s="37" t="n">
        <v>0.04</v>
      </c>
      <c r="AT137" s="38" t="inlineStr">
        <is>
          <t>2–5</t>
        </is>
      </c>
      <c r="AU137" s="38" t="inlineStr">
        <is>
          <t>Graduate; relevant certification preferred</t>
        </is>
      </c>
      <c r="AV137" s="38" t="inlineStr">
        <is>
          <t>None · guides 1–3 juniors informally</t>
        </is>
      </c>
      <c r="AW137" s="38" t="inlineStr">
        <is>
          <t>P2 · SFIA 3 Apply</t>
        </is>
      </c>
      <c r="AX13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37" s="39" t="inlineStr">
        <is>
          <t>A3</t>
        </is>
      </c>
      <c r="AZ137" s="40" t="inlineStr">
        <is>
          <t>Band A · Practitioner · Senior Associate</t>
        </is>
      </c>
      <c r="BA137" s="40" t="inlineStr">
        <is>
          <t>Model A3 from the six ratings, the market-derived weights and rules R1–R13 · then No change · already below the manager</t>
        </is>
      </c>
      <c r="BB137" s="41" t="inlineStr">
        <is>
          <t>A3</t>
        </is>
      </c>
      <c r="BC137" s="40" t="inlineStr">
        <is>
          <t>The six ratings on the market-average weights of Band A · all tracks score 2.63 → A3 · Hay, Mercer IPE and public plans · experience 3 yrs vs the A3 market range 2–5</t>
        </is>
      </c>
      <c r="BD137" s="42">
        <f>IF(SUM(BM137,BN137,BO137,BP137,BQ137,BR137,BS137)=0,0,(BM137*BT137+BN137*BU137+BO137*BV137+BP137*BW137+BQ137*BX137+BR137*BY137+BS137*BZ137)/SUM(BM137,BN137,BO137,BP137,BQ137,BR137,BS137))</f>
        <v>0</v>
      </c>
      <c r="BE137" s="41" t="str">
        <f>IF(LEFT(AY137,1)="X",AY137,IF(OR(AY137="B+",AY137="C+"),INDEX(LAD_PC,MAX(1,MIN(14,MATCH(AY137,LAD_PC,0)+IF(BD137&gt;=0.5,1,IF(BD137&lt;=-0.5,-1,0))))),INDEX(LAD_STD,MAX(1,MIN(12,MATCH(AY137,LAD_STD,0)+IF(BD137&gt;=0.5,1,IF(BD137&lt;=-0.5,-1,0)))))))</f>
        <v>A3</v>
      </c>
      <c r="BF137" s="43" t="n"/>
      <c r="BG137" s="41" t="str">
        <f>IF(BF137&lt;&gt;"",BF137,BE137)</f>
        <v>A3</v>
      </c>
      <c r="BH137" s="40" t="str">
        <f>IFERROR(CHOOSE(INDEX(B_RANK,MATCH(BG137,B_LVL,0)),"Band A","Band B","B+ · Player-Coach","Band C","C+ · Player-Coach","Band D","Band E"),"Band X · Consultant")</f>
        <v>Band A</v>
      </c>
      <c r="BI137" s="40" t="str">
        <f>IF(BG137=AY137,"• Same",IF(INDEX(B_VAL,MATCH(BG137,B_LVL,0))&gt;INDEX(B_VAL,MATCH(AY137,B_LVL,0)),"▲ Up","▼ Down"))</f>
        <v>• Same</v>
      </c>
      <c r="BJ137" s="40" t="str">
        <f>IF(OR($M137="",$M137="—",$M137="Not in this file"),"",IFERROR(INDEX($BG$7:$BG$592,MATCH($M137,$D$7:$D$592,0)),""))</f>
        <v>B2</v>
      </c>
      <c r="BK137" s="40" t="str">
        <f>IFERROR(IF(BJ137="","—",IF(OR(LEFT(BG137,1)="X",LEFT(BJ137,1)="X"),"—",IF(AND(LEFT(BG137,1)="E",LEFT(BJ137,1)="E"),"Exception · Band E",IF(AND(INDEX(B_VAL,MATCH(BJ137,B_LVL,0))&gt;=7,INDEX(B_RANK,MATCH(BG137,B_LVL,0))&gt;=INDEX(B_RANK,MATCH(BJ137,B_LVL,0))),"⚠ Same band as a head manager",IF(INDEX(B_VAL,MATCH(BG137,B_LVL,0))&gt;=INDEX(B_VAL,MATCH(BJ137,B_LVL,0)),"⚠ At or above the manager's level","OK"))))),"—")</f>
        <v>OK</v>
      </c>
      <c r="BL137" s="43" t="n"/>
      <c r="BM137" s="44">
        <f>IFERROR(INDEX(LMH_PTS,MATCH(Y137,LMH_KEY,0)),0)</f>
        <v>9</v>
      </c>
      <c r="BN137" s="38">
        <f>IFERROR(INDEX(LMH_PTS,MATCH(Z137,LMH_KEY,0)),0)</f>
        <v>3</v>
      </c>
      <c r="BO137" s="38">
        <f>IFERROR(INDEX(LMH_PTS,MATCH(AA137,LMH_KEY,0)),0)</f>
        <v>1</v>
      </c>
      <c r="BP137" s="38">
        <f>IFERROR(INDEX(LMH_PTS,MATCH(AB137,LMH_KEY,0)),0)</f>
        <v>1</v>
      </c>
      <c r="BQ137" s="38">
        <f>IFERROR(INDEX(LMH_PTS,MATCH(AC137,LMH_KEY,0)),0)</f>
        <v>3</v>
      </c>
      <c r="BR137" s="38">
        <f>IFERROR(INDEX(LMH_PTS,MATCH(AD137,LMH_KEY,0)),0)</f>
        <v>1</v>
      </c>
      <c r="BS137" s="38">
        <f>IFERROR(INDEX(LMH_PTS,MATCH(AE137,LMH_KEY,0)),0)</f>
        <v>1</v>
      </c>
      <c r="BT137" s="38">
        <f>IFERROR(INDEX(LMH_STEP,MATCH(AF137,LMH_KEY,0)),0)</f>
        <v>0</v>
      </c>
      <c r="BU137" s="38">
        <f>IFERROR(INDEX(LMH_STEP,MATCH(AG137,LMH_KEY,0)),0)</f>
        <v>0</v>
      </c>
      <c r="BV137" s="38">
        <f>IFERROR(INDEX(LMH_STEP,MATCH(AH137,LMH_KEY,0)),0)</f>
        <v>0</v>
      </c>
      <c r="BW137" s="38">
        <f>IFERROR(INDEX(LMH_STEP,MATCH(AI137,LMH_KEY,0)),0)</f>
        <v>0</v>
      </c>
      <c r="BX137" s="38">
        <f>IFERROR(INDEX(LMH_STEP,MATCH(AJ137,LMH_KEY,0)),0)</f>
        <v>0</v>
      </c>
      <c r="BY137" s="38">
        <f>IFERROR(INDEX(LMH_STEP,MATCH(AK137,LMH_KEY,0)),0)</f>
        <v>0</v>
      </c>
      <c r="BZ137" s="38">
        <f>IFERROR(INDEX(LMH_STEP,MATCH(AL137,LMH_KEY,0)),0)</f>
        <v>0</v>
      </c>
      <c r="CA137" s="38" t="inlineStr">
        <is>
          <t>CARBON|Marketing|Senior Content Marketing Associate|A3|A</t>
        </is>
      </c>
    </row>
    <row r="138" ht="110" customHeight="1">
      <c r="A138" s="28" t="inlineStr">
        <is>
          <t>CARBON</t>
        </is>
      </c>
      <c r="B138" s="29" t="inlineStr">
        <is>
          <t>Marketing</t>
        </is>
      </c>
      <c r="C138" s="29" t="n">
        <v>5</v>
      </c>
      <c r="D138" s="29" t="inlineStr">
        <is>
          <t>IRIS2005</t>
        </is>
      </c>
      <c r="E138" s="29" t="inlineStr">
        <is>
          <t>Danish Baksh</t>
        </is>
      </c>
      <c r="F138" s="29" t="inlineStr">
        <is>
          <t>Marketing Web Developer</t>
        </is>
      </c>
      <c r="G138" s="29" t="inlineStr">
        <is>
          <t>Senior Digital Marketing Associate</t>
        </is>
      </c>
      <c r="H138" s="29" t="inlineStr">
        <is>
          <t>Marketing &amp; Communications</t>
        </is>
      </c>
      <c r="I138" s="29" t="inlineStr">
        <is>
          <t>Digital Marketing, Web &amp; Social</t>
        </is>
      </c>
      <c r="J138" s="29" t="inlineStr">
        <is>
          <t>IC</t>
        </is>
      </c>
      <c r="K138" s="29" t="inlineStr">
        <is>
          <t>RC-117</t>
        </is>
      </c>
      <c r="L138" s="29" t="inlineStr">
        <is>
          <t>Sobhan Pramanik</t>
        </is>
      </c>
      <c r="M138" s="29" t="inlineStr">
        <is>
          <t>IRIS2358</t>
        </is>
      </c>
      <c r="N138" s="29" t="n">
        <v>10.5</v>
      </c>
      <c r="O138" s="29" t="n">
        <v>4.5</v>
      </c>
      <c r="P138" s="29" t="inlineStr">
        <is>
          <t>B.E</t>
        </is>
      </c>
      <c r="Q138" s="29" t="inlineStr">
        <is>
          <t>L3 – Professional / Associate</t>
        </is>
      </c>
      <c r="R138" s="29" t="inlineStr">
        <is>
          <t>A3</t>
        </is>
      </c>
      <c r="S138" s="30" t="inlineStr">
        <is>
          <t>20 of 20</t>
        </is>
      </c>
      <c r="T138" s="31" t="inlineStr">
        <is>
          <t>• This role builds, runs and optimises websites to attract visitors and convert them into customers.</t>
        </is>
      </c>
      <c r="U138" s="31" t="inlineStr">
        <is>
          <t>Received · manager annual · 1. Secure Top 20 organic rankings for 20 high-value keywords 
2. Maintain 95% website uptime and resolve critical website issues within 24 hours
3. Publish and maintain 100% of approved blogs, landing pages, and product content within SLA timelines
4. Increase organic website sessions by 40% YoY
5. Implement …</t>
        </is>
      </c>
      <c r="V138" s="31" t="inlineStr">
        <is>
          <t>Latest rating: 3 · Potential: Medium · 9-box: Reliable Specialist · Readiness: Develop in role</t>
        </is>
      </c>
      <c r="W138" s="31" t="inlineStr">
        <is>
          <t>C M · Au M · Ac M · L L · BI M · Exp H · 10.5 yrs vs 2–4 yrs · Edu M · B.E</t>
        </is>
      </c>
      <c r="X138" s="33" t="inlineStr">
        <is>
          <t>Open ▸</t>
        </is>
      </c>
      <c r="Y138" s="34" t="str">
        <f>IFERROR(INDEX(DL_C,MATCH($CA138,DL_KEY,0)),"M")</f>
        <v>H</v>
      </c>
      <c r="Z138" s="35" t="str">
        <f>IFERROR(INDEX(DL_Au,MATCH($CA138,DL_KEY,0)),"M")</f>
        <v>M</v>
      </c>
      <c r="AA138" s="35" t="str">
        <f>IFERROR(INDEX(DL_Ac,MATCH($CA138,DL_KEY,0)),"M")</f>
        <v>L</v>
      </c>
      <c r="AB138" s="35" t="str">
        <f>IFERROR(INDEX(DL_L,MATCH($CA138,DL_KEY,0)),"M")</f>
        <v>L</v>
      </c>
      <c r="AC138" s="35" t="str">
        <f>IFERROR(INDEX(DL_BI,MATCH($CA138,DL_KEY,0)),"M")</f>
        <v>M</v>
      </c>
      <c r="AD138" s="35" t="str">
        <f>IFERROR(INDEX(DL_Exp,MATCH($CA138,DL_KEY,0)),"M")</f>
        <v>L</v>
      </c>
      <c r="AE138" s="35" t="str">
        <f>IFERROR(INDEX(DL_Edu,MATCH($CA138,DL_KEY,0)),"M")</f>
        <v>L</v>
      </c>
      <c r="AF138" s="34" t="inlineStr">
        <is>
          <t>M</t>
        </is>
      </c>
      <c r="AG138" s="35" t="inlineStr">
        <is>
          <t>M</t>
        </is>
      </c>
      <c r="AH138" s="35" t="inlineStr">
        <is>
          <t>M</t>
        </is>
      </c>
      <c r="AI138" s="35" t="inlineStr">
        <is>
          <t>M</t>
        </is>
      </c>
      <c r="AJ138" s="35" t="inlineStr">
        <is>
          <t>M</t>
        </is>
      </c>
      <c r="AK138" s="35" t="inlineStr">
        <is>
          <t>M</t>
        </is>
      </c>
      <c r="AL138" s="35" t="inlineStr">
        <is>
          <t>M</t>
        </is>
      </c>
      <c r="AM138" s="36" t="n">
        <v>0.583</v>
      </c>
      <c r="AN138" s="37" t="n">
        <v>0.16</v>
      </c>
      <c r="AO138" s="37" t="n">
        <v>0.09</v>
      </c>
      <c r="AP138" s="37" t="n">
        <v>0</v>
      </c>
      <c r="AQ138" s="37" t="n">
        <v>0.063</v>
      </c>
      <c r="AR138" s="37" t="n">
        <v>0.06</v>
      </c>
      <c r="AS138" s="37" t="n">
        <v>0.04</v>
      </c>
      <c r="AT138" s="38" t="inlineStr">
        <is>
          <t>2–5</t>
        </is>
      </c>
      <c r="AU138" s="38" t="inlineStr">
        <is>
          <t>Graduate; relevant certification preferred</t>
        </is>
      </c>
      <c r="AV138" s="38" t="inlineStr">
        <is>
          <t>None · guides 1–3 juniors informally</t>
        </is>
      </c>
      <c r="AW138" s="38" t="inlineStr">
        <is>
          <t>P2 · SFIA 3 Apply</t>
        </is>
      </c>
      <c r="AX13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38" s="39" t="inlineStr">
        <is>
          <t>A3</t>
        </is>
      </c>
      <c r="AZ138" s="40" t="inlineStr">
        <is>
          <t>Band A · Practitioner · Senior Associate</t>
        </is>
      </c>
      <c r="BA138" s="40" t="inlineStr">
        <is>
          <t>Model A3 from the six ratings, the market-derived weights and rules R1–R13 · then No change · already below the manager</t>
        </is>
      </c>
      <c r="BB138" s="41" t="inlineStr">
        <is>
          <t>A3</t>
        </is>
      </c>
      <c r="BC138" s="40" t="inlineStr">
        <is>
          <t>The six ratings on the market-average weights of Band A · all tracks score 3.30 → A3 · Hay, Mercer IPE and public plans · experience 10.5 yrs vs the A3 market range 2–5</t>
        </is>
      </c>
      <c r="BD138" s="42">
        <f>IF(SUM(BM138,BN138,BO138,BP138,BQ138,BR138,BS138)=0,0,(BM138*BT138+BN138*BU138+BO138*BV138+BP138*BW138+BQ138*BX138+BR138*BY138+BS138*BZ138)/SUM(BM138,BN138,BO138,BP138,BQ138,BR138,BS138))</f>
        <v>0</v>
      </c>
      <c r="BE138" s="41" t="str">
        <f>IF(LEFT(AY138,1)="X",AY138,IF(OR(AY138="B+",AY138="C+"),INDEX(LAD_PC,MAX(1,MIN(14,MATCH(AY138,LAD_PC,0)+IF(BD138&gt;=0.5,1,IF(BD138&lt;=-0.5,-1,0))))),INDEX(LAD_STD,MAX(1,MIN(12,MATCH(AY138,LAD_STD,0)+IF(BD138&gt;=0.5,1,IF(BD138&lt;=-0.5,-1,0)))))))</f>
        <v>A3</v>
      </c>
      <c r="BF138" s="43" t="n"/>
      <c r="BG138" s="41" t="str">
        <f>IF(BF138&lt;&gt;"",BF138,BE138)</f>
        <v>A3</v>
      </c>
      <c r="BH138" s="40" t="str">
        <f>IFERROR(CHOOSE(INDEX(B_RANK,MATCH(BG138,B_LVL,0)),"Band A","Band B","B+ · Player-Coach","Band C","C+ · Player-Coach","Band D","Band E"),"Band X · Consultant")</f>
        <v>Band A</v>
      </c>
      <c r="BI138" s="40" t="str">
        <f>IF(BG138=AY138,"• Same",IF(INDEX(B_VAL,MATCH(BG138,B_LVL,0))&gt;INDEX(B_VAL,MATCH(AY138,B_LVL,0)),"▲ Up","▼ Down"))</f>
        <v>• Same</v>
      </c>
      <c r="BJ138" s="40" t="str">
        <f>IF(OR($M138="",$M138="—",$M138="Not in this file"),"",IFERROR(INDEX($BG$7:$BG$592,MATCH($M138,$D$7:$D$592,0)),""))</f>
        <v>B2</v>
      </c>
      <c r="BK138" s="40" t="str">
        <f>IFERROR(IF(BJ138="","—",IF(OR(LEFT(BG138,1)="X",LEFT(BJ138,1)="X"),"—",IF(AND(LEFT(BG138,1)="E",LEFT(BJ138,1)="E"),"Exception · Band E",IF(AND(INDEX(B_VAL,MATCH(BJ138,B_LVL,0))&gt;=7,INDEX(B_RANK,MATCH(BG138,B_LVL,0))&gt;=INDEX(B_RANK,MATCH(BJ138,B_LVL,0))),"⚠ Same band as a head manager",IF(INDEX(B_VAL,MATCH(BG138,B_LVL,0))&gt;=INDEX(B_VAL,MATCH(BJ138,B_LVL,0)),"⚠ At or above the manager's level","OK"))))),"—")</f>
        <v>OK</v>
      </c>
      <c r="BL138" s="43" t="n"/>
      <c r="BM138" s="44">
        <f>IFERROR(INDEX(LMH_PTS,MATCH(Y138,LMH_KEY,0)),0)</f>
        <v>9</v>
      </c>
      <c r="BN138" s="38">
        <f>IFERROR(INDEX(LMH_PTS,MATCH(Z138,LMH_KEY,0)),0)</f>
        <v>3</v>
      </c>
      <c r="BO138" s="38">
        <f>IFERROR(INDEX(LMH_PTS,MATCH(AA138,LMH_KEY,0)),0)</f>
        <v>1</v>
      </c>
      <c r="BP138" s="38">
        <f>IFERROR(INDEX(LMH_PTS,MATCH(AB138,LMH_KEY,0)),0)</f>
        <v>1</v>
      </c>
      <c r="BQ138" s="38">
        <f>IFERROR(INDEX(LMH_PTS,MATCH(AC138,LMH_KEY,0)),0)</f>
        <v>3</v>
      </c>
      <c r="BR138" s="38">
        <f>IFERROR(INDEX(LMH_PTS,MATCH(AD138,LMH_KEY,0)),0)</f>
        <v>1</v>
      </c>
      <c r="BS138" s="38">
        <f>IFERROR(INDEX(LMH_PTS,MATCH(AE138,LMH_KEY,0)),0)</f>
        <v>1</v>
      </c>
      <c r="BT138" s="38">
        <f>IFERROR(INDEX(LMH_STEP,MATCH(AF138,LMH_KEY,0)),0)</f>
        <v>0</v>
      </c>
      <c r="BU138" s="38">
        <f>IFERROR(INDEX(LMH_STEP,MATCH(AG138,LMH_KEY,0)),0)</f>
        <v>0</v>
      </c>
      <c r="BV138" s="38">
        <f>IFERROR(INDEX(LMH_STEP,MATCH(AH138,LMH_KEY,0)),0)</f>
        <v>0</v>
      </c>
      <c r="BW138" s="38">
        <f>IFERROR(INDEX(LMH_STEP,MATCH(AI138,LMH_KEY,0)),0)</f>
        <v>0</v>
      </c>
      <c r="BX138" s="38">
        <f>IFERROR(INDEX(LMH_STEP,MATCH(AJ138,LMH_KEY,0)),0)</f>
        <v>0</v>
      </c>
      <c r="BY138" s="38">
        <f>IFERROR(INDEX(LMH_STEP,MATCH(AK138,LMH_KEY,0)),0)</f>
        <v>0</v>
      </c>
      <c r="BZ138" s="38">
        <f>IFERROR(INDEX(LMH_STEP,MATCH(AL138,LMH_KEY,0)),0)</f>
        <v>0</v>
      </c>
      <c r="CA138" s="38" t="inlineStr">
        <is>
          <t>CARBON|Marketing|Senior Digital Marketing Associate|A3|A</t>
        </is>
      </c>
    </row>
    <row r="139" ht="110" customHeight="1">
      <c r="A139" s="28" t="inlineStr">
        <is>
          <t>CARBON</t>
        </is>
      </c>
      <c r="B139" s="29" t="inlineStr">
        <is>
          <t>Marketing</t>
        </is>
      </c>
      <c r="C139" s="29" t="n">
        <v>5</v>
      </c>
      <c r="D139" s="29" t="inlineStr">
        <is>
          <t>IRIS2541</t>
        </is>
      </c>
      <c r="E139" s="29" t="inlineStr">
        <is>
          <t>Aakansha Gupta</t>
        </is>
      </c>
      <c r="F139" s="29" t="inlineStr">
        <is>
          <t>Marketing Associate</t>
        </is>
      </c>
      <c r="G139" s="29" t="inlineStr">
        <is>
          <t>Content Marketing Associate</t>
        </is>
      </c>
      <c r="H139" s="29" t="inlineStr">
        <is>
          <t>Marketing &amp; Communications</t>
        </is>
      </c>
      <c r="I139" s="29" t="inlineStr">
        <is>
          <t>Content Marketing</t>
        </is>
      </c>
      <c r="J139" s="29" t="inlineStr">
        <is>
          <t>IC</t>
        </is>
      </c>
      <c r="K139" s="29" t="inlineStr">
        <is>
          <t>RC-111</t>
        </is>
      </c>
      <c r="L139" s="29" t="inlineStr">
        <is>
          <t>Sobhan Pramanik</t>
        </is>
      </c>
      <c r="M139" s="29" t="inlineStr">
        <is>
          <t>IRIS2358</t>
        </is>
      </c>
      <c r="N139" s="29" t="n">
        <v>0.3</v>
      </c>
      <c r="O139" s="29" t="n">
        <v>0.3</v>
      </c>
      <c r="P139" s="29" t="inlineStr">
        <is>
          <t>BBA.LLB</t>
        </is>
      </c>
      <c r="Q139" s="29" t="inlineStr">
        <is>
          <t>Not in current mapping files</t>
        </is>
      </c>
      <c r="R139" s="29" t="inlineStr">
        <is>
          <t>A2</t>
        </is>
      </c>
      <c r="S139" s="30" t="inlineStr">
        <is>
          <t>20 of 20</t>
        </is>
      </c>
      <c r="T139" s="31" t="inlineStr">
        <is>
          <t>• This role creates content for products being sold and promotes it through social media.</t>
        </is>
      </c>
      <c r="U139" s="32" t="inlineStr">
        <is>
          <t>KRAs not received · manager to supply</t>
        </is>
      </c>
      <c r="V139" s="31" t="inlineStr">
        <is>
          <t>Latest rating: Not rated · manager · 9-box: Not placed · manager · Readiness: No rating data</t>
        </is>
      </c>
      <c r="W139" s="31" t="inlineStr">
        <is>
          <t>C M · Au M · Ac M · L L · BI M · Exp M · 0.3 yrs vs 0–2 yrs · Edu H · BBA.LLB</t>
        </is>
      </c>
      <c r="X139" s="33" t="inlineStr">
        <is>
          <t>Open ▸</t>
        </is>
      </c>
      <c r="Y139" s="34" t="str">
        <f>IFERROR(INDEX(DL_C,MATCH($CA139,DL_KEY,0)),"M")</f>
        <v>H</v>
      </c>
      <c r="Z139" s="35" t="str">
        <f>IFERROR(INDEX(DL_Au,MATCH($CA139,DL_KEY,0)),"M")</f>
        <v>M</v>
      </c>
      <c r="AA139" s="35" t="str">
        <f>IFERROR(INDEX(DL_Ac,MATCH($CA139,DL_KEY,0)),"M")</f>
        <v>L</v>
      </c>
      <c r="AB139" s="35" t="str">
        <f>IFERROR(INDEX(DL_L,MATCH($CA139,DL_KEY,0)),"M")</f>
        <v>L</v>
      </c>
      <c r="AC139" s="35" t="str">
        <f>IFERROR(INDEX(DL_BI,MATCH($CA139,DL_KEY,0)),"M")</f>
        <v>M</v>
      </c>
      <c r="AD139" s="35" t="str">
        <f>IFERROR(INDEX(DL_Exp,MATCH($CA139,DL_KEY,0)),"M")</f>
        <v>L</v>
      </c>
      <c r="AE139" s="35" t="str">
        <f>IFERROR(INDEX(DL_Edu,MATCH($CA139,DL_KEY,0)),"M")</f>
        <v>L</v>
      </c>
      <c r="AF139" s="34" t="inlineStr">
        <is>
          <t>M</t>
        </is>
      </c>
      <c r="AG139" s="35" t="inlineStr">
        <is>
          <t>M</t>
        </is>
      </c>
      <c r="AH139" s="35" t="inlineStr">
        <is>
          <t>M</t>
        </is>
      </c>
      <c r="AI139" s="35" t="inlineStr">
        <is>
          <t>M</t>
        </is>
      </c>
      <c r="AJ139" s="35" t="inlineStr">
        <is>
          <t>M</t>
        </is>
      </c>
      <c r="AK139" s="35" t="inlineStr">
        <is>
          <t>M</t>
        </is>
      </c>
      <c r="AL139" s="35" t="inlineStr">
        <is>
          <t>M</t>
        </is>
      </c>
      <c r="AM139" s="36" t="n">
        <v>0.583</v>
      </c>
      <c r="AN139" s="37" t="n">
        <v>0.16</v>
      </c>
      <c r="AO139" s="37" t="n">
        <v>0.09</v>
      </c>
      <c r="AP139" s="37" t="n">
        <v>0</v>
      </c>
      <c r="AQ139" s="37" t="n">
        <v>0.063</v>
      </c>
      <c r="AR139" s="37" t="n">
        <v>0.06</v>
      </c>
      <c r="AS139" s="37" t="n">
        <v>0.04</v>
      </c>
      <c r="AT139" s="38" t="inlineStr">
        <is>
          <t>0–3</t>
        </is>
      </c>
      <c r="AU139" s="38" t="inlineStr">
        <is>
          <t>Graduate · or diploma with experience</t>
        </is>
      </c>
      <c r="AV139" s="38" t="inlineStr">
        <is>
          <t>No direct reports</t>
        </is>
      </c>
      <c r="AW139" s="38" t="inlineStr">
        <is>
          <t>P1–P2 · SFIA 2 Assist</t>
        </is>
      </c>
      <c r="AX13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39" s="39" t="inlineStr">
        <is>
          <t>A2</t>
        </is>
      </c>
      <c r="AZ139" s="40" t="inlineStr">
        <is>
          <t>Band A · Practitioner · Associate</t>
        </is>
      </c>
      <c r="BA139" s="40" t="inlineStr">
        <is>
          <t>Model A2 from the six ratings, the market-derived weights and rules R1–R13 · then No change · already below the manager</t>
        </is>
      </c>
      <c r="BB139" s="41" t="inlineStr">
        <is>
          <t>A2</t>
        </is>
      </c>
      <c r="BC139" s="40" t="inlineStr">
        <is>
          <t>The six ratings on the market-average weights of Band A · all tracks score 2.05 → A2 · Hay, Mercer IPE and public plans · experience 0.3 yrs vs the A2 market range 0–3</t>
        </is>
      </c>
      <c r="BD139" s="42">
        <f>IF(SUM(BM139,BN139,BO139,BP139,BQ139,BR139,BS139)=0,0,(BM139*BT139+BN139*BU139+BO139*BV139+BP139*BW139+BQ139*BX139+BR139*BY139+BS139*BZ139)/SUM(BM139,BN139,BO139,BP139,BQ139,BR139,BS139))</f>
        <v>0</v>
      </c>
      <c r="BE139" s="41" t="str">
        <f>IF(LEFT(AY139,1)="X",AY139,IF(OR(AY139="B+",AY139="C+"),INDEX(LAD_PC,MAX(1,MIN(14,MATCH(AY139,LAD_PC,0)+IF(BD139&gt;=0.5,1,IF(BD139&lt;=-0.5,-1,0))))),INDEX(LAD_STD,MAX(1,MIN(12,MATCH(AY139,LAD_STD,0)+IF(BD139&gt;=0.5,1,IF(BD139&lt;=-0.5,-1,0)))))))</f>
        <v>A2</v>
      </c>
      <c r="BF139" s="43" t="n"/>
      <c r="BG139" s="41" t="str">
        <f>IF(BF139&lt;&gt;"",BF139,BE139)</f>
        <v>A2</v>
      </c>
      <c r="BH139" s="40" t="str">
        <f>IFERROR(CHOOSE(INDEX(B_RANK,MATCH(BG139,B_LVL,0)),"Band A","Band B","B+ · Player-Coach","Band C","C+ · Player-Coach","Band D","Band E"),"Band X · Consultant")</f>
        <v>Band A</v>
      </c>
      <c r="BI139" s="40" t="str">
        <f>IF(BG139=AY139,"• Same",IF(INDEX(B_VAL,MATCH(BG139,B_LVL,0))&gt;INDEX(B_VAL,MATCH(AY139,B_LVL,0)),"▲ Up","▼ Down"))</f>
        <v>• Same</v>
      </c>
      <c r="BJ139" s="40" t="str">
        <f>IF(OR($M139="",$M139="—",$M139="Not in this file"),"",IFERROR(INDEX($BG$7:$BG$592,MATCH($M139,$D$7:$D$592,0)),""))</f>
        <v>B2</v>
      </c>
      <c r="BK139" s="40" t="str">
        <f>IFERROR(IF(BJ139="","—",IF(OR(LEFT(BG139,1)="X",LEFT(BJ139,1)="X"),"—",IF(AND(LEFT(BG139,1)="E",LEFT(BJ139,1)="E"),"Exception · Band E",IF(AND(INDEX(B_VAL,MATCH(BJ139,B_LVL,0))&gt;=7,INDEX(B_RANK,MATCH(BG139,B_LVL,0))&gt;=INDEX(B_RANK,MATCH(BJ139,B_LVL,0))),"⚠ Same band as a head manager",IF(INDEX(B_VAL,MATCH(BG139,B_LVL,0))&gt;=INDEX(B_VAL,MATCH(BJ139,B_LVL,0)),"⚠ At or above the manager's level","OK"))))),"—")</f>
        <v>OK</v>
      </c>
      <c r="BL139" s="43" t="n"/>
      <c r="BM139" s="44">
        <f>IFERROR(INDEX(LMH_PTS,MATCH(Y139,LMH_KEY,0)),0)</f>
        <v>9</v>
      </c>
      <c r="BN139" s="38">
        <f>IFERROR(INDEX(LMH_PTS,MATCH(Z139,LMH_KEY,0)),0)</f>
        <v>3</v>
      </c>
      <c r="BO139" s="38">
        <f>IFERROR(INDEX(LMH_PTS,MATCH(AA139,LMH_KEY,0)),0)</f>
        <v>1</v>
      </c>
      <c r="BP139" s="38">
        <f>IFERROR(INDEX(LMH_PTS,MATCH(AB139,LMH_KEY,0)),0)</f>
        <v>1</v>
      </c>
      <c r="BQ139" s="38">
        <f>IFERROR(INDEX(LMH_PTS,MATCH(AC139,LMH_KEY,0)),0)</f>
        <v>3</v>
      </c>
      <c r="BR139" s="38">
        <f>IFERROR(INDEX(LMH_PTS,MATCH(AD139,LMH_KEY,0)),0)</f>
        <v>1</v>
      </c>
      <c r="BS139" s="38">
        <f>IFERROR(INDEX(LMH_PTS,MATCH(AE139,LMH_KEY,0)),0)</f>
        <v>1</v>
      </c>
      <c r="BT139" s="38">
        <f>IFERROR(INDEX(LMH_STEP,MATCH(AF139,LMH_KEY,0)),0)</f>
        <v>0</v>
      </c>
      <c r="BU139" s="38">
        <f>IFERROR(INDEX(LMH_STEP,MATCH(AG139,LMH_KEY,0)),0)</f>
        <v>0</v>
      </c>
      <c r="BV139" s="38">
        <f>IFERROR(INDEX(LMH_STEP,MATCH(AH139,LMH_KEY,0)),0)</f>
        <v>0</v>
      </c>
      <c r="BW139" s="38">
        <f>IFERROR(INDEX(LMH_STEP,MATCH(AI139,LMH_KEY,0)),0)</f>
        <v>0</v>
      </c>
      <c r="BX139" s="38">
        <f>IFERROR(INDEX(LMH_STEP,MATCH(AJ139,LMH_KEY,0)),0)</f>
        <v>0</v>
      </c>
      <c r="BY139" s="38">
        <f>IFERROR(INDEX(LMH_STEP,MATCH(AK139,LMH_KEY,0)),0)</f>
        <v>0</v>
      </c>
      <c r="BZ139" s="38">
        <f>IFERROR(INDEX(LMH_STEP,MATCH(AL139,LMH_KEY,0)),0)</f>
        <v>0</v>
      </c>
      <c r="CA139" s="38" t="inlineStr">
        <is>
          <t>CARBON|Marketing|Content Marketing Associate|A2|A</t>
        </is>
      </c>
    </row>
    <row r="140" ht="110" customHeight="1">
      <c r="A140" s="28" t="inlineStr">
        <is>
          <t>iDEAL</t>
        </is>
      </c>
      <c r="B140" s="29" t="inlineStr">
        <is>
          <t>Marketing</t>
        </is>
      </c>
      <c r="C140" s="29" t="n">
        <v>5</v>
      </c>
      <c r="D140" s="29" t="inlineStr">
        <is>
          <t>IRIS2511</t>
        </is>
      </c>
      <c r="E140" s="29" t="inlineStr">
        <is>
          <t>Muskan Jain</t>
        </is>
      </c>
      <c r="F140" s="29" t="inlineStr">
        <is>
          <t>Marketing Associate</t>
        </is>
      </c>
      <c r="G140" s="29" t="inlineStr">
        <is>
          <t>Content Marketing Associate</t>
        </is>
      </c>
      <c r="H140" s="29" t="inlineStr">
        <is>
          <t>Marketing &amp; Communications</t>
        </is>
      </c>
      <c r="I140" s="29" t="inlineStr">
        <is>
          <t>Content Marketing</t>
        </is>
      </c>
      <c r="J140" s="29" t="inlineStr">
        <is>
          <t>IC</t>
        </is>
      </c>
      <c r="K140" s="29" t="inlineStr">
        <is>
          <t>RC-111</t>
        </is>
      </c>
      <c r="L140" s="29" t="inlineStr">
        <is>
          <t>Sobhan Pramanik</t>
        </is>
      </c>
      <c r="M140" s="29" t="inlineStr">
        <is>
          <t>IRIS2358</t>
        </is>
      </c>
      <c r="N140" s="29" t="n">
        <v>0.4</v>
      </c>
      <c r="O140" s="29" t="n">
        <v>0.4</v>
      </c>
      <c r="P140" s="29" t="inlineStr">
        <is>
          <t>PGDM</t>
        </is>
      </c>
      <c r="Q140" s="29" t="inlineStr">
        <is>
          <t>L3 – Professional / Associate</t>
        </is>
      </c>
      <c r="R140" s="29" t="inlineStr">
        <is>
          <t>A2</t>
        </is>
      </c>
      <c r="S140" s="30" t="inlineStr">
        <is>
          <t>20 of 20</t>
        </is>
      </c>
      <c r="T140" s="31" t="inlineStr">
        <is>
          <t>• This role is intended to get the inbound leads through the website content and branding. That can be converted into full time clients.</t>
        </is>
      </c>
      <c r="U140" s="32" t="inlineStr">
        <is>
          <t>KRAs not received · manager to supply</t>
        </is>
      </c>
      <c r="V140" s="31" t="inlineStr">
        <is>
          <t>Latest rating: Not rated · manager · Potential: Medium · 9-box: Core Contributor · Readiness: Develop in role</t>
        </is>
      </c>
      <c r="W140" s="31" t="inlineStr">
        <is>
          <t>C M · Au M · Ac M · L L · BI M · Exp M · 0.4 yrs vs 0–2 yrs · Edu H · PGDM</t>
        </is>
      </c>
      <c r="X140" s="33" t="inlineStr">
        <is>
          <t>Open ▸</t>
        </is>
      </c>
      <c r="Y140" s="34" t="str">
        <f>IFERROR(INDEX(DL_C,MATCH($CA140,DL_KEY,0)),"M")</f>
        <v>H</v>
      </c>
      <c r="Z140" s="35" t="str">
        <f>IFERROR(INDEX(DL_Au,MATCH($CA140,DL_KEY,0)),"M")</f>
        <v>M</v>
      </c>
      <c r="AA140" s="35" t="str">
        <f>IFERROR(INDEX(DL_Ac,MATCH($CA140,DL_KEY,0)),"M")</f>
        <v>L</v>
      </c>
      <c r="AB140" s="35" t="str">
        <f>IFERROR(INDEX(DL_L,MATCH($CA140,DL_KEY,0)),"M")</f>
        <v>L</v>
      </c>
      <c r="AC140" s="35" t="str">
        <f>IFERROR(INDEX(DL_BI,MATCH($CA140,DL_KEY,0)),"M")</f>
        <v>M</v>
      </c>
      <c r="AD140" s="35" t="str">
        <f>IFERROR(INDEX(DL_Exp,MATCH($CA140,DL_KEY,0)),"M")</f>
        <v>L</v>
      </c>
      <c r="AE140" s="35" t="str">
        <f>IFERROR(INDEX(DL_Edu,MATCH($CA140,DL_KEY,0)),"M")</f>
        <v>L</v>
      </c>
      <c r="AF140" s="34" t="inlineStr">
        <is>
          <t>M</t>
        </is>
      </c>
      <c r="AG140" s="35" t="inlineStr">
        <is>
          <t>M</t>
        </is>
      </c>
      <c r="AH140" s="35" t="inlineStr">
        <is>
          <t>M</t>
        </is>
      </c>
      <c r="AI140" s="35" t="inlineStr">
        <is>
          <t>M</t>
        </is>
      </c>
      <c r="AJ140" s="35" t="inlineStr">
        <is>
          <t>M</t>
        </is>
      </c>
      <c r="AK140" s="35" t="inlineStr">
        <is>
          <t>M</t>
        </is>
      </c>
      <c r="AL140" s="35" t="inlineStr">
        <is>
          <t>M</t>
        </is>
      </c>
      <c r="AM140" s="36" t="n">
        <v>0.583</v>
      </c>
      <c r="AN140" s="37" t="n">
        <v>0.16</v>
      </c>
      <c r="AO140" s="37" t="n">
        <v>0.09</v>
      </c>
      <c r="AP140" s="37" t="n">
        <v>0</v>
      </c>
      <c r="AQ140" s="37" t="n">
        <v>0.063</v>
      </c>
      <c r="AR140" s="37" t="n">
        <v>0.06</v>
      </c>
      <c r="AS140" s="37" t="n">
        <v>0.04</v>
      </c>
      <c r="AT140" s="38" t="inlineStr">
        <is>
          <t>0–3</t>
        </is>
      </c>
      <c r="AU140" s="38" t="inlineStr">
        <is>
          <t>Graduate · or diploma with experience</t>
        </is>
      </c>
      <c r="AV140" s="38" t="inlineStr">
        <is>
          <t>No direct reports</t>
        </is>
      </c>
      <c r="AW140" s="38" t="inlineStr">
        <is>
          <t>P1–P2 · SFIA 2 Assist</t>
        </is>
      </c>
      <c r="AX14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40" s="39" t="inlineStr">
        <is>
          <t>A2</t>
        </is>
      </c>
      <c r="AZ140" s="40" t="inlineStr">
        <is>
          <t>Band A · Practitioner · Associate</t>
        </is>
      </c>
      <c r="BA140" s="40" t="inlineStr">
        <is>
          <t>Model A2 from the six ratings, the market-derived weights and rules R1–R13 · then No change · already below the manager</t>
        </is>
      </c>
      <c r="BB140" s="41" t="inlineStr">
        <is>
          <t>A2</t>
        </is>
      </c>
      <c r="BC140" s="40" t="inlineStr">
        <is>
          <t>The six ratings on the market-average weights of Band A · all tracks score 2.08 → A2 · Hay, Mercer IPE and public plans · experience 0.4 yrs vs the A2 market range 0–3</t>
        </is>
      </c>
      <c r="BD140" s="42">
        <f>IF(SUM(BM140,BN140,BO140,BP140,BQ140,BR140,BS140)=0,0,(BM140*BT140+BN140*BU140+BO140*BV140+BP140*BW140+BQ140*BX140+BR140*BY140+BS140*BZ140)/SUM(BM140,BN140,BO140,BP140,BQ140,BR140,BS140))</f>
        <v>0</v>
      </c>
      <c r="BE140" s="41" t="str">
        <f>IF(LEFT(AY140,1)="X",AY140,IF(OR(AY140="B+",AY140="C+"),INDEX(LAD_PC,MAX(1,MIN(14,MATCH(AY140,LAD_PC,0)+IF(BD140&gt;=0.5,1,IF(BD140&lt;=-0.5,-1,0))))),INDEX(LAD_STD,MAX(1,MIN(12,MATCH(AY140,LAD_STD,0)+IF(BD140&gt;=0.5,1,IF(BD140&lt;=-0.5,-1,0)))))))</f>
        <v>A2</v>
      </c>
      <c r="BF140" s="43" t="n"/>
      <c r="BG140" s="41" t="str">
        <f>IF(BF140&lt;&gt;"",BF140,BE140)</f>
        <v>A2</v>
      </c>
      <c r="BH140" s="40" t="str">
        <f>IFERROR(CHOOSE(INDEX(B_RANK,MATCH(BG140,B_LVL,0)),"Band A","Band B","B+ · Player-Coach","Band C","C+ · Player-Coach","Band D","Band E"),"Band X · Consultant")</f>
        <v>Band A</v>
      </c>
      <c r="BI140" s="40" t="str">
        <f>IF(BG140=AY140,"• Same",IF(INDEX(B_VAL,MATCH(BG140,B_LVL,0))&gt;INDEX(B_VAL,MATCH(AY140,B_LVL,0)),"▲ Up","▼ Down"))</f>
        <v>• Same</v>
      </c>
      <c r="BJ140" s="40" t="str">
        <f>IF(OR($M140="",$M140="—",$M140="Not in this file"),"",IFERROR(INDEX($BG$7:$BG$592,MATCH($M140,$D$7:$D$592,0)),""))</f>
        <v>B2</v>
      </c>
      <c r="BK140" s="40" t="str">
        <f>IFERROR(IF(BJ140="","—",IF(OR(LEFT(BG140,1)="X",LEFT(BJ140,1)="X"),"—",IF(AND(LEFT(BG140,1)="E",LEFT(BJ140,1)="E"),"Exception · Band E",IF(AND(INDEX(B_VAL,MATCH(BJ140,B_LVL,0))&gt;=7,INDEX(B_RANK,MATCH(BG140,B_LVL,0))&gt;=INDEX(B_RANK,MATCH(BJ140,B_LVL,0))),"⚠ Same band as a head manager",IF(INDEX(B_VAL,MATCH(BG140,B_LVL,0))&gt;=INDEX(B_VAL,MATCH(BJ140,B_LVL,0)),"⚠ At or above the manager's level","OK"))))),"—")</f>
        <v>OK</v>
      </c>
      <c r="BL140" s="43" t="n"/>
      <c r="BM140" s="44">
        <f>IFERROR(INDEX(LMH_PTS,MATCH(Y140,LMH_KEY,0)),0)</f>
        <v>9</v>
      </c>
      <c r="BN140" s="38">
        <f>IFERROR(INDEX(LMH_PTS,MATCH(Z140,LMH_KEY,0)),0)</f>
        <v>3</v>
      </c>
      <c r="BO140" s="38">
        <f>IFERROR(INDEX(LMH_PTS,MATCH(AA140,LMH_KEY,0)),0)</f>
        <v>1</v>
      </c>
      <c r="BP140" s="38">
        <f>IFERROR(INDEX(LMH_PTS,MATCH(AB140,LMH_KEY,0)),0)</f>
        <v>1</v>
      </c>
      <c r="BQ140" s="38">
        <f>IFERROR(INDEX(LMH_PTS,MATCH(AC140,LMH_KEY,0)),0)</f>
        <v>3</v>
      </c>
      <c r="BR140" s="38">
        <f>IFERROR(INDEX(LMH_PTS,MATCH(AD140,LMH_KEY,0)),0)</f>
        <v>1</v>
      </c>
      <c r="BS140" s="38">
        <f>IFERROR(INDEX(LMH_PTS,MATCH(AE140,LMH_KEY,0)),0)</f>
        <v>1</v>
      </c>
      <c r="BT140" s="38">
        <f>IFERROR(INDEX(LMH_STEP,MATCH(AF140,LMH_KEY,0)),0)</f>
        <v>0</v>
      </c>
      <c r="BU140" s="38">
        <f>IFERROR(INDEX(LMH_STEP,MATCH(AG140,LMH_KEY,0)),0)</f>
        <v>0</v>
      </c>
      <c r="BV140" s="38">
        <f>IFERROR(INDEX(LMH_STEP,MATCH(AH140,LMH_KEY,0)),0)</f>
        <v>0</v>
      </c>
      <c r="BW140" s="38">
        <f>IFERROR(INDEX(LMH_STEP,MATCH(AI140,LMH_KEY,0)),0)</f>
        <v>0</v>
      </c>
      <c r="BX140" s="38">
        <f>IFERROR(INDEX(LMH_STEP,MATCH(AJ140,LMH_KEY,0)),0)</f>
        <v>0</v>
      </c>
      <c r="BY140" s="38">
        <f>IFERROR(INDEX(LMH_STEP,MATCH(AK140,LMH_KEY,0)),0)</f>
        <v>0</v>
      </c>
      <c r="BZ140" s="38">
        <f>IFERROR(INDEX(LMH_STEP,MATCH(AL140,LMH_KEY,0)),0)</f>
        <v>0</v>
      </c>
      <c r="CA140" s="38" t="inlineStr">
        <is>
          <t>iDEAL|Marketing|Content Marketing Associate|A2|A</t>
        </is>
      </c>
    </row>
    <row r="141" ht="110" customHeight="1">
      <c r="A141" s="28" t="inlineStr">
        <is>
          <t>CARBON</t>
        </is>
      </c>
      <c r="B141" s="29" t="inlineStr">
        <is>
          <t>Marketing</t>
        </is>
      </c>
      <c r="C141" s="29" t="n">
        <v>5</v>
      </c>
      <c r="D141" s="29" t="inlineStr">
        <is>
          <t>IRIS2516</t>
        </is>
      </c>
      <c r="E141" s="29" t="inlineStr">
        <is>
          <t>Rimsha Khan</t>
        </is>
      </c>
      <c r="F141" s="29" t="inlineStr">
        <is>
          <t>Marketing Associate</t>
        </is>
      </c>
      <c r="G141" s="29" t="inlineStr">
        <is>
          <t>Content Marketing Associate</t>
        </is>
      </c>
      <c r="H141" s="29" t="inlineStr">
        <is>
          <t>Marketing &amp; Communications</t>
        </is>
      </c>
      <c r="I141" s="29" t="inlineStr">
        <is>
          <t>Content Marketing</t>
        </is>
      </c>
      <c r="J141" s="29" t="inlineStr">
        <is>
          <t>IC</t>
        </is>
      </c>
      <c r="K141" s="29" t="inlineStr">
        <is>
          <t>RC-111</t>
        </is>
      </c>
      <c r="L141" s="29" t="inlineStr">
        <is>
          <t>Sobhan Pramanik</t>
        </is>
      </c>
      <c r="M141" s="29" t="inlineStr">
        <is>
          <t>IRIS2358</t>
        </is>
      </c>
      <c r="N141" s="29" t="n">
        <v>0.4</v>
      </c>
      <c r="O141" s="29" t="n">
        <v>0.4</v>
      </c>
      <c r="P141" s="29" t="inlineStr">
        <is>
          <t>PGDM</t>
        </is>
      </c>
      <c r="Q141" s="29" t="inlineStr">
        <is>
          <t>L3 – Professional / Associate</t>
        </is>
      </c>
      <c r="R141" s="29" t="inlineStr">
        <is>
          <t>A2</t>
        </is>
      </c>
      <c r="S141" s="30" t="inlineStr">
        <is>
          <t>18 of 20</t>
        </is>
      </c>
      <c r="T141" s="31" t="inlineStr">
        <is>
          <t>• This role focuses on brand content writing and generating MQLs through organic channels.</t>
        </is>
      </c>
      <c r="U141" s="32" t="inlineStr">
        <is>
          <t>KRAs not received · manager to supply</t>
        </is>
      </c>
      <c r="V141" s="31" t="inlineStr">
        <is>
          <t>Latest rating: Not rated · manager · Potential: Low · 9-box: Misplaced Talent / Enigma · Readiness: Develop in role</t>
        </is>
      </c>
      <c r="W141" s="31" t="inlineStr">
        <is>
          <t>C M · Au M · Ac M · L L · BI M · Exp M · 0.4 yrs vs 0–2 yrs · Edu H · PGDM</t>
        </is>
      </c>
      <c r="X141" s="33" t="inlineStr">
        <is>
          <t>Open ▸</t>
        </is>
      </c>
      <c r="Y141" s="34" t="str">
        <f>IFERROR(INDEX(DL_C,MATCH($CA141,DL_KEY,0)),"M")</f>
        <v>H</v>
      </c>
      <c r="Z141" s="35" t="str">
        <f>IFERROR(INDEX(DL_Au,MATCH($CA141,DL_KEY,0)),"M")</f>
        <v>M</v>
      </c>
      <c r="AA141" s="35" t="str">
        <f>IFERROR(INDEX(DL_Ac,MATCH($CA141,DL_KEY,0)),"M")</f>
        <v>L</v>
      </c>
      <c r="AB141" s="35" t="str">
        <f>IFERROR(INDEX(DL_L,MATCH($CA141,DL_KEY,0)),"M")</f>
        <v>L</v>
      </c>
      <c r="AC141" s="35" t="str">
        <f>IFERROR(INDEX(DL_BI,MATCH($CA141,DL_KEY,0)),"M")</f>
        <v>M</v>
      </c>
      <c r="AD141" s="35" t="str">
        <f>IFERROR(INDEX(DL_Exp,MATCH($CA141,DL_KEY,0)),"M")</f>
        <v>L</v>
      </c>
      <c r="AE141" s="35" t="str">
        <f>IFERROR(INDEX(DL_Edu,MATCH($CA141,DL_KEY,0)),"M")</f>
        <v>L</v>
      </c>
      <c r="AF141" s="34" t="inlineStr">
        <is>
          <t>M</t>
        </is>
      </c>
      <c r="AG141" s="35" t="inlineStr">
        <is>
          <t>M</t>
        </is>
      </c>
      <c r="AH141" s="35" t="inlineStr">
        <is>
          <t>M</t>
        </is>
      </c>
      <c r="AI141" s="35" t="inlineStr">
        <is>
          <t>M</t>
        </is>
      </c>
      <c r="AJ141" s="35" t="inlineStr">
        <is>
          <t>M</t>
        </is>
      </c>
      <c r="AK141" s="35" t="inlineStr">
        <is>
          <t>M</t>
        </is>
      </c>
      <c r="AL141" s="35" t="inlineStr">
        <is>
          <t>M</t>
        </is>
      </c>
      <c r="AM141" s="36" t="n">
        <v>0.583</v>
      </c>
      <c r="AN141" s="37" t="n">
        <v>0.16</v>
      </c>
      <c r="AO141" s="37" t="n">
        <v>0.09</v>
      </c>
      <c r="AP141" s="37" t="n">
        <v>0</v>
      </c>
      <c r="AQ141" s="37" t="n">
        <v>0.063</v>
      </c>
      <c r="AR141" s="37" t="n">
        <v>0.06</v>
      </c>
      <c r="AS141" s="37" t="n">
        <v>0.04</v>
      </c>
      <c r="AT141" s="38" t="inlineStr">
        <is>
          <t>0–3</t>
        </is>
      </c>
      <c r="AU141" s="38" t="inlineStr">
        <is>
          <t>Graduate · or diploma with experience</t>
        </is>
      </c>
      <c r="AV141" s="38" t="inlineStr">
        <is>
          <t>No direct reports</t>
        </is>
      </c>
      <c r="AW141" s="38" t="inlineStr">
        <is>
          <t>P1–P2 · SFIA 2 Assist</t>
        </is>
      </c>
      <c r="AX14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41" s="39" t="inlineStr">
        <is>
          <t>A2</t>
        </is>
      </c>
      <c r="AZ141" s="40" t="inlineStr">
        <is>
          <t>Band A · Practitioner · Associate</t>
        </is>
      </c>
      <c r="BA141" s="40" t="inlineStr">
        <is>
          <t>Model A2 from the six ratings, the market-derived weights and rules R1–R13 · then No change · already below the manager</t>
        </is>
      </c>
      <c r="BB141" s="41" t="inlineStr">
        <is>
          <t>A2</t>
        </is>
      </c>
      <c r="BC141" s="40" t="inlineStr">
        <is>
          <t>The six ratings on the market-average weights of Band A · all tracks score 2.00 → A2 · Hay, Mercer IPE and public plans · experience 0.4 yrs vs the A2 market range 0–3</t>
        </is>
      </c>
      <c r="BD141" s="42">
        <f>IF(SUM(BM141,BN141,BO141,BP141,BQ141,BR141,BS141)=0,0,(BM141*BT141+BN141*BU141+BO141*BV141+BP141*BW141+BQ141*BX141+BR141*BY141+BS141*BZ141)/SUM(BM141,BN141,BO141,BP141,BQ141,BR141,BS141))</f>
        <v>0</v>
      </c>
      <c r="BE141" s="41" t="str">
        <f>IF(LEFT(AY141,1)="X",AY141,IF(OR(AY141="B+",AY141="C+"),INDEX(LAD_PC,MAX(1,MIN(14,MATCH(AY141,LAD_PC,0)+IF(BD141&gt;=0.5,1,IF(BD141&lt;=-0.5,-1,0))))),INDEX(LAD_STD,MAX(1,MIN(12,MATCH(AY141,LAD_STD,0)+IF(BD141&gt;=0.5,1,IF(BD141&lt;=-0.5,-1,0)))))))</f>
        <v>A2</v>
      </c>
      <c r="BF141" s="43" t="n"/>
      <c r="BG141" s="41" t="str">
        <f>IF(BF141&lt;&gt;"",BF141,BE141)</f>
        <v>A2</v>
      </c>
      <c r="BH141" s="40" t="str">
        <f>IFERROR(CHOOSE(INDEX(B_RANK,MATCH(BG141,B_LVL,0)),"Band A","Band B","B+ · Player-Coach","Band C","C+ · Player-Coach","Band D","Band E"),"Band X · Consultant")</f>
        <v>Band A</v>
      </c>
      <c r="BI141" s="40" t="str">
        <f>IF(BG141=AY141,"• Same",IF(INDEX(B_VAL,MATCH(BG141,B_LVL,0))&gt;INDEX(B_VAL,MATCH(AY141,B_LVL,0)),"▲ Up","▼ Down"))</f>
        <v>• Same</v>
      </c>
      <c r="BJ141" s="40" t="str">
        <f>IF(OR($M141="",$M141="—",$M141="Not in this file"),"",IFERROR(INDEX($BG$7:$BG$592,MATCH($M141,$D$7:$D$592,0)),""))</f>
        <v>B2</v>
      </c>
      <c r="BK141" s="40" t="str">
        <f>IFERROR(IF(BJ141="","—",IF(OR(LEFT(BG141,1)="X",LEFT(BJ141,1)="X"),"—",IF(AND(LEFT(BG141,1)="E",LEFT(BJ141,1)="E"),"Exception · Band E",IF(AND(INDEX(B_VAL,MATCH(BJ141,B_LVL,0))&gt;=7,INDEX(B_RANK,MATCH(BG141,B_LVL,0))&gt;=INDEX(B_RANK,MATCH(BJ141,B_LVL,0))),"⚠ Same band as a head manager",IF(INDEX(B_VAL,MATCH(BG141,B_LVL,0))&gt;=INDEX(B_VAL,MATCH(BJ141,B_LVL,0)),"⚠ At or above the manager's level","OK"))))),"—")</f>
        <v>OK</v>
      </c>
      <c r="BL141" s="43" t="n"/>
      <c r="BM141" s="44">
        <f>IFERROR(INDEX(LMH_PTS,MATCH(Y141,LMH_KEY,0)),0)</f>
        <v>9</v>
      </c>
      <c r="BN141" s="38">
        <f>IFERROR(INDEX(LMH_PTS,MATCH(Z141,LMH_KEY,0)),0)</f>
        <v>3</v>
      </c>
      <c r="BO141" s="38">
        <f>IFERROR(INDEX(LMH_PTS,MATCH(AA141,LMH_KEY,0)),0)</f>
        <v>1</v>
      </c>
      <c r="BP141" s="38">
        <f>IFERROR(INDEX(LMH_PTS,MATCH(AB141,LMH_KEY,0)),0)</f>
        <v>1</v>
      </c>
      <c r="BQ141" s="38">
        <f>IFERROR(INDEX(LMH_PTS,MATCH(AC141,LMH_KEY,0)),0)</f>
        <v>3</v>
      </c>
      <c r="BR141" s="38">
        <f>IFERROR(INDEX(LMH_PTS,MATCH(AD141,LMH_KEY,0)),0)</f>
        <v>1</v>
      </c>
      <c r="BS141" s="38">
        <f>IFERROR(INDEX(LMH_PTS,MATCH(AE141,LMH_KEY,0)),0)</f>
        <v>1</v>
      </c>
      <c r="BT141" s="38">
        <f>IFERROR(INDEX(LMH_STEP,MATCH(AF141,LMH_KEY,0)),0)</f>
        <v>0</v>
      </c>
      <c r="BU141" s="38">
        <f>IFERROR(INDEX(LMH_STEP,MATCH(AG141,LMH_KEY,0)),0)</f>
        <v>0</v>
      </c>
      <c r="BV141" s="38">
        <f>IFERROR(INDEX(LMH_STEP,MATCH(AH141,LMH_KEY,0)),0)</f>
        <v>0</v>
      </c>
      <c r="BW141" s="38">
        <f>IFERROR(INDEX(LMH_STEP,MATCH(AI141,LMH_KEY,0)),0)</f>
        <v>0</v>
      </c>
      <c r="BX141" s="38">
        <f>IFERROR(INDEX(LMH_STEP,MATCH(AJ141,LMH_KEY,0)),0)</f>
        <v>0</v>
      </c>
      <c r="BY141" s="38">
        <f>IFERROR(INDEX(LMH_STEP,MATCH(AK141,LMH_KEY,0)),0)</f>
        <v>0</v>
      </c>
      <c r="BZ141" s="38">
        <f>IFERROR(INDEX(LMH_STEP,MATCH(AL141,LMH_KEY,0)),0)</f>
        <v>0</v>
      </c>
      <c r="CA141" s="38" t="inlineStr">
        <is>
          <t>CARBON|Marketing|Content Marketing Associate|A2|A</t>
        </is>
      </c>
    </row>
    <row r="142" ht="110" customHeight="1">
      <c r="A142" s="28" t="inlineStr">
        <is>
          <t>CARBON</t>
        </is>
      </c>
      <c r="B142" s="29" t="inlineStr">
        <is>
          <t>Marketing</t>
        </is>
      </c>
      <c r="C142" s="29" t="n">
        <v>5</v>
      </c>
      <c r="D142" s="29" t="inlineStr">
        <is>
          <t>IRIS2517</t>
        </is>
      </c>
      <c r="E142" s="29" t="inlineStr">
        <is>
          <t>Shubhangi Sharma</t>
        </is>
      </c>
      <c r="F142" s="29" t="inlineStr">
        <is>
          <t>Marketing Associate</t>
        </is>
      </c>
      <c r="G142" s="29" t="inlineStr">
        <is>
          <t>Content Marketing Associate</t>
        </is>
      </c>
      <c r="H142" s="29" t="inlineStr">
        <is>
          <t>Marketing &amp; Communications</t>
        </is>
      </c>
      <c r="I142" s="29" t="inlineStr">
        <is>
          <t>Content Marketing</t>
        </is>
      </c>
      <c r="J142" s="29" t="inlineStr">
        <is>
          <t>IC</t>
        </is>
      </c>
      <c r="K142" s="29" t="inlineStr">
        <is>
          <t>RC-111</t>
        </is>
      </c>
      <c r="L142" s="29" t="inlineStr">
        <is>
          <t>Sobhan Pramanik</t>
        </is>
      </c>
      <c r="M142" s="29" t="inlineStr">
        <is>
          <t>IRIS2358</t>
        </is>
      </c>
      <c r="N142" s="29" t="n">
        <v>0.4</v>
      </c>
      <c r="O142" s="29" t="n">
        <v>0.4</v>
      </c>
      <c r="P142" s="29" t="inlineStr">
        <is>
          <t>PGDM</t>
        </is>
      </c>
      <c r="Q142" s="29" t="inlineStr">
        <is>
          <t>L3 – Professional / Associate</t>
        </is>
      </c>
      <c r="R142" s="29" t="inlineStr">
        <is>
          <t>A2</t>
        </is>
      </c>
      <c r="S142" s="30" t="inlineStr">
        <is>
          <t>20 of 20</t>
        </is>
      </c>
      <c r="T142" s="31" t="inlineStr">
        <is>
          <t>• This role focuses on branding and content marketing to generate MQLs through organic channels, campaigns and events.</t>
        </is>
      </c>
      <c r="U142" s="32" t="inlineStr">
        <is>
          <t>KRAs not received · manager to supply</t>
        </is>
      </c>
      <c r="V142" s="31" t="inlineStr">
        <is>
          <t>Latest rating: Not rated · manager · Potential: Medium · 9-box: Core Contributor · Readiness: Develop in role</t>
        </is>
      </c>
      <c r="W142" s="31" t="inlineStr">
        <is>
          <t>C M · Au M · Ac M · L L · BI M · Exp M · 0.4 yrs vs 0–2 yrs · Edu H · PGDM</t>
        </is>
      </c>
      <c r="X142" s="33" t="inlineStr">
        <is>
          <t>Open ▸</t>
        </is>
      </c>
      <c r="Y142" s="34" t="str">
        <f>IFERROR(INDEX(DL_C,MATCH($CA142,DL_KEY,0)),"M")</f>
        <v>H</v>
      </c>
      <c r="Z142" s="35" t="str">
        <f>IFERROR(INDEX(DL_Au,MATCH($CA142,DL_KEY,0)),"M")</f>
        <v>M</v>
      </c>
      <c r="AA142" s="35" t="str">
        <f>IFERROR(INDEX(DL_Ac,MATCH($CA142,DL_KEY,0)),"M")</f>
        <v>L</v>
      </c>
      <c r="AB142" s="35" t="str">
        <f>IFERROR(INDEX(DL_L,MATCH($CA142,DL_KEY,0)),"M")</f>
        <v>L</v>
      </c>
      <c r="AC142" s="35" t="str">
        <f>IFERROR(INDEX(DL_BI,MATCH($CA142,DL_KEY,0)),"M")</f>
        <v>M</v>
      </c>
      <c r="AD142" s="35" t="str">
        <f>IFERROR(INDEX(DL_Exp,MATCH($CA142,DL_KEY,0)),"M")</f>
        <v>L</v>
      </c>
      <c r="AE142" s="35" t="str">
        <f>IFERROR(INDEX(DL_Edu,MATCH($CA142,DL_KEY,0)),"M")</f>
        <v>L</v>
      </c>
      <c r="AF142" s="34" t="inlineStr">
        <is>
          <t>M</t>
        </is>
      </c>
      <c r="AG142" s="35" t="inlineStr">
        <is>
          <t>M</t>
        </is>
      </c>
      <c r="AH142" s="35" t="inlineStr">
        <is>
          <t>M</t>
        </is>
      </c>
      <c r="AI142" s="35" t="inlineStr">
        <is>
          <t>M</t>
        </is>
      </c>
      <c r="AJ142" s="35" t="inlineStr">
        <is>
          <t>M</t>
        </is>
      </c>
      <c r="AK142" s="35" t="inlineStr">
        <is>
          <t>M</t>
        </is>
      </c>
      <c r="AL142" s="35" t="inlineStr">
        <is>
          <t>M</t>
        </is>
      </c>
      <c r="AM142" s="36" t="n">
        <v>0.583</v>
      </c>
      <c r="AN142" s="37" t="n">
        <v>0.16</v>
      </c>
      <c r="AO142" s="37" t="n">
        <v>0.09</v>
      </c>
      <c r="AP142" s="37" t="n">
        <v>0</v>
      </c>
      <c r="AQ142" s="37" t="n">
        <v>0.063</v>
      </c>
      <c r="AR142" s="37" t="n">
        <v>0.06</v>
      </c>
      <c r="AS142" s="37" t="n">
        <v>0.04</v>
      </c>
      <c r="AT142" s="38" t="inlineStr">
        <is>
          <t>0–3</t>
        </is>
      </c>
      <c r="AU142" s="38" t="inlineStr">
        <is>
          <t>Graduate · or diploma with experience</t>
        </is>
      </c>
      <c r="AV142" s="38" t="inlineStr">
        <is>
          <t>No direct reports</t>
        </is>
      </c>
      <c r="AW142" s="38" t="inlineStr">
        <is>
          <t>P1–P2 · SFIA 2 Assist</t>
        </is>
      </c>
      <c r="AX14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42" s="39" t="inlineStr">
        <is>
          <t>A2</t>
        </is>
      </c>
      <c r="AZ142" s="40" t="inlineStr">
        <is>
          <t>Band A · Practitioner · Associate</t>
        </is>
      </c>
      <c r="BA142" s="40" t="inlineStr">
        <is>
          <t>Model A2 from the six ratings, the market-derived weights and rules R1–R13 · then No change · already below the manager</t>
        </is>
      </c>
      <c r="BB142" s="41" t="inlineStr">
        <is>
          <t>A2</t>
        </is>
      </c>
      <c r="BC142" s="40" t="inlineStr">
        <is>
          <t>The six ratings on the market-average weights of Band A · all tracks score 2.08 → A2 · Hay, Mercer IPE and public plans · experience 0.4 yrs vs the A2 market range 0–3</t>
        </is>
      </c>
      <c r="BD142" s="42">
        <f>IF(SUM(BM142,BN142,BO142,BP142,BQ142,BR142,BS142)=0,0,(BM142*BT142+BN142*BU142+BO142*BV142+BP142*BW142+BQ142*BX142+BR142*BY142+BS142*BZ142)/SUM(BM142,BN142,BO142,BP142,BQ142,BR142,BS142))</f>
        <v>0</v>
      </c>
      <c r="BE142" s="41" t="str">
        <f>IF(LEFT(AY142,1)="X",AY142,IF(OR(AY142="B+",AY142="C+"),INDEX(LAD_PC,MAX(1,MIN(14,MATCH(AY142,LAD_PC,0)+IF(BD142&gt;=0.5,1,IF(BD142&lt;=-0.5,-1,0))))),INDEX(LAD_STD,MAX(1,MIN(12,MATCH(AY142,LAD_STD,0)+IF(BD142&gt;=0.5,1,IF(BD142&lt;=-0.5,-1,0)))))))</f>
        <v>A2</v>
      </c>
      <c r="BF142" s="43" t="n"/>
      <c r="BG142" s="41" t="str">
        <f>IF(BF142&lt;&gt;"",BF142,BE142)</f>
        <v>A2</v>
      </c>
      <c r="BH142" s="40" t="str">
        <f>IFERROR(CHOOSE(INDEX(B_RANK,MATCH(BG142,B_LVL,0)),"Band A","Band B","B+ · Player-Coach","Band C","C+ · Player-Coach","Band D","Band E"),"Band X · Consultant")</f>
        <v>Band A</v>
      </c>
      <c r="BI142" s="40" t="str">
        <f>IF(BG142=AY142,"• Same",IF(INDEX(B_VAL,MATCH(BG142,B_LVL,0))&gt;INDEX(B_VAL,MATCH(AY142,B_LVL,0)),"▲ Up","▼ Down"))</f>
        <v>• Same</v>
      </c>
      <c r="BJ142" s="40" t="str">
        <f>IF(OR($M142="",$M142="—",$M142="Not in this file"),"",IFERROR(INDEX($BG$7:$BG$592,MATCH($M142,$D$7:$D$592,0)),""))</f>
        <v>B2</v>
      </c>
      <c r="BK142" s="40" t="str">
        <f>IFERROR(IF(BJ142="","—",IF(OR(LEFT(BG142,1)="X",LEFT(BJ142,1)="X"),"—",IF(AND(LEFT(BG142,1)="E",LEFT(BJ142,1)="E"),"Exception · Band E",IF(AND(INDEX(B_VAL,MATCH(BJ142,B_LVL,0))&gt;=7,INDEX(B_RANK,MATCH(BG142,B_LVL,0))&gt;=INDEX(B_RANK,MATCH(BJ142,B_LVL,0))),"⚠ Same band as a head manager",IF(INDEX(B_VAL,MATCH(BG142,B_LVL,0))&gt;=INDEX(B_VAL,MATCH(BJ142,B_LVL,0)),"⚠ At or above the manager's level","OK"))))),"—")</f>
        <v>OK</v>
      </c>
      <c r="BL142" s="43" t="n"/>
      <c r="BM142" s="44">
        <f>IFERROR(INDEX(LMH_PTS,MATCH(Y142,LMH_KEY,0)),0)</f>
        <v>9</v>
      </c>
      <c r="BN142" s="38">
        <f>IFERROR(INDEX(LMH_PTS,MATCH(Z142,LMH_KEY,0)),0)</f>
        <v>3</v>
      </c>
      <c r="BO142" s="38">
        <f>IFERROR(INDEX(LMH_PTS,MATCH(AA142,LMH_KEY,0)),0)</f>
        <v>1</v>
      </c>
      <c r="BP142" s="38">
        <f>IFERROR(INDEX(LMH_PTS,MATCH(AB142,LMH_KEY,0)),0)</f>
        <v>1</v>
      </c>
      <c r="BQ142" s="38">
        <f>IFERROR(INDEX(LMH_PTS,MATCH(AC142,LMH_KEY,0)),0)</f>
        <v>3</v>
      </c>
      <c r="BR142" s="38">
        <f>IFERROR(INDEX(LMH_PTS,MATCH(AD142,LMH_KEY,0)),0)</f>
        <v>1</v>
      </c>
      <c r="BS142" s="38">
        <f>IFERROR(INDEX(LMH_PTS,MATCH(AE142,LMH_KEY,0)),0)</f>
        <v>1</v>
      </c>
      <c r="BT142" s="38">
        <f>IFERROR(INDEX(LMH_STEP,MATCH(AF142,LMH_KEY,0)),0)</f>
        <v>0</v>
      </c>
      <c r="BU142" s="38">
        <f>IFERROR(INDEX(LMH_STEP,MATCH(AG142,LMH_KEY,0)),0)</f>
        <v>0</v>
      </c>
      <c r="BV142" s="38">
        <f>IFERROR(INDEX(LMH_STEP,MATCH(AH142,LMH_KEY,0)),0)</f>
        <v>0</v>
      </c>
      <c r="BW142" s="38">
        <f>IFERROR(INDEX(LMH_STEP,MATCH(AI142,LMH_KEY,0)),0)</f>
        <v>0</v>
      </c>
      <c r="BX142" s="38">
        <f>IFERROR(INDEX(LMH_STEP,MATCH(AJ142,LMH_KEY,0)),0)</f>
        <v>0</v>
      </c>
      <c r="BY142" s="38">
        <f>IFERROR(INDEX(LMH_STEP,MATCH(AK142,LMH_KEY,0)),0)</f>
        <v>0</v>
      </c>
      <c r="BZ142" s="38">
        <f>IFERROR(INDEX(LMH_STEP,MATCH(AL142,LMH_KEY,0)),0)</f>
        <v>0</v>
      </c>
      <c r="CA142" s="38" t="inlineStr">
        <is>
          <t>CARBON|Marketing|Content Marketing Associate|A2|A</t>
        </is>
      </c>
    </row>
    <row r="143" ht="110" customHeight="1">
      <c r="A143" s="28" t="inlineStr">
        <is>
          <t>CARBON</t>
        </is>
      </c>
      <c r="B143" s="29" t="inlineStr">
        <is>
          <t>Marketing</t>
        </is>
      </c>
      <c r="C143" s="29" t="n">
        <v>4</v>
      </c>
      <c r="D143" s="29" t="inlineStr">
        <is>
          <t>IRIS2502</t>
        </is>
      </c>
      <c r="E143" s="29" t="inlineStr">
        <is>
          <t>Sudipta Kundu</t>
        </is>
      </c>
      <c r="F143" s="29" t="inlineStr">
        <is>
          <t>Marketing Manager- Partner and Automation</t>
        </is>
      </c>
      <c r="G143" s="29" t="inlineStr">
        <is>
          <t>Senior Marketing Specialist – POD Lead</t>
        </is>
      </c>
      <c r="H143" s="29" t="inlineStr">
        <is>
          <t>Marketing &amp; Communications</t>
        </is>
      </c>
      <c r="I143" s="29" t="inlineStr">
        <is>
          <t>Demand Generation, Brand &amp; Events</t>
        </is>
      </c>
      <c r="J143" s="29" t="inlineStr">
        <is>
          <t>POD Lead</t>
        </is>
      </c>
      <c r="K143" s="29" t="inlineStr">
        <is>
          <t>RC-115</t>
        </is>
      </c>
      <c r="L143" s="29" t="inlineStr">
        <is>
          <t>Saahit Togaru</t>
        </is>
      </c>
      <c r="M143" s="29" t="inlineStr">
        <is>
          <t>IRIS2239</t>
        </is>
      </c>
      <c r="N143" s="29" t="n">
        <v>8.800000000000001</v>
      </c>
      <c r="O143" s="29" t="n">
        <v>0.5</v>
      </c>
      <c r="P143" s="29" t="inlineStr">
        <is>
          <t>MBA</t>
        </is>
      </c>
      <c r="Q143" s="29" t="inlineStr">
        <is>
          <t>L5 – Manager</t>
        </is>
      </c>
      <c r="R143" s="29" t="inlineStr">
        <is>
          <t>B2</t>
        </is>
      </c>
      <c r="S143" s="30" t="inlineStr">
        <is>
          <t>20 of 20</t>
        </is>
      </c>
      <c r="T143" s="31" t="inlineStr">
        <is>
          <t>• Role / sub-team: Marketing — Marketing Manager- Partner and Automation.
• Core purpose: I manage GTM for Partners, including CRM and Partner Marketing, with a focus on automation and strategic initiatives that drive business growth.
• Decision-making autonomy: Can independently database; Partner Relationship; Database health score.
• Is this something …</t>
        </is>
      </c>
      <c r="U143" s="31" t="inlineStr">
        <is>
          <t>Received · manager annual · OKR Tracker - Marketing 2026 · FY27.xlsx</t>
        </is>
      </c>
      <c r="V143" s="31" t="inlineStr">
        <is>
          <t>Latest rating: 2 · Potential: Medium · 9-box: Reliable Specialist · Readiness: Performance first</t>
        </is>
      </c>
      <c r="W143" s="31" t="inlineStr">
        <is>
          <t>C M · Au M · Ac L · L L · BI L · Exp M · 8.8 yrs vs 6–9 yrs · Edu H · MBA</t>
        </is>
      </c>
      <c r="X143" s="33" t="inlineStr">
        <is>
          <t>Open ▸</t>
        </is>
      </c>
      <c r="Y143" s="34" t="str">
        <f>IFERROR(INDEX(DL_C,MATCH($CA143,DL_KEY,0)),"M")</f>
        <v>H</v>
      </c>
      <c r="Z143" s="35" t="str">
        <f>IFERROR(INDEX(DL_Au,MATCH($CA143,DL_KEY,0)),"M")</f>
        <v>M</v>
      </c>
      <c r="AA143" s="35" t="str">
        <f>IFERROR(INDEX(DL_Ac,MATCH($CA143,DL_KEY,0)),"M")</f>
        <v>L</v>
      </c>
      <c r="AB143" s="35" t="str">
        <f>IFERROR(INDEX(DL_L,MATCH($CA143,DL_KEY,0)),"M")</f>
        <v>L</v>
      </c>
      <c r="AC143" s="35" t="str">
        <f>IFERROR(INDEX(DL_BI,MATCH($CA143,DL_KEY,0)),"M")</f>
        <v>M</v>
      </c>
      <c r="AD143" s="35" t="str">
        <f>IFERROR(INDEX(DL_Exp,MATCH($CA143,DL_KEY,0)),"M")</f>
        <v>L</v>
      </c>
      <c r="AE143" s="35" t="str">
        <f>IFERROR(INDEX(DL_Edu,MATCH($CA143,DL_KEY,0)),"M")</f>
        <v>L</v>
      </c>
      <c r="AF143" s="34" t="inlineStr">
        <is>
          <t>M</t>
        </is>
      </c>
      <c r="AG143" s="35" t="inlineStr">
        <is>
          <t>M</t>
        </is>
      </c>
      <c r="AH143" s="35" t="inlineStr">
        <is>
          <t>M</t>
        </is>
      </c>
      <c r="AI143" s="35" t="inlineStr">
        <is>
          <t>M</t>
        </is>
      </c>
      <c r="AJ143" s="35" t="inlineStr">
        <is>
          <t>M</t>
        </is>
      </c>
      <c r="AK143" s="35" t="inlineStr">
        <is>
          <t>M</t>
        </is>
      </c>
      <c r="AL143" s="35" t="inlineStr">
        <is>
          <t>M</t>
        </is>
      </c>
      <c r="AM143" s="36" t="n">
        <v>0.513</v>
      </c>
      <c r="AN143" s="37" t="n">
        <v>0.173</v>
      </c>
      <c r="AO143" s="37" t="n">
        <v>0.09699999999999999</v>
      </c>
      <c r="AP143" s="37" t="n">
        <v>0.05</v>
      </c>
      <c r="AQ143" s="37" t="n">
        <v>0.07000000000000001</v>
      </c>
      <c r="AR143" s="37" t="n">
        <v>0.06</v>
      </c>
      <c r="AS143" s="37" t="n">
        <v>0.04</v>
      </c>
      <c r="AT143" s="38" t="inlineStr">
        <is>
          <t>6–10</t>
        </is>
      </c>
      <c r="AU143" s="38" t="inlineStr">
        <is>
          <t>Graduate or postgraduate; professional qualification preferred</t>
        </is>
      </c>
      <c r="AV143" s="38" t="inlineStr">
        <is>
          <t>IC: none · People: 6–8 knowledge work, 8–12 standardised delivery</t>
        </is>
      </c>
      <c r="AW143" s="38" t="inlineStr">
        <is>
          <t>P4 / M3 · SFIA 4–5</t>
        </is>
      </c>
      <c r="AX14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43" s="39" t="inlineStr">
        <is>
          <t>B2</t>
        </is>
      </c>
      <c r="AZ143" s="40" t="inlineStr">
        <is>
          <t>Band B · Specialist / Manager · Manager</t>
        </is>
      </c>
      <c r="BA143" s="40" t="inlineStr">
        <is>
          <t>Model B2 from the six ratings, the market-derived weights and rules R1–R13 · then No change · already below the manager</t>
        </is>
      </c>
      <c r="BB143" s="41" t="inlineStr">
        <is>
          <t>B2</t>
        </is>
      </c>
      <c r="BC143" s="40" t="inlineStr">
        <is>
          <t>The six ratings on the market-average weights of Band B · Specialist / POD Lead score 4.54 → B2 · Hay, Mercer IPE and public plans · experience 8.8 yrs vs the B2 market range 6–10</t>
        </is>
      </c>
      <c r="BD143" s="42">
        <f>IF(SUM(BM143,BN143,BO143,BP143,BQ143,BR143,BS143)=0,0,(BM143*BT143+BN143*BU143+BO143*BV143+BP143*BW143+BQ143*BX143+BR143*BY143+BS143*BZ143)/SUM(BM143,BN143,BO143,BP143,BQ143,BR143,BS143))</f>
        <v>0</v>
      </c>
      <c r="BE143" s="41" t="str">
        <f>IF(LEFT(AY143,1)="X",AY143,IF(OR(AY143="B+",AY143="C+"),INDEX(LAD_PC,MAX(1,MIN(14,MATCH(AY143,LAD_PC,0)+IF(BD143&gt;=0.5,1,IF(BD143&lt;=-0.5,-1,0))))),INDEX(LAD_STD,MAX(1,MIN(12,MATCH(AY143,LAD_STD,0)+IF(BD143&gt;=0.5,1,IF(BD143&lt;=-0.5,-1,0)))))))</f>
        <v>B2</v>
      </c>
      <c r="BF143" s="43" t="n"/>
      <c r="BG143" s="41" t="str">
        <f>IF(BF143&lt;&gt;"",BF143,BE143)</f>
        <v>B2</v>
      </c>
      <c r="BH143" s="40" t="str">
        <f>IFERROR(CHOOSE(INDEX(B_RANK,MATCH(BG143,B_LVL,0)),"Band A","Band B","B+ · Player-Coach","Band C","C+ · Player-Coach","Band D","Band E"),"Band X · Consultant")</f>
        <v>Band B</v>
      </c>
      <c r="BI143" s="40" t="str">
        <f>IF(BG143=AY143,"• Same",IF(INDEX(B_VAL,MATCH(BG143,B_LVL,0))&gt;INDEX(B_VAL,MATCH(AY143,B_LVL,0)),"▲ Up","▼ Down"))</f>
        <v>• Same</v>
      </c>
      <c r="BJ143" s="40" t="str">
        <f>IF(OR($M143="",$M143="—",$M143="Not in this file"),"",IFERROR(INDEX($BG$7:$BG$592,MATCH($M143,$D$7:$D$592,0)),""))</f>
        <v>B3</v>
      </c>
      <c r="BK143" s="40" t="str">
        <f>IFERROR(IF(BJ143="","—",IF(OR(LEFT(BG143,1)="X",LEFT(BJ143,1)="X"),"—",IF(AND(LEFT(BG143,1)="E",LEFT(BJ143,1)="E"),"Exception · Band E",IF(AND(INDEX(B_VAL,MATCH(BJ143,B_LVL,0))&gt;=7,INDEX(B_RANK,MATCH(BG143,B_LVL,0))&gt;=INDEX(B_RANK,MATCH(BJ143,B_LVL,0))),"⚠ Same band as a head manager",IF(INDEX(B_VAL,MATCH(BG143,B_LVL,0))&gt;=INDEX(B_VAL,MATCH(BJ143,B_LVL,0)),"⚠ At or above the manager's level","OK"))))),"—")</f>
        <v>OK</v>
      </c>
      <c r="BL143" s="43" t="n"/>
      <c r="BM143" s="44">
        <f>IFERROR(INDEX(LMH_PTS,MATCH(Y143,LMH_KEY,0)),0)</f>
        <v>9</v>
      </c>
      <c r="BN143" s="38">
        <f>IFERROR(INDEX(LMH_PTS,MATCH(Z143,LMH_KEY,0)),0)</f>
        <v>3</v>
      </c>
      <c r="BO143" s="38">
        <f>IFERROR(INDEX(LMH_PTS,MATCH(AA143,LMH_KEY,0)),0)</f>
        <v>1</v>
      </c>
      <c r="BP143" s="38">
        <f>IFERROR(INDEX(LMH_PTS,MATCH(AB143,LMH_KEY,0)),0)</f>
        <v>1</v>
      </c>
      <c r="BQ143" s="38">
        <f>IFERROR(INDEX(LMH_PTS,MATCH(AC143,LMH_KEY,0)),0)</f>
        <v>3</v>
      </c>
      <c r="BR143" s="38">
        <f>IFERROR(INDEX(LMH_PTS,MATCH(AD143,LMH_KEY,0)),0)</f>
        <v>1</v>
      </c>
      <c r="BS143" s="38">
        <f>IFERROR(INDEX(LMH_PTS,MATCH(AE143,LMH_KEY,0)),0)</f>
        <v>1</v>
      </c>
      <c r="BT143" s="38">
        <f>IFERROR(INDEX(LMH_STEP,MATCH(AF143,LMH_KEY,0)),0)</f>
        <v>0</v>
      </c>
      <c r="BU143" s="38">
        <f>IFERROR(INDEX(LMH_STEP,MATCH(AG143,LMH_KEY,0)),0)</f>
        <v>0</v>
      </c>
      <c r="BV143" s="38">
        <f>IFERROR(INDEX(LMH_STEP,MATCH(AH143,LMH_KEY,0)),0)</f>
        <v>0</v>
      </c>
      <c r="BW143" s="38">
        <f>IFERROR(INDEX(LMH_STEP,MATCH(AI143,LMH_KEY,0)),0)</f>
        <v>0</v>
      </c>
      <c r="BX143" s="38">
        <f>IFERROR(INDEX(LMH_STEP,MATCH(AJ143,LMH_KEY,0)),0)</f>
        <v>0</v>
      </c>
      <c r="BY143" s="38">
        <f>IFERROR(INDEX(LMH_STEP,MATCH(AK143,LMH_KEY,0)),0)</f>
        <v>0</v>
      </c>
      <c r="BZ143" s="38">
        <f>IFERROR(INDEX(LMH_STEP,MATCH(AL143,LMH_KEY,0)),0)</f>
        <v>0</v>
      </c>
      <c r="CA143" s="38" t="inlineStr">
        <is>
          <t>CARBON|Marketing|Senior Marketing Specialist – POD Lead|B2|B-IC</t>
        </is>
      </c>
    </row>
    <row r="144" ht="110" customHeight="1">
      <c r="A144" s="28" t="inlineStr">
        <is>
          <t>CARBON</t>
        </is>
      </c>
      <c r="B144" s="29" t="inlineStr">
        <is>
          <t>Marketing</t>
        </is>
      </c>
      <c r="C144" s="29" t="n">
        <v>5</v>
      </c>
      <c r="D144" s="29" t="inlineStr">
        <is>
          <t>IRIS2316</t>
        </is>
      </c>
      <c r="E144" s="29" t="inlineStr">
        <is>
          <t>Mounika Kattula</t>
        </is>
      </c>
      <c r="F144" s="29" t="inlineStr">
        <is>
          <t>Marketing Associate</t>
        </is>
      </c>
      <c r="G144" s="29" t="inlineStr">
        <is>
          <t>Senior Marketing Operations Associate</t>
        </is>
      </c>
      <c r="H144" s="29" t="inlineStr">
        <is>
          <t>Marketing &amp; Communications</t>
        </is>
      </c>
      <c r="I144" s="29" t="inlineStr">
        <is>
          <t>Marketing Operations &amp; Automation</t>
        </is>
      </c>
      <c r="J144" s="29" t="inlineStr">
        <is>
          <t>IC</t>
        </is>
      </c>
      <c r="K144" s="29" t="inlineStr">
        <is>
          <t>RC-122</t>
        </is>
      </c>
      <c r="L144" s="29" t="inlineStr">
        <is>
          <t>Sudipta Kundu</t>
        </is>
      </c>
      <c r="M144" s="29" t="inlineStr">
        <is>
          <t>IRIS2502</t>
        </is>
      </c>
      <c r="N144" s="29" t="n">
        <v>4.1</v>
      </c>
      <c r="O144" s="29" t="n">
        <v>2</v>
      </c>
      <c r="P144" s="29" t="inlineStr">
        <is>
          <t>MBA</t>
        </is>
      </c>
      <c r="Q144" s="29" t="inlineStr">
        <is>
          <t>L3 – Professional / Associate</t>
        </is>
      </c>
      <c r="R144" s="29" t="inlineStr">
        <is>
          <t>A3</t>
        </is>
      </c>
      <c r="S144" s="30" t="inlineStr">
        <is>
          <t>20 of 20</t>
        </is>
      </c>
      <c r="T144" s="31" t="inlineStr">
        <is>
          <t>• This role leads database strategy, research and CRM management to keep data accurate, organised and effectively used across the business.</t>
        </is>
      </c>
      <c r="U144" s="31" t="inlineStr">
        <is>
          <t>Received · manager annual · 1. Ensure 100% listed company data accuracy and &lt;10% data decay rate in HubSpot
2. Build and maintain SOPs defining database scope, enrichment rules, and team responsibilities
3. Manage interns’ output, ensure QA validation, and eliminate data gaps across campaigns
4. Collaborate with Analyst &amp; Associate to ensure …</t>
        </is>
      </c>
      <c r="V144" s="31" t="inlineStr">
        <is>
          <t>Latest rating: 4 · Potential: High · 9-box: Emerging Talent · Readiness: Ready now</t>
        </is>
      </c>
      <c r="W144" s="31" t="inlineStr">
        <is>
          <t>C M · Au M · Ac M · L M · BI H · Exp H · 4.1 yrs vs 2–4 yrs · Edu H · MBA</t>
        </is>
      </c>
      <c r="X144" s="33" t="inlineStr">
        <is>
          <t>Open ▸</t>
        </is>
      </c>
      <c r="Y144" s="34" t="str">
        <f>IFERROR(INDEX(DL_C,MATCH($CA144,DL_KEY,0)),"M")</f>
        <v>H</v>
      </c>
      <c r="Z144" s="35" t="str">
        <f>IFERROR(INDEX(DL_Au,MATCH($CA144,DL_KEY,0)),"M")</f>
        <v>M</v>
      </c>
      <c r="AA144" s="35" t="str">
        <f>IFERROR(INDEX(DL_Ac,MATCH($CA144,DL_KEY,0)),"M")</f>
        <v>L</v>
      </c>
      <c r="AB144" s="35" t="str">
        <f>IFERROR(INDEX(DL_L,MATCH($CA144,DL_KEY,0)),"M")</f>
        <v>L</v>
      </c>
      <c r="AC144" s="35" t="str">
        <f>IFERROR(INDEX(DL_BI,MATCH($CA144,DL_KEY,0)),"M")</f>
        <v>M</v>
      </c>
      <c r="AD144" s="35" t="str">
        <f>IFERROR(INDEX(DL_Exp,MATCH($CA144,DL_KEY,0)),"M")</f>
        <v>L</v>
      </c>
      <c r="AE144" s="35" t="str">
        <f>IFERROR(INDEX(DL_Edu,MATCH($CA144,DL_KEY,0)),"M")</f>
        <v>L</v>
      </c>
      <c r="AF144" s="34" t="inlineStr">
        <is>
          <t>M</t>
        </is>
      </c>
      <c r="AG144" s="35" t="inlineStr">
        <is>
          <t>M</t>
        </is>
      </c>
      <c r="AH144" s="35" t="inlineStr">
        <is>
          <t>M</t>
        </is>
      </c>
      <c r="AI144" s="35" t="inlineStr">
        <is>
          <t>M</t>
        </is>
      </c>
      <c r="AJ144" s="35" t="inlineStr">
        <is>
          <t>M</t>
        </is>
      </c>
      <c r="AK144" s="35" t="inlineStr">
        <is>
          <t>M</t>
        </is>
      </c>
      <c r="AL144" s="35" t="inlineStr">
        <is>
          <t>M</t>
        </is>
      </c>
      <c r="AM144" s="36" t="n">
        <v>0.583</v>
      </c>
      <c r="AN144" s="37" t="n">
        <v>0.16</v>
      </c>
      <c r="AO144" s="37" t="n">
        <v>0.09</v>
      </c>
      <c r="AP144" s="37" t="n">
        <v>0</v>
      </c>
      <c r="AQ144" s="37" t="n">
        <v>0.063</v>
      </c>
      <c r="AR144" s="37" t="n">
        <v>0.06</v>
      </c>
      <c r="AS144" s="37" t="n">
        <v>0.04</v>
      </c>
      <c r="AT144" s="38" t="inlineStr">
        <is>
          <t>2–5</t>
        </is>
      </c>
      <c r="AU144" s="38" t="inlineStr">
        <is>
          <t>Graduate; relevant certification preferred</t>
        </is>
      </c>
      <c r="AV144" s="38" t="inlineStr">
        <is>
          <t>None · guides 1–3 juniors informally</t>
        </is>
      </c>
      <c r="AW144" s="38" t="inlineStr">
        <is>
          <t>P2 · SFIA 3 Apply</t>
        </is>
      </c>
      <c r="AX14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44" s="39" t="inlineStr">
        <is>
          <t>A3</t>
        </is>
      </c>
      <c r="AZ144" s="40" t="inlineStr">
        <is>
          <t>Band A · Practitioner · Senior Associate</t>
        </is>
      </c>
      <c r="BA144" s="40" t="inlineStr">
        <is>
          <t>Model A3 from the six ratings, the market-derived weights and rules R1–R13 · then No change · already below the manager</t>
        </is>
      </c>
      <c r="BB144" s="41" t="inlineStr">
        <is>
          <t>A3</t>
        </is>
      </c>
      <c r="BC144" s="40" t="inlineStr">
        <is>
          <t>The six ratings on the market-average weights of Band A · all tracks score 2.92 → A3 · Hay, Mercer IPE and public plans · experience 4.1 yrs vs the A3 market range 2–5</t>
        </is>
      </c>
      <c r="BD144" s="42">
        <f>IF(SUM(BM144,BN144,BO144,BP144,BQ144,BR144,BS144)=0,0,(BM144*BT144+BN144*BU144+BO144*BV144+BP144*BW144+BQ144*BX144+BR144*BY144+BS144*BZ144)/SUM(BM144,BN144,BO144,BP144,BQ144,BR144,BS144))</f>
        <v>0</v>
      </c>
      <c r="BE144" s="41" t="str">
        <f>IF(LEFT(AY144,1)="X",AY144,IF(OR(AY144="B+",AY144="C+"),INDEX(LAD_PC,MAX(1,MIN(14,MATCH(AY144,LAD_PC,0)+IF(BD144&gt;=0.5,1,IF(BD144&lt;=-0.5,-1,0))))),INDEX(LAD_STD,MAX(1,MIN(12,MATCH(AY144,LAD_STD,0)+IF(BD144&gt;=0.5,1,IF(BD144&lt;=-0.5,-1,0)))))))</f>
        <v>A3</v>
      </c>
      <c r="BF144" s="43" t="n"/>
      <c r="BG144" s="41" t="str">
        <f>IF(BF144&lt;&gt;"",BF144,BE144)</f>
        <v>A3</v>
      </c>
      <c r="BH144" s="40" t="str">
        <f>IFERROR(CHOOSE(INDEX(B_RANK,MATCH(BG144,B_LVL,0)),"Band A","Band B","B+ · Player-Coach","Band C","C+ · Player-Coach","Band D","Band E"),"Band X · Consultant")</f>
        <v>Band A</v>
      </c>
      <c r="BI144" s="40" t="str">
        <f>IF(BG144=AY144,"• Same",IF(INDEX(B_VAL,MATCH(BG144,B_LVL,0))&gt;INDEX(B_VAL,MATCH(AY144,B_LVL,0)),"▲ Up","▼ Down"))</f>
        <v>• Same</v>
      </c>
      <c r="BJ144" s="40" t="str">
        <f>IF(OR($M144="",$M144="—",$M144="Not in this file"),"",IFERROR(INDEX($BG$7:$BG$592,MATCH($M144,$D$7:$D$592,0)),""))</f>
        <v>B2</v>
      </c>
      <c r="BK144" s="40" t="str">
        <f>IFERROR(IF(BJ144="","—",IF(OR(LEFT(BG144,1)="X",LEFT(BJ144,1)="X"),"—",IF(AND(LEFT(BG144,1)="E",LEFT(BJ144,1)="E"),"Exception · Band E",IF(AND(INDEX(B_VAL,MATCH(BJ144,B_LVL,0))&gt;=7,INDEX(B_RANK,MATCH(BG144,B_LVL,0))&gt;=INDEX(B_RANK,MATCH(BJ144,B_LVL,0))),"⚠ Same band as a head manager",IF(INDEX(B_VAL,MATCH(BG144,B_LVL,0))&gt;=INDEX(B_VAL,MATCH(BJ144,B_LVL,0)),"⚠ At or above the manager's level","OK"))))),"—")</f>
        <v>OK</v>
      </c>
      <c r="BL144" s="43" t="n"/>
      <c r="BM144" s="44">
        <f>IFERROR(INDEX(LMH_PTS,MATCH(Y144,LMH_KEY,0)),0)</f>
        <v>9</v>
      </c>
      <c r="BN144" s="38">
        <f>IFERROR(INDEX(LMH_PTS,MATCH(Z144,LMH_KEY,0)),0)</f>
        <v>3</v>
      </c>
      <c r="BO144" s="38">
        <f>IFERROR(INDEX(LMH_PTS,MATCH(AA144,LMH_KEY,0)),0)</f>
        <v>1</v>
      </c>
      <c r="BP144" s="38">
        <f>IFERROR(INDEX(LMH_PTS,MATCH(AB144,LMH_KEY,0)),0)</f>
        <v>1</v>
      </c>
      <c r="BQ144" s="38">
        <f>IFERROR(INDEX(LMH_PTS,MATCH(AC144,LMH_KEY,0)),0)</f>
        <v>3</v>
      </c>
      <c r="BR144" s="38">
        <f>IFERROR(INDEX(LMH_PTS,MATCH(AD144,LMH_KEY,0)),0)</f>
        <v>1</v>
      </c>
      <c r="BS144" s="38">
        <f>IFERROR(INDEX(LMH_PTS,MATCH(AE144,LMH_KEY,0)),0)</f>
        <v>1</v>
      </c>
      <c r="BT144" s="38">
        <f>IFERROR(INDEX(LMH_STEP,MATCH(AF144,LMH_KEY,0)),0)</f>
        <v>0</v>
      </c>
      <c r="BU144" s="38">
        <f>IFERROR(INDEX(LMH_STEP,MATCH(AG144,LMH_KEY,0)),0)</f>
        <v>0</v>
      </c>
      <c r="BV144" s="38">
        <f>IFERROR(INDEX(LMH_STEP,MATCH(AH144,LMH_KEY,0)),0)</f>
        <v>0</v>
      </c>
      <c r="BW144" s="38">
        <f>IFERROR(INDEX(LMH_STEP,MATCH(AI144,LMH_KEY,0)),0)</f>
        <v>0</v>
      </c>
      <c r="BX144" s="38">
        <f>IFERROR(INDEX(LMH_STEP,MATCH(AJ144,LMH_KEY,0)),0)</f>
        <v>0</v>
      </c>
      <c r="BY144" s="38">
        <f>IFERROR(INDEX(LMH_STEP,MATCH(AK144,LMH_KEY,0)),0)</f>
        <v>0</v>
      </c>
      <c r="BZ144" s="38">
        <f>IFERROR(INDEX(LMH_STEP,MATCH(AL144,LMH_KEY,0)),0)</f>
        <v>0</v>
      </c>
      <c r="CA144" s="38" t="inlineStr">
        <is>
          <t>CARBON|Marketing|Senior Marketing Operations Associate|A3|A</t>
        </is>
      </c>
    </row>
    <row r="145" ht="110" customHeight="1">
      <c r="A145" s="28" t="inlineStr">
        <is>
          <t>CARBON</t>
        </is>
      </c>
      <c r="B145" s="29" t="inlineStr">
        <is>
          <t>Marketing</t>
        </is>
      </c>
      <c r="C145" s="29" t="n">
        <v>6</v>
      </c>
      <c r="D145" s="29" t="inlineStr">
        <is>
          <t>IRIS2535</t>
        </is>
      </c>
      <c r="E145" s="29" t="inlineStr">
        <is>
          <t>Kaninika Kali</t>
        </is>
      </c>
      <c r="F145" s="29" t="inlineStr">
        <is>
          <t>Associate- MarkOps</t>
        </is>
      </c>
      <c r="G145" s="29" t="inlineStr">
        <is>
          <t>Marketing Operations Associate</t>
        </is>
      </c>
      <c r="H145" s="29" t="inlineStr">
        <is>
          <t>Marketing &amp; Communications</t>
        </is>
      </c>
      <c r="I145" s="29" t="inlineStr">
        <is>
          <t>Marketing Operations &amp; Automation</t>
        </is>
      </c>
      <c r="J145" s="29" t="inlineStr">
        <is>
          <t>IC</t>
        </is>
      </c>
      <c r="K145" s="29" t="inlineStr">
        <is>
          <t>RC-121</t>
        </is>
      </c>
      <c r="L145" s="29" t="inlineStr">
        <is>
          <t>Mounika Kattula</t>
        </is>
      </c>
      <c r="M145" s="29" t="inlineStr">
        <is>
          <t>IRIS2316</t>
        </is>
      </c>
      <c r="N145" s="29" t="n">
        <v>0.3</v>
      </c>
      <c r="O145" s="29" t="n">
        <v>0.3</v>
      </c>
      <c r="P145" s="29" t="inlineStr">
        <is>
          <t>B.Tech</t>
        </is>
      </c>
      <c r="Q145" s="29" t="inlineStr">
        <is>
          <t>L1 – Intern</t>
        </is>
      </c>
      <c r="R145" s="29" t="inlineStr">
        <is>
          <t>A2</t>
        </is>
      </c>
      <c r="S145" s="30" t="inlineStr">
        <is>
          <t>20 of 20</t>
        </is>
      </c>
      <c r="T145" s="31" t="inlineStr">
        <is>
          <t>• This role conducts database research, data enrichment and data-quality maintenance.</t>
        </is>
      </c>
      <c r="U145" s="31" t="inlineStr">
        <is>
          <t>Received · manager annual · 1. Act as primary SPOC for ABM team and ensure 100% readiness of enterprise accounts
2. Validate and maintain 30,000 enterprise company records annually with complete firmographics
3. Enrich and validate 100,000 contacts annually · decision-makers across enterprise accounts
4. Ensure 100% coverage of key fields · …</t>
        </is>
      </c>
      <c r="V145" s="31" t="inlineStr">
        <is>
          <t>Latest rating: 3 · Potential: Low · 9-box: Core Contributor · Readiness: Develop in role</t>
        </is>
      </c>
      <c r="W145" s="31" t="inlineStr">
        <is>
          <t>C M · Au M · Ac M · L L · BI M · Exp M · 0.3 yrs vs 0–2 yrs · Edu M · B.Tech</t>
        </is>
      </c>
      <c r="X145" s="33" t="inlineStr">
        <is>
          <t>Open ▸</t>
        </is>
      </c>
      <c r="Y145" s="34" t="str">
        <f>IFERROR(INDEX(DL_C,MATCH($CA145,DL_KEY,0)),"M")</f>
        <v>H</v>
      </c>
      <c r="Z145" s="35" t="str">
        <f>IFERROR(INDEX(DL_Au,MATCH($CA145,DL_KEY,0)),"M")</f>
        <v>M</v>
      </c>
      <c r="AA145" s="35" t="str">
        <f>IFERROR(INDEX(DL_Ac,MATCH($CA145,DL_KEY,0)),"M")</f>
        <v>L</v>
      </c>
      <c r="AB145" s="35" t="str">
        <f>IFERROR(INDEX(DL_L,MATCH($CA145,DL_KEY,0)),"M")</f>
        <v>L</v>
      </c>
      <c r="AC145" s="35" t="str">
        <f>IFERROR(INDEX(DL_BI,MATCH($CA145,DL_KEY,0)),"M")</f>
        <v>M</v>
      </c>
      <c r="AD145" s="35" t="str">
        <f>IFERROR(INDEX(DL_Exp,MATCH($CA145,DL_KEY,0)),"M")</f>
        <v>L</v>
      </c>
      <c r="AE145" s="35" t="str">
        <f>IFERROR(INDEX(DL_Edu,MATCH($CA145,DL_KEY,0)),"M")</f>
        <v>L</v>
      </c>
      <c r="AF145" s="34" t="inlineStr">
        <is>
          <t>M</t>
        </is>
      </c>
      <c r="AG145" s="35" t="inlineStr">
        <is>
          <t>M</t>
        </is>
      </c>
      <c r="AH145" s="35" t="inlineStr">
        <is>
          <t>M</t>
        </is>
      </c>
      <c r="AI145" s="35" t="inlineStr">
        <is>
          <t>M</t>
        </is>
      </c>
      <c r="AJ145" s="35" t="inlineStr">
        <is>
          <t>M</t>
        </is>
      </c>
      <c r="AK145" s="35" t="inlineStr">
        <is>
          <t>M</t>
        </is>
      </c>
      <c r="AL145" s="35" t="inlineStr">
        <is>
          <t>M</t>
        </is>
      </c>
      <c r="AM145" s="36" t="n">
        <v>0.583</v>
      </c>
      <c r="AN145" s="37" t="n">
        <v>0.16</v>
      </c>
      <c r="AO145" s="37" t="n">
        <v>0.09</v>
      </c>
      <c r="AP145" s="37" t="n">
        <v>0</v>
      </c>
      <c r="AQ145" s="37" t="n">
        <v>0.063</v>
      </c>
      <c r="AR145" s="37" t="n">
        <v>0.06</v>
      </c>
      <c r="AS145" s="37" t="n">
        <v>0.04</v>
      </c>
      <c r="AT145" s="38" t="inlineStr">
        <is>
          <t>0–3</t>
        </is>
      </c>
      <c r="AU145" s="38" t="inlineStr">
        <is>
          <t>Graduate · or diploma with experience</t>
        </is>
      </c>
      <c r="AV145" s="38" t="inlineStr">
        <is>
          <t>No direct reports</t>
        </is>
      </c>
      <c r="AW145" s="38" t="inlineStr">
        <is>
          <t>P1–P2 · SFIA 2 Assist</t>
        </is>
      </c>
      <c r="AX14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45" s="39" t="inlineStr">
        <is>
          <t>A2</t>
        </is>
      </c>
      <c r="AZ145" s="40" t="inlineStr">
        <is>
          <t>Band A · Practitioner · Associate</t>
        </is>
      </c>
      <c r="BA145" s="40" t="inlineStr">
        <is>
          <t>Model A2 from the six ratings, the market-derived weights and rules R1–R13 · then No change · already below the manager</t>
        </is>
      </c>
      <c r="BB145" s="41" t="inlineStr">
        <is>
          <t>A2</t>
        </is>
      </c>
      <c r="BC145" s="40" t="inlineStr">
        <is>
          <t>The six ratings on the market-average weights of Band A · all tracks score 1.95 → A2 · Hay, Mercer IPE and public plans · experience 0.3 yrs vs the A2 market range 0–3</t>
        </is>
      </c>
      <c r="BD145" s="42">
        <f>IF(SUM(BM145,BN145,BO145,BP145,BQ145,BR145,BS145)=0,0,(BM145*BT145+BN145*BU145+BO145*BV145+BP145*BW145+BQ145*BX145+BR145*BY145+BS145*BZ145)/SUM(BM145,BN145,BO145,BP145,BQ145,BR145,BS145))</f>
        <v>0</v>
      </c>
      <c r="BE145" s="41" t="str">
        <f>IF(LEFT(AY145,1)="X",AY145,IF(OR(AY145="B+",AY145="C+"),INDEX(LAD_PC,MAX(1,MIN(14,MATCH(AY145,LAD_PC,0)+IF(BD145&gt;=0.5,1,IF(BD145&lt;=-0.5,-1,0))))),INDEX(LAD_STD,MAX(1,MIN(12,MATCH(AY145,LAD_STD,0)+IF(BD145&gt;=0.5,1,IF(BD145&lt;=-0.5,-1,0)))))))</f>
        <v>A2</v>
      </c>
      <c r="BF145" s="43" t="n"/>
      <c r="BG145" s="41" t="str">
        <f>IF(BF145&lt;&gt;"",BF145,BE145)</f>
        <v>A2</v>
      </c>
      <c r="BH145" s="40" t="str">
        <f>IFERROR(CHOOSE(INDEX(B_RANK,MATCH(BG145,B_LVL,0)),"Band A","Band B","B+ · Player-Coach","Band C","C+ · Player-Coach","Band D","Band E"),"Band X · Consultant")</f>
        <v>Band A</v>
      </c>
      <c r="BI145" s="40" t="str">
        <f>IF(BG145=AY145,"• Same",IF(INDEX(B_VAL,MATCH(BG145,B_LVL,0))&gt;INDEX(B_VAL,MATCH(AY145,B_LVL,0)),"▲ Up","▼ Down"))</f>
        <v>• Same</v>
      </c>
      <c r="BJ145" s="40" t="str">
        <f>IF(OR($M145="",$M145="—",$M145="Not in this file"),"",IFERROR(INDEX($BG$7:$BG$592,MATCH($M145,$D$7:$D$592,0)),""))</f>
        <v>A3</v>
      </c>
      <c r="BK145" s="40" t="str">
        <f>IFERROR(IF(BJ145="","—",IF(OR(LEFT(BG145,1)="X",LEFT(BJ145,1)="X"),"—",IF(AND(LEFT(BG145,1)="E",LEFT(BJ145,1)="E"),"Exception · Band E",IF(AND(INDEX(B_VAL,MATCH(BJ145,B_LVL,0))&gt;=7,INDEX(B_RANK,MATCH(BG145,B_LVL,0))&gt;=INDEX(B_RANK,MATCH(BJ145,B_LVL,0))),"⚠ Same band as a head manager",IF(INDEX(B_VAL,MATCH(BG145,B_LVL,0))&gt;=INDEX(B_VAL,MATCH(BJ145,B_LVL,0)),"⚠ At or above the manager's level","OK"))))),"—")</f>
        <v>OK</v>
      </c>
      <c r="BL145" s="43" t="n"/>
      <c r="BM145" s="44">
        <f>IFERROR(INDEX(LMH_PTS,MATCH(Y145,LMH_KEY,0)),0)</f>
        <v>9</v>
      </c>
      <c r="BN145" s="38">
        <f>IFERROR(INDEX(LMH_PTS,MATCH(Z145,LMH_KEY,0)),0)</f>
        <v>3</v>
      </c>
      <c r="BO145" s="38">
        <f>IFERROR(INDEX(LMH_PTS,MATCH(AA145,LMH_KEY,0)),0)</f>
        <v>1</v>
      </c>
      <c r="BP145" s="38">
        <f>IFERROR(INDEX(LMH_PTS,MATCH(AB145,LMH_KEY,0)),0)</f>
        <v>1</v>
      </c>
      <c r="BQ145" s="38">
        <f>IFERROR(INDEX(LMH_PTS,MATCH(AC145,LMH_KEY,0)),0)</f>
        <v>3</v>
      </c>
      <c r="BR145" s="38">
        <f>IFERROR(INDEX(LMH_PTS,MATCH(AD145,LMH_KEY,0)),0)</f>
        <v>1</v>
      </c>
      <c r="BS145" s="38">
        <f>IFERROR(INDEX(LMH_PTS,MATCH(AE145,LMH_KEY,0)),0)</f>
        <v>1</v>
      </c>
      <c r="BT145" s="38">
        <f>IFERROR(INDEX(LMH_STEP,MATCH(AF145,LMH_KEY,0)),0)</f>
        <v>0</v>
      </c>
      <c r="BU145" s="38">
        <f>IFERROR(INDEX(LMH_STEP,MATCH(AG145,LMH_KEY,0)),0)</f>
        <v>0</v>
      </c>
      <c r="BV145" s="38">
        <f>IFERROR(INDEX(LMH_STEP,MATCH(AH145,LMH_KEY,0)),0)</f>
        <v>0</v>
      </c>
      <c r="BW145" s="38">
        <f>IFERROR(INDEX(LMH_STEP,MATCH(AI145,LMH_KEY,0)),0)</f>
        <v>0</v>
      </c>
      <c r="BX145" s="38">
        <f>IFERROR(INDEX(LMH_STEP,MATCH(AJ145,LMH_KEY,0)),0)</f>
        <v>0</v>
      </c>
      <c r="BY145" s="38">
        <f>IFERROR(INDEX(LMH_STEP,MATCH(AK145,LMH_KEY,0)),0)</f>
        <v>0</v>
      </c>
      <c r="BZ145" s="38">
        <f>IFERROR(INDEX(LMH_STEP,MATCH(AL145,LMH_KEY,0)),0)</f>
        <v>0</v>
      </c>
      <c r="CA145" s="38" t="inlineStr">
        <is>
          <t>CARBON|Marketing|Marketing Operations Associate|A2|A</t>
        </is>
      </c>
    </row>
    <row r="146" ht="110" customHeight="1">
      <c r="A146" s="28" t="inlineStr">
        <is>
          <t>CARBON</t>
        </is>
      </c>
      <c r="B146" s="29" t="inlineStr">
        <is>
          <t>Marketing</t>
        </is>
      </c>
      <c r="C146" s="29" t="n">
        <v>6</v>
      </c>
      <c r="D146" s="29" t="inlineStr">
        <is>
          <t>IRIS2534</t>
        </is>
      </c>
      <c r="E146" s="29" t="inlineStr">
        <is>
          <t>Vishal</t>
        </is>
      </c>
      <c r="F146" s="29" t="inlineStr">
        <is>
          <t>Associate- MarkOps</t>
        </is>
      </c>
      <c r="G146" s="29" t="inlineStr">
        <is>
          <t>Marketing Operations Associate</t>
        </is>
      </c>
      <c r="H146" s="29" t="inlineStr">
        <is>
          <t>Marketing &amp; Communications</t>
        </is>
      </c>
      <c r="I146" s="29" t="inlineStr">
        <is>
          <t>Marketing Operations &amp; Automation</t>
        </is>
      </c>
      <c r="J146" s="29" t="inlineStr">
        <is>
          <t>IC</t>
        </is>
      </c>
      <c r="K146" s="29" t="inlineStr">
        <is>
          <t>RC-121</t>
        </is>
      </c>
      <c r="L146" s="29" t="inlineStr">
        <is>
          <t>Mounika Kattula</t>
        </is>
      </c>
      <c r="M146" s="29" t="inlineStr">
        <is>
          <t>IRIS2316</t>
        </is>
      </c>
      <c r="N146" s="29" t="n">
        <v>0.3</v>
      </c>
      <c r="O146" s="29" t="n">
        <v>0.3</v>
      </c>
      <c r="P146" s="29" t="inlineStr">
        <is>
          <t>B.E</t>
        </is>
      </c>
      <c r="Q146" s="29" t="inlineStr">
        <is>
          <t>L1 – Intern</t>
        </is>
      </c>
      <c r="R146" s="29" t="inlineStr">
        <is>
          <t>A2</t>
        </is>
      </c>
      <c r="S146" s="30" t="inlineStr">
        <is>
          <t>20 of 20</t>
        </is>
      </c>
      <c r="T146" s="31" t="inlineStr">
        <is>
          <t>• This role manages and improves data, maintains HubSpot and supports SDR requests.</t>
        </is>
      </c>
      <c r="U146" s="31" t="inlineStr">
        <is>
          <t>Received · manager annual · 1. Act as primary SPOC for SDR team and resolve 100% of data requests within defined SLA
2. Clean and validate 30,000 company records annually · duplicates, outdated data, incorrect fields
3. Validate and maintain 150,000 contact emails annually with high accuracy
4. Enrich and update 45,000 company records annually …</t>
        </is>
      </c>
      <c r="V146" s="31" t="inlineStr">
        <is>
          <t>Latest rating: 4 · Potential: Medium · 9-box: Core Contributor · Readiness: Ready in 6–12 months</t>
        </is>
      </c>
      <c r="W146" s="31" t="inlineStr">
        <is>
          <t>C M · Au M · Ac M · L L · BI M · Exp M · 0.3 yrs vs 0–2 yrs · Edu M · B.E</t>
        </is>
      </c>
      <c r="X146" s="33" t="inlineStr">
        <is>
          <t>Open ▸</t>
        </is>
      </c>
      <c r="Y146" s="34" t="str">
        <f>IFERROR(INDEX(DL_C,MATCH($CA146,DL_KEY,0)),"M")</f>
        <v>H</v>
      </c>
      <c r="Z146" s="35" t="str">
        <f>IFERROR(INDEX(DL_Au,MATCH($CA146,DL_KEY,0)),"M")</f>
        <v>M</v>
      </c>
      <c r="AA146" s="35" t="str">
        <f>IFERROR(INDEX(DL_Ac,MATCH($CA146,DL_KEY,0)),"M")</f>
        <v>L</v>
      </c>
      <c r="AB146" s="35" t="str">
        <f>IFERROR(INDEX(DL_L,MATCH($CA146,DL_KEY,0)),"M")</f>
        <v>L</v>
      </c>
      <c r="AC146" s="35" t="str">
        <f>IFERROR(INDEX(DL_BI,MATCH($CA146,DL_KEY,0)),"M")</f>
        <v>M</v>
      </c>
      <c r="AD146" s="35" t="str">
        <f>IFERROR(INDEX(DL_Exp,MATCH($CA146,DL_KEY,0)),"M")</f>
        <v>L</v>
      </c>
      <c r="AE146" s="35" t="str">
        <f>IFERROR(INDEX(DL_Edu,MATCH($CA146,DL_KEY,0)),"M")</f>
        <v>L</v>
      </c>
      <c r="AF146" s="34" t="inlineStr">
        <is>
          <t>M</t>
        </is>
      </c>
      <c r="AG146" s="35" t="inlineStr">
        <is>
          <t>M</t>
        </is>
      </c>
      <c r="AH146" s="35" t="inlineStr">
        <is>
          <t>M</t>
        </is>
      </c>
      <c r="AI146" s="35" t="inlineStr">
        <is>
          <t>M</t>
        </is>
      </c>
      <c r="AJ146" s="35" t="inlineStr">
        <is>
          <t>M</t>
        </is>
      </c>
      <c r="AK146" s="35" t="inlineStr">
        <is>
          <t>M</t>
        </is>
      </c>
      <c r="AL146" s="35" t="inlineStr">
        <is>
          <t>M</t>
        </is>
      </c>
      <c r="AM146" s="36" t="n">
        <v>0.583</v>
      </c>
      <c r="AN146" s="37" t="n">
        <v>0.16</v>
      </c>
      <c r="AO146" s="37" t="n">
        <v>0.09</v>
      </c>
      <c r="AP146" s="37" t="n">
        <v>0</v>
      </c>
      <c r="AQ146" s="37" t="n">
        <v>0.063</v>
      </c>
      <c r="AR146" s="37" t="n">
        <v>0.06</v>
      </c>
      <c r="AS146" s="37" t="n">
        <v>0.04</v>
      </c>
      <c r="AT146" s="38" t="inlineStr">
        <is>
          <t>0–3</t>
        </is>
      </c>
      <c r="AU146" s="38" t="inlineStr">
        <is>
          <t>Graduate · or diploma with experience</t>
        </is>
      </c>
      <c r="AV146" s="38" t="inlineStr">
        <is>
          <t>No direct reports</t>
        </is>
      </c>
      <c r="AW146" s="38" t="inlineStr">
        <is>
          <t>P1–P2 · SFIA 2 Assist</t>
        </is>
      </c>
      <c r="AX14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46" s="39" t="inlineStr">
        <is>
          <t>A2</t>
        </is>
      </c>
      <c r="AZ146" s="40" t="inlineStr">
        <is>
          <t>Band A · Practitioner · Associate</t>
        </is>
      </c>
      <c r="BA146" s="40" t="inlineStr">
        <is>
          <t>Model A2 from the six ratings, the market-derived weights and rules R1–R13 · then No change · already below the manager</t>
        </is>
      </c>
      <c r="BB146" s="41" t="inlineStr">
        <is>
          <t>A2</t>
        </is>
      </c>
      <c r="BC146" s="40" t="inlineStr">
        <is>
          <t>The six ratings on the market-average weights of Band A · all tracks score 1.95 → A2 · Hay, Mercer IPE and public plans · experience 0.3 yrs vs the A2 market range 0–3</t>
        </is>
      </c>
      <c r="BD146" s="42">
        <f>IF(SUM(BM146,BN146,BO146,BP146,BQ146,BR146,BS146)=0,0,(BM146*BT146+BN146*BU146+BO146*BV146+BP146*BW146+BQ146*BX146+BR146*BY146+BS146*BZ146)/SUM(BM146,BN146,BO146,BP146,BQ146,BR146,BS146))</f>
        <v>0</v>
      </c>
      <c r="BE146" s="41" t="str">
        <f>IF(LEFT(AY146,1)="X",AY146,IF(OR(AY146="B+",AY146="C+"),INDEX(LAD_PC,MAX(1,MIN(14,MATCH(AY146,LAD_PC,0)+IF(BD146&gt;=0.5,1,IF(BD146&lt;=-0.5,-1,0))))),INDEX(LAD_STD,MAX(1,MIN(12,MATCH(AY146,LAD_STD,0)+IF(BD146&gt;=0.5,1,IF(BD146&lt;=-0.5,-1,0)))))))</f>
        <v>A2</v>
      </c>
      <c r="BF146" s="43" t="n"/>
      <c r="BG146" s="41" t="str">
        <f>IF(BF146&lt;&gt;"",BF146,BE146)</f>
        <v>A2</v>
      </c>
      <c r="BH146" s="40" t="str">
        <f>IFERROR(CHOOSE(INDEX(B_RANK,MATCH(BG146,B_LVL,0)),"Band A","Band B","B+ · Player-Coach","Band C","C+ · Player-Coach","Band D","Band E"),"Band X · Consultant")</f>
        <v>Band A</v>
      </c>
      <c r="BI146" s="40" t="str">
        <f>IF(BG146=AY146,"• Same",IF(INDEX(B_VAL,MATCH(BG146,B_LVL,0))&gt;INDEX(B_VAL,MATCH(AY146,B_LVL,0)),"▲ Up","▼ Down"))</f>
        <v>• Same</v>
      </c>
      <c r="BJ146" s="40" t="str">
        <f>IF(OR($M146="",$M146="—",$M146="Not in this file"),"",IFERROR(INDEX($BG$7:$BG$592,MATCH($M146,$D$7:$D$592,0)),""))</f>
        <v>A3</v>
      </c>
      <c r="BK146" s="40" t="str">
        <f>IFERROR(IF(BJ146="","—",IF(OR(LEFT(BG146,1)="X",LEFT(BJ146,1)="X"),"—",IF(AND(LEFT(BG146,1)="E",LEFT(BJ146,1)="E"),"Exception · Band E",IF(AND(INDEX(B_VAL,MATCH(BJ146,B_LVL,0))&gt;=7,INDEX(B_RANK,MATCH(BG146,B_LVL,0))&gt;=INDEX(B_RANK,MATCH(BJ146,B_LVL,0))),"⚠ Same band as a head manager",IF(INDEX(B_VAL,MATCH(BG146,B_LVL,0))&gt;=INDEX(B_VAL,MATCH(BJ146,B_LVL,0)),"⚠ At or above the manager's level","OK"))))),"—")</f>
        <v>OK</v>
      </c>
      <c r="BL146" s="43" t="n"/>
      <c r="BM146" s="44">
        <f>IFERROR(INDEX(LMH_PTS,MATCH(Y146,LMH_KEY,0)),0)</f>
        <v>9</v>
      </c>
      <c r="BN146" s="38">
        <f>IFERROR(INDEX(LMH_PTS,MATCH(Z146,LMH_KEY,0)),0)</f>
        <v>3</v>
      </c>
      <c r="BO146" s="38">
        <f>IFERROR(INDEX(LMH_PTS,MATCH(AA146,LMH_KEY,0)),0)</f>
        <v>1</v>
      </c>
      <c r="BP146" s="38">
        <f>IFERROR(INDEX(LMH_PTS,MATCH(AB146,LMH_KEY,0)),0)</f>
        <v>1</v>
      </c>
      <c r="BQ146" s="38">
        <f>IFERROR(INDEX(LMH_PTS,MATCH(AC146,LMH_KEY,0)),0)</f>
        <v>3</v>
      </c>
      <c r="BR146" s="38">
        <f>IFERROR(INDEX(LMH_PTS,MATCH(AD146,LMH_KEY,0)),0)</f>
        <v>1</v>
      </c>
      <c r="BS146" s="38">
        <f>IFERROR(INDEX(LMH_PTS,MATCH(AE146,LMH_KEY,0)),0)</f>
        <v>1</v>
      </c>
      <c r="BT146" s="38">
        <f>IFERROR(INDEX(LMH_STEP,MATCH(AF146,LMH_KEY,0)),0)</f>
        <v>0</v>
      </c>
      <c r="BU146" s="38">
        <f>IFERROR(INDEX(LMH_STEP,MATCH(AG146,LMH_KEY,0)),0)</f>
        <v>0</v>
      </c>
      <c r="BV146" s="38">
        <f>IFERROR(INDEX(LMH_STEP,MATCH(AH146,LMH_KEY,0)),0)</f>
        <v>0</v>
      </c>
      <c r="BW146" s="38">
        <f>IFERROR(INDEX(LMH_STEP,MATCH(AI146,LMH_KEY,0)),0)</f>
        <v>0</v>
      </c>
      <c r="BX146" s="38">
        <f>IFERROR(INDEX(LMH_STEP,MATCH(AJ146,LMH_KEY,0)),0)</f>
        <v>0</v>
      </c>
      <c r="BY146" s="38">
        <f>IFERROR(INDEX(LMH_STEP,MATCH(AK146,LMH_KEY,0)),0)</f>
        <v>0</v>
      </c>
      <c r="BZ146" s="38">
        <f>IFERROR(INDEX(LMH_STEP,MATCH(AL146,LMH_KEY,0)),0)</f>
        <v>0</v>
      </c>
      <c r="CA146" s="38" t="inlineStr">
        <is>
          <t>CARBON|Marketing|Marketing Operations Associate|A2|A</t>
        </is>
      </c>
    </row>
    <row r="147" ht="110" customHeight="1">
      <c r="A147" s="28" t="inlineStr">
        <is>
          <t>CARBON</t>
        </is>
      </c>
      <c r="B147" s="29" t="inlineStr">
        <is>
          <t>Marketing</t>
        </is>
      </c>
      <c r="C147" s="29" t="n">
        <v>5</v>
      </c>
      <c r="D147" s="29" t="inlineStr">
        <is>
          <t>IRIS2514</t>
        </is>
      </c>
      <c r="E147" s="29" t="inlineStr">
        <is>
          <t>Jatin Khare</t>
        </is>
      </c>
      <c r="F147" s="29" t="inlineStr">
        <is>
          <t>Marketing Associate</t>
        </is>
      </c>
      <c r="G147" s="29" t="inlineStr">
        <is>
          <t>Content Marketing Associate</t>
        </is>
      </c>
      <c r="H147" s="29" t="inlineStr">
        <is>
          <t>Marketing &amp; Communications</t>
        </is>
      </c>
      <c r="I147" s="29" t="inlineStr">
        <is>
          <t>Content Marketing</t>
        </is>
      </c>
      <c r="J147" s="29" t="inlineStr">
        <is>
          <t>IC</t>
        </is>
      </c>
      <c r="K147" s="29" t="inlineStr">
        <is>
          <t>RC-111</t>
        </is>
      </c>
      <c r="L147" s="29" t="inlineStr">
        <is>
          <t>Sudipta Kundu</t>
        </is>
      </c>
      <c r="M147" s="29" t="inlineStr">
        <is>
          <t>IRIS2502</t>
        </is>
      </c>
      <c r="N147" s="29" t="n">
        <v>0.4</v>
      </c>
      <c r="O147" s="29" t="n">
        <v>0.4</v>
      </c>
      <c r="P147" s="29" t="inlineStr">
        <is>
          <t>PGDM</t>
        </is>
      </c>
      <c r="Q147" s="29" t="inlineStr">
        <is>
          <t>L3 – Professional / Associate</t>
        </is>
      </c>
      <c r="R147" s="29" t="inlineStr">
        <is>
          <t>A2</t>
        </is>
      </c>
      <c r="S147" s="30" t="inlineStr">
        <is>
          <t>19 of 20</t>
        </is>
      </c>
      <c r="T147" s="31" t="inlineStr">
        <is>
          <t>• This role manages event marketing and operations by coordinating internal and external stakeholders for exhibition events.</t>
        </is>
      </c>
      <c r="U147" s="32" t="inlineStr">
        <is>
          <t>KRAs not received · manager to supply</t>
        </is>
      </c>
      <c r="V147" s="31" t="inlineStr">
        <is>
          <t>Latest rating: Not rated · manager · Potential: Medium · 9-box: Core Contributor · Readiness: Develop in role</t>
        </is>
      </c>
      <c r="W147" s="31" t="inlineStr">
        <is>
          <t>C M · Au M · Ac M · L L · BI M · Exp M · 0.4 yrs vs 0–2 yrs · Edu H · PGDM</t>
        </is>
      </c>
      <c r="X147" s="33" t="inlineStr">
        <is>
          <t>Open ▸</t>
        </is>
      </c>
      <c r="Y147" s="34" t="str">
        <f>IFERROR(INDEX(DL_C,MATCH($CA147,DL_KEY,0)),"M")</f>
        <v>H</v>
      </c>
      <c r="Z147" s="35" t="str">
        <f>IFERROR(INDEX(DL_Au,MATCH($CA147,DL_KEY,0)),"M")</f>
        <v>M</v>
      </c>
      <c r="AA147" s="35" t="str">
        <f>IFERROR(INDEX(DL_Ac,MATCH($CA147,DL_KEY,0)),"M")</f>
        <v>L</v>
      </c>
      <c r="AB147" s="35" t="str">
        <f>IFERROR(INDEX(DL_L,MATCH($CA147,DL_KEY,0)),"M")</f>
        <v>L</v>
      </c>
      <c r="AC147" s="35" t="str">
        <f>IFERROR(INDEX(DL_BI,MATCH($CA147,DL_KEY,0)),"M")</f>
        <v>M</v>
      </c>
      <c r="AD147" s="35" t="str">
        <f>IFERROR(INDEX(DL_Exp,MATCH($CA147,DL_KEY,0)),"M")</f>
        <v>L</v>
      </c>
      <c r="AE147" s="35" t="str">
        <f>IFERROR(INDEX(DL_Edu,MATCH($CA147,DL_KEY,0)),"M")</f>
        <v>L</v>
      </c>
      <c r="AF147" s="34" t="inlineStr">
        <is>
          <t>M</t>
        </is>
      </c>
      <c r="AG147" s="35" t="inlineStr">
        <is>
          <t>M</t>
        </is>
      </c>
      <c r="AH147" s="35" t="inlineStr">
        <is>
          <t>M</t>
        </is>
      </c>
      <c r="AI147" s="35" t="inlineStr">
        <is>
          <t>M</t>
        </is>
      </c>
      <c r="AJ147" s="35" t="inlineStr">
        <is>
          <t>M</t>
        </is>
      </c>
      <c r="AK147" s="35" t="inlineStr">
        <is>
          <t>M</t>
        </is>
      </c>
      <c r="AL147" s="35" t="inlineStr">
        <is>
          <t>M</t>
        </is>
      </c>
      <c r="AM147" s="36" t="n">
        <v>0.583</v>
      </c>
      <c r="AN147" s="37" t="n">
        <v>0.16</v>
      </c>
      <c r="AO147" s="37" t="n">
        <v>0.09</v>
      </c>
      <c r="AP147" s="37" t="n">
        <v>0</v>
      </c>
      <c r="AQ147" s="37" t="n">
        <v>0.063</v>
      </c>
      <c r="AR147" s="37" t="n">
        <v>0.06</v>
      </c>
      <c r="AS147" s="37" t="n">
        <v>0.04</v>
      </c>
      <c r="AT147" s="38" t="inlineStr">
        <is>
          <t>0–3</t>
        </is>
      </c>
      <c r="AU147" s="38" t="inlineStr">
        <is>
          <t>Graduate · or diploma with experience</t>
        </is>
      </c>
      <c r="AV147" s="38" t="inlineStr">
        <is>
          <t>No direct reports</t>
        </is>
      </c>
      <c r="AW147" s="38" t="inlineStr">
        <is>
          <t>P1–P2 · SFIA 2 Assist</t>
        </is>
      </c>
      <c r="AX14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47" s="39" t="inlineStr">
        <is>
          <t>A2</t>
        </is>
      </c>
      <c r="AZ147" s="40" t="inlineStr">
        <is>
          <t>Band A · Practitioner · Associate</t>
        </is>
      </c>
      <c r="BA147" s="40" t="inlineStr">
        <is>
          <t>Model A2 from the six ratings, the market-derived weights and rules R1–R13 · then No change · already below the manager</t>
        </is>
      </c>
      <c r="BB147" s="41" t="inlineStr">
        <is>
          <t>A2</t>
        </is>
      </c>
      <c r="BC147" s="40" t="inlineStr">
        <is>
          <t>The six ratings on the market-average weights of Band A · all tracks score 2.08 → A2 · Hay, Mercer IPE and public plans · experience 0.4 yrs vs the A2 market range 0–3</t>
        </is>
      </c>
      <c r="BD147" s="42">
        <f>IF(SUM(BM147,BN147,BO147,BP147,BQ147,BR147,BS147)=0,0,(BM147*BT147+BN147*BU147+BO147*BV147+BP147*BW147+BQ147*BX147+BR147*BY147+BS147*BZ147)/SUM(BM147,BN147,BO147,BP147,BQ147,BR147,BS147))</f>
        <v>0</v>
      </c>
      <c r="BE147" s="41" t="str">
        <f>IF(LEFT(AY147,1)="X",AY147,IF(OR(AY147="B+",AY147="C+"),INDEX(LAD_PC,MAX(1,MIN(14,MATCH(AY147,LAD_PC,0)+IF(BD147&gt;=0.5,1,IF(BD147&lt;=-0.5,-1,0))))),INDEX(LAD_STD,MAX(1,MIN(12,MATCH(AY147,LAD_STD,0)+IF(BD147&gt;=0.5,1,IF(BD147&lt;=-0.5,-1,0)))))))</f>
        <v>A2</v>
      </c>
      <c r="BF147" s="43" t="n"/>
      <c r="BG147" s="41" t="str">
        <f>IF(BF147&lt;&gt;"",BF147,BE147)</f>
        <v>A2</v>
      </c>
      <c r="BH147" s="40" t="str">
        <f>IFERROR(CHOOSE(INDEX(B_RANK,MATCH(BG147,B_LVL,0)),"Band A","Band B","B+ · Player-Coach","Band C","C+ · Player-Coach","Band D","Band E"),"Band X · Consultant")</f>
        <v>Band A</v>
      </c>
      <c r="BI147" s="40" t="str">
        <f>IF(BG147=AY147,"• Same",IF(INDEX(B_VAL,MATCH(BG147,B_LVL,0))&gt;INDEX(B_VAL,MATCH(AY147,B_LVL,0)),"▲ Up","▼ Down"))</f>
        <v>• Same</v>
      </c>
      <c r="BJ147" s="40" t="str">
        <f>IF(OR($M147="",$M147="—",$M147="Not in this file"),"",IFERROR(INDEX($BG$7:$BG$592,MATCH($M147,$D$7:$D$592,0)),""))</f>
        <v>B2</v>
      </c>
      <c r="BK147" s="40" t="str">
        <f>IFERROR(IF(BJ147="","—",IF(OR(LEFT(BG147,1)="X",LEFT(BJ147,1)="X"),"—",IF(AND(LEFT(BG147,1)="E",LEFT(BJ147,1)="E"),"Exception · Band E",IF(AND(INDEX(B_VAL,MATCH(BJ147,B_LVL,0))&gt;=7,INDEX(B_RANK,MATCH(BG147,B_LVL,0))&gt;=INDEX(B_RANK,MATCH(BJ147,B_LVL,0))),"⚠ Same band as a head manager",IF(INDEX(B_VAL,MATCH(BG147,B_LVL,0))&gt;=INDEX(B_VAL,MATCH(BJ147,B_LVL,0)),"⚠ At or above the manager's level","OK"))))),"—")</f>
        <v>OK</v>
      </c>
      <c r="BL147" s="43" t="n"/>
      <c r="BM147" s="44">
        <f>IFERROR(INDEX(LMH_PTS,MATCH(Y147,LMH_KEY,0)),0)</f>
        <v>9</v>
      </c>
      <c r="BN147" s="38">
        <f>IFERROR(INDEX(LMH_PTS,MATCH(Z147,LMH_KEY,0)),0)</f>
        <v>3</v>
      </c>
      <c r="BO147" s="38">
        <f>IFERROR(INDEX(LMH_PTS,MATCH(AA147,LMH_KEY,0)),0)</f>
        <v>1</v>
      </c>
      <c r="BP147" s="38">
        <f>IFERROR(INDEX(LMH_PTS,MATCH(AB147,LMH_KEY,0)),0)</f>
        <v>1</v>
      </c>
      <c r="BQ147" s="38">
        <f>IFERROR(INDEX(LMH_PTS,MATCH(AC147,LMH_KEY,0)),0)</f>
        <v>3</v>
      </c>
      <c r="BR147" s="38">
        <f>IFERROR(INDEX(LMH_PTS,MATCH(AD147,LMH_KEY,0)),0)</f>
        <v>1</v>
      </c>
      <c r="BS147" s="38">
        <f>IFERROR(INDEX(LMH_PTS,MATCH(AE147,LMH_KEY,0)),0)</f>
        <v>1</v>
      </c>
      <c r="BT147" s="38">
        <f>IFERROR(INDEX(LMH_STEP,MATCH(AF147,LMH_KEY,0)),0)</f>
        <v>0</v>
      </c>
      <c r="BU147" s="38">
        <f>IFERROR(INDEX(LMH_STEP,MATCH(AG147,LMH_KEY,0)),0)</f>
        <v>0</v>
      </c>
      <c r="BV147" s="38">
        <f>IFERROR(INDEX(LMH_STEP,MATCH(AH147,LMH_KEY,0)),0)</f>
        <v>0</v>
      </c>
      <c r="BW147" s="38">
        <f>IFERROR(INDEX(LMH_STEP,MATCH(AI147,LMH_KEY,0)),0)</f>
        <v>0</v>
      </c>
      <c r="BX147" s="38">
        <f>IFERROR(INDEX(LMH_STEP,MATCH(AJ147,LMH_KEY,0)),0)</f>
        <v>0</v>
      </c>
      <c r="BY147" s="38">
        <f>IFERROR(INDEX(LMH_STEP,MATCH(AK147,LMH_KEY,0)),0)</f>
        <v>0</v>
      </c>
      <c r="BZ147" s="38">
        <f>IFERROR(INDEX(LMH_STEP,MATCH(AL147,LMH_KEY,0)),0)</f>
        <v>0</v>
      </c>
      <c r="CA147" s="38" t="inlineStr">
        <is>
          <t>CARBON|Marketing|Content Marketing Associate|A2|A</t>
        </is>
      </c>
    </row>
    <row r="148" ht="110" customHeight="1">
      <c r="A148" s="28" t="inlineStr">
        <is>
          <t>CARBON</t>
        </is>
      </c>
      <c r="B148" s="29" t="inlineStr">
        <is>
          <t>Marketing</t>
        </is>
      </c>
      <c r="C148" s="29" t="n">
        <v>5</v>
      </c>
      <c r="D148" s="29" t="inlineStr">
        <is>
          <t>IRIS2391</t>
        </is>
      </c>
      <c r="E148" s="29" t="inlineStr">
        <is>
          <t>Ritam Mukhopadhyay</t>
        </is>
      </c>
      <c r="F148" s="29" t="inlineStr">
        <is>
          <t>Marketing Operations Executive</t>
        </is>
      </c>
      <c r="G148" s="29" t="inlineStr">
        <is>
          <t>Marketing Operations Associate</t>
        </is>
      </c>
      <c r="H148" s="29" t="inlineStr">
        <is>
          <t>Marketing &amp; Communications</t>
        </is>
      </c>
      <c r="I148" s="29" t="inlineStr">
        <is>
          <t>Marketing Operations &amp; Automation</t>
        </is>
      </c>
      <c r="J148" s="29" t="inlineStr">
        <is>
          <t>IC</t>
        </is>
      </c>
      <c r="K148" s="29" t="inlineStr">
        <is>
          <t>RC-121</t>
        </is>
      </c>
      <c r="L148" s="29" t="inlineStr">
        <is>
          <t>Sudipta Kundu</t>
        </is>
      </c>
      <c r="M148" s="29" t="inlineStr">
        <is>
          <t>IRIS2502</t>
        </is>
      </c>
      <c r="N148" s="29" t="n">
        <v>1.2</v>
      </c>
      <c r="O148" s="29" t="n">
        <v>1.2</v>
      </c>
      <c r="P148" s="29" t="inlineStr">
        <is>
          <t>B.Tech</t>
        </is>
      </c>
      <c r="Q148" s="29" t="inlineStr">
        <is>
          <t>L3 – Professional / Associate</t>
        </is>
      </c>
      <c r="R148" s="29" t="inlineStr">
        <is>
          <t>A2</t>
        </is>
      </c>
      <c r="S148" s="30" t="inlineStr">
        <is>
          <t>20 of 20</t>
        </is>
      </c>
      <c r="T148" s="31" t="inlineStr">
        <is>
          <t>• This role creates marketing reporting dashboards for leadership and maintains processes and data governance.</t>
        </is>
      </c>
      <c r="U148" s="31" t="inlineStr">
        <is>
          <t>Received · manager annual · 1. Maintain accurate multi-touch attribution and campaign performance tracking in HubSpot
2. Build and maintain real-time dashboards for funnel, campaigns, and partner performance
3. Improve pipeline speed by 10% and identify drop-offs in MQL → SAL
4. Support database team and help them validation, enrichment, and …</t>
        </is>
      </c>
      <c r="V148" s="31" t="inlineStr">
        <is>
          <t>Latest rating: 3 · Potential: Medium · 9-box: Reliable Specialist · Readiness: Develop in role</t>
        </is>
      </c>
      <c r="W148" s="31" t="inlineStr">
        <is>
          <t>C M · Au M · Ac M · L L · BI M · Exp M · 1.2 yrs vs 0–2 yrs · Edu M · B.Tech</t>
        </is>
      </c>
      <c r="X148" s="33" t="inlineStr">
        <is>
          <t>Open ▸</t>
        </is>
      </c>
      <c r="Y148" s="34" t="str">
        <f>IFERROR(INDEX(DL_C,MATCH($CA148,DL_KEY,0)),"M")</f>
        <v>H</v>
      </c>
      <c r="Z148" s="35" t="str">
        <f>IFERROR(INDEX(DL_Au,MATCH($CA148,DL_KEY,0)),"M")</f>
        <v>M</v>
      </c>
      <c r="AA148" s="35" t="str">
        <f>IFERROR(INDEX(DL_Ac,MATCH($CA148,DL_KEY,0)),"M")</f>
        <v>L</v>
      </c>
      <c r="AB148" s="35" t="str">
        <f>IFERROR(INDEX(DL_L,MATCH($CA148,DL_KEY,0)),"M")</f>
        <v>L</v>
      </c>
      <c r="AC148" s="35" t="str">
        <f>IFERROR(INDEX(DL_BI,MATCH($CA148,DL_KEY,0)),"M")</f>
        <v>M</v>
      </c>
      <c r="AD148" s="35" t="str">
        <f>IFERROR(INDEX(DL_Exp,MATCH($CA148,DL_KEY,0)),"M")</f>
        <v>L</v>
      </c>
      <c r="AE148" s="35" t="str">
        <f>IFERROR(INDEX(DL_Edu,MATCH($CA148,DL_KEY,0)),"M")</f>
        <v>L</v>
      </c>
      <c r="AF148" s="34" t="inlineStr">
        <is>
          <t>M</t>
        </is>
      </c>
      <c r="AG148" s="35" t="inlineStr">
        <is>
          <t>M</t>
        </is>
      </c>
      <c r="AH148" s="35" t="inlineStr">
        <is>
          <t>M</t>
        </is>
      </c>
      <c r="AI148" s="35" t="inlineStr">
        <is>
          <t>M</t>
        </is>
      </c>
      <c r="AJ148" s="35" t="inlineStr">
        <is>
          <t>M</t>
        </is>
      </c>
      <c r="AK148" s="35" t="inlineStr">
        <is>
          <t>M</t>
        </is>
      </c>
      <c r="AL148" s="35" t="inlineStr">
        <is>
          <t>M</t>
        </is>
      </c>
      <c r="AM148" s="36" t="n">
        <v>0.583</v>
      </c>
      <c r="AN148" s="37" t="n">
        <v>0.16</v>
      </c>
      <c r="AO148" s="37" t="n">
        <v>0.09</v>
      </c>
      <c r="AP148" s="37" t="n">
        <v>0</v>
      </c>
      <c r="AQ148" s="37" t="n">
        <v>0.063</v>
      </c>
      <c r="AR148" s="37" t="n">
        <v>0.06</v>
      </c>
      <c r="AS148" s="37" t="n">
        <v>0.04</v>
      </c>
      <c r="AT148" s="38" t="inlineStr">
        <is>
          <t>0–3</t>
        </is>
      </c>
      <c r="AU148" s="38" t="inlineStr">
        <is>
          <t>Graduate · or diploma with experience</t>
        </is>
      </c>
      <c r="AV148" s="38" t="inlineStr">
        <is>
          <t>No direct reports</t>
        </is>
      </c>
      <c r="AW148" s="38" t="inlineStr">
        <is>
          <t>P1–P2 · SFIA 2 Assist</t>
        </is>
      </c>
      <c r="AX14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48" s="39" t="inlineStr">
        <is>
          <t>A2</t>
        </is>
      </c>
      <c r="AZ148" s="40" t="inlineStr">
        <is>
          <t>Band A · Practitioner · Associate</t>
        </is>
      </c>
      <c r="BA148" s="40" t="inlineStr">
        <is>
          <t>Model A2 from the six ratings, the market-derived weights and rules R1–R13 · then No change · already below the manager</t>
        </is>
      </c>
      <c r="BB148" s="41" t="inlineStr">
        <is>
          <t>A2</t>
        </is>
      </c>
      <c r="BC148" s="40" t="inlineStr">
        <is>
          <t>The six ratings on the market-average weights of Band A · all tracks score 2.37 → A2 · Hay, Mercer IPE and public plans · experience 1.2 yrs vs the A2 market range 0–3</t>
        </is>
      </c>
      <c r="BD148" s="42">
        <f>IF(SUM(BM148,BN148,BO148,BP148,BQ148,BR148,BS148)=0,0,(BM148*BT148+BN148*BU148+BO148*BV148+BP148*BW148+BQ148*BX148+BR148*BY148+BS148*BZ148)/SUM(BM148,BN148,BO148,BP148,BQ148,BR148,BS148))</f>
        <v>0</v>
      </c>
      <c r="BE148" s="41" t="str">
        <f>IF(LEFT(AY148,1)="X",AY148,IF(OR(AY148="B+",AY148="C+"),INDEX(LAD_PC,MAX(1,MIN(14,MATCH(AY148,LAD_PC,0)+IF(BD148&gt;=0.5,1,IF(BD148&lt;=-0.5,-1,0))))),INDEX(LAD_STD,MAX(1,MIN(12,MATCH(AY148,LAD_STD,0)+IF(BD148&gt;=0.5,1,IF(BD148&lt;=-0.5,-1,0)))))))</f>
        <v>A2</v>
      </c>
      <c r="BF148" s="43" t="n"/>
      <c r="BG148" s="41" t="str">
        <f>IF(BF148&lt;&gt;"",BF148,BE148)</f>
        <v>A2</v>
      </c>
      <c r="BH148" s="40" t="str">
        <f>IFERROR(CHOOSE(INDEX(B_RANK,MATCH(BG148,B_LVL,0)),"Band A","Band B","B+ · Player-Coach","Band C","C+ · Player-Coach","Band D","Band E"),"Band X · Consultant")</f>
        <v>Band A</v>
      </c>
      <c r="BI148" s="40" t="str">
        <f>IF(BG148=AY148,"• Same",IF(INDEX(B_VAL,MATCH(BG148,B_LVL,0))&gt;INDEX(B_VAL,MATCH(AY148,B_LVL,0)),"▲ Up","▼ Down"))</f>
        <v>• Same</v>
      </c>
      <c r="BJ148" s="40" t="str">
        <f>IF(OR($M148="",$M148="—",$M148="Not in this file"),"",IFERROR(INDEX($BG$7:$BG$592,MATCH($M148,$D$7:$D$592,0)),""))</f>
        <v>B2</v>
      </c>
      <c r="BK148" s="40" t="str">
        <f>IFERROR(IF(BJ148="","—",IF(OR(LEFT(BG148,1)="X",LEFT(BJ148,1)="X"),"—",IF(AND(LEFT(BG148,1)="E",LEFT(BJ148,1)="E"),"Exception · Band E",IF(AND(INDEX(B_VAL,MATCH(BJ148,B_LVL,0))&gt;=7,INDEX(B_RANK,MATCH(BG148,B_LVL,0))&gt;=INDEX(B_RANK,MATCH(BJ148,B_LVL,0))),"⚠ Same band as a head manager",IF(INDEX(B_VAL,MATCH(BG148,B_LVL,0))&gt;=INDEX(B_VAL,MATCH(BJ148,B_LVL,0)),"⚠ At or above the manager's level","OK"))))),"—")</f>
        <v>OK</v>
      </c>
      <c r="BL148" s="43" t="n"/>
      <c r="BM148" s="44">
        <f>IFERROR(INDEX(LMH_PTS,MATCH(Y148,LMH_KEY,0)),0)</f>
        <v>9</v>
      </c>
      <c r="BN148" s="38">
        <f>IFERROR(INDEX(LMH_PTS,MATCH(Z148,LMH_KEY,0)),0)</f>
        <v>3</v>
      </c>
      <c r="BO148" s="38">
        <f>IFERROR(INDEX(LMH_PTS,MATCH(AA148,LMH_KEY,0)),0)</f>
        <v>1</v>
      </c>
      <c r="BP148" s="38">
        <f>IFERROR(INDEX(LMH_PTS,MATCH(AB148,LMH_KEY,0)),0)</f>
        <v>1</v>
      </c>
      <c r="BQ148" s="38">
        <f>IFERROR(INDEX(LMH_PTS,MATCH(AC148,LMH_KEY,0)),0)</f>
        <v>3</v>
      </c>
      <c r="BR148" s="38">
        <f>IFERROR(INDEX(LMH_PTS,MATCH(AD148,LMH_KEY,0)),0)</f>
        <v>1</v>
      </c>
      <c r="BS148" s="38">
        <f>IFERROR(INDEX(LMH_PTS,MATCH(AE148,LMH_KEY,0)),0)</f>
        <v>1</v>
      </c>
      <c r="BT148" s="38">
        <f>IFERROR(INDEX(LMH_STEP,MATCH(AF148,LMH_KEY,0)),0)</f>
        <v>0</v>
      </c>
      <c r="BU148" s="38">
        <f>IFERROR(INDEX(LMH_STEP,MATCH(AG148,LMH_KEY,0)),0)</f>
        <v>0</v>
      </c>
      <c r="BV148" s="38">
        <f>IFERROR(INDEX(LMH_STEP,MATCH(AH148,LMH_KEY,0)),0)</f>
        <v>0</v>
      </c>
      <c r="BW148" s="38">
        <f>IFERROR(INDEX(LMH_STEP,MATCH(AI148,LMH_KEY,0)),0)</f>
        <v>0</v>
      </c>
      <c r="BX148" s="38">
        <f>IFERROR(INDEX(LMH_STEP,MATCH(AJ148,LMH_KEY,0)),0)</f>
        <v>0</v>
      </c>
      <c r="BY148" s="38">
        <f>IFERROR(INDEX(LMH_STEP,MATCH(AK148,LMH_KEY,0)),0)</f>
        <v>0</v>
      </c>
      <c r="BZ148" s="38">
        <f>IFERROR(INDEX(LMH_STEP,MATCH(AL148,LMH_KEY,0)),0)</f>
        <v>0</v>
      </c>
      <c r="CA148" s="38" t="inlineStr">
        <is>
          <t>CARBON|Marketing|Marketing Operations Associate|A2|A</t>
        </is>
      </c>
    </row>
    <row r="149" ht="110" customHeight="1">
      <c r="A149" s="28" t="inlineStr">
        <is>
          <t>CARBON</t>
        </is>
      </c>
      <c r="B149" s="29" t="inlineStr">
        <is>
          <t>Marketing</t>
        </is>
      </c>
      <c r="C149" s="29" t="n">
        <v>4</v>
      </c>
      <c r="D149" s="29" t="inlineStr">
        <is>
          <t>IRIS2324</t>
        </is>
      </c>
      <c r="E149" s="29" t="inlineStr">
        <is>
          <t>Priyadarshini Dey</t>
        </is>
      </c>
      <c r="F149" s="29" t="inlineStr">
        <is>
          <t>Team Lead SDR</t>
        </is>
      </c>
      <c r="G149" s="29" t="inlineStr">
        <is>
          <t>Team Lead – Sales Development</t>
        </is>
      </c>
      <c r="H149" s="29" t="inlineStr">
        <is>
          <t>Sales &amp; Business Development</t>
        </is>
      </c>
      <c r="I149" s="29" t="inlineStr">
        <is>
          <t>Sales Development &amp; Prospecting</t>
        </is>
      </c>
      <c r="J149" s="29" t="inlineStr">
        <is>
          <t>People Manager</t>
        </is>
      </c>
      <c r="K149" s="29" t="inlineStr">
        <is>
          <t>RC-166</t>
        </is>
      </c>
      <c r="L149" s="29" t="inlineStr">
        <is>
          <t>Saahit Togaru</t>
        </is>
      </c>
      <c r="M149" s="29" t="inlineStr">
        <is>
          <t>IRIS2239</t>
        </is>
      </c>
      <c r="N149" s="29" t="n">
        <v>4.2</v>
      </c>
      <c r="O149" s="29" t="n">
        <v>1.9</v>
      </c>
      <c r="P149" s="29" t="inlineStr">
        <is>
          <t>B.Tech</t>
        </is>
      </c>
      <c r="Q149" s="29" t="inlineStr">
        <is>
          <t>L4 – Senior</t>
        </is>
      </c>
      <c r="R149" s="29" t="inlineStr">
        <is>
          <t>B1</t>
        </is>
      </c>
      <c r="S149" s="30" t="inlineStr">
        <is>
          <t>20 of 20</t>
        </is>
      </c>
      <c r="T149" s="31" t="inlineStr">
        <is>
          <t>My role of an SDR is to reach out to prospects, understand and recognise ICPs and put out what IRIS CARBON does in a consultative and strategic way; Outreach Pipeline Generation Strategies for the team</t>
        </is>
      </c>
      <c r="U149" s="31" t="inlineStr">
        <is>
          <t>Received · manager annual · 1. Build a strong pipeline of qualified leads through close sales collaboration and complete 8 Discovery Calls · DCCs per month · ~96 annually
2. Generate 3 Sales Accepted Leads · SALs = Active Buy per month by qualifying high-intent opportunities for Account Executives and Functional Experts · ~36 annually
3. Ensure …</t>
        </is>
      </c>
      <c r="V149" s="31" t="inlineStr">
        <is>
          <t>Latest rating: Not rated · manager · 9-box: Underperformer / Exit Risk · Readiness: No rating data</t>
        </is>
      </c>
      <c r="W149" s="31" t="inlineStr">
        <is>
          <t>C M · Au M · Ac M · L M · BI M · Exp M · 4.2 yrs vs 4–7 yrs · Edu M · B.Tech</t>
        </is>
      </c>
      <c r="X149" s="33" t="inlineStr">
        <is>
          <t>Open ▸</t>
        </is>
      </c>
      <c r="Y149" s="34" t="str">
        <f>IFERROR(INDEX(DL_C,MATCH($CA149,DL_KEY,0)),"M")</f>
        <v>H</v>
      </c>
      <c r="Z149" s="35" t="str">
        <f>IFERROR(INDEX(DL_Au,MATCH($CA149,DL_KEY,0)),"M")</f>
        <v>M</v>
      </c>
      <c r="AA149" s="35" t="str">
        <f>IFERROR(INDEX(DL_Ac,MATCH($CA149,DL_KEY,0)),"M")</f>
        <v>L</v>
      </c>
      <c r="AB149" s="35" t="str">
        <f>IFERROR(INDEX(DL_L,MATCH($CA149,DL_KEY,0)),"M")</f>
        <v>M</v>
      </c>
      <c r="AC149" s="35" t="str">
        <f>IFERROR(INDEX(DL_BI,MATCH($CA149,DL_KEY,0)),"M")</f>
        <v>M</v>
      </c>
      <c r="AD149" s="35" t="str">
        <f>IFERROR(INDEX(DL_Exp,MATCH($CA149,DL_KEY,0)),"M")</f>
        <v>L</v>
      </c>
      <c r="AE149" s="35" t="str">
        <f>IFERROR(INDEX(DL_Edu,MATCH($CA149,DL_KEY,0)),"M")</f>
        <v>L</v>
      </c>
      <c r="AF149" s="34" t="inlineStr">
        <is>
          <t>M</t>
        </is>
      </c>
      <c r="AG149" s="35" t="inlineStr">
        <is>
          <t>M</t>
        </is>
      </c>
      <c r="AH149" s="35" t="inlineStr">
        <is>
          <t>M</t>
        </is>
      </c>
      <c r="AI149" s="35" t="inlineStr">
        <is>
          <t>M</t>
        </is>
      </c>
      <c r="AJ149" s="35" t="inlineStr">
        <is>
          <t>M</t>
        </is>
      </c>
      <c r="AK149" s="35" t="inlineStr">
        <is>
          <t>M</t>
        </is>
      </c>
      <c r="AL149" s="35" t="inlineStr">
        <is>
          <t>M</t>
        </is>
      </c>
      <c r="AM149" s="36" t="n">
        <v>0.37</v>
      </c>
      <c r="AN149" s="37" t="n">
        <v>0.183</v>
      </c>
      <c r="AO149" s="37" t="n">
        <v>0.113</v>
      </c>
      <c r="AP149" s="37" t="n">
        <v>0.15</v>
      </c>
      <c r="AQ149" s="37" t="n">
        <v>0.08699999999999999</v>
      </c>
      <c r="AR149" s="37" t="n">
        <v>0.06</v>
      </c>
      <c r="AS149" s="37" t="n">
        <v>0.04</v>
      </c>
      <c r="AT149" s="38" t="inlineStr">
        <is>
          <t>4–8</t>
        </is>
      </c>
      <c r="AU149" s="38" t="inlineStr">
        <is>
          <t>Graduate + relevant qualification or certification preferred</t>
        </is>
      </c>
      <c r="AV149" s="38" t="inlineStr">
        <is>
          <t>IC: none · Team Lead: 3–5</t>
        </is>
      </c>
      <c r="AW149" s="38" t="inlineStr">
        <is>
          <t>P3 / M2 · SFIA 4 Enable</t>
        </is>
      </c>
      <c r="AX14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49" s="39" t="inlineStr">
        <is>
          <t>B1</t>
        </is>
      </c>
      <c r="AZ149" s="40" t="inlineStr">
        <is>
          <t>Band B · Specialist / Manager · Team Lead / Asst Manager</t>
        </is>
      </c>
      <c r="BA149" s="40" t="inlineStr">
        <is>
          <t>Model B1 from the six ratings, the market-derived weights and rules R1–R13 · then No change · already below the manager</t>
        </is>
      </c>
      <c r="BB149" s="41" t="inlineStr">
        <is>
          <t>B1</t>
        </is>
      </c>
      <c r="BC149" s="40" t="inlineStr">
        <is>
          <t>The six ratings on the market-average weights of Band B · People Manager score 3.77 → B1 · Hay, Mercer IPE and public plans · experience 4.2 yrs vs the B1 market range 4–8</t>
        </is>
      </c>
      <c r="BD149" s="42">
        <f>IF(SUM(BM149,BN149,BO149,BP149,BQ149,BR149,BS149)=0,0,(BM149*BT149+BN149*BU149+BO149*BV149+BP149*BW149+BQ149*BX149+BR149*BY149+BS149*BZ149)/SUM(BM149,BN149,BO149,BP149,BQ149,BR149,BS149))</f>
        <v>0</v>
      </c>
      <c r="BE149" s="41" t="str">
        <f>IF(LEFT(AY149,1)="X",AY149,IF(OR(AY149="B+",AY149="C+"),INDEX(LAD_PC,MAX(1,MIN(14,MATCH(AY149,LAD_PC,0)+IF(BD149&gt;=0.5,1,IF(BD149&lt;=-0.5,-1,0))))),INDEX(LAD_STD,MAX(1,MIN(12,MATCH(AY149,LAD_STD,0)+IF(BD149&gt;=0.5,1,IF(BD149&lt;=-0.5,-1,0)))))))</f>
        <v>B1</v>
      </c>
      <c r="BF149" s="43" t="n"/>
      <c r="BG149" s="41" t="str">
        <f>IF(BF149&lt;&gt;"",BF149,BE149)</f>
        <v>B1</v>
      </c>
      <c r="BH149" s="40" t="str">
        <f>IFERROR(CHOOSE(INDEX(B_RANK,MATCH(BG149,B_LVL,0)),"Band A","Band B","B+ · Player-Coach","Band C","C+ · Player-Coach","Band D","Band E"),"Band X · Consultant")</f>
        <v>Band B</v>
      </c>
      <c r="BI149" s="40" t="str">
        <f>IF(BG149=AY149,"• Same",IF(INDEX(B_VAL,MATCH(BG149,B_LVL,0))&gt;INDEX(B_VAL,MATCH(AY149,B_LVL,0)),"▲ Up","▼ Down"))</f>
        <v>• Same</v>
      </c>
      <c r="BJ149" s="40" t="str">
        <f>IF(OR($M149="",$M149="—",$M149="Not in this file"),"",IFERROR(INDEX($BG$7:$BG$592,MATCH($M149,$D$7:$D$592,0)),""))</f>
        <v>B3</v>
      </c>
      <c r="BK149" s="40" t="str">
        <f>IFERROR(IF(BJ149="","—",IF(OR(LEFT(BG149,1)="X",LEFT(BJ149,1)="X"),"—",IF(AND(LEFT(BG149,1)="E",LEFT(BJ149,1)="E"),"Exception · Band E",IF(AND(INDEX(B_VAL,MATCH(BJ149,B_LVL,0))&gt;=7,INDEX(B_RANK,MATCH(BG149,B_LVL,0))&gt;=INDEX(B_RANK,MATCH(BJ149,B_LVL,0))),"⚠ Same band as a head manager",IF(INDEX(B_VAL,MATCH(BG149,B_LVL,0))&gt;=INDEX(B_VAL,MATCH(BJ149,B_LVL,0)),"⚠ At or above the manager's level","OK"))))),"—")</f>
        <v>OK</v>
      </c>
      <c r="BL149" s="43" t="n"/>
      <c r="BM149" s="44">
        <f>IFERROR(INDEX(LMH_PTS,MATCH(Y149,LMH_KEY,0)),0)</f>
        <v>9</v>
      </c>
      <c r="BN149" s="38">
        <f>IFERROR(INDEX(LMH_PTS,MATCH(Z149,LMH_KEY,0)),0)</f>
        <v>3</v>
      </c>
      <c r="BO149" s="38">
        <f>IFERROR(INDEX(LMH_PTS,MATCH(AA149,LMH_KEY,0)),0)</f>
        <v>1</v>
      </c>
      <c r="BP149" s="38">
        <f>IFERROR(INDEX(LMH_PTS,MATCH(AB149,LMH_KEY,0)),0)</f>
        <v>3</v>
      </c>
      <c r="BQ149" s="38">
        <f>IFERROR(INDEX(LMH_PTS,MATCH(AC149,LMH_KEY,0)),0)</f>
        <v>3</v>
      </c>
      <c r="BR149" s="38">
        <f>IFERROR(INDEX(LMH_PTS,MATCH(AD149,LMH_KEY,0)),0)</f>
        <v>1</v>
      </c>
      <c r="BS149" s="38">
        <f>IFERROR(INDEX(LMH_PTS,MATCH(AE149,LMH_KEY,0)),0)</f>
        <v>1</v>
      </c>
      <c r="BT149" s="38">
        <f>IFERROR(INDEX(LMH_STEP,MATCH(AF149,LMH_KEY,0)),0)</f>
        <v>0</v>
      </c>
      <c r="BU149" s="38">
        <f>IFERROR(INDEX(LMH_STEP,MATCH(AG149,LMH_KEY,0)),0)</f>
        <v>0</v>
      </c>
      <c r="BV149" s="38">
        <f>IFERROR(INDEX(LMH_STEP,MATCH(AH149,LMH_KEY,0)),0)</f>
        <v>0</v>
      </c>
      <c r="BW149" s="38">
        <f>IFERROR(INDEX(LMH_STEP,MATCH(AI149,LMH_KEY,0)),0)</f>
        <v>0</v>
      </c>
      <c r="BX149" s="38">
        <f>IFERROR(INDEX(LMH_STEP,MATCH(AJ149,LMH_KEY,0)),0)</f>
        <v>0</v>
      </c>
      <c r="BY149" s="38">
        <f>IFERROR(INDEX(LMH_STEP,MATCH(AK149,LMH_KEY,0)),0)</f>
        <v>0</v>
      </c>
      <c r="BZ149" s="38">
        <f>IFERROR(INDEX(LMH_STEP,MATCH(AL149,LMH_KEY,0)),0)</f>
        <v>0</v>
      </c>
      <c r="CA149" s="38" t="inlineStr">
        <is>
          <t>CARBON|Marketing|Team Lead – Sales Development|B1|B-M</t>
        </is>
      </c>
    </row>
    <row r="150" ht="110" customHeight="1">
      <c r="A150" s="28" t="inlineStr">
        <is>
          <t>CARBON</t>
        </is>
      </c>
      <c r="B150" s="29" t="inlineStr">
        <is>
          <t>Marketing</t>
        </is>
      </c>
      <c r="C150" s="29" t="n">
        <v>5</v>
      </c>
      <c r="D150" s="29" t="inlineStr">
        <is>
          <t>IRIS2513</t>
        </is>
      </c>
      <c r="E150" s="29" t="inlineStr">
        <is>
          <t>Satyarth Singh</t>
        </is>
      </c>
      <c r="F150" s="29" t="inlineStr">
        <is>
          <t>Marketing Associate</t>
        </is>
      </c>
      <c r="G150" s="29" t="inlineStr">
        <is>
          <t>Sales Development Representative</t>
        </is>
      </c>
      <c r="H150" s="29" t="inlineStr">
        <is>
          <t>Sales &amp; Business Development</t>
        </is>
      </c>
      <c r="I150" s="29" t="inlineStr">
        <is>
          <t>Sales Development &amp; Prospecting</t>
        </is>
      </c>
      <c r="J150" s="29" t="inlineStr">
        <is>
          <t>IC</t>
        </is>
      </c>
      <c r="K150" s="29" t="inlineStr">
        <is>
          <t>RC-163</t>
        </is>
      </c>
      <c r="L150" s="29" t="inlineStr">
        <is>
          <t>Priyadarshini Dey</t>
        </is>
      </c>
      <c r="M150" s="29" t="inlineStr">
        <is>
          <t>IRIS2324</t>
        </is>
      </c>
      <c r="N150" s="29" t="n">
        <v>0.4</v>
      </c>
      <c r="O150" s="29" t="n">
        <v>0.4</v>
      </c>
      <c r="P150" s="29" t="inlineStr">
        <is>
          <t>PGDM</t>
        </is>
      </c>
      <c r="Q150" s="29" t="inlineStr">
        <is>
          <t>L3 – Professional / Associate</t>
        </is>
      </c>
      <c r="R150" s="29" t="inlineStr">
        <is>
          <t>A2</t>
        </is>
      </c>
      <c r="S150" s="30" t="inlineStr">
        <is>
          <t>19 of 20</t>
        </is>
      </c>
      <c r="T150" s="31" t="inlineStr">
        <is>
          <t>• This role books pre-sales discovery meetings, primarily through outbound calls, between relevant ICPs and the sales and functional teams.</t>
        </is>
      </c>
      <c r="U150" s="32" t="inlineStr">
        <is>
          <t>KRAs not received · manager to supply</t>
        </is>
      </c>
      <c r="V150" s="31" t="inlineStr">
        <is>
          <t>Latest rating: Not rated · manager · 9-box: Not placed · manager · Readiness: No rating data</t>
        </is>
      </c>
      <c r="W150" s="31" t="inlineStr">
        <is>
          <t>C M · Au M · Ac M · L L · BI M · Exp M · 0.4 yrs vs 0–2 yrs · Edu H · PGDM</t>
        </is>
      </c>
      <c r="X150" s="33" t="inlineStr">
        <is>
          <t>Open ▸</t>
        </is>
      </c>
      <c r="Y150" s="34" t="str">
        <f>IFERROR(INDEX(DL_C,MATCH($CA150,DL_KEY,0)),"M")</f>
        <v>H</v>
      </c>
      <c r="Z150" s="35" t="str">
        <f>IFERROR(INDEX(DL_Au,MATCH($CA150,DL_KEY,0)),"M")</f>
        <v>M</v>
      </c>
      <c r="AA150" s="35" t="str">
        <f>IFERROR(INDEX(DL_Ac,MATCH($CA150,DL_KEY,0)),"M")</f>
        <v>L</v>
      </c>
      <c r="AB150" s="35" t="str">
        <f>IFERROR(INDEX(DL_L,MATCH($CA150,DL_KEY,0)),"M")</f>
        <v>L</v>
      </c>
      <c r="AC150" s="35" t="str">
        <f>IFERROR(INDEX(DL_BI,MATCH($CA150,DL_KEY,0)),"M")</f>
        <v>M</v>
      </c>
      <c r="AD150" s="35" t="str">
        <f>IFERROR(INDEX(DL_Exp,MATCH($CA150,DL_KEY,0)),"M")</f>
        <v>L</v>
      </c>
      <c r="AE150" s="35" t="str">
        <f>IFERROR(INDEX(DL_Edu,MATCH($CA150,DL_KEY,0)),"M")</f>
        <v>L</v>
      </c>
      <c r="AF150" s="34" t="inlineStr">
        <is>
          <t>M</t>
        </is>
      </c>
      <c r="AG150" s="35" t="inlineStr">
        <is>
          <t>M</t>
        </is>
      </c>
      <c r="AH150" s="35" t="inlineStr">
        <is>
          <t>M</t>
        </is>
      </c>
      <c r="AI150" s="35" t="inlineStr">
        <is>
          <t>M</t>
        </is>
      </c>
      <c r="AJ150" s="35" t="inlineStr">
        <is>
          <t>M</t>
        </is>
      </c>
      <c r="AK150" s="35" t="inlineStr">
        <is>
          <t>M</t>
        </is>
      </c>
      <c r="AL150" s="35" t="inlineStr">
        <is>
          <t>M</t>
        </is>
      </c>
      <c r="AM150" s="36" t="n">
        <v>0.583</v>
      </c>
      <c r="AN150" s="37" t="n">
        <v>0.16</v>
      </c>
      <c r="AO150" s="37" t="n">
        <v>0.09</v>
      </c>
      <c r="AP150" s="37" t="n">
        <v>0</v>
      </c>
      <c r="AQ150" s="37" t="n">
        <v>0.063</v>
      </c>
      <c r="AR150" s="37" t="n">
        <v>0.06</v>
      </c>
      <c r="AS150" s="37" t="n">
        <v>0.04</v>
      </c>
      <c r="AT150" s="38" t="inlineStr">
        <is>
          <t>0–3</t>
        </is>
      </c>
      <c r="AU150" s="38" t="inlineStr">
        <is>
          <t>Graduate · or diploma with experience</t>
        </is>
      </c>
      <c r="AV150" s="38" t="inlineStr">
        <is>
          <t>No direct reports</t>
        </is>
      </c>
      <c r="AW150" s="38" t="inlineStr">
        <is>
          <t>P1–P2 · SFIA 2 Assist</t>
        </is>
      </c>
      <c r="AX15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50" s="39" t="inlineStr">
        <is>
          <t>A2</t>
        </is>
      </c>
      <c r="AZ150" s="40" t="inlineStr">
        <is>
          <t>Band A · Practitioner · Associate</t>
        </is>
      </c>
      <c r="BA150" s="40" t="inlineStr">
        <is>
          <t>Model A2 from the six ratings, the market-derived weights and rules R1–R13 · then No change · already below the manager</t>
        </is>
      </c>
      <c r="BB150" s="41" t="inlineStr">
        <is>
          <t>A2</t>
        </is>
      </c>
      <c r="BC150" s="40" t="inlineStr">
        <is>
          <t>The six ratings on the market-average weights of Band A · all tracks score 2.00 → A2 · Hay, Mercer IPE and public plans · experience 0.4 yrs vs the A2 market range 0–3</t>
        </is>
      </c>
      <c r="BD150" s="42">
        <f>IF(SUM(BM150,BN150,BO150,BP150,BQ150,BR150,BS150)=0,0,(BM150*BT150+BN150*BU150+BO150*BV150+BP150*BW150+BQ150*BX150+BR150*BY150+BS150*BZ150)/SUM(BM150,BN150,BO150,BP150,BQ150,BR150,BS150))</f>
        <v>0</v>
      </c>
      <c r="BE150" s="41" t="str">
        <f>IF(LEFT(AY150,1)="X",AY150,IF(OR(AY150="B+",AY150="C+"),INDEX(LAD_PC,MAX(1,MIN(14,MATCH(AY150,LAD_PC,0)+IF(BD150&gt;=0.5,1,IF(BD150&lt;=-0.5,-1,0))))),INDEX(LAD_STD,MAX(1,MIN(12,MATCH(AY150,LAD_STD,0)+IF(BD150&gt;=0.5,1,IF(BD150&lt;=-0.5,-1,0)))))))</f>
        <v>A2</v>
      </c>
      <c r="BF150" s="43" t="n"/>
      <c r="BG150" s="41" t="str">
        <f>IF(BF150&lt;&gt;"",BF150,BE150)</f>
        <v>A2</v>
      </c>
      <c r="BH150" s="40" t="str">
        <f>IFERROR(CHOOSE(INDEX(B_RANK,MATCH(BG150,B_LVL,0)),"Band A","Band B","B+ · Player-Coach","Band C","C+ · Player-Coach","Band D","Band E"),"Band X · Consultant")</f>
        <v>Band A</v>
      </c>
      <c r="BI150" s="40" t="str">
        <f>IF(BG150=AY150,"• Same",IF(INDEX(B_VAL,MATCH(BG150,B_LVL,0))&gt;INDEX(B_VAL,MATCH(AY150,B_LVL,0)),"▲ Up","▼ Down"))</f>
        <v>• Same</v>
      </c>
      <c r="BJ150" s="40" t="str">
        <f>IF(OR($M150="",$M150="—",$M150="Not in this file"),"",IFERROR(INDEX($BG$7:$BG$592,MATCH($M150,$D$7:$D$592,0)),""))</f>
        <v>B1</v>
      </c>
      <c r="BK150" s="40" t="str">
        <f>IFERROR(IF(BJ150="","—",IF(OR(LEFT(BG150,1)="X",LEFT(BJ150,1)="X"),"—",IF(AND(LEFT(BG150,1)="E",LEFT(BJ150,1)="E"),"Exception · Band E",IF(AND(INDEX(B_VAL,MATCH(BJ150,B_LVL,0))&gt;=7,INDEX(B_RANK,MATCH(BG150,B_LVL,0))&gt;=INDEX(B_RANK,MATCH(BJ150,B_LVL,0))),"⚠ Same band as a head manager",IF(INDEX(B_VAL,MATCH(BG150,B_LVL,0))&gt;=INDEX(B_VAL,MATCH(BJ150,B_LVL,0)),"⚠ At or above the manager's level","OK"))))),"—")</f>
        <v>OK</v>
      </c>
      <c r="BL150" s="43" t="n"/>
      <c r="BM150" s="44">
        <f>IFERROR(INDEX(LMH_PTS,MATCH(Y150,LMH_KEY,0)),0)</f>
        <v>9</v>
      </c>
      <c r="BN150" s="38">
        <f>IFERROR(INDEX(LMH_PTS,MATCH(Z150,LMH_KEY,0)),0)</f>
        <v>3</v>
      </c>
      <c r="BO150" s="38">
        <f>IFERROR(INDEX(LMH_PTS,MATCH(AA150,LMH_KEY,0)),0)</f>
        <v>1</v>
      </c>
      <c r="BP150" s="38">
        <f>IFERROR(INDEX(LMH_PTS,MATCH(AB150,LMH_KEY,0)),0)</f>
        <v>1</v>
      </c>
      <c r="BQ150" s="38">
        <f>IFERROR(INDEX(LMH_PTS,MATCH(AC150,LMH_KEY,0)),0)</f>
        <v>3</v>
      </c>
      <c r="BR150" s="38">
        <f>IFERROR(INDEX(LMH_PTS,MATCH(AD150,LMH_KEY,0)),0)</f>
        <v>1</v>
      </c>
      <c r="BS150" s="38">
        <f>IFERROR(INDEX(LMH_PTS,MATCH(AE150,LMH_KEY,0)),0)</f>
        <v>1</v>
      </c>
      <c r="BT150" s="38">
        <f>IFERROR(INDEX(LMH_STEP,MATCH(AF150,LMH_KEY,0)),0)</f>
        <v>0</v>
      </c>
      <c r="BU150" s="38">
        <f>IFERROR(INDEX(LMH_STEP,MATCH(AG150,LMH_KEY,0)),0)</f>
        <v>0</v>
      </c>
      <c r="BV150" s="38">
        <f>IFERROR(INDEX(LMH_STEP,MATCH(AH150,LMH_KEY,0)),0)</f>
        <v>0</v>
      </c>
      <c r="BW150" s="38">
        <f>IFERROR(INDEX(LMH_STEP,MATCH(AI150,LMH_KEY,0)),0)</f>
        <v>0</v>
      </c>
      <c r="BX150" s="38">
        <f>IFERROR(INDEX(LMH_STEP,MATCH(AJ150,LMH_KEY,0)),0)</f>
        <v>0</v>
      </c>
      <c r="BY150" s="38">
        <f>IFERROR(INDEX(LMH_STEP,MATCH(AK150,LMH_KEY,0)),0)</f>
        <v>0</v>
      </c>
      <c r="BZ150" s="38">
        <f>IFERROR(INDEX(LMH_STEP,MATCH(AL150,LMH_KEY,0)),0)</f>
        <v>0</v>
      </c>
      <c r="CA150" s="38" t="inlineStr">
        <is>
          <t>CARBON|Marketing|Sales Development Representative|A2|A</t>
        </is>
      </c>
    </row>
    <row r="151" ht="110" customHeight="1">
      <c r="A151" s="28" t="inlineStr">
        <is>
          <t>CARBON</t>
        </is>
      </c>
      <c r="B151" s="29" t="inlineStr">
        <is>
          <t>Marketing</t>
        </is>
      </c>
      <c r="C151" s="29" t="n">
        <v>5</v>
      </c>
      <c r="D151" s="29" t="inlineStr">
        <is>
          <t>IRIS2512</t>
        </is>
      </c>
      <c r="E151" s="29" t="inlineStr">
        <is>
          <t>Shobhit Dhingra</t>
        </is>
      </c>
      <c r="F151" s="29" t="inlineStr">
        <is>
          <t>Marketing Associate</t>
        </is>
      </c>
      <c r="G151" s="29" t="inlineStr">
        <is>
          <t>Sales Development Representative</t>
        </is>
      </c>
      <c r="H151" s="29" t="inlineStr">
        <is>
          <t>Sales &amp; Business Development</t>
        </is>
      </c>
      <c r="I151" s="29" t="inlineStr">
        <is>
          <t>Sales Development &amp; Prospecting</t>
        </is>
      </c>
      <c r="J151" s="29" t="inlineStr">
        <is>
          <t>IC</t>
        </is>
      </c>
      <c r="K151" s="29" t="inlineStr">
        <is>
          <t>RC-163</t>
        </is>
      </c>
      <c r="L151" s="29" t="inlineStr">
        <is>
          <t>Priyadarshini Dey</t>
        </is>
      </c>
      <c r="M151" s="29" t="inlineStr">
        <is>
          <t>IRIS2324</t>
        </is>
      </c>
      <c r="N151" s="29" t="n">
        <v>0.4</v>
      </c>
      <c r="O151" s="29" t="n">
        <v>0.4</v>
      </c>
      <c r="P151" s="29" t="inlineStr">
        <is>
          <t>B.Com</t>
        </is>
      </c>
      <c r="Q151" s="29" t="inlineStr">
        <is>
          <t>L3 – Professional / Associate</t>
        </is>
      </c>
      <c r="R151" s="29" t="inlineStr">
        <is>
          <t>A2</t>
        </is>
      </c>
      <c r="S151" s="30" t="inlineStr">
        <is>
          <t>20 of 20</t>
        </is>
      </c>
      <c r="T151" s="31" t="inlineStr">
        <is>
          <t>• This role creates immediate revenue impact by generating leads and new business opportunities.</t>
        </is>
      </c>
      <c r="U151" s="31" t="inlineStr">
        <is>
          <t>Received · manager annual · 1. Recently joined the organization · around 3 months ago and is currently ramping up while building a strong understanding of sales, internal processes, and the role.
2. Started building the assigned pipeline through account research and multi-channel outreach across target accounts.
3. Generated DCS opportunities …</t>
        </is>
      </c>
      <c r="V151" s="31" t="inlineStr">
        <is>
          <t>Latest rating: 1 · Potential: Medium · 9-box: Core Contributor · Readiness: Performance first</t>
        </is>
      </c>
      <c r="W151" s="31" t="inlineStr">
        <is>
          <t>C M · Au M · Ac M · L L · BI M · Exp M · 0.4 yrs vs 0–2 yrs · Edu M · B.Com</t>
        </is>
      </c>
      <c r="X151" s="33" t="inlineStr">
        <is>
          <t>Open ▸</t>
        </is>
      </c>
      <c r="Y151" s="34" t="str">
        <f>IFERROR(INDEX(DL_C,MATCH($CA151,DL_KEY,0)),"M")</f>
        <v>H</v>
      </c>
      <c r="Z151" s="35" t="str">
        <f>IFERROR(INDEX(DL_Au,MATCH($CA151,DL_KEY,0)),"M")</f>
        <v>M</v>
      </c>
      <c r="AA151" s="35" t="str">
        <f>IFERROR(INDEX(DL_Ac,MATCH($CA151,DL_KEY,0)),"M")</f>
        <v>L</v>
      </c>
      <c r="AB151" s="35" t="str">
        <f>IFERROR(INDEX(DL_L,MATCH($CA151,DL_KEY,0)),"M")</f>
        <v>L</v>
      </c>
      <c r="AC151" s="35" t="str">
        <f>IFERROR(INDEX(DL_BI,MATCH($CA151,DL_KEY,0)),"M")</f>
        <v>M</v>
      </c>
      <c r="AD151" s="35" t="str">
        <f>IFERROR(INDEX(DL_Exp,MATCH($CA151,DL_KEY,0)),"M")</f>
        <v>L</v>
      </c>
      <c r="AE151" s="35" t="str">
        <f>IFERROR(INDEX(DL_Edu,MATCH($CA151,DL_KEY,0)),"M")</f>
        <v>L</v>
      </c>
      <c r="AF151" s="34" t="inlineStr">
        <is>
          <t>M</t>
        </is>
      </c>
      <c r="AG151" s="35" t="inlineStr">
        <is>
          <t>M</t>
        </is>
      </c>
      <c r="AH151" s="35" t="inlineStr">
        <is>
          <t>M</t>
        </is>
      </c>
      <c r="AI151" s="35" t="inlineStr">
        <is>
          <t>M</t>
        </is>
      </c>
      <c r="AJ151" s="35" t="inlineStr">
        <is>
          <t>M</t>
        </is>
      </c>
      <c r="AK151" s="35" t="inlineStr">
        <is>
          <t>M</t>
        </is>
      </c>
      <c r="AL151" s="35" t="inlineStr">
        <is>
          <t>M</t>
        </is>
      </c>
      <c r="AM151" s="36" t="n">
        <v>0.583</v>
      </c>
      <c r="AN151" s="37" t="n">
        <v>0.16</v>
      </c>
      <c r="AO151" s="37" t="n">
        <v>0.09</v>
      </c>
      <c r="AP151" s="37" t="n">
        <v>0</v>
      </c>
      <c r="AQ151" s="37" t="n">
        <v>0.063</v>
      </c>
      <c r="AR151" s="37" t="n">
        <v>0.06</v>
      </c>
      <c r="AS151" s="37" t="n">
        <v>0.04</v>
      </c>
      <c r="AT151" s="38" t="inlineStr">
        <is>
          <t>0–3</t>
        </is>
      </c>
      <c r="AU151" s="38" t="inlineStr">
        <is>
          <t>Graduate · or diploma with experience</t>
        </is>
      </c>
      <c r="AV151" s="38" t="inlineStr">
        <is>
          <t>No direct reports</t>
        </is>
      </c>
      <c r="AW151" s="38" t="inlineStr">
        <is>
          <t>P1–P2 · SFIA 2 Assist</t>
        </is>
      </c>
      <c r="AX15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51" s="39" t="inlineStr">
        <is>
          <t>A2</t>
        </is>
      </c>
      <c r="AZ151" s="40" t="inlineStr">
        <is>
          <t>Band A · Practitioner · Associate</t>
        </is>
      </c>
      <c r="BA151" s="40" t="inlineStr">
        <is>
          <t>Model A2 from the six ratings, the market-derived weights and rules R1–R13 · then No change · already below the manager</t>
        </is>
      </c>
      <c r="BB151" s="41" t="inlineStr">
        <is>
          <t>A2</t>
        </is>
      </c>
      <c r="BC151" s="40" t="inlineStr">
        <is>
          <t>The six ratings on the market-average weights of Band A · all tracks score 1.98 → A2 · Hay, Mercer IPE and public plans · experience 0.4 yrs vs the A2 market range 0–3</t>
        </is>
      </c>
      <c r="BD151" s="42">
        <f>IF(SUM(BM151,BN151,BO151,BP151,BQ151,BR151,BS151)=0,0,(BM151*BT151+BN151*BU151+BO151*BV151+BP151*BW151+BQ151*BX151+BR151*BY151+BS151*BZ151)/SUM(BM151,BN151,BO151,BP151,BQ151,BR151,BS151))</f>
        <v>0</v>
      </c>
      <c r="BE151" s="41" t="str">
        <f>IF(LEFT(AY151,1)="X",AY151,IF(OR(AY151="B+",AY151="C+"),INDEX(LAD_PC,MAX(1,MIN(14,MATCH(AY151,LAD_PC,0)+IF(BD151&gt;=0.5,1,IF(BD151&lt;=-0.5,-1,0))))),INDEX(LAD_STD,MAX(1,MIN(12,MATCH(AY151,LAD_STD,0)+IF(BD151&gt;=0.5,1,IF(BD151&lt;=-0.5,-1,0)))))))</f>
        <v>A2</v>
      </c>
      <c r="BF151" s="43" t="n"/>
      <c r="BG151" s="41" t="str">
        <f>IF(BF151&lt;&gt;"",BF151,BE151)</f>
        <v>A2</v>
      </c>
      <c r="BH151" s="40" t="str">
        <f>IFERROR(CHOOSE(INDEX(B_RANK,MATCH(BG151,B_LVL,0)),"Band A","Band B","B+ · Player-Coach","Band C","C+ · Player-Coach","Band D","Band E"),"Band X · Consultant")</f>
        <v>Band A</v>
      </c>
      <c r="BI151" s="40" t="str">
        <f>IF(BG151=AY151,"• Same",IF(INDEX(B_VAL,MATCH(BG151,B_LVL,0))&gt;INDEX(B_VAL,MATCH(AY151,B_LVL,0)),"▲ Up","▼ Down"))</f>
        <v>• Same</v>
      </c>
      <c r="BJ151" s="40" t="str">
        <f>IF(OR($M151="",$M151="—",$M151="Not in this file"),"",IFERROR(INDEX($BG$7:$BG$592,MATCH($M151,$D$7:$D$592,0)),""))</f>
        <v>B1</v>
      </c>
      <c r="BK151" s="40" t="str">
        <f>IFERROR(IF(BJ151="","—",IF(OR(LEFT(BG151,1)="X",LEFT(BJ151,1)="X"),"—",IF(AND(LEFT(BG151,1)="E",LEFT(BJ151,1)="E"),"Exception · Band E",IF(AND(INDEX(B_VAL,MATCH(BJ151,B_LVL,0))&gt;=7,INDEX(B_RANK,MATCH(BG151,B_LVL,0))&gt;=INDEX(B_RANK,MATCH(BJ151,B_LVL,0))),"⚠ Same band as a head manager",IF(INDEX(B_VAL,MATCH(BG151,B_LVL,0))&gt;=INDEX(B_VAL,MATCH(BJ151,B_LVL,0)),"⚠ At or above the manager's level","OK"))))),"—")</f>
        <v>OK</v>
      </c>
      <c r="BL151" s="43" t="n"/>
      <c r="BM151" s="44">
        <f>IFERROR(INDEX(LMH_PTS,MATCH(Y151,LMH_KEY,0)),0)</f>
        <v>9</v>
      </c>
      <c r="BN151" s="38">
        <f>IFERROR(INDEX(LMH_PTS,MATCH(Z151,LMH_KEY,0)),0)</f>
        <v>3</v>
      </c>
      <c r="BO151" s="38">
        <f>IFERROR(INDEX(LMH_PTS,MATCH(AA151,LMH_KEY,0)),0)</f>
        <v>1</v>
      </c>
      <c r="BP151" s="38">
        <f>IFERROR(INDEX(LMH_PTS,MATCH(AB151,LMH_KEY,0)),0)</f>
        <v>1</v>
      </c>
      <c r="BQ151" s="38">
        <f>IFERROR(INDEX(LMH_PTS,MATCH(AC151,LMH_KEY,0)),0)</f>
        <v>3</v>
      </c>
      <c r="BR151" s="38">
        <f>IFERROR(INDEX(LMH_PTS,MATCH(AD151,LMH_KEY,0)),0)</f>
        <v>1</v>
      </c>
      <c r="BS151" s="38">
        <f>IFERROR(INDEX(LMH_PTS,MATCH(AE151,LMH_KEY,0)),0)</f>
        <v>1</v>
      </c>
      <c r="BT151" s="38">
        <f>IFERROR(INDEX(LMH_STEP,MATCH(AF151,LMH_KEY,0)),0)</f>
        <v>0</v>
      </c>
      <c r="BU151" s="38">
        <f>IFERROR(INDEX(LMH_STEP,MATCH(AG151,LMH_KEY,0)),0)</f>
        <v>0</v>
      </c>
      <c r="BV151" s="38">
        <f>IFERROR(INDEX(LMH_STEP,MATCH(AH151,LMH_KEY,0)),0)</f>
        <v>0</v>
      </c>
      <c r="BW151" s="38">
        <f>IFERROR(INDEX(LMH_STEP,MATCH(AI151,LMH_KEY,0)),0)</f>
        <v>0</v>
      </c>
      <c r="BX151" s="38">
        <f>IFERROR(INDEX(LMH_STEP,MATCH(AJ151,LMH_KEY,0)),0)</f>
        <v>0</v>
      </c>
      <c r="BY151" s="38">
        <f>IFERROR(INDEX(LMH_STEP,MATCH(AK151,LMH_KEY,0)),0)</f>
        <v>0</v>
      </c>
      <c r="BZ151" s="38">
        <f>IFERROR(INDEX(LMH_STEP,MATCH(AL151,LMH_KEY,0)),0)</f>
        <v>0</v>
      </c>
      <c r="CA151" s="38" t="inlineStr">
        <is>
          <t>CARBON|Marketing|Sales Development Representative|A2|A</t>
        </is>
      </c>
    </row>
    <row r="152" ht="110" customHeight="1">
      <c r="A152" s="28" t="inlineStr">
        <is>
          <t>CARBON</t>
        </is>
      </c>
      <c r="B152" s="29" t="inlineStr">
        <is>
          <t>Marketing</t>
        </is>
      </c>
      <c r="C152" s="29" t="n">
        <v>5</v>
      </c>
      <c r="D152" s="29" t="inlineStr">
        <is>
          <t>INTN0287</t>
        </is>
      </c>
      <c r="E152" s="29" t="inlineStr">
        <is>
          <t>Anika Mariam</t>
        </is>
      </c>
      <c r="F152" s="29" t="inlineStr">
        <is>
          <t>Intern</t>
        </is>
      </c>
      <c r="G152" s="29" t="inlineStr">
        <is>
          <t>Intern – Sales Development &amp; Prospecting</t>
        </is>
      </c>
      <c r="H152" s="29" t="inlineStr">
        <is>
          <t>Sales &amp; Business Development</t>
        </is>
      </c>
      <c r="I152" s="29" t="inlineStr">
        <is>
          <t>Sales Development &amp; Prospecting</t>
        </is>
      </c>
      <c r="J152" s="29" t="inlineStr">
        <is>
          <t>IC</t>
        </is>
      </c>
      <c r="K152" s="29" t="inlineStr">
        <is>
          <t>RC-162</t>
        </is>
      </c>
      <c r="L152" s="29" t="inlineStr">
        <is>
          <t>Priyadarshini Dey</t>
        </is>
      </c>
      <c r="M152" s="29" t="inlineStr">
        <is>
          <t>IRIS2324</t>
        </is>
      </c>
      <c r="N152" s="29" t="n">
        <v>0.8</v>
      </c>
      <c r="O152" s="29" t="n">
        <v>0.7</v>
      </c>
      <c r="P152" s="29" t="inlineStr">
        <is>
          <t>B.Tech</t>
        </is>
      </c>
      <c r="Q152" s="29" t="inlineStr">
        <is>
          <t>L1 – Intern</t>
        </is>
      </c>
      <c r="R152" s="29" t="inlineStr">
        <is>
          <t>A1</t>
        </is>
      </c>
      <c r="S152" s="30" t="inlineStr">
        <is>
          <t>19 of 20</t>
        </is>
      </c>
      <c r="T152" s="31" t="inlineStr">
        <is>
          <t>• This role builds pipeline through meaningful prospect conversations and explains how the solution addresses prospect problems.</t>
        </is>
      </c>
      <c r="U152" s="31" t="inlineStr">
        <is>
          <t>Received · manager annual · 1. Build a strong pipeline of qualified leads through close sales collaboration and complete 8 Discovery Calls · DCCs per month · ~96 annually
2. Generate 3 Sales Accepted Leads · SALs = Active Buy per month by qualifying high-intent opportunities for Account Executives and Functional Experts · ~36 annually</t>
        </is>
      </c>
      <c r="V152" s="31" t="inlineStr">
        <is>
          <t>Latest rating: 2 · Potential: Medium · 9-box: Core Contributor · Readiness: Performance first</t>
        </is>
      </c>
      <c r="W152" s="31" t="inlineStr">
        <is>
          <t>C — · Au — · Ac — · L — · BI — · Exp H · 0.8 yrs vs 0 yrs · fresher / intern · Edu M · B.Tech</t>
        </is>
      </c>
      <c r="X152" s="33" t="inlineStr">
        <is>
          <t>Open ▸</t>
        </is>
      </c>
      <c r="Y152" s="34" t="str">
        <f>IFERROR(INDEX(DL_C,MATCH($CA152,DL_KEY,0)),"M")</f>
        <v>H</v>
      </c>
      <c r="Z152" s="35" t="str">
        <f>IFERROR(INDEX(DL_Au,MATCH($CA152,DL_KEY,0)),"M")</f>
        <v>M</v>
      </c>
      <c r="AA152" s="35" t="str">
        <f>IFERROR(INDEX(DL_Ac,MATCH($CA152,DL_KEY,0)),"M")</f>
        <v>L</v>
      </c>
      <c r="AB152" s="35" t="str">
        <f>IFERROR(INDEX(DL_L,MATCH($CA152,DL_KEY,0)),"M")</f>
        <v>L</v>
      </c>
      <c r="AC152" s="35" t="str">
        <f>IFERROR(INDEX(DL_BI,MATCH($CA152,DL_KEY,0)),"M")</f>
        <v>M</v>
      </c>
      <c r="AD152" s="35" t="str">
        <f>IFERROR(INDEX(DL_Exp,MATCH($CA152,DL_KEY,0)),"M")</f>
        <v>L</v>
      </c>
      <c r="AE152" s="35" t="str">
        <f>IFERROR(INDEX(DL_Edu,MATCH($CA152,DL_KEY,0)),"M")</f>
        <v>L</v>
      </c>
      <c r="AF152" s="34" t="inlineStr">
        <is>
          <t>M</t>
        </is>
      </c>
      <c r="AG152" s="35" t="inlineStr">
        <is>
          <t>M</t>
        </is>
      </c>
      <c r="AH152" s="35" t="inlineStr">
        <is>
          <t>M</t>
        </is>
      </c>
      <c r="AI152" s="35" t="inlineStr">
        <is>
          <t>M</t>
        </is>
      </c>
      <c r="AJ152" s="35" t="inlineStr">
        <is>
          <t>M</t>
        </is>
      </c>
      <c r="AK152" s="35" t="inlineStr">
        <is>
          <t>M</t>
        </is>
      </c>
      <c r="AL152" s="35" t="inlineStr">
        <is>
          <t>M</t>
        </is>
      </c>
      <c r="AM152" s="36" t="n">
        <v>0.583</v>
      </c>
      <c r="AN152" s="37" t="n">
        <v>0.16</v>
      </c>
      <c r="AO152" s="37" t="n">
        <v>0.09</v>
      </c>
      <c r="AP152" s="37" t="n">
        <v>0</v>
      </c>
      <c r="AQ152" s="37" t="n">
        <v>0.063</v>
      </c>
      <c r="AR152" s="37" t="n">
        <v>0.06</v>
      </c>
      <c r="AS152" s="37" t="n">
        <v>0.04</v>
      </c>
      <c r="AT152" s="38" t="inlineStr">
        <is>
          <t>0 yrs · fresher / intern</t>
        </is>
      </c>
      <c r="AU152" s="38" t="inlineStr">
        <is>
          <t>Pursuing or completed graduation / diploma</t>
        </is>
      </c>
      <c r="AV152" s="38" t="inlineStr">
        <is>
          <t>No direct reports</t>
        </is>
      </c>
      <c r="AW152" s="38" t="inlineStr">
        <is>
          <t>Entry / P1 · intern · SFIA 1 Follow</t>
        </is>
      </c>
      <c r="AX15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52" s="39" t="inlineStr">
        <is>
          <t>A1</t>
        </is>
      </c>
      <c r="AZ152" s="40" t="inlineStr">
        <is>
          <t>Band A · Practitioner · Intern / Trainee</t>
        </is>
      </c>
      <c r="BA152" s="40" t="inlineStr">
        <is>
          <t>Model A1 from the six ratings, the market-derived weights and rules R1–R13 · then No change · already below the manager</t>
        </is>
      </c>
      <c r="BB152" s="41" t="inlineStr">
        <is>
          <t>A1</t>
        </is>
      </c>
      <c r="BC152" s="40" t="inlineStr">
        <is>
          <t>Placed by a category rule — no full set of ratings · benchmark follows the HR proposed level</t>
        </is>
      </c>
      <c r="BD152" s="42">
        <f>IF(SUM(BM152,BN152,BO152,BP152,BQ152,BR152,BS152)=0,0,(BM152*BT152+BN152*BU152+BO152*BV152+BP152*BW152+BQ152*BX152+BR152*BY152+BS152*BZ152)/SUM(BM152,BN152,BO152,BP152,BQ152,BR152,BS152))</f>
        <v>0</v>
      </c>
      <c r="BE152" s="41" t="str">
        <f>IF(LEFT(AY152,1)="X",AY152,IF(OR(AY152="B+",AY152="C+"),INDEX(LAD_PC,MAX(1,MIN(14,MATCH(AY152,LAD_PC,0)+IF(BD152&gt;=0.5,1,IF(BD152&lt;=-0.5,-1,0))))),INDEX(LAD_STD,MAX(1,MIN(12,MATCH(AY152,LAD_STD,0)+IF(BD152&gt;=0.5,1,IF(BD152&lt;=-0.5,-1,0)))))))</f>
        <v>A1</v>
      </c>
      <c r="BF152" s="43" t="n"/>
      <c r="BG152" s="41" t="str">
        <f>IF(BF152&lt;&gt;"",BF152,BE152)</f>
        <v>A1</v>
      </c>
      <c r="BH152" s="40" t="str">
        <f>IFERROR(CHOOSE(INDEX(B_RANK,MATCH(BG152,B_LVL,0)),"Band A","Band B","B+ · Player-Coach","Band C","C+ · Player-Coach","Band D","Band E"),"Band X · Consultant")</f>
        <v>Band A</v>
      </c>
      <c r="BI152" s="40" t="str">
        <f>IF(BG152=AY152,"• Same",IF(INDEX(B_VAL,MATCH(BG152,B_LVL,0))&gt;INDEX(B_VAL,MATCH(AY152,B_LVL,0)),"▲ Up","▼ Down"))</f>
        <v>• Same</v>
      </c>
      <c r="BJ152" s="40" t="str">
        <f>IF(OR($M152="",$M152="—",$M152="Not in this file"),"",IFERROR(INDEX($BG$7:$BG$592,MATCH($M152,$D$7:$D$592,0)),""))</f>
        <v>B1</v>
      </c>
      <c r="BK152" s="40" t="str">
        <f>IFERROR(IF(BJ152="","—",IF(OR(LEFT(BG152,1)="X",LEFT(BJ152,1)="X"),"—",IF(AND(LEFT(BG152,1)="E",LEFT(BJ152,1)="E"),"Exception · Band E",IF(AND(INDEX(B_VAL,MATCH(BJ152,B_LVL,0))&gt;=7,INDEX(B_RANK,MATCH(BG152,B_LVL,0))&gt;=INDEX(B_RANK,MATCH(BJ152,B_LVL,0))),"⚠ Same band as a head manager",IF(INDEX(B_VAL,MATCH(BG152,B_LVL,0))&gt;=INDEX(B_VAL,MATCH(BJ152,B_LVL,0)),"⚠ At or above the manager's level","OK"))))),"—")</f>
        <v>OK</v>
      </c>
      <c r="BL152" s="43" t="n"/>
      <c r="BM152" s="44">
        <f>IFERROR(INDEX(LMH_PTS,MATCH(Y152,LMH_KEY,0)),0)</f>
        <v>9</v>
      </c>
      <c r="BN152" s="38">
        <f>IFERROR(INDEX(LMH_PTS,MATCH(Z152,LMH_KEY,0)),0)</f>
        <v>3</v>
      </c>
      <c r="BO152" s="38">
        <f>IFERROR(INDEX(LMH_PTS,MATCH(AA152,LMH_KEY,0)),0)</f>
        <v>1</v>
      </c>
      <c r="BP152" s="38">
        <f>IFERROR(INDEX(LMH_PTS,MATCH(AB152,LMH_KEY,0)),0)</f>
        <v>1</v>
      </c>
      <c r="BQ152" s="38">
        <f>IFERROR(INDEX(LMH_PTS,MATCH(AC152,LMH_KEY,0)),0)</f>
        <v>3</v>
      </c>
      <c r="BR152" s="38">
        <f>IFERROR(INDEX(LMH_PTS,MATCH(AD152,LMH_KEY,0)),0)</f>
        <v>1</v>
      </c>
      <c r="BS152" s="38">
        <f>IFERROR(INDEX(LMH_PTS,MATCH(AE152,LMH_KEY,0)),0)</f>
        <v>1</v>
      </c>
      <c r="BT152" s="38">
        <f>IFERROR(INDEX(LMH_STEP,MATCH(AF152,LMH_KEY,0)),0)</f>
        <v>0</v>
      </c>
      <c r="BU152" s="38">
        <f>IFERROR(INDEX(LMH_STEP,MATCH(AG152,LMH_KEY,0)),0)</f>
        <v>0</v>
      </c>
      <c r="BV152" s="38">
        <f>IFERROR(INDEX(LMH_STEP,MATCH(AH152,LMH_KEY,0)),0)</f>
        <v>0</v>
      </c>
      <c r="BW152" s="38">
        <f>IFERROR(INDEX(LMH_STEP,MATCH(AI152,LMH_KEY,0)),0)</f>
        <v>0</v>
      </c>
      <c r="BX152" s="38">
        <f>IFERROR(INDEX(LMH_STEP,MATCH(AJ152,LMH_KEY,0)),0)</f>
        <v>0</v>
      </c>
      <c r="BY152" s="38">
        <f>IFERROR(INDEX(LMH_STEP,MATCH(AK152,LMH_KEY,0)),0)</f>
        <v>0</v>
      </c>
      <c r="BZ152" s="38">
        <f>IFERROR(INDEX(LMH_STEP,MATCH(AL152,LMH_KEY,0)),0)</f>
        <v>0</v>
      </c>
      <c r="CA152" s="38" t="inlineStr">
        <is>
          <t>CARBON|Marketing|Intern – Sales Development &amp; Prospecting|A1|A</t>
        </is>
      </c>
    </row>
    <row r="153" ht="110" customHeight="1">
      <c r="A153" s="28" t="inlineStr">
        <is>
          <t>CARBON</t>
        </is>
      </c>
      <c r="B153" s="29" t="inlineStr">
        <is>
          <t>Marketing</t>
        </is>
      </c>
      <c r="C153" s="29" t="n">
        <v>5</v>
      </c>
      <c r="D153" s="29" t="inlineStr">
        <is>
          <t>INTN0285</t>
        </is>
      </c>
      <c r="E153" s="29" t="inlineStr">
        <is>
          <t>Deblina Chatterjee</t>
        </is>
      </c>
      <c r="F153" s="29" t="inlineStr">
        <is>
          <t>Intern</t>
        </is>
      </c>
      <c r="G153" s="29" t="inlineStr">
        <is>
          <t>Intern – Sales Development &amp; Prospecting</t>
        </is>
      </c>
      <c r="H153" s="29" t="inlineStr">
        <is>
          <t>Sales &amp; Business Development</t>
        </is>
      </c>
      <c r="I153" s="29" t="inlineStr">
        <is>
          <t>Sales Development &amp; Prospecting</t>
        </is>
      </c>
      <c r="J153" s="29" t="inlineStr">
        <is>
          <t>IC</t>
        </is>
      </c>
      <c r="K153" s="29" t="inlineStr">
        <is>
          <t>RC-162</t>
        </is>
      </c>
      <c r="L153" s="29" t="inlineStr">
        <is>
          <t>Priyadarshini Dey</t>
        </is>
      </c>
      <c r="M153" s="29" t="inlineStr">
        <is>
          <t>IRIS2324</t>
        </is>
      </c>
      <c r="N153" s="29" t="n">
        <v>1.2</v>
      </c>
      <c r="O153" s="29" t="n">
        <v>0.7</v>
      </c>
      <c r="P153" s="29" t="inlineStr">
        <is>
          <t>B.Tech</t>
        </is>
      </c>
      <c r="Q153" s="29" t="inlineStr">
        <is>
          <t>L1 – Intern</t>
        </is>
      </c>
      <c r="R153" s="29" t="inlineStr">
        <is>
          <t>A1</t>
        </is>
      </c>
      <c r="S153" s="30" t="inlineStr">
        <is>
          <t>19 of 20</t>
        </is>
      </c>
      <c r="T153" s="31" t="inlineStr">
        <is>
          <t>• This role develops new business opportunities by connecting the company with relevant customers and partners, while supporting outreach and relationship building.</t>
        </is>
      </c>
      <c r="U153" s="31" t="inlineStr">
        <is>
          <t>Received · manager annual · 1. Build a strong pipeline of qualified leads through close sales collaboration and complete 8 Discovery Calls · DCCs per month · ~96 annually
2. Generate 3 Sales Accepted Leads · SALs = Active Buy per month by qualifying high-intent opportunities for Account Executives and Functional Experts · ~36 annually</t>
        </is>
      </c>
      <c r="V153" s="31" t="inlineStr">
        <is>
          <t>Latest rating: 3 · Potential: High · 9-box: Emerging Talent · Readiness: Ready in 6–12 months</t>
        </is>
      </c>
      <c r="W153" s="31" t="inlineStr">
        <is>
          <t>C — · Au — · Ac — · L — · BI — · Exp H · 1.2 yrs vs 0 yrs · fresher / intern · Edu M · B.Tech</t>
        </is>
      </c>
      <c r="X153" s="33" t="inlineStr">
        <is>
          <t>Open ▸</t>
        </is>
      </c>
      <c r="Y153" s="34" t="str">
        <f>IFERROR(INDEX(DL_C,MATCH($CA153,DL_KEY,0)),"M")</f>
        <v>H</v>
      </c>
      <c r="Z153" s="35" t="str">
        <f>IFERROR(INDEX(DL_Au,MATCH($CA153,DL_KEY,0)),"M")</f>
        <v>M</v>
      </c>
      <c r="AA153" s="35" t="str">
        <f>IFERROR(INDEX(DL_Ac,MATCH($CA153,DL_KEY,0)),"M")</f>
        <v>L</v>
      </c>
      <c r="AB153" s="35" t="str">
        <f>IFERROR(INDEX(DL_L,MATCH($CA153,DL_KEY,0)),"M")</f>
        <v>L</v>
      </c>
      <c r="AC153" s="35" t="str">
        <f>IFERROR(INDEX(DL_BI,MATCH($CA153,DL_KEY,0)),"M")</f>
        <v>M</v>
      </c>
      <c r="AD153" s="35" t="str">
        <f>IFERROR(INDEX(DL_Exp,MATCH($CA153,DL_KEY,0)),"M")</f>
        <v>L</v>
      </c>
      <c r="AE153" s="35" t="str">
        <f>IFERROR(INDEX(DL_Edu,MATCH($CA153,DL_KEY,0)),"M")</f>
        <v>L</v>
      </c>
      <c r="AF153" s="34" t="inlineStr">
        <is>
          <t>M</t>
        </is>
      </c>
      <c r="AG153" s="35" t="inlineStr">
        <is>
          <t>M</t>
        </is>
      </c>
      <c r="AH153" s="35" t="inlineStr">
        <is>
          <t>M</t>
        </is>
      </c>
      <c r="AI153" s="35" t="inlineStr">
        <is>
          <t>M</t>
        </is>
      </c>
      <c r="AJ153" s="35" t="inlineStr">
        <is>
          <t>M</t>
        </is>
      </c>
      <c r="AK153" s="35" t="inlineStr">
        <is>
          <t>M</t>
        </is>
      </c>
      <c r="AL153" s="35" t="inlineStr">
        <is>
          <t>M</t>
        </is>
      </c>
      <c r="AM153" s="36" t="n">
        <v>0.583</v>
      </c>
      <c r="AN153" s="37" t="n">
        <v>0.16</v>
      </c>
      <c r="AO153" s="37" t="n">
        <v>0.09</v>
      </c>
      <c r="AP153" s="37" t="n">
        <v>0</v>
      </c>
      <c r="AQ153" s="37" t="n">
        <v>0.063</v>
      </c>
      <c r="AR153" s="37" t="n">
        <v>0.06</v>
      </c>
      <c r="AS153" s="37" t="n">
        <v>0.04</v>
      </c>
      <c r="AT153" s="38" t="inlineStr">
        <is>
          <t>0 yrs · fresher / intern</t>
        </is>
      </c>
      <c r="AU153" s="38" t="inlineStr">
        <is>
          <t>Pursuing or completed graduation / diploma</t>
        </is>
      </c>
      <c r="AV153" s="38" t="inlineStr">
        <is>
          <t>No direct reports</t>
        </is>
      </c>
      <c r="AW153" s="38" t="inlineStr">
        <is>
          <t>Entry / P1 · intern · SFIA 1 Follow</t>
        </is>
      </c>
      <c r="AX15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53" s="39" t="inlineStr">
        <is>
          <t>A1</t>
        </is>
      </c>
      <c r="AZ153" s="40" t="inlineStr">
        <is>
          <t>Band A · Practitioner · Intern / Trainee</t>
        </is>
      </c>
      <c r="BA153" s="40" t="inlineStr">
        <is>
          <t>Model A1 from the six ratings, the market-derived weights and rules R1–R13 · then No change · already below the manager</t>
        </is>
      </c>
      <c r="BB153" s="41" t="inlineStr">
        <is>
          <t>A1</t>
        </is>
      </c>
      <c r="BC153" s="40" t="inlineStr">
        <is>
          <t>Placed by a category rule — no full set of ratings · benchmark follows the HR proposed level</t>
        </is>
      </c>
      <c r="BD153" s="42">
        <f>IF(SUM(BM153,BN153,BO153,BP153,BQ153,BR153,BS153)=0,0,(BM153*BT153+BN153*BU153+BO153*BV153+BP153*BW153+BQ153*BX153+BR153*BY153+BS153*BZ153)/SUM(BM153,BN153,BO153,BP153,BQ153,BR153,BS153))</f>
        <v>0</v>
      </c>
      <c r="BE153" s="41" t="str">
        <f>IF(LEFT(AY153,1)="X",AY153,IF(OR(AY153="B+",AY153="C+"),INDEX(LAD_PC,MAX(1,MIN(14,MATCH(AY153,LAD_PC,0)+IF(BD153&gt;=0.5,1,IF(BD153&lt;=-0.5,-1,0))))),INDEX(LAD_STD,MAX(1,MIN(12,MATCH(AY153,LAD_STD,0)+IF(BD153&gt;=0.5,1,IF(BD153&lt;=-0.5,-1,0)))))))</f>
        <v>A1</v>
      </c>
      <c r="BF153" s="43" t="n"/>
      <c r="BG153" s="41" t="str">
        <f>IF(BF153&lt;&gt;"",BF153,BE153)</f>
        <v>A1</v>
      </c>
      <c r="BH153" s="40" t="str">
        <f>IFERROR(CHOOSE(INDEX(B_RANK,MATCH(BG153,B_LVL,0)),"Band A","Band B","B+ · Player-Coach","Band C","C+ · Player-Coach","Band D","Band E"),"Band X · Consultant")</f>
        <v>Band A</v>
      </c>
      <c r="BI153" s="40" t="str">
        <f>IF(BG153=AY153,"• Same",IF(INDEX(B_VAL,MATCH(BG153,B_LVL,0))&gt;INDEX(B_VAL,MATCH(AY153,B_LVL,0)),"▲ Up","▼ Down"))</f>
        <v>• Same</v>
      </c>
      <c r="BJ153" s="40" t="str">
        <f>IF(OR($M153="",$M153="—",$M153="Not in this file"),"",IFERROR(INDEX($BG$7:$BG$592,MATCH($M153,$D$7:$D$592,0)),""))</f>
        <v>B1</v>
      </c>
      <c r="BK153" s="40" t="str">
        <f>IFERROR(IF(BJ153="","—",IF(OR(LEFT(BG153,1)="X",LEFT(BJ153,1)="X"),"—",IF(AND(LEFT(BG153,1)="E",LEFT(BJ153,1)="E"),"Exception · Band E",IF(AND(INDEX(B_VAL,MATCH(BJ153,B_LVL,0))&gt;=7,INDEX(B_RANK,MATCH(BG153,B_LVL,0))&gt;=INDEX(B_RANK,MATCH(BJ153,B_LVL,0))),"⚠ Same band as a head manager",IF(INDEX(B_VAL,MATCH(BG153,B_LVL,0))&gt;=INDEX(B_VAL,MATCH(BJ153,B_LVL,0)),"⚠ At or above the manager's level","OK"))))),"—")</f>
        <v>OK</v>
      </c>
      <c r="BL153" s="43" t="n"/>
      <c r="BM153" s="44">
        <f>IFERROR(INDEX(LMH_PTS,MATCH(Y153,LMH_KEY,0)),0)</f>
        <v>9</v>
      </c>
      <c r="BN153" s="38">
        <f>IFERROR(INDEX(LMH_PTS,MATCH(Z153,LMH_KEY,0)),0)</f>
        <v>3</v>
      </c>
      <c r="BO153" s="38">
        <f>IFERROR(INDEX(LMH_PTS,MATCH(AA153,LMH_KEY,0)),0)</f>
        <v>1</v>
      </c>
      <c r="BP153" s="38">
        <f>IFERROR(INDEX(LMH_PTS,MATCH(AB153,LMH_KEY,0)),0)</f>
        <v>1</v>
      </c>
      <c r="BQ153" s="38">
        <f>IFERROR(INDEX(LMH_PTS,MATCH(AC153,LMH_KEY,0)),0)</f>
        <v>3</v>
      </c>
      <c r="BR153" s="38">
        <f>IFERROR(INDEX(LMH_PTS,MATCH(AD153,LMH_KEY,0)),0)</f>
        <v>1</v>
      </c>
      <c r="BS153" s="38">
        <f>IFERROR(INDEX(LMH_PTS,MATCH(AE153,LMH_KEY,0)),0)</f>
        <v>1</v>
      </c>
      <c r="BT153" s="38">
        <f>IFERROR(INDEX(LMH_STEP,MATCH(AF153,LMH_KEY,0)),0)</f>
        <v>0</v>
      </c>
      <c r="BU153" s="38">
        <f>IFERROR(INDEX(LMH_STEP,MATCH(AG153,LMH_KEY,0)),0)</f>
        <v>0</v>
      </c>
      <c r="BV153" s="38">
        <f>IFERROR(INDEX(LMH_STEP,MATCH(AH153,LMH_KEY,0)),0)</f>
        <v>0</v>
      </c>
      <c r="BW153" s="38">
        <f>IFERROR(INDEX(LMH_STEP,MATCH(AI153,LMH_KEY,0)),0)</f>
        <v>0</v>
      </c>
      <c r="BX153" s="38">
        <f>IFERROR(INDEX(LMH_STEP,MATCH(AJ153,LMH_KEY,0)),0)</f>
        <v>0</v>
      </c>
      <c r="BY153" s="38">
        <f>IFERROR(INDEX(LMH_STEP,MATCH(AK153,LMH_KEY,0)),0)</f>
        <v>0</v>
      </c>
      <c r="BZ153" s="38">
        <f>IFERROR(INDEX(LMH_STEP,MATCH(AL153,LMH_KEY,0)),0)</f>
        <v>0</v>
      </c>
      <c r="CA153" s="38" t="inlineStr">
        <is>
          <t>CARBON|Marketing|Intern – Sales Development &amp; Prospecting|A1|A</t>
        </is>
      </c>
    </row>
    <row r="154" ht="110" customHeight="1">
      <c r="A154" s="28" t="inlineStr">
        <is>
          <t>CARBON</t>
        </is>
      </c>
      <c r="B154" s="29" t="inlineStr">
        <is>
          <t>Marketing</t>
        </is>
      </c>
      <c r="C154" s="29" t="n">
        <v>4</v>
      </c>
      <c r="D154" s="29" t="inlineStr">
        <is>
          <t>IRIS2345</t>
        </is>
      </c>
      <c r="E154" s="29" t="inlineStr">
        <is>
          <t>Vijay Krishna Chintha</t>
        </is>
      </c>
      <c r="F154" s="29" t="inlineStr">
        <is>
          <t>Team Lead SDR</t>
        </is>
      </c>
      <c r="G154" s="29" t="inlineStr">
        <is>
          <t>Team Lead – Sales Development</t>
        </is>
      </c>
      <c r="H154" s="29" t="inlineStr">
        <is>
          <t>Sales &amp; Business Development</t>
        </is>
      </c>
      <c r="I154" s="29" t="inlineStr">
        <is>
          <t>Sales Development &amp; Prospecting</t>
        </is>
      </c>
      <c r="J154" s="29" t="inlineStr">
        <is>
          <t>People Manager</t>
        </is>
      </c>
      <c r="K154" s="29" t="inlineStr">
        <is>
          <t>RC-166</t>
        </is>
      </c>
      <c r="L154" s="29" t="inlineStr">
        <is>
          <t>Saahit Togaru</t>
        </is>
      </c>
      <c r="M154" s="29" t="inlineStr">
        <is>
          <t>IRIS2239</t>
        </is>
      </c>
      <c r="N154" s="29" t="n">
        <v>6.8</v>
      </c>
      <c r="O154" s="29" t="n">
        <v>1.6</v>
      </c>
      <c r="P154" s="29" t="inlineStr">
        <is>
          <t>PGDM</t>
        </is>
      </c>
      <c r="Q154" s="29" t="inlineStr">
        <is>
          <t>L4 – Senior</t>
        </is>
      </c>
      <c r="R154" s="29" t="inlineStr">
        <is>
          <t>B1</t>
        </is>
      </c>
      <c r="S154" s="30" t="inlineStr">
        <is>
          <t>20 of 20</t>
        </is>
      </c>
      <c r="T154" s="31" t="inlineStr">
        <is>
          <t>• Role / sub-team: Marketing — Senior Sales Development Representative.
• Core purpose: Outreach to potential prospects, ICPs to schedule meetings to generate opportunities.
• Decision-making autonomy: Can independently channels of outreach.
• Is this something only they do: All the SDR team.
• What's different about this role: Coldcalling.</t>
        </is>
      </c>
      <c r="U154" s="31" t="inlineStr">
        <is>
          <t>Received · manager annual · 1. Build a strong pipeline of qualified leads through close sales collaboration and complete 8 Discovery Calls · DCCs per month · ~96 annually
2. Generate 3 Sales Accepted Leads · SALs = Active Buy per month by qualifying high-intent opportunities for Account Executives and Functional Experts · ~36 annually
3. Ensure …</t>
        </is>
      </c>
      <c r="V154" s="31" t="inlineStr">
        <is>
          <t>Latest rating: 2 · Potential: Low · 9-box: Underperformer / Exit Risk · Readiness: Performance first</t>
        </is>
      </c>
      <c r="W154" s="31" t="inlineStr">
        <is>
          <t>C M · Au M · Ac M · L M · BI M · Exp M · 6.8 yrs vs 4–7 yrs · Edu H · PGDM</t>
        </is>
      </c>
      <c r="X154" s="33" t="inlineStr">
        <is>
          <t>Open ▸</t>
        </is>
      </c>
      <c r="Y154" s="34" t="str">
        <f>IFERROR(INDEX(DL_C,MATCH($CA154,DL_KEY,0)),"M")</f>
        <v>H</v>
      </c>
      <c r="Z154" s="35" t="str">
        <f>IFERROR(INDEX(DL_Au,MATCH($CA154,DL_KEY,0)),"M")</f>
        <v>M</v>
      </c>
      <c r="AA154" s="35" t="str">
        <f>IFERROR(INDEX(DL_Ac,MATCH($CA154,DL_KEY,0)),"M")</f>
        <v>L</v>
      </c>
      <c r="AB154" s="35" t="str">
        <f>IFERROR(INDEX(DL_L,MATCH($CA154,DL_KEY,0)),"M")</f>
        <v>M</v>
      </c>
      <c r="AC154" s="35" t="str">
        <f>IFERROR(INDEX(DL_BI,MATCH($CA154,DL_KEY,0)),"M")</f>
        <v>M</v>
      </c>
      <c r="AD154" s="35" t="str">
        <f>IFERROR(INDEX(DL_Exp,MATCH($CA154,DL_KEY,0)),"M")</f>
        <v>L</v>
      </c>
      <c r="AE154" s="35" t="str">
        <f>IFERROR(INDEX(DL_Edu,MATCH($CA154,DL_KEY,0)),"M")</f>
        <v>L</v>
      </c>
      <c r="AF154" s="34" t="inlineStr">
        <is>
          <t>M</t>
        </is>
      </c>
      <c r="AG154" s="35" t="inlineStr">
        <is>
          <t>M</t>
        </is>
      </c>
      <c r="AH154" s="35" t="inlineStr">
        <is>
          <t>M</t>
        </is>
      </c>
      <c r="AI154" s="35" t="inlineStr">
        <is>
          <t>M</t>
        </is>
      </c>
      <c r="AJ154" s="35" t="inlineStr">
        <is>
          <t>M</t>
        </is>
      </c>
      <c r="AK154" s="35" t="inlineStr">
        <is>
          <t>M</t>
        </is>
      </c>
      <c r="AL154" s="35" t="inlineStr">
        <is>
          <t>M</t>
        </is>
      </c>
      <c r="AM154" s="36" t="n">
        <v>0.37</v>
      </c>
      <c r="AN154" s="37" t="n">
        <v>0.183</v>
      </c>
      <c r="AO154" s="37" t="n">
        <v>0.113</v>
      </c>
      <c r="AP154" s="37" t="n">
        <v>0.15</v>
      </c>
      <c r="AQ154" s="37" t="n">
        <v>0.08699999999999999</v>
      </c>
      <c r="AR154" s="37" t="n">
        <v>0.06</v>
      </c>
      <c r="AS154" s="37" t="n">
        <v>0.04</v>
      </c>
      <c r="AT154" s="38" t="inlineStr">
        <is>
          <t>4–8</t>
        </is>
      </c>
      <c r="AU154" s="38" t="inlineStr">
        <is>
          <t>Graduate + relevant qualification or certification preferred</t>
        </is>
      </c>
      <c r="AV154" s="38" t="inlineStr">
        <is>
          <t>IC: none · Team Lead: 3–5</t>
        </is>
      </c>
      <c r="AW154" s="38" t="inlineStr">
        <is>
          <t>P3 / M2 · SFIA 4 Enable</t>
        </is>
      </c>
      <c r="AX15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54" s="39" t="inlineStr">
        <is>
          <t>B1</t>
        </is>
      </c>
      <c r="AZ154" s="40" t="inlineStr">
        <is>
          <t>Band B · Specialist / Manager · Team Lead / Asst Manager</t>
        </is>
      </c>
      <c r="BA154" s="40" t="inlineStr">
        <is>
          <t>Model B1 from the six ratings, the market-derived weights and rules R1–R13 · then No change · already below the manager</t>
        </is>
      </c>
      <c r="BB154" s="41" t="inlineStr">
        <is>
          <t>B1</t>
        </is>
      </c>
      <c r="BC154" s="40" t="inlineStr">
        <is>
          <t>The six ratings on the market-average weights of Band B · People Manager score 3.72 → B1 · Hay, Mercer IPE and public plans · experience 6.8 yrs vs the B1 market range 4–8</t>
        </is>
      </c>
      <c r="BD154" s="42">
        <f>IF(SUM(BM154,BN154,BO154,BP154,BQ154,BR154,BS154)=0,0,(BM154*BT154+BN154*BU154+BO154*BV154+BP154*BW154+BQ154*BX154+BR154*BY154+BS154*BZ154)/SUM(BM154,BN154,BO154,BP154,BQ154,BR154,BS154))</f>
        <v>0</v>
      </c>
      <c r="BE154" s="41" t="str">
        <f>IF(LEFT(AY154,1)="X",AY154,IF(OR(AY154="B+",AY154="C+"),INDEX(LAD_PC,MAX(1,MIN(14,MATCH(AY154,LAD_PC,0)+IF(BD154&gt;=0.5,1,IF(BD154&lt;=-0.5,-1,0))))),INDEX(LAD_STD,MAX(1,MIN(12,MATCH(AY154,LAD_STD,0)+IF(BD154&gt;=0.5,1,IF(BD154&lt;=-0.5,-1,0)))))))</f>
        <v>B1</v>
      </c>
      <c r="BF154" s="43" t="n"/>
      <c r="BG154" s="41" t="str">
        <f>IF(BF154&lt;&gt;"",BF154,BE154)</f>
        <v>B1</v>
      </c>
      <c r="BH154" s="40" t="str">
        <f>IFERROR(CHOOSE(INDEX(B_RANK,MATCH(BG154,B_LVL,0)),"Band A","Band B","B+ · Player-Coach","Band C","C+ · Player-Coach","Band D","Band E"),"Band X · Consultant")</f>
        <v>Band B</v>
      </c>
      <c r="BI154" s="40" t="str">
        <f>IF(BG154=AY154,"• Same",IF(INDEX(B_VAL,MATCH(BG154,B_LVL,0))&gt;INDEX(B_VAL,MATCH(AY154,B_LVL,0)),"▲ Up","▼ Down"))</f>
        <v>• Same</v>
      </c>
      <c r="BJ154" s="40" t="str">
        <f>IF(OR($M154="",$M154="—",$M154="Not in this file"),"",IFERROR(INDEX($BG$7:$BG$592,MATCH($M154,$D$7:$D$592,0)),""))</f>
        <v>B3</v>
      </c>
      <c r="BK154" s="40" t="str">
        <f>IFERROR(IF(BJ154="","—",IF(OR(LEFT(BG154,1)="X",LEFT(BJ154,1)="X"),"—",IF(AND(LEFT(BG154,1)="E",LEFT(BJ154,1)="E"),"Exception · Band E",IF(AND(INDEX(B_VAL,MATCH(BJ154,B_LVL,0))&gt;=7,INDEX(B_RANK,MATCH(BG154,B_LVL,0))&gt;=INDEX(B_RANK,MATCH(BJ154,B_LVL,0))),"⚠ Same band as a head manager",IF(INDEX(B_VAL,MATCH(BG154,B_LVL,0))&gt;=INDEX(B_VAL,MATCH(BJ154,B_LVL,0)),"⚠ At or above the manager's level","OK"))))),"—")</f>
        <v>OK</v>
      </c>
      <c r="BL154" s="43" t="n"/>
      <c r="BM154" s="44">
        <f>IFERROR(INDEX(LMH_PTS,MATCH(Y154,LMH_KEY,0)),0)</f>
        <v>9</v>
      </c>
      <c r="BN154" s="38">
        <f>IFERROR(INDEX(LMH_PTS,MATCH(Z154,LMH_KEY,0)),0)</f>
        <v>3</v>
      </c>
      <c r="BO154" s="38">
        <f>IFERROR(INDEX(LMH_PTS,MATCH(AA154,LMH_KEY,0)),0)</f>
        <v>1</v>
      </c>
      <c r="BP154" s="38">
        <f>IFERROR(INDEX(LMH_PTS,MATCH(AB154,LMH_KEY,0)),0)</f>
        <v>3</v>
      </c>
      <c r="BQ154" s="38">
        <f>IFERROR(INDEX(LMH_PTS,MATCH(AC154,LMH_KEY,0)),0)</f>
        <v>3</v>
      </c>
      <c r="BR154" s="38">
        <f>IFERROR(INDEX(LMH_PTS,MATCH(AD154,LMH_KEY,0)),0)</f>
        <v>1</v>
      </c>
      <c r="BS154" s="38">
        <f>IFERROR(INDEX(LMH_PTS,MATCH(AE154,LMH_KEY,0)),0)</f>
        <v>1</v>
      </c>
      <c r="BT154" s="38">
        <f>IFERROR(INDEX(LMH_STEP,MATCH(AF154,LMH_KEY,0)),0)</f>
        <v>0</v>
      </c>
      <c r="BU154" s="38">
        <f>IFERROR(INDEX(LMH_STEP,MATCH(AG154,LMH_KEY,0)),0)</f>
        <v>0</v>
      </c>
      <c r="BV154" s="38">
        <f>IFERROR(INDEX(LMH_STEP,MATCH(AH154,LMH_KEY,0)),0)</f>
        <v>0</v>
      </c>
      <c r="BW154" s="38">
        <f>IFERROR(INDEX(LMH_STEP,MATCH(AI154,LMH_KEY,0)),0)</f>
        <v>0</v>
      </c>
      <c r="BX154" s="38">
        <f>IFERROR(INDEX(LMH_STEP,MATCH(AJ154,LMH_KEY,0)),0)</f>
        <v>0</v>
      </c>
      <c r="BY154" s="38">
        <f>IFERROR(INDEX(LMH_STEP,MATCH(AK154,LMH_KEY,0)),0)</f>
        <v>0</v>
      </c>
      <c r="BZ154" s="38">
        <f>IFERROR(INDEX(LMH_STEP,MATCH(AL154,LMH_KEY,0)),0)</f>
        <v>0</v>
      </c>
      <c r="CA154" s="38" t="inlineStr">
        <is>
          <t>CARBON|Marketing|Team Lead – Sales Development|B1|B-M</t>
        </is>
      </c>
    </row>
    <row r="155" ht="110" customHeight="1">
      <c r="A155" s="28" t="inlineStr">
        <is>
          <t>CARBON</t>
        </is>
      </c>
      <c r="B155" s="29" t="inlineStr">
        <is>
          <t>Marketing</t>
        </is>
      </c>
      <c r="C155" s="29" t="n">
        <v>5</v>
      </c>
      <c r="D155" s="29" t="inlineStr">
        <is>
          <t>IRIS2531</t>
        </is>
      </c>
      <c r="E155" s="29" t="inlineStr">
        <is>
          <t>Fatima Bhaiji</t>
        </is>
      </c>
      <c r="F155" s="29" t="inlineStr">
        <is>
          <t>Sales Development Representative</t>
        </is>
      </c>
      <c r="G155" s="29" t="inlineStr">
        <is>
          <t>Senior Sales Development Representative</t>
        </is>
      </c>
      <c r="H155" s="29" t="inlineStr">
        <is>
          <t>Sales &amp; Business Development</t>
        </is>
      </c>
      <c r="I155" s="29" t="inlineStr">
        <is>
          <t>Sales Development &amp; Prospecting</t>
        </is>
      </c>
      <c r="J155" s="29" t="inlineStr">
        <is>
          <t>IC</t>
        </is>
      </c>
      <c r="K155" s="29" t="inlineStr">
        <is>
          <t>RC-164</t>
        </is>
      </c>
      <c r="L155" s="29" t="inlineStr">
        <is>
          <t>Vijay Krishna Chintha</t>
        </is>
      </c>
      <c r="M155" s="29" t="inlineStr">
        <is>
          <t>IRIS2345</t>
        </is>
      </c>
      <c r="N155" s="29" t="n">
        <v>7.1</v>
      </c>
      <c r="O155" s="29" t="n">
        <v>0.3</v>
      </c>
      <c r="P155" s="29" t="inlineStr">
        <is>
          <t>BFM</t>
        </is>
      </c>
      <c r="Q155" s="29" t="inlineStr">
        <is>
          <t>L3 – Professional / Associate</t>
        </is>
      </c>
      <c r="R155" s="29" t="inlineStr">
        <is>
          <t>A3</t>
        </is>
      </c>
      <c r="S155" s="30" t="inlineStr">
        <is>
          <t>20 of 20</t>
        </is>
      </c>
      <c r="T155" s="31" t="inlineStr">
        <is>
          <t>• Role / sub-team: Marketing — Sales Development Representative.
• Core purpose: My core purpose as an SDR at IRIS Carbon is to create and qualify business opportunities by connecting companies across global markets with IRIS Carbon’s XBRL and IXBRL.
• Decision-making autonomy: Can independently i can decide contacts.
• Is this something only they do: Same …</t>
        </is>
      </c>
      <c r="U155" s="31" t="inlineStr">
        <is>
          <t>Received · manager annual · 1. Build a strong pipeline of qualified leads through close sales collaboration and complete 72 DCCs annually
2. Generate 27 Sales Accepted Leads · SALs = Active Buy annually by qualifying high-intent opportunities for Account Executives and Functional Experts</t>
        </is>
      </c>
      <c r="V155" s="31" t="inlineStr">
        <is>
          <t>Latest rating: 3 · Potential: High · 9-box: Emerging Talent · Readiness: Ready in 6–12 months</t>
        </is>
      </c>
      <c r="W155" s="31" t="inlineStr">
        <is>
          <t>C L · Au L · Ac L · L L · BI L · Exp H · 7.1 yrs vs 2–4 yrs · Edu M · BFM</t>
        </is>
      </c>
      <c r="X155" s="33" t="inlineStr">
        <is>
          <t>Open ▸</t>
        </is>
      </c>
      <c r="Y155" s="34" t="str">
        <f>IFERROR(INDEX(DL_C,MATCH($CA155,DL_KEY,0)),"M")</f>
        <v>H</v>
      </c>
      <c r="Z155" s="35" t="str">
        <f>IFERROR(INDEX(DL_Au,MATCH($CA155,DL_KEY,0)),"M")</f>
        <v>M</v>
      </c>
      <c r="AA155" s="35" t="str">
        <f>IFERROR(INDEX(DL_Ac,MATCH($CA155,DL_KEY,0)),"M")</f>
        <v>L</v>
      </c>
      <c r="AB155" s="35" t="str">
        <f>IFERROR(INDEX(DL_L,MATCH($CA155,DL_KEY,0)),"M")</f>
        <v>L</v>
      </c>
      <c r="AC155" s="35" t="str">
        <f>IFERROR(INDEX(DL_BI,MATCH($CA155,DL_KEY,0)),"M")</f>
        <v>M</v>
      </c>
      <c r="AD155" s="35" t="str">
        <f>IFERROR(INDEX(DL_Exp,MATCH($CA155,DL_KEY,0)),"M")</f>
        <v>L</v>
      </c>
      <c r="AE155" s="35" t="str">
        <f>IFERROR(INDEX(DL_Edu,MATCH($CA155,DL_KEY,0)),"M")</f>
        <v>L</v>
      </c>
      <c r="AF155" s="34" t="inlineStr">
        <is>
          <t>M</t>
        </is>
      </c>
      <c r="AG155" s="35" t="inlineStr">
        <is>
          <t>M</t>
        </is>
      </c>
      <c r="AH155" s="35" t="inlineStr">
        <is>
          <t>M</t>
        </is>
      </c>
      <c r="AI155" s="35" t="inlineStr">
        <is>
          <t>M</t>
        </is>
      </c>
      <c r="AJ155" s="35" t="inlineStr">
        <is>
          <t>M</t>
        </is>
      </c>
      <c r="AK155" s="35" t="inlineStr">
        <is>
          <t>M</t>
        </is>
      </c>
      <c r="AL155" s="35" t="inlineStr">
        <is>
          <t>M</t>
        </is>
      </c>
      <c r="AM155" s="36" t="n">
        <v>0.583</v>
      </c>
      <c r="AN155" s="37" t="n">
        <v>0.16</v>
      </c>
      <c r="AO155" s="37" t="n">
        <v>0.09</v>
      </c>
      <c r="AP155" s="37" t="n">
        <v>0</v>
      </c>
      <c r="AQ155" s="37" t="n">
        <v>0.063</v>
      </c>
      <c r="AR155" s="37" t="n">
        <v>0.06</v>
      </c>
      <c r="AS155" s="37" t="n">
        <v>0.04</v>
      </c>
      <c r="AT155" s="38" t="inlineStr">
        <is>
          <t>2–5</t>
        </is>
      </c>
      <c r="AU155" s="38" t="inlineStr">
        <is>
          <t>Graduate; relevant certification preferred</t>
        </is>
      </c>
      <c r="AV155" s="38" t="inlineStr">
        <is>
          <t>None · guides 1–3 juniors informally</t>
        </is>
      </c>
      <c r="AW155" s="38" t="inlineStr">
        <is>
          <t>P2 · SFIA 3 Apply</t>
        </is>
      </c>
      <c r="AX15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55" s="39" t="inlineStr">
        <is>
          <t>A3</t>
        </is>
      </c>
      <c r="AZ155" s="40" t="inlineStr">
        <is>
          <t>Band A · Practitioner · Senior Associate</t>
        </is>
      </c>
      <c r="BA155" s="40" t="inlineStr">
        <is>
          <t>Model A3 from the six ratings, the market-derived weights and rules R1–R13 · then No change · already below the manager</t>
        </is>
      </c>
      <c r="BB155" s="41" t="inlineStr">
        <is>
          <t>A2</t>
        </is>
      </c>
      <c r="BC155" s="40" t="inlineStr">
        <is>
          <t>The six ratings on the market-average weights of Band A · all tracks score 2.30 → A2 · Hay, Mercer IPE and public plans · experience 7.1 yrs vs the A2 market range 0–3</t>
        </is>
      </c>
      <c r="BD155" s="42">
        <f>IF(SUM(BM155,BN155,BO155,BP155,BQ155,BR155,BS155)=0,0,(BM155*BT155+BN155*BU155+BO155*BV155+BP155*BW155+BQ155*BX155+BR155*BY155+BS155*BZ155)/SUM(BM155,BN155,BO155,BP155,BQ155,BR155,BS155))</f>
        <v>0</v>
      </c>
      <c r="BE155" s="41" t="str">
        <f>IF(LEFT(AY155,1)="X",AY155,IF(OR(AY155="B+",AY155="C+"),INDEX(LAD_PC,MAX(1,MIN(14,MATCH(AY155,LAD_PC,0)+IF(BD155&gt;=0.5,1,IF(BD155&lt;=-0.5,-1,0))))),INDEX(LAD_STD,MAX(1,MIN(12,MATCH(AY155,LAD_STD,0)+IF(BD155&gt;=0.5,1,IF(BD155&lt;=-0.5,-1,0)))))))</f>
        <v>A3</v>
      </c>
      <c r="BF155" s="43" t="n"/>
      <c r="BG155" s="41" t="str">
        <f>IF(BF155&lt;&gt;"",BF155,BE155)</f>
        <v>A3</v>
      </c>
      <c r="BH155" s="40" t="str">
        <f>IFERROR(CHOOSE(INDEX(B_RANK,MATCH(BG155,B_LVL,0)),"Band A","Band B","B+ · Player-Coach","Band C","C+ · Player-Coach","Band D","Band E"),"Band X · Consultant")</f>
        <v>Band A</v>
      </c>
      <c r="BI155" s="40" t="str">
        <f>IF(BG155=AY155,"• Same",IF(INDEX(B_VAL,MATCH(BG155,B_LVL,0))&gt;INDEX(B_VAL,MATCH(AY155,B_LVL,0)),"▲ Up","▼ Down"))</f>
        <v>• Same</v>
      </c>
      <c r="BJ155" s="40" t="str">
        <f>IF(OR($M155="",$M155="—",$M155="Not in this file"),"",IFERROR(INDEX($BG$7:$BG$592,MATCH($M155,$D$7:$D$592,0)),""))</f>
        <v>B1</v>
      </c>
      <c r="BK155" s="40" t="str">
        <f>IFERROR(IF(BJ155="","—",IF(OR(LEFT(BG155,1)="X",LEFT(BJ155,1)="X"),"—",IF(AND(LEFT(BG155,1)="E",LEFT(BJ155,1)="E"),"Exception · Band E",IF(AND(INDEX(B_VAL,MATCH(BJ155,B_LVL,0))&gt;=7,INDEX(B_RANK,MATCH(BG155,B_LVL,0))&gt;=INDEX(B_RANK,MATCH(BJ155,B_LVL,0))),"⚠ Same band as a head manager",IF(INDEX(B_VAL,MATCH(BG155,B_LVL,0))&gt;=INDEX(B_VAL,MATCH(BJ155,B_LVL,0)),"⚠ At or above the manager's level","OK"))))),"—")</f>
        <v>OK</v>
      </c>
      <c r="BL155" s="43" t="n"/>
      <c r="BM155" s="44">
        <f>IFERROR(INDEX(LMH_PTS,MATCH(Y155,LMH_KEY,0)),0)</f>
        <v>9</v>
      </c>
      <c r="BN155" s="38">
        <f>IFERROR(INDEX(LMH_PTS,MATCH(Z155,LMH_KEY,0)),0)</f>
        <v>3</v>
      </c>
      <c r="BO155" s="38">
        <f>IFERROR(INDEX(LMH_PTS,MATCH(AA155,LMH_KEY,0)),0)</f>
        <v>1</v>
      </c>
      <c r="BP155" s="38">
        <f>IFERROR(INDEX(LMH_PTS,MATCH(AB155,LMH_KEY,0)),0)</f>
        <v>1</v>
      </c>
      <c r="BQ155" s="38">
        <f>IFERROR(INDEX(LMH_PTS,MATCH(AC155,LMH_KEY,0)),0)</f>
        <v>3</v>
      </c>
      <c r="BR155" s="38">
        <f>IFERROR(INDEX(LMH_PTS,MATCH(AD155,LMH_KEY,0)),0)</f>
        <v>1</v>
      </c>
      <c r="BS155" s="38">
        <f>IFERROR(INDEX(LMH_PTS,MATCH(AE155,LMH_KEY,0)),0)</f>
        <v>1</v>
      </c>
      <c r="BT155" s="38">
        <f>IFERROR(INDEX(LMH_STEP,MATCH(AF155,LMH_KEY,0)),0)</f>
        <v>0</v>
      </c>
      <c r="BU155" s="38">
        <f>IFERROR(INDEX(LMH_STEP,MATCH(AG155,LMH_KEY,0)),0)</f>
        <v>0</v>
      </c>
      <c r="BV155" s="38">
        <f>IFERROR(INDEX(LMH_STEP,MATCH(AH155,LMH_KEY,0)),0)</f>
        <v>0</v>
      </c>
      <c r="BW155" s="38">
        <f>IFERROR(INDEX(LMH_STEP,MATCH(AI155,LMH_KEY,0)),0)</f>
        <v>0</v>
      </c>
      <c r="BX155" s="38">
        <f>IFERROR(INDEX(LMH_STEP,MATCH(AJ155,LMH_KEY,0)),0)</f>
        <v>0</v>
      </c>
      <c r="BY155" s="38">
        <f>IFERROR(INDEX(LMH_STEP,MATCH(AK155,LMH_KEY,0)),0)</f>
        <v>0</v>
      </c>
      <c r="BZ155" s="38">
        <f>IFERROR(INDEX(LMH_STEP,MATCH(AL155,LMH_KEY,0)),0)</f>
        <v>0</v>
      </c>
      <c r="CA155" s="38" t="inlineStr">
        <is>
          <t>CARBON|Marketing|Senior Sales Development Representative|A3|A</t>
        </is>
      </c>
    </row>
    <row r="156" ht="110" customHeight="1">
      <c r="A156" s="28" t="inlineStr">
        <is>
          <t>CARBON</t>
        </is>
      </c>
      <c r="B156" s="29" t="inlineStr">
        <is>
          <t>Marketing</t>
        </is>
      </c>
      <c r="C156" s="29" t="n">
        <v>5</v>
      </c>
      <c r="D156" s="29" t="inlineStr">
        <is>
          <t>IRIS2543</t>
        </is>
      </c>
      <c r="E156" s="29" t="inlineStr">
        <is>
          <t>Rahul Nishikant Pawar</t>
        </is>
      </c>
      <c r="F156" s="29" t="inlineStr">
        <is>
          <t>Senior Sales Development Representative</t>
        </is>
      </c>
      <c r="G156" s="29" t="inlineStr">
        <is>
          <t>Senior Sales Development Representative</t>
        </is>
      </c>
      <c r="H156" s="29" t="inlineStr">
        <is>
          <t>Sales &amp; Business Development</t>
        </is>
      </c>
      <c r="I156" s="29" t="inlineStr">
        <is>
          <t>Sales Development &amp; Prospecting</t>
        </is>
      </c>
      <c r="J156" s="29" t="inlineStr">
        <is>
          <t>IC</t>
        </is>
      </c>
      <c r="K156" s="29" t="inlineStr">
        <is>
          <t>RC-164</t>
        </is>
      </c>
      <c r="L156" s="29" t="inlineStr">
        <is>
          <t>Vijay Krishna Chintha</t>
        </is>
      </c>
      <c r="M156" s="29" t="inlineStr">
        <is>
          <t>IRIS2345</t>
        </is>
      </c>
      <c r="N156" s="29" t="n">
        <v>5.3</v>
      </c>
      <c r="O156" s="29" t="n">
        <v>0.2</v>
      </c>
      <c r="P156" s="29" t="inlineStr">
        <is>
          <t>HSC</t>
        </is>
      </c>
      <c r="Q156" s="29" t="inlineStr">
        <is>
          <t>Not in current mapping files</t>
        </is>
      </c>
      <c r="R156" s="29" t="inlineStr">
        <is>
          <t>A3</t>
        </is>
      </c>
      <c r="S156" s="30" t="inlineStr">
        <is>
          <t>20 of 20</t>
        </is>
      </c>
      <c r="T156" s="31" t="inlineStr">
        <is>
          <t>Schedule qualified meetings; Finding alternatives New strategies</t>
        </is>
      </c>
      <c r="U156" s="32" t="inlineStr">
        <is>
          <t>KRAs not received · manager to supply</t>
        </is>
      </c>
      <c r="V156" s="31" t="inlineStr">
        <is>
          <t>Latest rating: Not rated · manager · 9-box: Not placed · manager · Readiness: No rating data</t>
        </is>
      </c>
      <c r="W156" s="31" t="inlineStr">
        <is>
          <t>C M · Au M · Ac M · L L · BI M · Exp H · 5.3 yrs vs 2–4 yrs · Edu L · HSC</t>
        </is>
      </c>
      <c r="X156" s="33" t="inlineStr">
        <is>
          <t>Open ▸</t>
        </is>
      </c>
      <c r="Y156" s="34" t="str">
        <f>IFERROR(INDEX(DL_C,MATCH($CA156,DL_KEY,0)),"M")</f>
        <v>H</v>
      </c>
      <c r="Z156" s="35" t="str">
        <f>IFERROR(INDEX(DL_Au,MATCH($CA156,DL_KEY,0)),"M")</f>
        <v>M</v>
      </c>
      <c r="AA156" s="35" t="str">
        <f>IFERROR(INDEX(DL_Ac,MATCH($CA156,DL_KEY,0)),"M")</f>
        <v>L</v>
      </c>
      <c r="AB156" s="35" t="str">
        <f>IFERROR(INDEX(DL_L,MATCH($CA156,DL_KEY,0)),"M")</f>
        <v>L</v>
      </c>
      <c r="AC156" s="35" t="str">
        <f>IFERROR(INDEX(DL_BI,MATCH($CA156,DL_KEY,0)),"M")</f>
        <v>M</v>
      </c>
      <c r="AD156" s="35" t="str">
        <f>IFERROR(INDEX(DL_Exp,MATCH($CA156,DL_KEY,0)),"M")</f>
        <v>L</v>
      </c>
      <c r="AE156" s="35" t="str">
        <f>IFERROR(INDEX(DL_Edu,MATCH($CA156,DL_KEY,0)),"M")</f>
        <v>L</v>
      </c>
      <c r="AF156" s="34" t="inlineStr">
        <is>
          <t>M</t>
        </is>
      </c>
      <c r="AG156" s="35" t="inlineStr">
        <is>
          <t>M</t>
        </is>
      </c>
      <c r="AH156" s="35" t="inlineStr">
        <is>
          <t>M</t>
        </is>
      </c>
      <c r="AI156" s="35" t="inlineStr">
        <is>
          <t>M</t>
        </is>
      </c>
      <c r="AJ156" s="35" t="inlineStr">
        <is>
          <t>M</t>
        </is>
      </c>
      <c r="AK156" s="35" t="inlineStr">
        <is>
          <t>M</t>
        </is>
      </c>
      <c r="AL156" s="35" t="inlineStr">
        <is>
          <t>M</t>
        </is>
      </c>
      <c r="AM156" s="36" t="n">
        <v>0.583</v>
      </c>
      <c r="AN156" s="37" t="n">
        <v>0.16</v>
      </c>
      <c r="AO156" s="37" t="n">
        <v>0.09</v>
      </c>
      <c r="AP156" s="37" t="n">
        <v>0</v>
      </c>
      <c r="AQ156" s="37" t="n">
        <v>0.063</v>
      </c>
      <c r="AR156" s="37" t="n">
        <v>0.06</v>
      </c>
      <c r="AS156" s="37" t="n">
        <v>0.04</v>
      </c>
      <c r="AT156" s="38" t="inlineStr">
        <is>
          <t>2–5</t>
        </is>
      </c>
      <c r="AU156" s="38" t="inlineStr">
        <is>
          <t>Graduate; relevant certification preferred</t>
        </is>
      </c>
      <c r="AV156" s="38" t="inlineStr">
        <is>
          <t>None · guides 1–3 juniors informally</t>
        </is>
      </c>
      <c r="AW156" s="38" t="inlineStr">
        <is>
          <t>P2 · SFIA 3 Apply</t>
        </is>
      </c>
      <c r="AX15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56" s="39" t="inlineStr">
        <is>
          <t>A3</t>
        </is>
      </c>
      <c r="AZ156" s="40" t="inlineStr">
        <is>
          <t>Band A · Practitioner · Senior Associate</t>
        </is>
      </c>
      <c r="BA156" s="40" t="inlineStr">
        <is>
          <t>Model A3 from the six ratings, the market-derived weights and rules R1–R13 · then No change · already below the manager</t>
        </is>
      </c>
      <c r="BB156" s="41" t="inlineStr">
        <is>
          <t>A3</t>
        </is>
      </c>
      <c r="BC156" s="40" t="inlineStr">
        <is>
          <t>The six ratings on the market-average weights of Band A · all tracks score 2.60 → A3 · Hay, Mercer IPE and public plans · experience 5.3 yrs vs the A3 market range 2–5</t>
        </is>
      </c>
      <c r="BD156" s="42">
        <f>IF(SUM(BM156,BN156,BO156,BP156,BQ156,BR156,BS156)=0,0,(BM156*BT156+BN156*BU156+BO156*BV156+BP156*BW156+BQ156*BX156+BR156*BY156+BS156*BZ156)/SUM(BM156,BN156,BO156,BP156,BQ156,BR156,BS156))</f>
        <v>0</v>
      </c>
      <c r="BE156" s="41" t="str">
        <f>IF(LEFT(AY156,1)="X",AY156,IF(OR(AY156="B+",AY156="C+"),INDEX(LAD_PC,MAX(1,MIN(14,MATCH(AY156,LAD_PC,0)+IF(BD156&gt;=0.5,1,IF(BD156&lt;=-0.5,-1,0))))),INDEX(LAD_STD,MAX(1,MIN(12,MATCH(AY156,LAD_STD,0)+IF(BD156&gt;=0.5,1,IF(BD156&lt;=-0.5,-1,0)))))))</f>
        <v>A3</v>
      </c>
      <c r="BF156" s="43" t="n"/>
      <c r="BG156" s="41" t="str">
        <f>IF(BF156&lt;&gt;"",BF156,BE156)</f>
        <v>A3</v>
      </c>
      <c r="BH156" s="40" t="str">
        <f>IFERROR(CHOOSE(INDEX(B_RANK,MATCH(BG156,B_LVL,0)),"Band A","Band B","B+ · Player-Coach","Band C","C+ · Player-Coach","Band D","Band E"),"Band X · Consultant")</f>
        <v>Band A</v>
      </c>
      <c r="BI156" s="40" t="str">
        <f>IF(BG156=AY156,"• Same",IF(INDEX(B_VAL,MATCH(BG156,B_LVL,0))&gt;INDEX(B_VAL,MATCH(AY156,B_LVL,0)),"▲ Up","▼ Down"))</f>
        <v>• Same</v>
      </c>
      <c r="BJ156" s="40" t="str">
        <f>IF(OR($M156="",$M156="—",$M156="Not in this file"),"",IFERROR(INDEX($BG$7:$BG$592,MATCH($M156,$D$7:$D$592,0)),""))</f>
        <v>B1</v>
      </c>
      <c r="BK156" s="40" t="str">
        <f>IFERROR(IF(BJ156="","—",IF(OR(LEFT(BG156,1)="X",LEFT(BJ156,1)="X"),"—",IF(AND(LEFT(BG156,1)="E",LEFT(BJ156,1)="E"),"Exception · Band E",IF(AND(INDEX(B_VAL,MATCH(BJ156,B_LVL,0))&gt;=7,INDEX(B_RANK,MATCH(BG156,B_LVL,0))&gt;=INDEX(B_RANK,MATCH(BJ156,B_LVL,0))),"⚠ Same band as a head manager",IF(INDEX(B_VAL,MATCH(BG156,B_LVL,0))&gt;=INDEX(B_VAL,MATCH(BJ156,B_LVL,0)),"⚠ At or above the manager's level","OK"))))),"—")</f>
        <v>OK</v>
      </c>
      <c r="BL156" s="43" t="n"/>
      <c r="BM156" s="44">
        <f>IFERROR(INDEX(LMH_PTS,MATCH(Y156,LMH_KEY,0)),0)</f>
        <v>9</v>
      </c>
      <c r="BN156" s="38">
        <f>IFERROR(INDEX(LMH_PTS,MATCH(Z156,LMH_KEY,0)),0)</f>
        <v>3</v>
      </c>
      <c r="BO156" s="38">
        <f>IFERROR(INDEX(LMH_PTS,MATCH(AA156,LMH_KEY,0)),0)</f>
        <v>1</v>
      </c>
      <c r="BP156" s="38">
        <f>IFERROR(INDEX(LMH_PTS,MATCH(AB156,LMH_KEY,0)),0)</f>
        <v>1</v>
      </c>
      <c r="BQ156" s="38">
        <f>IFERROR(INDEX(LMH_PTS,MATCH(AC156,LMH_KEY,0)),0)</f>
        <v>3</v>
      </c>
      <c r="BR156" s="38">
        <f>IFERROR(INDEX(LMH_PTS,MATCH(AD156,LMH_KEY,0)),0)</f>
        <v>1</v>
      </c>
      <c r="BS156" s="38">
        <f>IFERROR(INDEX(LMH_PTS,MATCH(AE156,LMH_KEY,0)),0)</f>
        <v>1</v>
      </c>
      <c r="BT156" s="38">
        <f>IFERROR(INDEX(LMH_STEP,MATCH(AF156,LMH_KEY,0)),0)</f>
        <v>0</v>
      </c>
      <c r="BU156" s="38">
        <f>IFERROR(INDEX(LMH_STEP,MATCH(AG156,LMH_KEY,0)),0)</f>
        <v>0</v>
      </c>
      <c r="BV156" s="38">
        <f>IFERROR(INDEX(LMH_STEP,MATCH(AH156,LMH_KEY,0)),0)</f>
        <v>0</v>
      </c>
      <c r="BW156" s="38">
        <f>IFERROR(INDEX(LMH_STEP,MATCH(AI156,LMH_KEY,0)),0)</f>
        <v>0</v>
      </c>
      <c r="BX156" s="38">
        <f>IFERROR(INDEX(LMH_STEP,MATCH(AJ156,LMH_KEY,0)),0)</f>
        <v>0</v>
      </c>
      <c r="BY156" s="38">
        <f>IFERROR(INDEX(LMH_STEP,MATCH(AK156,LMH_KEY,0)),0)</f>
        <v>0</v>
      </c>
      <c r="BZ156" s="38">
        <f>IFERROR(INDEX(LMH_STEP,MATCH(AL156,LMH_KEY,0)),0)</f>
        <v>0</v>
      </c>
      <c r="CA156" s="38" t="inlineStr">
        <is>
          <t>CARBON|Marketing|Senior Sales Development Representative|A3|A</t>
        </is>
      </c>
    </row>
    <row r="157" ht="110" customHeight="1">
      <c r="A157" s="28" t="inlineStr">
        <is>
          <t>CARBON</t>
        </is>
      </c>
      <c r="B157" s="29" t="inlineStr">
        <is>
          <t>Marketing</t>
        </is>
      </c>
      <c r="C157" s="29" t="n">
        <v>5</v>
      </c>
      <c r="D157" s="29" t="inlineStr">
        <is>
          <t>IRIS2518</t>
        </is>
      </c>
      <c r="E157" s="29" t="inlineStr">
        <is>
          <t>Diksha Gunjyal</t>
        </is>
      </c>
      <c r="F157" s="29" t="inlineStr">
        <is>
          <t>Marketing Associate</t>
        </is>
      </c>
      <c r="G157" s="29" t="inlineStr">
        <is>
          <t>Sales Development Representative</t>
        </is>
      </c>
      <c r="H157" s="29" t="inlineStr">
        <is>
          <t>Sales &amp; Business Development</t>
        </is>
      </c>
      <c r="I157" s="29" t="inlineStr">
        <is>
          <t>Sales Development &amp; Prospecting</t>
        </is>
      </c>
      <c r="J157" s="29" t="inlineStr">
        <is>
          <t>IC</t>
        </is>
      </c>
      <c r="K157" s="29" t="inlineStr">
        <is>
          <t>RC-163</t>
        </is>
      </c>
      <c r="L157" s="29" t="inlineStr">
        <is>
          <t>Vijay Krishna Chintha</t>
        </is>
      </c>
      <c r="M157" s="29" t="inlineStr">
        <is>
          <t>IRIS2345</t>
        </is>
      </c>
      <c r="N157" s="29" t="n">
        <v>0.4</v>
      </c>
      <c r="O157" s="29" t="n">
        <v>0.4</v>
      </c>
      <c r="P157" s="29" t="inlineStr">
        <is>
          <t>B.Sc</t>
        </is>
      </c>
      <c r="Q157" s="29" t="inlineStr">
        <is>
          <t>L3 – Professional / Associate</t>
        </is>
      </c>
      <c r="R157" s="29" t="inlineStr">
        <is>
          <t>A2</t>
        </is>
      </c>
      <c r="S157" s="30" t="inlineStr">
        <is>
          <t>20 of 20</t>
        </is>
      </c>
      <c r="T157" s="31" t="inlineStr">
        <is>
          <t>• This role reaches out to relevant ICPs to support sales and build the IRIS brand.</t>
        </is>
      </c>
      <c r="U157" s="31" t="inlineStr">
        <is>
          <t>Received · manager annual · 1.Recently joined the organization · around 3 months ago and is currently ramping up while building a strong understanding
2. Started actively prospecting through multi-channel outreach across target accounts to build pipeline</t>
        </is>
      </c>
      <c r="V157" s="31" t="inlineStr">
        <is>
          <t>Latest rating: 1 · Potential: Low · 9-box: Performance Risk · Readiness: Performance first</t>
        </is>
      </c>
      <c r="W157" s="31" t="inlineStr">
        <is>
          <t>C M · Au M · Ac M · L L · BI M · Exp M · 0.4 yrs vs 0–2 yrs · Edu M · B.Sc</t>
        </is>
      </c>
      <c r="X157" s="33" t="inlineStr">
        <is>
          <t>Open ▸</t>
        </is>
      </c>
      <c r="Y157" s="34" t="str">
        <f>IFERROR(INDEX(DL_C,MATCH($CA157,DL_KEY,0)),"M")</f>
        <v>H</v>
      </c>
      <c r="Z157" s="35" t="str">
        <f>IFERROR(INDEX(DL_Au,MATCH($CA157,DL_KEY,0)),"M")</f>
        <v>M</v>
      </c>
      <c r="AA157" s="35" t="str">
        <f>IFERROR(INDEX(DL_Ac,MATCH($CA157,DL_KEY,0)),"M")</f>
        <v>L</v>
      </c>
      <c r="AB157" s="35" t="str">
        <f>IFERROR(INDEX(DL_L,MATCH($CA157,DL_KEY,0)),"M")</f>
        <v>L</v>
      </c>
      <c r="AC157" s="35" t="str">
        <f>IFERROR(INDEX(DL_BI,MATCH($CA157,DL_KEY,0)),"M")</f>
        <v>M</v>
      </c>
      <c r="AD157" s="35" t="str">
        <f>IFERROR(INDEX(DL_Exp,MATCH($CA157,DL_KEY,0)),"M")</f>
        <v>L</v>
      </c>
      <c r="AE157" s="35" t="str">
        <f>IFERROR(INDEX(DL_Edu,MATCH($CA157,DL_KEY,0)),"M")</f>
        <v>L</v>
      </c>
      <c r="AF157" s="34" t="inlineStr">
        <is>
          <t>M</t>
        </is>
      </c>
      <c r="AG157" s="35" t="inlineStr">
        <is>
          <t>M</t>
        </is>
      </c>
      <c r="AH157" s="35" t="inlineStr">
        <is>
          <t>M</t>
        </is>
      </c>
      <c r="AI157" s="35" t="inlineStr">
        <is>
          <t>M</t>
        </is>
      </c>
      <c r="AJ157" s="35" t="inlineStr">
        <is>
          <t>M</t>
        </is>
      </c>
      <c r="AK157" s="35" t="inlineStr">
        <is>
          <t>M</t>
        </is>
      </c>
      <c r="AL157" s="35" t="inlineStr">
        <is>
          <t>M</t>
        </is>
      </c>
      <c r="AM157" s="36" t="n">
        <v>0.583</v>
      </c>
      <c r="AN157" s="37" t="n">
        <v>0.16</v>
      </c>
      <c r="AO157" s="37" t="n">
        <v>0.09</v>
      </c>
      <c r="AP157" s="37" t="n">
        <v>0</v>
      </c>
      <c r="AQ157" s="37" t="n">
        <v>0.063</v>
      </c>
      <c r="AR157" s="37" t="n">
        <v>0.06</v>
      </c>
      <c r="AS157" s="37" t="n">
        <v>0.04</v>
      </c>
      <c r="AT157" s="38" t="inlineStr">
        <is>
          <t>0–3</t>
        </is>
      </c>
      <c r="AU157" s="38" t="inlineStr">
        <is>
          <t>Graduate · or diploma with experience</t>
        </is>
      </c>
      <c r="AV157" s="38" t="inlineStr">
        <is>
          <t>No direct reports</t>
        </is>
      </c>
      <c r="AW157" s="38" t="inlineStr">
        <is>
          <t>P1–P2 · SFIA 2 Assist</t>
        </is>
      </c>
      <c r="AX15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57" s="39" t="inlineStr">
        <is>
          <t>A2</t>
        </is>
      </c>
      <c r="AZ157" s="40" t="inlineStr">
        <is>
          <t>Band A · Practitioner · Associate</t>
        </is>
      </c>
      <c r="BA157" s="40" t="inlineStr">
        <is>
          <t>Model A2 from the six ratings, the market-derived weights and rules R1–R13 · then No change · already below the manager</t>
        </is>
      </c>
      <c r="BB157" s="41" t="inlineStr">
        <is>
          <t>A2</t>
        </is>
      </c>
      <c r="BC157" s="40" t="inlineStr">
        <is>
          <t>The six ratings on the market-average weights of Band A · all tracks score 1.95 → A2 · Hay, Mercer IPE and public plans · experience 0.4 yrs vs the A2 market range 0–3</t>
        </is>
      </c>
      <c r="BD157" s="42">
        <f>IF(SUM(BM157,BN157,BO157,BP157,BQ157,BR157,BS157)=0,0,(BM157*BT157+BN157*BU157+BO157*BV157+BP157*BW157+BQ157*BX157+BR157*BY157+BS157*BZ157)/SUM(BM157,BN157,BO157,BP157,BQ157,BR157,BS157))</f>
        <v>0</v>
      </c>
      <c r="BE157" s="41" t="str">
        <f>IF(LEFT(AY157,1)="X",AY157,IF(OR(AY157="B+",AY157="C+"),INDEX(LAD_PC,MAX(1,MIN(14,MATCH(AY157,LAD_PC,0)+IF(BD157&gt;=0.5,1,IF(BD157&lt;=-0.5,-1,0))))),INDEX(LAD_STD,MAX(1,MIN(12,MATCH(AY157,LAD_STD,0)+IF(BD157&gt;=0.5,1,IF(BD157&lt;=-0.5,-1,0)))))))</f>
        <v>A2</v>
      </c>
      <c r="BF157" s="43" t="n"/>
      <c r="BG157" s="41" t="str">
        <f>IF(BF157&lt;&gt;"",BF157,BE157)</f>
        <v>A2</v>
      </c>
      <c r="BH157" s="40" t="str">
        <f>IFERROR(CHOOSE(INDEX(B_RANK,MATCH(BG157,B_LVL,0)),"Band A","Band B","B+ · Player-Coach","Band C","C+ · Player-Coach","Band D","Band E"),"Band X · Consultant")</f>
        <v>Band A</v>
      </c>
      <c r="BI157" s="40" t="str">
        <f>IF(BG157=AY157,"• Same",IF(INDEX(B_VAL,MATCH(BG157,B_LVL,0))&gt;INDEX(B_VAL,MATCH(AY157,B_LVL,0)),"▲ Up","▼ Down"))</f>
        <v>• Same</v>
      </c>
      <c r="BJ157" s="40" t="str">
        <f>IF(OR($M157="",$M157="—",$M157="Not in this file"),"",IFERROR(INDEX($BG$7:$BG$592,MATCH($M157,$D$7:$D$592,0)),""))</f>
        <v>B1</v>
      </c>
      <c r="BK157" s="40" t="str">
        <f>IFERROR(IF(BJ157="","—",IF(OR(LEFT(BG157,1)="X",LEFT(BJ157,1)="X"),"—",IF(AND(LEFT(BG157,1)="E",LEFT(BJ157,1)="E"),"Exception · Band E",IF(AND(INDEX(B_VAL,MATCH(BJ157,B_LVL,0))&gt;=7,INDEX(B_RANK,MATCH(BG157,B_LVL,0))&gt;=INDEX(B_RANK,MATCH(BJ157,B_LVL,0))),"⚠ Same band as a head manager",IF(INDEX(B_VAL,MATCH(BG157,B_LVL,0))&gt;=INDEX(B_VAL,MATCH(BJ157,B_LVL,0)),"⚠ At or above the manager's level","OK"))))),"—")</f>
        <v>OK</v>
      </c>
      <c r="BL157" s="43" t="n"/>
      <c r="BM157" s="44">
        <f>IFERROR(INDEX(LMH_PTS,MATCH(Y157,LMH_KEY,0)),0)</f>
        <v>9</v>
      </c>
      <c r="BN157" s="38">
        <f>IFERROR(INDEX(LMH_PTS,MATCH(Z157,LMH_KEY,0)),0)</f>
        <v>3</v>
      </c>
      <c r="BO157" s="38">
        <f>IFERROR(INDEX(LMH_PTS,MATCH(AA157,LMH_KEY,0)),0)</f>
        <v>1</v>
      </c>
      <c r="BP157" s="38">
        <f>IFERROR(INDEX(LMH_PTS,MATCH(AB157,LMH_KEY,0)),0)</f>
        <v>1</v>
      </c>
      <c r="BQ157" s="38">
        <f>IFERROR(INDEX(LMH_PTS,MATCH(AC157,LMH_KEY,0)),0)</f>
        <v>3</v>
      </c>
      <c r="BR157" s="38">
        <f>IFERROR(INDEX(LMH_PTS,MATCH(AD157,LMH_KEY,0)),0)</f>
        <v>1</v>
      </c>
      <c r="BS157" s="38">
        <f>IFERROR(INDEX(LMH_PTS,MATCH(AE157,LMH_KEY,0)),0)</f>
        <v>1</v>
      </c>
      <c r="BT157" s="38">
        <f>IFERROR(INDEX(LMH_STEP,MATCH(AF157,LMH_KEY,0)),0)</f>
        <v>0</v>
      </c>
      <c r="BU157" s="38">
        <f>IFERROR(INDEX(LMH_STEP,MATCH(AG157,LMH_KEY,0)),0)</f>
        <v>0</v>
      </c>
      <c r="BV157" s="38">
        <f>IFERROR(INDEX(LMH_STEP,MATCH(AH157,LMH_KEY,0)),0)</f>
        <v>0</v>
      </c>
      <c r="BW157" s="38">
        <f>IFERROR(INDEX(LMH_STEP,MATCH(AI157,LMH_KEY,0)),0)</f>
        <v>0</v>
      </c>
      <c r="BX157" s="38">
        <f>IFERROR(INDEX(LMH_STEP,MATCH(AJ157,LMH_KEY,0)),0)</f>
        <v>0</v>
      </c>
      <c r="BY157" s="38">
        <f>IFERROR(INDEX(LMH_STEP,MATCH(AK157,LMH_KEY,0)),0)</f>
        <v>0</v>
      </c>
      <c r="BZ157" s="38">
        <f>IFERROR(INDEX(LMH_STEP,MATCH(AL157,LMH_KEY,0)),0)</f>
        <v>0</v>
      </c>
      <c r="CA157" s="38" t="inlineStr">
        <is>
          <t>CARBON|Marketing|Sales Development Representative|A2|A</t>
        </is>
      </c>
    </row>
    <row r="158" ht="110" customHeight="1">
      <c r="A158" s="28" t="inlineStr">
        <is>
          <t>CARBON</t>
        </is>
      </c>
      <c r="B158" s="29" t="inlineStr">
        <is>
          <t>Marketing</t>
        </is>
      </c>
      <c r="C158" s="29" t="n">
        <v>5</v>
      </c>
      <c r="D158" s="29" t="inlineStr">
        <is>
          <t>INTN0286</t>
        </is>
      </c>
      <c r="E158" s="29" t="inlineStr">
        <is>
          <t>Samriddhi Kundu</t>
        </is>
      </c>
      <c r="F158" s="29" t="inlineStr">
        <is>
          <t>Intern</t>
        </is>
      </c>
      <c r="G158" s="29" t="inlineStr">
        <is>
          <t>Intern – Sales Development &amp; Prospecting</t>
        </is>
      </c>
      <c r="H158" s="29" t="inlineStr">
        <is>
          <t>Sales &amp; Business Development</t>
        </is>
      </c>
      <c r="I158" s="29" t="inlineStr">
        <is>
          <t>Sales Development &amp; Prospecting</t>
        </is>
      </c>
      <c r="J158" s="29" t="inlineStr">
        <is>
          <t>IC</t>
        </is>
      </c>
      <c r="K158" s="29" t="inlineStr">
        <is>
          <t>RC-162</t>
        </is>
      </c>
      <c r="L158" s="29" t="inlineStr">
        <is>
          <t>Vijay Krishna Chintha</t>
        </is>
      </c>
      <c r="M158" s="29" t="inlineStr">
        <is>
          <t>IRIS2345</t>
        </is>
      </c>
      <c r="N158" s="29" t="n">
        <v>0.9</v>
      </c>
      <c r="O158" s="29" t="n">
        <v>0.7</v>
      </c>
      <c r="P158" s="29" t="inlineStr">
        <is>
          <t>B.Tech</t>
        </is>
      </c>
      <c r="Q158" s="29" t="inlineStr">
        <is>
          <t>L1 – Intern</t>
        </is>
      </c>
      <c r="R158" s="29" t="inlineStr">
        <is>
          <t>A1</t>
        </is>
      </c>
      <c r="S158" s="30" t="inlineStr">
        <is>
          <t>20 of 20</t>
        </is>
      </c>
      <c r="T158" s="31" t="inlineStr">
        <is>
          <t>• This role engages qualified leads, holds meaningful prospect conversations and generates interest in IRIS Carbon.</t>
        </is>
      </c>
      <c r="U158" s="31" t="inlineStr">
        <is>
          <t>Received · manager annual · 1. Build a strong pipeline of qualified leads through close sales collaboration and complete 8 Discovery Calls · DCCs per month · ~96 annually
2. Generate 3 Sales Accepted Leads · SALs = Active Buy per month by qualifying high-intent opportunities for Account Executives and Functional Experts · ~36 annually</t>
        </is>
      </c>
      <c r="V158" s="31" t="inlineStr">
        <is>
          <t>Latest rating: 3 · Potential: High · 9-box: Emerging Talent · Readiness: Ready in 6–12 months</t>
        </is>
      </c>
      <c r="W158" s="31" t="inlineStr">
        <is>
          <t>C — · Au — · Ac — · L — · BI — · Exp H · 0.9 yrs vs 0 yrs · fresher / intern · Edu M · B.Tech</t>
        </is>
      </c>
      <c r="X158" s="33" t="inlineStr">
        <is>
          <t>Open ▸</t>
        </is>
      </c>
      <c r="Y158" s="34" t="str">
        <f>IFERROR(INDEX(DL_C,MATCH($CA158,DL_KEY,0)),"M")</f>
        <v>H</v>
      </c>
      <c r="Z158" s="35" t="str">
        <f>IFERROR(INDEX(DL_Au,MATCH($CA158,DL_KEY,0)),"M")</f>
        <v>M</v>
      </c>
      <c r="AA158" s="35" t="str">
        <f>IFERROR(INDEX(DL_Ac,MATCH($CA158,DL_KEY,0)),"M")</f>
        <v>L</v>
      </c>
      <c r="AB158" s="35" t="str">
        <f>IFERROR(INDEX(DL_L,MATCH($CA158,DL_KEY,0)),"M")</f>
        <v>L</v>
      </c>
      <c r="AC158" s="35" t="str">
        <f>IFERROR(INDEX(DL_BI,MATCH($CA158,DL_KEY,0)),"M")</f>
        <v>M</v>
      </c>
      <c r="AD158" s="35" t="str">
        <f>IFERROR(INDEX(DL_Exp,MATCH($CA158,DL_KEY,0)),"M")</f>
        <v>L</v>
      </c>
      <c r="AE158" s="35" t="str">
        <f>IFERROR(INDEX(DL_Edu,MATCH($CA158,DL_KEY,0)),"M")</f>
        <v>L</v>
      </c>
      <c r="AF158" s="34" t="inlineStr">
        <is>
          <t>M</t>
        </is>
      </c>
      <c r="AG158" s="35" t="inlineStr">
        <is>
          <t>M</t>
        </is>
      </c>
      <c r="AH158" s="35" t="inlineStr">
        <is>
          <t>M</t>
        </is>
      </c>
      <c r="AI158" s="35" t="inlineStr">
        <is>
          <t>M</t>
        </is>
      </c>
      <c r="AJ158" s="35" t="inlineStr">
        <is>
          <t>M</t>
        </is>
      </c>
      <c r="AK158" s="35" t="inlineStr">
        <is>
          <t>M</t>
        </is>
      </c>
      <c r="AL158" s="35" t="inlineStr">
        <is>
          <t>M</t>
        </is>
      </c>
      <c r="AM158" s="36" t="n">
        <v>0.583</v>
      </c>
      <c r="AN158" s="37" t="n">
        <v>0.16</v>
      </c>
      <c r="AO158" s="37" t="n">
        <v>0.09</v>
      </c>
      <c r="AP158" s="37" t="n">
        <v>0</v>
      </c>
      <c r="AQ158" s="37" t="n">
        <v>0.063</v>
      </c>
      <c r="AR158" s="37" t="n">
        <v>0.06</v>
      </c>
      <c r="AS158" s="37" t="n">
        <v>0.04</v>
      </c>
      <c r="AT158" s="38" t="inlineStr">
        <is>
          <t>0 yrs · fresher / intern</t>
        </is>
      </c>
      <c r="AU158" s="38" t="inlineStr">
        <is>
          <t>Pursuing or completed graduation / diploma</t>
        </is>
      </c>
      <c r="AV158" s="38" t="inlineStr">
        <is>
          <t>No direct reports</t>
        </is>
      </c>
      <c r="AW158" s="38" t="inlineStr">
        <is>
          <t>Entry / P1 · intern · SFIA 1 Follow</t>
        </is>
      </c>
      <c r="AX15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58" s="39" t="inlineStr">
        <is>
          <t>A1</t>
        </is>
      </c>
      <c r="AZ158" s="40" t="inlineStr">
        <is>
          <t>Band A · Practitioner · Intern / Trainee</t>
        </is>
      </c>
      <c r="BA158" s="40" t="inlineStr">
        <is>
          <t>Model A1 from the six ratings, the market-derived weights and rules R1–R13 · then No change · already below the manager</t>
        </is>
      </c>
      <c r="BB158" s="41" t="inlineStr">
        <is>
          <t>A1</t>
        </is>
      </c>
      <c r="BC158" s="40" t="inlineStr">
        <is>
          <t>Placed by a category rule — no full set of ratings · benchmark follows the HR proposed level</t>
        </is>
      </c>
      <c r="BD158" s="42">
        <f>IF(SUM(BM158,BN158,BO158,BP158,BQ158,BR158,BS158)=0,0,(BM158*BT158+BN158*BU158+BO158*BV158+BP158*BW158+BQ158*BX158+BR158*BY158+BS158*BZ158)/SUM(BM158,BN158,BO158,BP158,BQ158,BR158,BS158))</f>
        <v>0</v>
      </c>
      <c r="BE158" s="41" t="str">
        <f>IF(LEFT(AY158,1)="X",AY158,IF(OR(AY158="B+",AY158="C+"),INDEX(LAD_PC,MAX(1,MIN(14,MATCH(AY158,LAD_PC,0)+IF(BD158&gt;=0.5,1,IF(BD158&lt;=-0.5,-1,0))))),INDEX(LAD_STD,MAX(1,MIN(12,MATCH(AY158,LAD_STD,0)+IF(BD158&gt;=0.5,1,IF(BD158&lt;=-0.5,-1,0)))))))</f>
        <v>A1</v>
      </c>
      <c r="BF158" s="43" t="n"/>
      <c r="BG158" s="41" t="str">
        <f>IF(BF158&lt;&gt;"",BF158,BE158)</f>
        <v>A1</v>
      </c>
      <c r="BH158" s="40" t="str">
        <f>IFERROR(CHOOSE(INDEX(B_RANK,MATCH(BG158,B_LVL,0)),"Band A","Band B","B+ · Player-Coach","Band C","C+ · Player-Coach","Band D","Band E"),"Band X · Consultant")</f>
        <v>Band A</v>
      </c>
      <c r="BI158" s="40" t="str">
        <f>IF(BG158=AY158,"• Same",IF(INDEX(B_VAL,MATCH(BG158,B_LVL,0))&gt;INDEX(B_VAL,MATCH(AY158,B_LVL,0)),"▲ Up","▼ Down"))</f>
        <v>• Same</v>
      </c>
      <c r="BJ158" s="40" t="str">
        <f>IF(OR($M158="",$M158="—",$M158="Not in this file"),"",IFERROR(INDEX($BG$7:$BG$592,MATCH($M158,$D$7:$D$592,0)),""))</f>
        <v>B1</v>
      </c>
      <c r="BK158" s="40" t="str">
        <f>IFERROR(IF(BJ158="","—",IF(OR(LEFT(BG158,1)="X",LEFT(BJ158,1)="X"),"—",IF(AND(LEFT(BG158,1)="E",LEFT(BJ158,1)="E"),"Exception · Band E",IF(AND(INDEX(B_VAL,MATCH(BJ158,B_LVL,0))&gt;=7,INDEX(B_RANK,MATCH(BG158,B_LVL,0))&gt;=INDEX(B_RANK,MATCH(BJ158,B_LVL,0))),"⚠ Same band as a head manager",IF(INDEX(B_VAL,MATCH(BG158,B_LVL,0))&gt;=INDEX(B_VAL,MATCH(BJ158,B_LVL,0)),"⚠ At or above the manager's level","OK"))))),"—")</f>
        <v>OK</v>
      </c>
      <c r="BL158" s="43" t="n"/>
      <c r="BM158" s="44">
        <f>IFERROR(INDEX(LMH_PTS,MATCH(Y158,LMH_KEY,0)),0)</f>
        <v>9</v>
      </c>
      <c r="BN158" s="38">
        <f>IFERROR(INDEX(LMH_PTS,MATCH(Z158,LMH_KEY,0)),0)</f>
        <v>3</v>
      </c>
      <c r="BO158" s="38">
        <f>IFERROR(INDEX(LMH_PTS,MATCH(AA158,LMH_KEY,0)),0)</f>
        <v>1</v>
      </c>
      <c r="BP158" s="38">
        <f>IFERROR(INDEX(LMH_PTS,MATCH(AB158,LMH_KEY,0)),0)</f>
        <v>1</v>
      </c>
      <c r="BQ158" s="38">
        <f>IFERROR(INDEX(LMH_PTS,MATCH(AC158,LMH_KEY,0)),0)</f>
        <v>3</v>
      </c>
      <c r="BR158" s="38">
        <f>IFERROR(INDEX(LMH_PTS,MATCH(AD158,LMH_KEY,0)),0)</f>
        <v>1</v>
      </c>
      <c r="BS158" s="38">
        <f>IFERROR(INDEX(LMH_PTS,MATCH(AE158,LMH_KEY,0)),0)</f>
        <v>1</v>
      </c>
      <c r="BT158" s="38">
        <f>IFERROR(INDEX(LMH_STEP,MATCH(AF158,LMH_KEY,0)),0)</f>
        <v>0</v>
      </c>
      <c r="BU158" s="38">
        <f>IFERROR(INDEX(LMH_STEP,MATCH(AG158,LMH_KEY,0)),0)</f>
        <v>0</v>
      </c>
      <c r="BV158" s="38">
        <f>IFERROR(INDEX(LMH_STEP,MATCH(AH158,LMH_KEY,0)),0)</f>
        <v>0</v>
      </c>
      <c r="BW158" s="38">
        <f>IFERROR(INDEX(LMH_STEP,MATCH(AI158,LMH_KEY,0)),0)</f>
        <v>0</v>
      </c>
      <c r="BX158" s="38">
        <f>IFERROR(INDEX(LMH_STEP,MATCH(AJ158,LMH_KEY,0)),0)</f>
        <v>0</v>
      </c>
      <c r="BY158" s="38">
        <f>IFERROR(INDEX(LMH_STEP,MATCH(AK158,LMH_KEY,0)),0)</f>
        <v>0</v>
      </c>
      <c r="BZ158" s="38">
        <f>IFERROR(INDEX(LMH_STEP,MATCH(AL158,LMH_KEY,0)),0)</f>
        <v>0</v>
      </c>
      <c r="CA158" s="38" t="inlineStr">
        <is>
          <t>CARBON|Marketing|Intern – Sales Development &amp; Prospecting|A1|A</t>
        </is>
      </c>
    </row>
    <row r="159" ht="110" customHeight="1">
      <c r="A159" s="28" t="inlineStr">
        <is>
          <t>CARBON</t>
        </is>
      </c>
      <c r="B159" s="29" t="inlineStr">
        <is>
          <t>Marketing</t>
        </is>
      </c>
      <c r="C159" s="29" t="n">
        <v>4</v>
      </c>
      <c r="D159" s="29" t="inlineStr">
        <is>
          <t>IRIS2392</t>
        </is>
      </c>
      <c r="E159" s="29" t="inlineStr">
        <is>
          <t>Sanjana Thapa</t>
        </is>
      </c>
      <c r="F159" s="29" t="inlineStr">
        <is>
          <t>Marketing Associate - ABM</t>
        </is>
      </c>
      <c r="G159" s="29" t="inlineStr">
        <is>
          <t>Sales Development Representative</t>
        </is>
      </c>
      <c r="H159" s="29" t="inlineStr">
        <is>
          <t>Sales &amp; Business Development</t>
        </is>
      </c>
      <c r="I159" s="29" t="inlineStr">
        <is>
          <t>Sales Development &amp; Prospecting</t>
        </is>
      </c>
      <c r="J159" s="29" t="inlineStr">
        <is>
          <t>IC</t>
        </is>
      </c>
      <c r="K159" s="29" t="inlineStr">
        <is>
          <t>RC-163</t>
        </is>
      </c>
      <c r="L159" s="29" t="inlineStr">
        <is>
          <t>Saahit Togaru</t>
        </is>
      </c>
      <c r="M159" s="29" t="inlineStr">
        <is>
          <t>IRIS2239</t>
        </is>
      </c>
      <c r="N159" s="29" t="n">
        <v>1.2</v>
      </c>
      <c r="O159" s="29" t="n">
        <v>1.2</v>
      </c>
      <c r="P159" s="29" t="inlineStr">
        <is>
          <t>B.E</t>
        </is>
      </c>
      <c r="Q159" s="29" t="inlineStr">
        <is>
          <t>L3 – Professional / Associate</t>
        </is>
      </c>
      <c r="R159" s="29" t="inlineStr">
        <is>
          <t>A2</t>
        </is>
      </c>
      <c r="S159" s="30" t="inlineStr">
        <is>
          <t>19 of 20</t>
        </is>
      </c>
      <c r="T159" s="31" t="inlineStr">
        <is>
          <t>• This role brings suitable potential leads into the pipeline and creates new revenue opportunities.</t>
        </is>
      </c>
      <c r="U159" s="31" t="inlineStr">
        <is>
          <t>Received · manager annual · 1. Consistently met or exceeded performance targets. Achieved the highest DCS performance of 16 DCS · 160% in May'25 and 8 DCS · 160% in Apr'26. The highest SAL performance of 9 SALs · 300% in May'25, with multiple months meeting or exceeding target
2. Built and expanded the pipeline, consistently generating qualified …</t>
        </is>
      </c>
      <c r="V159" s="31" t="inlineStr">
        <is>
          <t>Latest rating: 1 · Potential: High · 9-box: High Impact / Growth Talent · Readiness: Ready in 6–12 months</t>
        </is>
      </c>
      <c r="W159" s="31" t="inlineStr">
        <is>
          <t>C M · Au M · Ac M · L L · BI M · Exp M · 1.2 yrs vs 0–2 yrs · Edu M · B.E</t>
        </is>
      </c>
      <c r="X159" s="33" t="inlineStr">
        <is>
          <t>Open ▸</t>
        </is>
      </c>
      <c r="Y159" s="34" t="str">
        <f>IFERROR(INDEX(DL_C,MATCH($CA159,DL_KEY,0)),"M")</f>
        <v>H</v>
      </c>
      <c r="Z159" s="35" t="str">
        <f>IFERROR(INDEX(DL_Au,MATCH($CA159,DL_KEY,0)),"M")</f>
        <v>M</v>
      </c>
      <c r="AA159" s="35" t="str">
        <f>IFERROR(INDEX(DL_Ac,MATCH($CA159,DL_KEY,0)),"M")</f>
        <v>L</v>
      </c>
      <c r="AB159" s="35" t="str">
        <f>IFERROR(INDEX(DL_L,MATCH($CA159,DL_KEY,0)),"M")</f>
        <v>L</v>
      </c>
      <c r="AC159" s="35" t="str">
        <f>IFERROR(INDEX(DL_BI,MATCH($CA159,DL_KEY,0)),"M")</f>
        <v>M</v>
      </c>
      <c r="AD159" s="35" t="str">
        <f>IFERROR(INDEX(DL_Exp,MATCH($CA159,DL_KEY,0)),"M")</f>
        <v>L</v>
      </c>
      <c r="AE159" s="35" t="str">
        <f>IFERROR(INDEX(DL_Edu,MATCH($CA159,DL_KEY,0)),"M")</f>
        <v>L</v>
      </c>
      <c r="AF159" s="34" t="inlineStr">
        <is>
          <t>M</t>
        </is>
      </c>
      <c r="AG159" s="35" t="inlineStr">
        <is>
          <t>M</t>
        </is>
      </c>
      <c r="AH159" s="35" t="inlineStr">
        <is>
          <t>M</t>
        </is>
      </c>
      <c r="AI159" s="35" t="inlineStr">
        <is>
          <t>M</t>
        </is>
      </c>
      <c r="AJ159" s="35" t="inlineStr">
        <is>
          <t>M</t>
        </is>
      </c>
      <c r="AK159" s="35" t="inlineStr">
        <is>
          <t>M</t>
        </is>
      </c>
      <c r="AL159" s="35" t="inlineStr">
        <is>
          <t>M</t>
        </is>
      </c>
      <c r="AM159" s="36" t="n">
        <v>0.583</v>
      </c>
      <c r="AN159" s="37" t="n">
        <v>0.16</v>
      </c>
      <c r="AO159" s="37" t="n">
        <v>0.09</v>
      </c>
      <c r="AP159" s="37" t="n">
        <v>0</v>
      </c>
      <c r="AQ159" s="37" t="n">
        <v>0.063</v>
      </c>
      <c r="AR159" s="37" t="n">
        <v>0.06</v>
      </c>
      <c r="AS159" s="37" t="n">
        <v>0.04</v>
      </c>
      <c r="AT159" s="38" t="inlineStr">
        <is>
          <t>0–3</t>
        </is>
      </c>
      <c r="AU159" s="38" t="inlineStr">
        <is>
          <t>Graduate · or diploma with experience</t>
        </is>
      </c>
      <c r="AV159" s="38" t="inlineStr">
        <is>
          <t>No direct reports</t>
        </is>
      </c>
      <c r="AW159" s="38" t="inlineStr">
        <is>
          <t>P1–P2 · SFIA 2 Assist</t>
        </is>
      </c>
      <c r="AX15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59" s="39" t="inlineStr">
        <is>
          <t>A2</t>
        </is>
      </c>
      <c r="AZ159" s="40" t="inlineStr">
        <is>
          <t>Band A · Practitioner · Associate</t>
        </is>
      </c>
      <c r="BA159" s="40" t="inlineStr">
        <is>
          <t>Model A2 from the six ratings, the market-derived weights and rules R1–R13 · then No change · already below the manager</t>
        </is>
      </c>
      <c r="BB159" s="41" t="inlineStr">
        <is>
          <t>A2</t>
        </is>
      </c>
      <c r="BC159" s="40" t="inlineStr">
        <is>
          <t>The six ratings on the market-average weights of Band A · all tracks score 2.40 → A2 · Hay, Mercer IPE and public plans · experience 1.2 yrs vs the A2 market range 0–3</t>
        </is>
      </c>
      <c r="BD159" s="42">
        <f>IF(SUM(BM159,BN159,BO159,BP159,BQ159,BR159,BS159)=0,0,(BM159*BT159+BN159*BU159+BO159*BV159+BP159*BW159+BQ159*BX159+BR159*BY159+BS159*BZ159)/SUM(BM159,BN159,BO159,BP159,BQ159,BR159,BS159))</f>
        <v>0</v>
      </c>
      <c r="BE159" s="41" t="str">
        <f>IF(LEFT(AY159,1)="X",AY159,IF(OR(AY159="B+",AY159="C+"),INDEX(LAD_PC,MAX(1,MIN(14,MATCH(AY159,LAD_PC,0)+IF(BD159&gt;=0.5,1,IF(BD159&lt;=-0.5,-1,0))))),INDEX(LAD_STD,MAX(1,MIN(12,MATCH(AY159,LAD_STD,0)+IF(BD159&gt;=0.5,1,IF(BD159&lt;=-0.5,-1,0)))))))</f>
        <v>A2</v>
      </c>
      <c r="BF159" s="43" t="n"/>
      <c r="BG159" s="41" t="str">
        <f>IF(BF159&lt;&gt;"",BF159,BE159)</f>
        <v>A2</v>
      </c>
      <c r="BH159" s="40" t="str">
        <f>IFERROR(CHOOSE(INDEX(B_RANK,MATCH(BG159,B_LVL,0)),"Band A","Band B","B+ · Player-Coach","Band C","C+ · Player-Coach","Band D","Band E"),"Band X · Consultant")</f>
        <v>Band A</v>
      </c>
      <c r="BI159" s="40" t="str">
        <f>IF(BG159=AY159,"• Same",IF(INDEX(B_VAL,MATCH(BG159,B_LVL,0))&gt;INDEX(B_VAL,MATCH(AY159,B_LVL,0)),"▲ Up","▼ Down"))</f>
        <v>• Same</v>
      </c>
      <c r="BJ159" s="40" t="str">
        <f>IF(OR($M159="",$M159="—",$M159="Not in this file"),"",IFERROR(INDEX($BG$7:$BG$592,MATCH($M159,$D$7:$D$592,0)),""))</f>
        <v>B3</v>
      </c>
      <c r="BK159" s="40" t="str">
        <f>IFERROR(IF(BJ159="","—",IF(OR(LEFT(BG159,1)="X",LEFT(BJ159,1)="X"),"—",IF(AND(LEFT(BG159,1)="E",LEFT(BJ159,1)="E"),"Exception · Band E",IF(AND(INDEX(B_VAL,MATCH(BJ159,B_LVL,0))&gt;=7,INDEX(B_RANK,MATCH(BG159,B_LVL,0))&gt;=INDEX(B_RANK,MATCH(BJ159,B_LVL,0))),"⚠ Same band as a head manager",IF(INDEX(B_VAL,MATCH(BG159,B_LVL,0))&gt;=INDEX(B_VAL,MATCH(BJ159,B_LVL,0)),"⚠ At or above the manager's level","OK"))))),"—")</f>
        <v>OK</v>
      </c>
      <c r="BL159" s="43" t="n"/>
      <c r="BM159" s="44">
        <f>IFERROR(INDEX(LMH_PTS,MATCH(Y159,LMH_KEY,0)),0)</f>
        <v>9</v>
      </c>
      <c r="BN159" s="38">
        <f>IFERROR(INDEX(LMH_PTS,MATCH(Z159,LMH_KEY,0)),0)</f>
        <v>3</v>
      </c>
      <c r="BO159" s="38">
        <f>IFERROR(INDEX(LMH_PTS,MATCH(AA159,LMH_KEY,0)),0)</f>
        <v>1</v>
      </c>
      <c r="BP159" s="38">
        <f>IFERROR(INDEX(LMH_PTS,MATCH(AB159,LMH_KEY,0)),0)</f>
        <v>1</v>
      </c>
      <c r="BQ159" s="38">
        <f>IFERROR(INDEX(LMH_PTS,MATCH(AC159,LMH_KEY,0)),0)</f>
        <v>3</v>
      </c>
      <c r="BR159" s="38">
        <f>IFERROR(INDEX(LMH_PTS,MATCH(AD159,LMH_KEY,0)),0)</f>
        <v>1</v>
      </c>
      <c r="BS159" s="38">
        <f>IFERROR(INDEX(LMH_PTS,MATCH(AE159,LMH_KEY,0)),0)</f>
        <v>1</v>
      </c>
      <c r="BT159" s="38">
        <f>IFERROR(INDEX(LMH_STEP,MATCH(AF159,LMH_KEY,0)),0)</f>
        <v>0</v>
      </c>
      <c r="BU159" s="38">
        <f>IFERROR(INDEX(LMH_STEP,MATCH(AG159,LMH_KEY,0)),0)</f>
        <v>0</v>
      </c>
      <c r="BV159" s="38">
        <f>IFERROR(INDEX(LMH_STEP,MATCH(AH159,LMH_KEY,0)),0)</f>
        <v>0</v>
      </c>
      <c r="BW159" s="38">
        <f>IFERROR(INDEX(LMH_STEP,MATCH(AI159,LMH_KEY,0)),0)</f>
        <v>0</v>
      </c>
      <c r="BX159" s="38">
        <f>IFERROR(INDEX(LMH_STEP,MATCH(AJ159,LMH_KEY,0)),0)</f>
        <v>0</v>
      </c>
      <c r="BY159" s="38">
        <f>IFERROR(INDEX(LMH_STEP,MATCH(AK159,LMH_KEY,0)),0)</f>
        <v>0</v>
      </c>
      <c r="BZ159" s="38">
        <f>IFERROR(INDEX(LMH_STEP,MATCH(AL159,LMH_KEY,0)),0)</f>
        <v>0</v>
      </c>
      <c r="CA159" s="38" t="inlineStr">
        <is>
          <t>CARBON|Marketing|Sales Development Representative|A2|A</t>
        </is>
      </c>
    </row>
    <row r="160" ht="110" customHeight="1">
      <c r="A160" s="28" t="inlineStr">
        <is>
          <t>CARBON</t>
        </is>
      </c>
      <c r="B160" s="29" t="inlineStr">
        <is>
          <t>Sales</t>
        </is>
      </c>
      <c r="C160" s="29" t="n">
        <v>3</v>
      </c>
      <c r="D160" s="29" t="inlineStr">
        <is>
          <t>IRIS1783</t>
        </is>
      </c>
      <c r="E160" s="29" t="inlineStr">
        <is>
          <t>Swapnil Trikane</t>
        </is>
      </c>
      <c r="F160" s="29" t="inlineStr">
        <is>
          <t>Senior Manager Sales</t>
        </is>
      </c>
      <c r="G160" s="29" t="inlineStr">
        <is>
          <t>Lead Account Executive</t>
        </is>
      </c>
      <c r="H160" s="29" t="inlineStr">
        <is>
          <t>Sales &amp; Business Development</t>
        </is>
      </c>
      <c r="I160" s="29" t="inlineStr">
        <is>
          <t>Sales Leadership</t>
        </is>
      </c>
      <c r="J160" s="29" t="inlineStr">
        <is>
          <t>IC</t>
        </is>
      </c>
      <c r="K160" s="29" t="inlineStr">
        <is>
          <t>RC-169</t>
        </is>
      </c>
      <c r="L160" s="29" t="inlineStr">
        <is>
          <t>Anuradha RK</t>
        </is>
      </c>
      <c r="M160" s="29" t="inlineStr">
        <is>
          <t>IRIS0391</t>
        </is>
      </c>
      <c r="N160" s="29" t="n">
        <v>15.5</v>
      </c>
      <c r="O160" s="29" t="n">
        <v>7.4</v>
      </c>
      <c r="P160" s="29" t="inlineStr">
        <is>
          <t>MBA</t>
        </is>
      </c>
      <c r="Q160" s="29" t="inlineStr">
        <is>
          <t>Not in current mapping files</t>
        </is>
      </c>
      <c r="R160" s="29" t="inlineStr">
        <is>
          <t>B3</t>
        </is>
      </c>
      <c r="S160" s="30" t="inlineStr">
        <is>
          <t>19 of 20</t>
        </is>
      </c>
      <c r="T160" s="31" t="inlineStr">
        <is>
          <t>To bring in new logos for the org. Overachieve Sales targets. Help company grow 10x; To not make any commitmen</t>
        </is>
      </c>
      <c r="U160" s="32" t="inlineStr">
        <is>
          <t>KRAs not received · manager to supply</t>
        </is>
      </c>
      <c r="V160" s="31" t="inlineStr">
        <is>
          <t>Latest rating: Not rated · manager · 9-box: Not placed · manager · Readiness: No rating data</t>
        </is>
      </c>
      <c r="W160" s="31" t="inlineStr">
        <is>
          <t>C M · Au M · Ac M · L L · BI M · Exp H · 15.5 yrs vs 8–12 yrs · Edu M · MBA</t>
        </is>
      </c>
      <c r="X160" s="33" t="inlineStr">
        <is>
          <t>Open ▸</t>
        </is>
      </c>
      <c r="Y160" s="34" t="str">
        <f>IFERROR(INDEX(DL_C,MATCH($CA160,DL_KEY,0)),"M")</f>
        <v>H</v>
      </c>
      <c r="Z160" s="35" t="str">
        <f>IFERROR(INDEX(DL_Au,MATCH($CA160,DL_KEY,0)),"M")</f>
        <v>M</v>
      </c>
      <c r="AA160" s="35" t="str">
        <f>IFERROR(INDEX(DL_Ac,MATCH($CA160,DL_KEY,0)),"M")</f>
        <v>L</v>
      </c>
      <c r="AB160" s="35" t="str">
        <f>IFERROR(INDEX(DL_L,MATCH($CA160,DL_KEY,0)),"M")</f>
        <v>L</v>
      </c>
      <c r="AC160" s="35" t="str">
        <f>IFERROR(INDEX(DL_BI,MATCH($CA160,DL_KEY,0)),"M")</f>
        <v>M</v>
      </c>
      <c r="AD160" s="35" t="str">
        <f>IFERROR(INDEX(DL_Exp,MATCH($CA160,DL_KEY,0)),"M")</f>
        <v>L</v>
      </c>
      <c r="AE160" s="35" t="str">
        <f>IFERROR(INDEX(DL_Edu,MATCH($CA160,DL_KEY,0)),"M")</f>
        <v>L</v>
      </c>
      <c r="AF160" s="34" t="inlineStr">
        <is>
          <t>M</t>
        </is>
      </c>
      <c r="AG160" s="35" t="inlineStr">
        <is>
          <t>M</t>
        </is>
      </c>
      <c r="AH160" s="35" t="inlineStr">
        <is>
          <t>M</t>
        </is>
      </c>
      <c r="AI160" s="35" t="inlineStr">
        <is>
          <t>M</t>
        </is>
      </c>
      <c r="AJ160" s="35" t="inlineStr">
        <is>
          <t>M</t>
        </is>
      </c>
      <c r="AK160" s="35" t="inlineStr">
        <is>
          <t>M</t>
        </is>
      </c>
      <c r="AL160" s="35" t="inlineStr">
        <is>
          <t>M</t>
        </is>
      </c>
      <c r="AM160" s="36" t="n">
        <v>0.513</v>
      </c>
      <c r="AN160" s="37" t="n">
        <v>0.173</v>
      </c>
      <c r="AO160" s="37" t="n">
        <v>0.09699999999999999</v>
      </c>
      <c r="AP160" s="37" t="n">
        <v>0.05</v>
      </c>
      <c r="AQ160" s="37" t="n">
        <v>0.07000000000000001</v>
      </c>
      <c r="AR160" s="37" t="n">
        <v>0.06</v>
      </c>
      <c r="AS160" s="37" t="n">
        <v>0.04</v>
      </c>
      <c r="AT160" s="38" t="inlineStr">
        <is>
          <t>8–13</t>
        </is>
      </c>
      <c r="AU160" s="38" t="inlineStr">
        <is>
          <t>Postgraduate or professional qualification preferred</t>
        </is>
      </c>
      <c r="AV160" s="38" t="inlineStr">
        <is>
          <t>IC: none · People: 5–8 incl. team leads</t>
        </is>
      </c>
      <c r="AW160" s="38" t="inlineStr">
        <is>
          <t>P5 / M4 · SFIA 5 Ensure, advise</t>
        </is>
      </c>
      <c r="AX16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60" s="39" t="inlineStr">
        <is>
          <t>B3</t>
        </is>
      </c>
      <c r="AZ160" s="40" t="inlineStr">
        <is>
          <t>Band B · Specialist / Manager · Lead Specialist</t>
        </is>
      </c>
      <c r="BA160" s="40" t="inlineStr">
        <is>
          <t>Model B3 from the six ratings, the market-derived weights and rules R1–R13 · then No change · already below the manager</t>
        </is>
      </c>
      <c r="BB160" s="41" t="inlineStr">
        <is>
          <t>B3</t>
        </is>
      </c>
      <c r="BC160" s="40" t="inlineStr">
        <is>
          <t>The six ratings on the market-average weights of Band B · Specialist / POD Lead score 5.80 → B3 · Hay, Mercer IPE and public plans · experience 15.5 yrs vs the B3 market range 8–13</t>
        </is>
      </c>
      <c r="BD160" s="42">
        <f>IF(SUM(BM160,BN160,BO160,BP160,BQ160,BR160,BS160)=0,0,(BM160*BT160+BN160*BU160+BO160*BV160+BP160*BW160+BQ160*BX160+BR160*BY160+BS160*BZ160)/SUM(BM160,BN160,BO160,BP160,BQ160,BR160,BS160))</f>
        <v>0</v>
      </c>
      <c r="BE160" s="41" t="str">
        <f>IF(LEFT(AY160,1)="X",AY160,IF(OR(AY160="B+",AY160="C+"),INDEX(LAD_PC,MAX(1,MIN(14,MATCH(AY160,LAD_PC,0)+IF(BD160&gt;=0.5,1,IF(BD160&lt;=-0.5,-1,0))))),INDEX(LAD_STD,MAX(1,MIN(12,MATCH(AY160,LAD_STD,0)+IF(BD160&gt;=0.5,1,IF(BD160&lt;=-0.5,-1,0)))))))</f>
        <v>B3</v>
      </c>
      <c r="BF160" s="43" t="n"/>
      <c r="BG160" s="41" t="str">
        <f>IF(BF160&lt;&gt;"",BF160,BE160)</f>
        <v>B3</v>
      </c>
      <c r="BH160" s="40" t="str">
        <f>IFERROR(CHOOSE(INDEX(B_RANK,MATCH(BG160,B_LVL,0)),"Band A","Band B","B+ · Player-Coach","Band C","C+ · Player-Coach","Band D","Band E"),"Band X · Consultant")</f>
        <v>Band B</v>
      </c>
      <c r="BI160" s="40" t="str">
        <f>IF(BG160=AY160,"• Same",IF(INDEX(B_VAL,MATCH(BG160,B_LVL,0))&gt;INDEX(B_VAL,MATCH(AY160,B_LVL,0)),"▲ Up","▼ Down"))</f>
        <v>• Same</v>
      </c>
      <c r="BJ160" s="40" t="str">
        <f>IF(OR($M160="",$M160="—",$M160="Not in this file"),"",IFERROR(INDEX($BG$7:$BG$592,MATCH($M160,$D$7:$D$592,0)),""))</f>
        <v>D2</v>
      </c>
      <c r="BK160" s="40" t="str">
        <f>IFERROR(IF(BJ160="","—",IF(OR(LEFT(BG160,1)="X",LEFT(BJ160,1)="X"),"—",IF(AND(LEFT(BG160,1)="E",LEFT(BJ160,1)="E"),"Exception · Band E",IF(AND(INDEX(B_VAL,MATCH(BJ160,B_LVL,0))&gt;=7,INDEX(B_RANK,MATCH(BG160,B_LVL,0))&gt;=INDEX(B_RANK,MATCH(BJ160,B_LVL,0))),"⚠ Same band as a head manager",IF(INDEX(B_VAL,MATCH(BG160,B_LVL,0))&gt;=INDEX(B_VAL,MATCH(BJ160,B_LVL,0)),"⚠ At or above the manager's level","OK"))))),"—")</f>
        <v>OK</v>
      </c>
      <c r="BL160" s="43" t="n"/>
      <c r="BM160" s="44">
        <f>IFERROR(INDEX(LMH_PTS,MATCH(Y160,LMH_KEY,0)),0)</f>
        <v>9</v>
      </c>
      <c r="BN160" s="38">
        <f>IFERROR(INDEX(LMH_PTS,MATCH(Z160,LMH_KEY,0)),0)</f>
        <v>3</v>
      </c>
      <c r="BO160" s="38">
        <f>IFERROR(INDEX(LMH_PTS,MATCH(AA160,LMH_KEY,0)),0)</f>
        <v>1</v>
      </c>
      <c r="BP160" s="38">
        <f>IFERROR(INDEX(LMH_PTS,MATCH(AB160,LMH_KEY,0)),0)</f>
        <v>1</v>
      </c>
      <c r="BQ160" s="38">
        <f>IFERROR(INDEX(LMH_PTS,MATCH(AC160,LMH_KEY,0)),0)</f>
        <v>3</v>
      </c>
      <c r="BR160" s="38">
        <f>IFERROR(INDEX(LMH_PTS,MATCH(AD160,LMH_KEY,0)),0)</f>
        <v>1</v>
      </c>
      <c r="BS160" s="38">
        <f>IFERROR(INDEX(LMH_PTS,MATCH(AE160,LMH_KEY,0)),0)</f>
        <v>1</v>
      </c>
      <c r="BT160" s="38">
        <f>IFERROR(INDEX(LMH_STEP,MATCH(AF160,LMH_KEY,0)),0)</f>
        <v>0</v>
      </c>
      <c r="BU160" s="38">
        <f>IFERROR(INDEX(LMH_STEP,MATCH(AG160,LMH_KEY,0)),0)</f>
        <v>0</v>
      </c>
      <c r="BV160" s="38">
        <f>IFERROR(INDEX(LMH_STEP,MATCH(AH160,LMH_KEY,0)),0)</f>
        <v>0</v>
      </c>
      <c r="BW160" s="38">
        <f>IFERROR(INDEX(LMH_STEP,MATCH(AI160,LMH_KEY,0)),0)</f>
        <v>0</v>
      </c>
      <c r="BX160" s="38">
        <f>IFERROR(INDEX(LMH_STEP,MATCH(AJ160,LMH_KEY,0)),0)</f>
        <v>0</v>
      </c>
      <c r="BY160" s="38">
        <f>IFERROR(INDEX(LMH_STEP,MATCH(AK160,LMH_KEY,0)),0)</f>
        <v>0</v>
      </c>
      <c r="BZ160" s="38">
        <f>IFERROR(INDEX(LMH_STEP,MATCH(AL160,LMH_KEY,0)),0)</f>
        <v>0</v>
      </c>
      <c r="CA160" s="38" t="inlineStr">
        <is>
          <t>CARBON|Sales|Lead Account Executive|B3|B-IC</t>
        </is>
      </c>
    </row>
    <row r="161" ht="110" customHeight="1">
      <c r="A161" s="28" t="inlineStr">
        <is>
          <t>CARBON</t>
        </is>
      </c>
      <c r="B161" s="29" t="inlineStr">
        <is>
          <t>Functional</t>
        </is>
      </c>
      <c r="C161" s="29" t="n">
        <v>3</v>
      </c>
      <c r="D161" s="29" t="inlineStr">
        <is>
          <t>IRIS2353</t>
        </is>
      </c>
      <c r="E161" s="29" t="inlineStr">
        <is>
          <t>Farzad Wadia</t>
        </is>
      </c>
      <c r="F161" s="29" t="inlineStr">
        <is>
          <t>ESG Manager</t>
        </is>
      </c>
      <c r="G161" s="29" t="inlineStr">
        <is>
          <t>Product Manager</t>
        </is>
      </c>
      <c r="H161" s="29" t="inlineStr">
        <is>
          <t>Product Management</t>
        </is>
      </c>
      <c r="I161" s="29" t="inlineStr">
        <is>
          <t>Product Management</t>
        </is>
      </c>
      <c r="J161" s="29" t="inlineStr">
        <is>
          <t>People Manager</t>
        </is>
      </c>
      <c r="K161" s="29" t="inlineStr">
        <is>
          <t>RC-127</t>
        </is>
      </c>
      <c r="L161" s="29" t="inlineStr">
        <is>
          <t>Anuradha RK</t>
        </is>
      </c>
      <c r="M161" s="29" t="inlineStr">
        <is>
          <t>IRIS0391</t>
        </is>
      </c>
      <c r="N161" s="29" t="n">
        <v>10.7</v>
      </c>
      <c r="O161" s="29" t="n">
        <v>1.5</v>
      </c>
      <c r="P161" s="29" t="inlineStr">
        <is>
          <t>CA</t>
        </is>
      </c>
      <c r="Q161" s="29" t="inlineStr">
        <is>
          <t>Not in current mapping files</t>
        </is>
      </c>
      <c r="R161" s="29" t="inlineStr">
        <is>
          <t>B2</t>
        </is>
      </c>
      <c r="S161" s="30" t="inlineStr">
        <is>
          <t>20 of 20</t>
        </is>
      </c>
      <c r="T161" s="31" t="inlineStr">
        <is>
          <t>• Role / sub-team: Functional — ESG Manager.
• Core purpose: Lead product in market.
• Decision-making autonomy: Can independently most things.
• Is this something only they do: Partially.
• What's different about this role: The product; The customer.</t>
        </is>
      </c>
      <c r="U161" s="32" t="inlineStr">
        <is>
          <t>KRAs not received · manager to supply</t>
        </is>
      </c>
      <c r="V161" s="31" t="inlineStr">
        <is>
          <t>Latest rating: Not rated · manager · 9-box: Underperformer / Exit Risk · Readiness: No rating data</t>
        </is>
      </c>
      <c r="W161" s="31" t="inlineStr">
        <is>
          <t>C M · Au M · Ac M · L L · BI M · Exp H · 10.7 yrs vs 6–9 yrs · Edu H · CA</t>
        </is>
      </c>
      <c r="X161" s="33" t="inlineStr">
        <is>
          <t>Open ▸</t>
        </is>
      </c>
      <c r="Y161" s="34" t="str">
        <f>IFERROR(INDEX(DL_C,MATCH($CA161,DL_KEY,0)),"M")</f>
        <v>H</v>
      </c>
      <c r="Z161" s="35" t="str">
        <f>IFERROR(INDEX(DL_Au,MATCH($CA161,DL_KEY,0)),"M")</f>
        <v>M</v>
      </c>
      <c r="AA161" s="35" t="str">
        <f>IFERROR(INDEX(DL_Ac,MATCH($CA161,DL_KEY,0)),"M")</f>
        <v>M</v>
      </c>
      <c r="AB161" s="35" t="str">
        <f>IFERROR(INDEX(DL_L,MATCH($CA161,DL_KEY,0)),"M")</f>
        <v>M</v>
      </c>
      <c r="AC161" s="35" t="str">
        <f>IFERROR(INDEX(DL_BI,MATCH($CA161,DL_KEY,0)),"M")</f>
        <v>L</v>
      </c>
      <c r="AD161" s="35" t="str">
        <f>IFERROR(INDEX(DL_Exp,MATCH($CA161,DL_KEY,0)),"M")</f>
        <v>L</v>
      </c>
      <c r="AE161" s="35" t="str">
        <f>IFERROR(INDEX(DL_Edu,MATCH($CA161,DL_KEY,0)),"M")</f>
        <v>L</v>
      </c>
      <c r="AF161" s="34" t="inlineStr">
        <is>
          <t>M</t>
        </is>
      </c>
      <c r="AG161" s="35" t="inlineStr">
        <is>
          <t>M</t>
        </is>
      </c>
      <c r="AH161" s="35" t="inlineStr">
        <is>
          <t>M</t>
        </is>
      </c>
      <c r="AI161" s="35" t="inlineStr">
        <is>
          <t>M</t>
        </is>
      </c>
      <c r="AJ161" s="35" t="inlineStr">
        <is>
          <t>M</t>
        </is>
      </c>
      <c r="AK161" s="35" t="inlineStr">
        <is>
          <t>M</t>
        </is>
      </c>
      <c r="AL161" s="35" t="inlineStr">
        <is>
          <t>M</t>
        </is>
      </c>
      <c r="AM161" s="36" t="n">
        <v>0.37</v>
      </c>
      <c r="AN161" s="37" t="n">
        <v>0.183</v>
      </c>
      <c r="AO161" s="37" t="n">
        <v>0.113</v>
      </c>
      <c r="AP161" s="37" t="n">
        <v>0.15</v>
      </c>
      <c r="AQ161" s="37" t="n">
        <v>0.08699999999999999</v>
      </c>
      <c r="AR161" s="37" t="n">
        <v>0.06</v>
      </c>
      <c r="AS161" s="37" t="n">
        <v>0.04</v>
      </c>
      <c r="AT161" s="38" t="inlineStr">
        <is>
          <t>6–10</t>
        </is>
      </c>
      <c r="AU161" s="38" t="inlineStr">
        <is>
          <t>Graduate or postgraduate; professional qualification preferred</t>
        </is>
      </c>
      <c r="AV161" s="38" t="inlineStr">
        <is>
          <t>IC: none · People: 6–8 knowledge work, 8–12 standardised delivery</t>
        </is>
      </c>
      <c r="AW161" s="38" t="inlineStr">
        <is>
          <t>P4 / M3 · SFIA 4–5</t>
        </is>
      </c>
      <c r="AX16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61" s="39" t="inlineStr">
        <is>
          <t>B2</t>
        </is>
      </c>
      <c r="AZ161" s="40" t="inlineStr">
        <is>
          <t>Band B · Specialist / Manager · Manager</t>
        </is>
      </c>
      <c r="BA161" s="40" t="inlineStr">
        <is>
          <t>Model B2 from the six ratings, the market-derived weights and rules R1–R13 · then No change · already below the manager</t>
        </is>
      </c>
      <c r="BB161" s="41" t="inlineStr">
        <is>
          <t>B2</t>
        </is>
      </c>
      <c r="BC161" s="40" t="inlineStr">
        <is>
          <t>The six ratings on the market-average weights of Band B · People Manager score 5.10 → B2 · Hay, Mercer IPE and public plans · experience 10.7 yrs vs the B2 market range 6–10</t>
        </is>
      </c>
      <c r="BD161" s="42">
        <f>IF(SUM(BM161,BN161,BO161,BP161,BQ161,BR161,BS161)=0,0,(BM161*BT161+BN161*BU161+BO161*BV161+BP161*BW161+BQ161*BX161+BR161*BY161+BS161*BZ161)/SUM(BM161,BN161,BO161,BP161,BQ161,BR161,BS161))</f>
        <v>0</v>
      </c>
      <c r="BE161" s="41" t="str">
        <f>IF(LEFT(AY161,1)="X",AY161,IF(OR(AY161="B+",AY161="C+"),INDEX(LAD_PC,MAX(1,MIN(14,MATCH(AY161,LAD_PC,0)+IF(BD161&gt;=0.5,1,IF(BD161&lt;=-0.5,-1,0))))),INDEX(LAD_STD,MAX(1,MIN(12,MATCH(AY161,LAD_STD,0)+IF(BD161&gt;=0.5,1,IF(BD161&lt;=-0.5,-1,0)))))))</f>
        <v>B2</v>
      </c>
      <c r="BF161" s="43" t="n"/>
      <c r="BG161" s="41" t="str">
        <f>IF(BF161&lt;&gt;"",BF161,BE161)</f>
        <v>B2</v>
      </c>
      <c r="BH161" s="40" t="str">
        <f>IFERROR(CHOOSE(INDEX(B_RANK,MATCH(BG161,B_LVL,0)),"Band A","Band B","B+ · Player-Coach","Band C","C+ · Player-Coach","Band D","Band E"),"Band X · Consultant")</f>
        <v>Band B</v>
      </c>
      <c r="BI161" s="40" t="str">
        <f>IF(BG161=AY161,"• Same",IF(INDEX(B_VAL,MATCH(BG161,B_LVL,0))&gt;INDEX(B_VAL,MATCH(AY161,B_LVL,0)),"▲ Up","▼ Down"))</f>
        <v>• Same</v>
      </c>
      <c r="BJ161" s="40" t="str">
        <f>IF(OR($M161="",$M161="—",$M161="Not in this file"),"",IFERROR(INDEX($BG$7:$BG$592,MATCH($M161,$D$7:$D$592,0)),""))</f>
        <v>D2</v>
      </c>
      <c r="BK161" s="40" t="str">
        <f>IFERROR(IF(BJ161="","—",IF(OR(LEFT(BG161,1)="X",LEFT(BJ161,1)="X"),"—",IF(AND(LEFT(BG161,1)="E",LEFT(BJ161,1)="E"),"Exception · Band E",IF(AND(INDEX(B_VAL,MATCH(BJ161,B_LVL,0))&gt;=7,INDEX(B_RANK,MATCH(BG161,B_LVL,0))&gt;=INDEX(B_RANK,MATCH(BJ161,B_LVL,0))),"⚠ Same band as a head manager",IF(INDEX(B_VAL,MATCH(BG161,B_LVL,0))&gt;=INDEX(B_VAL,MATCH(BJ161,B_LVL,0)),"⚠ At or above the manager's level","OK"))))),"—")</f>
        <v>OK</v>
      </c>
      <c r="BL161" s="43" t="n"/>
      <c r="BM161" s="44">
        <f>IFERROR(INDEX(LMH_PTS,MATCH(Y161,LMH_KEY,0)),0)</f>
        <v>9</v>
      </c>
      <c r="BN161" s="38">
        <f>IFERROR(INDEX(LMH_PTS,MATCH(Z161,LMH_KEY,0)),0)</f>
        <v>3</v>
      </c>
      <c r="BO161" s="38">
        <f>IFERROR(INDEX(LMH_PTS,MATCH(AA161,LMH_KEY,0)),0)</f>
        <v>3</v>
      </c>
      <c r="BP161" s="38">
        <f>IFERROR(INDEX(LMH_PTS,MATCH(AB161,LMH_KEY,0)),0)</f>
        <v>3</v>
      </c>
      <c r="BQ161" s="38">
        <f>IFERROR(INDEX(LMH_PTS,MATCH(AC161,LMH_KEY,0)),0)</f>
        <v>1</v>
      </c>
      <c r="BR161" s="38">
        <f>IFERROR(INDEX(LMH_PTS,MATCH(AD161,LMH_KEY,0)),0)</f>
        <v>1</v>
      </c>
      <c r="BS161" s="38">
        <f>IFERROR(INDEX(LMH_PTS,MATCH(AE161,LMH_KEY,0)),0)</f>
        <v>1</v>
      </c>
      <c r="BT161" s="38">
        <f>IFERROR(INDEX(LMH_STEP,MATCH(AF161,LMH_KEY,0)),0)</f>
        <v>0</v>
      </c>
      <c r="BU161" s="38">
        <f>IFERROR(INDEX(LMH_STEP,MATCH(AG161,LMH_KEY,0)),0)</f>
        <v>0</v>
      </c>
      <c r="BV161" s="38">
        <f>IFERROR(INDEX(LMH_STEP,MATCH(AH161,LMH_KEY,0)),0)</f>
        <v>0</v>
      </c>
      <c r="BW161" s="38">
        <f>IFERROR(INDEX(LMH_STEP,MATCH(AI161,LMH_KEY,0)),0)</f>
        <v>0</v>
      </c>
      <c r="BX161" s="38">
        <f>IFERROR(INDEX(LMH_STEP,MATCH(AJ161,LMH_KEY,0)),0)</f>
        <v>0</v>
      </c>
      <c r="BY161" s="38">
        <f>IFERROR(INDEX(LMH_STEP,MATCH(AK161,LMH_KEY,0)),0)</f>
        <v>0</v>
      </c>
      <c r="BZ161" s="38">
        <f>IFERROR(INDEX(LMH_STEP,MATCH(AL161,LMH_KEY,0)),0)</f>
        <v>0</v>
      </c>
      <c r="CA161" s="38" t="inlineStr">
        <is>
          <t>CARBON|Functional|Product Manager|B2|B-M</t>
        </is>
      </c>
    </row>
    <row r="162" ht="110" customHeight="1">
      <c r="A162" s="28" t="inlineStr">
        <is>
          <t>CARBON</t>
        </is>
      </c>
      <c r="B162" s="29" t="inlineStr">
        <is>
          <t>Functional</t>
        </is>
      </c>
      <c r="C162" s="29" t="n">
        <v>4</v>
      </c>
      <c r="D162" s="29" t="inlineStr">
        <is>
          <t>IRIS2143</t>
        </is>
      </c>
      <c r="E162" s="29" t="inlineStr">
        <is>
          <t>Shambo Mitra</t>
        </is>
      </c>
      <c r="F162" s="29" t="inlineStr">
        <is>
          <t>ESG - Subject Matter Expert</t>
        </is>
      </c>
      <c r="G162" s="29" t="inlineStr">
        <is>
          <t>Senior Functional Specialist</t>
        </is>
      </c>
      <c r="H162" s="29" t="inlineStr">
        <is>
          <t>Solution Consulting &amp; Implementation</t>
        </is>
      </c>
      <c r="I162" s="29" t="inlineStr">
        <is>
          <t>Solution Consulting &amp; Implementation</t>
        </is>
      </c>
      <c r="J162" s="29" t="inlineStr">
        <is>
          <t>IC</t>
        </is>
      </c>
      <c r="K162" s="29" t="inlineStr">
        <is>
          <t>RC-174</t>
        </is>
      </c>
      <c r="L162" s="29" t="inlineStr">
        <is>
          <t>Farzad Wadia</t>
        </is>
      </c>
      <c r="M162" s="29" t="inlineStr">
        <is>
          <t>IRIS2353</t>
        </is>
      </c>
      <c r="N162" s="29" t="n">
        <v>7.3</v>
      </c>
      <c r="O162" s="29" t="n">
        <v>3.3</v>
      </c>
      <c r="P162" s="29" t="inlineStr">
        <is>
          <t>MBA</t>
        </is>
      </c>
      <c r="Q162" s="29" t="inlineStr">
        <is>
          <t>L3 – Professional / Associate</t>
        </is>
      </c>
      <c r="R162" s="29" t="inlineStr">
        <is>
          <t>B2</t>
        </is>
      </c>
      <c r="S162" s="30" t="inlineStr">
        <is>
          <t>20 of 20</t>
        </is>
      </c>
      <c r="T162" s="31" t="inlineStr">
        <is>
          <t>• Role / sub-team: Functional — ESG - Subject Matter Expert.
• Core purpose: Responsible for ESG specific client delivery - Includes implementation of the ESG product based on client requirements and post implementation support.
• Decision-making autonomy: Can independently task prioritization.
• Is this something only they do: Overlaps with one other …</t>
        </is>
      </c>
      <c r="U162" s="31" t="inlineStr">
        <is>
          <t>Received · manager annual · Refer to a separate sheet</t>
        </is>
      </c>
      <c r="V162" s="31" t="inlineStr">
        <is>
          <t>Latest rating: 3 · Potential: Medium · 9-box: Reliable Specialist · Readiness: Develop in role</t>
        </is>
      </c>
      <c r="W162" s="31" t="inlineStr">
        <is>
          <t>C H · Au H · Ac H · L M · BI H · Exp H · 7.3 yrs vs 4–7 yrs · Edu H · MBA</t>
        </is>
      </c>
      <c r="X162" s="33" t="inlineStr">
        <is>
          <t>Open ▸</t>
        </is>
      </c>
      <c r="Y162" s="34" t="str">
        <f>IFERROR(INDEX(DL_C,MATCH($CA162,DL_KEY,0)),"M")</f>
        <v>H</v>
      </c>
      <c r="Z162" s="35" t="str">
        <f>IFERROR(INDEX(DL_Au,MATCH($CA162,DL_KEY,0)),"M")</f>
        <v>M</v>
      </c>
      <c r="AA162" s="35" t="str">
        <f>IFERROR(INDEX(DL_Ac,MATCH($CA162,DL_KEY,0)),"M")</f>
        <v>M</v>
      </c>
      <c r="AB162" s="35" t="str">
        <f>IFERROR(INDEX(DL_L,MATCH($CA162,DL_KEY,0)),"M")</f>
        <v>L</v>
      </c>
      <c r="AC162" s="35" t="str">
        <f>IFERROR(INDEX(DL_BI,MATCH($CA162,DL_KEY,0)),"M")</f>
        <v>L</v>
      </c>
      <c r="AD162" s="35" t="str">
        <f>IFERROR(INDEX(DL_Exp,MATCH($CA162,DL_KEY,0)),"M")</f>
        <v>L</v>
      </c>
      <c r="AE162" s="35" t="str">
        <f>IFERROR(INDEX(DL_Edu,MATCH($CA162,DL_KEY,0)),"M")</f>
        <v>L</v>
      </c>
      <c r="AF162" s="34" t="inlineStr">
        <is>
          <t>M</t>
        </is>
      </c>
      <c r="AG162" s="35" t="inlineStr">
        <is>
          <t>M</t>
        </is>
      </c>
      <c r="AH162" s="35" t="inlineStr">
        <is>
          <t>M</t>
        </is>
      </c>
      <c r="AI162" s="35" t="inlineStr">
        <is>
          <t>M</t>
        </is>
      </c>
      <c r="AJ162" s="35" t="inlineStr">
        <is>
          <t>M</t>
        </is>
      </c>
      <c r="AK162" s="35" t="inlineStr">
        <is>
          <t>M</t>
        </is>
      </c>
      <c r="AL162" s="35" t="inlineStr">
        <is>
          <t>M</t>
        </is>
      </c>
      <c r="AM162" s="36" t="n">
        <v>0.513</v>
      </c>
      <c r="AN162" s="37" t="n">
        <v>0.173</v>
      </c>
      <c r="AO162" s="37" t="n">
        <v>0.09699999999999999</v>
      </c>
      <c r="AP162" s="37" t="n">
        <v>0.05</v>
      </c>
      <c r="AQ162" s="37" t="n">
        <v>0.07000000000000001</v>
      </c>
      <c r="AR162" s="37" t="n">
        <v>0.06</v>
      </c>
      <c r="AS162" s="37" t="n">
        <v>0.04</v>
      </c>
      <c r="AT162" s="38" t="inlineStr">
        <is>
          <t>4–8</t>
        </is>
      </c>
      <c r="AU162" s="38" t="inlineStr">
        <is>
          <t>Graduate + relevant qualification or certification preferred</t>
        </is>
      </c>
      <c r="AV162" s="38" t="inlineStr">
        <is>
          <t>IC: none · Team Lead: 3–5</t>
        </is>
      </c>
      <c r="AW162" s="38" t="inlineStr">
        <is>
          <t>P3 / M2 · SFIA 4 Enable</t>
        </is>
      </c>
      <c r="AX16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62" s="39" t="inlineStr">
        <is>
          <t>B1</t>
        </is>
      </c>
      <c r="AZ162" s="40" t="inlineStr">
        <is>
          <t>Band B · Specialist / Manager · Specialist</t>
        </is>
      </c>
      <c r="BA162" s="40" t="inlineStr">
        <is>
          <t>Model B2 from the six ratings, the market-derived weights and rules R1–R13 · then Level rule: manager B2; a reportee sits at least one level below · B2 → B1 · move down · pay and title protected for one cycle</t>
        </is>
      </c>
      <c r="BB162" s="41" t="inlineStr">
        <is>
          <t>B2</t>
        </is>
      </c>
      <c r="BC162" s="40" t="inlineStr">
        <is>
          <t>The six ratings on the market-average weights of Band B · Specialist / POD Lead score 5.03 → B2 · Hay, Mercer IPE and public plans · experience 7.3 yrs vs the B2 market range 6–10</t>
        </is>
      </c>
      <c r="BD162" s="42">
        <f>IF(SUM(BM162,BN162,BO162,BP162,BQ162,BR162,BS162)=0,0,(BM162*BT162+BN162*BU162+BO162*BV162+BP162*BW162+BQ162*BX162+BR162*BY162+BS162*BZ162)/SUM(BM162,BN162,BO162,BP162,BQ162,BR162,BS162))</f>
        <v>0</v>
      </c>
      <c r="BE162" s="41" t="str">
        <f>IF(LEFT(AY162,1)="X",AY162,IF(OR(AY162="B+",AY162="C+"),INDEX(LAD_PC,MAX(1,MIN(14,MATCH(AY162,LAD_PC,0)+IF(BD162&gt;=0.5,1,IF(BD162&lt;=-0.5,-1,0))))),INDEX(LAD_STD,MAX(1,MIN(12,MATCH(AY162,LAD_STD,0)+IF(BD162&gt;=0.5,1,IF(BD162&lt;=-0.5,-1,0)))))))</f>
        <v>B1</v>
      </c>
      <c r="BF162" s="43" t="n"/>
      <c r="BG162" s="41" t="str">
        <f>IF(BF162&lt;&gt;"",BF162,BE162)</f>
        <v>B1</v>
      </c>
      <c r="BH162" s="40" t="str">
        <f>IFERROR(CHOOSE(INDEX(B_RANK,MATCH(BG162,B_LVL,0)),"Band A","Band B","B+ · Player-Coach","Band C","C+ · Player-Coach","Band D","Band E"),"Band X · Consultant")</f>
        <v>Band B</v>
      </c>
      <c r="BI162" s="40" t="str">
        <f>IF(BG162=AY162,"• Same",IF(INDEX(B_VAL,MATCH(BG162,B_LVL,0))&gt;INDEX(B_VAL,MATCH(AY162,B_LVL,0)),"▲ Up","▼ Down"))</f>
        <v>• Same</v>
      </c>
      <c r="BJ162" s="40" t="str">
        <f>IF(OR($M162="",$M162="—",$M162="Not in this file"),"",IFERROR(INDEX($BG$7:$BG$592,MATCH($M162,$D$7:$D$592,0)),""))</f>
        <v>B2</v>
      </c>
      <c r="BK162" s="40" t="str">
        <f>IFERROR(IF(BJ162="","—",IF(OR(LEFT(BG162,1)="X",LEFT(BJ162,1)="X"),"—",IF(AND(LEFT(BG162,1)="E",LEFT(BJ162,1)="E"),"Exception · Band E",IF(AND(INDEX(B_VAL,MATCH(BJ162,B_LVL,0))&gt;=7,INDEX(B_RANK,MATCH(BG162,B_LVL,0))&gt;=INDEX(B_RANK,MATCH(BJ162,B_LVL,0))),"⚠ Same band as a head manager",IF(INDEX(B_VAL,MATCH(BG162,B_LVL,0))&gt;=INDEX(B_VAL,MATCH(BJ162,B_LVL,0)),"⚠ At or above the manager's level","OK"))))),"—")</f>
        <v>OK</v>
      </c>
      <c r="BL162" s="43" t="n"/>
      <c r="BM162" s="44">
        <f>IFERROR(INDEX(LMH_PTS,MATCH(Y162,LMH_KEY,0)),0)</f>
        <v>9</v>
      </c>
      <c r="BN162" s="38">
        <f>IFERROR(INDEX(LMH_PTS,MATCH(Z162,LMH_KEY,0)),0)</f>
        <v>3</v>
      </c>
      <c r="BO162" s="38">
        <f>IFERROR(INDEX(LMH_PTS,MATCH(AA162,LMH_KEY,0)),0)</f>
        <v>3</v>
      </c>
      <c r="BP162" s="38">
        <f>IFERROR(INDEX(LMH_PTS,MATCH(AB162,LMH_KEY,0)),0)</f>
        <v>1</v>
      </c>
      <c r="BQ162" s="38">
        <f>IFERROR(INDEX(LMH_PTS,MATCH(AC162,LMH_KEY,0)),0)</f>
        <v>1</v>
      </c>
      <c r="BR162" s="38">
        <f>IFERROR(INDEX(LMH_PTS,MATCH(AD162,LMH_KEY,0)),0)</f>
        <v>1</v>
      </c>
      <c r="BS162" s="38">
        <f>IFERROR(INDEX(LMH_PTS,MATCH(AE162,LMH_KEY,0)),0)</f>
        <v>1</v>
      </c>
      <c r="BT162" s="38">
        <f>IFERROR(INDEX(LMH_STEP,MATCH(AF162,LMH_KEY,0)),0)</f>
        <v>0</v>
      </c>
      <c r="BU162" s="38">
        <f>IFERROR(INDEX(LMH_STEP,MATCH(AG162,LMH_KEY,0)),0)</f>
        <v>0</v>
      </c>
      <c r="BV162" s="38">
        <f>IFERROR(INDEX(LMH_STEP,MATCH(AH162,LMH_KEY,0)),0)</f>
        <v>0</v>
      </c>
      <c r="BW162" s="38">
        <f>IFERROR(INDEX(LMH_STEP,MATCH(AI162,LMH_KEY,0)),0)</f>
        <v>0</v>
      </c>
      <c r="BX162" s="38">
        <f>IFERROR(INDEX(LMH_STEP,MATCH(AJ162,LMH_KEY,0)),0)</f>
        <v>0</v>
      </c>
      <c r="BY162" s="38">
        <f>IFERROR(INDEX(LMH_STEP,MATCH(AK162,LMH_KEY,0)),0)</f>
        <v>0</v>
      </c>
      <c r="BZ162" s="38">
        <f>IFERROR(INDEX(LMH_STEP,MATCH(AL162,LMH_KEY,0)),0)</f>
        <v>0</v>
      </c>
      <c r="CA162" s="38" t="inlineStr">
        <is>
          <t>CARBON|Functional|Senior Functional Specialist|B1|B-IC</t>
        </is>
      </c>
    </row>
    <row r="163" ht="110" customHeight="1">
      <c r="A163" s="28" t="inlineStr">
        <is>
          <t>CARBON</t>
        </is>
      </c>
      <c r="B163" s="29" t="inlineStr">
        <is>
          <t>Functional</t>
        </is>
      </c>
      <c r="C163" s="29" t="n">
        <v>4</v>
      </c>
      <c r="D163" s="29" t="inlineStr">
        <is>
          <t>IRIS2419</t>
        </is>
      </c>
      <c r="E163" s="29" t="inlineStr">
        <is>
          <t>Alizah Noorani</t>
        </is>
      </c>
      <c r="F163" s="29" t="inlineStr">
        <is>
          <t>ESG Implementation Consultant</t>
        </is>
      </c>
      <c r="G163" s="29" t="inlineStr">
        <is>
          <t>Functional Specialist</t>
        </is>
      </c>
      <c r="H163" s="29" t="inlineStr">
        <is>
          <t>Solution Consulting &amp; Implementation</t>
        </is>
      </c>
      <c r="I163" s="29" t="inlineStr">
        <is>
          <t>Solution Consulting &amp; Implementation</t>
        </is>
      </c>
      <c r="J163" s="29" t="inlineStr">
        <is>
          <t>IC</t>
        </is>
      </c>
      <c r="K163" s="29" t="inlineStr">
        <is>
          <t>RC-173</t>
        </is>
      </c>
      <c r="L163" s="29" t="inlineStr">
        <is>
          <t>Farzad Wadia</t>
        </is>
      </c>
      <c r="M163" s="29" t="inlineStr">
        <is>
          <t>IRIS2353</t>
        </is>
      </c>
      <c r="N163" s="29" t="n">
        <v>4.2</v>
      </c>
      <c r="O163" s="29" t="n">
        <v>1.1</v>
      </c>
      <c r="P163" s="29" t="inlineStr">
        <is>
          <t>M.Sc</t>
        </is>
      </c>
      <c r="Q163" s="29" t="inlineStr">
        <is>
          <t>L3 – Professional / Associate</t>
        </is>
      </c>
      <c r="R163" s="29" t="inlineStr">
        <is>
          <t>B1</t>
        </is>
      </c>
      <c r="S163" s="30" t="inlineStr">
        <is>
          <t>20 of 20</t>
        </is>
      </c>
      <c r="T163" s="31" t="inlineStr">
        <is>
          <t>• Role / sub-team: Functional — ESG Implementation Consultant.
• Core purpose: The role primarily is to onboard clients on the tool by configuring all in-scope items on the platform, providing training to the client, project management for the implementation project, and go-live; it also involves taking client requirement and challenges and translating it …</t>
        </is>
      </c>
      <c r="U163" s="31" t="inlineStr">
        <is>
          <t>Received · manager annual · Refer to a separate sheet</t>
        </is>
      </c>
      <c r="V163" s="31" t="inlineStr">
        <is>
          <t>Latest rating: 3 · Potential: Medium · 9-box: Core Contributor · Readiness: Develop in role</t>
        </is>
      </c>
      <c r="W163" s="31" t="inlineStr">
        <is>
          <t>C M · Au M · Ac M · L L · BI M · Exp M · 4.2 yrs vs 4–7 yrs · Edu H · M.Sc</t>
        </is>
      </c>
      <c r="X163" s="33" t="inlineStr">
        <is>
          <t>Open ▸</t>
        </is>
      </c>
      <c r="Y163" s="34" t="str">
        <f>IFERROR(INDEX(DL_C,MATCH($CA163,DL_KEY,0)),"M")</f>
        <v>H</v>
      </c>
      <c r="Z163" s="35" t="str">
        <f>IFERROR(INDEX(DL_Au,MATCH($CA163,DL_KEY,0)),"M")</f>
        <v>M</v>
      </c>
      <c r="AA163" s="35" t="str">
        <f>IFERROR(INDEX(DL_Ac,MATCH($CA163,DL_KEY,0)),"M")</f>
        <v>M</v>
      </c>
      <c r="AB163" s="35" t="str">
        <f>IFERROR(INDEX(DL_L,MATCH($CA163,DL_KEY,0)),"M")</f>
        <v>L</v>
      </c>
      <c r="AC163" s="35" t="str">
        <f>IFERROR(INDEX(DL_BI,MATCH($CA163,DL_KEY,0)),"M")</f>
        <v>L</v>
      </c>
      <c r="AD163" s="35" t="str">
        <f>IFERROR(INDEX(DL_Exp,MATCH($CA163,DL_KEY,0)),"M")</f>
        <v>L</v>
      </c>
      <c r="AE163" s="35" t="str">
        <f>IFERROR(INDEX(DL_Edu,MATCH($CA163,DL_KEY,0)),"M")</f>
        <v>L</v>
      </c>
      <c r="AF163" s="34" t="inlineStr">
        <is>
          <t>M</t>
        </is>
      </c>
      <c r="AG163" s="35" t="inlineStr">
        <is>
          <t>M</t>
        </is>
      </c>
      <c r="AH163" s="35" t="inlineStr">
        <is>
          <t>M</t>
        </is>
      </c>
      <c r="AI163" s="35" t="inlineStr">
        <is>
          <t>M</t>
        </is>
      </c>
      <c r="AJ163" s="35" t="inlineStr">
        <is>
          <t>M</t>
        </is>
      </c>
      <c r="AK163" s="35" t="inlineStr">
        <is>
          <t>M</t>
        </is>
      </c>
      <c r="AL163" s="35" t="inlineStr">
        <is>
          <t>M</t>
        </is>
      </c>
      <c r="AM163" s="36" t="n">
        <v>0.513</v>
      </c>
      <c r="AN163" s="37" t="n">
        <v>0.173</v>
      </c>
      <c r="AO163" s="37" t="n">
        <v>0.09699999999999999</v>
      </c>
      <c r="AP163" s="37" t="n">
        <v>0.05</v>
      </c>
      <c r="AQ163" s="37" t="n">
        <v>0.07000000000000001</v>
      </c>
      <c r="AR163" s="37" t="n">
        <v>0.06</v>
      </c>
      <c r="AS163" s="37" t="n">
        <v>0.04</v>
      </c>
      <c r="AT163" s="38" t="inlineStr">
        <is>
          <t>4–8</t>
        </is>
      </c>
      <c r="AU163" s="38" t="inlineStr">
        <is>
          <t>Graduate + relevant qualification or certification preferred</t>
        </is>
      </c>
      <c r="AV163" s="38" t="inlineStr">
        <is>
          <t>IC: none · Team Lead: 3–5</t>
        </is>
      </c>
      <c r="AW163" s="38" t="inlineStr">
        <is>
          <t>P3 / M2 · SFIA 4 Enable</t>
        </is>
      </c>
      <c r="AX16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63" s="39" t="inlineStr">
        <is>
          <t>B1</t>
        </is>
      </c>
      <c r="AZ163" s="40" t="inlineStr">
        <is>
          <t>Band B · Specialist / Manager · Specialist</t>
        </is>
      </c>
      <c r="BA163" s="40" t="inlineStr">
        <is>
          <t>Model B1 from the six ratings, the market-derived weights and rules R1–R13 · then No change · already below the manager</t>
        </is>
      </c>
      <c r="BB163" s="41" t="inlineStr">
        <is>
          <t>B1</t>
        </is>
      </c>
      <c r="BC163" s="40" t="inlineStr">
        <is>
          <t>The six ratings on the market-average weights of Band B · Specialist / POD Lead score 3.94 → B1 · Hay, Mercer IPE and public plans · experience 4.2 yrs vs the B1 market range 4–8</t>
        </is>
      </c>
      <c r="BD163" s="42">
        <f>IF(SUM(BM163,BN163,BO163,BP163,BQ163,BR163,BS163)=0,0,(BM163*BT163+BN163*BU163+BO163*BV163+BP163*BW163+BQ163*BX163+BR163*BY163+BS163*BZ163)/SUM(BM163,BN163,BO163,BP163,BQ163,BR163,BS163))</f>
        <v>0</v>
      </c>
      <c r="BE163" s="41" t="str">
        <f>IF(LEFT(AY163,1)="X",AY163,IF(OR(AY163="B+",AY163="C+"),INDEX(LAD_PC,MAX(1,MIN(14,MATCH(AY163,LAD_PC,0)+IF(BD163&gt;=0.5,1,IF(BD163&lt;=-0.5,-1,0))))),INDEX(LAD_STD,MAX(1,MIN(12,MATCH(AY163,LAD_STD,0)+IF(BD163&gt;=0.5,1,IF(BD163&lt;=-0.5,-1,0)))))))</f>
        <v>B1</v>
      </c>
      <c r="BF163" s="43" t="n"/>
      <c r="BG163" s="41" t="str">
        <f>IF(BF163&lt;&gt;"",BF163,BE163)</f>
        <v>B1</v>
      </c>
      <c r="BH163" s="40" t="str">
        <f>IFERROR(CHOOSE(INDEX(B_RANK,MATCH(BG163,B_LVL,0)),"Band A","Band B","B+ · Player-Coach","Band C","C+ · Player-Coach","Band D","Band E"),"Band X · Consultant")</f>
        <v>Band B</v>
      </c>
      <c r="BI163" s="40" t="str">
        <f>IF(BG163=AY163,"• Same",IF(INDEX(B_VAL,MATCH(BG163,B_LVL,0))&gt;INDEX(B_VAL,MATCH(AY163,B_LVL,0)),"▲ Up","▼ Down"))</f>
        <v>• Same</v>
      </c>
      <c r="BJ163" s="40" t="str">
        <f>IF(OR($M163="",$M163="—",$M163="Not in this file"),"",IFERROR(INDEX($BG$7:$BG$592,MATCH($M163,$D$7:$D$592,0)),""))</f>
        <v>B2</v>
      </c>
      <c r="BK163" s="40" t="str">
        <f>IFERROR(IF(BJ163="","—",IF(OR(LEFT(BG163,1)="X",LEFT(BJ163,1)="X"),"—",IF(AND(LEFT(BG163,1)="E",LEFT(BJ163,1)="E"),"Exception · Band E",IF(AND(INDEX(B_VAL,MATCH(BJ163,B_LVL,0))&gt;=7,INDEX(B_RANK,MATCH(BG163,B_LVL,0))&gt;=INDEX(B_RANK,MATCH(BJ163,B_LVL,0))),"⚠ Same band as a head manager",IF(INDEX(B_VAL,MATCH(BG163,B_LVL,0))&gt;=INDEX(B_VAL,MATCH(BJ163,B_LVL,0)),"⚠ At or above the manager's level","OK"))))),"—")</f>
        <v>OK</v>
      </c>
      <c r="BL163" s="43" t="n"/>
      <c r="BM163" s="44">
        <f>IFERROR(INDEX(LMH_PTS,MATCH(Y163,LMH_KEY,0)),0)</f>
        <v>9</v>
      </c>
      <c r="BN163" s="38">
        <f>IFERROR(INDEX(LMH_PTS,MATCH(Z163,LMH_KEY,0)),0)</f>
        <v>3</v>
      </c>
      <c r="BO163" s="38">
        <f>IFERROR(INDEX(LMH_PTS,MATCH(AA163,LMH_KEY,0)),0)</f>
        <v>3</v>
      </c>
      <c r="BP163" s="38">
        <f>IFERROR(INDEX(LMH_PTS,MATCH(AB163,LMH_KEY,0)),0)</f>
        <v>1</v>
      </c>
      <c r="BQ163" s="38">
        <f>IFERROR(INDEX(LMH_PTS,MATCH(AC163,LMH_KEY,0)),0)</f>
        <v>1</v>
      </c>
      <c r="BR163" s="38">
        <f>IFERROR(INDEX(LMH_PTS,MATCH(AD163,LMH_KEY,0)),0)</f>
        <v>1</v>
      </c>
      <c r="BS163" s="38">
        <f>IFERROR(INDEX(LMH_PTS,MATCH(AE163,LMH_KEY,0)),0)</f>
        <v>1</v>
      </c>
      <c r="BT163" s="38">
        <f>IFERROR(INDEX(LMH_STEP,MATCH(AF163,LMH_KEY,0)),0)</f>
        <v>0</v>
      </c>
      <c r="BU163" s="38">
        <f>IFERROR(INDEX(LMH_STEP,MATCH(AG163,LMH_KEY,0)),0)</f>
        <v>0</v>
      </c>
      <c r="BV163" s="38">
        <f>IFERROR(INDEX(LMH_STEP,MATCH(AH163,LMH_KEY,0)),0)</f>
        <v>0</v>
      </c>
      <c r="BW163" s="38">
        <f>IFERROR(INDEX(LMH_STEP,MATCH(AI163,LMH_KEY,0)),0)</f>
        <v>0</v>
      </c>
      <c r="BX163" s="38">
        <f>IFERROR(INDEX(LMH_STEP,MATCH(AJ163,LMH_KEY,0)),0)</f>
        <v>0</v>
      </c>
      <c r="BY163" s="38">
        <f>IFERROR(INDEX(LMH_STEP,MATCH(AK163,LMH_KEY,0)),0)</f>
        <v>0</v>
      </c>
      <c r="BZ163" s="38">
        <f>IFERROR(INDEX(LMH_STEP,MATCH(AL163,LMH_KEY,0)),0)</f>
        <v>0</v>
      </c>
      <c r="CA163" s="38" t="inlineStr">
        <is>
          <t>CARBON|Functional|Functional Specialist|B1|B-IC</t>
        </is>
      </c>
    </row>
    <row r="164" ht="110" customHeight="1">
      <c r="A164" s="28" t="inlineStr">
        <is>
          <t>CARBON</t>
        </is>
      </c>
      <c r="B164" s="29" t="inlineStr">
        <is>
          <t>Functional</t>
        </is>
      </c>
      <c r="C164" s="29" t="n">
        <v>4</v>
      </c>
      <c r="D164" s="29" t="inlineStr">
        <is>
          <t>IRIS2233</t>
        </is>
      </c>
      <c r="E164" s="29" t="inlineStr">
        <is>
          <t>Biswajit Biswal</t>
        </is>
      </c>
      <c r="F164" s="29" t="inlineStr">
        <is>
          <t>ESG Executive</t>
        </is>
      </c>
      <c r="G164" s="29" t="inlineStr">
        <is>
          <t>Associate Product Manager – POD Lead</t>
        </is>
      </c>
      <c r="H164" s="29" t="inlineStr">
        <is>
          <t>Product Management</t>
        </is>
      </c>
      <c r="I164" s="29" t="inlineStr">
        <is>
          <t>Product Management</t>
        </is>
      </c>
      <c r="J164" s="29" t="inlineStr">
        <is>
          <t>POD Lead</t>
        </is>
      </c>
      <c r="K164" s="29" t="inlineStr">
        <is>
          <t>RC-125</t>
        </is>
      </c>
      <c r="L164" s="29" t="inlineStr">
        <is>
          <t>Farzad Wadia</t>
        </is>
      </c>
      <c r="M164" s="29" t="inlineStr">
        <is>
          <t>IRIS2353</t>
        </is>
      </c>
      <c r="N164" s="29" t="n">
        <v>6.2</v>
      </c>
      <c r="O164" s="29" t="n">
        <v>2.5</v>
      </c>
      <c r="P164" s="29" t="inlineStr">
        <is>
          <t>B.Tech</t>
        </is>
      </c>
      <c r="Q164" s="29" t="inlineStr">
        <is>
          <t>L3 – Professional / Associate</t>
        </is>
      </c>
      <c r="R164" s="29" t="inlineStr">
        <is>
          <t>B1</t>
        </is>
      </c>
      <c r="S164" s="30" t="inlineStr">
        <is>
          <t>20 of 20</t>
        </is>
      </c>
      <c r="T164" s="31" t="inlineStr">
        <is>
          <t>• Role / sub-team: Functional — ESG Executive.
• Core purpose: Input not given by Participant.
• Decision-making autonomy: Input not given by Participant.
• Is this something only they do: Input not given by Participant.</t>
        </is>
      </c>
      <c r="U164" s="31" t="inlineStr">
        <is>
          <t>Received · manager annual · Refer to a separate sheet</t>
        </is>
      </c>
      <c r="V164" s="31" t="inlineStr">
        <is>
          <t>Latest rating: 4 · Potential: High · 9-box: High Impact / Growth Talent · Readiness: Ready now</t>
        </is>
      </c>
      <c r="W164" s="31" t="inlineStr">
        <is>
          <t>C L · Au L · Ac M · L L · BI M · Exp M · 6.2 yrs vs 4–7 yrs · Edu M · B.Tech</t>
        </is>
      </c>
      <c r="X164" s="33" t="inlineStr">
        <is>
          <t>Open ▸</t>
        </is>
      </c>
      <c r="Y164" s="34" t="str">
        <f>IFERROR(INDEX(DL_C,MATCH($CA164,DL_KEY,0)),"M")</f>
        <v>H</v>
      </c>
      <c r="Z164" s="35" t="str">
        <f>IFERROR(INDEX(DL_Au,MATCH($CA164,DL_KEY,0)),"M")</f>
        <v>M</v>
      </c>
      <c r="AA164" s="35" t="str">
        <f>IFERROR(INDEX(DL_Ac,MATCH($CA164,DL_KEY,0)),"M")</f>
        <v>M</v>
      </c>
      <c r="AB164" s="35" t="str">
        <f>IFERROR(INDEX(DL_L,MATCH($CA164,DL_KEY,0)),"M")</f>
        <v>L</v>
      </c>
      <c r="AC164" s="35" t="str">
        <f>IFERROR(INDEX(DL_BI,MATCH($CA164,DL_KEY,0)),"M")</f>
        <v>L</v>
      </c>
      <c r="AD164" s="35" t="str">
        <f>IFERROR(INDEX(DL_Exp,MATCH($CA164,DL_KEY,0)),"M")</f>
        <v>L</v>
      </c>
      <c r="AE164" s="35" t="str">
        <f>IFERROR(INDEX(DL_Edu,MATCH($CA164,DL_KEY,0)),"M")</f>
        <v>L</v>
      </c>
      <c r="AF164" s="34" t="inlineStr">
        <is>
          <t>M</t>
        </is>
      </c>
      <c r="AG164" s="35" t="inlineStr">
        <is>
          <t>M</t>
        </is>
      </c>
      <c r="AH164" s="35" t="inlineStr">
        <is>
          <t>M</t>
        </is>
      </c>
      <c r="AI164" s="35" t="inlineStr">
        <is>
          <t>M</t>
        </is>
      </c>
      <c r="AJ164" s="35" t="inlineStr">
        <is>
          <t>M</t>
        </is>
      </c>
      <c r="AK164" s="35" t="inlineStr">
        <is>
          <t>M</t>
        </is>
      </c>
      <c r="AL164" s="35" t="inlineStr">
        <is>
          <t>M</t>
        </is>
      </c>
      <c r="AM164" s="36" t="n">
        <v>0.513</v>
      </c>
      <c r="AN164" s="37" t="n">
        <v>0.173</v>
      </c>
      <c r="AO164" s="37" t="n">
        <v>0.09699999999999999</v>
      </c>
      <c r="AP164" s="37" t="n">
        <v>0.05</v>
      </c>
      <c r="AQ164" s="37" t="n">
        <v>0.07000000000000001</v>
      </c>
      <c r="AR164" s="37" t="n">
        <v>0.06</v>
      </c>
      <c r="AS164" s="37" t="n">
        <v>0.04</v>
      </c>
      <c r="AT164" s="38" t="inlineStr">
        <is>
          <t>4–8</t>
        </is>
      </c>
      <c r="AU164" s="38" t="inlineStr">
        <is>
          <t>Graduate + relevant qualification or certification preferred</t>
        </is>
      </c>
      <c r="AV164" s="38" t="inlineStr">
        <is>
          <t>IC: none · Team Lead: 3–5</t>
        </is>
      </c>
      <c r="AW164" s="38" t="inlineStr">
        <is>
          <t>P3 / M2 · SFIA 4 Enable</t>
        </is>
      </c>
      <c r="AX16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64" s="39" t="inlineStr">
        <is>
          <t>B1</t>
        </is>
      </c>
      <c r="AZ164" s="40" t="inlineStr">
        <is>
          <t>Band B · Specialist / Manager · Team Lead / Asst Manager</t>
        </is>
      </c>
      <c r="BA164" s="40" t="inlineStr">
        <is>
          <t>Model B1 from the six ratings, the market-derived weights and rules R1–R13 · then No change · already below the manager</t>
        </is>
      </c>
      <c r="BB164" s="41" t="inlineStr">
        <is>
          <t>A3</t>
        </is>
      </c>
      <c r="BC164" s="40" t="inlineStr">
        <is>
          <t>The six ratings on the market-average weights of Band B · Specialist / POD Lead score 3.35 → A3 · Hay, Mercer IPE and public plans · experience 6.2 yrs vs the A3 market range 2–5</t>
        </is>
      </c>
      <c r="BD164" s="42">
        <f>IF(SUM(BM164,BN164,BO164,BP164,BQ164,BR164,BS164)=0,0,(BM164*BT164+BN164*BU164+BO164*BV164+BP164*BW164+BQ164*BX164+BR164*BY164+BS164*BZ164)/SUM(BM164,BN164,BO164,BP164,BQ164,BR164,BS164))</f>
        <v>0</v>
      </c>
      <c r="BE164" s="41" t="str">
        <f>IF(LEFT(AY164,1)="X",AY164,IF(OR(AY164="B+",AY164="C+"),INDEX(LAD_PC,MAX(1,MIN(14,MATCH(AY164,LAD_PC,0)+IF(BD164&gt;=0.5,1,IF(BD164&lt;=-0.5,-1,0))))),INDEX(LAD_STD,MAX(1,MIN(12,MATCH(AY164,LAD_STD,0)+IF(BD164&gt;=0.5,1,IF(BD164&lt;=-0.5,-1,0)))))))</f>
        <v>B1</v>
      </c>
      <c r="BF164" s="43" t="n"/>
      <c r="BG164" s="41" t="str">
        <f>IF(BF164&lt;&gt;"",BF164,BE164)</f>
        <v>B1</v>
      </c>
      <c r="BH164" s="40" t="str">
        <f>IFERROR(CHOOSE(INDEX(B_RANK,MATCH(BG164,B_LVL,0)),"Band A","Band B","B+ · Player-Coach","Band C","C+ · Player-Coach","Band D","Band E"),"Band X · Consultant")</f>
        <v>Band B</v>
      </c>
      <c r="BI164" s="40" t="str">
        <f>IF(BG164=AY164,"• Same",IF(INDEX(B_VAL,MATCH(BG164,B_LVL,0))&gt;INDEX(B_VAL,MATCH(AY164,B_LVL,0)),"▲ Up","▼ Down"))</f>
        <v>• Same</v>
      </c>
      <c r="BJ164" s="40" t="str">
        <f>IF(OR($M164="",$M164="—",$M164="Not in this file"),"",IFERROR(INDEX($BG$7:$BG$592,MATCH($M164,$D$7:$D$592,0)),""))</f>
        <v>B2</v>
      </c>
      <c r="BK164" s="40" t="str">
        <f>IFERROR(IF(BJ164="","—",IF(OR(LEFT(BG164,1)="X",LEFT(BJ164,1)="X"),"—",IF(AND(LEFT(BG164,1)="E",LEFT(BJ164,1)="E"),"Exception · Band E",IF(AND(INDEX(B_VAL,MATCH(BJ164,B_LVL,0))&gt;=7,INDEX(B_RANK,MATCH(BG164,B_LVL,0))&gt;=INDEX(B_RANK,MATCH(BJ164,B_LVL,0))),"⚠ Same band as a head manager",IF(INDEX(B_VAL,MATCH(BG164,B_LVL,0))&gt;=INDEX(B_VAL,MATCH(BJ164,B_LVL,0)),"⚠ At or above the manager's level","OK"))))),"—")</f>
        <v>OK</v>
      </c>
      <c r="BL164" s="43" t="n"/>
      <c r="BM164" s="44">
        <f>IFERROR(INDEX(LMH_PTS,MATCH(Y164,LMH_KEY,0)),0)</f>
        <v>9</v>
      </c>
      <c r="BN164" s="38">
        <f>IFERROR(INDEX(LMH_PTS,MATCH(Z164,LMH_KEY,0)),0)</f>
        <v>3</v>
      </c>
      <c r="BO164" s="38">
        <f>IFERROR(INDEX(LMH_PTS,MATCH(AA164,LMH_KEY,0)),0)</f>
        <v>3</v>
      </c>
      <c r="BP164" s="38">
        <f>IFERROR(INDEX(LMH_PTS,MATCH(AB164,LMH_KEY,0)),0)</f>
        <v>1</v>
      </c>
      <c r="BQ164" s="38">
        <f>IFERROR(INDEX(LMH_PTS,MATCH(AC164,LMH_KEY,0)),0)</f>
        <v>1</v>
      </c>
      <c r="BR164" s="38">
        <f>IFERROR(INDEX(LMH_PTS,MATCH(AD164,LMH_KEY,0)),0)</f>
        <v>1</v>
      </c>
      <c r="BS164" s="38">
        <f>IFERROR(INDEX(LMH_PTS,MATCH(AE164,LMH_KEY,0)),0)</f>
        <v>1</v>
      </c>
      <c r="BT164" s="38">
        <f>IFERROR(INDEX(LMH_STEP,MATCH(AF164,LMH_KEY,0)),0)</f>
        <v>0</v>
      </c>
      <c r="BU164" s="38">
        <f>IFERROR(INDEX(LMH_STEP,MATCH(AG164,LMH_KEY,0)),0)</f>
        <v>0</v>
      </c>
      <c r="BV164" s="38">
        <f>IFERROR(INDEX(LMH_STEP,MATCH(AH164,LMH_KEY,0)),0)</f>
        <v>0</v>
      </c>
      <c r="BW164" s="38">
        <f>IFERROR(INDEX(LMH_STEP,MATCH(AI164,LMH_KEY,0)),0)</f>
        <v>0</v>
      </c>
      <c r="BX164" s="38">
        <f>IFERROR(INDEX(LMH_STEP,MATCH(AJ164,LMH_KEY,0)),0)</f>
        <v>0</v>
      </c>
      <c r="BY164" s="38">
        <f>IFERROR(INDEX(LMH_STEP,MATCH(AK164,LMH_KEY,0)),0)</f>
        <v>0</v>
      </c>
      <c r="BZ164" s="38">
        <f>IFERROR(INDEX(LMH_STEP,MATCH(AL164,LMH_KEY,0)),0)</f>
        <v>0</v>
      </c>
      <c r="CA164" s="38" t="inlineStr">
        <is>
          <t>CARBON|Functional|Associate Product Manager – POD Lead|B1|B-IC</t>
        </is>
      </c>
    </row>
    <row r="165" ht="110" customHeight="1">
      <c r="A165" s="28" t="inlineStr">
        <is>
          <t>CARBON</t>
        </is>
      </c>
      <c r="B165" s="29" t="inlineStr">
        <is>
          <t>Functional</t>
        </is>
      </c>
      <c r="C165" s="29" t="n">
        <v>5</v>
      </c>
      <c r="D165" s="29" t="inlineStr">
        <is>
          <t>IRIS2493</t>
        </is>
      </c>
      <c r="E165" s="29" t="inlineStr">
        <is>
          <t>Watan Kumar Meena</t>
        </is>
      </c>
      <c r="F165" s="29" t="inlineStr">
        <is>
          <t>Product Associate</t>
        </is>
      </c>
      <c r="G165" s="29" t="inlineStr">
        <is>
          <t>Senior Product Associate</t>
        </is>
      </c>
      <c r="H165" s="29" t="inlineStr">
        <is>
          <t>Product Management</t>
        </is>
      </c>
      <c r="I165" s="29" t="inlineStr">
        <is>
          <t>Product Management</t>
        </is>
      </c>
      <c r="J165" s="29" t="inlineStr">
        <is>
          <t>IC</t>
        </is>
      </c>
      <c r="K165" s="29" t="inlineStr">
        <is>
          <t>RC-124</t>
        </is>
      </c>
      <c r="L165" s="29" t="inlineStr">
        <is>
          <t>Biswajit Biswal</t>
        </is>
      </c>
      <c r="M165" s="29" t="inlineStr">
        <is>
          <t>IRIS2233</t>
        </is>
      </c>
      <c r="N165" s="29" t="n">
        <v>4.9</v>
      </c>
      <c r="O165" s="29" t="n">
        <v>0.5</v>
      </c>
      <c r="P165" s="29" t="inlineStr">
        <is>
          <t>B.Tech</t>
        </is>
      </c>
      <c r="Q165" s="29" t="inlineStr">
        <is>
          <t>L3 – Professional / Associate</t>
        </is>
      </c>
      <c r="R165" s="29" t="inlineStr">
        <is>
          <t>A3</t>
        </is>
      </c>
      <c r="S165" s="30" t="inlineStr">
        <is>
          <t>19 of 20</t>
        </is>
      </c>
      <c r="T165" s="31" t="inlineStr">
        <is>
          <t>• Role / sub-team: Functional — Product Associate.
• Core purpose: Understand client need or requirement and helping development team to build those.
• Decision-making autonomy: Can independently stakeholders engagement.
• Is this something only they do: Only me.
• What's different about this role: Customer are esg centric, process is industry specific not …</t>
        </is>
      </c>
      <c r="U165" s="31" t="inlineStr">
        <is>
          <t>Received · manager annual · `</t>
        </is>
      </c>
      <c r="V165" s="31" t="inlineStr">
        <is>
          <t>Latest rating: 3 · Potential: Medium · 9-box: Emerging Talent · Readiness: Develop in role</t>
        </is>
      </c>
      <c r="W165" s="31" t="inlineStr">
        <is>
          <t>C M · Au L · Ac M · L L · BI M · Exp H · 4.9 yrs vs 2–4 yrs · Edu M · B.Tech</t>
        </is>
      </c>
      <c r="X165" s="33" t="inlineStr">
        <is>
          <t>Open ▸</t>
        </is>
      </c>
      <c r="Y165" s="34" t="str">
        <f>IFERROR(INDEX(DL_C,MATCH($CA165,DL_KEY,0)),"M")</f>
        <v>H</v>
      </c>
      <c r="Z165" s="35" t="str">
        <f>IFERROR(INDEX(DL_Au,MATCH($CA165,DL_KEY,0)),"M")</f>
        <v>M</v>
      </c>
      <c r="AA165" s="35" t="str">
        <f>IFERROR(INDEX(DL_Ac,MATCH($CA165,DL_KEY,0)),"M")</f>
        <v>M</v>
      </c>
      <c r="AB165" s="35" t="str">
        <f>IFERROR(INDEX(DL_L,MATCH($CA165,DL_KEY,0)),"M")</f>
        <v>L</v>
      </c>
      <c r="AC165" s="35" t="str">
        <f>IFERROR(INDEX(DL_BI,MATCH($CA165,DL_KEY,0)),"M")</f>
        <v>L</v>
      </c>
      <c r="AD165" s="35" t="str">
        <f>IFERROR(INDEX(DL_Exp,MATCH($CA165,DL_KEY,0)),"M")</f>
        <v>L</v>
      </c>
      <c r="AE165" s="35" t="str">
        <f>IFERROR(INDEX(DL_Edu,MATCH($CA165,DL_KEY,0)),"M")</f>
        <v>L</v>
      </c>
      <c r="AF165" s="34" t="inlineStr">
        <is>
          <t>M</t>
        </is>
      </c>
      <c r="AG165" s="35" t="inlineStr">
        <is>
          <t>M</t>
        </is>
      </c>
      <c r="AH165" s="35" t="inlineStr">
        <is>
          <t>M</t>
        </is>
      </c>
      <c r="AI165" s="35" t="inlineStr">
        <is>
          <t>M</t>
        </is>
      </c>
      <c r="AJ165" s="35" t="inlineStr">
        <is>
          <t>M</t>
        </is>
      </c>
      <c r="AK165" s="35" t="inlineStr">
        <is>
          <t>M</t>
        </is>
      </c>
      <c r="AL165" s="35" t="inlineStr">
        <is>
          <t>M</t>
        </is>
      </c>
      <c r="AM165" s="36" t="n">
        <v>0.583</v>
      </c>
      <c r="AN165" s="37" t="n">
        <v>0.16</v>
      </c>
      <c r="AO165" s="37" t="n">
        <v>0.09</v>
      </c>
      <c r="AP165" s="37" t="n">
        <v>0</v>
      </c>
      <c r="AQ165" s="37" t="n">
        <v>0.063</v>
      </c>
      <c r="AR165" s="37" t="n">
        <v>0.06</v>
      </c>
      <c r="AS165" s="37" t="n">
        <v>0.04</v>
      </c>
      <c r="AT165" s="38" t="inlineStr">
        <is>
          <t>2–5</t>
        </is>
      </c>
      <c r="AU165" s="38" t="inlineStr">
        <is>
          <t>Graduate; relevant certification preferred</t>
        </is>
      </c>
      <c r="AV165" s="38" t="inlineStr">
        <is>
          <t>None · guides 1–3 juniors informally</t>
        </is>
      </c>
      <c r="AW165" s="38" t="inlineStr">
        <is>
          <t>P2 · SFIA 3 Apply</t>
        </is>
      </c>
      <c r="AX16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65" s="39" t="inlineStr">
        <is>
          <t>A3</t>
        </is>
      </c>
      <c r="AZ165" s="40" t="inlineStr">
        <is>
          <t>Band A · Practitioner · Senior Associate</t>
        </is>
      </c>
      <c r="BA165" s="40" t="inlineStr">
        <is>
          <t>Model A3 from the six ratings, the market-derived weights and rules R1–R13 · then No change · already below the manager</t>
        </is>
      </c>
      <c r="BB165" s="41" t="inlineStr">
        <is>
          <t>A3</t>
        </is>
      </c>
      <c r="BC165" s="40" t="inlineStr">
        <is>
          <t>The six ratings on the market-average weights of Band A · all tracks score 2.60 → A3 · Hay, Mercer IPE and public plans · experience 4.9 yrs vs the A3 market range 2–5</t>
        </is>
      </c>
      <c r="BD165" s="42">
        <f>IF(SUM(BM165,BN165,BO165,BP165,BQ165,BR165,BS165)=0,0,(BM165*BT165+BN165*BU165+BO165*BV165+BP165*BW165+BQ165*BX165+BR165*BY165+BS165*BZ165)/SUM(BM165,BN165,BO165,BP165,BQ165,BR165,BS165))</f>
        <v>0</v>
      </c>
      <c r="BE165" s="41" t="str">
        <f>IF(LEFT(AY165,1)="X",AY165,IF(OR(AY165="B+",AY165="C+"),INDEX(LAD_PC,MAX(1,MIN(14,MATCH(AY165,LAD_PC,0)+IF(BD165&gt;=0.5,1,IF(BD165&lt;=-0.5,-1,0))))),INDEX(LAD_STD,MAX(1,MIN(12,MATCH(AY165,LAD_STD,0)+IF(BD165&gt;=0.5,1,IF(BD165&lt;=-0.5,-1,0)))))))</f>
        <v>A3</v>
      </c>
      <c r="BF165" s="43" t="n"/>
      <c r="BG165" s="41" t="str">
        <f>IF(BF165&lt;&gt;"",BF165,BE165)</f>
        <v>A3</v>
      </c>
      <c r="BH165" s="40" t="str">
        <f>IFERROR(CHOOSE(INDEX(B_RANK,MATCH(BG165,B_LVL,0)),"Band A","Band B","B+ · Player-Coach","Band C","C+ · Player-Coach","Band D","Band E"),"Band X · Consultant")</f>
        <v>Band A</v>
      </c>
      <c r="BI165" s="40" t="str">
        <f>IF(BG165=AY165,"• Same",IF(INDEX(B_VAL,MATCH(BG165,B_LVL,0))&gt;INDEX(B_VAL,MATCH(AY165,B_LVL,0)),"▲ Up","▼ Down"))</f>
        <v>• Same</v>
      </c>
      <c r="BJ165" s="40" t="str">
        <f>IF(OR($M165="",$M165="—",$M165="Not in this file"),"",IFERROR(INDEX($BG$7:$BG$592,MATCH($M165,$D$7:$D$592,0)),""))</f>
        <v>B1</v>
      </c>
      <c r="BK165" s="40" t="str">
        <f>IFERROR(IF(BJ165="","—",IF(OR(LEFT(BG165,1)="X",LEFT(BJ165,1)="X"),"—",IF(AND(LEFT(BG165,1)="E",LEFT(BJ165,1)="E"),"Exception · Band E",IF(AND(INDEX(B_VAL,MATCH(BJ165,B_LVL,0))&gt;=7,INDEX(B_RANK,MATCH(BG165,B_LVL,0))&gt;=INDEX(B_RANK,MATCH(BJ165,B_LVL,0))),"⚠ Same band as a head manager",IF(INDEX(B_VAL,MATCH(BG165,B_LVL,0))&gt;=INDEX(B_VAL,MATCH(BJ165,B_LVL,0)),"⚠ At or above the manager's level","OK"))))),"—")</f>
        <v>OK</v>
      </c>
      <c r="BL165" s="43" t="n"/>
      <c r="BM165" s="44">
        <f>IFERROR(INDEX(LMH_PTS,MATCH(Y165,LMH_KEY,0)),0)</f>
        <v>9</v>
      </c>
      <c r="BN165" s="38">
        <f>IFERROR(INDEX(LMH_PTS,MATCH(Z165,LMH_KEY,0)),0)</f>
        <v>3</v>
      </c>
      <c r="BO165" s="38">
        <f>IFERROR(INDEX(LMH_PTS,MATCH(AA165,LMH_KEY,0)),0)</f>
        <v>3</v>
      </c>
      <c r="BP165" s="38">
        <f>IFERROR(INDEX(LMH_PTS,MATCH(AB165,LMH_KEY,0)),0)</f>
        <v>1</v>
      </c>
      <c r="BQ165" s="38">
        <f>IFERROR(INDEX(LMH_PTS,MATCH(AC165,LMH_KEY,0)),0)</f>
        <v>1</v>
      </c>
      <c r="BR165" s="38">
        <f>IFERROR(INDEX(LMH_PTS,MATCH(AD165,LMH_KEY,0)),0)</f>
        <v>1</v>
      </c>
      <c r="BS165" s="38">
        <f>IFERROR(INDEX(LMH_PTS,MATCH(AE165,LMH_KEY,0)),0)</f>
        <v>1</v>
      </c>
      <c r="BT165" s="38">
        <f>IFERROR(INDEX(LMH_STEP,MATCH(AF165,LMH_KEY,0)),0)</f>
        <v>0</v>
      </c>
      <c r="BU165" s="38">
        <f>IFERROR(INDEX(LMH_STEP,MATCH(AG165,LMH_KEY,0)),0)</f>
        <v>0</v>
      </c>
      <c r="BV165" s="38">
        <f>IFERROR(INDEX(LMH_STEP,MATCH(AH165,LMH_KEY,0)),0)</f>
        <v>0</v>
      </c>
      <c r="BW165" s="38">
        <f>IFERROR(INDEX(LMH_STEP,MATCH(AI165,LMH_KEY,0)),0)</f>
        <v>0</v>
      </c>
      <c r="BX165" s="38">
        <f>IFERROR(INDEX(LMH_STEP,MATCH(AJ165,LMH_KEY,0)),0)</f>
        <v>0</v>
      </c>
      <c r="BY165" s="38">
        <f>IFERROR(INDEX(LMH_STEP,MATCH(AK165,LMH_KEY,0)),0)</f>
        <v>0</v>
      </c>
      <c r="BZ165" s="38">
        <f>IFERROR(INDEX(LMH_STEP,MATCH(AL165,LMH_KEY,0)),0)</f>
        <v>0</v>
      </c>
      <c r="CA165" s="38" t="inlineStr">
        <is>
          <t>CARBON|Functional|Senior Product Associate|A3|A</t>
        </is>
      </c>
    </row>
    <row r="166" ht="110" customHeight="1">
      <c r="A166" s="28" t="inlineStr">
        <is>
          <t>CARBON</t>
        </is>
      </c>
      <c r="B166" s="29" t="inlineStr">
        <is>
          <t>Functional</t>
        </is>
      </c>
      <c r="C166" s="29" t="n">
        <v>4</v>
      </c>
      <c r="D166" s="29" t="inlineStr">
        <is>
          <t>IRIS2519</t>
        </is>
      </c>
      <c r="E166" s="29" t="inlineStr">
        <is>
          <t>Karthik Menon</t>
        </is>
      </c>
      <c r="F166" s="29" t="inlineStr">
        <is>
          <t>ESG Functional Consultant</t>
        </is>
      </c>
      <c r="G166" s="29" t="inlineStr">
        <is>
          <t>Functional Specialist</t>
        </is>
      </c>
      <c r="H166" s="29" t="inlineStr">
        <is>
          <t>Customer Success &amp; Support</t>
        </is>
      </c>
      <c r="I166" s="29" t="inlineStr">
        <is>
          <t>Application &amp; Product Support</t>
        </is>
      </c>
      <c r="J166" s="29" t="inlineStr">
        <is>
          <t>IC</t>
        </is>
      </c>
      <c r="K166" s="29" t="inlineStr">
        <is>
          <t>RC-032</t>
        </is>
      </c>
      <c r="L166" s="29" t="inlineStr">
        <is>
          <t>Farzad Wadia</t>
        </is>
      </c>
      <c r="M166" s="29" t="inlineStr">
        <is>
          <t>IRIS2353</t>
        </is>
      </c>
      <c r="N166" s="29" t="n">
        <v>6.2</v>
      </c>
      <c r="O166" s="29" t="n">
        <v>0.4</v>
      </c>
      <c r="P166" s="29" t="inlineStr">
        <is>
          <t>MBA</t>
        </is>
      </c>
      <c r="Q166" s="29" t="inlineStr">
        <is>
          <t>L3 – Professional / Associate</t>
        </is>
      </c>
      <c r="R166" s="29" t="inlineStr">
        <is>
          <t>B1</t>
        </is>
      </c>
      <c r="S166" s="30" t="inlineStr">
        <is>
          <t>19 of 20</t>
        </is>
      </c>
      <c r="T166" s="31" t="inlineStr">
        <is>
          <t>• Role / sub-team: Functional — ESG Functional Consultant.
• Core purpose: 1. To enable sales and partnerships - develop sales material, build pipeline, identify new opportunities, build relationships with clients/prospects 
2. Understand market/products in the ESG SaaS space; Eventually be the number 2 in the team after the manager.
• Decision-making …</t>
        </is>
      </c>
      <c r="U166" s="31" t="inlineStr">
        <is>
          <t>Received · manager annual · Refer to a separate sheet</t>
        </is>
      </c>
      <c r="V166" s="31" t="inlineStr">
        <is>
          <t>Latest rating: 4 · Potential: High · 9-box: High Impact / Growth Talent · Readiness: Ready now</t>
        </is>
      </c>
      <c r="W166" s="31" t="inlineStr">
        <is>
          <t>C M · Au L · Ac M · L L · BI M · Exp M · 6.2 yrs vs 4–7 yrs · Edu H · MBA</t>
        </is>
      </c>
      <c r="X166" s="33" t="inlineStr">
        <is>
          <t>Open ▸</t>
        </is>
      </c>
      <c r="Y166" s="34" t="str">
        <f>IFERROR(INDEX(DL_C,MATCH($CA166,DL_KEY,0)),"M")</f>
        <v>H</v>
      </c>
      <c r="Z166" s="35" t="str">
        <f>IFERROR(INDEX(DL_Au,MATCH($CA166,DL_KEY,0)),"M")</f>
        <v>M</v>
      </c>
      <c r="AA166" s="35" t="str">
        <f>IFERROR(INDEX(DL_Ac,MATCH($CA166,DL_KEY,0)),"M")</f>
        <v>M</v>
      </c>
      <c r="AB166" s="35" t="str">
        <f>IFERROR(INDEX(DL_L,MATCH($CA166,DL_KEY,0)),"M")</f>
        <v>L</v>
      </c>
      <c r="AC166" s="35" t="str">
        <f>IFERROR(INDEX(DL_BI,MATCH($CA166,DL_KEY,0)),"M")</f>
        <v>L</v>
      </c>
      <c r="AD166" s="35" t="str">
        <f>IFERROR(INDEX(DL_Exp,MATCH($CA166,DL_KEY,0)),"M")</f>
        <v>L</v>
      </c>
      <c r="AE166" s="35" t="str">
        <f>IFERROR(INDEX(DL_Edu,MATCH($CA166,DL_KEY,0)),"M")</f>
        <v>L</v>
      </c>
      <c r="AF166" s="34" t="inlineStr">
        <is>
          <t>M</t>
        </is>
      </c>
      <c r="AG166" s="35" t="inlineStr">
        <is>
          <t>M</t>
        </is>
      </c>
      <c r="AH166" s="35" t="inlineStr">
        <is>
          <t>M</t>
        </is>
      </c>
      <c r="AI166" s="35" t="inlineStr">
        <is>
          <t>M</t>
        </is>
      </c>
      <c r="AJ166" s="35" t="inlineStr">
        <is>
          <t>M</t>
        </is>
      </c>
      <c r="AK166" s="35" t="inlineStr">
        <is>
          <t>M</t>
        </is>
      </c>
      <c r="AL166" s="35" t="inlineStr">
        <is>
          <t>M</t>
        </is>
      </c>
      <c r="AM166" s="36" t="n">
        <v>0.513</v>
      </c>
      <c r="AN166" s="37" t="n">
        <v>0.173</v>
      </c>
      <c r="AO166" s="37" t="n">
        <v>0.09699999999999999</v>
      </c>
      <c r="AP166" s="37" t="n">
        <v>0.05</v>
      </c>
      <c r="AQ166" s="37" t="n">
        <v>0.07000000000000001</v>
      </c>
      <c r="AR166" s="37" t="n">
        <v>0.06</v>
      </c>
      <c r="AS166" s="37" t="n">
        <v>0.04</v>
      </c>
      <c r="AT166" s="38" t="inlineStr">
        <is>
          <t>4–8</t>
        </is>
      </c>
      <c r="AU166" s="38" t="inlineStr">
        <is>
          <t>Graduate + relevant qualification or certification preferred</t>
        </is>
      </c>
      <c r="AV166" s="38" t="inlineStr">
        <is>
          <t>IC: none · Team Lead: 3–5</t>
        </is>
      </c>
      <c r="AW166" s="38" t="inlineStr">
        <is>
          <t>P3 / M2 · SFIA 4 Enable</t>
        </is>
      </c>
      <c r="AX16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66" s="39" t="inlineStr">
        <is>
          <t>B1</t>
        </is>
      </c>
      <c r="AZ166" s="40" t="inlineStr">
        <is>
          <t>Band B · Specialist / Manager · Specialist</t>
        </is>
      </c>
      <c r="BA166" s="40" t="inlineStr">
        <is>
          <t>Model B1 from the six ratings, the market-derived weights and rules R1–R13 · then No change · already below the manager</t>
        </is>
      </c>
      <c r="BB166" s="41" t="inlineStr">
        <is>
          <t>B1</t>
        </is>
      </c>
      <c r="BC166" s="40" t="inlineStr">
        <is>
          <t>The six ratings on the market-average weights of Band B · Specialist / POD Lead score 3.52 → B1 · Hay, Mercer IPE and public plans · experience 6.2 yrs vs the B1 market range 4–8</t>
        </is>
      </c>
      <c r="BD166" s="42">
        <f>IF(SUM(BM166,BN166,BO166,BP166,BQ166,BR166,BS166)=0,0,(BM166*BT166+BN166*BU166+BO166*BV166+BP166*BW166+BQ166*BX166+BR166*BY166+BS166*BZ166)/SUM(BM166,BN166,BO166,BP166,BQ166,BR166,BS166))</f>
        <v>0</v>
      </c>
      <c r="BE166" s="41" t="str">
        <f>IF(LEFT(AY166,1)="X",AY166,IF(OR(AY166="B+",AY166="C+"),INDEX(LAD_PC,MAX(1,MIN(14,MATCH(AY166,LAD_PC,0)+IF(BD166&gt;=0.5,1,IF(BD166&lt;=-0.5,-1,0))))),INDEX(LAD_STD,MAX(1,MIN(12,MATCH(AY166,LAD_STD,0)+IF(BD166&gt;=0.5,1,IF(BD166&lt;=-0.5,-1,0)))))))</f>
        <v>B1</v>
      </c>
      <c r="BF166" s="43" t="n"/>
      <c r="BG166" s="41" t="str">
        <f>IF(BF166&lt;&gt;"",BF166,BE166)</f>
        <v>B1</v>
      </c>
      <c r="BH166" s="40" t="str">
        <f>IFERROR(CHOOSE(INDEX(B_RANK,MATCH(BG166,B_LVL,0)),"Band A","Band B","B+ · Player-Coach","Band C","C+ · Player-Coach","Band D","Band E"),"Band X · Consultant")</f>
        <v>Band B</v>
      </c>
      <c r="BI166" s="40" t="str">
        <f>IF(BG166=AY166,"• Same",IF(INDEX(B_VAL,MATCH(BG166,B_LVL,0))&gt;INDEX(B_VAL,MATCH(AY166,B_LVL,0)),"▲ Up","▼ Down"))</f>
        <v>• Same</v>
      </c>
      <c r="BJ166" s="40" t="str">
        <f>IF(OR($M166="",$M166="—",$M166="Not in this file"),"",IFERROR(INDEX($BG$7:$BG$592,MATCH($M166,$D$7:$D$592,0)),""))</f>
        <v>B2</v>
      </c>
      <c r="BK166" s="40" t="str">
        <f>IFERROR(IF(BJ166="","—",IF(OR(LEFT(BG166,1)="X",LEFT(BJ166,1)="X"),"—",IF(AND(LEFT(BG166,1)="E",LEFT(BJ166,1)="E"),"Exception · Band E",IF(AND(INDEX(B_VAL,MATCH(BJ166,B_LVL,0))&gt;=7,INDEX(B_RANK,MATCH(BG166,B_LVL,0))&gt;=INDEX(B_RANK,MATCH(BJ166,B_LVL,0))),"⚠ Same band as a head manager",IF(INDEX(B_VAL,MATCH(BG166,B_LVL,0))&gt;=INDEX(B_VAL,MATCH(BJ166,B_LVL,0)),"⚠ At or above the manager's level","OK"))))),"—")</f>
        <v>OK</v>
      </c>
      <c r="BL166" s="43" t="n"/>
      <c r="BM166" s="44">
        <f>IFERROR(INDEX(LMH_PTS,MATCH(Y166,LMH_KEY,0)),0)</f>
        <v>9</v>
      </c>
      <c r="BN166" s="38">
        <f>IFERROR(INDEX(LMH_PTS,MATCH(Z166,LMH_KEY,0)),0)</f>
        <v>3</v>
      </c>
      <c r="BO166" s="38">
        <f>IFERROR(INDEX(LMH_PTS,MATCH(AA166,LMH_KEY,0)),0)</f>
        <v>3</v>
      </c>
      <c r="BP166" s="38">
        <f>IFERROR(INDEX(LMH_PTS,MATCH(AB166,LMH_KEY,0)),0)</f>
        <v>1</v>
      </c>
      <c r="BQ166" s="38">
        <f>IFERROR(INDEX(LMH_PTS,MATCH(AC166,LMH_KEY,0)),0)</f>
        <v>1</v>
      </c>
      <c r="BR166" s="38">
        <f>IFERROR(INDEX(LMH_PTS,MATCH(AD166,LMH_KEY,0)),0)</f>
        <v>1</v>
      </c>
      <c r="BS166" s="38">
        <f>IFERROR(INDEX(LMH_PTS,MATCH(AE166,LMH_KEY,0)),0)</f>
        <v>1</v>
      </c>
      <c r="BT166" s="38">
        <f>IFERROR(INDEX(LMH_STEP,MATCH(AF166,LMH_KEY,0)),0)</f>
        <v>0</v>
      </c>
      <c r="BU166" s="38">
        <f>IFERROR(INDEX(LMH_STEP,MATCH(AG166,LMH_KEY,0)),0)</f>
        <v>0</v>
      </c>
      <c r="BV166" s="38">
        <f>IFERROR(INDEX(LMH_STEP,MATCH(AH166,LMH_KEY,0)),0)</f>
        <v>0</v>
      </c>
      <c r="BW166" s="38">
        <f>IFERROR(INDEX(LMH_STEP,MATCH(AI166,LMH_KEY,0)),0)</f>
        <v>0</v>
      </c>
      <c r="BX166" s="38">
        <f>IFERROR(INDEX(LMH_STEP,MATCH(AJ166,LMH_KEY,0)),0)</f>
        <v>0</v>
      </c>
      <c r="BY166" s="38">
        <f>IFERROR(INDEX(LMH_STEP,MATCH(AK166,LMH_KEY,0)),0)</f>
        <v>0</v>
      </c>
      <c r="BZ166" s="38">
        <f>IFERROR(INDEX(LMH_STEP,MATCH(AL166,LMH_KEY,0)),0)</f>
        <v>0</v>
      </c>
      <c r="CA166" s="38" t="inlineStr">
        <is>
          <t>CARBON|Functional|Functional Specialist|B1|B-IC</t>
        </is>
      </c>
    </row>
    <row r="167" ht="110" customHeight="1">
      <c r="A167" s="28" t="inlineStr">
        <is>
          <t>CARBON</t>
        </is>
      </c>
      <c r="B167" s="29" t="inlineStr">
        <is>
          <t>Technology</t>
        </is>
      </c>
      <c r="C167" s="29" t="n">
        <v>4</v>
      </c>
      <c r="D167" s="29" t="inlineStr">
        <is>
          <t>IRIS2491</t>
        </is>
      </c>
      <c r="E167" s="29" t="inlineStr">
        <is>
          <t>Ritik Wadje</t>
        </is>
      </c>
      <c r="F167" s="29" t="inlineStr">
        <is>
          <t>Product Designer</t>
        </is>
      </c>
      <c r="G167" s="29" t="inlineStr">
        <is>
          <t>Senior Product Designer</t>
        </is>
      </c>
      <c r="H167" s="29" t="inlineStr">
        <is>
          <t>Design &amp; Creative</t>
        </is>
      </c>
      <c r="I167" s="29" t="inlineStr">
        <is>
          <t>UX / UI Design</t>
        </is>
      </c>
      <c r="J167" s="29" t="inlineStr">
        <is>
          <t>IC</t>
        </is>
      </c>
      <c r="K167" s="29" t="inlineStr">
        <is>
          <t>RC-054</t>
        </is>
      </c>
      <c r="L167" s="29" t="inlineStr">
        <is>
          <t>Farzad Wadia</t>
        </is>
      </c>
      <c r="M167" s="29" t="inlineStr">
        <is>
          <t>IRIS2353</t>
        </is>
      </c>
      <c r="N167" s="29" t="n">
        <v>3.9</v>
      </c>
      <c r="O167" s="29" t="n">
        <v>0.5</v>
      </c>
      <c r="P167" s="29" t="inlineStr">
        <is>
          <t>B.E</t>
        </is>
      </c>
      <c r="Q167" s="29" t="inlineStr">
        <is>
          <t>L3 – Professional / Associate</t>
        </is>
      </c>
      <c r="R167" s="29" t="inlineStr">
        <is>
          <t>A3</t>
        </is>
      </c>
      <c r="S167" s="30" t="inlineStr">
        <is>
          <t>20 of 20</t>
        </is>
      </c>
      <c r="T167" s="31" t="inlineStr">
        <is>
          <t>• Role / sub-team: Functional — Product Designer.
• Core purpose: I solve user's pain points by designing/creating new Product Experiences that helps the business grow and reduce time to complete a task on the Products.
• Decision-making autonomy: Can independently design Sprints Planning; Design Research; Competitor Analysis; Ai optimisation.
• Is this …</t>
        </is>
      </c>
      <c r="U167" s="31" t="inlineStr">
        <is>
          <t>Received · manager annual · Refer to a separate sheet</t>
        </is>
      </c>
      <c r="V167" s="31" t="inlineStr">
        <is>
          <t>Latest rating: 4 · Potential: High · 9-box: High Impact / Growth Talent · Readiness: Ready now</t>
        </is>
      </c>
      <c r="W167" s="31" t="inlineStr">
        <is>
          <t>C M · Au M · Ac M · L L · BI M · Exp M · 3.9 yrs vs 2–4 yrs · Edu M · B.E</t>
        </is>
      </c>
      <c r="X167" s="33" t="inlineStr">
        <is>
          <t>Open ▸</t>
        </is>
      </c>
      <c r="Y167" s="34" t="str">
        <f>IFERROR(INDEX(DL_C,MATCH($CA167,DL_KEY,0)),"M")</f>
        <v>H</v>
      </c>
      <c r="Z167" s="35" t="str">
        <f>IFERROR(INDEX(DL_Au,MATCH($CA167,DL_KEY,0)),"M")</f>
        <v>M</v>
      </c>
      <c r="AA167" s="35" t="str">
        <f>IFERROR(INDEX(DL_Ac,MATCH($CA167,DL_KEY,0)),"M")</f>
        <v>L</v>
      </c>
      <c r="AB167" s="35" t="str">
        <f>IFERROR(INDEX(DL_L,MATCH($CA167,DL_KEY,0)),"M")</f>
        <v>L</v>
      </c>
      <c r="AC167" s="35" t="str">
        <f>IFERROR(INDEX(DL_BI,MATCH($CA167,DL_KEY,0)),"M")</f>
        <v>M</v>
      </c>
      <c r="AD167" s="35" t="str">
        <f>IFERROR(INDEX(DL_Exp,MATCH($CA167,DL_KEY,0)),"M")</f>
        <v>L</v>
      </c>
      <c r="AE167" s="35" t="str">
        <f>IFERROR(INDEX(DL_Edu,MATCH($CA167,DL_KEY,0)),"M")</f>
        <v>L</v>
      </c>
      <c r="AF167" s="34" t="inlineStr">
        <is>
          <t>M</t>
        </is>
      </c>
      <c r="AG167" s="35" t="inlineStr">
        <is>
          <t>M</t>
        </is>
      </c>
      <c r="AH167" s="35" t="inlineStr">
        <is>
          <t>M</t>
        </is>
      </c>
      <c r="AI167" s="35" t="inlineStr">
        <is>
          <t>M</t>
        </is>
      </c>
      <c r="AJ167" s="35" t="inlineStr">
        <is>
          <t>M</t>
        </is>
      </c>
      <c r="AK167" s="35" t="inlineStr">
        <is>
          <t>M</t>
        </is>
      </c>
      <c r="AL167" s="35" t="inlineStr">
        <is>
          <t>M</t>
        </is>
      </c>
      <c r="AM167" s="36" t="n">
        <v>0.583</v>
      </c>
      <c r="AN167" s="37" t="n">
        <v>0.16</v>
      </c>
      <c r="AO167" s="37" t="n">
        <v>0.09</v>
      </c>
      <c r="AP167" s="37" t="n">
        <v>0</v>
      </c>
      <c r="AQ167" s="37" t="n">
        <v>0.063</v>
      </c>
      <c r="AR167" s="37" t="n">
        <v>0.06</v>
      </c>
      <c r="AS167" s="37" t="n">
        <v>0.04</v>
      </c>
      <c r="AT167" s="38" t="inlineStr">
        <is>
          <t>2–5</t>
        </is>
      </c>
      <c r="AU167" s="38" t="inlineStr">
        <is>
          <t>Graduate; relevant certification preferred</t>
        </is>
      </c>
      <c r="AV167" s="38" t="inlineStr">
        <is>
          <t>None · guides 1–3 juniors informally</t>
        </is>
      </c>
      <c r="AW167" s="38" t="inlineStr">
        <is>
          <t>P2 · SFIA 3 Apply</t>
        </is>
      </c>
      <c r="AX16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67" s="39" t="inlineStr">
        <is>
          <t>A3</t>
        </is>
      </c>
      <c r="AZ167" s="40" t="inlineStr">
        <is>
          <t>Band A · Practitioner · Senior Associate</t>
        </is>
      </c>
      <c r="BA167" s="40" t="inlineStr">
        <is>
          <t>Model A3 from the six ratings, the market-derived weights and rules R1–R13 · then No change · already below the manager</t>
        </is>
      </c>
      <c r="BB167" s="41" t="inlineStr">
        <is>
          <t>A3</t>
        </is>
      </c>
      <c r="BC167" s="40" t="inlineStr">
        <is>
          <t>The six ratings on the market-average weights of Band A · all tracks score 3.37 → A3 · Hay, Mercer IPE and public plans · experience 3.9 yrs vs the A3 market range 2–5</t>
        </is>
      </c>
      <c r="BD167" s="42">
        <f>IF(SUM(BM167,BN167,BO167,BP167,BQ167,BR167,BS167)=0,0,(BM167*BT167+BN167*BU167+BO167*BV167+BP167*BW167+BQ167*BX167+BR167*BY167+BS167*BZ167)/SUM(BM167,BN167,BO167,BP167,BQ167,BR167,BS167))</f>
        <v>0</v>
      </c>
      <c r="BE167" s="41" t="str">
        <f>IF(LEFT(AY167,1)="X",AY167,IF(OR(AY167="B+",AY167="C+"),INDEX(LAD_PC,MAX(1,MIN(14,MATCH(AY167,LAD_PC,0)+IF(BD167&gt;=0.5,1,IF(BD167&lt;=-0.5,-1,0))))),INDEX(LAD_STD,MAX(1,MIN(12,MATCH(AY167,LAD_STD,0)+IF(BD167&gt;=0.5,1,IF(BD167&lt;=-0.5,-1,0)))))))</f>
        <v>A3</v>
      </c>
      <c r="BF167" s="43" t="n"/>
      <c r="BG167" s="41" t="str">
        <f>IF(BF167&lt;&gt;"",BF167,BE167)</f>
        <v>A3</v>
      </c>
      <c r="BH167" s="40" t="str">
        <f>IFERROR(CHOOSE(INDEX(B_RANK,MATCH(BG167,B_LVL,0)),"Band A","Band B","B+ · Player-Coach","Band C","C+ · Player-Coach","Band D","Band E"),"Band X · Consultant")</f>
        <v>Band A</v>
      </c>
      <c r="BI167" s="40" t="str">
        <f>IF(BG167=AY167,"• Same",IF(INDEX(B_VAL,MATCH(BG167,B_LVL,0))&gt;INDEX(B_VAL,MATCH(AY167,B_LVL,0)),"▲ Up","▼ Down"))</f>
        <v>• Same</v>
      </c>
      <c r="BJ167" s="40" t="str">
        <f>IF(OR($M167="",$M167="—",$M167="Not in this file"),"",IFERROR(INDEX($BG$7:$BG$592,MATCH($M167,$D$7:$D$592,0)),""))</f>
        <v>B2</v>
      </c>
      <c r="BK167" s="40" t="str">
        <f>IFERROR(IF(BJ167="","—",IF(OR(LEFT(BG167,1)="X",LEFT(BJ167,1)="X"),"—",IF(AND(LEFT(BG167,1)="E",LEFT(BJ167,1)="E"),"Exception · Band E",IF(AND(INDEX(B_VAL,MATCH(BJ167,B_LVL,0))&gt;=7,INDEX(B_RANK,MATCH(BG167,B_LVL,0))&gt;=INDEX(B_RANK,MATCH(BJ167,B_LVL,0))),"⚠ Same band as a head manager",IF(INDEX(B_VAL,MATCH(BG167,B_LVL,0))&gt;=INDEX(B_VAL,MATCH(BJ167,B_LVL,0)),"⚠ At or above the manager's level","OK"))))),"—")</f>
        <v>OK</v>
      </c>
      <c r="BL167" s="43" t="n"/>
      <c r="BM167" s="44">
        <f>IFERROR(INDEX(LMH_PTS,MATCH(Y167,LMH_KEY,0)),0)</f>
        <v>9</v>
      </c>
      <c r="BN167" s="38">
        <f>IFERROR(INDEX(LMH_PTS,MATCH(Z167,LMH_KEY,0)),0)</f>
        <v>3</v>
      </c>
      <c r="BO167" s="38">
        <f>IFERROR(INDEX(LMH_PTS,MATCH(AA167,LMH_KEY,0)),0)</f>
        <v>1</v>
      </c>
      <c r="BP167" s="38">
        <f>IFERROR(INDEX(LMH_PTS,MATCH(AB167,LMH_KEY,0)),0)</f>
        <v>1</v>
      </c>
      <c r="BQ167" s="38">
        <f>IFERROR(INDEX(LMH_PTS,MATCH(AC167,LMH_KEY,0)),0)</f>
        <v>3</v>
      </c>
      <c r="BR167" s="38">
        <f>IFERROR(INDEX(LMH_PTS,MATCH(AD167,LMH_KEY,0)),0)</f>
        <v>1</v>
      </c>
      <c r="BS167" s="38">
        <f>IFERROR(INDEX(LMH_PTS,MATCH(AE167,LMH_KEY,0)),0)</f>
        <v>1</v>
      </c>
      <c r="BT167" s="38">
        <f>IFERROR(INDEX(LMH_STEP,MATCH(AF167,LMH_KEY,0)),0)</f>
        <v>0</v>
      </c>
      <c r="BU167" s="38">
        <f>IFERROR(INDEX(LMH_STEP,MATCH(AG167,LMH_KEY,0)),0)</f>
        <v>0</v>
      </c>
      <c r="BV167" s="38">
        <f>IFERROR(INDEX(LMH_STEP,MATCH(AH167,LMH_KEY,0)),0)</f>
        <v>0</v>
      </c>
      <c r="BW167" s="38">
        <f>IFERROR(INDEX(LMH_STEP,MATCH(AI167,LMH_KEY,0)),0)</f>
        <v>0</v>
      </c>
      <c r="BX167" s="38">
        <f>IFERROR(INDEX(LMH_STEP,MATCH(AJ167,LMH_KEY,0)),0)</f>
        <v>0</v>
      </c>
      <c r="BY167" s="38">
        <f>IFERROR(INDEX(LMH_STEP,MATCH(AK167,LMH_KEY,0)),0)</f>
        <v>0</v>
      </c>
      <c r="BZ167" s="38">
        <f>IFERROR(INDEX(LMH_STEP,MATCH(AL167,LMH_KEY,0)),0)</f>
        <v>0</v>
      </c>
      <c r="CA167" s="38" t="inlineStr">
        <is>
          <t>CARBON|Technology|Senior Product Designer|A3|A</t>
        </is>
      </c>
    </row>
    <row r="168" ht="110" customHeight="1">
      <c r="A168" s="28" t="inlineStr">
        <is>
          <t>CARBON</t>
        </is>
      </c>
      <c r="B168" s="29" t="inlineStr">
        <is>
          <t>Marketing</t>
        </is>
      </c>
      <c r="C168" s="29" t="n">
        <v>3</v>
      </c>
      <c r="D168" s="29" t="inlineStr">
        <is>
          <t>IRIS2553</t>
        </is>
      </c>
      <c r="E168" s="29" t="inlineStr">
        <is>
          <t>Prashant Sharad Jadhav</t>
        </is>
      </c>
      <c r="F168" s="29" t="inlineStr">
        <is>
          <t>SDR Manager</t>
        </is>
      </c>
      <c r="G168" s="29" t="inlineStr">
        <is>
          <t>Senior Account Executive – POD Lead</t>
        </is>
      </c>
      <c r="H168" s="29" t="inlineStr">
        <is>
          <t>Sales &amp; Business Development</t>
        </is>
      </c>
      <c r="I168" s="29" t="inlineStr">
        <is>
          <t>Sales Development &amp; Prospecting</t>
        </is>
      </c>
      <c r="J168" s="29" t="inlineStr">
        <is>
          <t>POD Lead</t>
        </is>
      </c>
      <c r="K168" s="29" t="inlineStr">
        <is>
          <t>RC-167</t>
        </is>
      </c>
      <c r="L168" s="29" t="inlineStr">
        <is>
          <t>Anuradha RK</t>
        </is>
      </c>
      <c r="M168" s="29" t="inlineStr">
        <is>
          <t>IRIS0391</t>
        </is>
      </c>
      <c r="N168" s="29" t="n">
        <v>16</v>
      </c>
      <c r="O168" s="29" t="n">
        <v>0.1</v>
      </c>
      <c r="P168" s="29" t="inlineStr">
        <is>
          <t>MBA</t>
        </is>
      </c>
      <c r="Q168" s="29" t="inlineStr">
        <is>
          <t>Not in current mapping files</t>
        </is>
      </c>
      <c r="R168" s="29" t="inlineStr">
        <is>
          <t>B2</t>
        </is>
      </c>
      <c r="S168" s="30" t="inlineStr">
        <is>
          <t>20 of 20</t>
        </is>
      </c>
      <c r="T168" s="31" t="inlineStr">
        <is>
          <t>Complexity: Evidence reads like B1: Builds US/Canada SDR pipeline; analyses what drives or blocks conversion; needs SEC/XBRL use-case knowledge → moved down 0.5
Autonomy: Evidence reads like B2: Sets daily prospecting priorities, assigns SDRs, adjusts messaging and calling approach within agreed targets → matches the start
Accountability: Evidence reads …</t>
        </is>
      </c>
      <c r="U168" s="32" t="inlineStr">
        <is>
          <t>KRAs not received · manager to supply</t>
        </is>
      </c>
      <c r="V168" s="31" t="inlineStr">
        <is>
          <t>Latest rating: Not rated · manager · 9-box: Not placed · manager · Readiness: No rating data</t>
        </is>
      </c>
      <c r="W168" s="31" t="inlineStr">
        <is>
          <t>C M · Au M · Ac L · L L · BI L · Exp H · 16 yrs vs 6–9 yrs · Edu H · MBA</t>
        </is>
      </c>
      <c r="X168" s="33" t="inlineStr">
        <is>
          <t>Open ▸</t>
        </is>
      </c>
      <c r="Y168" s="34" t="str">
        <f>IFERROR(INDEX(DL_C,MATCH($CA168,DL_KEY,0)),"M")</f>
        <v>H</v>
      </c>
      <c r="Z168" s="35" t="str">
        <f>IFERROR(INDEX(DL_Au,MATCH($CA168,DL_KEY,0)),"M")</f>
        <v>M</v>
      </c>
      <c r="AA168" s="35" t="str">
        <f>IFERROR(INDEX(DL_Ac,MATCH($CA168,DL_KEY,0)),"M")</f>
        <v>L</v>
      </c>
      <c r="AB168" s="35" t="str">
        <f>IFERROR(INDEX(DL_L,MATCH($CA168,DL_KEY,0)),"M")</f>
        <v>L</v>
      </c>
      <c r="AC168" s="35" t="str">
        <f>IFERROR(INDEX(DL_BI,MATCH($CA168,DL_KEY,0)),"M")</f>
        <v>M</v>
      </c>
      <c r="AD168" s="35" t="str">
        <f>IFERROR(INDEX(DL_Exp,MATCH($CA168,DL_KEY,0)),"M")</f>
        <v>L</v>
      </c>
      <c r="AE168" s="35" t="str">
        <f>IFERROR(INDEX(DL_Edu,MATCH($CA168,DL_KEY,0)),"M")</f>
        <v>L</v>
      </c>
      <c r="AF168" s="34" t="inlineStr">
        <is>
          <t>M</t>
        </is>
      </c>
      <c r="AG168" s="35" t="inlineStr">
        <is>
          <t>M</t>
        </is>
      </c>
      <c r="AH168" s="35" t="inlineStr">
        <is>
          <t>M</t>
        </is>
      </c>
      <c r="AI168" s="35" t="inlineStr">
        <is>
          <t>M</t>
        </is>
      </c>
      <c r="AJ168" s="35" t="inlineStr">
        <is>
          <t>M</t>
        </is>
      </c>
      <c r="AK168" s="35" t="inlineStr">
        <is>
          <t>M</t>
        </is>
      </c>
      <c r="AL168" s="35" t="inlineStr">
        <is>
          <t>M</t>
        </is>
      </c>
      <c r="AM168" s="36" t="n">
        <v>0.513</v>
      </c>
      <c r="AN168" s="37" t="n">
        <v>0.173</v>
      </c>
      <c r="AO168" s="37" t="n">
        <v>0.09699999999999999</v>
      </c>
      <c r="AP168" s="37" t="n">
        <v>0.05</v>
      </c>
      <c r="AQ168" s="37" t="n">
        <v>0.07000000000000001</v>
      </c>
      <c r="AR168" s="37" t="n">
        <v>0.06</v>
      </c>
      <c r="AS168" s="37" t="n">
        <v>0.04</v>
      </c>
      <c r="AT168" s="38" t="inlineStr">
        <is>
          <t>6–10</t>
        </is>
      </c>
      <c r="AU168" s="38" t="inlineStr">
        <is>
          <t>Graduate or postgraduate; professional qualification preferred</t>
        </is>
      </c>
      <c r="AV168" s="38" t="inlineStr">
        <is>
          <t>IC: none · People: 6–8 knowledge work, 8–12 standardised delivery</t>
        </is>
      </c>
      <c r="AW168" s="38" t="inlineStr">
        <is>
          <t>P4 / M3 · SFIA 4–5</t>
        </is>
      </c>
      <c r="AX16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68" s="39" t="inlineStr">
        <is>
          <t>B2</t>
        </is>
      </c>
      <c r="AZ168" s="40" t="inlineStr">
        <is>
          <t>Band B · Specialist / Manager · Manager</t>
        </is>
      </c>
      <c r="BA168" s="40" t="inlineStr">
        <is>
          <t>Model B2 from the six ratings, the market-derived weights and rules R1–R13 · then No change · already below the manager</t>
        </is>
      </c>
      <c r="BB168" s="41" t="inlineStr">
        <is>
          <t>B2</t>
        </is>
      </c>
      <c r="BC168" s="40" t="inlineStr">
        <is>
          <t>The six ratings on the market-average weights of Band B · Specialist / POD Lead score 4.93 → B2 · Hay, Mercer IPE and public plans · experience 16 yrs vs the B2 market range 6–10</t>
        </is>
      </c>
      <c r="BD168" s="42">
        <f>IF(SUM(BM168,BN168,BO168,BP168,BQ168,BR168,BS168)=0,0,(BM168*BT168+BN168*BU168+BO168*BV168+BP168*BW168+BQ168*BX168+BR168*BY168+BS168*BZ168)/SUM(BM168,BN168,BO168,BP168,BQ168,BR168,BS168))</f>
        <v>0</v>
      </c>
      <c r="BE168" s="41" t="str">
        <f>IF(LEFT(AY168,1)="X",AY168,IF(OR(AY168="B+",AY168="C+"),INDEX(LAD_PC,MAX(1,MIN(14,MATCH(AY168,LAD_PC,0)+IF(BD168&gt;=0.5,1,IF(BD168&lt;=-0.5,-1,0))))),INDEX(LAD_STD,MAX(1,MIN(12,MATCH(AY168,LAD_STD,0)+IF(BD168&gt;=0.5,1,IF(BD168&lt;=-0.5,-1,0)))))))</f>
        <v>B2</v>
      </c>
      <c r="BF168" s="43" t="n"/>
      <c r="BG168" s="41" t="str">
        <f>IF(BF168&lt;&gt;"",BF168,BE168)</f>
        <v>B2</v>
      </c>
      <c r="BH168" s="40" t="str">
        <f>IFERROR(CHOOSE(INDEX(B_RANK,MATCH(BG168,B_LVL,0)),"Band A","Band B","B+ · Player-Coach","Band C","C+ · Player-Coach","Band D","Band E"),"Band X · Consultant")</f>
        <v>Band B</v>
      </c>
      <c r="BI168" s="40" t="str">
        <f>IF(BG168=AY168,"• Same",IF(INDEX(B_VAL,MATCH(BG168,B_LVL,0))&gt;INDEX(B_VAL,MATCH(AY168,B_LVL,0)),"▲ Up","▼ Down"))</f>
        <v>• Same</v>
      </c>
      <c r="BJ168" s="40" t="str">
        <f>IF(OR($M168="",$M168="—",$M168="Not in this file"),"",IFERROR(INDEX($BG$7:$BG$592,MATCH($M168,$D$7:$D$592,0)),""))</f>
        <v>D2</v>
      </c>
      <c r="BK168" s="40" t="str">
        <f>IFERROR(IF(BJ168="","—",IF(OR(LEFT(BG168,1)="X",LEFT(BJ168,1)="X"),"—",IF(AND(LEFT(BG168,1)="E",LEFT(BJ168,1)="E"),"Exception · Band E",IF(AND(INDEX(B_VAL,MATCH(BJ168,B_LVL,0))&gt;=7,INDEX(B_RANK,MATCH(BG168,B_LVL,0))&gt;=INDEX(B_RANK,MATCH(BJ168,B_LVL,0))),"⚠ Same band as a head manager",IF(INDEX(B_VAL,MATCH(BG168,B_LVL,0))&gt;=INDEX(B_VAL,MATCH(BJ168,B_LVL,0)),"⚠ At or above the manager's level","OK"))))),"—")</f>
        <v>OK</v>
      </c>
      <c r="BL168" s="43" t="n"/>
      <c r="BM168" s="44">
        <f>IFERROR(INDEX(LMH_PTS,MATCH(Y168,LMH_KEY,0)),0)</f>
        <v>9</v>
      </c>
      <c r="BN168" s="38">
        <f>IFERROR(INDEX(LMH_PTS,MATCH(Z168,LMH_KEY,0)),0)</f>
        <v>3</v>
      </c>
      <c r="BO168" s="38">
        <f>IFERROR(INDEX(LMH_PTS,MATCH(AA168,LMH_KEY,0)),0)</f>
        <v>1</v>
      </c>
      <c r="BP168" s="38">
        <f>IFERROR(INDEX(LMH_PTS,MATCH(AB168,LMH_KEY,0)),0)</f>
        <v>1</v>
      </c>
      <c r="BQ168" s="38">
        <f>IFERROR(INDEX(LMH_PTS,MATCH(AC168,LMH_KEY,0)),0)</f>
        <v>3</v>
      </c>
      <c r="BR168" s="38">
        <f>IFERROR(INDEX(LMH_PTS,MATCH(AD168,LMH_KEY,0)),0)</f>
        <v>1</v>
      </c>
      <c r="BS168" s="38">
        <f>IFERROR(INDEX(LMH_PTS,MATCH(AE168,LMH_KEY,0)),0)</f>
        <v>1</v>
      </c>
      <c r="BT168" s="38">
        <f>IFERROR(INDEX(LMH_STEP,MATCH(AF168,LMH_KEY,0)),0)</f>
        <v>0</v>
      </c>
      <c r="BU168" s="38">
        <f>IFERROR(INDEX(LMH_STEP,MATCH(AG168,LMH_KEY,0)),0)</f>
        <v>0</v>
      </c>
      <c r="BV168" s="38">
        <f>IFERROR(INDEX(LMH_STEP,MATCH(AH168,LMH_KEY,0)),0)</f>
        <v>0</v>
      </c>
      <c r="BW168" s="38">
        <f>IFERROR(INDEX(LMH_STEP,MATCH(AI168,LMH_KEY,0)),0)</f>
        <v>0</v>
      </c>
      <c r="BX168" s="38">
        <f>IFERROR(INDEX(LMH_STEP,MATCH(AJ168,LMH_KEY,0)),0)</f>
        <v>0</v>
      </c>
      <c r="BY168" s="38">
        <f>IFERROR(INDEX(LMH_STEP,MATCH(AK168,LMH_KEY,0)),0)</f>
        <v>0</v>
      </c>
      <c r="BZ168" s="38">
        <f>IFERROR(INDEX(LMH_STEP,MATCH(AL168,LMH_KEY,0)),0)</f>
        <v>0</v>
      </c>
      <c r="CA168" s="38" t="inlineStr">
        <is>
          <t>CARBON|Marketing|Senior Account Executive – POD Lead|B2|B-IC</t>
        </is>
      </c>
    </row>
    <row r="169" ht="110" customHeight="1">
      <c r="A169" s="28" t="inlineStr">
        <is>
          <t>CARBON</t>
        </is>
      </c>
      <c r="B169" s="29" t="inlineStr">
        <is>
          <t>Marketing</t>
        </is>
      </c>
      <c r="C169" s="29" t="n">
        <v>4</v>
      </c>
      <c r="D169" s="29" t="inlineStr">
        <is>
          <t>IRIS2412</t>
        </is>
      </c>
      <c r="E169" s="29" t="inlineStr">
        <is>
          <t>Anand Chiluka</t>
        </is>
      </c>
      <c r="F169" s="29" t="inlineStr">
        <is>
          <t>Team Lead SDR</t>
        </is>
      </c>
      <c r="G169" s="29" t="inlineStr">
        <is>
          <t>Account Executive</t>
        </is>
      </c>
      <c r="H169" s="29" t="inlineStr">
        <is>
          <t>Sales &amp; Business Development</t>
        </is>
      </c>
      <c r="I169" s="29" t="inlineStr">
        <is>
          <t>Sales Development &amp; Prospecting</t>
        </is>
      </c>
      <c r="J169" s="29" t="inlineStr">
        <is>
          <t>IC</t>
        </is>
      </c>
      <c r="K169" s="29" t="inlineStr">
        <is>
          <t>RC-165</t>
        </is>
      </c>
      <c r="L169" s="29" t="inlineStr">
        <is>
          <t>Prashant Sharad Jadhav</t>
        </is>
      </c>
      <c r="M169" s="29" t="inlineStr">
        <is>
          <t>IRIS2553</t>
        </is>
      </c>
      <c r="N169" s="29" t="n">
        <v>11.1</v>
      </c>
      <c r="O169" s="29" t="n">
        <v>1.1</v>
      </c>
      <c r="P169" s="29" t="inlineStr">
        <is>
          <t>B.E</t>
        </is>
      </c>
      <c r="Q169" s="29" t="inlineStr">
        <is>
          <t>L5 – Lead · IC</t>
        </is>
      </c>
      <c r="R169" s="29" t="inlineStr">
        <is>
          <t>B1</t>
        </is>
      </c>
      <c r="S169" s="30" t="inlineStr">
        <is>
          <t>20 of 20</t>
        </is>
      </c>
      <c r="T169" s="31" t="inlineStr">
        <is>
          <t>• Role / sub-team: Marketing — Team Lead- SDR .
• Core purpose: Outreach to the prospects and make sure to help people know that we are there in the market and eventually get the meetings and there by generate revenue.
• Decision-making autonomy: Can independently outreach emails calls; number of dials.
• Is this something only they do: Few of us.
• What's …</t>
        </is>
      </c>
      <c r="U169" s="32" t="inlineStr">
        <is>
          <t>KRAs not received · manager to supply</t>
        </is>
      </c>
      <c r="V169" s="31" t="inlineStr">
        <is>
          <t>Latest rating: Not rated · manager · 9-box: Not placed · manager · Readiness: No rating data</t>
        </is>
      </c>
      <c r="W169" s="31" t="inlineStr">
        <is>
          <t>C M · Au M · Ac M · L L · BI M · Exp H · 11.1 yrs vs 4–7 yrs · Edu M · B.E</t>
        </is>
      </c>
      <c r="X169" s="33" t="inlineStr">
        <is>
          <t>Open ▸</t>
        </is>
      </c>
      <c r="Y169" s="34" t="str">
        <f>IFERROR(INDEX(DL_C,MATCH($CA169,DL_KEY,0)),"M")</f>
        <v>H</v>
      </c>
      <c r="Z169" s="35" t="str">
        <f>IFERROR(INDEX(DL_Au,MATCH($CA169,DL_KEY,0)),"M")</f>
        <v>M</v>
      </c>
      <c r="AA169" s="35" t="str">
        <f>IFERROR(INDEX(DL_Ac,MATCH($CA169,DL_KEY,0)),"M")</f>
        <v>L</v>
      </c>
      <c r="AB169" s="35" t="str">
        <f>IFERROR(INDEX(DL_L,MATCH($CA169,DL_KEY,0)),"M")</f>
        <v>L</v>
      </c>
      <c r="AC169" s="35" t="str">
        <f>IFERROR(INDEX(DL_BI,MATCH($CA169,DL_KEY,0)),"M")</f>
        <v>M</v>
      </c>
      <c r="AD169" s="35" t="str">
        <f>IFERROR(INDEX(DL_Exp,MATCH($CA169,DL_KEY,0)),"M")</f>
        <v>L</v>
      </c>
      <c r="AE169" s="35" t="str">
        <f>IFERROR(INDEX(DL_Edu,MATCH($CA169,DL_KEY,0)),"M")</f>
        <v>L</v>
      </c>
      <c r="AF169" s="34" t="inlineStr">
        <is>
          <t>M</t>
        </is>
      </c>
      <c r="AG169" s="35" t="inlineStr">
        <is>
          <t>M</t>
        </is>
      </c>
      <c r="AH169" s="35" t="inlineStr">
        <is>
          <t>M</t>
        </is>
      </c>
      <c r="AI169" s="35" t="inlineStr">
        <is>
          <t>M</t>
        </is>
      </c>
      <c r="AJ169" s="35" t="inlineStr">
        <is>
          <t>M</t>
        </is>
      </c>
      <c r="AK169" s="35" t="inlineStr">
        <is>
          <t>M</t>
        </is>
      </c>
      <c r="AL169" s="35" t="inlineStr">
        <is>
          <t>M</t>
        </is>
      </c>
      <c r="AM169" s="36" t="n">
        <v>0.513</v>
      </c>
      <c r="AN169" s="37" t="n">
        <v>0.173</v>
      </c>
      <c r="AO169" s="37" t="n">
        <v>0.09699999999999999</v>
      </c>
      <c r="AP169" s="37" t="n">
        <v>0.05</v>
      </c>
      <c r="AQ169" s="37" t="n">
        <v>0.07000000000000001</v>
      </c>
      <c r="AR169" s="37" t="n">
        <v>0.06</v>
      </c>
      <c r="AS169" s="37" t="n">
        <v>0.04</v>
      </c>
      <c r="AT169" s="38" t="inlineStr">
        <is>
          <t>4–8</t>
        </is>
      </c>
      <c r="AU169" s="38" t="inlineStr">
        <is>
          <t>Graduate + relevant qualification or certification preferred</t>
        </is>
      </c>
      <c r="AV169" s="38" t="inlineStr">
        <is>
          <t>IC: none · Team Lead: 3–5</t>
        </is>
      </c>
      <c r="AW169" s="38" t="inlineStr">
        <is>
          <t>P3 / M2 · SFIA 4 Enable</t>
        </is>
      </c>
      <c r="AX16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69" s="39" t="inlineStr">
        <is>
          <t>B1</t>
        </is>
      </c>
      <c r="AZ169" s="40" t="inlineStr">
        <is>
          <t>Band B · Specialist / Manager · Specialist</t>
        </is>
      </c>
      <c r="BA169" s="40" t="inlineStr">
        <is>
          <t>Model B1 from the six ratings, the market-derived weights and rules R1–R13 · then No change · already below the manager</t>
        </is>
      </c>
      <c r="BB169" s="41" t="inlineStr">
        <is>
          <t>B1</t>
        </is>
      </c>
      <c r="BC169" s="40" t="inlineStr">
        <is>
          <t>The six ratings on the market-average weights of Band B · Specialist / POD Lead score 3.75 → B1 · Hay, Mercer IPE and public plans · experience 11.1 yrs vs the B1 market range 4–8</t>
        </is>
      </c>
      <c r="BD169" s="42">
        <f>IF(SUM(BM169,BN169,BO169,BP169,BQ169,BR169,BS169)=0,0,(BM169*BT169+BN169*BU169+BO169*BV169+BP169*BW169+BQ169*BX169+BR169*BY169+BS169*BZ169)/SUM(BM169,BN169,BO169,BP169,BQ169,BR169,BS169))</f>
        <v>0</v>
      </c>
      <c r="BE169" s="41" t="str">
        <f>IF(LEFT(AY169,1)="X",AY169,IF(OR(AY169="B+",AY169="C+"),INDEX(LAD_PC,MAX(1,MIN(14,MATCH(AY169,LAD_PC,0)+IF(BD169&gt;=0.5,1,IF(BD169&lt;=-0.5,-1,0))))),INDEX(LAD_STD,MAX(1,MIN(12,MATCH(AY169,LAD_STD,0)+IF(BD169&gt;=0.5,1,IF(BD169&lt;=-0.5,-1,0)))))))</f>
        <v>B1</v>
      </c>
      <c r="BF169" s="43" t="n"/>
      <c r="BG169" s="41" t="str">
        <f>IF(BF169&lt;&gt;"",BF169,BE169)</f>
        <v>B1</v>
      </c>
      <c r="BH169" s="40" t="str">
        <f>IFERROR(CHOOSE(INDEX(B_RANK,MATCH(BG169,B_LVL,0)),"Band A","Band B","B+ · Player-Coach","Band C","C+ · Player-Coach","Band D","Band E"),"Band X · Consultant")</f>
        <v>Band B</v>
      </c>
      <c r="BI169" s="40" t="str">
        <f>IF(BG169=AY169,"• Same",IF(INDEX(B_VAL,MATCH(BG169,B_LVL,0))&gt;INDEX(B_VAL,MATCH(AY169,B_LVL,0)),"▲ Up","▼ Down"))</f>
        <v>• Same</v>
      </c>
      <c r="BJ169" s="40" t="str">
        <f>IF(OR($M169="",$M169="—",$M169="Not in this file"),"",IFERROR(INDEX($BG$7:$BG$592,MATCH($M169,$D$7:$D$592,0)),""))</f>
        <v>B2</v>
      </c>
      <c r="BK169" s="40" t="str">
        <f>IFERROR(IF(BJ169="","—",IF(OR(LEFT(BG169,1)="X",LEFT(BJ169,1)="X"),"—",IF(AND(LEFT(BG169,1)="E",LEFT(BJ169,1)="E"),"Exception · Band E",IF(AND(INDEX(B_VAL,MATCH(BJ169,B_LVL,0))&gt;=7,INDEX(B_RANK,MATCH(BG169,B_LVL,0))&gt;=INDEX(B_RANK,MATCH(BJ169,B_LVL,0))),"⚠ Same band as a head manager",IF(INDEX(B_VAL,MATCH(BG169,B_LVL,0))&gt;=INDEX(B_VAL,MATCH(BJ169,B_LVL,0)),"⚠ At or above the manager's level","OK"))))),"—")</f>
        <v>OK</v>
      </c>
      <c r="BL169" s="43" t="n"/>
      <c r="BM169" s="44">
        <f>IFERROR(INDEX(LMH_PTS,MATCH(Y169,LMH_KEY,0)),0)</f>
        <v>9</v>
      </c>
      <c r="BN169" s="38">
        <f>IFERROR(INDEX(LMH_PTS,MATCH(Z169,LMH_KEY,0)),0)</f>
        <v>3</v>
      </c>
      <c r="BO169" s="38">
        <f>IFERROR(INDEX(LMH_PTS,MATCH(AA169,LMH_KEY,0)),0)</f>
        <v>1</v>
      </c>
      <c r="BP169" s="38">
        <f>IFERROR(INDEX(LMH_PTS,MATCH(AB169,LMH_KEY,0)),0)</f>
        <v>1</v>
      </c>
      <c r="BQ169" s="38">
        <f>IFERROR(INDEX(LMH_PTS,MATCH(AC169,LMH_KEY,0)),0)</f>
        <v>3</v>
      </c>
      <c r="BR169" s="38">
        <f>IFERROR(INDEX(LMH_PTS,MATCH(AD169,LMH_KEY,0)),0)</f>
        <v>1</v>
      </c>
      <c r="BS169" s="38">
        <f>IFERROR(INDEX(LMH_PTS,MATCH(AE169,LMH_KEY,0)),0)</f>
        <v>1</v>
      </c>
      <c r="BT169" s="38">
        <f>IFERROR(INDEX(LMH_STEP,MATCH(AF169,LMH_KEY,0)),0)</f>
        <v>0</v>
      </c>
      <c r="BU169" s="38">
        <f>IFERROR(INDEX(LMH_STEP,MATCH(AG169,LMH_KEY,0)),0)</f>
        <v>0</v>
      </c>
      <c r="BV169" s="38">
        <f>IFERROR(INDEX(LMH_STEP,MATCH(AH169,LMH_KEY,0)),0)</f>
        <v>0</v>
      </c>
      <c r="BW169" s="38">
        <f>IFERROR(INDEX(LMH_STEP,MATCH(AI169,LMH_KEY,0)),0)</f>
        <v>0</v>
      </c>
      <c r="BX169" s="38">
        <f>IFERROR(INDEX(LMH_STEP,MATCH(AJ169,LMH_KEY,0)),0)</f>
        <v>0</v>
      </c>
      <c r="BY169" s="38">
        <f>IFERROR(INDEX(LMH_STEP,MATCH(AK169,LMH_KEY,0)),0)</f>
        <v>0</v>
      </c>
      <c r="BZ169" s="38">
        <f>IFERROR(INDEX(LMH_STEP,MATCH(AL169,LMH_KEY,0)),0)</f>
        <v>0</v>
      </c>
      <c r="CA169" s="38" t="inlineStr">
        <is>
          <t>CARBON|Marketing|Account Executive|B1|B-IC</t>
        </is>
      </c>
    </row>
    <row r="170" ht="110" customHeight="1">
      <c r="A170" s="28" t="inlineStr">
        <is>
          <t>CARBON</t>
        </is>
      </c>
      <c r="B170" s="29" t="inlineStr">
        <is>
          <t>Marketing</t>
        </is>
      </c>
      <c r="C170" s="29" t="n">
        <v>4</v>
      </c>
      <c r="D170" s="29" t="inlineStr">
        <is>
          <t>IRIS2554</t>
        </is>
      </c>
      <c r="E170" s="29" t="inlineStr">
        <is>
          <t>Mausam Thakkar</t>
        </is>
      </c>
      <c r="F170" s="29" t="inlineStr">
        <is>
          <t>Senior Sales Development Representative</t>
        </is>
      </c>
      <c r="G170" s="29" t="inlineStr">
        <is>
          <t>Senior Sales Development Representative</t>
        </is>
      </c>
      <c r="H170" s="29" t="inlineStr">
        <is>
          <t>Sales &amp; Business Development</t>
        </is>
      </c>
      <c r="I170" s="29" t="inlineStr">
        <is>
          <t>Sales Development &amp; Prospecting</t>
        </is>
      </c>
      <c r="J170" s="29" t="inlineStr">
        <is>
          <t>IC</t>
        </is>
      </c>
      <c r="K170" s="29" t="inlineStr">
        <is>
          <t>RC-164</t>
        </is>
      </c>
      <c r="L170" s="29" t="inlineStr">
        <is>
          <t>Prashant Sharad Jadhav</t>
        </is>
      </c>
      <c r="M170" s="29" t="inlineStr">
        <is>
          <t>IRIS2553</t>
        </is>
      </c>
      <c r="N170" s="29" t="n">
        <v>4.9</v>
      </c>
      <c r="O170" s="29" t="n">
        <v>0.1</v>
      </c>
      <c r="P170" s="29" t="inlineStr">
        <is>
          <t>MBA</t>
        </is>
      </c>
      <c r="Q170" s="29" t="inlineStr">
        <is>
          <t>Not in current mapping files</t>
        </is>
      </c>
      <c r="R170" s="29" t="inlineStr">
        <is>
          <t>A3</t>
        </is>
      </c>
      <c r="S170" s="30" t="inlineStr">
        <is>
          <t>20 of 20</t>
        </is>
      </c>
      <c r="T170" s="31" t="inlineStr">
        <is>
          <t>• Role / sub-team: Marketing — Senior Sales Development Representative .
• Core purpose: My core goal is to reach out to target accounts, book meetings, and build sales opportunities. Outreach to potential prospects, ICPs to schedule meetings to generate opportunities as a SDR.
• Decision-making autonomy: Can independently outreach execution.
• Is this …</t>
        </is>
      </c>
      <c r="U170" s="32" t="inlineStr">
        <is>
          <t>KRAs not received · manager to supply</t>
        </is>
      </c>
      <c r="V170" s="31" t="inlineStr">
        <is>
          <t>Latest rating: Not rated · manager · 9-box: Not placed · manager · Readiness: No rating data</t>
        </is>
      </c>
      <c r="W170" s="31" t="inlineStr">
        <is>
          <t>C M · Au M · Ac M · L L · BI M · Exp H · 4.9 yrs vs 2–4 yrs · Edu H · MBA</t>
        </is>
      </c>
      <c r="X170" s="33" t="inlineStr">
        <is>
          <t>Open ▸</t>
        </is>
      </c>
      <c r="Y170" s="34" t="str">
        <f>IFERROR(INDEX(DL_C,MATCH($CA170,DL_KEY,0)),"M")</f>
        <v>H</v>
      </c>
      <c r="Z170" s="35" t="str">
        <f>IFERROR(INDEX(DL_Au,MATCH($CA170,DL_KEY,0)),"M")</f>
        <v>M</v>
      </c>
      <c r="AA170" s="35" t="str">
        <f>IFERROR(INDEX(DL_Ac,MATCH($CA170,DL_KEY,0)),"M")</f>
        <v>L</v>
      </c>
      <c r="AB170" s="35" t="str">
        <f>IFERROR(INDEX(DL_L,MATCH($CA170,DL_KEY,0)),"M")</f>
        <v>L</v>
      </c>
      <c r="AC170" s="35" t="str">
        <f>IFERROR(INDEX(DL_BI,MATCH($CA170,DL_KEY,0)),"M")</f>
        <v>M</v>
      </c>
      <c r="AD170" s="35" t="str">
        <f>IFERROR(INDEX(DL_Exp,MATCH($CA170,DL_KEY,0)),"M")</f>
        <v>L</v>
      </c>
      <c r="AE170" s="35" t="str">
        <f>IFERROR(INDEX(DL_Edu,MATCH($CA170,DL_KEY,0)),"M")</f>
        <v>L</v>
      </c>
      <c r="AF170" s="34" t="inlineStr">
        <is>
          <t>M</t>
        </is>
      </c>
      <c r="AG170" s="35" t="inlineStr">
        <is>
          <t>M</t>
        </is>
      </c>
      <c r="AH170" s="35" t="inlineStr">
        <is>
          <t>M</t>
        </is>
      </c>
      <c r="AI170" s="35" t="inlineStr">
        <is>
          <t>M</t>
        </is>
      </c>
      <c r="AJ170" s="35" t="inlineStr">
        <is>
          <t>M</t>
        </is>
      </c>
      <c r="AK170" s="35" t="inlineStr">
        <is>
          <t>M</t>
        </is>
      </c>
      <c r="AL170" s="35" t="inlineStr">
        <is>
          <t>M</t>
        </is>
      </c>
      <c r="AM170" s="36" t="n">
        <v>0.583</v>
      </c>
      <c r="AN170" s="37" t="n">
        <v>0.16</v>
      </c>
      <c r="AO170" s="37" t="n">
        <v>0.09</v>
      </c>
      <c r="AP170" s="37" t="n">
        <v>0</v>
      </c>
      <c r="AQ170" s="37" t="n">
        <v>0.063</v>
      </c>
      <c r="AR170" s="37" t="n">
        <v>0.06</v>
      </c>
      <c r="AS170" s="37" t="n">
        <v>0.04</v>
      </c>
      <c r="AT170" s="38" t="inlineStr">
        <is>
          <t>2–5</t>
        </is>
      </c>
      <c r="AU170" s="38" t="inlineStr">
        <is>
          <t>Graduate; relevant certification preferred</t>
        </is>
      </c>
      <c r="AV170" s="38" t="inlineStr">
        <is>
          <t>None · guides 1–3 juniors informally</t>
        </is>
      </c>
      <c r="AW170" s="38" t="inlineStr">
        <is>
          <t>P2 · SFIA 3 Apply</t>
        </is>
      </c>
      <c r="AX17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70" s="39" t="inlineStr">
        <is>
          <t>A3</t>
        </is>
      </c>
      <c r="AZ170" s="40" t="inlineStr">
        <is>
          <t>Band A · Practitioner · Senior Associate</t>
        </is>
      </c>
      <c r="BA170" s="40" t="inlineStr">
        <is>
          <t>Model A3 from the six ratings, the market-derived weights and rules R1–R13 · then No change · already below the manager</t>
        </is>
      </c>
      <c r="BB170" s="41" t="inlineStr">
        <is>
          <t>A3</t>
        </is>
      </c>
      <c r="BC170" s="40" t="inlineStr">
        <is>
          <t>The six ratings on the market-average weights of Band A · all tracks score 2.99 → A3 · Hay, Mercer IPE and public plans · experience 4.9 yrs vs the A3 market range 2–5</t>
        </is>
      </c>
      <c r="BD170" s="42">
        <f>IF(SUM(BM170,BN170,BO170,BP170,BQ170,BR170,BS170)=0,0,(BM170*BT170+BN170*BU170+BO170*BV170+BP170*BW170+BQ170*BX170+BR170*BY170+BS170*BZ170)/SUM(BM170,BN170,BO170,BP170,BQ170,BR170,BS170))</f>
        <v>0</v>
      </c>
      <c r="BE170" s="41" t="str">
        <f>IF(LEFT(AY170,1)="X",AY170,IF(OR(AY170="B+",AY170="C+"),INDEX(LAD_PC,MAX(1,MIN(14,MATCH(AY170,LAD_PC,0)+IF(BD170&gt;=0.5,1,IF(BD170&lt;=-0.5,-1,0))))),INDEX(LAD_STD,MAX(1,MIN(12,MATCH(AY170,LAD_STD,0)+IF(BD170&gt;=0.5,1,IF(BD170&lt;=-0.5,-1,0)))))))</f>
        <v>A3</v>
      </c>
      <c r="BF170" s="43" t="n"/>
      <c r="BG170" s="41" t="str">
        <f>IF(BF170&lt;&gt;"",BF170,BE170)</f>
        <v>A3</v>
      </c>
      <c r="BH170" s="40" t="str">
        <f>IFERROR(CHOOSE(INDEX(B_RANK,MATCH(BG170,B_LVL,0)),"Band A","Band B","B+ · Player-Coach","Band C","C+ · Player-Coach","Band D","Band E"),"Band X · Consultant")</f>
        <v>Band A</v>
      </c>
      <c r="BI170" s="40" t="str">
        <f>IF(BG170=AY170,"• Same",IF(INDEX(B_VAL,MATCH(BG170,B_LVL,0))&gt;INDEX(B_VAL,MATCH(AY170,B_LVL,0)),"▲ Up","▼ Down"))</f>
        <v>• Same</v>
      </c>
      <c r="BJ170" s="40" t="str">
        <f>IF(OR($M170="",$M170="—",$M170="Not in this file"),"",IFERROR(INDEX($BG$7:$BG$592,MATCH($M170,$D$7:$D$592,0)),""))</f>
        <v>B2</v>
      </c>
      <c r="BK170" s="40" t="str">
        <f>IFERROR(IF(BJ170="","—",IF(OR(LEFT(BG170,1)="X",LEFT(BJ170,1)="X"),"—",IF(AND(LEFT(BG170,1)="E",LEFT(BJ170,1)="E"),"Exception · Band E",IF(AND(INDEX(B_VAL,MATCH(BJ170,B_LVL,0))&gt;=7,INDEX(B_RANK,MATCH(BG170,B_LVL,0))&gt;=INDEX(B_RANK,MATCH(BJ170,B_LVL,0))),"⚠ Same band as a head manager",IF(INDEX(B_VAL,MATCH(BG170,B_LVL,0))&gt;=INDEX(B_VAL,MATCH(BJ170,B_LVL,0)),"⚠ At or above the manager's level","OK"))))),"—")</f>
        <v>OK</v>
      </c>
      <c r="BL170" s="43" t="n"/>
      <c r="BM170" s="44">
        <f>IFERROR(INDEX(LMH_PTS,MATCH(Y170,LMH_KEY,0)),0)</f>
        <v>9</v>
      </c>
      <c r="BN170" s="38">
        <f>IFERROR(INDEX(LMH_PTS,MATCH(Z170,LMH_KEY,0)),0)</f>
        <v>3</v>
      </c>
      <c r="BO170" s="38">
        <f>IFERROR(INDEX(LMH_PTS,MATCH(AA170,LMH_KEY,0)),0)</f>
        <v>1</v>
      </c>
      <c r="BP170" s="38">
        <f>IFERROR(INDEX(LMH_PTS,MATCH(AB170,LMH_KEY,0)),0)</f>
        <v>1</v>
      </c>
      <c r="BQ170" s="38">
        <f>IFERROR(INDEX(LMH_PTS,MATCH(AC170,LMH_KEY,0)),0)</f>
        <v>3</v>
      </c>
      <c r="BR170" s="38">
        <f>IFERROR(INDEX(LMH_PTS,MATCH(AD170,LMH_KEY,0)),0)</f>
        <v>1</v>
      </c>
      <c r="BS170" s="38">
        <f>IFERROR(INDEX(LMH_PTS,MATCH(AE170,LMH_KEY,0)),0)</f>
        <v>1</v>
      </c>
      <c r="BT170" s="38">
        <f>IFERROR(INDEX(LMH_STEP,MATCH(AF170,LMH_KEY,0)),0)</f>
        <v>0</v>
      </c>
      <c r="BU170" s="38">
        <f>IFERROR(INDEX(LMH_STEP,MATCH(AG170,LMH_KEY,0)),0)</f>
        <v>0</v>
      </c>
      <c r="BV170" s="38">
        <f>IFERROR(INDEX(LMH_STEP,MATCH(AH170,LMH_KEY,0)),0)</f>
        <v>0</v>
      </c>
      <c r="BW170" s="38">
        <f>IFERROR(INDEX(LMH_STEP,MATCH(AI170,LMH_KEY,0)),0)</f>
        <v>0</v>
      </c>
      <c r="BX170" s="38">
        <f>IFERROR(INDEX(LMH_STEP,MATCH(AJ170,LMH_KEY,0)),0)</f>
        <v>0</v>
      </c>
      <c r="BY170" s="38">
        <f>IFERROR(INDEX(LMH_STEP,MATCH(AK170,LMH_KEY,0)),0)</f>
        <v>0</v>
      </c>
      <c r="BZ170" s="38">
        <f>IFERROR(INDEX(LMH_STEP,MATCH(AL170,LMH_KEY,0)),0)</f>
        <v>0</v>
      </c>
      <c r="CA170" s="38" t="inlineStr">
        <is>
          <t>CARBON|Marketing|Senior Sales Development Representative|A3|A</t>
        </is>
      </c>
    </row>
    <row r="171" ht="110" customHeight="1">
      <c r="A171" s="28" t="inlineStr">
        <is>
          <t>CARBON</t>
        </is>
      </c>
      <c r="B171" s="29" t="inlineStr">
        <is>
          <t>Marketing</t>
        </is>
      </c>
      <c r="C171" s="29" t="n">
        <v>4</v>
      </c>
      <c r="D171" s="29" t="inlineStr">
        <is>
          <t>IRIS2546</t>
        </is>
      </c>
      <c r="E171" s="29" t="inlineStr">
        <is>
          <t>Adithya Nair</t>
        </is>
      </c>
      <c r="F171" s="29" t="inlineStr">
        <is>
          <t>Sales Development Representative</t>
        </is>
      </c>
      <c r="G171" s="29" t="inlineStr">
        <is>
          <t>Sales Development Representative</t>
        </is>
      </c>
      <c r="H171" s="29" t="inlineStr">
        <is>
          <t>Sales &amp; Business Development</t>
        </is>
      </c>
      <c r="I171" s="29" t="inlineStr">
        <is>
          <t>Sales Development &amp; Prospecting</t>
        </is>
      </c>
      <c r="J171" s="29" t="inlineStr">
        <is>
          <t>IC</t>
        </is>
      </c>
      <c r="K171" s="29" t="inlineStr">
        <is>
          <t>RC-163</t>
        </is>
      </c>
      <c r="L171" s="29" t="inlineStr">
        <is>
          <t>Prashant Sharad Jadhav</t>
        </is>
      </c>
      <c r="M171" s="29" t="inlineStr">
        <is>
          <t>IRIS2553</t>
        </is>
      </c>
      <c r="N171" s="29" t="n">
        <v>1.3</v>
      </c>
      <c r="O171" s="29" t="n">
        <v>0.2</v>
      </c>
      <c r="P171" s="29" t="inlineStr">
        <is>
          <t>B.Tech</t>
        </is>
      </c>
      <c r="Q171" s="29" t="inlineStr">
        <is>
          <t>Not in current mapping files</t>
        </is>
      </c>
      <c r="R171" s="29" t="inlineStr">
        <is>
          <t>A2</t>
        </is>
      </c>
      <c r="S171" s="30" t="inlineStr">
        <is>
          <t>20 of 20</t>
        </is>
      </c>
      <c r="T171" s="31" t="inlineStr">
        <is>
          <t>• Role / sub-team: Sales —  SDR.
• Core purpose: Outreach to potential clients for strategic partnerships or to explore product fit.
• Decision-making autonomy: Can independently outreach; Emails.
• Is this something only they do: Most of us.
• What's different about this role: Shortlisting prospects; Emails- hyper personalised with data points on the …</t>
        </is>
      </c>
      <c r="U171" s="32" t="inlineStr">
        <is>
          <t>KRAs not received · manager to supply</t>
        </is>
      </c>
      <c r="V171" s="31" t="inlineStr">
        <is>
          <t>Latest rating: Not rated · manager · 9-box: Not placed · manager · Readiness: No rating data</t>
        </is>
      </c>
      <c r="W171" s="31" t="inlineStr">
        <is>
          <t>C M · Au M · Ac M · L L · BI M · Exp M · 1.3 yrs vs 0–2 yrs · Edu M · B.Tech</t>
        </is>
      </c>
      <c r="X171" s="33" t="inlineStr">
        <is>
          <t>Open ▸</t>
        </is>
      </c>
      <c r="Y171" s="34" t="str">
        <f>IFERROR(INDEX(DL_C,MATCH($CA171,DL_KEY,0)),"M")</f>
        <v>H</v>
      </c>
      <c r="Z171" s="35" t="str">
        <f>IFERROR(INDEX(DL_Au,MATCH($CA171,DL_KEY,0)),"M")</f>
        <v>M</v>
      </c>
      <c r="AA171" s="35" t="str">
        <f>IFERROR(INDEX(DL_Ac,MATCH($CA171,DL_KEY,0)),"M")</f>
        <v>L</v>
      </c>
      <c r="AB171" s="35" t="str">
        <f>IFERROR(INDEX(DL_L,MATCH($CA171,DL_KEY,0)),"M")</f>
        <v>L</v>
      </c>
      <c r="AC171" s="35" t="str">
        <f>IFERROR(INDEX(DL_BI,MATCH($CA171,DL_KEY,0)),"M")</f>
        <v>M</v>
      </c>
      <c r="AD171" s="35" t="str">
        <f>IFERROR(INDEX(DL_Exp,MATCH($CA171,DL_KEY,0)),"M")</f>
        <v>L</v>
      </c>
      <c r="AE171" s="35" t="str">
        <f>IFERROR(INDEX(DL_Edu,MATCH($CA171,DL_KEY,0)),"M")</f>
        <v>L</v>
      </c>
      <c r="AF171" s="34" t="inlineStr">
        <is>
          <t>M</t>
        </is>
      </c>
      <c r="AG171" s="35" t="inlineStr">
        <is>
          <t>M</t>
        </is>
      </c>
      <c r="AH171" s="35" t="inlineStr">
        <is>
          <t>M</t>
        </is>
      </c>
      <c r="AI171" s="35" t="inlineStr">
        <is>
          <t>M</t>
        </is>
      </c>
      <c r="AJ171" s="35" t="inlineStr">
        <is>
          <t>M</t>
        </is>
      </c>
      <c r="AK171" s="35" t="inlineStr">
        <is>
          <t>M</t>
        </is>
      </c>
      <c r="AL171" s="35" t="inlineStr">
        <is>
          <t>M</t>
        </is>
      </c>
      <c r="AM171" s="36" t="n">
        <v>0.583</v>
      </c>
      <c r="AN171" s="37" t="n">
        <v>0.16</v>
      </c>
      <c r="AO171" s="37" t="n">
        <v>0.09</v>
      </c>
      <c r="AP171" s="37" t="n">
        <v>0</v>
      </c>
      <c r="AQ171" s="37" t="n">
        <v>0.063</v>
      </c>
      <c r="AR171" s="37" t="n">
        <v>0.06</v>
      </c>
      <c r="AS171" s="37" t="n">
        <v>0.04</v>
      </c>
      <c r="AT171" s="38" t="inlineStr">
        <is>
          <t>0–3</t>
        </is>
      </c>
      <c r="AU171" s="38" t="inlineStr">
        <is>
          <t>Graduate · or diploma with experience</t>
        </is>
      </c>
      <c r="AV171" s="38" t="inlineStr">
        <is>
          <t>No direct reports</t>
        </is>
      </c>
      <c r="AW171" s="38" t="inlineStr">
        <is>
          <t>P1–P2 · SFIA 2 Assist</t>
        </is>
      </c>
      <c r="AX17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71" s="39" t="inlineStr">
        <is>
          <t>A2</t>
        </is>
      </c>
      <c r="AZ171" s="40" t="inlineStr">
        <is>
          <t>Band A · Practitioner · Associate</t>
        </is>
      </c>
      <c r="BA171" s="40" t="inlineStr">
        <is>
          <t>Model A2 from the six ratings, the market-derived weights and rules R1–R13 · then No change · already below the manager</t>
        </is>
      </c>
      <c r="BB171" s="41" t="inlineStr">
        <is>
          <t>A2</t>
        </is>
      </c>
      <c r="BC171" s="40" t="inlineStr">
        <is>
          <t>The six ratings on the market-average weights of Band A · all tracks score 2.00 → A2 · Hay, Mercer IPE and public plans · experience 1.3 yrs vs the A2 market range 0–3</t>
        </is>
      </c>
      <c r="BD171" s="42">
        <f>IF(SUM(BM171,BN171,BO171,BP171,BQ171,BR171,BS171)=0,0,(BM171*BT171+BN171*BU171+BO171*BV171+BP171*BW171+BQ171*BX171+BR171*BY171+BS171*BZ171)/SUM(BM171,BN171,BO171,BP171,BQ171,BR171,BS171))</f>
        <v>0</v>
      </c>
      <c r="BE171" s="41" t="str">
        <f>IF(LEFT(AY171,1)="X",AY171,IF(OR(AY171="B+",AY171="C+"),INDEX(LAD_PC,MAX(1,MIN(14,MATCH(AY171,LAD_PC,0)+IF(BD171&gt;=0.5,1,IF(BD171&lt;=-0.5,-1,0))))),INDEX(LAD_STD,MAX(1,MIN(12,MATCH(AY171,LAD_STD,0)+IF(BD171&gt;=0.5,1,IF(BD171&lt;=-0.5,-1,0)))))))</f>
        <v>A2</v>
      </c>
      <c r="BF171" s="43" t="n"/>
      <c r="BG171" s="41" t="str">
        <f>IF(BF171&lt;&gt;"",BF171,BE171)</f>
        <v>A2</v>
      </c>
      <c r="BH171" s="40" t="str">
        <f>IFERROR(CHOOSE(INDEX(B_RANK,MATCH(BG171,B_LVL,0)),"Band A","Band B","B+ · Player-Coach","Band C","C+ · Player-Coach","Band D","Band E"),"Band X · Consultant")</f>
        <v>Band A</v>
      </c>
      <c r="BI171" s="40" t="str">
        <f>IF(BG171=AY171,"• Same",IF(INDEX(B_VAL,MATCH(BG171,B_LVL,0))&gt;INDEX(B_VAL,MATCH(AY171,B_LVL,0)),"▲ Up","▼ Down"))</f>
        <v>• Same</v>
      </c>
      <c r="BJ171" s="40" t="str">
        <f>IF(OR($M171="",$M171="—",$M171="Not in this file"),"",IFERROR(INDEX($BG$7:$BG$592,MATCH($M171,$D$7:$D$592,0)),""))</f>
        <v>B2</v>
      </c>
      <c r="BK171" s="40" t="str">
        <f>IFERROR(IF(BJ171="","—",IF(OR(LEFT(BG171,1)="X",LEFT(BJ171,1)="X"),"—",IF(AND(LEFT(BG171,1)="E",LEFT(BJ171,1)="E"),"Exception · Band E",IF(AND(INDEX(B_VAL,MATCH(BJ171,B_LVL,0))&gt;=7,INDEX(B_RANK,MATCH(BG171,B_LVL,0))&gt;=INDEX(B_RANK,MATCH(BJ171,B_LVL,0))),"⚠ Same band as a head manager",IF(INDEX(B_VAL,MATCH(BG171,B_LVL,0))&gt;=INDEX(B_VAL,MATCH(BJ171,B_LVL,0)),"⚠ At or above the manager's level","OK"))))),"—")</f>
        <v>OK</v>
      </c>
      <c r="BL171" s="43" t="n"/>
      <c r="BM171" s="44">
        <f>IFERROR(INDEX(LMH_PTS,MATCH(Y171,LMH_KEY,0)),0)</f>
        <v>9</v>
      </c>
      <c r="BN171" s="38">
        <f>IFERROR(INDEX(LMH_PTS,MATCH(Z171,LMH_KEY,0)),0)</f>
        <v>3</v>
      </c>
      <c r="BO171" s="38">
        <f>IFERROR(INDEX(LMH_PTS,MATCH(AA171,LMH_KEY,0)),0)</f>
        <v>1</v>
      </c>
      <c r="BP171" s="38">
        <f>IFERROR(INDEX(LMH_PTS,MATCH(AB171,LMH_KEY,0)),0)</f>
        <v>1</v>
      </c>
      <c r="BQ171" s="38">
        <f>IFERROR(INDEX(LMH_PTS,MATCH(AC171,LMH_KEY,0)),0)</f>
        <v>3</v>
      </c>
      <c r="BR171" s="38">
        <f>IFERROR(INDEX(LMH_PTS,MATCH(AD171,LMH_KEY,0)),0)</f>
        <v>1</v>
      </c>
      <c r="BS171" s="38">
        <f>IFERROR(INDEX(LMH_PTS,MATCH(AE171,LMH_KEY,0)),0)</f>
        <v>1</v>
      </c>
      <c r="BT171" s="38">
        <f>IFERROR(INDEX(LMH_STEP,MATCH(AF171,LMH_KEY,0)),0)</f>
        <v>0</v>
      </c>
      <c r="BU171" s="38">
        <f>IFERROR(INDEX(LMH_STEP,MATCH(AG171,LMH_KEY,0)),0)</f>
        <v>0</v>
      </c>
      <c r="BV171" s="38">
        <f>IFERROR(INDEX(LMH_STEP,MATCH(AH171,LMH_KEY,0)),0)</f>
        <v>0</v>
      </c>
      <c r="BW171" s="38">
        <f>IFERROR(INDEX(LMH_STEP,MATCH(AI171,LMH_KEY,0)),0)</f>
        <v>0</v>
      </c>
      <c r="BX171" s="38">
        <f>IFERROR(INDEX(LMH_STEP,MATCH(AJ171,LMH_KEY,0)),0)</f>
        <v>0</v>
      </c>
      <c r="BY171" s="38">
        <f>IFERROR(INDEX(LMH_STEP,MATCH(AK171,LMH_KEY,0)),0)</f>
        <v>0</v>
      </c>
      <c r="BZ171" s="38">
        <f>IFERROR(INDEX(LMH_STEP,MATCH(AL171,LMH_KEY,0)),0)</f>
        <v>0</v>
      </c>
      <c r="CA171" s="38" t="inlineStr">
        <is>
          <t>CARBON|Marketing|Sales Development Representative|A2|A</t>
        </is>
      </c>
    </row>
    <row r="172" ht="110" customHeight="1">
      <c r="A172" s="28" t="inlineStr">
        <is>
          <t>CARBON</t>
        </is>
      </c>
      <c r="B172" s="29" t="inlineStr">
        <is>
          <t>Sales</t>
        </is>
      </c>
      <c r="C172" s="29" t="n">
        <v>3</v>
      </c>
      <c r="D172" s="29" t="inlineStr">
        <is>
          <t>IRIS1734</t>
        </is>
      </c>
      <c r="E172" s="29" t="inlineStr">
        <is>
          <t>Rohit Bansal</t>
        </is>
      </c>
      <c r="F172" s="29" t="inlineStr">
        <is>
          <t>Senior Manager Sales</t>
        </is>
      </c>
      <c r="G172" s="29" t="inlineStr">
        <is>
          <t>Lead Account Executive</t>
        </is>
      </c>
      <c r="H172" s="29" t="inlineStr">
        <is>
          <t>Sales &amp; Business Development</t>
        </is>
      </c>
      <c r="I172" s="29" t="inlineStr">
        <is>
          <t>Sales Leadership</t>
        </is>
      </c>
      <c r="J172" s="29" t="inlineStr">
        <is>
          <t>IC</t>
        </is>
      </c>
      <c r="K172" s="29" t="inlineStr">
        <is>
          <t>RC-168</t>
        </is>
      </c>
      <c r="L172" s="29" t="inlineStr">
        <is>
          <t>Anuradha RK</t>
        </is>
      </c>
      <c r="M172" s="29" t="inlineStr">
        <is>
          <t>IRIS0391</t>
        </is>
      </c>
      <c r="N172" s="29" t="n">
        <v>16.5</v>
      </c>
      <c r="O172" s="29" t="n">
        <v>8.199999999999999</v>
      </c>
      <c r="P172" s="29" t="inlineStr">
        <is>
          <t>MBA</t>
        </is>
      </c>
      <c r="Q172" s="29" t="inlineStr">
        <is>
          <t>Not in current mapping files</t>
        </is>
      </c>
      <c r="R172" s="29" t="inlineStr">
        <is>
          <t>B2</t>
        </is>
      </c>
      <c r="S172" s="30" t="inlineStr">
        <is>
          <t>20 of 20</t>
        </is>
      </c>
      <c r="T172" s="31" t="inlineStr">
        <is>
          <t>• Role / sub-team: Sales — Senior Manager Sales.
• Core purpose: To drive business growth by identifying new opportunities, building strong client relationships, converting prospects into long-term customers, and delivering right value to both clients and business.
• Decision-making autonomy: Can independently drive deals; Pursue opportunities; Building …</t>
        </is>
      </c>
      <c r="U172" s="32" t="inlineStr">
        <is>
          <t>KRAs not received · manager to supply</t>
        </is>
      </c>
      <c r="V172" s="31" t="inlineStr">
        <is>
          <t>Latest rating: Not rated · manager · 9-box: Not placed · manager · Readiness: No rating data</t>
        </is>
      </c>
      <c r="W172" s="31" t="inlineStr">
        <is>
          <t>C M · Au M · Ac M · L L · BI M · Exp H · 16.5 yrs vs 6–9 yrs · Edu H · MBA</t>
        </is>
      </c>
      <c r="X172" s="33" t="inlineStr">
        <is>
          <t>Open ▸</t>
        </is>
      </c>
      <c r="Y172" s="34" t="str">
        <f>IFERROR(INDEX(DL_C,MATCH($CA172,DL_KEY,0)),"M")</f>
        <v>H</v>
      </c>
      <c r="Z172" s="35" t="str">
        <f>IFERROR(INDEX(DL_Au,MATCH($CA172,DL_KEY,0)),"M")</f>
        <v>M</v>
      </c>
      <c r="AA172" s="35" t="str">
        <f>IFERROR(INDEX(DL_Ac,MATCH($CA172,DL_KEY,0)),"M")</f>
        <v>L</v>
      </c>
      <c r="AB172" s="35" t="str">
        <f>IFERROR(INDEX(DL_L,MATCH($CA172,DL_KEY,0)),"M")</f>
        <v>L</v>
      </c>
      <c r="AC172" s="35" t="str">
        <f>IFERROR(INDEX(DL_BI,MATCH($CA172,DL_KEY,0)),"M")</f>
        <v>M</v>
      </c>
      <c r="AD172" s="35" t="str">
        <f>IFERROR(INDEX(DL_Exp,MATCH($CA172,DL_KEY,0)),"M")</f>
        <v>L</v>
      </c>
      <c r="AE172" s="35" t="str">
        <f>IFERROR(INDEX(DL_Edu,MATCH($CA172,DL_KEY,0)),"M")</f>
        <v>L</v>
      </c>
      <c r="AF172" s="34" t="inlineStr">
        <is>
          <t>M</t>
        </is>
      </c>
      <c r="AG172" s="35" t="inlineStr">
        <is>
          <t>M</t>
        </is>
      </c>
      <c r="AH172" s="35" t="inlineStr">
        <is>
          <t>M</t>
        </is>
      </c>
      <c r="AI172" s="35" t="inlineStr">
        <is>
          <t>M</t>
        </is>
      </c>
      <c r="AJ172" s="35" t="inlineStr">
        <is>
          <t>M</t>
        </is>
      </c>
      <c r="AK172" s="35" t="inlineStr">
        <is>
          <t>M</t>
        </is>
      </c>
      <c r="AL172" s="35" t="inlineStr">
        <is>
          <t>M</t>
        </is>
      </c>
      <c r="AM172" s="36" t="n">
        <v>0.513</v>
      </c>
      <c r="AN172" s="37" t="n">
        <v>0.173</v>
      </c>
      <c r="AO172" s="37" t="n">
        <v>0.09699999999999999</v>
      </c>
      <c r="AP172" s="37" t="n">
        <v>0.05</v>
      </c>
      <c r="AQ172" s="37" t="n">
        <v>0.07000000000000001</v>
      </c>
      <c r="AR172" s="37" t="n">
        <v>0.06</v>
      </c>
      <c r="AS172" s="37" t="n">
        <v>0.04</v>
      </c>
      <c r="AT172" s="38" t="inlineStr">
        <is>
          <t>6–10</t>
        </is>
      </c>
      <c r="AU172" s="38" t="inlineStr">
        <is>
          <t>Graduate or postgraduate; professional qualification preferred</t>
        </is>
      </c>
      <c r="AV172" s="38" t="inlineStr">
        <is>
          <t>IC: none · People: 6–8 knowledge work, 8–12 standardised delivery</t>
        </is>
      </c>
      <c r="AW172" s="38" t="inlineStr">
        <is>
          <t>P4 / M3 · SFIA 4–5</t>
        </is>
      </c>
      <c r="AX17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72" s="39" t="inlineStr">
        <is>
          <t>B2</t>
        </is>
      </c>
      <c r="AZ172" s="40" t="inlineStr">
        <is>
          <t>Band B · Specialist / Manager · Senior Specialist</t>
        </is>
      </c>
      <c r="BA172" s="40" t="inlineStr">
        <is>
          <t>Model B2 from the six ratings, the market-derived weights and rules R1–R13 · then No change · already below the manager</t>
        </is>
      </c>
      <c r="BB172" s="41" t="inlineStr">
        <is>
          <t>B2</t>
        </is>
      </c>
      <c r="BC172" s="40" t="inlineStr">
        <is>
          <t>The six ratings on the market-average weights of Band B · Specialist / POD Lead score 5.43 → B2 · Hay, Mercer IPE and public plans · experience 16.5 yrs vs the B2 market range 6–10</t>
        </is>
      </c>
      <c r="BD172" s="42">
        <f>IF(SUM(BM172,BN172,BO172,BP172,BQ172,BR172,BS172)=0,0,(BM172*BT172+BN172*BU172+BO172*BV172+BP172*BW172+BQ172*BX172+BR172*BY172+BS172*BZ172)/SUM(BM172,BN172,BO172,BP172,BQ172,BR172,BS172))</f>
        <v>0</v>
      </c>
      <c r="BE172" s="41" t="str">
        <f>IF(LEFT(AY172,1)="X",AY172,IF(OR(AY172="B+",AY172="C+"),INDEX(LAD_PC,MAX(1,MIN(14,MATCH(AY172,LAD_PC,0)+IF(BD172&gt;=0.5,1,IF(BD172&lt;=-0.5,-1,0))))),INDEX(LAD_STD,MAX(1,MIN(12,MATCH(AY172,LAD_STD,0)+IF(BD172&gt;=0.5,1,IF(BD172&lt;=-0.5,-1,0)))))))</f>
        <v>B2</v>
      </c>
      <c r="BF172" s="43" t="n"/>
      <c r="BG172" s="41" t="str">
        <f>IF(BF172&lt;&gt;"",BF172,BE172)</f>
        <v>B2</v>
      </c>
      <c r="BH172" s="40" t="str">
        <f>IFERROR(CHOOSE(INDEX(B_RANK,MATCH(BG172,B_LVL,0)),"Band A","Band B","B+ · Player-Coach","Band C","C+ · Player-Coach","Band D","Band E"),"Band X · Consultant")</f>
        <v>Band B</v>
      </c>
      <c r="BI172" s="40" t="str">
        <f>IF(BG172=AY172,"• Same",IF(INDEX(B_VAL,MATCH(BG172,B_LVL,0))&gt;INDEX(B_VAL,MATCH(AY172,B_LVL,0)),"▲ Up","▼ Down"))</f>
        <v>• Same</v>
      </c>
      <c r="BJ172" s="40" t="str">
        <f>IF(OR($M172="",$M172="—",$M172="Not in this file"),"",IFERROR(INDEX($BG$7:$BG$592,MATCH($M172,$D$7:$D$592,0)),""))</f>
        <v>D2</v>
      </c>
      <c r="BK172" s="40" t="str">
        <f>IFERROR(IF(BJ172="","—",IF(OR(LEFT(BG172,1)="X",LEFT(BJ172,1)="X"),"—",IF(AND(LEFT(BG172,1)="E",LEFT(BJ172,1)="E"),"Exception · Band E",IF(AND(INDEX(B_VAL,MATCH(BJ172,B_LVL,0))&gt;=7,INDEX(B_RANK,MATCH(BG172,B_LVL,0))&gt;=INDEX(B_RANK,MATCH(BJ172,B_LVL,0))),"⚠ Same band as a head manager",IF(INDEX(B_VAL,MATCH(BG172,B_LVL,0))&gt;=INDEX(B_VAL,MATCH(BJ172,B_LVL,0)),"⚠ At or above the manager's level","OK"))))),"—")</f>
        <v>OK</v>
      </c>
      <c r="BL172" s="43" t="n"/>
      <c r="BM172" s="44">
        <f>IFERROR(INDEX(LMH_PTS,MATCH(Y172,LMH_KEY,0)),0)</f>
        <v>9</v>
      </c>
      <c r="BN172" s="38">
        <f>IFERROR(INDEX(LMH_PTS,MATCH(Z172,LMH_KEY,0)),0)</f>
        <v>3</v>
      </c>
      <c r="BO172" s="38">
        <f>IFERROR(INDEX(LMH_PTS,MATCH(AA172,LMH_KEY,0)),0)</f>
        <v>1</v>
      </c>
      <c r="BP172" s="38">
        <f>IFERROR(INDEX(LMH_PTS,MATCH(AB172,LMH_KEY,0)),0)</f>
        <v>1</v>
      </c>
      <c r="BQ172" s="38">
        <f>IFERROR(INDEX(LMH_PTS,MATCH(AC172,LMH_KEY,0)),0)</f>
        <v>3</v>
      </c>
      <c r="BR172" s="38">
        <f>IFERROR(INDEX(LMH_PTS,MATCH(AD172,LMH_KEY,0)),0)</f>
        <v>1</v>
      </c>
      <c r="BS172" s="38">
        <f>IFERROR(INDEX(LMH_PTS,MATCH(AE172,LMH_KEY,0)),0)</f>
        <v>1</v>
      </c>
      <c r="BT172" s="38">
        <f>IFERROR(INDEX(LMH_STEP,MATCH(AF172,LMH_KEY,0)),0)</f>
        <v>0</v>
      </c>
      <c r="BU172" s="38">
        <f>IFERROR(INDEX(LMH_STEP,MATCH(AG172,LMH_KEY,0)),0)</f>
        <v>0</v>
      </c>
      <c r="BV172" s="38">
        <f>IFERROR(INDEX(LMH_STEP,MATCH(AH172,LMH_KEY,0)),0)</f>
        <v>0</v>
      </c>
      <c r="BW172" s="38">
        <f>IFERROR(INDEX(LMH_STEP,MATCH(AI172,LMH_KEY,0)),0)</f>
        <v>0</v>
      </c>
      <c r="BX172" s="38">
        <f>IFERROR(INDEX(LMH_STEP,MATCH(AJ172,LMH_KEY,0)),0)</f>
        <v>0</v>
      </c>
      <c r="BY172" s="38">
        <f>IFERROR(INDEX(LMH_STEP,MATCH(AK172,LMH_KEY,0)),0)</f>
        <v>0</v>
      </c>
      <c r="BZ172" s="38">
        <f>IFERROR(INDEX(LMH_STEP,MATCH(AL172,LMH_KEY,0)),0)</f>
        <v>0</v>
      </c>
      <c r="CA172" s="38" t="inlineStr">
        <is>
          <t>CARBON|Sales|Lead Account Executive|B2|B-IC</t>
        </is>
      </c>
    </row>
    <row r="173" ht="110" customHeight="1">
      <c r="A173" s="28" t="inlineStr">
        <is>
          <t>CARBON</t>
        </is>
      </c>
      <c r="B173" s="29" t="inlineStr">
        <is>
          <t>Sales</t>
        </is>
      </c>
      <c r="C173" s="29" t="n">
        <v>3</v>
      </c>
      <c r="D173" s="29" t="inlineStr">
        <is>
          <t>IRIS2351</t>
        </is>
      </c>
      <c r="E173" s="29" t="inlineStr">
        <is>
          <t>Aniket Das</t>
        </is>
      </c>
      <c r="F173" s="29" t="inlineStr">
        <is>
          <t>Senior Analyst, Strategy and Operations</t>
        </is>
      </c>
      <c r="G173" s="29" t="inlineStr">
        <is>
          <t>Sales Operations Specialist – POD Lead</t>
        </is>
      </c>
      <c r="H173" s="29" t="inlineStr">
        <is>
          <t>Sales &amp; Business Development</t>
        </is>
      </c>
      <c r="I173" s="29" t="inlineStr">
        <is>
          <t>Bids, RFP &amp; Sales Operations</t>
        </is>
      </c>
      <c r="J173" s="29" t="inlineStr">
        <is>
          <t>POD Lead</t>
        </is>
      </c>
      <c r="K173" s="29" t="inlineStr">
        <is>
          <t>RC-150</t>
        </is>
      </c>
      <c r="L173" s="29" t="inlineStr">
        <is>
          <t>Anuradha RK</t>
        </is>
      </c>
      <c r="M173" s="29" t="inlineStr">
        <is>
          <t>IRIS0391</t>
        </is>
      </c>
      <c r="N173" s="29" t="n">
        <v>5.2</v>
      </c>
      <c r="O173" s="29" t="n">
        <v>1.5</v>
      </c>
      <c r="P173" s="29" t="inlineStr">
        <is>
          <t>MBA</t>
        </is>
      </c>
      <c r="Q173" s="29" t="inlineStr">
        <is>
          <t>Not in current mapping files</t>
        </is>
      </c>
      <c r="R173" s="29" t="inlineStr">
        <is>
          <t>B1</t>
        </is>
      </c>
      <c r="S173" s="30" t="inlineStr">
        <is>
          <t>20 of 20</t>
        </is>
      </c>
      <c r="T173" s="31" t="inlineStr">
        <is>
          <t>Managing Business Revenue Metrics and Analysing Pipeline Funnel; Business CRM and Data Hub</t>
        </is>
      </c>
      <c r="U173" s="32" t="inlineStr">
        <is>
          <t>KRAs not received · manager to supply</t>
        </is>
      </c>
      <c r="V173" s="31" t="inlineStr">
        <is>
          <t>Latest rating: Not rated · manager · 9-box: Not placed · manager · Readiness: No rating data</t>
        </is>
      </c>
      <c r="W173" s="31" t="inlineStr">
        <is>
          <t>C M · Au L · Ac M · L L · BI M · Exp M · 5.2 yrs vs 4–7 yrs · Edu H · MBA</t>
        </is>
      </c>
      <c r="X173" s="33" t="inlineStr">
        <is>
          <t>Open ▸</t>
        </is>
      </c>
      <c r="Y173" s="34" t="str">
        <f>IFERROR(INDEX(DL_C,MATCH($CA173,DL_KEY,0)),"M")</f>
        <v>H</v>
      </c>
      <c r="Z173" s="35" t="str">
        <f>IFERROR(INDEX(DL_Au,MATCH($CA173,DL_KEY,0)),"M")</f>
        <v>M</v>
      </c>
      <c r="AA173" s="35" t="str">
        <f>IFERROR(INDEX(DL_Ac,MATCH($CA173,DL_KEY,0)),"M")</f>
        <v>L</v>
      </c>
      <c r="AB173" s="35" t="str">
        <f>IFERROR(INDEX(DL_L,MATCH($CA173,DL_KEY,0)),"M")</f>
        <v>L</v>
      </c>
      <c r="AC173" s="35" t="str">
        <f>IFERROR(INDEX(DL_BI,MATCH($CA173,DL_KEY,0)),"M")</f>
        <v>M</v>
      </c>
      <c r="AD173" s="35" t="str">
        <f>IFERROR(INDEX(DL_Exp,MATCH($CA173,DL_KEY,0)),"M")</f>
        <v>L</v>
      </c>
      <c r="AE173" s="35" t="str">
        <f>IFERROR(INDEX(DL_Edu,MATCH($CA173,DL_KEY,0)),"M")</f>
        <v>L</v>
      </c>
      <c r="AF173" s="34" t="inlineStr">
        <is>
          <t>M</t>
        </is>
      </c>
      <c r="AG173" s="35" t="inlineStr">
        <is>
          <t>M</t>
        </is>
      </c>
      <c r="AH173" s="35" t="inlineStr">
        <is>
          <t>M</t>
        </is>
      </c>
      <c r="AI173" s="35" t="inlineStr">
        <is>
          <t>M</t>
        </is>
      </c>
      <c r="AJ173" s="35" t="inlineStr">
        <is>
          <t>M</t>
        </is>
      </c>
      <c r="AK173" s="35" t="inlineStr">
        <is>
          <t>M</t>
        </is>
      </c>
      <c r="AL173" s="35" t="inlineStr">
        <is>
          <t>M</t>
        </is>
      </c>
      <c r="AM173" s="36" t="n">
        <v>0.513</v>
      </c>
      <c r="AN173" s="37" t="n">
        <v>0.173</v>
      </c>
      <c r="AO173" s="37" t="n">
        <v>0.09699999999999999</v>
      </c>
      <c r="AP173" s="37" t="n">
        <v>0.05</v>
      </c>
      <c r="AQ173" s="37" t="n">
        <v>0.07000000000000001</v>
      </c>
      <c r="AR173" s="37" t="n">
        <v>0.06</v>
      </c>
      <c r="AS173" s="37" t="n">
        <v>0.04</v>
      </c>
      <c r="AT173" s="38" t="inlineStr">
        <is>
          <t>4–8</t>
        </is>
      </c>
      <c r="AU173" s="38" t="inlineStr">
        <is>
          <t>Graduate + relevant qualification or certification preferred</t>
        </is>
      </c>
      <c r="AV173" s="38" t="inlineStr">
        <is>
          <t>IC: none · Team Lead: 3–5</t>
        </is>
      </c>
      <c r="AW173" s="38" t="inlineStr">
        <is>
          <t>P3 / M2 · SFIA 4 Enable</t>
        </is>
      </c>
      <c r="AX17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73" s="39" t="inlineStr">
        <is>
          <t>B1</t>
        </is>
      </c>
      <c r="AZ173" s="40" t="inlineStr">
        <is>
          <t>Band B · Specialist / Manager · Team Lead / Asst Manager</t>
        </is>
      </c>
      <c r="BA173" s="40" t="inlineStr">
        <is>
          <t>Model B1 from the six ratings, the market-derived weights and rules R1–R13 · then No change · already below the manager</t>
        </is>
      </c>
      <c r="BB173" s="41" t="inlineStr">
        <is>
          <t>B1</t>
        </is>
      </c>
      <c r="BC173" s="40" t="inlineStr">
        <is>
          <t>The six ratings on the market-average weights of Band B · Specialist / POD Lead score 3.57 → B1 · Hay, Mercer IPE and public plans · experience 5.2 yrs vs the B1 market range 4–8</t>
        </is>
      </c>
      <c r="BD173" s="42">
        <f>IF(SUM(BM173,BN173,BO173,BP173,BQ173,BR173,BS173)=0,0,(BM173*BT173+BN173*BU173+BO173*BV173+BP173*BW173+BQ173*BX173+BR173*BY173+BS173*BZ173)/SUM(BM173,BN173,BO173,BP173,BQ173,BR173,BS173))</f>
        <v>0</v>
      </c>
      <c r="BE173" s="41" t="str">
        <f>IF(LEFT(AY173,1)="X",AY173,IF(OR(AY173="B+",AY173="C+"),INDEX(LAD_PC,MAX(1,MIN(14,MATCH(AY173,LAD_PC,0)+IF(BD173&gt;=0.5,1,IF(BD173&lt;=-0.5,-1,0))))),INDEX(LAD_STD,MAX(1,MIN(12,MATCH(AY173,LAD_STD,0)+IF(BD173&gt;=0.5,1,IF(BD173&lt;=-0.5,-1,0)))))))</f>
        <v>B1</v>
      </c>
      <c r="BF173" s="43" t="n"/>
      <c r="BG173" s="41" t="str">
        <f>IF(BF173&lt;&gt;"",BF173,BE173)</f>
        <v>B1</v>
      </c>
      <c r="BH173" s="40" t="str">
        <f>IFERROR(CHOOSE(INDEX(B_RANK,MATCH(BG173,B_LVL,0)),"Band A","Band B","B+ · Player-Coach","Band C","C+ · Player-Coach","Band D","Band E"),"Band X · Consultant")</f>
        <v>Band B</v>
      </c>
      <c r="BI173" s="40" t="str">
        <f>IF(BG173=AY173,"• Same",IF(INDEX(B_VAL,MATCH(BG173,B_LVL,0))&gt;INDEX(B_VAL,MATCH(AY173,B_LVL,0)),"▲ Up","▼ Down"))</f>
        <v>• Same</v>
      </c>
      <c r="BJ173" s="40" t="str">
        <f>IF(OR($M173="",$M173="—",$M173="Not in this file"),"",IFERROR(INDEX($BG$7:$BG$592,MATCH($M173,$D$7:$D$592,0)),""))</f>
        <v>D2</v>
      </c>
      <c r="BK173" s="40" t="str">
        <f>IFERROR(IF(BJ173="","—",IF(OR(LEFT(BG173,1)="X",LEFT(BJ173,1)="X"),"—",IF(AND(LEFT(BG173,1)="E",LEFT(BJ173,1)="E"),"Exception · Band E",IF(AND(INDEX(B_VAL,MATCH(BJ173,B_LVL,0))&gt;=7,INDEX(B_RANK,MATCH(BG173,B_LVL,0))&gt;=INDEX(B_RANK,MATCH(BJ173,B_LVL,0))),"⚠ Same band as a head manager",IF(INDEX(B_VAL,MATCH(BG173,B_LVL,0))&gt;=INDEX(B_VAL,MATCH(BJ173,B_LVL,0)),"⚠ At or above the manager's level","OK"))))),"—")</f>
        <v>OK</v>
      </c>
      <c r="BL173" s="43" t="n"/>
      <c r="BM173" s="44">
        <f>IFERROR(INDEX(LMH_PTS,MATCH(Y173,LMH_KEY,0)),0)</f>
        <v>9</v>
      </c>
      <c r="BN173" s="38">
        <f>IFERROR(INDEX(LMH_PTS,MATCH(Z173,LMH_KEY,0)),0)</f>
        <v>3</v>
      </c>
      <c r="BO173" s="38">
        <f>IFERROR(INDEX(LMH_PTS,MATCH(AA173,LMH_KEY,0)),0)</f>
        <v>1</v>
      </c>
      <c r="BP173" s="38">
        <f>IFERROR(INDEX(LMH_PTS,MATCH(AB173,LMH_KEY,0)),0)</f>
        <v>1</v>
      </c>
      <c r="BQ173" s="38">
        <f>IFERROR(INDEX(LMH_PTS,MATCH(AC173,LMH_KEY,0)),0)</f>
        <v>3</v>
      </c>
      <c r="BR173" s="38">
        <f>IFERROR(INDEX(LMH_PTS,MATCH(AD173,LMH_KEY,0)),0)</f>
        <v>1</v>
      </c>
      <c r="BS173" s="38">
        <f>IFERROR(INDEX(LMH_PTS,MATCH(AE173,LMH_KEY,0)),0)</f>
        <v>1</v>
      </c>
      <c r="BT173" s="38">
        <f>IFERROR(INDEX(LMH_STEP,MATCH(AF173,LMH_KEY,0)),0)</f>
        <v>0</v>
      </c>
      <c r="BU173" s="38">
        <f>IFERROR(INDEX(LMH_STEP,MATCH(AG173,LMH_KEY,0)),0)</f>
        <v>0</v>
      </c>
      <c r="BV173" s="38">
        <f>IFERROR(INDEX(LMH_STEP,MATCH(AH173,LMH_KEY,0)),0)</f>
        <v>0</v>
      </c>
      <c r="BW173" s="38">
        <f>IFERROR(INDEX(LMH_STEP,MATCH(AI173,LMH_KEY,0)),0)</f>
        <v>0</v>
      </c>
      <c r="BX173" s="38">
        <f>IFERROR(INDEX(LMH_STEP,MATCH(AJ173,LMH_KEY,0)),0)</f>
        <v>0</v>
      </c>
      <c r="BY173" s="38">
        <f>IFERROR(INDEX(LMH_STEP,MATCH(AK173,LMH_KEY,0)),0)</f>
        <v>0</v>
      </c>
      <c r="BZ173" s="38">
        <f>IFERROR(INDEX(LMH_STEP,MATCH(AL173,LMH_KEY,0)),0)</f>
        <v>0</v>
      </c>
      <c r="CA173" s="38" t="inlineStr">
        <is>
          <t>CARBON|Sales|Sales Operations Specialist – POD Lead|B1|B-IC</t>
        </is>
      </c>
    </row>
    <row r="174" ht="110" customHeight="1">
      <c r="A174" s="28" t="inlineStr">
        <is>
          <t>CARBON</t>
        </is>
      </c>
      <c r="B174" s="29" t="inlineStr">
        <is>
          <t>Support</t>
        </is>
      </c>
      <c r="C174" s="29" t="n">
        <v>4</v>
      </c>
      <c r="D174" s="29" t="inlineStr">
        <is>
          <t>IRIS0118</t>
        </is>
      </c>
      <c r="E174" s="29" t="inlineStr">
        <is>
          <t>Mayur Narvekar</t>
        </is>
      </c>
      <c r="F174" s="29" t="inlineStr">
        <is>
          <t>Image Processing Specialist</t>
        </is>
      </c>
      <c r="G174" s="29" t="inlineStr">
        <is>
          <t>MIS Specialist</t>
        </is>
      </c>
      <c r="H174" s="29" t="inlineStr">
        <is>
          <t>Data &amp; Analytics</t>
        </is>
      </c>
      <c r="I174" s="29" t="inlineStr">
        <is>
          <t>MIS &amp; Business Reporting</t>
        </is>
      </c>
      <c r="J174" s="29" t="inlineStr">
        <is>
          <t>IC</t>
        </is>
      </c>
      <c r="K174" s="29" t="inlineStr">
        <is>
          <t>RC-044</t>
        </is>
      </c>
      <c r="L174" s="29" t="inlineStr">
        <is>
          <t>Aniket Das</t>
        </is>
      </c>
      <c r="M174" s="29" t="inlineStr">
        <is>
          <t>IRIS2351</t>
        </is>
      </c>
      <c r="N174" s="29" t="n">
        <v>19.1</v>
      </c>
      <c r="O174" s="29" t="n">
        <v>19.1</v>
      </c>
      <c r="P174" s="29" t="inlineStr">
        <is>
          <t>B.Com</t>
        </is>
      </c>
      <c r="Q174" s="29" t="inlineStr">
        <is>
          <t>L3 – Professional / Associate</t>
        </is>
      </c>
      <c r="R174" s="29" t="inlineStr">
        <is>
          <t>A3</t>
        </is>
      </c>
      <c r="S174" s="30" t="inlineStr">
        <is>
          <t>18 of 20</t>
        </is>
      </c>
      <c r="T174" s="31" t="inlineStr">
        <is>
          <t>• Role / sub-team: Client Success / Support — Image Processing Specialist.
• Core purpose: Revenue and expenses operations and data analysis.
• Decision-making autonomy: Can independently handle revenue forecasting, ARR forecasting, client interaction, raising invoices, IR data preparation, and OF updates.
• Is this something only he does: Largely his …</t>
        </is>
      </c>
      <c r="U174" s="32" t="inlineStr">
        <is>
          <t>KRAs not received · manager to supply</t>
        </is>
      </c>
      <c r="V174" s="31" t="inlineStr">
        <is>
          <t>Latest rating: Not rated · manager · 9-box: Not placed · manager · Readiness: No rating data</t>
        </is>
      </c>
      <c r="W174" s="31" t="inlineStr">
        <is>
          <t>C M · Au M · Ac M · L L · BI M · Exp H · 19.1 yrs vs 2–4 yrs · Edu M · B.Com</t>
        </is>
      </c>
      <c r="X174" s="33" t="inlineStr">
        <is>
          <t>Open ▸</t>
        </is>
      </c>
      <c r="Y174" s="34" t="str">
        <f>IFERROR(INDEX(DL_C,MATCH($CA174,DL_KEY,0)),"M")</f>
        <v>H</v>
      </c>
      <c r="Z174" s="35" t="str">
        <f>IFERROR(INDEX(DL_Au,MATCH($CA174,DL_KEY,0)),"M")</f>
        <v>M</v>
      </c>
      <c r="AA174" s="35" t="str">
        <f>IFERROR(INDEX(DL_Ac,MATCH($CA174,DL_KEY,0)),"M")</f>
        <v>M</v>
      </c>
      <c r="AB174" s="35" t="str">
        <f>IFERROR(INDEX(DL_L,MATCH($CA174,DL_KEY,0)),"M")</f>
        <v>L</v>
      </c>
      <c r="AC174" s="35" t="str">
        <f>IFERROR(INDEX(DL_BI,MATCH($CA174,DL_KEY,0)),"M")</f>
        <v>L</v>
      </c>
      <c r="AD174" s="35" t="str">
        <f>IFERROR(INDEX(DL_Exp,MATCH($CA174,DL_KEY,0)),"M")</f>
        <v>L</v>
      </c>
      <c r="AE174" s="35" t="str">
        <f>IFERROR(INDEX(DL_Edu,MATCH($CA174,DL_KEY,0)),"M")</f>
        <v>L</v>
      </c>
      <c r="AF174" s="34" t="inlineStr">
        <is>
          <t>M</t>
        </is>
      </c>
      <c r="AG174" s="35" t="inlineStr">
        <is>
          <t>M</t>
        </is>
      </c>
      <c r="AH174" s="35" t="inlineStr">
        <is>
          <t>M</t>
        </is>
      </c>
      <c r="AI174" s="35" t="inlineStr">
        <is>
          <t>M</t>
        </is>
      </c>
      <c r="AJ174" s="35" t="inlineStr">
        <is>
          <t>M</t>
        </is>
      </c>
      <c r="AK174" s="35" t="inlineStr">
        <is>
          <t>M</t>
        </is>
      </c>
      <c r="AL174" s="35" t="inlineStr">
        <is>
          <t>M</t>
        </is>
      </c>
      <c r="AM174" s="36" t="n">
        <v>0.583</v>
      </c>
      <c r="AN174" s="37" t="n">
        <v>0.16</v>
      </c>
      <c r="AO174" s="37" t="n">
        <v>0.09</v>
      </c>
      <c r="AP174" s="37" t="n">
        <v>0</v>
      </c>
      <c r="AQ174" s="37" t="n">
        <v>0.063</v>
      </c>
      <c r="AR174" s="37" t="n">
        <v>0.06</v>
      </c>
      <c r="AS174" s="37" t="n">
        <v>0.04</v>
      </c>
      <c r="AT174" s="38" t="inlineStr">
        <is>
          <t>2–5</t>
        </is>
      </c>
      <c r="AU174" s="38" t="inlineStr">
        <is>
          <t>Graduate; relevant certification preferred</t>
        </is>
      </c>
      <c r="AV174" s="38" t="inlineStr">
        <is>
          <t>None · guides 1–3 juniors informally</t>
        </is>
      </c>
      <c r="AW174" s="38" t="inlineStr">
        <is>
          <t>P2 · SFIA 3 Apply</t>
        </is>
      </c>
      <c r="AX17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74" s="39" t="inlineStr">
        <is>
          <t>A3</t>
        </is>
      </c>
      <c r="AZ174" s="40" t="inlineStr">
        <is>
          <t>Band A · Practitioner · Senior Associate</t>
        </is>
      </c>
      <c r="BA174" s="40" t="inlineStr">
        <is>
          <t>Model A3 from the six ratings, the market-derived weights and rules R1–R13 · then No change · already below the manager</t>
        </is>
      </c>
      <c r="BB174" s="41" t="inlineStr">
        <is>
          <t>B1</t>
        </is>
      </c>
      <c r="BC174" s="40" t="inlineStr">
        <is>
          <t>The six ratings on the market-average weights of Band A · all tracks score 3.57 → B1 · Hay, Mercer IPE and public plans · experience 19.1 yrs vs the B1 market range 4–8</t>
        </is>
      </c>
      <c r="BD174" s="42">
        <f>IF(SUM(BM174,BN174,BO174,BP174,BQ174,BR174,BS174)=0,0,(BM174*BT174+BN174*BU174+BO174*BV174+BP174*BW174+BQ174*BX174+BR174*BY174+BS174*BZ174)/SUM(BM174,BN174,BO174,BP174,BQ174,BR174,BS174))</f>
        <v>0</v>
      </c>
      <c r="BE174" s="41" t="str">
        <f>IF(LEFT(AY174,1)="X",AY174,IF(OR(AY174="B+",AY174="C+"),INDEX(LAD_PC,MAX(1,MIN(14,MATCH(AY174,LAD_PC,0)+IF(BD174&gt;=0.5,1,IF(BD174&lt;=-0.5,-1,0))))),INDEX(LAD_STD,MAX(1,MIN(12,MATCH(AY174,LAD_STD,0)+IF(BD174&gt;=0.5,1,IF(BD174&lt;=-0.5,-1,0)))))))</f>
        <v>A3</v>
      </c>
      <c r="BF174" s="43" t="n"/>
      <c r="BG174" s="41" t="str">
        <f>IF(BF174&lt;&gt;"",BF174,BE174)</f>
        <v>A3</v>
      </c>
      <c r="BH174" s="40" t="str">
        <f>IFERROR(CHOOSE(INDEX(B_RANK,MATCH(BG174,B_LVL,0)),"Band A","Band B","B+ · Player-Coach","Band C","C+ · Player-Coach","Band D","Band E"),"Band X · Consultant")</f>
        <v>Band A</v>
      </c>
      <c r="BI174" s="40" t="str">
        <f>IF(BG174=AY174,"• Same",IF(INDEX(B_VAL,MATCH(BG174,B_LVL,0))&gt;INDEX(B_VAL,MATCH(AY174,B_LVL,0)),"▲ Up","▼ Down"))</f>
        <v>• Same</v>
      </c>
      <c r="BJ174" s="40" t="str">
        <f>IF(OR($M174="",$M174="—",$M174="Not in this file"),"",IFERROR(INDEX($BG$7:$BG$592,MATCH($M174,$D$7:$D$592,0)),""))</f>
        <v>B1</v>
      </c>
      <c r="BK174" s="40" t="str">
        <f>IFERROR(IF(BJ174="","—",IF(OR(LEFT(BG174,1)="X",LEFT(BJ174,1)="X"),"—",IF(AND(LEFT(BG174,1)="E",LEFT(BJ174,1)="E"),"Exception · Band E",IF(AND(INDEX(B_VAL,MATCH(BJ174,B_LVL,0))&gt;=7,INDEX(B_RANK,MATCH(BG174,B_LVL,0))&gt;=INDEX(B_RANK,MATCH(BJ174,B_LVL,0))),"⚠ Same band as a head manager",IF(INDEX(B_VAL,MATCH(BG174,B_LVL,0))&gt;=INDEX(B_VAL,MATCH(BJ174,B_LVL,0)),"⚠ At or above the manager's level","OK"))))),"—")</f>
        <v>OK</v>
      </c>
      <c r="BL174" s="43" t="n"/>
      <c r="BM174" s="44">
        <f>IFERROR(INDEX(LMH_PTS,MATCH(Y174,LMH_KEY,0)),0)</f>
        <v>9</v>
      </c>
      <c r="BN174" s="38">
        <f>IFERROR(INDEX(LMH_PTS,MATCH(Z174,LMH_KEY,0)),0)</f>
        <v>3</v>
      </c>
      <c r="BO174" s="38">
        <f>IFERROR(INDEX(LMH_PTS,MATCH(AA174,LMH_KEY,0)),0)</f>
        <v>3</v>
      </c>
      <c r="BP174" s="38">
        <f>IFERROR(INDEX(LMH_PTS,MATCH(AB174,LMH_KEY,0)),0)</f>
        <v>1</v>
      </c>
      <c r="BQ174" s="38">
        <f>IFERROR(INDEX(LMH_PTS,MATCH(AC174,LMH_KEY,0)),0)</f>
        <v>1</v>
      </c>
      <c r="BR174" s="38">
        <f>IFERROR(INDEX(LMH_PTS,MATCH(AD174,LMH_KEY,0)),0)</f>
        <v>1</v>
      </c>
      <c r="BS174" s="38">
        <f>IFERROR(INDEX(LMH_PTS,MATCH(AE174,LMH_KEY,0)),0)</f>
        <v>1</v>
      </c>
      <c r="BT174" s="38">
        <f>IFERROR(INDEX(LMH_STEP,MATCH(AF174,LMH_KEY,0)),0)</f>
        <v>0</v>
      </c>
      <c r="BU174" s="38">
        <f>IFERROR(INDEX(LMH_STEP,MATCH(AG174,LMH_KEY,0)),0)</f>
        <v>0</v>
      </c>
      <c r="BV174" s="38">
        <f>IFERROR(INDEX(LMH_STEP,MATCH(AH174,LMH_KEY,0)),0)</f>
        <v>0</v>
      </c>
      <c r="BW174" s="38">
        <f>IFERROR(INDEX(LMH_STEP,MATCH(AI174,LMH_KEY,0)),0)</f>
        <v>0</v>
      </c>
      <c r="BX174" s="38">
        <f>IFERROR(INDEX(LMH_STEP,MATCH(AJ174,LMH_KEY,0)),0)</f>
        <v>0</v>
      </c>
      <c r="BY174" s="38">
        <f>IFERROR(INDEX(LMH_STEP,MATCH(AK174,LMH_KEY,0)),0)</f>
        <v>0</v>
      </c>
      <c r="BZ174" s="38">
        <f>IFERROR(INDEX(LMH_STEP,MATCH(AL174,LMH_KEY,0)),0)</f>
        <v>0</v>
      </c>
      <c r="CA174" s="38" t="inlineStr">
        <is>
          <t>CARBON|Support|MIS Specialist|A3|A</t>
        </is>
      </c>
    </row>
    <row r="175" ht="110" customHeight="1">
      <c r="A175" s="28" t="inlineStr">
        <is>
          <t>CARBON</t>
        </is>
      </c>
      <c r="B175" s="29" t="inlineStr">
        <is>
          <t>Sales</t>
        </is>
      </c>
      <c r="C175" s="29" t="n">
        <v>3</v>
      </c>
      <c r="D175" s="29" t="inlineStr">
        <is>
          <t>IRISC345</t>
        </is>
      </c>
      <c r="E175" s="29" t="inlineStr">
        <is>
          <t>Andrea Messiga</t>
        </is>
      </c>
      <c r="F175" s="29" t="inlineStr">
        <is>
          <t>Regional Manager- Business Development</t>
        </is>
      </c>
      <c r="G175" s="29" t="inlineStr">
        <is>
          <t>Senior Consultant – Enterprise Sales &amp; Account Management</t>
        </is>
      </c>
      <c r="H175" s="29" t="inlineStr">
        <is>
          <t>Sales &amp; Business Development</t>
        </is>
      </c>
      <c r="I175" s="29" t="inlineStr">
        <is>
          <t>Enterprise Sales &amp; Account Management</t>
        </is>
      </c>
      <c r="J175" s="29" t="inlineStr">
        <is>
          <t>Consultant</t>
        </is>
      </c>
      <c r="K175" s="29" t="inlineStr">
        <is>
          <t>RC-154</t>
        </is>
      </c>
      <c r="L175" s="29" t="inlineStr">
        <is>
          <t>Anuradha RK</t>
        </is>
      </c>
      <c r="M175" s="29" t="inlineStr">
        <is>
          <t>IRIS0391</t>
        </is>
      </c>
      <c r="N175" s="29" t="inlineStr">
        <is>
          <t>Not provided · HRIS</t>
        </is>
      </c>
      <c r="O175" s="29" t="n">
        <v>0.5</v>
      </c>
      <c r="P175" s="29" t="inlineStr">
        <is>
          <t>Not provided · HRIS</t>
        </is>
      </c>
      <c r="Q175" s="29" t="inlineStr">
        <is>
          <t>—</t>
        </is>
      </c>
      <c r="R175" s="29" t="inlineStr">
        <is>
          <t>X3</t>
        </is>
      </c>
      <c r="S175" s="30" t="inlineStr">
        <is>
          <t>0 of 20</t>
        </is>
      </c>
      <c r="T175" s="32" t="inlineStr">
        <is>
          <t>No survey response on file</t>
        </is>
      </c>
      <c r="U175" s="32" t="inlineStr">
        <is>
          <t>KRAs not received · manager to supply</t>
        </is>
      </c>
      <c r="V175" s="31" t="inlineStr">
        <is>
          <t>Latest rating: Not rated · manager · Readiness: n/a · consultant</t>
        </is>
      </c>
      <c r="W175" s="31" t="inlineStr">
        <is>
          <t>Consultant · outside the ladder</t>
        </is>
      </c>
      <c r="X175" s="33" t="inlineStr">
        <is>
          <t>Open ▸</t>
        </is>
      </c>
      <c r="Y175" s="34" t="n"/>
      <c r="Z175" s="35" t="n"/>
      <c r="AA175" s="35" t="n"/>
      <c r="AB175" s="35" t="n"/>
      <c r="AC175" s="35" t="n"/>
      <c r="AD175" s="35" t="n"/>
      <c r="AE175" s="35" t="n"/>
      <c r="AF175" s="34" t="n"/>
      <c r="AG175" s="35" t="n"/>
      <c r="AH175" s="35" t="n"/>
      <c r="AI175" s="35" t="n"/>
      <c r="AJ175" s="35" t="n"/>
      <c r="AK175" s="35" t="n"/>
      <c r="AL175" s="35" t="n"/>
      <c r="AM175" s="36" t="n"/>
      <c r="AN175" s="37" t="n"/>
      <c r="AO175" s="37" t="n"/>
      <c r="AP175" s="37" t="n"/>
      <c r="AQ175" s="37" t="n"/>
      <c r="AR175" s="37" t="n"/>
      <c r="AS175" s="37" t="n"/>
      <c r="AT175" s="38" t="n"/>
      <c r="AU175" s="38" t="n"/>
      <c r="AV175" s="38" t="n"/>
      <c r="AW175" s="38" t="inlineStr">
        <is>
          <t>—</t>
        </is>
      </c>
      <c r="AX17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75" s="39" t="inlineStr">
        <is>
          <t>X3</t>
        </is>
      </c>
      <c r="AZ175" s="40" t="inlineStr">
        <is>
          <t xml:space="preserve">Band X · Consultant · </t>
        </is>
      </c>
      <c r="BA175" s="40" t="inlineStr">
        <is>
          <t>Model X3 from the six ratings, the market-derived weights and rules R1–R13 · then Consultant · outside the ladder</t>
        </is>
      </c>
      <c r="BB175" s="41" t="n"/>
      <c r="BC175" s="40" t="inlineStr">
        <is>
          <t>Consultant · outside the ladder</t>
        </is>
      </c>
      <c r="BD175" s="42">
        <f>IF(SUM(BM175,BN175,BO175,BP175,BQ175,BR175,BS175)=0,0,(BM175*BT175+BN175*BU175+BO175*BV175+BP175*BW175+BQ175*BX175+BR175*BY175+BS175*BZ175)/SUM(BM175,BN175,BO175,BP175,BQ175,BR175,BS175))</f>
        <v>0</v>
      </c>
      <c r="BE175" s="41" t="str">
        <f>IF(LEFT(AY175,1)="X",AY175,IF(OR(AY175="B+",AY175="C+"),INDEX(LAD_PC,MAX(1,MIN(14,MATCH(AY175,LAD_PC,0)+IF(BD175&gt;=0.5,1,IF(BD175&lt;=-0.5,-1,0))))),INDEX(LAD_STD,MAX(1,MIN(12,MATCH(AY175,LAD_STD,0)+IF(BD175&gt;=0.5,1,IF(BD175&lt;=-0.5,-1,0)))))))</f>
        <v>X3</v>
      </c>
      <c r="BF175" s="43" t="n"/>
      <c r="BG175" s="41" t="str">
        <f>IF(BF175&lt;&gt;"",BF175,BE175)</f>
        <v>X3</v>
      </c>
      <c r="BH175" s="40" t="str">
        <f>IFERROR(CHOOSE(INDEX(B_RANK,MATCH(BG175,B_LVL,0)),"Band A","Band B","B+ · Player-Coach","Band C","C+ · Player-Coach","Band D","Band E"),"Band X · Consultant")</f>
        <v>Band X · Consultant</v>
      </c>
      <c r="BI175" s="40" t="str">
        <f>IF(BG175=AY175,"• Same",IF(INDEX(B_VAL,MATCH(BG175,B_LVL,0))&gt;INDEX(B_VAL,MATCH(AY175,B_LVL,0)),"▲ Up","▼ Down"))</f>
        <v>• Same</v>
      </c>
      <c r="BJ175" s="40" t="str">
        <f>IF(OR($M175="",$M175="—",$M175="Not in this file"),"",IFERROR(INDEX($BG$7:$BG$592,MATCH($M175,$D$7:$D$592,0)),""))</f>
        <v>D2</v>
      </c>
      <c r="BK175" s="40" t="str">
        <f>IFERROR(IF(BJ175="","—",IF(OR(LEFT(BG175,1)="X",LEFT(BJ175,1)="X"),"—",IF(AND(LEFT(BG175,1)="E",LEFT(BJ175,1)="E"),"Exception · Band E",IF(AND(INDEX(B_VAL,MATCH(BJ175,B_LVL,0))&gt;=7,INDEX(B_RANK,MATCH(BG175,B_LVL,0))&gt;=INDEX(B_RANK,MATCH(BJ175,B_LVL,0))),"⚠ Same band as a head manager",IF(INDEX(B_VAL,MATCH(BG175,B_LVL,0))&gt;=INDEX(B_VAL,MATCH(BJ175,B_LVL,0)),"⚠ At or above the manager's level","OK"))))),"—")</f>
        <v>—</v>
      </c>
      <c r="BL175" s="43" t="n"/>
      <c r="BM175" s="44">
        <f>IFERROR(INDEX(LMH_PTS,MATCH(Y175,LMH_KEY,0)),0)</f>
        <v>0</v>
      </c>
      <c r="BN175" s="38">
        <f>IFERROR(INDEX(LMH_PTS,MATCH(Z175,LMH_KEY,0)),0)</f>
        <v>0</v>
      </c>
      <c r="BO175" s="38">
        <f>IFERROR(INDEX(LMH_PTS,MATCH(AA175,LMH_KEY,0)),0)</f>
        <v>0</v>
      </c>
      <c r="BP175" s="38">
        <f>IFERROR(INDEX(LMH_PTS,MATCH(AB175,LMH_KEY,0)),0)</f>
        <v>0</v>
      </c>
      <c r="BQ175" s="38">
        <f>IFERROR(INDEX(LMH_PTS,MATCH(AC175,LMH_KEY,0)),0)</f>
        <v>0</v>
      </c>
      <c r="BR175" s="38">
        <f>IFERROR(INDEX(LMH_PTS,MATCH(AD175,LMH_KEY,0)),0)</f>
        <v>0</v>
      </c>
      <c r="BS175" s="38">
        <f>IFERROR(INDEX(LMH_PTS,MATCH(AE175,LMH_KEY,0)),0)</f>
        <v>0</v>
      </c>
      <c r="BT175" s="38">
        <f>IFERROR(INDEX(LMH_STEP,MATCH(AF175,LMH_KEY,0)),0)</f>
        <v>0</v>
      </c>
      <c r="BU175" s="38">
        <f>IFERROR(INDEX(LMH_STEP,MATCH(AG175,LMH_KEY,0)),0)</f>
        <v>0</v>
      </c>
      <c r="BV175" s="38">
        <f>IFERROR(INDEX(LMH_STEP,MATCH(AH175,LMH_KEY,0)),0)</f>
        <v>0</v>
      </c>
      <c r="BW175" s="38">
        <f>IFERROR(INDEX(LMH_STEP,MATCH(AI175,LMH_KEY,0)),0)</f>
        <v>0</v>
      </c>
      <c r="BX175" s="38">
        <f>IFERROR(INDEX(LMH_STEP,MATCH(AJ175,LMH_KEY,0)),0)</f>
        <v>0</v>
      </c>
      <c r="BY175" s="38">
        <f>IFERROR(INDEX(LMH_STEP,MATCH(AK175,LMH_KEY,0)),0)</f>
        <v>0</v>
      </c>
      <c r="BZ175" s="38">
        <f>IFERROR(INDEX(LMH_STEP,MATCH(AL175,LMH_KEY,0)),0)</f>
        <v>0</v>
      </c>
      <c r="CA175" s="38" t="inlineStr">
        <is>
          <t>CARBON|Sales|Senior Consultant – Enterprise Sales &amp; Account Management|X3|X</t>
        </is>
      </c>
    </row>
    <row r="176" ht="110" customHeight="1">
      <c r="A176" s="28" t="inlineStr">
        <is>
          <t>Corporate</t>
        </is>
      </c>
      <c r="B176" s="29" t="inlineStr">
        <is>
          <t>Finance</t>
        </is>
      </c>
      <c r="C176" s="29" t="n">
        <v>1</v>
      </c>
      <c r="D176" s="29" t="inlineStr">
        <is>
          <t>IRIS0919</t>
        </is>
      </c>
      <c r="E176" s="29" t="inlineStr">
        <is>
          <t>Vineet Kandoi</t>
        </is>
      </c>
      <c r="F176" s="29" t="inlineStr">
        <is>
          <t>Chief Financial Officer</t>
        </is>
      </c>
      <c r="G176" s="29" t="inlineStr">
        <is>
          <t>Chief Financial Officer</t>
        </is>
      </c>
      <c r="H176" s="29" t="inlineStr">
        <is>
          <t>Enterprise Leadership</t>
        </is>
      </c>
      <c r="I176" s="29" t="inlineStr">
        <is>
          <t>Chief Officers · CXO</t>
        </is>
      </c>
      <c r="J176" s="29" t="inlineStr">
        <is>
          <t>People Manager</t>
        </is>
      </c>
      <c r="K176" s="29" t="inlineStr">
        <is>
          <t>RC-EN-CO-E1</t>
        </is>
      </c>
      <c r="L176" s="29" t="inlineStr">
        <is>
          <t>Balachandran K</t>
        </is>
      </c>
      <c r="M176" s="29" t="inlineStr">
        <is>
          <t>IRIS0001</t>
        </is>
      </c>
      <c r="N176" s="29" t="n">
        <v>15</v>
      </c>
      <c r="O176" s="29" t="n">
        <v>15</v>
      </c>
      <c r="P176" s="29" t="inlineStr">
        <is>
          <t>CA + Senior Management Program</t>
        </is>
      </c>
      <c r="Q176" s="29" t="inlineStr">
        <is>
          <t>Not in current mapping files</t>
        </is>
      </c>
      <c r="R176" s="29" t="inlineStr">
        <is>
          <t>E1</t>
        </is>
      </c>
      <c r="S176" s="30" t="inlineStr">
        <is>
          <t>0 of 20</t>
        </is>
      </c>
      <c r="T176" s="31"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t>
        </is>
      </c>
      <c r="U176" s="32" t="inlineStr">
        <is>
          <t>KRAs not received · manager to supply</t>
        </is>
      </c>
      <c r="V176" s="31" t="inlineStr">
        <is>
          <t>Latest rating: Not rated · manager · 9-box: Not placed · manager · Readiness: No rating data</t>
        </is>
      </c>
      <c r="W176" s="31" t="inlineStr">
        <is>
          <t>C M · Au M · Ac M · L M · BI M · Exp L · 15 yrs vs 20+ yrs · Edu H · CA + Senior Management Program</t>
        </is>
      </c>
      <c r="X176" s="33" t="inlineStr">
        <is>
          <t>Open ▸</t>
        </is>
      </c>
      <c r="Y176" s="34" t="str">
        <f>IFERROR(INDEX(DL_C,MATCH($CA176,DL_KEY,0)),"M")</f>
        <v>H</v>
      </c>
      <c r="Z176" s="35" t="str">
        <f>IFERROR(INDEX(DL_Au,MATCH($CA176,DL_KEY,0)),"M")</f>
        <v>M</v>
      </c>
      <c r="AA176" s="35" t="str">
        <f>IFERROR(INDEX(DL_Ac,MATCH($CA176,DL_KEY,0)),"M")</f>
        <v>M</v>
      </c>
      <c r="AB176" s="35" t="str">
        <f>IFERROR(INDEX(DL_L,MATCH($CA176,DL_KEY,0)),"M")</f>
        <v>M</v>
      </c>
      <c r="AC176" s="35" t="str">
        <f>IFERROR(INDEX(DL_BI,MATCH($CA176,DL_KEY,0)),"M")</f>
        <v>L</v>
      </c>
      <c r="AD176" s="35" t="str">
        <f>IFERROR(INDEX(DL_Exp,MATCH($CA176,DL_KEY,0)),"M")</f>
        <v>L</v>
      </c>
      <c r="AE176" s="35" t="str">
        <f>IFERROR(INDEX(DL_Edu,MATCH($CA176,DL_KEY,0)),"M")</f>
        <v>L</v>
      </c>
      <c r="AF176" s="34" t="inlineStr">
        <is>
          <t>M</t>
        </is>
      </c>
      <c r="AG176" s="35" t="inlineStr">
        <is>
          <t>M</t>
        </is>
      </c>
      <c r="AH176" s="35" t="inlineStr">
        <is>
          <t>M</t>
        </is>
      </c>
      <c r="AI176" s="35" t="inlineStr">
        <is>
          <t>M</t>
        </is>
      </c>
      <c r="AJ176" s="35" t="inlineStr">
        <is>
          <t>M</t>
        </is>
      </c>
      <c r="AK176" s="35" t="inlineStr">
        <is>
          <t>M</t>
        </is>
      </c>
      <c r="AL176" s="35" t="inlineStr">
        <is>
          <t>M</t>
        </is>
      </c>
      <c r="AM176" s="36" t="n">
        <v>0.363</v>
      </c>
      <c r="AN176" s="37" t="n">
        <v>0.19</v>
      </c>
      <c r="AO176" s="37" t="n">
        <v>0.113</v>
      </c>
      <c r="AP176" s="37" t="n">
        <v>0.2</v>
      </c>
      <c r="AQ176" s="37" t="n">
        <v>0.08699999999999999</v>
      </c>
      <c r="AR176" s="37" t="n">
        <v>0.04</v>
      </c>
      <c r="AS176" s="37" t="n">
        <v>0.01</v>
      </c>
      <c r="AT176" s="38" t="inlineStr">
        <is>
          <t>20+ yrs</t>
        </is>
      </c>
      <c r="AU176" s="38" t="inlineStr">
        <is>
          <t>Postgraduate / professional qualification; business leadership record</t>
        </is>
      </c>
      <c r="AV176" s="38" t="inlineStr">
        <is>
          <t>5–8 function heads</t>
        </is>
      </c>
      <c r="AW176" s="38" t="inlineStr">
        <is>
          <t>E5 · SFIA 7</t>
        </is>
      </c>
      <c r="AX17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76" s="39" t="inlineStr">
        <is>
          <t>E1</t>
        </is>
      </c>
      <c r="AZ176" s="40" t="inlineStr">
        <is>
          <t>Band E · Enterprise leadership · CXO / President</t>
        </is>
      </c>
      <c r="BA176" s="40" t="inlineStr">
        <is>
          <t>Model E1 from the six ratings, the market-derived weights and rules R1–R13 · then Band E with Band E · agreed exception · manager E2</t>
        </is>
      </c>
      <c r="BB176" s="41" t="inlineStr">
        <is>
          <t>E1</t>
        </is>
      </c>
      <c r="BC176" s="40" t="inlineStr">
        <is>
          <t>The six ratings on the market-average weights of Bands D–E · Leadership score 10.90 → E1 · Hay, Mercer IPE and public plans · experience 15 yrs vs the E1 market range 20+ yrs</t>
        </is>
      </c>
      <c r="BD176" s="42">
        <f>IF(SUM(BM176,BN176,BO176,BP176,BQ176,BR176,BS176)=0,0,(BM176*BT176+BN176*BU176+BO176*BV176+BP176*BW176+BQ176*BX176+BR176*BY176+BS176*BZ176)/SUM(BM176,BN176,BO176,BP176,BQ176,BR176,BS176))</f>
        <v>0</v>
      </c>
      <c r="BE176" s="41" t="str">
        <f>IF(LEFT(AY176,1)="X",AY176,IF(OR(AY176="B+",AY176="C+"),INDEX(LAD_PC,MAX(1,MIN(14,MATCH(AY176,LAD_PC,0)+IF(BD176&gt;=0.5,1,IF(BD176&lt;=-0.5,-1,0))))),INDEX(LAD_STD,MAX(1,MIN(12,MATCH(AY176,LAD_STD,0)+IF(BD176&gt;=0.5,1,IF(BD176&lt;=-0.5,-1,0)))))))</f>
        <v>E1</v>
      </c>
      <c r="BF176" s="43" t="n"/>
      <c r="BG176" s="41" t="str">
        <f>IF(BF176&lt;&gt;"",BF176,BE176)</f>
        <v>E1</v>
      </c>
      <c r="BH176" s="40" t="str">
        <f>IFERROR(CHOOSE(INDEX(B_RANK,MATCH(BG176,B_LVL,0)),"Band A","Band B","B+ · Player-Coach","Band C","C+ · Player-Coach","Band D","Band E"),"Band X · Consultant")</f>
        <v>Band E</v>
      </c>
      <c r="BI176" s="40" t="str">
        <f>IF(BG176=AY176,"• Same",IF(INDEX(B_VAL,MATCH(BG176,B_LVL,0))&gt;INDEX(B_VAL,MATCH(AY176,B_LVL,0)),"▲ Up","▼ Down"))</f>
        <v>• Same</v>
      </c>
      <c r="BJ176" s="40" t="str">
        <f>IF(OR($M176="",$M176="—",$M176="Not in this file"),"",IFERROR(INDEX($BG$7:$BG$592,MATCH($M176,$D$7:$D$592,0)),""))</f>
        <v>E2</v>
      </c>
      <c r="BK176" s="40" t="str">
        <f>IFERROR(IF(BJ176="","—",IF(OR(LEFT(BG176,1)="X",LEFT(BJ176,1)="X"),"—",IF(AND(LEFT(BG176,1)="E",LEFT(BJ176,1)="E"),"Exception · Band E",IF(AND(INDEX(B_VAL,MATCH(BJ176,B_LVL,0))&gt;=7,INDEX(B_RANK,MATCH(BG176,B_LVL,0))&gt;=INDEX(B_RANK,MATCH(BJ176,B_LVL,0))),"⚠ Same band as a head manager",IF(INDEX(B_VAL,MATCH(BG176,B_LVL,0))&gt;=INDEX(B_VAL,MATCH(BJ176,B_LVL,0)),"⚠ At or above the manager's level","OK"))))),"—")</f>
        <v>Exception · Band E</v>
      </c>
      <c r="BL176" s="43" t="n"/>
      <c r="BM176" s="44">
        <f>IFERROR(INDEX(LMH_PTS,MATCH(Y176,LMH_KEY,0)),0)</f>
        <v>9</v>
      </c>
      <c r="BN176" s="38">
        <f>IFERROR(INDEX(LMH_PTS,MATCH(Z176,LMH_KEY,0)),0)</f>
        <v>3</v>
      </c>
      <c r="BO176" s="38">
        <f>IFERROR(INDEX(LMH_PTS,MATCH(AA176,LMH_KEY,0)),0)</f>
        <v>3</v>
      </c>
      <c r="BP176" s="38">
        <f>IFERROR(INDEX(LMH_PTS,MATCH(AB176,LMH_KEY,0)),0)</f>
        <v>3</v>
      </c>
      <c r="BQ176" s="38">
        <f>IFERROR(INDEX(LMH_PTS,MATCH(AC176,LMH_KEY,0)),0)</f>
        <v>1</v>
      </c>
      <c r="BR176" s="38">
        <f>IFERROR(INDEX(LMH_PTS,MATCH(AD176,LMH_KEY,0)),0)</f>
        <v>1</v>
      </c>
      <c r="BS176" s="38">
        <f>IFERROR(INDEX(LMH_PTS,MATCH(AE176,LMH_KEY,0)),0)</f>
        <v>1</v>
      </c>
      <c r="BT176" s="38">
        <f>IFERROR(INDEX(LMH_STEP,MATCH(AF176,LMH_KEY,0)),0)</f>
        <v>0</v>
      </c>
      <c r="BU176" s="38">
        <f>IFERROR(INDEX(LMH_STEP,MATCH(AG176,LMH_KEY,0)),0)</f>
        <v>0</v>
      </c>
      <c r="BV176" s="38">
        <f>IFERROR(INDEX(LMH_STEP,MATCH(AH176,LMH_KEY,0)),0)</f>
        <v>0</v>
      </c>
      <c r="BW176" s="38">
        <f>IFERROR(INDEX(LMH_STEP,MATCH(AI176,LMH_KEY,0)),0)</f>
        <v>0</v>
      </c>
      <c r="BX176" s="38">
        <f>IFERROR(INDEX(LMH_STEP,MATCH(AJ176,LMH_KEY,0)),0)</f>
        <v>0</v>
      </c>
      <c r="BY176" s="38">
        <f>IFERROR(INDEX(LMH_STEP,MATCH(AK176,LMH_KEY,0)),0)</f>
        <v>0</v>
      </c>
      <c r="BZ176" s="38">
        <f>IFERROR(INDEX(LMH_STEP,MATCH(AL176,LMH_KEY,0)),0)</f>
        <v>0</v>
      </c>
      <c r="CA176" s="38" t="inlineStr">
        <is>
          <t>Corporate|Finance|Chief Financial Officer|E1|DE</t>
        </is>
      </c>
    </row>
    <row r="177" ht="110" customHeight="1">
      <c r="A177" s="28" t="inlineStr">
        <is>
          <t>Corporate</t>
        </is>
      </c>
      <c r="B177" s="29" t="inlineStr">
        <is>
          <t>Finance</t>
        </is>
      </c>
      <c r="C177" s="29" t="n">
        <v>2</v>
      </c>
      <c r="D177" s="29" t="inlineStr">
        <is>
          <t>IRIS1918</t>
        </is>
      </c>
      <c r="E177" s="29" t="inlineStr">
        <is>
          <t>Nishant Gupta</t>
        </is>
      </c>
      <c r="F177" s="29" t="inlineStr">
        <is>
          <t>Head Finance &amp; Accounts</t>
        </is>
      </c>
      <c r="G177" s="29" t="inlineStr">
        <is>
          <t>Associate Head – Finance &amp; Accounts</t>
        </is>
      </c>
      <c r="H177" s="29" t="inlineStr">
        <is>
          <t>Finance &amp; Accounts</t>
        </is>
      </c>
      <c r="I177" s="29" t="inlineStr">
        <is>
          <t>Finance Leadership</t>
        </is>
      </c>
      <c r="J177" s="29" t="inlineStr">
        <is>
          <t>People Manager</t>
        </is>
      </c>
      <c r="K177" s="29" t="inlineStr">
        <is>
          <t>RC-097</t>
        </is>
      </c>
      <c r="L177" s="29" t="inlineStr">
        <is>
          <t>Vineet Kandoi</t>
        </is>
      </c>
      <c r="M177" s="29" t="inlineStr">
        <is>
          <t>IRIS0919</t>
        </is>
      </c>
      <c r="N177" s="29" t="n">
        <v>7.3</v>
      </c>
      <c r="O177" s="29" t="n">
        <v>5.3</v>
      </c>
      <c r="P177" s="29" t="inlineStr">
        <is>
          <t>CA</t>
        </is>
      </c>
      <c r="Q177" s="29" t="inlineStr">
        <is>
          <t>Not in current mapping files</t>
        </is>
      </c>
      <c r="R177" s="29" t="inlineStr">
        <is>
          <t>C1</t>
        </is>
      </c>
      <c r="S177" s="30" t="inlineStr">
        <is>
          <t>0 of 20</t>
        </is>
      </c>
      <c r="T177" s="31"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t>
        </is>
      </c>
      <c r="U177" s="32" t="inlineStr">
        <is>
          <t>KRAs not received · manager to supply</t>
        </is>
      </c>
      <c r="V177" s="31" t="inlineStr">
        <is>
          <t>Latest rating: Not rated · manager · 9-box: Not placed · manager · Readiness: No rating data</t>
        </is>
      </c>
      <c r="W177" s="31" t="inlineStr">
        <is>
          <t>C H · Au H · Ac M · L M · BI M · Exp L · 7.3 yrs vs 10–14 yrs · Edu H · CA</t>
        </is>
      </c>
      <c r="X177" s="33" t="inlineStr">
        <is>
          <t>Open ▸</t>
        </is>
      </c>
      <c r="Y177" s="34" t="str">
        <f>IFERROR(INDEX(DL_C,MATCH($CA177,DL_KEY,0)),"M")</f>
        <v>H</v>
      </c>
      <c r="Z177" s="35" t="str">
        <f>IFERROR(INDEX(DL_Au,MATCH($CA177,DL_KEY,0)),"M")</f>
        <v>M</v>
      </c>
      <c r="AA177" s="35" t="str">
        <f>IFERROR(INDEX(DL_Ac,MATCH($CA177,DL_KEY,0)),"M")</f>
        <v>M</v>
      </c>
      <c r="AB177" s="35" t="str">
        <f>IFERROR(INDEX(DL_L,MATCH($CA177,DL_KEY,0)),"M")</f>
        <v>M</v>
      </c>
      <c r="AC177" s="35" t="str">
        <f>IFERROR(INDEX(DL_BI,MATCH($CA177,DL_KEY,0)),"M")</f>
        <v>L</v>
      </c>
      <c r="AD177" s="35" t="str">
        <f>IFERROR(INDEX(DL_Exp,MATCH($CA177,DL_KEY,0)),"M")</f>
        <v>L</v>
      </c>
      <c r="AE177" s="35" t="str">
        <f>IFERROR(INDEX(DL_Edu,MATCH($CA177,DL_KEY,0)),"M")</f>
        <v>L</v>
      </c>
      <c r="AF177" s="34" t="inlineStr">
        <is>
          <t>M</t>
        </is>
      </c>
      <c r="AG177" s="35" t="inlineStr">
        <is>
          <t>M</t>
        </is>
      </c>
      <c r="AH177" s="35" t="inlineStr">
        <is>
          <t>M</t>
        </is>
      </c>
      <c r="AI177" s="35" t="inlineStr">
        <is>
          <t>M</t>
        </is>
      </c>
      <c r="AJ177" s="35" t="inlineStr">
        <is>
          <t>M</t>
        </is>
      </c>
      <c r="AK177" s="35" t="inlineStr">
        <is>
          <t>M</t>
        </is>
      </c>
      <c r="AL177" s="35" t="inlineStr">
        <is>
          <t>M</t>
        </is>
      </c>
      <c r="AM177" s="36" t="n">
        <v>0.433</v>
      </c>
      <c r="AN177" s="37" t="n">
        <v>0.18</v>
      </c>
      <c r="AO177" s="37" t="n">
        <v>0.107</v>
      </c>
      <c r="AP177" s="37" t="n">
        <v>0.15</v>
      </c>
      <c r="AQ177" s="37" t="n">
        <v>0.08</v>
      </c>
      <c r="AR177" s="37" t="n">
        <v>0.04</v>
      </c>
      <c r="AS177" s="37" t="n">
        <v>0.01</v>
      </c>
      <c r="AT177" s="38" t="inlineStr">
        <is>
          <t>12–17</t>
        </is>
      </c>
      <c r="AU177" s="38" t="inlineStr">
        <is>
          <t>Postgraduate / professional qualification preferred</t>
        </is>
      </c>
      <c r="AV177" s="38" t="inlineStr">
        <is>
          <t>5–8, mostly managers</t>
        </is>
      </c>
      <c r="AW177" s="38" t="inlineStr">
        <is>
          <t>P6 / M5 · SFIA 5–6</t>
        </is>
      </c>
      <c r="AX17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77" s="39" t="inlineStr">
        <is>
          <t>C1</t>
        </is>
      </c>
      <c r="AZ177" s="40" t="inlineStr">
        <is>
          <t>Band C · Principal / Head · Associate Head</t>
        </is>
      </c>
      <c r="BA177" s="40" t="inlineStr">
        <is>
          <t>Model C1 from the six ratings, the market-derived weights and rules R1–R13 · then No change · already below the manager</t>
        </is>
      </c>
      <c r="BB177" s="41" t="inlineStr">
        <is>
          <t>C1</t>
        </is>
      </c>
      <c r="BC177" s="40" t="inlineStr">
        <is>
          <t>The six ratings on the market-average weights of Band C · Head / manager score 7.47 → C1 · Hay, Mercer IPE and public plans · experience 7.3 yrs vs the C1 market range 12–17</t>
        </is>
      </c>
      <c r="BD177" s="42">
        <f>IF(SUM(BM177,BN177,BO177,BP177,BQ177,BR177,BS177)=0,0,(BM177*BT177+BN177*BU177+BO177*BV177+BP177*BW177+BQ177*BX177+BR177*BY177+BS177*BZ177)/SUM(BM177,BN177,BO177,BP177,BQ177,BR177,BS177))</f>
        <v>0</v>
      </c>
      <c r="BE177" s="41" t="str">
        <f>IF(LEFT(AY177,1)="X",AY177,IF(OR(AY177="B+",AY177="C+"),INDEX(LAD_PC,MAX(1,MIN(14,MATCH(AY177,LAD_PC,0)+IF(BD177&gt;=0.5,1,IF(BD177&lt;=-0.5,-1,0))))),INDEX(LAD_STD,MAX(1,MIN(12,MATCH(AY177,LAD_STD,0)+IF(BD177&gt;=0.5,1,IF(BD177&lt;=-0.5,-1,0)))))))</f>
        <v>C1</v>
      </c>
      <c r="BF177" s="43" t="n"/>
      <c r="BG177" s="41" t="str">
        <f>IF(BF177&lt;&gt;"",BF177,BE177)</f>
        <v>C1</v>
      </c>
      <c r="BH177" s="40" t="str">
        <f>IFERROR(CHOOSE(INDEX(B_RANK,MATCH(BG177,B_LVL,0)),"Band A","Band B","B+ · Player-Coach","Band C","C+ · Player-Coach","Band D","Band E"),"Band X · Consultant")</f>
        <v>Band C</v>
      </c>
      <c r="BI177" s="40" t="str">
        <f>IF(BG177=AY177,"• Same",IF(INDEX(B_VAL,MATCH(BG177,B_LVL,0))&gt;INDEX(B_VAL,MATCH(AY177,B_LVL,0)),"▲ Up","▼ Down"))</f>
        <v>• Same</v>
      </c>
      <c r="BJ177" s="40" t="str">
        <f>IF(OR($M177="",$M177="—",$M177="Not in this file"),"",IFERROR(INDEX($BG$7:$BG$592,MATCH($M177,$D$7:$D$592,0)),""))</f>
        <v>E1</v>
      </c>
      <c r="BK177" s="40" t="str">
        <f>IFERROR(IF(BJ177="","—",IF(OR(LEFT(BG177,1)="X",LEFT(BJ177,1)="X"),"—",IF(AND(LEFT(BG177,1)="E",LEFT(BJ177,1)="E"),"Exception · Band E",IF(AND(INDEX(B_VAL,MATCH(BJ177,B_LVL,0))&gt;=7,INDEX(B_RANK,MATCH(BG177,B_LVL,0))&gt;=INDEX(B_RANK,MATCH(BJ177,B_LVL,0))),"⚠ Same band as a head manager",IF(INDEX(B_VAL,MATCH(BG177,B_LVL,0))&gt;=INDEX(B_VAL,MATCH(BJ177,B_LVL,0)),"⚠ At or above the manager's level","OK"))))),"—")</f>
        <v>OK</v>
      </c>
      <c r="BL177" s="43" t="n"/>
      <c r="BM177" s="44">
        <f>IFERROR(INDEX(LMH_PTS,MATCH(Y177,LMH_KEY,0)),0)</f>
        <v>9</v>
      </c>
      <c r="BN177" s="38">
        <f>IFERROR(INDEX(LMH_PTS,MATCH(Z177,LMH_KEY,0)),0)</f>
        <v>3</v>
      </c>
      <c r="BO177" s="38">
        <f>IFERROR(INDEX(LMH_PTS,MATCH(AA177,LMH_KEY,0)),0)</f>
        <v>3</v>
      </c>
      <c r="BP177" s="38">
        <f>IFERROR(INDEX(LMH_PTS,MATCH(AB177,LMH_KEY,0)),0)</f>
        <v>3</v>
      </c>
      <c r="BQ177" s="38">
        <f>IFERROR(INDEX(LMH_PTS,MATCH(AC177,LMH_KEY,0)),0)</f>
        <v>1</v>
      </c>
      <c r="BR177" s="38">
        <f>IFERROR(INDEX(LMH_PTS,MATCH(AD177,LMH_KEY,0)),0)</f>
        <v>1</v>
      </c>
      <c r="BS177" s="38">
        <f>IFERROR(INDEX(LMH_PTS,MATCH(AE177,LMH_KEY,0)),0)</f>
        <v>1</v>
      </c>
      <c r="BT177" s="38">
        <f>IFERROR(INDEX(LMH_STEP,MATCH(AF177,LMH_KEY,0)),0)</f>
        <v>0</v>
      </c>
      <c r="BU177" s="38">
        <f>IFERROR(INDEX(LMH_STEP,MATCH(AG177,LMH_KEY,0)),0)</f>
        <v>0</v>
      </c>
      <c r="BV177" s="38">
        <f>IFERROR(INDEX(LMH_STEP,MATCH(AH177,LMH_KEY,0)),0)</f>
        <v>0</v>
      </c>
      <c r="BW177" s="38">
        <f>IFERROR(INDEX(LMH_STEP,MATCH(AI177,LMH_KEY,0)),0)</f>
        <v>0</v>
      </c>
      <c r="BX177" s="38">
        <f>IFERROR(INDEX(LMH_STEP,MATCH(AJ177,LMH_KEY,0)),0)</f>
        <v>0</v>
      </c>
      <c r="BY177" s="38">
        <f>IFERROR(INDEX(LMH_STEP,MATCH(AK177,LMH_KEY,0)),0)</f>
        <v>0</v>
      </c>
      <c r="BZ177" s="38">
        <f>IFERROR(INDEX(LMH_STEP,MATCH(AL177,LMH_KEY,0)),0)</f>
        <v>0</v>
      </c>
      <c r="CA177" s="38" t="inlineStr">
        <is>
          <t>Corporate|Finance|Associate Head – Finance &amp; Accounts|C1|C-M</t>
        </is>
      </c>
    </row>
    <row r="178" ht="110" customHeight="1">
      <c r="A178" s="28" t="inlineStr">
        <is>
          <t>Corporate</t>
        </is>
      </c>
      <c r="B178" s="29" t="inlineStr">
        <is>
          <t>Finance</t>
        </is>
      </c>
      <c r="C178" s="29" t="n">
        <v>3</v>
      </c>
      <c r="D178" s="29" t="inlineStr">
        <is>
          <t>IRIS1508</t>
        </is>
      </c>
      <c r="E178" s="29" t="inlineStr">
        <is>
          <t>Winny Nair</t>
        </is>
      </c>
      <c r="F178" s="29" t="inlineStr">
        <is>
          <t>Manager - Finance and Accounts</t>
        </is>
      </c>
      <c r="G178" s="29" t="inlineStr">
        <is>
          <t>Senior Finance Specialist – POD Lead</t>
        </is>
      </c>
      <c r="H178" s="29" t="inlineStr">
        <is>
          <t>Finance &amp; Accounts</t>
        </is>
      </c>
      <c r="I178" s="29" t="inlineStr">
        <is>
          <t>Financial Reporting, Compliance &amp; Audit</t>
        </is>
      </c>
      <c r="J178" s="29" t="inlineStr">
        <is>
          <t>POD Lead</t>
        </is>
      </c>
      <c r="K178" s="29" t="inlineStr">
        <is>
          <t>RC-099</t>
        </is>
      </c>
      <c r="L178" s="29" t="inlineStr">
        <is>
          <t>Nishant Gupta</t>
        </is>
      </c>
      <c r="M178" s="29" t="inlineStr">
        <is>
          <t>IRIS1918</t>
        </is>
      </c>
      <c r="N178" s="29" t="n">
        <v>19.9</v>
      </c>
      <c r="O178" s="29" t="n">
        <v>11.7</v>
      </c>
      <c r="P178" s="29" t="inlineStr">
        <is>
          <t>PGDM</t>
        </is>
      </c>
      <c r="Q178" s="29" t="inlineStr">
        <is>
          <t>Not in current mapping files</t>
        </is>
      </c>
      <c r="R178" s="29" t="inlineStr">
        <is>
          <t>B2</t>
        </is>
      </c>
      <c r="S178" s="30" t="inlineStr">
        <is>
          <t>19 of 20</t>
        </is>
      </c>
      <c r="T178" s="31" t="inlineStr">
        <is>
          <t>Complexity: Evidence reads like B2: Spans statutory compliance, subsidiary book closing, audits, banking, forex hedging and regulatory notices → matches the start
Autonomy: Evidence reads like A2: States decides 'Nothing' independently, though approves entries and executes forex hedging → moved down 1
Accountability: Evidence reads like B2: own survey / KRA …</t>
        </is>
      </c>
      <c r="U178" s="32" t="inlineStr">
        <is>
          <t>KRAs not received · manager to supply</t>
        </is>
      </c>
      <c r="V178" s="31" t="inlineStr">
        <is>
          <t>Latest rating: Not rated · manager · 9-box: Not placed · manager · Readiness: No rating data</t>
        </is>
      </c>
      <c r="W178" s="31" t="inlineStr">
        <is>
          <t>C M · Au L · Ac M · L L · BI M · Exp H · 19.9 yrs vs 6–9 yrs · Edu H · PGDM</t>
        </is>
      </c>
      <c r="X178" s="33" t="inlineStr">
        <is>
          <t>Open ▸</t>
        </is>
      </c>
      <c r="Y178" s="34" t="str">
        <f>IFERROR(INDEX(DL_C,MATCH($CA178,DL_KEY,0)),"M")</f>
        <v>H</v>
      </c>
      <c r="Z178" s="35" t="str">
        <f>IFERROR(INDEX(DL_Au,MATCH($CA178,DL_KEY,0)),"M")</f>
        <v>M</v>
      </c>
      <c r="AA178" s="35" t="str">
        <f>IFERROR(INDEX(DL_Ac,MATCH($CA178,DL_KEY,0)),"M")</f>
        <v>M</v>
      </c>
      <c r="AB178" s="35" t="str">
        <f>IFERROR(INDEX(DL_L,MATCH($CA178,DL_KEY,0)),"M")</f>
        <v>L</v>
      </c>
      <c r="AC178" s="35" t="str">
        <f>IFERROR(INDEX(DL_BI,MATCH($CA178,DL_KEY,0)),"M")</f>
        <v>L</v>
      </c>
      <c r="AD178" s="35" t="str">
        <f>IFERROR(INDEX(DL_Exp,MATCH($CA178,DL_KEY,0)),"M")</f>
        <v>L</v>
      </c>
      <c r="AE178" s="35" t="str">
        <f>IFERROR(INDEX(DL_Edu,MATCH($CA178,DL_KEY,0)),"M")</f>
        <v>L</v>
      </c>
      <c r="AF178" s="34" t="inlineStr">
        <is>
          <t>M</t>
        </is>
      </c>
      <c r="AG178" s="35" t="inlineStr">
        <is>
          <t>M</t>
        </is>
      </c>
      <c r="AH178" s="35" t="inlineStr">
        <is>
          <t>M</t>
        </is>
      </c>
      <c r="AI178" s="35" t="inlineStr">
        <is>
          <t>M</t>
        </is>
      </c>
      <c r="AJ178" s="35" t="inlineStr">
        <is>
          <t>M</t>
        </is>
      </c>
      <c r="AK178" s="35" t="inlineStr">
        <is>
          <t>M</t>
        </is>
      </c>
      <c r="AL178" s="35" t="inlineStr">
        <is>
          <t>M</t>
        </is>
      </c>
      <c r="AM178" s="36" t="n">
        <v>0.513</v>
      </c>
      <c r="AN178" s="37" t="n">
        <v>0.173</v>
      </c>
      <c r="AO178" s="37" t="n">
        <v>0.09699999999999999</v>
      </c>
      <c r="AP178" s="37" t="n">
        <v>0.05</v>
      </c>
      <c r="AQ178" s="37" t="n">
        <v>0.07000000000000001</v>
      </c>
      <c r="AR178" s="37" t="n">
        <v>0.06</v>
      </c>
      <c r="AS178" s="37" t="n">
        <v>0.04</v>
      </c>
      <c r="AT178" s="38" t="inlineStr">
        <is>
          <t>6–10</t>
        </is>
      </c>
      <c r="AU178" s="38" t="inlineStr">
        <is>
          <t>Graduate or postgraduate; professional qualification preferred</t>
        </is>
      </c>
      <c r="AV178" s="38" t="inlineStr">
        <is>
          <t>IC: none · People: 6–8 knowledge work, 8–12 standardised delivery</t>
        </is>
      </c>
      <c r="AW178" s="38" t="inlineStr">
        <is>
          <t>P4 / M3 · SFIA 4–5</t>
        </is>
      </c>
      <c r="AX17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78" s="39" t="inlineStr">
        <is>
          <t>B2</t>
        </is>
      </c>
      <c r="AZ178" s="40" t="inlineStr">
        <is>
          <t>Band B · Specialist / Manager · Manager</t>
        </is>
      </c>
      <c r="BA178" s="40" t="inlineStr">
        <is>
          <t>Model B2 from the six ratings, the market-derived weights and rules R1–R13 · then No change · already below the manager</t>
        </is>
      </c>
      <c r="BB178" s="41" t="inlineStr">
        <is>
          <t>B2</t>
        </is>
      </c>
      <c r="BC178" s="40" t="inlineStr">
        <is>
          <t>The six ratings on the market-average weights of Band B · Specialist / POD Lead score 5.17 → B2 · Hay, Mercer IPE and public plans · experience 19.9 yrs vs the B2 market range 6–10</t>
        </is>
      </c>
      <c r="BD178" s="42">
        <f>IF(SUM(BM178,BN178,BO178,BP178,BQ178,BR178,BS178)=0,0,(BM178*BT178+BN178*BU178+BO178*BV178+BP178*BW178+BQ178*BX178+BR178*BY178+BS178*BZ178)/SUM(BM178,BN178,BO178,BP178,BQ178,BR178,BS178))</f>
        <v>0</v>
      </c>
      <c r="BE178" s="41" t="str">
        <f>IF(LEFT(AY178,1)="X",AY178,IF(OR(AY178="B+",AY178="C+"),INDEX(LAD_PC,MAX(1,MIN(14,MATCH(AY178,LAD_PC,0)+IF(BD178&gt;=0.5,1,IF(BD178&lt;=-0.5,-1,0))))),INDEX(LAD_STD,MAX(1,MIN(12,MATCH(AY178,LAD_STD,0)+IF(BD178&gt;=0.5,1,IF(BD178&lt;=-0.5,-1,0)))))))</f>
        <v>B2</v>
      </c>
      <c r="BF178" s="43" t="n"/>
      <c r="BG178" s="41" t="str">
        <f>IF(BF178&lt;&gt;"",BF178,BE178)</f>
        <v>B2</v>
      </c>
      <c r="BH178" s="40" t="str">
        <f>IFERROR(CHOOSE(INDEX(B_RANK,MATCH(BG178,B_LVL,0)),"Band A","Band B","B+ · Player-Coach","Band C","C+ · Player-Coach","Band D","Band E"),"Band X · Consultant")</f>
        <v>Band B</v>
      </c>
      <c r="BI178" s="40" t="str">
        <f>IF(BG178=AY178,"• Same",IF(INDEX(B_VAL,MATCH(BG178,B_LVL,0))&gt;INDEX(B_VAL,MATCH(AY178,B_LVL,0)),"▲ Up","▼ Down"))</f>
        <v>• Same</v>
      </c>
      <c r="BJ178" s="40" t="str">
        <f>IF(OR($M178="",$M178="—",$M178="Not in this file"),"",IFERROR(INDEX($BG$7:$BG$592,MATCH($M178,$D$7:$D$592,0)),""))</f>
        <v>C1</v>
      </c>
      <c r="BK178" s="40" t="str">
        <f>IFERROR(IF(BJ178="","—",IF(OR(LEFT(BG178,1)="X",LEFT(BJ178,1)="X"),"—",IF(AND(LEFT(BG178,1)="E",LEFT(BJ178,1)="E"),"Exception · Band E",IF(AND(INDEX(B_VAL,MATCH(BJ178,B_LVL,0))&gt;=7,INDEX(B_RANK,MATCH(BG178,B_LVL,0))&gt;=INDEX(B_RANK,MATCH(BJ178,B_LVL,0))),"⚠ Same band as a head manager",IF(INDEX(B_VAL,MATCH(BG178,B_LVL,0))&gt;=INDEX(B_VAL,MATCH(BJ178,B_LVL,0)),"⚠ At or above the manager's level","OK"))))),"—")</f>
        <v>OK</v>
      </c>
      <c r="BL178" s="43" t="n"/>
      <c r="BM178" s="44">
        <f>IFERROR(INDEX(LMH_PTS,MATCH(Y178,LMH_KEY,0)),0)</f>
        <v>9</v>
      </c>
      <c r="BN178" s="38">
        <f>IFERROR(INDEX(LMH_PTS,MATCH(Z178,LMH_KEY,0)),0)</f>
        <v>3</v>
      </c>
      <c r="BO178" s="38">
        <f>IFERROR(INDEX(LMH_PTS,MATCH(AA178,LMH_KEY,0)),0)</f>
        <v>3</v>
      </c>
      <c r="BP178" s="38">
        <f>IFERROR(INDEX(LMH_PTS,MATCH(AB178,LMH_KEY,0)),0)</f>
        <v>1</v>
      </c>
      <c r="BQ178" s="38">
        <f>IFERROR(INDEX(LMH_PTS,MATCH(AC178,LMH_KEY,0)),0)</f>
        <v>1</v>
      </c>
      <c r="BR178" s="38">
        <f>IFERROR(INDEX(LMH_PTS,MATCH(AD178,LMH_KEY,0)),0)</f>
        <v>1</v>
      </c>
      <c r="BS178" s="38">
        <f>IFERROR(INDEX(LMH_PTS,MATCH(AE178,LMH_KEY,0)),0)</f>
        <v>1</v>
      </c>
      <c r="BT178" s="38">
        <f>IFERROR(INDEX(LMH_STEP,MATCH(AF178,LMH_KEY,0)),0)</f>
        <v>0</v>
      </c>
      <c r="BU178" s="38">
        <f>IFERROR(INDEX(LMH_STEP,MATCH(AG178,LMH_KEY,0)),0)</f>
        <v>0</v>
      </c>
      <c r="BV178" s="38">
        <f>IFERROR(INDEX(LMH_STEP,MATCH(AH178,LMH_KEY,0)),0)</f>
        <v>0</v>
      </c>
      <c r="BW178" s="38">
        <f>IFERROR(INDEX(LMH_STEP,MATCH(AI178,LMH_KEY,0)),0)</f>
        <v>0</v>
      </c>
      <c r="BX178" s="38">
        <f>IFERROR(INDEX(LMH_STEP,MATCH(AJ178,LMH_KEY,0)),0)</f>
        <v>0</v>
      </c>
      <c r="BY178" s="38">
        <f>IFERROR(INDEX(LMH_STEP,MATCH(AK178,LMH_KEY,0)),0)</f>
        <v>0</v>
      </c>
      <c r="BZ178" s="38">
        <f>IFERROR(INDEX(LMH_STEP,MATCH(AL178,LMH_KEY,0)),0)</f>
        <v>0</v>
      </c>
      <c r="CA178" s="38" t="inlineStr">
        <is>
          <t>Corporate|Finance|Senior Finance Specialist – POD Lead|B2|B-IC</t>
        </is>
      </c>
    </row>
    <row r="179" ht="110" customHeight="1">
      <c r="A179" s="28" t="inlineStr">
        <is>
          <t>Corporate</t>
        </is>
      </c>
      <c r="B179" s="29" t="inlineStr">
        <is>
          <t>Finance</t>
        </is>
      </c>
      <c r="C179" s="29" t="n">
        <v>4</v>
      </c>
      <c r="D179" s="29" t="inlineStr">
        <is>
          <t>IRIS2214</t>
        </is>
      </c>
      <c r="E179" s="29" t="inlineStr">
        <is>
          <t>Shreya Singh</t>
        </is>
      </c>
      <c r="F179" s="29" t="inlineStr">
        <is>
          <t>Assistant Manager - Finance and Accounts</t>
        </is>
      </c>
      <c r="G179" s="29" t="inlineStr">
        <is>
          <t>Finance Specialist – POD Lead</t>
        </is>
      </c>
      <c r="H179" s="29" t="inlineStr">
        <is>
          <t>Finance &amp; Accounts</t>
        </is>
      </c>
      <c r="I179" s="29" t="inlineStr">
        <is>
          <t>Financial Reporting, Compliance &amp; Audit</t>
        </is>
      </c>
      <c r="J179" s="29" t="inlineStr">
        <is>
          <t>POD Lead</t>
        </is>
      </c>
      <c r="K179" s="29" t="inlineStr">
        <is>
          <t>RC-098</t>
        </is>
      </c>
      <c r="L179" s="29" t="inlineStr">
        <is>
          <t>Winny Nair</t>
        </is>
      </c>
      <c r="M179" s="29" t="inlineStr">
        <is>
          <t>IRIS1508</t>
        </is>
      </c>
      <c r="N179" s="29" t="n">
        <v>6.1</v>
      </c>
      <c r="O179" s="29" t="n">
        <v>2.8</v>
      </c>
      <c r="P179" s="29" t="inlineStr">
        <is>
          <t>B.Com</t>
        </is>
      </c>
      <c r="Q179" s="29" t="inlineStr">
        <is>
          <t>Not in current mapping files</t>
        </is>
      </c>
      <c r="R179" s="29" t="inlineStr">
        <is>
          <t>B1</t>
        </is>
      </c>
      <c r="S179" s="30" t="inlineStr">
        <is>
          <t>20 of 20</t>
        </is>
      </c>
      <c r="T179" s="31" t="inlineStr">
        <is>
          <t>Complexity: Evidence reads like B1: Revenue report, standalone financial statements, statutory auditor queries, ERP phase 2 development, DM tool → matches the start
Autonomy: Evidence reads like A3: Decides sales order renewals; approves sales orders and invoices → moved down 0.5
Accountability: Evidence reads like B1: own survey / KRA answers · summarised …</t>
        </is>
      </c>
      <c r="U179" s="32" t="inlineStr">
        <is>
          <t>KRAs not received · manager to supply</t>
        </is>
      </c>
      <c r="V179" s="31" t="inlineStr">
        <is>
          <t>Latest rating: Not rated · manager · 9-box: Not placed · manager · Readiness: No rating data</t>
        </is>
      </c>
      <c r="W179" s="31" t="inlineStr">
        <is>
          <t>C M · Au M · Ac M · L M · BI M · Exp M · 6.1 yrs vs 4–7 yrs · Edu M · B.Com</t>
        </is>
      </c>
      <c r="X179" s="33" t="inlineStr">
        <is>
          <t>Open ▸</t>
        </is>
      </c>
      <c r="Y179" s="34" t="str">
        <f>IFERROR(INDEX(DL_C,MATCH($CA179,DL_KEY,0)),"M")</f>
        <v>H</v>
      </c>
      <c r="Z179" s="35" t="str">
        <f>IFERROR(INDEX(DL_Au,MATCH($CA179,DL_KEY,0)),"M")</f>
        <v>M</v>
      </c>
      <c r="AA179" s="35" t="str">
        <f>IFERROR(INDEX(DL_Ac,MATCH($CA179,DL_KEY,0)),"M")</f>
        <v>M</v>
      </c>
      <c r="AB179" s="35" t="str">
        <f>IFERROR(INDEX(DL_L,MATCH($CA179,DL_KEY,0)),"M")</f>
        <v>L</v>
      </c>
      <c r="AC179" s="35" t="str">
        <f>IFERROR(INDEX(DL_BI,MATCH($CA179,DL_KEY,0)),"M")</f>
        <v>L</v>
      </c>
      <c r="AD179" s="35" t="str">
        <f>IFERROR(INDEX(DL_Exp,MATCH($CA179,DL_KEY,0)),"M")</f>
        <v>L</v>
      </c>
      <c r="AE179" s="35" t="str">
        <f>IFERROR(INDEX(DL_Edu,MATCH($CA179,DL_KEY,0)),"M")</f>
        <v>L</v>
      </c>
      <c r="AF179" s="34" t="inlineStr">
        <is>
          <t>M</t>
        </is>
      </c>
      <c r="AG179" s="35" t="inlineStr">
        <is>
          <t>M</t>
        </is>
      </c>
      <c r="AH179" s="35" t="inlineStr">
        <is>
          <t>M</t>
        </is>
      </c>
      <c r="AI179" s="35" t="inlineStr">
        <is>
          <t>M</t>
        </is>
      </c>
      <c r="AJ179" s="35" t="inlineStr">
        <is>
          <t>M</t>
        </is>
      </c>
      <c r="AK179" s="35" t="inlineStr">
        <is>
          <t>M</t>
        </is>
      </c>
      <c r="AL179" s="35" t="inlineStr">
        <is>
          <t>M</t>
        </is>
      </c>
      <c r="AM179" s="36" t="n">
        <v>0.513</v>
      </c>
      <c r="AN179" s="37" t="n">
        <v>0.173</v>
      </c>
      <c r="AO179" s="37" t="n">
        <v>0.09699999999999999</v>
      </c>
      <c r="AP179" s="37" t="n">
        <v>0.05</v>
      </c>
      <c r="AQ179" s="37" t="n">
        <v>0.07000000000000001</v>
      </c>
      <c r="AR179" s="37" t="n">
        <v>0.06</v>
      </c>
      <c r="AS179" s="37" t="n">
        <v>0.04</v>
      </c>
      <c r="AT179" s="38" t="inlineStr">
        <is>
          <t>4–8</t>
        </is>
      </c>
      <c r="AU179" s="38" t="inlineStr">
        <is>
          <t>Graduate + relevant qualification or certification preferred</t>
        </is>
      </c>
      <c r="AV179" s="38" t="inlineStr">
        <is>
          <t>IC: none · Team Lead: 3–5</t>
        </is>
      </c>
      <c r="AW179" s="38" t="inlineStr">
        <is>
          <t>P3 / M2 · SFIA 4 Enable</t>
        </is>
      </c>
      <c r="AX17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79" s="39" t="inlineStr">
        <is>
          <t>B1</t>
        </is>
      </c>
      <c r="AZ179" s="40" t="inlineStr">
        <is>
          <t>Band B · Specialist / Manager · Team Lead / Asst Manager</t>
        </is>
      </c>
      <c r="BA179" s="40" t="inlineStr">
        <is>
          <t>Model B1 from the six ratings, the market-derived weights and rules R1–R13 · then No change · already below the manager</t>
        </is>
      </c>
      <c r="BB179" s="41" t="inlineStr">
        <is>
          <t>B1</t>
        </is>
      </c>
      <c r="BC179" s="40" t="inlineStr">
        <is>
          <t>The six ratings on the market-average weights of Band B · Specialist / POD Lead score 3.94 → B1 · Hay, Mercer IPE and public plans · experience 6.1 yrs vs the B1 market range 4–8</t>
        </is>
      </c>
      <c r="BD179" s="42">
        <f>IF(SUM(BM179,BN179,BO179,BP179,BQ179,BR179,BS179)=0,0,(BM179*BT179+BN179*BU179+BO179*BV179+BP179*BW179+BQ179*BX179+BR179*BY179+BS179*BZ179)/SUM(BM179,BN179,BO179,BP179,BQ179,BR179,BS179))</f>
        <v>0</v>
      </c>
      <c r="BE179" s="41" t="str">
        <f>IF(LEFT(AY179,1)="X",AY179,IF(OR(AY179="B+",AY179="C+"),INDEX(LAD_PC,MAX(1,MIN(14,MATCH(AY179,LAD_PC,0)+IF(BD179&gt;=0.5,1,IF(BD179&lt;=-0.5,-1,0))))),INDEX(LAD_STD,MAX(1,MIN(12,MATCH(AY179,LAD_STD,0)+IF(BD179&gt;=0.5,1,IF(BD179&lt;=-0.5,-1,0)))))))</f>
        <v>B1</v>
      </c>
      <c r="BF179" s="43" t="n"/>
      <c r="BG179" s="41" t="str">
        <f>IF(BF179&lt;&gt;"",BF179,BE179)</f>
        <v>B1</v>
      </c>
      <c r="BH179" s="40" t="str">
        <f>IFERROR(CHOOSE(INDEX(B_RANK,MATCH(BG179,B_LVL,0)),"Band A","Band B","B+ · Player-Coach","Band C","C+ · Player-Coach","Band D","Band E"),"Band X · Consultant")</f>
        <v>Band B</v>
      </c>
      <c r="BI179" s="40" t="str">
        <f>IF(BG179=AY179,"• Same",IF(INDEX(B_VAL,MATCH(BG179,B_LVL,0))&gt;INDEX(B_VAL,MATCH(AY179,B_LVL,0)),"▲ Up","▼ Down"))</f>
        <v>• Same</v>
      </c>
      <c r="BJ179" s="40" t="str">
        <f>IF(OR($M179="",$M179="—",$M179="Not in this file"),"",IFERROR(INDEX($BG$7:$BG$592,MATCH($M179,$D$7:$D$592,0)),""))</f>
        <v>B2</v>
      </c>
      <c r="BK179" s="40" t="str">
        <f>IFERROR(IF(BJ179="","—",IF(OR(LEFT(BG179,1)="X",LEFT(BJ179,1)="X"),"—",IF(AND(LEFT(BG179,1)="E",LEFT(BJ179,1)="E"),"Exception · Band E",IF(AND(INDEX(B_VAL,MATCH(BJ179,B_LVL,0))&gt;=7,INDEX(B_RANK,MATCH(BG179,B_LVL,0))&gt;=INDEX(B_RANK,MATCH(BJ179,B_LVL,0))),"⚠ Same band as a head manager",IF(INDEX(B_VAL,MATCH(BG179,B_LVL,0))&gt;=INDEX(B_VAL,MATCH(BJ179,B_LVL,0)),"⚠ At or above the manager's level","OK"))))),"—")</f>
        <v>OK</v>
      </c>
      <c r="BL179" s="43" t="n"/>
      <c r="BM179" s="44">
        <f>IFERROR(INDEX(LMH_PTS,MATCH(Y179,LMH_KEY,0)),0)</f>
        <v>9</v>
      </c>
      <c r="BN179" s="38">
        <f>IFERROR(INDEX(LMH_PTS,MATCH(Z179,LMH_KEY,0)),0)</f>
        <v>3</v>
      </c>
      <c r="BO179" s="38">
        <f>IFERROR(INDEX(LMH_PTS,MATCH(AA179,LMH_KEY,0)),0)</f>
        <v>3</v>
      </c>
      <c r="BP179" s="38">
        <f>IFERROR(INDEX(LMH_PTS,MATCH(AB179,LMH_KEY,0)),0)</f>
        <v>1</v>
      </c>
      <c r="BQ179" s="38">
        <f>IFERROR(INDEX(LMH_PTS,MATCH(AC179,LMH_KEY,0)),0)</f>
        <v>1</v>
      </c>
      <c r="BR179" s="38">
        <f>IFERROR(INDEX(LMH_PTS,MATCH(AD179,LMH_KEY,0)),0)</f>
        <v>1</v>
      </c>
      <c r="BS179" s="38">
        <f>IFERROR(INDEX(LMH_PTS,MATCH(AE179,LMH_KEY,0)),0)</f>
        <v>1</v>
      </c>
      <c r="BT179" s="38">
        <f>IFERROR(INDEX(LMH_STEP,MATCH(AF179,LMH_KEY,0)),0)</f>
        <v>0</v>
      </c>
      <c r="BU179" s="38">
        <f>IFERROR(INDEX(LMH_STEP,MATCH(AG179,LMH_KEY,0)),0)</f>
        <v>0</v>
      </c>
      <c r="BV179" s="38">
        <f>IFERROR(INDEX(LMH_STEP,MATCH(AH179,LMH_KEY,0)),0)</f>
        <v>0</v>
      </c>
      <c r="BW179" s="38">
        <f>IFERROR(INDEX(LMH_STEP,MATCH(AI179,LMH_KEY,0)),0)</f>
        <v>0</v>
      </c>
      <c r="BX179" s="38">
        <f>IFERROR(INDEX(LMH_STEP,MATCH(AJ179,LMH_KEY,0)),0)</f>
        <v>0</v>
      </c>
      <c r="BY179" s="38">
        <f>IFERROR(INDEX(LMH_STEP,MATCH(AK179,LMH_KEY,0)),0)</f>
        <v>0</v>
      </c>
      <c r="BZ179" s="38">
        <f>IFERROR(INDEX(LMH_STEP,MATCH(AL179,LMH_KEY,0)),0)</f>
        <v>0</v>
      </c>
      <c r="CA179" s="38" t="inlineStr">
        <is>
          <t>Corporate|Finance|Finance Specialist – POD Lead|B1|B-IC</t>
        </is>
      </c>
    </row>
    <row r="180" ht="110" customHeight="1">
      <c r="A180" s="28" t="inlineStr">
        <is>
          <t>Corporate</t>
        </is>
      </c>
      <c r="B180" s="29" t="inlineStr">
        <is>
          <t>Finance</t>
        </is>
      </c>
      <c r="C180" s="29" t="n">
        <v>5</v>
      </c>
      <c r="D180" s="29" t="inlineStr">
        <is>
          <t>IRIS1724</t>
        </is>
      </c>
      <c r="E180" s="29" t="inlineStr">
        <is>
          <t>Anita Chavan</t>
        </is>
      </c>
      <c r="F180" s="29" t="inlineStr">
        <is>
          <t>Senior Executive Accounts</t>
        </is>
      </c>
      <c r="G180" s="29" t="inlineStr">
        <is>
          <t>Accounts Specialist – POD Lead</t>
        </is>
      </c>
      <c r="H180" s="29" t="inlineStr">
        <is>
          <t>Finance &amp; Accounts</t>
        </is>
      </c>
      <c r="I180" s="29" t="inlineStr">
        <is>
          <t>Accounting &amp; Transaction Processing</t>
        </is>
      </c>
      <c r="J180" s="29" t="inlineStr">
        <is>
          <t>POD Lead</t>
        </is>
      </c>
      <c r="K180" s="29" t="inlineStr">
        <is>
          <t>RC-096</t>
        </is>
      </c>
      <c r="L180" s="29" t="inlineStr">
        <is>
          <t>Shreya Singh</t>
        </is>
      </c>
      <c r="M180" s="29" t="inlineStr">
        <is>
          <t>IRIS2214</t>
        </is>
      </c>
      <c r="N180" s="29" t="n">
        <v>20.6</v>
      </c>
      <c r="O180" s="29" t="n">
        <v>8.300000000000001</v>
      </c>
      <c r="P180" s="29" t="inlineStr">
        <is>
          <t>B.Com</t>
        </is>
      </c>
      <c r="Q180" s="29" t="inlineStr">
        <is>
          <t>Not in current mapping files</t>
        </is>
      </c>
      <c r="R180" s="29" t="inlineStr">
        <is>
          <t>B1</t>
        </is>
      </c>
      <c r="S180" s="30" t="inlineStr">
        <is>
          <t>20 of 20</t>
        </is>
      </c>
      <c r="T180" s="31" t="inlineStr">
        <is>
          <t>Complexity: Evidence reads like A3: Bank payments, TDS and GST compliance, reimbursements, ledger reconciliations, audit and reporting → matches the start
Autonomy: Evidence reads like A2: Decides within compliance activities; routine → moved down 0.5
Accountability: Evidence reads like A3: Timely statutory and bank payments; delays bring penalties or …</t>
        </is>
      </c>
      <c r="U180" s="32" t="inlineStr">
        <is>
          <t>KRAs not received · manager to supply</t>
        </is>
      </c>
      <c r="V180" s="31" t="inlineStr">
        <is>
          <t>Latest rating: Not rated · manager · 9-box: Not placed · manager · Readiness: No rating data</t>
        </is>
      </c>
      <c r="W180" s="31" t="inlineStr">
        <is>
          <t>C M · Au M · Ac M · L M · BI M · Exp H · 20.6 yrs vs 2–4 yrs · Edu M · B.Com</t>
        </is>
      </c>
      <c r="X180" s="33" t="inlineStr">
        <is>
          <t>Open ▸</t>
        </is>
      </c>
      <c r="Y180" s="34" t="str">
        <f>IFERROR(INDEX(DL_C,MATCH($CA180,DL_KEY,0)),"M")</f>
        <v>H</v>
      </c>
      <c r="Z180" s="35" t="str">
        <f>IFERROR(INDEX(DL_Au,MATCH($CA180,DL_KEY,0)),"M")</f>
        <v>M</v>
      </c>
      <c r="AA180" s="35" t="str">
        <f>IFERROR(INDEX(DL_Ac,MATCH($CA180,DL_KEY,0)),"M")</f>
        <v>M</v>
      </c>
      <c r="AB180" s="35" t="str">
        <f>IFERROR(INDEX(DL_L,MATCH($CA180,DL_KEY,0)),"M")</f>
        <v>L</v>
      </c>
      <c r="AC180" s="35" t="str">
        <f>IFERROR(INDEX(DL_BI,MATCH($CA180,DL_KEY,0)),"M")</f>
        <v>L</v>
      </c>
      <c r="AD180" s="35" t="str">
        <f>IFERROR(INDEX(DL_Exp,MATCH($CA180,DL_KEY,0)),"M")</f>
        <v>L</v>
      </c>
      <c r="AE180" s="35" t="str">
        <f>IFERROR(INDEX(DL_Edu,MATCH($CA180,DL_KEY,0)),"M")</f>
        <v>M</v>
      </c>
      <c r="AF180" s="34" t="inlineStr">
        <is>
          <t>M</t>
        </is>
      </c>
      <c r="AG180" s="35" t="inlineStr">
        <is>
          <t>M</t>
        </is>
      </c>
      <c r="AH180" s="35" t="inlineStr">
        <is>
          <t>M</t>
        </is>
      </c>
      <c r="AI180" s="35" t="inlineStr">
        <is>
          <t>M</t>
        </is>
      </c>
      <c r="AJ180" s="35" t="inlineStr">
        <is>
          <t>M</t>
        </is>
      </c>
      <c r="AK180" s="35" t="inlineStr">
        <is>
          <t>M</t>
        </is>
      </c>
      <c r="AL180" s="35" t="inlineStr">
        <is>
          <t>M</t>
        </is>
      </c>
      <c r="AM180" s="36" t="n">
        <v>0.583</v>
      </c>
      <c r="AN180" s="37" t="n">
        <v>0.16</v>
      </c>
      <c r="AO180" s="37" t="n">
        <v>0.09</v>
      </c>
      <c r="AP180" s="37" t="n">
        <v>0</v>
      </c>
      <c r="AQ180" s="37" t="n">
        <v>0.063</v>
      </c>
      <c r="AR180" s="37" t="n">
        <v>0.06</v>
      </c>
      <c r="AS180" s="37" t="n">
        <v>0.04</v>
      </c>
      <c r="AT180" s="38" t="inlineStr">
        <is>
          <t>2–5</t>
        </is>
      </c>
      <c r="AU180" s="38" t="inlineStr">
        <is>
          <t>Graduate; relevant certification preferred</t>
        </is>
      </c>
      <c r="AV180" s="38" t="inlineStr">
        <is>
          <t>None · guides 1–3 juniors informally</t>
        </is>
      </c>
      <c r="AW180" s="38" t="inlineStr">
        <is>
          <t>P2 · SFIA 3 Apply</t>
        </is>
      </c>
      <c r="AX18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80" s="39" t="inlineStr">
        <is>
          <t>A3</t>
        </is>
      </c>
      <c r="AZ180" s="40" t="inlineStr">
        <is>
          <t>Band A · Practitioner · Senior Associate</t>
        </is>
      </c>
      <c r="BA180" s="40" t="inlineStr">
        <is>
          <t>Model B1 from the six ratings, the market-derived weights and rules R1–R13 · then Level rule: manager B1; a reportee sits at least one level below · B1 → A3 · move down · pay and title protected for one cycle</t>
        </is>
      </c>
      <c r="BB180" s="41" t="inlineStr">
        <is>
          <t>B1</t>
        </is>
      </c>
      <c r="BC180" s="40" t="inlineStr">
        <is>
          <t>The six ratings on the market-average weights of Band A · all tracks score 3.62 → B1 · Hay, Mercer IPE and public plans · experience 20.6 yrs vs the B1 market range 4–8</t>
        </is>
      </c>
      <c r="BD180" s="42">
        <f>IF(SUM(BM180,BN180,BO180,BP180,BQ180,BR180,BS180)=0,0,(BM180*BT180+BN180*BU180+BO180*BV180+BP180*BW180+BQ180*BX180+BR180*BY180+BS180*BZ180)/SUM(BM180,BN180,BO180,BP180,BQ180,BR180,BS180))</f>
        <v>0</v>
      </c>
      <c r="BE180" s="41" t="str">
        <f>IF(LEFT(AY180,1)="X",AY180,IF(OR(AY180="B+",AY180="C+"),INDEX(LAD_PC,MAX(1,MIN(14,MATCH(AY180,LAD_PC,0)+IF(BD180&gt;=0.5,1,IF(BD180&lt;=-0.5,-1,0))))),INDEX(LAD_STD,MAX(1,MIN(12,MATCH(AY180,LAD_STD,0)+IF(BD180&gt;=0.5,1,IF(BD180&lt;=-0.5,-1,0)))))))</f>
        <v>A3</v>
      </c>
      <c r="BF180" s="43" t="n"/>
      <c r="BG180" s="41" t="str">
        <f>IF(BF180&lt;&gt;"",BF180,BE180)</f>
        <v>A3</v>
      </c>
      <c r="BH180" s="40" t="str">
        <f>IFERROR(CHOOSE(INDEX(B_RANK,MATCH(BG180,B_LVL,0)),"Band A","Band B","B+ · Player-Coach","Band C","C+ · Player-Coach","Band D","Band E"),"Band X · Consultant")</f>
        <v>Band A</v>
      </c>
      <c r="BI180" s="40" t="str">
        <f>IF(BG180=AY180,"• Same",IF(INDEX(B_VAL,MATCH(BG180,B_LVL,0))&gt;INDEX(B_VAL,MATCH(AY180,B_LVL,0)),"▲ Up","▼ Down"))</f>
        <v>• Same</v>
      </c>
      <c r="BJ180" s="40" t="str">
        <f>IF(OR($M180="",$M180="—",$M180="Not in this file"),"",IFERROR(INDEX($BG$7:$BG$592,MATCH($M180,$D$7:$D$592,0)),""))</f>
        <v>B1</v>
      </c>
      <c r="BK180" s="40" t="str">
        <f>IFERROR(IF(BJ180="","—",IF(OR(LEFT(BG180,1)="X",LEFT(BJ180,1)="X"),"—",IF(AND(LEFT(BG180,1)="E",LEFT(BJ180,1)="E"),"Exception · Band E",IF(AND(INDEX(B_VAL,MATCH(BJ180,B_LVL,0))&gt;=7,INDEX(B_RANK,MATCH(BG180,B_LVL,0))&gt;=INDEX(B_RANK,MATCH(BJ180,B_LVL,0))),"⚠ Same band as a head manager",IF(INDEX(B_VAL,MATCH(BG180,B_LVL,0))&gt;=INDEX(B_VAL,MATCH(BJ180,B_LVL,0)),"⚠ At or above the manager's level","OK"))))),"—")</f>
        <v>OK</v>
      </c>
      <c r="BL180" s="43" t="n"/>
      <c r="BM180" s="44">
        <f>IFERROR(INDEX(LMH_PTS,MATCH(Y180,LMH_KEY,0)),0)</f>
        <v>9</v>
      </c>
      <c r="BN180" s="38">
        <f>IFERROR(INDEX(LMH_PTS,MATCH(Z180,LMH_KEY,0)),0)</f>
        <v>3</v>
      </c>
      <c r="BO180" s="38">
        <f>IFERROR(INDEX(LMH_PTS,MATCH(AA180,LMH_KEY,0)),0)</f>
        <v>3</v>
      </c>
      <c r="BP180" s="38">
        <f>IFERROR(INDEX(LMH_PTS,MATCH(AB180,LMH_KEY,0)),0)</f>
        <v>1</v>
      </c>
      <c r="BQ180" s="38">
        <f>IFERROR(INDEX(LMH_PTS,MATCH(AC180,LMH_KEY,0)),0)</f>
        <v>1</v>
      </c>
      <c r="BR180" s="38">
        <f>IFERROR(INDEX(LMH_PTS,MATCH(AD180,LMH_KEY,0)),0)</f>
        <v>1</v>
      </c>
      <c r="BS180" s="38">
        <f>IFERROR(INDEX(LMH_PTS,MATCH(AE180,LMH_KEY,0)),0)</f>
        <v>3</v>
      </c>
      <c r="BT180" s="38">
        <f>IFERROR(INDEX(LMH_STEP,MATCH(AF180,LMH_KEY,0)),0)</f>
        <v>0</v>
      </c>
      <c r="BU180" s="38">
        <f>IFERROR(INDEX(LMH_STEP,MATCH(AG180,LMH_KEY,0)),0)</f>
        <v>0</v>
      </c>
      <c r="BV180" s="38">
        <f>IFERROR(INDEX(LMH_STEP,MATCH(AH180,LMH_KEY,0)),0)</f>
        <v>0</v>
      </c>
      <c r="BW180" s="38">
        <f>IFERROR(INDEX(LMH_STEP,MATCH(AI180,LMH_KEY,0)),0)</f>
        <v>0</v>
      </c>
      <c r="BX180" s="38">
        <f>IFERROR(INDEX(LMH_STEP,MATCH(AJ180,LMH_KEY,0)),0)</f>
        <v>0</v>
      </c>
      <c r="BY180" s="38">
        <f>IFERROR(INDEX(LMH_STEP,MATCH(AK180,LMH_KEY,0)),0)</f>
        <v>0</v>
      </c>
      <c r="BZ180" s="38">
        <f>IFERROR(INDEX(LMH_STEP,MATCH(AL180,LMH_KEY,0)),0)</f>
        <v>0</v>
      </c>
      <c r="CA180" s="38" t="inlineStr">
        <is>
          <t>Corporate|Finance|Accounts Specialist – POD Lead|A3|A</t>
        </is>
      </c>
    </row>
    <row r="181" ht="110" customHeight="1">
      <c r="A181" s="28" t="inlineStr">
        <is>
          <t>Corporate</t>
        </is>
      </c>
      <c r="B181" s="29" t="inlineStr">
        <is>
          <t>Finance</t>
        </is>
      </c>
      <c r="C181" s="29" t="n">
        <v>6</v>
      </c>
      <c r="D181" s="29" t="inlineStr">
        <is>
          <t>IRIS2217</t>
        </is>
      </c>
      <c r="E181" s="29" t="inlineStr">
        <is>
          <t>Bhushan Kashid</t>
        </is>
      </c>
      <c r="F181" s="29" t="inlineStr">
        <is>
          <t>Executive Accounts</t>
        </is>
      </c>
      <c r="G181" s="29" t="inlineStr">
        <is>
          <t>Senior Accounts Executive</t>
        </is>
      </c>
      <c r="H181" s="29" t="inlineStr">
        <is>
          <t>Finance &amp; Accounts</t>
        </is>
      </c>
      <c r="I181" s="29" t="inlineStr">
        <is>
          <t>Accounting &amp; Transaction Processing</t>
        </is>
      </c>
      <c r="J181" s="29" t="inlineStr">
        <is>
          <t>IC</t>
        </is>
      </c>
      <c r="K181" s="29" t="inlineStr">
        <is>
          <t>RC-095</t>
        </is>
      </c>
      <c r="L181" s="29" t="inlineStr">
        <is>
          <t>Anita Chavan</t>
        </is>
      </c>
      <c r="M181" s="29" t="inlineStr">
        <is>
          <t>IRIS1724</t>
        </is>
      </c>
      <c r="N181" s="29" t="n">
        <v>8.699999999999999</v>
      </c>
      <c r="O181" s="29" t="n">
        <v>2.7</v>
      </c>
      <c r="P181" s="29" t="inlineStr">
        <is>
          <t>B.Com</t>
        </is>
      </c>
      <c r="Q181" s="29" t="inlineStr">
        <is>
          <t>Not in current mapping files</t>
        </is>
      </c>
      <c r="R181" s="29" t="inlineStr">
        <is>
          <t>A3</t>
        </is>
      </c>
      <c r="S181" s="30" t="inlineStr">
        <is>
          <t>19 of 20</t>
        </is>
      </c>
      <c r="T181" s="31" t="inlineStr">
        <is>
          <t>Complexity: Evidence reads like A2: Invoice verification and booking, payment processing, vendor reconciliation, supplier creation → matches the start
Autonomy: Evidence reads like A2: Decides purchase booking; queries anomalies rather than deciding them → matches the start
Accountability: Evidence reads like A2: Accuracy of own invoice bookings, payment …</t>
        </is>
      </c>
      <c r="U181" s="32" t="inlineStr">
        <is>
          <t>KRAs not received · manager to supply</t>
        </is>
      </c>
      <c r="V181" s="31" t="inlineStr">
        <is>
          <t>Latest rating: Not rated · manager · 9-box: Not placed · manager · Readiness: No rating data</t>
        </is>
      </c>
      <c r="W181" s="31" t="inlineStr">
        <is>
          <t>C M · Au M · Ac M · L L · BI M · Exp H · 8.7 yrs vs 0–2 yrs · Edu M · B.Com</t>
        </is>
      </c>
      <c r="X181" s="33" t="inlineStr">
        <is>
          <t>Open ▸</t>
        </is>
      </c>
      <c r="Y181" s="34" t="str">
        <f>IFERROR(INDEX(DL_C,MATCH($CA181,DL_KEY,0)),"M")</f>
        <v>H</v>
      </c>
      <c r="Z181" s="35" t="str">
        <f>IFERROR(INDEX(DL_Au,MATCH($CA181,DL_KEY,0)),"M")</f>
        <v>M</v>
      </c>
      <c r="AA181" s="35" t="str">
        <f>IFERROR(INDEX(DL_Ac,MATCH($CA181,DL_KEY,0)),"M")</f>
        <v>M</v>
      </c>
      <c r="AB181" s="35" t="str">
        <f>IFERROR(INDEX(DL_L,MATCH($CA181,DL_KEY,0)),"M")</f>
        <v>L</v>
      </c>
      <c r="AC181" s="35" t="str">
        <f>IFERROR(INDEX(DL_BI,MATCH($CA181,DL_KEY,0)),"M")</f>
        <v>L</v>
      </c>
      <c r="AD181" s="35" t="str">
        <f>IFERROR(INDEX(DL_Exp,MATCH($CA181,DL_KEY,0)),"M")</f>
        <v>L</v>
      </c>
      <c r="AE181" s="35" t="str">
        <f>IFERROR(INDEX(DL_Edu,MATCH($CA181,DL_KEY,0)),"M")</f>
        <v>M</v>
      </c>
      <c r="AF181" s="34" t="inlineStr">
        <is>
          <t>M</t>
        </is>
      </c>
      <c r="AG181" s="35" t="inlineStr">
        <is>
          <t>M</t>
        </is>
      </c>
      <c r="AH181" s="35" t="inlineStr">
        <is>
          <t>M</t>
        </is>
      </c>
      <c r="AI181" s="35" t="inlineStr">
        <is>
          <t>M</t>
        </is>
      </c>
      <c r="AJ181" s="35" t="inlineStr">
        <is>
          <t>M</t>
        </is>
      </c>
      <c r="AK181" s="35" t="inlineStr">
        <is>
          <t>M</t>
        </is>
      </c>
      <c r="AL181" s="35" t="inlineStr">
        <is>
          <t>M</t>
        </is>
      </c>
      <c r="AM181" s="36" t="n">
        <v>0.583</v>
      </c>
      <c r="AN181" s="37" t="n">
        <v>0.16</v>
      </c>
      <c r="AO181" s="37" t="n">
        <v>0.09</v>
      </c>
      <c r="AP181" s="37" t="n">
        <v>0</v>
      </c>
      <c r="AQ181" s="37" t="n">
        <v>0.063</v>
      </c>
      <c r="AR181" s="37" t="n">
        <v>0.06</v>
      </c>
      <c r="AS181" s="37" t="n">
        <v>0.04</v>
      </c>
      <c r="AT181" s="38" t="inlineStr">
        <is>
          <t>0–3</t>
        </is>
      </c>
      <c r="AU181" s="38" t="inlineStr">
        <is>
          <t>Graduate · or diploma with experience</t>
        </is>
      </c>
      <c r="AV181" s="38" t="inlineStr">
        <is>
          <t>No direct reports</t>
        </is>
      </c>
      <c r="AW181" s="38" t="inlineStr">
        <is>
          <t>P1–P2 · SFIA 2 Assist</t>
        </is>
      </c>
      <c r="AX18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81" s="39" t="inlineStr">
        <is>
          <t>A2</t>
        </is>
      </c>
      <c r="AZ181" s="40" t="inlineStr">
        <is>
          <t>Band A · Practitioner · Associate</t>
        </is>
      </c>
      <c r="BA181" s="40" t="inlineStr">
        <is>
          <t>Model A3 from the six ratings, the market-derived weights and rules R1–R13 · then Level rule: manager A3; a reportee sits at least one level below · A3 → A2 · move down · pay and title protected for one cycle</t>
        </is>
      </c>
      <c r="BB181" s="41" t="inlineStr">
        <is>
          <t>A2</t>
        </is>
      </c>
      <c r="BC181" s="40" t="inlineStr">
        <is>
          <t>The six ratings on the market-average weights of Band A · all tracks score 2.35 → A2 · Hay, Mercer IPE and public plans · experience 8.7 yrs vs the A2 market range 0–3</t>
        </is>
      </c>
      <c r="BD181" s="42">
        <f>IF(SUM(BM181,BN181,BO181,BP181,BQ181,BR181,BS181)=0,0,(BM181*BT181+BN181*BU181+BO181*BV181+BP181*BW181+BQ181*BX181+BR181*BY181+BS181*BZ181)/SUM(BM181,BN181,BO181,BP181,BQ181,BR181,BS181))</f>
        <v>0</v>
      </c>
      <c r="BE181" s="41" t="str">
        <f>IF(LEFT(AY181,1)="X",AY181,IF(OR(AY181="B+",AY181="C+"),INDEX(LAD_PC,MAX(1,MIN(14,MATCH(AY181,LAD_PC,0)+IF(BD181&gt;=0.5,1,IF(BD181&lt;=-0.5,-1,0))))),INDEX(LAD_STD,MAX(1,MIN(12,MATCH(AY181,LAD_STD,0)+IF(BD181&gt;=0.5,1,IF(BD181&lt;=-0.5,-1,0)))))))</f>
        <v>A2</v>
      </c>
      <c r="BF181" s="43" t="n"/>
      <c r="BG181" s="41" t="str">
        <f>IF(BF181&lt;&gt;"",BF181,BE181)</f>
        <v>A2</v>
      </c>
      <c r="BH181" s="40" t="str">
        <f>IFERROR(CHOOSE(INDEX(B_RANK,MATCH(BG181,B_LVL,0)),"Band A","Band B","B+ · Player-Coach","Band C","C+ · Player-Coach","Band D","Band E"),"Band X · Consultant")</f>
        <v>Band A</v>
      </c>
      <c r="BI181" s="40" t="str">
        <f>IF(BG181=AY181,"• Same",IF(INDEX(B_VAL,MATCH(BG181,B_LVL,0))&gt;INDEX(B_VAL,MATCH(AY181,B_LVL,0)),"▲ Up","▼ Down"))</f>
        <v>• Same</v>
      </c>
      <c r="BJ181" s="40" t="str">
        <f>IF(OR($M181="",$M181="—",$M181="Not in this file"),"",IFERROR(INDEX($BG$7:$BG$592,MATCH($M181,$D$7:$D$592,0)),""))</f>
        <v>A3</v>
      </c>
      <c r="BK181" s="40" t="str">
        <f>IFERROR(IF(BJ181="","—",IF(OR(LEFT(BG181,1)="X",LEFT(BJ181,1)="X"),"—",IF(AND(LEFT(BG181,1)="E",LEFT(BJ181,1)="E"),"Exception · Band E",IF(AND(INDEX(B_VAL,MATCH(BJ181,B_LVL,0))&gt;=7,INDEX(B_RANK,MATCH(BG181,B_LVL,0))&gt;=INDEX(B_RANK,MATCH(BJ181,B_LVL,0))),"⚠ Same band as a head manager",IF(INDEX(B_VAL,MATCH(BG181,B_LVL,0))&gt;=INDEX(B_VAL,MATCH(BJ181,B_LVL,0)),"⚠ At or above the manager's level","OK"))))),"—")</f>
        <v>OK</v>
      </c>
      <c r="BL181" s="43" t="n"/>
      <c r="BM181" s="44">
        <f>IFERROR(INDEX(LMH_PTS,MATCH(Y181,LMH_KEY,0)),0)</f>
        <v>9</v>
      </c>
      <c r="BN181" s="38">
        <f>IFERROR(INDEX(LMH_PTS,MATCH(Z181,LMH_KEY,0)),0)</f>
        <v>3</v>
      </c>
      <c r="BO181" s="38">
        <f>IFERROR(INDEX(LMH_PTS,MATCH(AA181,LMH_KEY,0)),0)</f>
        <v>3</v>
      </c>
      <c r="BP181" s="38">
        <f>IFERROR(INDEX(LMH_PTS,MATCH(AB181,LMH_KEY,0)),0)</f>
        <v>1</v>
      </c>
      <c r="BQ181" s="38">
        <f>IFERROR(INDEX(LMH_PTS,MATCH(AC181,LMH_KEY,0)),0)</f>
        <v>1</v>
      </c>
      <c r="BR181" s="38">
        <f>IFERROR(INDEX(LMH_PTS,MATCH(AD181,LMH_KEY,0)),0)</f>
        <v>1</v>
      </c>
      <c r="BS181" s="38">
        <f>IFERROR(INDEX(LMH_PTS,MATCH(AE181,LMH_KEY,0)),0)</f>
        <v>3</v>
      </c>
      <c r="BT181" s="38">
        <f>IFERROR(INDEX(LMH_STEP,MATCH(AF181,LMH_KEY,0)),0)</f>
        <v>0</v>
      </c>
      <c r="BU181" s="38">
        <f>IFERROR(INDEX(LMH_STEP,MATCH(AG181,LMH_KEY,0)),0)</f>
        <v>0</v>
      </c>
      <c r="BV181" s="38">
        <f>IFERROR(INDEX(LMH_STEP,MATCH(AH181,LMH_KEY,0)),0)</f>
        <v>0</v>
      </c>
      <c r="BW181" s="38">
        <f>IFERROR(INDEX(LMH_STEP,MATCH(AI181,LMH_KEY,0)),0)</f>
        <v>0</v>
      </c>
      <c r="BX181" s="38">
        <f>IFERROR(INDEX(LMH_STEP,MATCH(AJ181,LMH_KEY,0)),0)</f>
        <v>0</v>
      </c>
      <c r="BY181" s="38">
        <f>IFERROR(INDEX(LMH_STEP,MATCH(AK181,LMH_KEY,0)),0)</f>
        <v>0</v>
      </c>
      <c r="BZ181" s="38">
        <f>IFERROR(INDEX(LMH_STEP,MATCH(AL181,LMH_KEY,0)),0)</f>
        <v>0</v>
      </c>
      <c r="CA181" s="38" t="inlineStr">
        <is>
          <t>Corporate|Finance|Senior Accounts Executive|A2|A</t>
        </is>
      </c>
    </row>
    <row r="182" ht="110" customHeight="1">
      <c r="A182" s="28" t="inlineStr">
        <is>
          <t>Corporate</t>
        </is>
      </c>
      <c r="B182" s="29" t="inlineStr">
        <is>
          <t>Finance</t>
        </is>
      </c>
      <c r="C182" s="29" t="n">
        <v>5</v>
      </c>
      <c r="D182" s="29" t="inlineStr">
        <is>
          <t>IRIS1557</t>
        </is>
      </c>
      <c r="E182" s="29" t="inlineStr">
        <is>
          <t>Gaurangee Gaurav Tawde</t>
        </is>
      </c>
      <c r="F182" s="29" t="inlineStr">
        <is>
          <t>Senior Executive Accounts</t>
        </is>
      </c>
      <c r="G182" s="29" t="inlineStr">
        <is>
          <t>Accounts Specialist – POD Lead</t>
        </is>
      </c>
      <c r="H182" s="29" t="inlineStr">
        <is>
          <t>Finance &amp; Accounts</t>
        </is>
      </c>
      <c r="I182" s="29" t="inlineStr">
        <is>
          <t>Accounting &amp; Transaction Processing</t>
        </is>
      </c>
      <c r="J182" s="29" t="inlineStr">
        <is>
          <t>POD Lead</t>
        </is>
      </c>
      <c r="K182" s="29" t="inlineStr">
        <is>
          <t>RC-096</t>
        </is>
      </c>
      <c r="L182" s="29" t="inlineStr">
        <is>
          <t>Shreya Singh</t>
        </is>
      </c>
      <c r="M182" s="29" t="inlineStr">
        <is>
          <t>IRIS2214</t>
        </is>
      </c>
      <c r="N182" s="29" t="n">
        <v>20.1</v>
      </c>
      <c r="O182" s="29" t="n">
        <v>11.1</v>
      </c>
      <c r="P182" s="29" t="inlineStr">
        <is>
          <t>PGDM</t>
        </is>
      </c>
      <c r="Q182" s="29" t="inlineStr">
        <is>
          <t>Not in current mapping files</t>
        </is>
      </c>
      <c r="R182" s="29" t="inlineStr">
        <is>
          <t>B1</t>
        </is>
      </c>
      <c r="S182" s="30" t="inlineStr">
        <is>
          <t>20 of 20</t>
        </is>
      </c>
      <c r="T182" s="31" t="inlineStr">
        <is>
          <t>Complexity: Evidence reads like A3: GST compliance, bank guarantees, Softex settlement, forward contract booking, audit coordination, MIS → matches the start
Autonomy: Evidence reads like A2: Decides within compliance work; nothing broader stated → moved down 0.5
Accountability: Evidence reads like A3: GST, bank guarantee and Softex compliance; late filing …</t>
        </is>
      </c>
      <c r="U182" s="32" t="inlineStr">
        <is>
          <t>KRAs not received · manager to supply</t>
        </is>
      </c>
      <c r="V182" s="31" t="inlineStr">
        <is>
          <t>Latest rating: Not rated · manager · 9-box: Not placed · manager · Readiness: No rating data</t>
        </is>
      </c>
      <c r="W182" s="31" t="inlineStr">
        <is>
          <t>C M · Au M · Ac M · L M · BI M · Exp H · 20.1 yrs vs 2–4 yrs · Edu H · PGDM</t>
        </is>
      </c>
      <c r="X182" s="33" t="inlineStr">
        <is>
          <t>Open ▸</t>
        </is>
      </c>
      <c r="Y182" s="34" t="str">
        <f>IFERROR(INDEX(DL_C,MATCH($CA182,DL_KEY,0)),"M")</f>
        <v>H</v>
      </c>
      <c r="Z182" s="35" t="str">
        <f>IFERROR(INDEX(DL_Au,MATCH($CA182,DL_KEY,0)),"M")</f>
        <v>M</v>
      </c>
      <c r="AA182" s="35" t="str">
        <f>IFERROR(INDEX(DL_Ac,MATCH($CA182,DL_KEY,0)),"M")</f>
        <v>M</v>
      </c>
      <c r="AB182" s="35" t="str">
        <f>IFERROR(INDEX(DL_L,MATCH($CA182,DL_KEY,0)),"M")</f>
        <v>L</v>
      </c>
      <c r="AC182" s="35" t="str">
        <f>IFERROR(INDEX(DL_BI,MATCH($CA182,DL_KEY,0)),"M")</f>
        <v>L</v>
      </c>
      <c r="AD182" s="35" t="str">
        <f>IFERROR(INDEX(DL_Exp,MATCH($CA182,DL_KEY,0)),"M")</f>
        <v>L</v>
      </c>
      <c r="AE182" s="35" t="str">
        <f>IFERROR(INDEX(DL_Edu,MATCH($CA182,DL_KEY,0)),"M")</f>
        <v>M</v>
      </c>
      <c r="AF182" s="34" t="inlineStr">
        <is>
          <t>M</t>
        </is>
      </c>
      <c r="AG182" s="35" t="inlineStr">
        <is>
          <t>M</t>
        </is>
      </c>
      <c r="AH182" s="35" t="inlineStr">
        <is>
          <t>M</t>
        </is>
      </c>
      <c r="AI182" s="35" t="inlineStr">
        <is>
          <t>M</t>
        </is>
      </c>
      <c r="AJ182" s="35" t="inlineStr">
        <is>
          <t>M</t>
        </is>
      </c>
      <c r="AK182" s="35" t="inlineStr">
        <is>
          <t>M</t>
        </is>
      </c>
      <c r="AL182" s="35" t="inlineStr">
        <is>
          <t>M</t>
        </is>
      </c>
      <c r="AM182" s="36" t="n">
        <v>0.583</v>
      </c>
      <c r="AN182" s="37" t="n">
        <v>0.16</v>
      </c>
      <c r="AO182" s="37" t="n">
        <v>0.09</v>
      </c>
      <c r="AP182" s="37" t="n">
        <v>0</v>
      </c>
      <c r="AQ182" s="37" t="n">
        <v>0.063</v>
      </c>
      <c r="AR182" s="37" t="n">
        <v>0.06</v>
      </c>
      <c r="AS182" s="37" t="n">
        <v>0.04</v>
      </c>
      <c r="AT182" s="38" t="inlineStr">
        <is>
          <t>2–5</t>
        </is>
      </c>
      <c r="AU182" s="38" t="inlineStr">
        <is>
          <t>Graduate; relevant certification preferred</t>
        </is>
      </c>
      <c r="AV182" s="38" t="inlineStr">
        <is>
          <t>None · guides 1–3 juniors informally</t>
        </is>
      </c>
      <c r="AW182" s="38" t="inlineStr">
        <is>
          <t>P2 · SFIA 3 Apply</t>
        </is>
      </c>
      <c r="AX18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82" s="39" t="inlineStr">
        <is>
          <t>A3</t>
        </is>
      </c>
      <c r="AZ182" s="40" t="inlineStr">
        <is>
          <t>Band A · Practitioner · Senior Associate</t>
        </is>
      </c>
      <c r="BA182" s="40" t="inlineStr">
        <is>
          <t>Model B1 from the six ratings, the market-derived weights and rules R1–R13 · then Level rule: manager B1; a reportee sits at least one level below · B1 → A3 · move down · pay and title protected for one cycle</t>
        </is>
      </c>
      <c r="BB182" s="41" t="inlineStr">
        <is>
          <t>B1</t>
        </is>
      </c>
      <c r="BC182" s="40" t="inlineStr">
        <is>
          <t>The six ratings on the market-average weights of Band A · all tracks score 3.62 → B1 · Hay, Mercer IPE and public plans · experience 20.1 yrs vs the B1 market range 4–8</t>
        </is>
      </c>
      <c r="BD182" s="42">
        <f>IF(SUM(BM182,BN182,BO182,BP182,BQ182,BR182,BS182)=0,0,(BM182*BT182+BN182*BU182+BO182*BV182+BP182*BW182+BQ182*BX182+BR182*BY182+BS182*BZ182)/SUM(BM182,BN182,BO182,BP182,BQ182,BR182,BS182))</f>
        <v>0</v>
      </c>
      <c r="BE182" s="41" t="str">
        <f>IF(LEFT(AY182,1)="X",AY182,IF(OR(AY182="B+",AY182="C+"),INDEX(LAD_PC,MAX(1,MIN(14,MATCH(AY182,LAD_PC,0)+IF(BD182&gt;=0.5,1,IF(BD182&lt;=-0.5,-1,0))))),INDEX(LAD_STD,MAX(1,MIN(12,MATCH(AY182,LAD_STD,0)+IF(BD182&gt;=0.5,1,IF(BD182&lt;=-0.5,-1,0)))))))</f>
        <v>A3</v>
      </c>
      <c r="BF182" s="43" t="n"/>
      <c r="BG182" s="41" t="str">
        <f>IF(BF182&lt;&gt;"",BF182,BE182)</f>
        <v>A3</v>
      </c>
      <c r="BH182" s="40" t="str">
        <f>IFERROR(CHOOSE(INDEX(B_RANK,MATCH(BG182,B_LVL,0)),"Band A","Band B","B+ · Player-Coach","Band C","C+ · Player-Coach","Band D","Band E"),"Band X · Consultant")</f>
        <v>Band A</v>
      </c>
      <c r="BI182" s="40" t="str">
        <f>IF(BG182=AY182,"• Same",IF(INDEX(B_VAL,MATCH(BG182,B_LVL,0))&gt;INDEX(B_VAL,MATCH(AY182,B_LVL,0)),"▲ Up","▼ Down"))</f>
        <v>• Same</v>
      </c>
      <c r="BJ182" s="40" t="str">
        <f>IF(OR($M182="",$M182="—",$M182="Not in this file"),"",IFERROR(INDEX($BG$7:$BG$592,MATCH($M182,$D$7:$D$592,0)),""))</f>
        <v>B1</v>
      </c>
      <c r="BK182" s="40" t="str">
        <f>IFERROR(IF(BJ182="","—",IF(OR(LEFT(BG182,1)="X",LEFT(BJ182,1)="X"),"—",IF(AND(LEFT(BG182,1)="E",LEFT(BJ182,1)="E"),"Exception · Band E",IF(AND(INDEX(B_VAL,MATCH(BJ182,B_LVL,0))&gt;=7,INDEX(B_RANK,MATCH(BG182,B_LVL,0))&gt;=INDEX(B_RANK,MATCH(BJ182,B_LVL,0))),"⚠ Same band as a head manager",IF(INDEX(B_VAL,MATCH(BG182,B_LVL,0))&gt;=INDEX(B_VAL,MATCH(BJ182,B_LVL,0)),"⚠ At or above the manager's level","OK"))))),"—")</f>
        <v>OK</v>
      </c>
      <c r="BL182" s="43" t="n"/>
      <c r="BM182" s="44">
        <f>IFERROR(INDEX(LMH_PTS,MATCH(Y182,LMH_KEY,0)),0)</f>
        <v>9</v>
      </c>
      <c r="BN182" s="38">
        <f>IFERROR(INDEX(LMH_PTS,MATCH(Z182,LMH_KEY,0)),0)</f>
        <v>3</v>
      </c>
      <c r="BO182" s="38">
        <f>IFERROR(INDEX(LMH_PTS,MATCH(AA182,LMH_KEY,0)),0)</f>
        <v>3</v>
      </c>
      <c r="BP182" s="38">
        <f>IFERROR(INDEX(LMH_PTS,MATCH(AB182,LMH_KEY,0)),0)</f>
        <v>1</v>
      </c>
      <c r="BQ182" s="38">
        <f>IFERROR(INDEX(LMH_PTS,MATCH(AC182,LMH_KEY,0)),0)</f>
        <v>1</v>
      </c>
      <c r="BR182" s="38">
        <f>IFERROR(INDEX(LMH_PTS,MATCH(AD182,LMH_KEY,0)),0)</f>
        <v>1</v>
      </c>
      <c r="BS182" s="38">
        <f>IFERROR(INDEX(LMH_PTS,MATCH(AE182,LMH_KEY,0)),0)</f>
        <v>3</v>
      </c>
      <c r="BT182" s="38">
        <f>IFERROR(INDEX(LMH_STEP,MATCH(AF182,LMH_KEY,0)),0)</f>
        <v>0</v>
      </c>
      <c r="BU182" s="38">
        <f>IFERROR(INDEX(LMH_STEP,MATCH(AG182,LMH_KEY,0)),0)</f>
        <v>0</v>
      </c>
      <c r="BV182" s="38">
        <f>IFERROR(INDEX(LMH_STEP,MATCH(AH182,LMH_KEY,0)),0)</f>
        <v>0</v>
      </c>
      <c r="BW182" s="38">
        <f>IFERROR(INDEX(LMH_STEP,MATCH(AI182,LMH_KEY,0)),0)</f>
        <v>0</v>
      </c>
      <c r="BX182" s="38">
        <f>IFERROR(INDEX(LMH_STEP,MATCH(AJ182,LMH_KEY,0)),0)</f>
        <v>0</v>
      </c>
      <c r="BY182" s="38">
        <f>IFERROR(INDEX(LMH_STEP,MATCH(AK182,LMH_KEY,0)),0)</f>
        <v>0</v>
      </c>
      <c r="BZ182" s="38">
        <f>IFERROR(INDEX(LMH_STEP,MATCH(AL182,LMH_KEY,0)),0)</f>
        <v>0</v>
      </c>
      <c r="CA182" s="38" t="inlineStr">
        <is>
          <t>Corporate|Finance|Accounts Specialist – POD Lead|A3|A</t>
        </is>
      </c>
    </row>
    <row r="183" ht="110" customHeight="1">
      <c r="A183" s="28" t="inlineStr">
        <is>
          <t>Corporate</t>
        </is>
      </c>
      <c r="B183" s="29" t="inlineStr">
        <is>
          <t>Finance</t>
        </is>
      </c>
      <c r="C183" s="29" t="n">
        <v>6</v>
      </c>
      <c r="D183" s="29" t="inlineStr">
        <is>
          <t>IRIS2062</t>
        </is>
      </c>
      <c r="E183" s="29" t="inlineStr">
        <is>
          <t>Riddhi Narkar</t>
        </is>
      </c>
      <c r="F183" s="29" t="inlineStr">
        <is>
          <t>Executive Accounts</t>
        </is>
      </c>
      <c r="G183" s="29" t="inlineStr">
        <is>
          <t>Senior Accounts Executive</t>
        </is>
      </c>
      <c r="H183" s="29" t="inlineStr">
        <is>
          <t>Finance &amp; Accounts</t>
        </is>
      </c>
      <c r="I183" s="29" t="inlineStr">
        <is>
          <t>Accounting &amp; Transaction Processing</t>
        </is>
      </c>
      <c r="J183" s="29" t="inlineStr">
        <is>
          <t>IC</t>
        </is>
      </c>
      <c r="K183" s="29" t="inlineStr">
        <is>
          <t>RC-095</t>
        </is>
      </c>
      <c r="L183" s="29" t="inlineStr">
        <is>
          <t>Gaurangee Gaurav Tawde</t>
        </is>
      </c>
      <c r="M183" s="29" t="inlineStr">
        <is>
          <t>IRIS1557</t>
        </is>
      </c>
      <c r="N183" s="29" t="n">
        <v>9.800000000000001</v>
      </c>
      <c r="O183" s="29" t="n">
        <v>4</v>
      </c>
      <c r="P183" s="29" t="inlineStr">
        <is>
          <t>B.Com</t>
        </is>
      </c>
      <c r="Q183" s="29" t="inlineStr">
        <is>
          <t>Not in current mapping files</t>
        </is>
      </c>
      <c r="R183" s="29" t="inlineStr">
        <is>
          <t>A3</t>
        </is>
      </c>
      <c r="S183" s="30" t="inlineStr">
        <is>
          <t>19 of 20</t>
        </is>
      </c>
      <c r="T183" s="31" t="inlineStr">
        <is>
          <t>Complexity: Evidence reads like A2: Creates sales orders and invoices, records daily bank transactions, fixed asset data → matches the start
Autonomy: Evidence reads like A1: States 'No freedom' to decide independently → moved down 0.5
Accountability: Evidence reads like A2: Entry-level accuracy and reports feeding the revenue report → matches the …</t>
        </is>
      </c>
      <c r="U183" s="32" t="inlineStr">
        <is>
          <t>KRAs not received · manager to supply</t>
        </is>
      </c>
      <c r="V183" s="31" t="inlineStr">
        <is>
          <t>Latest rating: Not rated · manager · 9-box: Not placed · manager · Readiness: No rating data</t>
        </is>
      </c>
      <c r="W183" s="31" t="inlineStr">
        <is>
          <t>C M · Au M · Ac M · L L · BI M · Exp H · 9.8 yrs vs 0–2 yrs · Edu M · B.Com</t>
        </is>
      </c>
      <c r="X183" s="33" t="inlineStr">
        <is>
          <t>Open ▸</t>
        </is>
      </c>
      <c r="Y183" s="34" t="str">
        <f>IFERROR(INDEX(DL_C,MATCH($CA183,DL_KEY,0)),"M")</f>
        <v>H</v>
      </c>
      <c r="Z183" s="35" t="str">
        <f>IFERROR(INDEX(DL_Au,MATCH($CA183,DL_KEY,0)),"M")</f>
        <v>M</v>
      </c>
      <c r="AA183" s="35" t="str">
        <f>IFERROR(INDEX(DL_Ac,MATCH($CA183,DL_KEY,0)),"M")</f>
        <v>M</v>
      </c>
      <c r="AB183" s="35" t="str">
        <f>IFERROR(INDEX(DL_L,MATCH($CA183,DL_KEY,0)),"M")</f>
        <v>L</v>
      </c>
      <c r="AC183" s="35" t="str">
        <f>IFERROR(INDEX(DL_BI,MATCH($CA183,DL_KEY,0)),"M")</f>
        <v>L</v>
      </c>
      <c r="AD183" s="35" t="str">
        <f>IFERROR(INDEX(DL_Exp,MATCH($CA183,DL_KEY,0)),"M")</f>
        <v>L</v>
      </c>
      <c r="AE183" s="35" t="str">
        <f>IFERROR(INDEX(DL_Edu,MATCH($CA183,DL_KEY,0)),"M")</f>
        <v>M</v>
      </c>
      <c r="AF183" s="34" t="inlineStr">
        <is>
          <t>M</t>
        </is>
      </c>
      <c r="AG183" s="35" t="inlineStr">
        <is>
          <t>M</t>
        </is>
      </c>
      <c r="AH183" s="35" t="inlineStr">
        <is>
          <t>M</t>
        </is>
      </c>
      <c r="AI183" s="35" t="inlineStr">
        <is>
          <t>M</t>
        </is>
      </c>
      <c r="AJ183" s="35" t="inlineStr">
        <is>
          <t>M</t>
        </is>
      </c>
      <c r="AK183" s="35" t="inlineStr">
        <is>
          <t>M</t>
        </is>
      </c>
      <c r="AL183" s="35" t="inlineStr">
        <is>
          <t>M</t>
        </is>
      </c>
      <c r="AM183" s="36" t="n">
        <v>0.583</v>
      </c>
      <c r="AN183" s="37" t="n">
        <v>0.16</v>
      </c>
      <c r="AO183" s="37" t="n">
        <v>0.09</v>
      </c>
      <c r="AP183" s="37" t="n">
        <v>0</v>
      </c>
      <c r="AQ183" s="37" t="n">
        <v>0.063</v>
      </c>
      <c r="AR183" s="37" t="n">
        <v>0.06</v>
      </c>
      <c r="AS183" s="37" t="n">
        <v>0.04</v>
      </c>
      <c r="AT183" s="38" t="inlineStr">
        <is>
          <t>0–3</t>
        </is>
      </c>
      <c r="AU183" s="38" t="inlineStr">
        <is>
          <t>Graduate · or diploma with experience</t>
        </is>
      </c>
      <c r="AV183" s="38" t="inlineStr">
        <is>
          <t>No direct reports</t>
        </is>
      </c>
      <c r="AW183" s="38" t="inlineStr">
        <is>
          <t>P1–P2 · SFIA 2 Assist</t>
        </is>
      </c>
      <c r="AX18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83" s="39" t="inlineStr">
        <is>
          <t>A2</t>
        </is>
      </c>
      <c r="AZ183" s="40" t="inlineStr">
        <is>
          <t>Band A · Practitioner · Associate</t>
        </is>
      </c>
      <c r="BA183" s="40" t="inlineStr">
        <is>
          <t>Model A3 from the six ratings, the market-derived weights and rules R1–R13 · then Level rule: manager A3; a reportee sits at least one level below · A3 → A2 · move down · pay and title protected for one cycle</t>
        </is>
      </c>
      <c r="BB183" s="41" t="inlineStr">
        <is>
          <t>A2</t>
        </is>
      </c>
      <c r="BC183" s="40" t="inlineStr">
        <is>
          <t>The six ratings on the market-average weights of Band A · all tracks score 2.32 → A2 · Hay, Mercer IPE and public plans · experience 9.8 yrs vs the A2 market range 0–3</t>
        </is>
      </c>
      <c r="BD183" s="42">
        <f>IF(SUM(BM183,BN183,BO183,BP183,BQ183,BR183,BS183)=0,0,(BM183*BT183+BN183*BU183+BO183*BV183+BP183*BW183+BQ183*BX183+BR183*BY183+BS183*BZ183)/SUM(BM183,BN183,BO183,BP183,BQ183,BR183,BS183))</f>
        <v>0</v>
      </c>
      <c r="BE183" s="41" t="str">
        <f>IF(LEFT(AY183,1)="X",AY183,IF(OR(AY183="B+",AY183="C+"),INDEX(LAD_PC,MAX(1,MIN(14,MATCH(AY183,LAD_PC,0)+IF(BD183&gt;=0.5,1,IF(BD183&lt;=-0.5,-1,0))))),INDEX(LAD_STD,MAX(1,MIN(12,MATCH(AY183,LAD_STD,0)+IF(BD183&gt;=0.5,1,IF(BD183&lt;=-0.5,-1,0)))))))</f>
        <v>A2</v>
      </c>
      <c r="BF183" s="43" t="n"/>
      <c r="BG183" s="41" t="str">
        <f>IF(BF183&lt;&gt;"",BF183,BE183)</f>
        <v>A2</v>
      </c>
      <c r="BH183" s="40" t="str">
        <f>IFERROR(CHOOSE(INDEX(B_RANK,MATCH(BG183,B_LVL,0)),"Band A","Band B","B+ · Player-Coach","Band C","C+ · Player-Coach","Band D","Band E"),"Band X · Consultant")</f>
        <v>Band A</v>
      </c>
      <c r="BI183" s="40" t="str">
        <f>IF(BG183=AY183,"• Same",IF(INDEX(B_VAL,MATCH(BG183,B_LVL,0))&gt;INDEX(B_VAL,MATCH(AY183,B_LVL,0)),"▲ Up","▼ Down"))</f>
        <v>• Same</v>
      </c>
      <c r="BJ183" s="40" t="str">
        <f>IF(OR($M183="",$M183="—",$M183="Not in this file"),"",IFERROR(INDEX($BG$7:$BG$592,MATCH($M183,$D$7:$D$592,0)),""))</f>
        <v>A3</v>
      </c>
      <c r="BK183" s="40" t="str">
        <f>IFERROR(IF(BJ183="","—",IF(OR(LEFT(BG183,1)="X",LEFT(BJ183,1)="X"),"—",IF(AND(LEFT(BG183,1)="E",LEFT(BJ183,1)="E"),"Exception · Band E",IF(AND(INDEX(B_VAL,MATCH(BJ183,B_LVL,0))&gt;=7,INDEX(B_RANK,MATCH(BG183,B_LVL,0))&gt;=INDEX(B_RANK,MATCH(BJ183,B_LVL,0))),"⚠ Same band as a head manager",IF(INDEX(B_VAL,MATCH(BG183,B_LVL,0))&gt;=INDEX(B_VAL,MATCH(BJ183,B_LVL,0)),"⚠ At or above the manager's level","OK"))))),"—")</f>
        <v>OK</v>
      </c>
      <c r="BL183" s="43" t="n"/>
      <c r="BM183" s="44">
        <f>IFERROR(INDEX(LMH_PTS,MATCH(Y183,LMH_KEY,0)),0)</f>
        <v>9</v>
      </c>
      <c r="BN183" s="38">
        <f>IFERROR(INDEX(LMH_PTS,MATCH(Z183,LMH_KEY,0)),0)</f>
        <v>3</v>
      </c>
      <c r="BO183" s="38">
        <f>IFERROR(INDEX(LMH_PTS,MATCH(AA183,LMH_KEY,0)),0)</f>
        <v>3</v>
      </c>
      <c r="BP183" s="38">
        <f>IFERROR(INDEX(LMH_PTS,MATCH(AB183,LMH_KEY,0)),0)</f>
        <v>1</v>
      </c>
      <c r="BQ183" s="38">
        <f>IFERROR(INDEX(LMH_PTS,MATCH(AC183,LMH_KEY,0)),0)</f>
        <v>1</v>
      </c>
      <c r="BR183" s="38">
        <f>IFERROR(INDEX(LMH_PTS,MATCH(AD183,LMH_KEY,0)),0)</f>
        <v>1</v>
      </c>
      <c r="BS183" s="38">
        <f>IFERROR(INDEX(LMH_PTS,MATCH(AE183,LMH_KEY,0)),0)</f>
        <v>3</v>
      </c>
      <c r="BT183" s="38">
        <f>IFERROR(INDEX(LMH_STEP,MATCH(AF183,LMH_KEY,0)),0)</f>
        <v>0</v>
      </c>
      <c r="BU183" s="38">
        <f>IFERROR(INDEX(LMH_STEP,MATCH(AG183,LMH_KEY,0)),0)</f>
        <v>0</v>
      </c>
      <c r="BV183" s="38">
        <f>IFERROR(INDEX(LMH_STEP,MATCH(AH183,LMH_KEY,0)),0)</f>
        <v>0</v>
      </c>
      <c r="BW183" s="38">
        <f>IFERROR(INDEX(LMH_STEP,MATCH(AI183,LMH_KEY,0)),0)</f>
        <v>0</v>
      </c>
      <c r="BX183" s="38">
        <f>IFERROR(INDEX(LMH_STEP,MATCH(AJ183,LMH_KEY,0)),0)</f>
        <v>0</v>
      </c>
      <c r="BY183" s="38">
        <f>IFERROR(INDEX(LMH_STEP,MATCH(AK183,LMH_KEY,0)),0)</f>
        <v>0</v>
      </c>
      <c r="BZ183" s="38">
        <f>IFERROR(INDEX(LMH_STEP,MATCH(AL183,LMH_KEY,0)),0)</f>
        <v>0</v>
      </c>
      <c r="CA183" s="38" t="inlineStr">
        <is>
          <t>Corporate|Finance|Senior Accounts Executive|A2|A</t>
        </is>
      </c>
    </row>
    <row r="184" ht="110" customHeight="1">
      <c r="A184" s="28" t="inlineStr">
        <is>
          <t>Corporate</t>
        </is>
      </c>
      <c r="B184" s="29" t="inlineStr">
        <is>
          <t>Finance</t>
        </is>
      </c>
      <c r="C184" s="29" t="n">
        <v>3</v>
      </c>
      <c r="D184" s="29" t="inlineStr">
        <is>
          <t>IRIS2547</t>
        </is>
      </c>
      <c r="E184" s="29" t="inlineStr">
        <is>
          <t>Lalit Choudhary</t>
        </is>
      </c>
      <c r="F184" s="29" t="inlineStr">
        <is>
          <t>Assistant Manager - Finance and Accounts</t>
        </is>
      </c>
      <c r="G184" s="29" t="inlineStr">
        <is>
          <t>Finance Specialist</t>
        </is>
      </c>
      <c r="H184" s="29" t="inlineStr">
        <is>
          <t>Finance &amp; Accounts</t>
        </is>
      </c>
      <c r="I184" s="29" t="inlineStr">
        <is>
          <t>Financial Reporting, Compliance &amp; Audit</t>
        </is>
      </c>
      <c r="J184" s="29" t="inlineStr">
        <is>
          <t>IC</t>
        </is>
      </c>
      <c r="K184" s="29" t="inlineStr">
        <is>
          <t>RC-098</t>
        </is>
      </c>
      <c r="L184" s="29" t="inlineStr">
        <is>
          <t>Nishant Gupta</t>
        </is>
      </c>
      <c r="M184" s="29" t="inlineStr">
        <is>
          <t>IRIS1918</t>
        </is>
      </c>
      <c r="N184" s="29" t="n">
        <v>4.8</v>
      </c>
      <c r="O184" s="29" t="n">
        <v>0.2</v>
      </c>
      <c r="P184" s="29" t="inlineStr">
        <is>
          <t>CA</t>
        </is>
      </c>
      <c r="Q184" s="29" t="inlineStr">
        <is>
          <t>Not in current mapping files</t>
        </is>
      </c>
      <c r="R184" s="29" t="inlineStr">
        <is>
          <t>B1</t>
        </is>
      </c>
      <c r="S184" s="30" t="inlineStr">
        <is>
          <t>19 of 20</t>
        </is>
      </c>
      <c r="T184" s="31" t="inlineStr">
        <is>
          <t>Complexity: Evidence reads like B1: Expense variance analysis, subsidiary and consolidated financial statements, budget preparation, GST/MSME compliance → matches the start
Autonomy: Evidence reads like A2: Independent decisions limited to how expenses are analysed → moved down 1
Accountability: Evidence reads like A3: Owns expense analysis and the Ideal …</t>
        </is>
      </c>
      <c r="U184" s="32" t="inlineStr">
        <is>
          <t>KRAs not received · manager to supply</t>
        </is>
      </c>
      <c r="V184" s="31" t="inlineStr">
        <is>
          <t>Latest rating: Not rated · manager · 9-box: Not placed · manager · Readiness: No rating data</t>
        </is>
      </c>
      <c r="W184" s="31" t="inlineStr">
        <is>
          <t>C M · Au L · Ac M · L L · BI M · Exp M · 4.8 yrs vs 4–7 yrs · Edu H · CA</t>
        </is>
      </c>
      <c r="X184" s="33" t="inlineStr">
        <is>
          <t>Open ▸</t>
        </is>
      </c>
      <c r="Y184" s="34" t="str">
        <f>IFERROR(INDEX(DL_C,MATCH($CA184,DL_KEY,0)),"M")</f>
        <v>H</v>
      </c>
      <c r="Z184" s="35" t="str">
        <f>IFERROR(INDEX(DL_Au,MATCH($CA184,DL_KEY,0)),"M")</f>
        <v>M</v>
      </c>
      <c r="AA184" s="35" t="str">
        <f>IFERROR(INDEX(DL_Ac,MATCH($CA184,DL_KEY,0)),"M")</f>
        <v>M</v>
      </c>
      <c r="AB184" s="35" t="str">
        <f>IFERROR(INDEX(DL_L,MATCH($CA184,DL_KEY,0)),"M")</f>
        <v>L</v>
      </c>
      <c r="AC184" s="35" t="str">
        <f>IFERROR(INDEX(DL_BI,MATCH($CA184,DL_KEY,0)),"M")</f>
        <v>L</v>
      </c>
      <c r="AD184" s="35" t="str">
        <f>IFERROR(INDEX(DL_Exp,MATCH($CA184,DL_KEY,0)),"M")</f>
        <v>L</v>
      </c>
      <c r="AE184" s="35" t="str">
        <f>IFERROR(INDEX(DL_Edu,MATCH($CA184,DL_KEY,0)),"M")</f>
        <v>L</v>
      </c>
      <c r="AF184" s="34" t="inlineStr">
        <is>
          <t>M</t>
        </is>
      </c>
      <c r="AG184" s="35" t="inlineStr">
        <is>
          <t>M</t>
        </is>
      </c>
      <c r="AH184" s="35" t="inlineStr">
        <is>
          <t>M</t>
        </is>
      </c>
      <c r="AI184" s="35" t="inlineStr">
        <is>
          <t>M</t>
        </is>
      </c>
      <c r="AJ184" s="35" t="inlineStr">
        <is>
          <t>M</t>
        </is>
      </c>
      <c r="AK184" s="35" t="inlineStr">
        <is>
          <t>M</t>
        </is>
      </c>
      <c r="AL184" s="35" t="inlineStr">
        <is>
          <t>M</t>
        </is>
      </c>
      <c r="AM184" s="36" t="n">
        <v>0.513</v>
      </c>
      <c r="AN184" s="37" t="n">
        <v>0.173</v>
      </c>
      <c r="AO184" s="37" t="n">
        <v>0.09699999999999999</v>
      </c>
      <c r="AP184" s="37" t="n">
        <v>0.05</v>
      </c>
      <c r="AQ184" s="37" t="n">
        <v>0.07000000000000001</v>
      </c>
      <c r="AR184" s="37" t="n">
        <v>0.06</v>
      </c>
      <c r="AS184" s="37" t="n">
        <v>0.04</v>
      </c>
      <c r="AT184" s="38" t="inlineStr">
        <is>
          <t>4–8</t>
        </is>
      </c>
      <c r="AU184" s="38" t="inlineStr">
        <is>
          <t>Graduate + relevant qualification or certification preferred</t>
        </is>
      </c>
      <c r="AV184" s="38" t="inlineStr">
        <is>
          <t>IC: none · Team Lead: 3–5</t>
        </is>
      </c>
      <c r="AW184" s="38" t="inlineStr">
        <is>
          <t>P3 / M2 · SFIA 4 Enable</t>
        </is>
      </c>
      <c r="AX18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84" s="39" t="inlineStr">
        <is>
          <t>B1</t>
        </is>
      </c>
      <c r="AZ184" s="40" t="inlineStr">
        <is>
          <t>Band B · Specialist / Manager · Specialist</t>
        </is>
      </c>
      <c r="BA184" s="40" t="inlineStr">
        <is>
          <t>Model B1 from the six ratings, the market-derived weights and rules R1–R13 · then No change · already below the manager</t>
        </is>
      </c>
      <c r="BB184" s="41" t="inlineStr">
        <is>
          <t>B1</t>
        </is>
      </c>
      <c r="BC184" s="40" t="inlineStr">
        <is>
          <t>The six ratings on the market-average weights of Band B · Specialist / POD Lead score 3.69 → B1 · Hay, Mercer IPE and public plans · experience 4.8 yrs vs the B1 market range 4–8</t>
        </is>
      </c>
      <c r="BD184" s="42">
        <f>IF(SUM(BM184,BN184,BO184,BP184,BQ184,BR184,BS184)=0,0,(BM184*BT184+BN184*BU184+BO184*BV184+BP184*BW184+BQ184*BX184+BR184*BY184+BS184*BZ184)/SUM(BM184,BN184,BO184,BP184,BQ184,BR184,BS184))</f>
        <v>0</v>
      </c>
      <c r="BE184" s="41" t="str">
        <f>IF(LEFT(AY184,1)="X",AY184,IF(OR(AY184="B+",AY184="C+"),INDEX(LAD_PC,MAX(1,MIN(14,MATCH(AY184,LAD_PC,0)+IF(BD184&gt;=0.5,1,IF(BD184&lt;=-0.5,-1,0))))),INDEX(LAD_STD,MAX(1,MIN(12,MATCH(AY184,LAD_STD,0)+IF(BD184&gt;=0.5,1,IF(BD184&lt;=-0.5,-1,0)))))))</f>
        <v>B1</v>
      </c>
      <c r="BF184" s="43" t="n"/>
      <c r="BG184" s="41" t="str">
        <f>IF(BF184&lt;&gt;"",BF184,BE184)</f>
        <v>B1</v>
      </c>
      <c r="BH184" s="40" t="str">
        <f>IFERROR(CHOOSE(INDEX(B_RANK,MATCH(BG184,B_LVL,0)),"Band A","Band B","B+ · Player-Coach","Band C","C+ · Player-Coach","Band D","Band E"),"Band X · Consultant")</f>
        <v>Band B</v>
      </c>
      <c r="BI184" s="40" t="str">
        <f>IF(BG184=AY184,"• Same",IF(INDEX(B_VAL,MATCH(BG184,B_LVL,0))&gt;INDEX(B_VAL,MATCH(AY184,B_LVL,0)),"▲ Up","▼ Down"))</f>
        <v>• Same</v>
      </c>
      <c r="BJ184" s="40" t="str">
        <f>IF(OR($M184="",$M184="—",$M184="Not in this file"),"",IFERROR(INDEX($BG$7:$BG$592,MATCH($M184,$D$7:$D$592,0)),""))</f>
        <v>C1</v>
      </c>
      <c r="BK184" s="40" t="str">
        <f>IFERROR(IF(BJ184="","—",IF(OR(LEFT(BG184,1)="X",LEFT(BJ184,1)="X"),"—",IF(AND(LEFT(BG184,1)="E",LEFT(BJ184,1)="E"),"Exception · Band E",IF(AND(INDEX(B_VAL,MATCH(BJ184,B_LVL,0))&gt;=7,INDEX(B_RANK,MATCH(BG184,B_LVL,0))&gt;=INDEX(B_RANK,MATCH(BJ184,B_LVL,0))),"⚠ Same band as a head manager",IF(INDEX(B_VAL,MATCH(BG184,B_LVL,0))&gt;=INDEX(B_VAL,MATCH(BJ184,B_LVL,0)),"⚠ At or above the manager's level","OK"))))),"—")</f>
        <v>OK</v>
      </c>
      <c r="BL184" s="43" t="n"/>
      <c r="BM184" s="44">
        <f>IFERROR(INDEX(LMH_PTS,MATCH(Y184,LMH_KEY,0)),0)</f>
        <v>9</v>
      </c>
      <c r="BN184" s="38">
        <f>IFERROR(INDEX(LMH_PTS,MATCH(Z184,LMH_KEY,0)),0)</f>
        <v>3</v>
      </c>
      <c r="BO184" s="38">
        <f>IFERROR(INDEX(LMH_PTS,MATCH(AA184,LMH_KEY,0)),0)</f>
        <v>3</v>
      </c>
      <c r="BP184" s="38">
        <f>IFERROR(INDEX(LMH_PTS,MATCH(AB184,LMH_KEY,0)),0)</f>
        <v>1</v>
      </c>
      <c r="BQ184" s="38">
        <f>IFERROR(INDEX(LMH_PTS,MATCH(AC184,LMH_KEY,0)),0)</f>
        <v>1</v>
      </c>
      <c r="BR184" s="38">
        <f>IFERROR(INDEX(LMH_PTS,MATCH(AD184,LMH_KEY,0)),0)</f>
        <v>1</v>
      </c>
      <c r="BS184" s="38">
        <f>IFERROR(INDEX(LMH_PTS,MATCH(AE184,LMH_KEY,0)),0)</f>
        <v>1</v>
      </c>
      <c r="BT184" s="38">
        <f>IFERROR(INDEX(LMH_STEP,MATCH(AF184,LMH_KEY,0)),0)</f>
        <v>0</v>
      </c>
      <c r="BU184" s="38">
        <f>IFERROR(INDEX(LMH_STEP,MATCH(AG184,LMH_KEY,0)),0)</f>
        <v>0</v>
      </c>
      <c r="BV184" s="38">
        <f>IFERROR(INDEX(LMH_STEP,MATCH(AH184,LMH_KEY,0)),0)</f>
        <v>0</v>
      </c>
      <c r="BW184" s="38">
        <f>IFERROR(INDEX(LMH_STEP,MATCH(AI184,LMH_KEY,0)),0)</f>
        <v>0</v>
      </c>
      <c r="BX184" s="38">
        <f>IFERROR(INDEX(LMH_STEP,MATCH(AJ184,LMH_KEY,0)),0)</f>
        <v>0</v>
      </c>
      <c r="BY184" s="38">
        <f>IFERROR(INDEX(LMH_STEP,MATCH(AK184,LMH_KEY,0)),0)</f>
        <v>0</v>
      </c>
      <c r="BZ184" s="38">
        <f>IFERROR(INDEX(LMH_STEP,MATCH(AL184,LMH_KEY,0)),0)</f>
        <v>0</v>
      </c>
      <c r="CA184" s="38" t="inlineStr">
        <is>
          <t>Corporate|Finance|Finance Specialist|B1|B-IC</t>
        </is>
      </c>
    </row>
    <row r="185" ht="110" customHeight="1">
      <c r="A185" s="28" t="inlineStr">
        <is>
          <t>Corporate</t>
        </is>
      </c>
      <c r="B185" s="29" t="inlineStr">
        <is>
          <t>Finance</t>
        </is>
      </c>
      <c r="C185" s="29" t="n">
        <v>3</v>
      </c>
      <c r="D185" s="29" t="inlineStr">
        <is>
          <t>IRIS2561</t>
        </is>
      </c>
      <c r="E185" s="29" t="inlineStr">
        <is>
          <t>Radhika Karnani</t>
        </is>
      </c>
      <c r="F185" s="29" t="inlineStr">
        <is>
          <t>Assistant Manager - Finance and Accounts</t>
        </is>
      </c>
      <c r="G185" s="29" t="inlineStr">
        <is>
          <t>Finance Specialist</t>
        </is>
      </c>
      <c r="H185" s="29" t="inlineStr">
        <is>
          <t>Finance &amp; Accounts</t>
        </is>
      </c>
      <c r="I185" s="29" t="inlineStr">
        <is>
          <t>Financial Reporting, Compliance &amp; Audit</t>
        </is>
      </c>
      <c r="J185" s="29" t="inlineStr">
        <is>
          <t>IC</t>
        </is>
      </c>
      <c r="K185" s="29" t="inlineStr">
        <is>
          <t>RC-098</t>
        </is>
      </c>
      <c r="L185" s="29" t="inlineStr">
        <is>
          <t>Nishant Gupta</t>
        </is>
      </c>
      <c r="M185" s="29" t="inlineStr">
        <is>
          <t>IRIS1918</t>
        </is>
      </c>
      <c r="N185" s="29" t="inlineStr">
        <is>
          <t>Not provided · HRIS</t>
        </is>
      </c>
      <c r="O185" s="29" t="n">
        <v>0.1</v>
      </c>
      <c r="P185" s="29" t="inlineStr">
        <is>
          <t>CA</t>
        </is>
      </c>
      <c r="Q185" s="29" t="inlineStr">
        <is>
          <t>Not in current mapping files</t>
        </is>
      </c>
      <c r="R185" s="29" t="inlineStr">
        <is>
          <t>B1</t>
        </is>
      </c>
      <c r="S185" s="30" t="inlineStr">
        <is>
          <t>19 of 20</t>
        </is>
      </c>
      <c r="T185" s="31" t="inlineStr">
        <is>
          <t>Complexity: Evidence reads like B1: own survey / KRA answers · summarised by the rater; not quoted → matches the start
Autonomy: Evidence reads like A2: Only 'process improvement' named as an independent decision → moved down 1
Accountability: Evidence reads like A3: own survey / KRA answers · summarised by the rater; not quoted → moved down 0.5
Leadership: …</t>
        </is>
      </c>
      <c r="U185" s="32" t="inlineStr">
        <is>
          <t>KRAs not received · manager to supply</t>
        </is>
      </c>
      <c r="V185" s="31" t="inlineStr">
        <is>
          <t>Latest rating: Not rated · manager · 9-box: Not placed · manager · Readiness: No rating data</t>
        </is>
      </c>
      <c r="W185" s="31" t="inlineStr">
        <is>
          <t>C M · Au L · Ac M · L L · BI M · Exp — · not on file · Edu H · CA</t>
        </is>
      </c>
      <c r="X185" s="33" t="inlineStr">
        <is>
          <t>Open ▸</t>
        </is>
      </c>
      <c r="Y185" s="34" t="str">
        <f>IFERROR(INDEX(DL_C,MATCH($CA185,DL_KEY,0)),"M")</f>
        <v>H</v>
      </c>
      <c r="Z185" s="35" t="str">
        <f>IFERROR(INDEX(DL_Au,MATCH($CA185,DL_KEY,0)),"M")</f>
        <v>M</v>
      </c>
      <c r="AA185" s="35" t="str">
        <f>IFERROR(INDEX(DL_Ac,MATCH($CA185,DL_KEY,0)),"M")</f>
        <v>M</v>
      </c>
      <c r="AB185" s="35" t="str">
        <f>IFERROR(INDEX(DL_L,MATCH($CA185,DL_KEY,0)),"M")</f>
        <v>L</v>
      </c>
      <c r="AC185" s="35" t="str">
        <f>IFERROR(INDEX(DL_BI,MATCH($CA185,DL_KEY,0)),"M")</f>
        <v>L</v>
      </c>
      <c r="AD185" s="35" t="str">
        <f>IFERROR(INDEX(DL_Exp,MATCH($CA185,DL_KEY,0)),"M")</f>
        <v>L</v>
      </c>
      <c r="AE185" s="35" t="str">
        <f>IFERROR(INDEX(DL_Edu,MATCH($CA185,DL_KEY,0)),"M")</f>
        <v>L</v>
      </c>
      <c r="AF185" s="34" t="inlineStr">
        <is>
          <t>M</t>
        </is>
      </c>
      <c r="AG185" s="35" t="inlineStr">
        <is>
          <t>M</t>
        </is>
      </c>
      <c r="AH185" s="35" t="inlineStr">
        <is>
          <t>M</t>
        </is>
      </c>
      <c r="AI185" s="35" t="inlineStr">
        <is>
          <t>M</t>
        </is>
      </c>
      <c r="AJ185" s="35" t="inlineStr">
        <is>
          <t>M</t>
        </is>
      </c>
      <c r="AK185" s="35" t="inlineStr">
        <is>
          <t>M</t>
        </is>
      </c>
      <c r="AL185" s="35" t="inlineStr">
        <is>
          <t>M</t>
        </is>
      </c>
      <c r="AM185" s="36" t="n">
        <v>0.513</v>
      </c>
      <c r="AN185" s="37" t="n">
        <v>0.173</v>
      </c>
      <c r="AO185" s="37" t="n">
        <v>0.09699999999999999</v>
      </c>
      <c r="AP185" s="37" t="n">
        <v>0.05</v>
      </c>
      <c r="AQ185" s="37" t="n">
        <v>0.07000000000000001</v>
      </c>
      <c r="AR185" s="37" t="n">
        <v>0.06</v>
      </c>
      <c r="AS185" s="37" t="n">
        <v>0.04</v>
      </c>
      <c r="AT185" s="38" t="inlineStr">
        <is>
          <t>4–8</t>
        </is>
      </c>
      <c r="AU185" s="38" t="inlineStr">
        <is>
          <t>Graduate + relevant qualification or certification preferred</t>
        </is>
      </c>
      <c r="AV185" s="38" t="inlineStr">
        <is>
          <t>IC: none · Team Lead: 3–5</t>
        </is>
      </c>
      <c r="AW185" s="38" t="inlineStr">
        <is>
          <t>P3 / M2 · SFIA 4 Enable</t>
        </is>
      </c>
      <c r="AX18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85" s="39" t="inlineStr">
        <is>
          <t>B1</t>
        </is>
      </c>
      <c r="AZ185" s="40" t="inlineStr">
        <is>
          <t>Band B · Specialist / Manager · Specialist</t>
        </is>
      </c>
      <c r="BA185" s="40" t="inlineStr">
        <is>
          <t>Model B1 from the six ratings, the market-derived weights and rules R1–R13 · then No change · already below the manager</t>
        </is>
      </c>
      <c r="BB185" s="41" t="inlineStr">
        <is>
          <t>B1</t>
        </is>
      </c>
      <c r="BC185" s="40" t="inlineStr">
        <is>
          <t>The six ratings on the market-average weights of Band B · Specialist / POD Lead score 3.77 → B1 · Hay, Mercer IPE and public plans · experience Not provided · HRIS yrs vs the B1 market range 4–8</t>
        </is>
      </c>
      <c r="BD185" s="42">
        <f>IF(SUM(BM185,BN185,BO185,BP185,BQ185,BR185,BS185)=0,0,(BM185*BT185+BN185*BU185+BO185*BV185+BP185*BW185+BQ185*BX185+BR185*BY185+BS185*BZ185)/SUM(BM185,BN185,BO185,BP185,BQ185,BR185,BS185))</f>
        <v>0</v>
      </c>
      <c r="BE185" s="41" t="str">
        <f>IF(LEFT(AY185,1)="X",AY185,IF(OR(AY185="B+",AY185="C+"),INDEX(LAD_PC,MAX(1,MIN(14,MATCH(AY185,LAD_PC,0)+IF(BD185&gt;=0.5,1,IF(BD185&lt;=-0.5,-1,0))))),INDEX(LAD_STD,MAX(1,MIN(12,MATCH(AY185,LAD_STD,0)+IF(BD185&gt;=0.5,1,IF(BD185&lt;=-0.5,-1,0)))))))</f>
        <v>B1</v>
      </c>
      <c r="BF185" s="43" t="n"/>
      <c r="BG185" s="41" t="str">
        <f>IF(BF185&lt;&gt;"",BF185,BE185)</f>
        <v>B1</v>
      </c>
      <c r="BH185" s="40" t="str">
        <f>IFERROR(CHOOSE(INDEX(B_RANK,MATCH(BG185,B_LVL,0)),"Band A","Band B","B+ · Player-Coach","Band C","C+ · Player-Coach","Band D","Band E"),"Band X · Consultant")</f>
        <v>Band B</v>
      </c>
      <c r="BI185" s="40" t="str">
        <f>IF(BG185=AY185,"• Same",IF(INDEX(B_VAL,MATCH(BG185,B_LVL,0))&gt;INDEX(B_VAL,MATCH(AY185,B_LVL,0)),"▲ Up","▼ Down"))</f>
        <v>• Same</v>
      </c>
      <c r="BJ185" s="40" t="str">
        <f>IF(OR($M185="",$M185="—",$M185="Not in this file"),"",IFERROR(INDEX($BG$7:$BG$592,MATCH($M185,$D$7:$D$592,0)),""))</f>
        <v>C1</v>
      </c>
      <c r="BK185" s="40" t="str">
        <f>IFERROR(IF(BJ185="","—",IF(OR(LEFT(BG185,1)="X",LEFT(BJ185,1)="X"),"—",IF(AND(LEFT(BG185,1)="E",LEFT(BJ185,1)="E"),"Exception · Band E",IF(AND(INDEX(B_VAL,MATCH(BJ185,B_LVL,0))&gt;=7,INDEX(B_RANK,MATCH(BG185,B_LVL,0))&gt;=INDEX(B_RANK,MATCH(BJ185,B_LVL,0))),"⚠ Same band as a head manager",IF(INDEX(B_VAL,MATCH(BG185,B_LVL,0))&gt;=INDEX(B_VAL,MATCH(BJ185,B_LVL,0)),"⚠ At or above the manager's level","OK"))))),"—")</f>
        <v>OK</v>
      </c>
      <c r="BL185" s="43" t="n"/>
      <c r="BM185" s="44">
        <f>IFERROR(INDEX(LMH_PTS,MATCH(Y185,LMH_KEY,0)),0)</f>
        <v>9</v>
      </c>
      <c r="BN185" s="38">
        <f>IFERROR(INDEX(LMH_PTS,MATCH(Z185,LMH_KEY,0)),0)</f>
        <v>3</v>
      </c>
      <c r="BO185" s="38">
        <f>IFERROR(INDEX(LMH_PTS,MATCH(AA185,LMH_KEY,0)),0)</f>
        <v>3</v>
      </c>
      <c r="BP185" s="38">
        <f>IFERROR(INDEX(LMH_PTS,MATCH(AB185,LMH_KEY,0)),0)</f>
        <v>1</v>
      </c>
      <c r="BQ185" s="38">
        <f>IFERROR(INDEX(LMH_PTS,MATCH(AC185,LMH_KEY,0)),0)</f>
        <v>1</v>
      </c>
      <c r="BR185" s="38">
        <f>IFERROR(INDEX(LMH_PTS,MATCH(AD185,LMH_KEY,0)),0)</f>
        <v>1</v>
      </c>
      <c r="BS185" s="38">
        <f>IFERROR(INDEX(LMH_PTS,MATCH(AE185,LMH_KEY,0)),0)</f>
        <v>1</v>
      </c>
      <c r="BT185" s="38">
        <f>IFERROR(INDEX(LMH_STEP,MATCH(AF185,LMH_KEY,0)),0)</f>
        <v>0</v>
      </c>
      <c r="BU185" s="38">
        <f>IFERROR(INDEX(LMH_STEP,MATCH(AG185,LMH_KEY,0)),0)</f>
        <v>0</v>
      </c>
      <c r="BV185" s="38">
        <f>IFERROR(INDEX(LMH_STEP,MATCH(AH185,LMH_KEY,0)),0)</f>
        <v>0</v>
      </c>
      <c r="BW185" s="38">
        <f>IFERROR(INDEX(LMH_STEP,MATCH(AI185,LMH_KEY,0)),0)</f>
        <v>0</v>
      </c>
      <c r="BX185" s="38">
        <f>IFERROR(INDEX(LMH_STEP,MATCH(AJ185,LMH_KEY,0)),0)</f>
        <v>0</v>
      </c>
      <c r="BY185" s="38">
        <f>IFERROR(INDEX(LMH_STEP,MATCH(AK185,LMH_KEY,0)),0)</f>
        <v>0</v>
      </c>
      <c r="BZ185" s="38">
        <f>IFERROR(INDEX(LMH_STEP,MATCH(AL185,LMH_KEY,0)),0)</f>
        <v>0</v>
      </c>
      <c r="CA185" s="38" t="inlineStr">
        <is>
          <t>Corporate|Finance|Finance Specialist|B1|B-IC</t>
        </is>
      </c>
    </row>
    <row r="186" ht="110" customHeight="1">
      <c r="A186" s="28" t="inlineStr">
        <is>
          <t>Corporate</t>
        </is>
      </c>
      <c r="B186" s="29" t="inlineStr">
        <is>
          <t>Finance</t>
        </is>
      </c>
      <c r="C186" s="29" t="n">
        <v>2</v>
      </c>
      <c r="D186" s="29" t="inlineStr">
        <is>
          <t>IRIS0006</t>
        </is>
      </c>
      <c r="E186" s="29" t="inlineStr">
        <is>
          <t>Sudhakar Sawant</t>
        </is>
      </c>
      <c r="F186" s="29" t="inlineStr">
        <is>
          <t>Head – Admin &amp; Internal Audit</t>
        </is>
      </c>
      <c r="G186" s="29" t="inlineStr">
        <is>
          <t>Associate Head – Admin &amp; Internal Audit</t>
        </is>
      </c>
      <c r="H186" s="29" t="inlineStr">
        <is>
          <t>Finance &amp; Accounts</t>
        </is>
      </c>
      <c r="I186" s="29" t="inlineStr">
        <is>
          <t>Finance Leadership</t>
        </is>
      </c>
      <c r="J186" s="29" t="inlineStr">
        <is>
          <t>People Manager</t>
        </is>
      </c>
      <c r="K186" s="29" t="inlineStr">
        <is>
          <t>RC-097</t>
        </is>
      </c>
      <c r="L186" s="29" t="inlineStr">
        <is>
          <t>Vineet Kandoi</t>
        </is>
      </c>
      <c r="M186" s="29" t="inlineStr">
        <is>
          <t>IRIS0919</t>
        </is>
      </c>
      <c r="N186" s="29" t="n">
        <v>28.3</v>
      </c>
      <c r="O186" s="29" t="n">
        <v>22.1</v>
      </c>
      <c r="P186" s="29" t="inlineStr">
        <is>
          <t>B.Com</t>
        </is>
      </c>
      <c r="Q186" s="29" t="inlineStr">
        <is>
          <t>Not in current mapping files</t>
        </is>
      </c>
      <c r="R186" s="29" t="inlineStr">
        <is>
          <t>C1</t>
        </is>
      </c>
      <c r="S186" s="30" t="inlineStr">
        <is>
          <t>0 of 20</t>
        </is>
      </c>
      <c r="T186" s="31"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t>
        </is>
      </c>
      <c r="U186" s="32" t="inlineStr">
        <is>
          <t>KRAs not received · manager to supply</t>
        </is>
      </c>
      <c r="V186" s="31" t="inlineStr">
        <is>
          <t>Latest rating: Not rated · manager · 9-box: Not placed · manager · Readiness: No rating data</t>
        </is>
      </c>
      <c r="W186" s="31" t="inlineStr">
        <is>
          <t>C H · Au H · Ac L · L M · BI L · Exp H · 28.3 yrs vs 10–14 yrs · Edu L · B.Com</t>
        </is>
      </c>
      <c r="X186" s="33" t="inlineStr">
        <is>
          <t>Open ▸</t>
        </is>
      </c>
      <c r="Y186" s="34" t="str">
        <f>IFERROR(INDEX(DL_C,MATCH($CA186,DL_KEY,0)),"M")</f>
        <v>H</v>
      </c>
      <c r="Z186" s="35" t="str">
        <f>IFERROR(INDEX(DL_Au,MATCH($CA186,DL_KEY,0)),"M")</f>
        <v>M</v>
      </c>
      <c r="AA186" s="35" t="str">
        <f>IFERROR(INDEX(DL_Ac,MATCH($CA186,DL_KEY,0)),"M")</f>
        <v>M</v>
      </c>
      <c r="AB186" s="35" t="str">
        <f>IFERROR(INDEX(DL_L,MATCH($CA186,DL_KEY,0)),"M")</f>
        <v>M</v>
      </c>
      <c r="AC186" s="35" t="str">
        <f>IFERROR(INDEX(DL_BI,MATCH($CA186,DL_KEY,0)),"M")</f>
        <v>L</v>
      </c>
      <c r="AD186" s="35" t="str">
        <f>IFERROR(INDEX(DL_Exp,MATCH($CA186,DL_KEY,0)),"M")</f>
        <v>L</v>
      </c>
      <c r="AE186" s="35" t="str">
        <f>IFERROR(INDEX(DL_Edu,MATCH($CA186,DL_KEY,0)),"M")</f>
        <v>L</v>
      </c>
      <c r="AF186" s="34" t="inlineStr">
        <is>
          <t>M</t>
        </is>
      </c>
      <c r="AG186" s="35" t="inlineStr">
        <is>
          <t>M</t>
        </is>
      </c>
      <c r="AH186" s="35" t="inlineStr">
        <is>
          <t>M</t>
        </is>
      </c>
      <c r="AI186" s="35" t="inlineStr">
        <is>
          <t>M</t>
        </is>
      </c>
      <c r="AJ186" s="35" t="inlineStr">
        <is>
          <t>M</t>
        </is>
      </c>
      <c r="AK186" s="35" t="inlineStr">
        <is>
          <t>M</t>
        </is>
      </c>
      <c r="AL186" s="35" t="inlineStr">
        <is>
          <t>M</t>
        </is>
      </c>
      <c r="AM186" s="36" t="n">
        <v>0.433</v>
      </c>
      <c r="AN186" s="37" t="n">
        <v>0.18</v>
      </c>
      <c r="AO186" s="37" t="n">
        <v>0.107</v>
      </c>
      <c r="AP186" s="37" t="n">
        <v>0.15</v>
      </c>
      <c r="AQ186" s="37" t="n">
        <v>0.08</v>
      </c>
      <c r="AR186" s="37" t="n">
        <v>0.04</v>
      </c>
      <c r="AS186" s="37" t="n">
        <v>0.01</v>
      </c>
      <c r="AT186" s="38" t="inlineStr">
        <is>
          <t>12–17</t>
        </is>
      </c>
      <c r="AU186" s="38" t="inlineStr">
        <is>
          <t>Postgraduate / professional qualification preferred</t>
        </is>
      </c>
      <c r="AV186" s="38" t="inlineStr">
        <is>
          <t>5–8, mostly managers</t>
        </is>
      </c>
      <c r="AW186" s="38" t="inlineStr">
        <is>
          <t>P6 / M5 · SFIA 5–6</t>
        </is>
      </c>
      <c r="AX18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86" s="39" t="inlineStr">
        <is>
          <t>C1</t>
        </is>
      </c>
      <c r="AZ186" s="40" t="inlineStr">
        <is>
          <t>Band C · Principal / Head · Associate Head</t>
        </is>
      </c>
      <c r="BA186" s="40" t="inlineStr">
        <is>
          <t>Model C1 from the six ratings, the market-derived weights and rules R1–R13 · then No change · already below the manager</t>
        </is>
      </c>
      <c r="BB186" s="41" t="inlineStr">
        <is>
          <t>C2</t>
        </is>
      </c>
      <c r="BC186" s="40" t="inlineStr">
        <is>
          <t>The six ratings on the market-average weights of Band C · Head / manager score 7.68 → C2 · Hay, Mercer IPE and public plans · experience 28.3 yrs vs the C2 market range 12–17 yrs</t>
        </is>
      </c>
      <c r="BD186" s="42">
        <f>IF(SUM(BM186,BN186,BO186,BP186,BQ186,BR186,BS186)=0,0,(BM186*BT186+BN186*BU186+BO186*BV186+BP186*BW186+BQ186*BX186+BR186*BY186+BS186*BZ186)/SUM(BM186,BN186,BO186,BP186,BQ186,BR186,BS186))</f>
        <v>0</v>
      </c>
      <c r="BE186" s="41" t="str">
        <f>IF(LEFT(AY186,1)="X",AY186,IF(OR(AY186="B+",AY186="C+"),INDEX(LAD_PC,MAX(1,MIN(14,MATCH(AY186,LAD_PC,0)+IF(BD186&gt;=0.5,1,IF(BD186&lt;=-0.5,-1,0))))),INDEX(LAD_STD,MAX(1,MIN(12,MATCH(AY186,LAD_STD,0)+IF(BD186&gt;=0.5,1,IF(BD186&lt;=-0.5,-1,0)))))))</f>
        <v>C1</v>
      </c>
      <c r="BF186" s="43" t="n"/>
      <c r="BG186" s="41" t="str">
        <f>IF(BF186&lt;&gt;"",BF186,BE186)</f>
        <v>C1</v>
      </c>
      <c r="BH186" s="40" t="str">
        <f>IFERROR(CHOOSE(INDEX(B_RANK,MATCH(BG186,B_LVL,0)),"Band A","Band B","B+ · Player-Coach","Band C","C+ · Player-Coach","Band D","Band E"),"Band X · Consultant")</f>
        <v>Band C</v>
      </c>
      <c r="BI186" s="40" t="str">
        <f>IF(BG186=AY186,"• Same",IF(INDEX(B_VAL,MATCH(BG186,B_LVL,0))&gt;INDEX(B_VAL,MATCH(AY186,B_LVL,0)),"▲ Up","▼ Down"))</f>
        <v>• Same</v>
      </c>
      <c r="BJ186" s="40" t="str">
        <f>IF(OR($M186="",$M186="—",$M186="Not in this file"),"",IFERROR(INDEX($BG$7:$BG$592,MATCH($M186,$D$7:$D$592,0)),""))</f>
        <v>E1</v>
      </c>
      <c r="BK186" s="40" t="str">
        <f>IFERROR(IF(BJ186="","—",IF(OR(LEFT(BG186,1)="X",LEFT(BJ186,1)="X"),"—",IF(AND(LEFT(BG186,1)="E",LEFT(BJ186,1)="E"),"Exception · Band E",IF(AND(INDEX(B_VAL,MATCH(BJ186,B_LVL,0))&gt;=7,INDEX(B_RANK,MATCH(BG186,B_LVL,0))&gt;=INDEX(B_RANK,MATCH(BJ186,B_LVL,0))),"⚠ Same band as a head manager",IF(INDEX(B_VAL,MATCH(BG186,B_LVL,0))&gt;=INDEX(B_VAL,MATCH(BJ186,B_LVL,0)),"⚠ At or above the manager's level","OK"))))),"—")</f>
        <v>OK</v>
      </c>
      <c r="BL186" s="43" t="n"/>
      <c r="BM186" s="44">
        <f>IFERROR(INDEX(LMH_PTS,MATCH(Y186,LMH_KEY,0)),0)</f>
        <v>9</v>
      </c>
      <c r="BN186" s="38">
        <f>IFERROR(INDEX(LMH_PTS,MATCH(Z186,LMH_KEY,0)),0)</f>
        <v>3</v>
      </c>
      <c r="BO186" s="38">
        <f>IFERROR(INDEX(LMH_PTS,MATCH(AA186,LMH_KEY,0)),0)</f>
        <v>3</v>
      </c>
      <c r="BP186" s="38">
        <f>IFERROR(INDEX(LMH_PTS,MATCH(AB186,LMH_KEY,0)),0)</f>
        <v>3</v>
      </c>
      <c r="BQ186" s="38">
        <f>IFERROR(INDEX(LMH_PTS,MATCH(AC186,LMH_KEY,0)),0)</f>
        <v>1</v>
      </c>
      <c r="BR186" s="38">
        <f>IFERROR(INDEX(LMH_PTS,MATCH(AD186,LMH_KEY,0)),0)</f>
        <v>1</v>
      </c>
      <c r="BS186" s="38">
        <f>IFERROR(INDEX(LMH_PTS,MATCH(AE186,LMH_KEY,0)),0)</f>
        <v>1</v>
      </c>
      <c r="BT186" s="38">
        <f>IFERROR(INDEX(LMH_STEP,MATCH(AF186,LMH_KEY,0)),0)</f>
        <v>0</v>
      </c>
      <c r="BU186" s="38">
        <f>IFERROR(INDEX(LMH_STEP,MATCH(AG186,LMH_KEY,0)),0)</f>
        <v>0</v>
      </c>
      <c r="BV186" s="38">
        <f>IFERROR(INDEX(LMH_STEP,MATCH(AH186,LMH_KEY,0)),0)</f>
        <v>0</v>
      </c>
      <c r="BW186" s="38">
        <f>IFERROR(INDEX(LMH_STEP,MATCH(AI186,LMH_KEY,0)),0)</f>
        <v>0</v>
      </c>
      <c r="BX186" s="38">
        <f>IFERROR(INDEX(LMH_STEP,MATCH(AJ186,LMH_KEY,0)),0)</f>
        <v>0</v>
      </c>
      <c r="BY186" s="38">
        <f>IFERROR(INDEX(LMH_STEP,MATCH(AK186,LMH_KEY,0)),0)</f>
        <v>0</v>
      </c>
      <c r="BZ186" s="38">
        <f>IFERROR(INDEX(LMH_STEP,MATCH(AL186,LMH_KEY,0)),0)</f>
        <v>0</v>
      </c>
      <c r="CA186" s="38" t="inlineStr">
        <is>
          <t>Corporate|Finance|Associate Head – Admin &amp; Internal Audit|C1|C-M</t>
        </is>
      </c>
    </row>
    <row r="187" ht="110" customHeight="1">
      <c r="A187" s="28" t="inlineStr">
        <is>
          <t>Corporate</t>
        </is>
      </c>
      <c r="B187" s="29" t="inlineStr">
        <is>
          <t>Administration</t>
        </is>
      </c>
      <c r="C187" s="29" t="n">
        <v>3</v>
      </c>
      <c r="D187" s="29" t="inlineStr">
        <is>
          <t>IRIS1326</t>
        </is>
      </c>
      <c r="E187" s="29" t="inlineStr">
        <is>
          <t>Sujit Acharya</t>
        </is>
      </c>
      <c r="F187" s="29" t="inlineStr">
        <is>
          <t>Manager Administration</t>
        </is>
      </c>
      <c r="G187" s="29" t="inlineStr">
        <is>
          <t>Manager – Administration</t>
        </is>
      </c>
      <c r="H187" s="29" t="inlineStr">
        <is>
          <t>Administration, Legal &amp; Secretarial</t>
        </is>
      </c>
      <c r="I187" s="29" t="inlineStr">
        <is>
          <t>Administration &amp; Facilities</t>
        </is>
      </c>
      <c r="J187" s="29" t="inlineStr">
        <is>
          <t>People Manager</t>
        </is>
      </c>
      <c r="K187" s="29" t="inlineStr">
        <is>
          <t>RC-002</t>
        </is>
      </c>
      <c r="L187" s="29" t="inlineStr">
        <is>
          <t>Sudhakar Sawant</t>
        </is>
      </c>
      <c r="M187" s="29" t="inlineStr">
        <is>
          <t>IRIS0006</t>
        </is>
      </c>
      <c r="N187" s="29" t="n">
        <v>21.7</v>
      </c>
      <c r="O187" s="29" t="n">
        <v>13.5</v>
      </c>
      <c r="P187" s="29" t="inlineStr">
        <is>
          <t>B.Com</t>
        </is>
      </c>
      <c r="Q187" s="29" t="inlineStr">
        <is>
          <t>Not in current mapping files</t>
        </is>
      </c>
      <c r="R187" s="29" t="inlineStr">
        <is>
          <t>B2</t>
        </is>
      </c>
      <c r="S187" s="30" t="inlineStr">
        <is>
          <t>20 of 20</t>
        </is>
      </c>
      <c r="T187" s="31" t="inlineStr">
        <is>
          <t>Complexity: Evidence reads like A3: Runs travel, facilities, vendor contracts, billing and procurement; negotiates routine rates within policy → moved down 1
Autonomy: Evidence reads like A3: Selects from approved vendors, negotiates routine rates, schedules maintenance within delegated authority → moved down 1
Accountability: Evidence reads like B1: Owns …</t>
        </is>
      </c>
      <c r="U187" s="32" t="inlineStr">
        <is>
          <t>KRAs not received · manager to supply</t>
        </is>
      </c>
      <c r="V187" s="31" t="inlineStr">
        <is>
          <t>Latest rating: Not rated · manager · 9-box: Not placed · manager · Readiness: No rating data</t>
        </is>
      </c>
      <c r="W187" s="31" t="inlineStr">
        <is>
          <t>C L · Au L · Ac L · L L · BI L · Exp H · 21.7 yrs vs 6–9 yrs · Edu M · B.Com</t>
        </is>
      </c>
      <c r="X187" s="33" t="inlineStr">
        <is>
          <t>Open ▸</t>
        </is>
      </c>
      <c r="Y187" s="34" t="str">
        <f>IFERROR(INDEX(DL_C,MATCH($CA187,DL_KEY,0)),"M")</f>
        <v>H</v>
      </c>
      <c r="Z187" s="35" t="str">
        <f>IFERROR(INDEX(DL_Au,MATCH($CA187,DL_KEY,0)),"M")</f>
        <v>M</v>
      </c>
      <c r="AA187" s="35" t="str">
        <f>IFERROR(INDEX(DL_Ac,MATCH($CA187,DL_KEY,0)),"M")</f>
        <v>M</v>
      </c>
      <c r="AB187" s="35" t="str">
        <f>IFERROR(INDEX(DL_L,MATCH($CA187,DL_KEY,0)),"M")</f>
        <v>M</v>
      </c>
      <c r="AC187" s="35" t="str">
        <f>IFERROR(INDEX(DL_BI,MATCH($CA187,DL_KEY,0)),"M")</f>
        <v>L</v>
      </c>
      <c r="AD187" s="35" t="str">
        <f>IFERROR(INDEX(DL_Exp,MATCH($CA187,DL_KEY,0)),"M")</f>
        <v>L</v>
      </c>
      <c r="AE187" s="35" t="str">
        <f>IFERROR(INDEX(DL_Edu,MATCH($CA187,DL_KEY,0)),"M")</f>
        <v>L</v>
      </c>
      <c r="AF187" s="34" t="inlineStr">
        <is>
          <t>M</t>
        </is>
      </c>
      <c r="AG187" s="35" t="inlineStr">
        <is>
          <t>M</t>
        </is>
      </c>
      <c r="AH187" s="35" t="inlineStr">
        <is>
          <t>M</t>
        </is>
      </c>
      <c r="AI187" s="35" t="inlineStr">
        <is>
          <t>M</t>
        </is>
      </c>
      <c r="AJ187" s="35" t="inlineStr">
        <is>
          <t>M</t>
        </is>
      </c>
      <c r="AK187" s="35" t="inlineStr">
        <is>
          <t>M</t>
        </is>
      </c>
      <c r="AL187" s="35" t="inlineStr">
        <is>
          <t>M</t>
        </is>
      </c>
      <c r="AM187" s="36" t="n">
        <v>0.37</v>
      </c>
      <c r="AN187" s="37" t="n">
        <v>0.183</v>
      </c>
      <c r="AO187" s="37" t="n">
        <v>0.113</v>
      </c>
      <c r="AP187" s="37" t="n">
        <v>0.15</v>
      </c>
      <c r="AQ187" s="37" t="n">
        <v>0.08699999999999999</v>
      </c>
      <c r="AR187" s="37" t="n">
        <v>0.06</v>
      </c>
      <c r="AS187" s="37" t="n">
        <v>0.04</v>
      </c>
      <c r="AT187" s="38" t="inlineStr">
        <is>
          <t>6–10</t>
        </is>
      </c>
      <c r="AU187" s="38" t="inlineStr">
        <is>
          <t>Graduate or postgraduate; professional qualification preferred</t>
        </is>
      </c>
      <c r="AV187" s="38" t="inlineStr">
        <is>
          <t>IC: none · People: 6–8 knowledge work, 8–12 standardised delivery</t>
        </is>
      </c>
      <c r="AW187" s="38" t="inlineStr">
        <is>
          <t>P4 / M3 · SFIA 4–5</t>
        </is>
      </c>
      <c r="AX18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87" s="39" t="inlineStr">
        <is>
          <t>B2</t>
        </is>
      </c>
      <c r="AZ187" s="40" t="inlineStr">
        <is>
          <t>Band B · Specialist / Manager · Manager</t>
        </is>
      </c>
      <c r="BA187" s="40" t="inlineStr">
        <is>
          <t>Model B2 from the six ratings, the market-derived weights and rules R1–R13 · then No change · already below the manager</t>
        </is>
      </c>
      <c r="BB187" s="41" t="inlineStr">
        <is>
          <t>B2</t>
        </is>
      </c>
      <c r="BC187" s="40" t="inlineStr">
        <is>
          <t>The six ratings on the market-average weights of Band B · People Manager score 4.52 → B2 · Hay, Mercer IPE and public plans · experience 21.7 yrs vs the B2 market range 6–10</t>
        </is>
      </c>
      <c r="BD187" s="42">
        <f>IF(SUM(BM187,BN187,BO187,BP187,BQ187,BR187,BS187)=0,0,(BM187*BT187+BN187*BU187+BO187*BV187+BP187*BW187+BQ187*BX187+BR187*BY187+BS187*BZ187)/SUM(BM187,BN187,BO187,BP187,BQ187,BR187,BS187))</f>
        <v>0</v>
      </c>
      <c r="BE187" s="41" t="str">
        <f>IF(LEFT(AY187,1)="X",AY187,IF(OR(AY187="B+",AY187="C+"),INDEX(LAD_PC,MAX(1,MIN(14,MATCH(AY187,LAD_PC,0)+IF(BD187&gt;=0.5,1,IF(BD187&lt;=-0.5,-1,0))))),INDEX(LAD_STD,MAX(1,MIN(12,MATCH(AY187,LAD_STD,0)+IF(BD187&gt;=0.5,1,IF(BD187&lt;=-0.5,-1,0)))))))</f>
        <v>B2</v>
      </c>
      <c r="BF187" s="43" t="n"/>
      <c r="BG187" s="41" t="str">
        <f>IF(BF187&lt;&gt;"",BF187,BE187)</f>
        <v>B2</v>
      </c>
      <c r="BH187" s="40" t="str">
        <f>IFERROR(CHOOSE(INDEX(B_RANK,MATCH(BG187,B_LVL,0)),"Band A","Band B","B+ · Player-Coach","Band C","C+ · Player-Coach","Band D","Band E"),"Band X · Consultant")</f>
        <v>Band B</v>
      </c>
      <c r="BI187" s="40" t="str">
        <f>IF(BG187=AY187,"• Same",IF(INDEX(B_VAL,MATCH(BG187,B_LVL,0))&gt;INDEX(B_VAL,MATCH(AY187,B_LVL,0)),"▲ Up","▼ Down"))</f>
        <v>• Same</v>
      </c>
      <c r="BJ187" s="40" t="str">
        <f>IF(OR($M187="",$M187="—",$M187="Not in this file"),"",IFERROR(INDEX($BG$7:$BG$592,MATCH($M187,$D$7:$D$592,0)),""))</f>
        <v>C1</v>
      </c>
      <c r="BK187" s="40" t="str">
        <f>IFERROR(IF(BJ187="","—",IF(OR(LEFT(BG187,1)="X",LEFT(BJ187,1)="X"),"—",IF(AND(LEFT(BG187,1)="E",LEFT(BJ187,1)="E"),"Exception · Band E",IF(AND(INDEX(B_VAL,MATCH(BJ187,B_LVL,0))&gt;=7,INDEX(B_RANK,MATCH(BG187,B_LVL,0))&gt;=INDEX(B_RANK,MATCH(BJ187,B_LVL,0))),"⚠ Same band as a head manager",IF(INDEX(B_VAL,MATCH(BG187,B_LVL,0))&gt;=INDEX(B_VAL,MATCH(BJ187,B_LVL,0)),"⚠ At or above the manager's level","OK"))))),"—")</f>
        <v>OK</v>
      </c>
      <c r="BL187" s="43" t="n"/>
      <c r="BM187" s="44">
        <f>IFERROR(INDEX(LMH_PTS,MATCH(Y187,LMH_KEY,0)),0)</f>
        <v>9</v>
      </c>
      <c r="BN187" s="38">
        <f>IFERROR(INDEX(LMH_PTS,MATCH(Z187,LMH_KEY,0)),0)</f>
        <v>3</v>
      </c>
      <c r="BO187" s="38">
        <f>IFERROR(INDEX(LMH_PTS,MATCH(AA187,LMH_KEY,0)),0)</f>
        <v>3</v>
      </c>
      <c r="BP187" s="38">
        <f>IFERROR(INDEX(LMH_PTS,MATCH(AB187,LMH_KEY,0)),0)</f>
        <v>3</v>
      </c>
      <c r="BQ187" s="38">
        <f>IFERROR(INDEX(LMH_PTS,MATCH(AC187,LMH_KEY,0)),0)</f>
        <v>1</v>
      </c>
      <c r="BR187" s="38">
        <f>IFERROR(INDEX(LMH_PTS,MATCH(AD187,LMH_KEY,0)),0)</f>
        <v>1</v>
      </c>
      <c r="BS187" s="38">
        <f>IFERROR(INDEX(LMH_PTS,MATCH(AE187,LMH_KEY,0)),0)</f>
        <v>1</v>
      </c>
      <c r="BT187" s="38">
        <f>IFERROR(INDEX(LMH_STEP,MATCH(AF187,LMH_KEY,0)),0)</f>
        <v>0</v>
      </c>
      <c r="BU187" s="38">
        <f>IFERROR(INDEX(LMH_STEP,MATCH(AG187,LMH_KEY,0)),0)</f>
        <v>0</v>
      </c>
      <c r="BV187" s="38">
        <f>IFERROR(INDEX(LMH_STEP,MATCH(AH187,LMH_KEY,0)),0)</f>
        <v>0</v>
      </c>
      <c r="BW187" s="38">
        <f>IFERROR(INDEX(LMH_STEP,MATCH(AI187,LMH_KEY,0)),0)</f>
        <v>0</v>
      </c>
      <c r="BX187" s="38">
        <f>IFERROR(INDEX(LMH_STEP,MATCH(AJ187,LMH_KEY,0)),0)</f>
        <v>0</v>
      </c>
      <c r="BY187" s="38">
        <f>IFERROR(INDEX(LMH_STEP,MATCH(AK187,LMH_KEY,0)),0)</f>
        <v>0</v>
      </c>
      <c r="BZ187" s="38">
        <f>IFERROR(INDEX(LMH_STEP,MATCH(AL187,LMH_KEY,0)),0)</f>
        <v>0</v>
      </c>
      <c r="CA187" s="38" t="inlineStr">
        <is>
          <t>Corporate|Administration|Manager – Administration|B2|B-M</t>
        </is>
      </c>
    </row>
    <row r="188" ht="110" customHeight="1">
      <c r="A188" s="28" t="inlineStr">
        <is>
          <t>Corporate</t>
        </is>
      </c>
      <c r="B188" s="29" t="inlineStr">
        <is>
          <t>Administration</t>
        </is>
      </c>
      <c r="C188" s="29" t="n">
        <v>4</v>
      </c>
      <c r="D188" s="29" t="inlineStr">
        <is>
          <t>IRIS2431</t>
        </is>
      </c>
      <c r="E188" s="29" t="inlineStr">
        <is>
          <t>Ashish Pawar</t>
        </is>
      </c>
      <c r="F188" s="29" t="inlineStr">
        <is>
          <t>Executive Administration</t>
        </is>
      </c>
      <c r="G188" s="29" t="inlineStr">
        <is>
          <t>Senior Administration Executive</t>
        </is>
      </c>
      <c r="H188" s="29" t="inlineStr">
        <is>
          <t>Administration, Legal &amp; Secretarial</t>
        </is>
      </c>
      <c r="I188" s="29" t="inlineStr">
        <is>
          <t>Administration &amp; Facilities</t>
        </is>
      </c>
      <c r="J188" s="29" t="inlineStr">
        <is>
          <t>IC</t>
        </is>
      </c>
      <c r="K188" s="29" t="inlineStr">
        <is>
          <t>RC-001</t>
        </is>
      </c>
      <c r="L188" s="29" t="inlineStr">
        <is>
          <t>Sujit Acharya</t>
        </is>
      </c>
      <c r="M188" s="29" t="inlineStr">
        <is>
          <t>IRIS1326</t>
        </is>
      </c>
      <c r="N188" s="29" t="n">
        <v>13.2</v>
      </c>
      <c r="O188" s="29" t="n">
        <v>1</v>
      </c>
      <c r="P188" s="29" t="inlineStr">
        <is>
          <t>BA</t>
        </is>
      </c>
      <c r="Q188" s="29" t="inlineStr">
        <is>
          <t>Not in current mapping files</t>
        </is>
      </c>
      <c r="R188" s="29" t="inlineStr">
        <is>
          <t>A3</t>
        </is>
      </c>
      <c r="S188" s="30" t="inlineStr">
        <is>
          <t>19 of 20</t>
        </is>
      </c>
      <c r="T188" s="31" t="inlineStr">
        <is>
          <t>Complexity: Evidence reads like A2: own survey / KRA answers · summarised by the rater; not quoted → matches the start
Autonomy: Evidence reads like A2: States 'routine decisions' only → matches the start
Accountability: Evidence reads like A2: Own admin support and vendor coordination; errors cause delays or extra cost → matches the start
Leadership: …</t>
        </is>
      </c>
      <c r="U188" s="32" t="inlineStr">
        <is>
          <t>KRAs not received · manager to supply</t>
        </is>
      </c>
      <c r="V188" s="31" t="inlineStr">
        <is>
          <t>Latest rating: Not rated · manager · 9-box: Not placed · manager · Readiness: No rating data</t>
        </is>
      </c>
      <c r="W188" s="31" t="inlineStr">
        <is>
          <t>C L · Au L · Ac L · L L · BI L · Exp H · 13.2 yrs vs 2–4 yrs · Edu M · BA</t>
        </is>
      </c>
      <c r="X188" s="33" t="inlineStr">
        <is>
          <t>Open ▸</t>
        </is>
      </c>
      <c r="Y188" s="34" t="str">
        <f>IFERROR(INDEX(DL_C,MATCH($CA188,DL_KEY,0)),"M")</f>
        <v>H</v>
      </c>
      <c r="Z188" s="35" t="str">
        <f>IFERROR(INDEX(DL_Au,MATCH($CA188,DL_KEY,0)),"M")</f>
        <v>M</v>
      </c>
      <c r="AA188" s="35" t="str">
        <f>IFERROR(INDEX(DL_Ac,MATCH($CA188,DL_KEY,0)),"M")</f>
        <v>M</v>
      </c>
      <c r="AB188" s="35" t="str">
        <f>IFERROR(INDEX(DL_L,MATCH($CA188,DL_KEY,0)),"M")</f>
        <v>L</v>
      </c>
      <c r="AC188" s="35" t="str">
        <f>IFERROR(INDEX(DL_BI,MATCH($CA188,DL_KEY,0)),"M")</f>
        <v>L</v>
      </c>
      <c r="AD188" s="35" t="str">
        <f>IFERROR(INDEX(DL_Exp,MATCH($CA188,DL_KEY,0)),"M")</f>
        <v>L</v>
      </c>
      <c r="AE188" s="35" t="str">
        <f>IFERROR(INDEX(DL_Edu,MATCH($CA188,DL_KEY,0)),"M")</f>
        <v>M</v>
      </c>
      <c r="AF188" s="34" t="inlineStr">
        <is>
          <t>M</t>
        </is>
      </c>
      <c r="AG188" s="35" t="inlineStr">
        <is>
          <t>M</t>
        </is>
      </c>
      <c r="AH188" s="35" t="inlineStr">
        <is>
          <t>M</t>
        </is>
      </c>
      <c r="AI188" s="35" t="inlineStr">
        <is>
          <t>M</t>
        </is>
      </c>
      <c r="AJ188" s="35" t="inlineStr">
        <is>
          <t>M</t>
        </is>
      </c>
      <c r="AK188" s="35" t="inlineStr">
        <is>
          <t>M</t>
        </is>
      </c>
      <c r="AL188" s="35" t="inlineStr">
        <is>
          <t>M</t>
        </is>
      </c>
      <c r="AM188" s="36" t="n">
        <v>0.583</v>
      </c>
      <c r="AN188" s="37" t="n">
        <v>0.16</v>
      </c>
      <c r="AO188" s="37" t="n">
        <v>0.09</v>
      </c>
      <c r="AP188" s="37" t="n">
        <v>0</v>
      </c>
      <c r="AQ188" s="37" t="n">
        <v>0.063</v>
      </c>
      <c r="AR188" s="37" t="n">
        <v>0.06</v>
      </c>
      <c r="AS188" s="37" t="n">
        <v>0.04</v>
      </c>
      <c r="AT188" s="38" t="inlineStr">
        <is>
          <t>2–5</t>
        </is>
      </c>
      <c r="AU188" s="38" t="inlineStr">
        <is>
          <t>Graduate; relevant certification preferred</t>
        </is>
      </c>
      <c r="AV188" s="38" t="inlineStr">
        <is>
          <t>None · guides 1–3 juniors informally</t>
        </is>
      </c>
      <c r="AW188" s="38" t="inlineStr">
        <is>
          <t>P2 · SFIA 3 Apply</t>
        </is>
      </c>
      <c r="AX18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88" s="39" t="inlineStr">
        <is>
          <t>A3</t>
        </is>
      </c>
      <c r="AZ188" s="40" t="inlineStr">
        <is>
          <t>Band A · Practitioner · Senior Associate</t>
        </is>
      </c>
      <c r="BA188" s="40" t="inlineStr">
        <is>
          <t>Model A3 from the six ratings, the market-derived weights and rules R1–R13 · then No change · already below the manager</t>
        </is>
      </c>
      <c r="BB188" s="41" t="inlineStr">
        <is>
          <t>A3</t>
        </is>
      </c>
      <c r="BC188" s="40" t="inlineStr">
        <is>
          <t>The six ratings on the market-average weights of Band A · all tracks score 2.55 → A3 · Hay, Mercer IPE and public plans · experience 13.2 yrs vs the A3 market range 2–5</t>
        </is>
      </c>
      <c r="BD188" s="42">
        <f>IF(SUM(BM188,BN188,BO188,BP188,BQ188,BR188,BS188)=0,0,(BM188*BT188+BN188*BU188+BO188*BV188+BP188*BW188+BQ188*BX188+BR188*BY188+BS188*BZ188)/SUM(BM188,BN188,BO188,BP188,BQ188,BR188,BS188))</f>
        <v>0</v>
      </c>
      <c r="BE188" s="41" t="str">
        <f>IF(LEFT(AY188,1)="X",AY188,IF(OR(AY188="B+",AY188="C+"),INDEX(LAD_PC,MAX(1,MIN(14,MATCH(AY188,LAD_PC,0)+IF(BD188&gt;=0.5,1,IF(BD188&lt;=-0.5,-1,0))))),INDEX(LAD_STD,MAX(1,MIN(12,MATCH(AY188,LAD_STD,0)+IF(BD188&gt;=0.5,1,IF(BD188&lt;=-0.5,-1,0)))))))</f>
        <v>A3</v>
      </c>
      <c r="BF188" s="43" t="n"/>
      <c r="BG188" s="41" t="str">
        <f>IF(BF188&lt;&gt;"",BF188,BE188)</f>
        <v>A3</v>
      </c>
      <c r="BH188" s="40" t="str">
        <f>IFERROR(CHOOSE(INDEX(B_RANK,MATCH(BG188,B_LVL,0)),"Band A","Band B","B+ · Player-Coach","Band C","C+ · Player-Coach","Band D","Band E"),"Band X · Consultant")</f>
        <v>Band A</v>
      </c>
      <c r="BI188" s="40" t="str">
        <f>IF(BG188=AY188,"• Same",IF(INDEX(B_VAL,MATCH(BG188,B_LVL,0))&gt;INDEX(B_VAL,MATCH(AY188,B_LVL,0)),"▲ Up","▼ Down"))</f>
        <v>• Same</v>
      </c>
      <c r="BJ188" s="40" t="str">
        <f>IF(OR($M188="",$M188="—",$M188="Not in this file"),"",IFERROR(INDEX($BG$7:$BG$592,MATCH($M188,$D$7:$D$592,0)),""))</f>
        <v>B2</v>
      </c>
      <c r="BK188" s="40" t="str">
        <f>IFERROR(IF(BJ188="","—",IF(OR(LEFT(BG188,1)="X",LEFT(BJ188,1)="X"),"—",IF(AND(LEFT(BG188,1)="E",LEFT(BJ188,1)="E"),"Exception · Band E",IF(AND(INDEX(B_VAL,MATCH(BJ188,B_LVL,0))&gt;=7,INDEX(B_RANK,MATCH(BG188,B_LVL,0))&gt;=INDEX(B_RANK,MATCH(BJ188,B_LVL,0))),"⚠ Same band as a head manager",IF(INDEX(B_VAL,MATCH(BG188,B_LVL,0))&gt;=INDEX(B_VAL,MATCH(BJ188,B_LVL,0)),"⚠ At or above the manager's level","OK"))))),"—")</f>
        <v>OK</v>
      </c>
      <c r="BL188" s="43" t="n"/>
      <c r="BM188" s="44">
        <f>IFERROR(INDEX(LMH_PTS,MATCH(Y188,LMH_KEY,0)),0)</f>
        <v>9</v>
      </c>
      <c r="BN188" s="38">
        <f>IFERROR(INDEX(LMH_PTS,MATCH(Z188,LMH_KEY,0)),0)</f>
        <v>3</v>
      </c>
      <c r="BO188" s="38">
        <f>IFERROR(INDEX(LMH_PTS,MATCH(AA188,LMH_KEY,0)),0)</f>
        <v>3</v>
      </c>
      <c r="BP188" s="38">
        <f>IFERROR(INDEX(LMH_PTS,MATCH(AB188,LMH_KEY,0)),0)</f>
        <v>1</v>
      </c>
      <c r="BQ188" s="38">
        <f>IFERROR(INDEX(LMH_PTS,MATCH(AC188,LMH_KEY,0)),0)</f>
        <v>1</v>
      </c>
      <c r="BR188" s="38">
        <f>IFERROR(INDEX(LMH_PTS,MATCH(AD188,LMH_KEY,0)),0)</f>
        <v>1</v>
      </c>
      <c r="BS188" s="38">
        <f>IFERROR(INDEX(LMH_PTS,MATCH(AE188,LMH_KEY,0)),0)</f>
        <v>3</v>
      </c>
      <c r="BT188" s="38">
        <f>IFERROR(INDEX(LMH_STEP,MATCH(AF188,LMH_KEY,0)),0)</f>
        <v>0</v>
      </c>
      <c r="BU188" s="38">
        <f>IFERROR(INDEX(LMH_STEP,MATCH(AG188,LMH_KEY,0)),0)</f>
        <v>0</v>
      </c>
      <c r="BV188" s="38">
        <f>IFERROR(INDEX(LMH_STEP,MATCH(AH188,LMH_KEY,0)),0)</f>
        <v>0</v>
      </c>
      <c r="BW188" s="38">
        <f>IFERROR(INDEX(LMH_STEP,MATCH(AI188,LMH_KEY,0)),0)</f>
        <v>0</v>
      </c>
      <c r="BX188" s="38">
        <f>IFERROR(INDEX(LMH_STEP,MATCH(AJ188,LMH_KEY,0)),0)</f>
        <v>0</v>
      </c>
      <c r="BY188" s="38">
        <f>IFERROR(INDEX(LMH_STEP,MATCH(AK188,LMH_KEY,0)),0)</f>
        <v>0</v>
      </c>
      <c r="BZ188" s="38">
        <f>IFERROR(INDEX(LMH_STEP,MATCH(AL188,LMH_KEY,0)),0)</f>
        <v>0</v>
      </c>
      <c r="CA188" s="38" t="inlineStr">
        <is>
          <t>Corporate|Administration|Senior Administration Executive|A3|A</t>
        </is>
      </c>
    </row>
    <row r="189" ht="110" customHeight="1">
      <c r="A189" s="28" t="inlineStr">
        <is>
          <t>Corporate</t>
        </is>
      </c>
      <c r="B189" s="29" t="inlineStr">
        <is>
          <t>Administration</t>
        </is>
      </c>
      <c r="C189" s="29" t="n">
        <v>4</v>
      </c>
      <c r="D189" s="29" t="inlineStr">
        <is>
          <t>IRIS0020</t>
        </is>
      </c>
      <c r="E189" s="29" t="inlineStr">
        <is>
          <t>Mangesh Kosty</t>
        </is>
      </c>
      <c r="F189" s="29" t="inlineStr">
        <is>
          <t>Executive Administration</t>
        </is>
      </c>
      <c r="G189" s="29" t="inlineStr">
        <is>
          <t>Senior Administration Executive</t>
        </is>
      </c>
      <c r="H189" s="29" t="inlineStr">
        <is>
          <t>Administration, Legal &amp; Secretarial</t>
        </is>
      </c>
      <c r="I189" s="29" t="inlineStr">
        <is>
          <t>Administration &amp; Facilities</t>
        </is>
      </c>
      <c r="J189" s="29" t="inlineStr">
        <is>
          <t>IC</t>
        </is>
      </c>
      <c r="K189" s="29" t="inlineStr">
        <is>
          <t>RC-001</t>
        </is>
      </c>
      <c r="L189" s="29" t="inlineStr">
        <is>
          <t>Sujit Acharya</t>
        </is>
      </c>
      <c r="M189" s="29" t="inlineStr">
        <is>
          <t>IRIS1326</t>
        </is>
      </c>
      <c r="N189" s="29" t="n">
        <v>21.7</v>
      </c>
      <c r="O189" s="29" t="n">
        <v>21.7</v>
      </c>
      <c r="P189" s="29" t="inlineStr">
        <is>
          <t>Undergraduate</t>
        </is>
      </c>
      <c r="Q189" s="29" t="inlineStr">
        <is>
          <t>Not in current mapping files</t>
        </is>
      </c>
      <c r="R189" s="29" t="inlineStr">
        <is>
          <t>A3</t>
        </is>
      </c>
      <c r="S189" s="30" t="inlineStr">
        <is>
          <t>0 of 20</t>
        </is>
      </c>
      <c r="T189" s="31"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t>
        </is>
      </c>
      <c r="U189" s="32" t="inlineStr">
        <is>
          <t>KRAs not received · manager to supply</t>
        </is>
      </c>
      <c r="V189" s="31" t="inlineStr">
        <is>
          <t>Latest rating: Not rated · manager · 9-box: Not placed · manager · Readiness: No rating data</t>
        </is>
      </c>
      <c r="W189" s="31" t="inlineStr">
        <is>
          <t>C L · Au L · Ac L · L L · BI L · Exp H · 21.7 yrs vs 2–4 yrs · Edu L · Undergraduate</t>
        </is>
      </c>
      <c r="X189" s="33" t="inlineStr">
        <is>
          <t>Open ▸</t>
        </is>
      </c>
      <c r="Y189" s="34" t="str">
        <f>IFERROR(INDEX(DL_C,MATCH($CA189,DL_KEY,0)),"M")</f>
        <v>H</v>
      </c>
      <c r="Z189" s="35" t="str">
        <f>IFERROR(INDEX(DL_Au,MATCH($CA189,DL_KEY,0)),"M")</f>
        <v>M</v>
      </c>
      <c r="AA189" s="35" t="str">
        <f>IFERROR(INDEX(DL_Ac,MATCH($CA189,DL_KEY,0)),"M")</f>
        <v>M</v>
      </c>
      <c r="AB189" s="35" t="str">
        <f>IFERROR(INDEX(DL_L,MATCH($CA189,DL_KEY,0)),"M")</f>
        <v>L</v>
      </c>
      <c r="AC189" s="35" t="str">
        <f>IFERROR(INDEX(DL_BI,MATCH($CA189,DL_KEY,0)),"M")</f>
        <v>L</v>
      </c>
      <c r="AD189" s="35" t="str">
        <f>IFERROR(INDEX(DL_Exp,MATCH($CA189,DL_KEY,0)),"M")</f>
        <v>L</v>
      </c>
      <c r="AE189" s="35" t="str">
        <f>IFERROR(INDEX(DL_Edu,MATCH($CA189,DL_KEY,0)),"M")</f>
        <v>M</v>
      </c>
      <c r="AF189" s="34" t="inlineStr">
        <is>
          <t>M</t>
        </is>
      </c>
      <c r="AG189" s="35" t="inlineStr">
        <is>
          <t>M</t>
        </is>
      </c>
      <c r="AH189" s="35" t="inlineStr">
        <is>
          <t>M</t>
        </is>
      </c>
      <c r="AI189" s="35" t="inlineStr">
        <is>
          <t>M</t>
        </is>
      </c>
      <c r="AJ189" s="35" t="inlineStr">
        <is>
          <t>M</t>
        </is>
      </c>
      <c r="AK189" s="35" t="inlineStr">
        <is>
          <t>M</t>
        </is>
      </c>
      <c r="AL189" s="35" t="inlineStr">
        <is>
          <t>M</t>
        </is>
      </c>
      <c r="AM189" s="36" t="n">
        <v>0.583</v>
      </c>
      <c r="AN189" s="37" t="n">
        <v>0.16</v>
      </c>
      <c r="AO189" s="37" t="n">
        <v>0.09</v>
      </c>
      <c r="AP189" s="37" t="n">
        <v>0</v>
      </c>
      <c r="AQ189" s="37" t="n">
        <v>0.063</v>
      </c>
      <c r="AR189" s="37" t="n">
        <v>0.06</v>
      </c>
      <c r="AS189" s="37" t="n">
        <v>0.04</v>
      </c>
      <c r="AT189" s="38" t="inlineStr">
        <is>
          <t>2–5</t>
        </is>
      </c>
      <c r="AU189" s="38" t="inlineStr">
        <is>
          <t>Graduate; relevant certification preferred</t>
        </is>
      </c>
      <c r="AV189" s="38" t="inlineStr">
        <is>
          <t>None · guides 1–3 juniors informally</t>
        </is>
      </c>
      <c r="AW189" s="38" t="inlineStr">
        <is>
          <t>P2 · SFIA 3 Apply</t>
        </is>
      </c>
      <c r="AX18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89" s="39" t="inlineStr">
        <is>
          <t>A3</t>
        </is>
      </c>
      <c r="AZ189" s="40" t="inlineStr">
        <is>
          <t>Band A · Practitioner · Senior Associate</t>
        </is>
      </c>
      <c r="BA189" s="40" t="inlineStr">
        <is>
          <t>Model A3 from the six ratings, the market-derived weights and rules R1–R13 · then No change · already below the manager</t>
        </is>
      </c>
      <c r="BB189" s="41" t="inlineStr">
        <is>
          <t>A3</t>
        </is>
      </c>
      <c r="BC189" s="40" t="inlineStr">
        <is>
          <t>The six ratings on the market-average weights of Band A · all tracks score 2.75 → A3 · Hay, Mercer IPE and public plans · experience 21.7 yrs vs the A3 market range 2–5</t>
        </is>
      </c>
      <c r="BD189" s="42">
        <f>IF(SUM(BM189,BN189,BO189,BP189,BQ189,BR189,BS189)=0,0,(BM189*BT189+BN189*BU189+BO189*BV189+BP189*BW189+BQ189*BX189+BR189*BY189+BS189*BZ189)/SUM(BM189,BN189,BO189,BP189,BQ189,BR189,BS189))</f>
        <v>0</v>
      </c>
      <c r="BE189" s="41" t="str">
        <f>IF(LEFT(AY189,1)="X",AY189,IF(OR(AY189="B+",AY189="C+"),INDEX(LAD_PC,MAX(1,MIN(14,MATCH(AY189,LAD_PC,0)+IF(BD189&gt;=0.5,1,IF(BD189&lt;=-0.5,-1,0))))),INDEX(LAD_STD,MAX(1,MIN(12,MATCH(AY189,LAD_STD,0)+IF(BD189&gt;=0.5,1,IF(BD189&lt;=-0.5,-1,0)))))))</f>
        <v>A3</v>
      </c>
      <c r="BF189" s="43" t="n"/>
      <c r="BG189" s="41" t="str">
        <f>IF(BF189&lt;&gt;"",BF189,BE189)</f>
        <v>A3</v>
      </c>
      <c r="BH189" s="40" t="str">
        <f>IFERROR(CHOOSE(INDEX(B_RANK,MATCH(BG189,B_LVL,0)),"Band A","Band B","B+ · Player-Coach","Band C","C+ · Player-Coach","Band D","Band E"),"Band X · Consultant")</f>
        <v>Band A</v>
      </c>
      <c r="BI189" s="40" t="str">
        <f>IF(BG189=AY189,"• Same",IF(INDEX(B_VAL,MATCH(BG189,B_LVL,0))&gt;INDEX(B_VAL,MATCH(AY189,B_LVL,0)),"▲ Up","▼ Down"))</f>
        <v>• Same</v>
      </c>
      <c r="BJ189" s="40" t="str">
        <f>IF(OR($M189="",$M189="—",$M189="Not in this file"),"",IFERROR(INDEX($BG$7:$BG$592,MATCH($M189,$D$7:$D$592,0)),""))</f>
        <v>B2</v>
      </c>
      <c r="BK189" s="40" t="str">
        <f>IFERROR(IF(BJ189="","—",IF(OR(LEFT(BG189,1)="X",LEFT(BJ189,1)="X"),"—",IF(AND(LEFT(BG189,1)="E",LEFT(BJ189,1)="E"),"Exception · Band E",IF(AND(INDEX(B_VAL,MATCH(BJ189,B_LVL,0))&gt;=7,INDEX(B_RANK,MATCH(BG189,B_LVL,0))&gt;=INDEX(B_RANK,MATCH(BJ189,B_LVL,0))),"⚠ Same band as a head manager",IF(INDEX(B_VAL,MATCH(BG189,B_LVL,0))&gt;=INDEX(B_VAL,MATCH(BJ189,B_LVL,0)),"⚠ At or above the manager's level","OK"))))),"—")</f>
        <v>OK</v>
      </c>
      <c r="BL189" s="43" t="n"/>
      <c r="BM189" s="44">
        <f>IFERROR(INDEX(LMH_PTS,MATCH(Y189,LMH_KEY,0)),0)</f>
        <v>9</v>
      </c>
      <c r="BN189" s="38">
        <f>IFERROR(INDEX(LMH_PTS,MATCH(Z189,LMH_KEY,0)),0)</f>
        <v>3</v>
      </c>
      <c r="BO189" s="38">
        <f>IFERROR(INDEX(LMH_PTS,MATCH(AA189,LMH_KEY,0)),0)</f>
        <v>3</v>
      </c>
      <c r="BP189" s="38">
        <f>IFERROR(INDEX(LMH_PTS,MATCH(AB189,LMH_KEY,0)),0)</f>
        <v>1</v>
      </c>
      <c r="BQ189" s="38">
        <f>IFERROR(INDEX(LMH_PTS,MATCH(AC189,LMH_KEY,0)),0)</f>
        <v>1</v>
      </c>
      <c r="BR189" s="38">
        <f>IFERROR(INDEX(LMH_PTS,MATCH(AD189,LMH_KEY,0)),0)</f>
        <v>1</v>
      </c>
      <c r="BS189" s="38">
        <f>IFERROR(INDEX(LMH_PTS,MATCH(AE189,LMH_KEY,0)),0)</f>
        <v>3</v>
      </c>
      <c r="BT189" s="38">
        <f>IFERROR(INDEX(LMH_STEP,MATCH(AF189,LMH_KEY,0)),0)</f>
        <v>0</v>
      </c>
      <c r="BU189" s="38">
        <f>IFERROR(INDEX(LMH_STEP,MATCH(AG189,LMH_KEY,0)),0)</f>
        <v>0</v>
      </c>
      <c r="BV189" s="38">
        <f>IFERROR(INDEX(LMH_STEP,MATCH(AH189,LMH_KEY,0)),0)</f>
        <v>0</v>
      </c>
      <c r="BW189" s="38">
        <f>IFERROR(INDEX(LMH_STEP,MATCH(AI189,LMH_KEY,0)),0)</f>
        <v>0</v>
      </c>
      <c r="BX189" s="38">
        <f>IFERROR(INDEX(LMH_STEP,MATCH(AJ189,LMH_KEY,0)),0)</f>
        <v>0</v>
      </c>
      <c r="BY189" s="38">
        <f>IFERROR(INDEX(LMH_STEP,MATCH(AK189,LMH_KEY,0)),0)</f>
        <v>0</v>
      </c>
      <c r="BZ189" s="38">
        <f>IFERROR(INDEX(LMH_STEP,MATCH(AL189,LMH_KEY,0)),0)</f>
        <v>0</v>
      </c>
      <c r="CA189" s="38" t="inlineStr">
        <is>
          <t>Corporate|Administration|Senior Administration Executive|A3|A</t>
        </is>
      </c>
    </row>
    <row r="190" ht="110" customHeight="1">
      <c r="A190" s="28" t="inlineStr">
        <is>
          <t>Corporate</t>
        </is>
      </c>
      <c r="B190" s="29" t="inlineStr">
        <is>
          <t>Administration</t>
        </is>
      </c>
      <c r="C190" s="29" t="n">
        <v>4</v>
      </c>
      <c r="D190" s="29" t="inlineStr">
        <is>
          <t>IRIS0021</t>
        </is>
      </c>
      <c r="E190" s="29" t="inlineStr">
        <is>
          <t>Rajesh Khurambe</t>
        </is>
      </c>
      <c r="F190" s="29" t="inlineStr">
        <is>
          <t>Executive Administration</t>
        </is>
      </c>
      <c r="G190" s="29" t="inlineStr">
        <is>
          <t>Senior Administration Executive</t>
        </is>
      </c>
      <c r="H190" s="29" t="inlineStr">
        <is>
          <t>Administration, Legal &amp; Secretarial</t>
        </is>
      </c>
      <c r="I190" s="29" t="inlineStr">
        <is>
          <t>Administration &amp; Facilities</t>
        </is>
      </c>
      <c r="J190" s="29" t="inlineStr">
        <is>
          <t>IC</t>
        </is>
      </c>
      <c r="K190" s="29" t="inlineStr">
        <is>
          <t>RC-001</t>
        </is>
      </c>
      <c r="L190" s="29" t="inlineStr">
        <is>
          <t>Sujit Acharya</t>
        </is>
      </c>
      <c r="M190" s="29" t="inlineStr">
        <is>
          <t>IRIS1326</t>
        </is>
      </c>
      <c r="N190" s="29" t="n">
        <v>21.7</v>
      </c>
      <c r="O190" s="29" t="n">
        <v>21.7</v>
      </c>
      <c r="P190" s="29" t="inlineStr">
        <is>
          <t>Undergraduate</t>
        </is>
      </c>
      <c r="Q190" s="29" t="inlineStr">
        <is>
          <t>Not in current mapping files</t>
        </is>
      </c>
      <c r="R190" s="29" t="inlineStr">
        <is>
          <t>A3</t>
        </is>
      </c>
      <c r="S190" s="30" t="inlineStr">
        <is>
          <t>0 of 20</t>
        </is>
      </c>
      <c r="T190" s="31"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t>
        </is>
      </c>
      <c r="U190" s="32" t="inlineStr">
        <is>
          <t>KRAs not received · manager to supply</t>
        </is>
      </c>
      <c r="V190" s="31" t="inlineStr">
        <is>
          <t>Latest rating: Not rated · manager · 9-box: Not placed · manager · Readiness: No rating data</t>
        </is>
      </c>
      <c r="W190" s="31" t="inlineStr">
        <is>
          <t>C L · Au L · Ac L · L L · BI L · Exp H · 21.7 yrs vs 2–4 yrs · Edu L · Undergraduate</t>
        </is>
      </c>
      <c r="X190" s="33" t="inlineStr">
        <is>
          <t>Open ▸</t>
        </is>
      </c>
      <c r="Y190" s="34" t="str">
        <f>IFERROR(INDEX(DL_C,MATCH($CA190,DL_KEY,0)),"M")</f>
        <v>H</v>
      </c>
      <c r="Z190" s="35" t="str">
        <f>IFERROR(INDEX(DL_Au,MATCH($CA190,DL_KEY,0)),"M")</f>
        <v>M</v>
      </c>
      <c r="AA190" s="35" t="str">
        <f>IFERROR(INDEX(DL_Ac,MATCH($CA190,DL_KEY,0)),"M")</f>
        <v>M</v>
      </c>
      <c r="AB190" s="35" t="str">
        <f>IFERROR(INDEX(DL_L,MATCH($CA190,DL_KEY,0)),"M")</f>
        <v>L</v>
      </c>
      <c r="AC190" s="35" t="str">
        <f>IFERROR(INDEX(DL_BI,MATCH($CA190,DL_KEY,0)),"M")</f>
        <v>L</v>
      </c>
      <c r="AD190" s="35" t="str">
        <f>IFERROR(INDEX(DL_Exp,MATCH($CA190,DL_KEY,0)),"M")</f>
        <v>L</v>
      </c>
      <c r="AE190" s="35" t="str">
        <f>IFERROR(INDEX(DL_Edu,MATCH($CA190,DL_KEY,0)),"M")</f>
        <v>M</v>
      </c>
      <c r="AF190" s="34" t="inlineStr">
        <is>
          <t>M</t>
        </is>
      </c>
      <c r="AG190" s="35" t="inlineStr">
        <is>
          <t>M</t>
        </is>
      </c>
      <c r="AH190" s="35" t="inlineStr">
        <is>
          <t>M</t>
        </is>
      </c>
      <c r="AI190" s="35" t="inlineStr">
        <is>
          <t>M</t>
        </is>
      </c>
      <c r="AJ190" s="35" t="inlineStr">
        <is>
          <t>M</t>
        </is>
      </c>
      <c r="AK190" s="35" t="inlineStr">
        <is>
          <t>M</t>
        </is>
      </c>
      <c r="AL190" s="35" t="inlineStr">
        <is>
          <t>M</t>
        </is>
      </c>
      <c r="AM190" s="36" t="n">
        <v>0.583</v>
      </c>
      <c r="AN190" s="37" t="n">
        <v>0.16</v>
      </c>
      <c r="AO190" s="37" t="n">
        <v>0.09</v>
      </c>
      <c r="AP190" s="37" t="n">
        <v>0</v>
      </c>
      <c r="AQ190" s="37" t="n">
        <v>0.063</v>
      </c>
      <c r="AR190" s="37" t="n">
        <v>0.06</v>
      </c>
      <c r="AS190" s="37" t="n">
        <v>0.04</v>
      </c>
      <c r="AT190" s="38" t="inlineStr">
        <is>
          <t>2–5</t>
        </is>
      </c>
      <c r="AU190" s="38" t="inlineStr">
        <is>
          <t>Graduate; relevant certification preferred</t>
        </is>
      </c>
      <c r="AV190" s="38" t="inlineStr">
        <is>
          <t>None · guides 1–3 juniors informally</t>
        </is>
      </c>
      <c r="AW190" s="38" t="inlineStr">
        <is>
          <t>P2 · SFIA 3 Apply</t>
        </is>
      </c>
      <c r="AX19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90" s="39" t="inlineStr">
        <is>
          <t>A3</t>
        </is>
      </c>
      <c r="AZ190" s="40" t="inlineStr">
        <is>
          <t>Band A · Practitioner · Senior Associate</t>
        </is>
      </c>
      <c r="BA190" s="40" t="inlineStr">
        <is>
          <t>Model A3 from the six ratings, the market-derived weights and rules R1–R13 · then No change · already below the manager</t>
        </is>
      </c>
      <c r="BB190" s="41" t="inlineStr">
        <is>
          <t>A3</t>
        </is>
      </c>
      <c r="BC190" s="40" t="inlineStr">
        <is>
          <t>The six ratings on the market-average weights of Band A · all tracks score 2.75 → A3 · Hay, Mercer IPE and public plans · experience 21.7 yrs vs the A3 market range 2–5</t>
        </is>
      </c>
      <c r="BD190" s="42">
        <f>IF(SUM(BM190,BN190,BO190,BP190,BQ190,BR190,BS190)=0,0,(BM190*BT190+BN190*BU190+BO190*BV190+BP190*BW190+BQ190*BX190+BR190*BY190+BS190*BZ190)/SUM(BM190,BN190,BO190,BP190,BQ190,BR190,BS190))</f>
        <v>0</v>
      </c>
      <c r="BE190" s="41" t="str">
        <f>IF(LEFT(AY190,1)="X",AY190,IF(OR(AY190="B+",AY190="C+"),INDEX(LAD_PC,MAX(1,MIN(14,MATCH(AY190,LAD_PC,0)+IF(BD190&gt;=0.5,1,IF(BD190&lt;=-0.5,-1,0))))),INDEX(LAD_STD,MAX(1,MIN(12,MATCH(AY190,LAD_STD,0)+IF(BD190&gt;=0.5,1,IF(BD190&lt;=-0.5,-1,0)))))))</f>
        <v>A3</v>
      </c>
      <c r="BF190" s="43" t="n"/>
      <c r="BG190" s="41" t="str">
        <f>IF(BF190&lt;&gt;"",BF190,BE190)</f>
        <v>A3</v>
      </c>
      <c r="BH190" s="40" t="str">
        <f>IFERROR(CHOOSE(INDEX(B_RANK,MATCH(BG190,B_LVL,0)),"Band A","Band B","B+ · Player-Coach","Band C","C+ · Player-Coach","Band D","Band E"),"Band X · Consultant")</f>
        <v>Band A</v>
      </c>
      <c r="BI190" s="40" t="str">
        <f>IF(BG190=AY190,"• Same",IF(INDEX(B_VAL,MATCH(BG190,B_LVL,0))&gt;INDEX(B_VAL,MATCH(AY190,B_LVL,0)),"▲ Up","▼ Down"))</f>
        <v>• Same</v>
      </c>
      <c r="BJ190" s="40" t="str">
        <f>IF(OR($M190="",$M190="—",$M190="Not in this file"),"",IFERROR(INDEX($BG$7:$BG$592,MATCH($M190,$D$7:$D$592,0)),""))</f>
        <v>B2</v>
      </c>
      <c r="BK190" s="40" t="str">
        <f>IFERROR(IF(BJ190="","—",IF(OR(LEFT(BG190,1)="X",LEFT(BJ190,1)="X"),"—",IF(AND(LEFT(BG190,1)="E",LEFT(BJ190,1)="E"),"Exception · Band E",IF(AND(INDEX(B_VAL,MATCH(BJ190,B_LVL,0))&gt;=7,INDEX(B_RANK,MATCH(BG190,B_LVL,0))&gt;=INDEX(B_RANK,MATCH(BJ190,B_LVL,0))),"⚠ Same band as a head manager",IF(INDEX(B_VAL,MATCH(BG190,B_LVL,0))&gt;=INDEX(B_VAL,MATCH(BJ190,B_LVL,0)),"⚠ At or above the manager's level","OK"))))),"—")</f>
        <v>OK</v>
      </c>
      <c r="BL190" s="43" t="n"/>
      <c r="BM190" s="44">
        <f>IFERROR(INDEX(LMH_PTS,MATCH(Y190,LMH_KEY,0)),0)</f>
        <v>9</v>
      </c>
      <c r="BN190" s="38">
        <f>IFERROR(INDEX(LMH_PTS,MATCH(Z190,LMH_KEY,0)),0)</f>
        <v>3</v>
      </c>
      <c r="BO190" s="38">
        <f>IFERROR(INDEX(LMH_PTS,MATCH(AA190,LMH_KEY,0)),0)</f>
        <v>3</v>
      </c>
      <c r="BP190" s="38">
        <f>IFERROR(INDEX(LMH_PTS,MATCH(AB190,LMH_KEY,0)),0)</f>
        <v>1</v>
      </c>
      <c r="BQ190" s="38">
        <f>IFERROR(INDEX(LMH_PTS,MATCH(AC190,LMH_KEY,0)),0)</f>
        <v>1</v>
      </c>
      <c r="BR190" s="38">
        <f>IFERROR(INDEX(LMH_PTS,MATCH(AD190,LMH_KEY,0)),0)</f>
        <v>1</v>
      </c>
      <c r="BS190" s="38">
        <f>IFERROR(INDEX(LMH_PTS,MATCH(AE190,LMH_KEY,0)),0)</f>
        <v>3</v>
      </c>
      <c r="BT190" s="38">
        <f>IFERROR(INDEX(LMH_STEP,MATCH(AF190,LMH_KEY,0)),0)</f>
        <v>0</v>
      </c>
      <c r="BU190" s="38">
        <f>IFERROR(INDEX(LMH_STEP,MATCH(AG190,LMH_KEY,0)),0)</f>
        <v>0</v>
      </c>
      <c r="BV190" s="38">
        <f>IFERROR(INDEX(LMH_STEP,MATCH(AH190,LMH_KEY,0)),0)</f>
        <v>0</v>
      </c>
      <c r="BW190" s="38">
        <f>IFERROR(INDEX(LMH_STEP,MATCH(AI190,LMH_KEY,0)),0)</f>
        <v>0</v>
      </c>
      <c r="BX190" s="38">
        <f>IFERROR(INDEX(LMH_STEP,MATCH(AJ190,LMH_KEY,0)),0)</f>
        <v>0</v>
      </c>
      <c r="BY190" s="38">
        <f>IFERROR(INDEX(LMH_STEP,MATCH(AK190,LMH_KEY,0)),0)</f>
        <v>0</v>
      </c>
      <c r="BZ190" s="38">
        <f>IFERROR(INDEX(LMH_STEP,MATCH(AL190,LMH_KEY,0)),0)</f>
        <v>0</v>
      </c>
      <c r="CA190" s="38" t="inlineStr">
        <is>
          <t>Corporate|Administration|Senior Administration Executive|A3|A</t>
        </is>
      </c>
    </row>
    <row r="191" ht="110" customHeight="1">
      <c r="A191" s="28" t="inlineStr">
        <is>
          <t>Corporate</t>
        </is>
      </c>
      <c r="B191" s="29" t="inlineStr">
        <is>
          <t>Administration</t>
        </is>
      </c>
      <c r="C191" s="29" t="n">
        <v>4</v>
      </c>
      <c r="D191" s="29" t="inlineStr">
        <is>
          <t>IRIS1008</t>
        </is>
      </c>
      <c r="E191" s="29" t="inlineStr">
        <is>
          <t>Sunil Pawar</t>
        </is>
      </c>
      <c r="F191" s="29" t="inlineStr">
        <is>
          <t>Executive Administration</t>
        </is>
      </c>
      <c r="G191" s="29" t="inlineStr">
        <is>
          <t>Senior Administration Executive</t>
        </is>
      </c>
      <c r="H191" s="29" t="inlineStr">
        <is>
          <t>Administration, Legal &amp; Secretarial</t>
        </is>
      </c>
      <c r="I191" s="29" t="inlineStr">
        <is>
          <t>Administration &amp; Facilities</t>
        </is>
      </c>
      <c r="J191" s="29" t="inlineStr">
        <is>
          <t>IC</t>
        </is>
      </c>
      <c r="K191" s="29" t="inlineStr">
        <is>
          <t>RC-001</t>
        </is>
      </c>
      <c r="L191" s="29" t="inlineStr">
        <is>
          <t>Sujit Acharya</t>
        </is>
      </c>
      <c r="M191" s="29" t="inlineStr">
        <is>
          <t>IRIS1326</t>
        </is>
      </c>
      <c r="N191" s="29" t="n">
        <v>14.9</v>
      </c>
      <c r="O191" s="29" t="n">
        <v>14.9</v>
      </c>
      <c r="P191" s="29" t="inlineStr">
        <is>
          <t>Undergraduate</t>
        </is>
      </c>
      <c r="Q191" s="29" t="inlineStr">
        <is>
          <t>Not in current mapping files</t>
        </is>
      </c>
      <c r="R191" s="29" t="inlineStr">
        <is>
          <t>A3</t>
        </is>
      </c>
      <c r="S191" s="30" t="inlineStr">
        <is>
          <t>0 of 20</t>
        </is>
      </c>
      <c r="T191" s="31"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t>
        </is>
      </c>
      <c r="U191" s="32" t="inlineStr">
        <is>
          <t>KRAs not received · manager to supply</t>
        </is>
      </c>
      <c r="V191" s="31" t="inlineStr">
        <is>
          <t>Latest rating: Not rated · manager · 9-box: Not placed · manager · Readiness: No rating data</t>
        </is>
      </c>
      <c r="W191" s="31" t="inlineStr">
        <is>
          <t>C L · Au L · Ac L · L L · BI L · Exp H · 14.9 yrs vs 2–4 yrs · Edu L · Undergraduate</t>
        </is>
      </c>
      <c r="X191" s="33" t="inlineStr">
        <is>
          <t>Open ▸</t>
        </is>
      </c>
      <c r="Y191" s="34" t="str">
        <f>IFERROR(INDEX(DL_C,MATCH($CA191,DL_KEY,0)),"M")</f>
        <v>H</v>
      </c>
      <c r="Z191" s="35" t="str">
        <f>IFERROR(INDEX(DL_Au,MATCH($CA191,DL_KEY,0)),"M")</f>
        <v>M</v>
      </c>
      <c r="AA191" s="35" t="str">
        <f>IFERROR(INDEX(DL_Ac,MATCH($CA191,DL_KEY,0)),"M")</f>
        <v>M</v>
      </c>
      <c r="AB191" s="35" t="str">
        <f>IFERROR(INDEX(DL_L,MATCH($CA191,DL_KEY,0)),"M")</f>
        <v>L</v>
      </c>
      <c r="AC191" s="35" t="str">
        <f>IFERROR(INDEX(DL_BI,MATCH($CA191,DL_KEY,0)),"M")</f>
        <v>L</v>
      </c>
      <c r="AD191" s="35" t="str">
        <f>IFERROR(INDEX(DL_Exp,MATCH($CA191,DL_KEY,0)),"M")</f>
        <v>L</v>
      </c>
      <c r="AE191" s="35" t="str">
        <f>IFERROR(INDEX(DL_Edu,MATCH($CA191,DL_KEY,0)),"M")</f>
        <v>M</v>
      </c>
      <c r="AF191" s="34" t="inlineStr">
        <is>
          <t>M</t>
        </is>
      </c>
      <c r="AG191" s="35" t="inlineStr">
        <is>
          <t>M</t>
        </is>
      </c>
      <c r="AH191" s="35" t="inlineStr">
        <is>
          <t>M</t>
        </is>
      </c>
      <c r="AI191" s="35" t="inlineStr">
        <is>
          <t>M</t>
        </is>
      </c>
      <c r="AJ191" s="35" t="inlineStr">
        <is>
          <t>M</t>
        </is>
      </c>
      <c r="AK191" s="35" t="inlineStr">
        <is>
          <t>M</t>
        </is>
      </c>
      <c r="AL191" s="35" t="inlineStr">
        <is>
          <t>M</t>
        </is>
      </c>
      <c r="AM191" s="36" t="n">
        <v>0.583</v>
      </c>
      <c r="AN191" s="37" t="n">
        <v>0.16</v>
      </c>
      <c r="AO191" s="37" t="n">
        <v>0.09</v>
      </c>
      <c r="AP191" s="37" t="n">
        <v>0</v>
      </c>
      <c r="AQ191" s="37" t="n">
        <v>0.063</v>
      </c>
      <c r="AR191" s="37" t="n">
        <v>0.06</v>
      </c>
      <c r="AS191" s="37" t="n">
        <v>0.04</v>
      </c>
      <c r="AT191" s="38" t="inlineStr">
        <is>
          <t>2–5</t>
        </is>
      </c>
      <c r="AU191" s="38" t="inlineStr">
        <is>
          <t>Graduate; relevant certification preferred</t>
        </is>
      </c>
      <c r="AV191" s="38" t="inlineStr">
        <is>
          <t>None · guides 1–3 juniors informally</t>
        </is>
      </c>
      <c r="AW191" s="38" t="inlineStr">
        <is>
          <t>P2 · SFIA 3 Apply</t>
        </is>
      </c>
      <c r="AX19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91" s="39" t="inlineStr">
        <is>
          <t>A3</t>
        </is>
      </c>
      <c r="AZ191" s="40" t="inlineStr">
        <is>
          <t>Band A · Practitioner · Senior Associate</t>
        </is>
      </c>
      <c r="BA191" s="40" t="inlineStr">
        <is>
          <t>Model A3 from the six ratings, the market-derived weights and rules R1–R13 · then No change · already below the manager</t>
        </is>
      </c>
      <c r="BB191" s="41" t="inlineStr">
        <is>
          <t>A3</t>
        </is>
      </c>
      <c r="BC191" s="40" t="inlineStr">
        <is>
          <t>The six ratings on the market-average weights of Band A · all tracks score 2.55 → A3 · Hay, Mercer IPE and public plans · experience 14.9 yrs vs the A3 market range 2–5</t>
        </is>
      </c>
      <c r="BD191" s="42">
        <f>IF(SUM(BM191,BN191,BO191,BP191,BQ191,BR191,BS191)=0,0,(BM191*BT191+BN191*BU191+BO191*BV191+BP191*BW191+BQ191*BX191+BR191*BY191+BS191*BZ191)/SUM(BM191,BN191,BO191,BP191,BQ191,BR191,BS191))</f>
        <v>0</v>
      </c>
      <c r="BE191" s="41" t="str">
        <f>IF(LEFT(AY191,1)="X",AY191,IF(OR(AY191="B+",AY191="C+"),INDEX(LAD_PC,MAX(1,MIN(14,MATCH(AY191,LAD_PC,0)+IF(BD191&gt;=0.5,1,IF(BD191&lt;=-0.5,-1,0))))),INDEX(LAD_STD,MAX(1,MIN(12,MATCH(AY191,LAD_STD,0)+IF(BD191&gt;=0.5,1,IF(BD191&lt;=-0.5,-1,0)))))))</f>
        <v>A3</v>
      </c>
      <c r="BF191" s="43" t="n"/>
      <c r="BG191" s="41" t="str">
        <f>IF(BF191&lt;&gt;"",BF191,BE191)</f>
        <v>A3</v>
      </c>
      <c r="BH191" s="40" t="str">
        <f>IFERROR(CHOOSE(INDEX(B_RANK,MATCH(BG191,B_LVL,0)),"Band A","Band B","B+ · Player-Coach","Band C","C+ · Player-Coach","Band D","Band E"),"Band X · Consultant")</f>
        <v>Band A</v>
      </c>
      <c r="BI191" s="40" t="str">
        <f>IF(BG191=AY191,"• Same",IF(INDEX(B_VAL,MATCH(BG191,B_LVL,0))&gt;INDEX(B_VAL,MATCH(AY191,B_LVL,0)),"▲ Up","▼ Down"))</f>
        <v>• Same</v>
      </c>
      <c r="BJ191" s="40" t="str">
        <f>IF(OR($M191="",$M191="—",$M191="Not in this file"),"",IFERROR(INDEX($BG$7:$BG$592,MATCH($M191,$D$7:$D$592,0)),""))</f>
        <v>B2</v>
      </c>
      <c r="BK191" s="40" t="str">
        <f>IFERROR(IF(BJ191="","—",IF(OR(LEFT(BG191,1)="X",LEFT(BJ191,1)="X"),"—",IF(AND(LEFT(BG191,1)="E",LEFT(BJ191,1)="E"),"Exception · Band E",IF(AND(INDEX(B_VAL,MATCH(BJ191,B_LVL,0))&gt;=7,INDEX(B_RANK,MATCH(BG191,B_LVL,0))&gt;=INDEX(B_RANK,MATCH(BJ191,B_LVL,0))),"⚠ Same band as a head manager",IF(INDEX(B_VAL,MATCH(BG191,B_LVL,0))&gt;=INDEX(B_VAL,MATCH(BJ191,B_LVL,0)),"⚠ At or above the manager's level","OK"))))),"—")</f>
        <v>OK</v>
      </c>
      <c r="BL191" s="43" t="n"/>
      <c r="BM191" s="44">
        <f>IFERROR(INDEX(LMH_PTS,MATCH(Y191,LMH_KEY,0)),0)</f>
        <v>9</v>
      </c>
      <c r="BN191" s="38">
        <f>IFERROR(INDEX(LMH_PTS,MATCH(Z191,LMH_KEY,0)),0)</f>
        <v>3</v>
      </c>
      <c r="BO191" s="38">
        <f>IFERROR(INDEX(LMH_PTS,MATCH(AA191,LMH_KEY,0)),0)</f>
        <v>3</v>
      </c>
      <c r="BP191" s="38">
        <f>IFERROR(INDEX(LMH_PTS,MATCH(AB191,LMH_KEY,0)),0)</f>
        <v>1</v>
      </c>
      <c r="BQ191" s="38">
        <f>IFERROR(INDEX(LMH_PTS,MATCH(AC191,LMH_KEY,0)),0)</f>
        <v>1</v>
      </c>
      <c r="BR191" s="38">
        <f>IFERROR(INDEX(LMH_PTS,MATCH(AD191,LMH_KEY,0)),0)</f>
        <v>1</v>
      </c>
      <c r="BS191" s="38">
        <f>IFERROR(INDEX(LMH_PTS,MATCH(AE191,LMH_KEY,0)),0)</f>
        <v>3</v>
      </c>
      <c r="BT191" s="38">
        <f>IFERROR(INDEX(LMH_STEP,MATCH(AF191,LMH_KEY,0)),0)</f>
        <v>0</v>
      </c>
      <c r="BU191" s="38">
        <f>IFERROR(INDEX(LMH_STEP,MATCH(AG191,LMH_KEY,0)),0)</f>
        <v>0</v>
      </c>
      <c r="BV191" s="38">
        <f>IFERROR(INDEX(LMH_STEP,MATCH(AH191,LMH_KEY,0)),0)</f>
        <v>0</v>
      </c>
      <c r="BW191" s="38">
        <f>IFERROR(INDEX(LMH_STEP,MATCH(AI191,LMH_KEY,0)),0)</f>
        <v>0</v>
      </c>
      <c r="BX191" s="38">
        <f>IFERROR(INDEX(LMH_STEP,MATCH(AJ191,LMH_KEY,0)),0)</f>
        <v>0</v>
      </c>
      <c r="BY191" s="38">
        <f>IFERROR(INDEX(LMH_STEP,MATCH(AK191,LMH_KEY,0)),0)</f>
        <v>0</v>
      </c>
      <c r="BZ191" s="38">
        <f>IFERROR(INDEX(LMH_STEP,MATCH(AL191,LMH_KEY,0)),0)</f>
        <v>0</v>
      </c>
      <c r="CA191" s="38" t="inlineStr">
        <is>
          <t>Corporate|Administration|Senior Administration Executive|A3|A</t>
        </is>
      </c>
    </row>
    <row r="192" ht="110" customHeight="1">
      <c r="A192" s="28" t="inlineStr">
        <is>
          <t>Corporate</t>
        </is>
      </c>
      <c r="B192" s="29" t="inlineStr">
        <is>
          <t>Administration</t>
        </is>
      </c>
      <c r="C192" s="29" t="n">
        <v>4</v>
      </c>
      <c r="D192" s="29" t="inlineStr">
        <is>
          <t>IRISC291</t>
        </is>
      </c>
      <c r="E192" s="29" t="inlineStr">
        <is>
          <t>Ganesh Prabhakar Amrutsagar</t>
        </is>
      </c>
      <c r="F192" s="29" t="inlineStr">
        <is>
          <t>Consultant</t>
        </is>
      </c>
      <c r="G192" s="29" t="inlineStr">
        <is>
          <t>Associate Consultant – Administration &amp; Facilities</t>
        </is>
      </c>
      <c r="H192" s="29" t="inlineStr">
        <is>
          <t>Administration, Legal &amp; Secretarial</t>
        </is>
      </c>
      <c r="I192" s="29" t="inlineStr">
        <is>
          <t>Administration &amp; Facilities</t>
        </is>
      </c>
      <c r="J192" s="29" t="inlineStr">
        <is>
          <t>Consultant</t>
        </is>
      </c>
      <c r="K192" s="29" t="inlineStr">
        <is>
          <t>RC-003</t>
        </is>
      </c>
      <c r="L192" s="29" t="inlineStr">
        <is>
          <t>Sujit Acharya</t>
        </is>
      </c>
      <c r="M192" s="29" t="inlineStr">
        <is>
          <t>IRIS1326</t>
        </is>
      </c>
      <c r="N192" s="29" t="n">
        <v>2.6</v>
      </c>
      <c r="O192" s="29" t="n">
        <v>2.6</v>
      </c>
      <c r="P192" s="29" t="inlineStr">
        <is>
          <t>Undergraduate</t>
        </is>
      </c>
      <c r="Q192" s="29" t="inlineStr">
        <is>
          <t>—</t>
        </is>
      </c>
      <c r="R192" s="29" t="inlineStr">
        <is>
          <t>X1</t>
        </is>
      </c>
      <c r="S192" s="30" t="inlineStr">
        <is>
          <t>0 of 20</t>
        </is>
      </c>
      <c r="T192" s="32" t="inlineStr">
        <is>
          <t>No survey response on file</t>
        </is>
      </c>
      <c r="U192" s="32" t="inlineStr">
        <is>
          <t>KRAs not received · manager to supply</t>
        </is>
      </c>
      <c r="V192" s="31" t="inlineStr">
        <is>
          <t>Latest rating: Not rated · manager · Readiness: n/a · consultant</t>
        </is>
      </c>
      <c r="W192" s="31" t="inlineStr">
        <is>
          <t>Consultant · outside the ladder</t>
        </is>
      </c>
      <c r="X192" s="33" t="inlineStr">
        <is>
          <t>Open ▸</t>
        </is>
      </c>
      <c r="Y192" s="34" t="n"/>
      <c r="Z192" s="35" t="n"/>
      <c r="AA192" s="35" t="n"/>
      <c r="AB192" s="35" t="n"/>
      <c r="AC192" s="35" t="n"/>
      <c r="AD192" s="35" t="n"/>
      <c r="AE192" s="35" t="n"/>
      <c r="AF192" s="34" t="n"/>
      <c r="AG192" s="35" t="n"/>
      <c r="AH192" s="35" t="n"/>
      <c r="AI192" s="35" t="n"/>
      <c r="AJ192" s="35" t="n"/>
      <c r="AK192" s="35" t="n"/>
      <c r="AL192" s="35" t="n"/>
      <c r="AM192" s="36" t="n"/>
      <c r="AN192" s="37" t="n"/>
      <c r="AO192" s="37" t="n"/>
      <c r="AP192" s="37" t="n"/>
      <c r="AQ192" s="37" t="n"/>
      <c r="AR192" s="37" t="n"/>
      <c r="AS192" s="37" t="n"/>
      <c r="AT192" s="38" t="n"/>
      <c r="AU192" s="38" t="n"/>
      <c r="AV192" s="38" t="n"/>
      <c r="AW192" s="38" t="inlineStr">
        <is>
          <t>—</t>
        </is>
      </c>
      <c r="AX19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92" s="39" t="inlineStr">
        <is>
          <t>X1</t>
        </is>
      </c>
      <c r="AZ192" s="40" t="inlineStr">
        <is>
          <t xml:space="preserve">Band X · Consultant · </t>
        </is>
      </c>
      <c r="BA192" s="40" t="inlineStr">
        <is>
          <t>Model X1 from the six ratings, the market-derived weights and rules R1–R13 · then Consultant · outside the ladder</t>
        </is>
      </c>
      <c r="BB192" s="41" t="n"/>
      <c r="BC192" s="40" t="inlineStr">
        <is>
          <t>Consultant · outside the ladder</t>
        </is>
      </c>
      <c r="BD192" s="42">
        <f>IF(SUM(BM192,BN192,BO192,BP192,BQ192,BR192,BS192)=0,0,(BM192*BT192+BN192*BU192+BO192*BV192+BP192*BW192+BQ192*BX192+BR192*BY192+BS192*BZ192)/SUM(BM192,BN192,BO192,BP192,BQ192,BR192,BS192))</f>
        <v>0</v>
      </c>
      <c r="BE192" s="41" t="str">
        <f>IF(LEFT(AY192,1)="X",AY192,IF(OR(AY192="B+",AY192="C+"),INDEX(LAD_PC,MAX(1,MIN(14,MATCH(AY192,LAD_PC,0)+IF(BD192&gt;=0.5,1,IF(BD192&lt;=-0.5,-1,0))))),INDEX(LAD_STD,MAX(1,MIN(12,MATCH(AY192,LAD_STD,0)+IF(BD192&gt;=0.5,1,IF(BD192&lt;=-0.5,-1,0)))))))</f>
        <v>X1</v>
      </c>
      <c r="BF192" s="43" t="n"/>
      <c r="BG192" s="41" t="str">
        <f>IF(BF192&lt;&gt;"",BF192,BE192)</f>
        <v>X1</v>
      </c>
      <c r="BH192" s="40" t="str">
        <f>IFERROR(CHOOSE(INDEX(B_RANK,MATCH(BG192,B_LVL,0)),"Band A","Band B","B+ · Player-Coach","Band C","C+ · Player-Coach","Band D","Band E"),"Band X · Consultant")</f>
        <v>Band X · Consultant</v>
      </c>
      <c r="BI192" s="40" t="str">
        <f>IF(BG192=AY192,"• Same",IF(INDEX(B_VAL,MATCH(BG192,B_LVL,0))&gt;INDEX(B_VAL,MATCH(AY192,B_LVL,0)),"▲ Up","▼ Down"))</f>
        <v>• Same</v>
      </c>
      <c r="BJ192" s="40" t="str">
        <f>IF(OR($M192="",$M192="—",$M192="Not in this file"),"",IFERROR(INDEX($BG$7:$BG$592,MATCH($M192,$D$7:$D$592,0)),""))</f>
        <v>B2</v>
      </c>
      <c r="BK192" s="40" t="str">
        <f>IFERROR(IF(BJ192="","—",IF(OR(LEFT(BG192,1)="X",LEFT(BJ192,1)="X"),"—",IF(AND(LEFT(BG192,1)="E",LEFT(BJ192,1)="E"),"Exception · Band E",IF(AND(INDEX(B_VAL,MATCH(BJ192,B_LVL,0))&gt;=7,INDEX(B_RANK,MATCH(BG192,B_LVL,0))&gt;=INDEX(B_RANK,MATCH(BJ192,B_LVL,0))),"⚠ Same band as a head manager",IF(INDEX(B_VAL,MATCH(BG192,B_LVL,0))&gt;=INDEX(B_VAL,MATCH(BJ192,B_LVL,0)),"⚠ At or above the manager's level","OK"))))),"—")</f>
        <v>—</v>
      </c>
      <c r="BL192" s="43" t="n"/>
      <c r="BM192" s="44">
        <f>IFERROR(INDEX(LMH_PTS,MATCH(Y192,LMH_KEY,0)),0)</f>
        <v>0</v>
      </c>
      <c r="BN192" s="38">
        <f>IFERROR(INDEX(LMH_PTS,MATCH(Z192,LMH_KEY,0)),0)</f>
        <v>0</v>
      </c>
      <c r="BO192" s="38">
        <f>IFERROR(INDEX(LMH_PTS,MATCH(AA192,LMH_KEY,0)),0)</f>
        <v>0</v>
      </c>
      <c r="BP192" s="38">
        <f>IFERROR(INDEX(LMH_PTS,MATCH(AB192,LMH_KEY,0)),0)</f>
        <v>0</v>
      </c>
      <c r="BQ192" s="38">
        <f>IFERROR(INDEX(LMH_PTS,MATCH(AC192,LMH_KEY,0)),0)</f>
        <v>0</v>
      </c>
      <c r="BR192" s="38">
        <f>IFERROR(INDEX(LMH_PTS,MATCH(AD192,LMH_KEY,0)),0)</f>
        <v>0</v>
      </c>
      <c r="BS192" s="38">
        <f>IFERROR(INDEX(LMH_PTS,MATCH(AE192,LMH_KEY,0)),0)</f>
        <v>0</v>
      </c>
      <c r="BT192" s="38">
        <f>IFERROR(INDEX(LMH_STEP,MATCH(AF192,LMH_KEY,0)),0)</f>
        <v>0</v>
      </c>
      <c r="BU192" s="38">
        <f>IFERROR(INDEX(LMH_STEP,MATCH(AG192,LMH_KEY,0)),0)</f>
        <v>0</v>
      </c>
      <c r="BV192" s="38">
        <f>IFERROR(INDEX(LMH_STEP,MATCH(AH192,LMH_KEY,0)),0)</f>
        <v>0</v>
      </c>
      <c r="BW192" s="38">
        <f>IFERROR(INDEX(LMH_STEP,MATCH(AI192,LMH_KEY,0)),0)</f>
        <v>0</v>
      </c>
      <c r="BX192" s="38">
        <f>IFERROR(INDEX(LMH_STEP,MATCH(AJ192,LMH_KEY,0)),0)</f>
        <v>0</v>
      </c>
      <c r="BY192" s="38">
        <f>IFERROR(INDEX(LMH_STEP,MATCH(AK192,LMH_KEY,0)),0)</f>
        <v>0</v>
      </c>
      <c r="BZ192" s="38">
        <f>IFERROR(INDEX(LMH_STEP,MATCH(AL192,LMH_KEY,0)),0)</f>
        <v>0</v>
      </c>
      <c r="CA192" s="38" t="inlineStr">
        <is>
          <t>Corporate|Administration|Associate Consultant – Administration &amp; Facilities|X1|X</t>
        </is>
      </c>
    </row>
    <row r="193" ht="110" customHeight="1">
      <c r="A193" s="28" t="inlineStr">
        <is>
          <t>iFile</t>
        </is>
      </c>
      <c r="B193" s="29" t="inlineStr">
        <is>
          <t>Sales</t>
        </is>
      </c>
      <c r="C193" s="29" t="n">
        <v>1</v>
      </c>
      <c r="D193" s="29" t="inlineStr">
        <is>
          <t>IRIS0012</t>
        </is>
      </c>
      <c r="E193" s="29" t="inlineStr">
        <is>
          <t>Shailesh Gupta</t>
        </is>
      </c>
      <c r="F193" s="29" t="inlineStr">
        <is>
          <t>Business Head – SupTech &amp; Bank-RegTech</t>
        </is>
      </c>
      <c r="G193" s="29" t="inlineStr">
        <is>
          <t>Business Head – SupTech &amp; Bank-RegTech</t>
        </is>
      </c>
      <c r="H193" s="29" t="inlineStr">
        <is>
          <t>Executive Leadership</t>
        </is>
      </c>
      <c r="I193" s="29" t="inlineStr">
        <is>
          <t>Business Head</t>
        </is>
      </c>
      <c r="J193" s="29" t="inlineStr">
        <is>
          <t>People Manager</t>
        </is>
      </c>
      <c r="K193" s="29" t="inlineStr">
        <is>
          <t>RC-EL-BH-D2</t>
        </is>
      </c>
      <c r="L193" s="29" t="inlineStr">
        <is>
          <t>Balachandran K</t>
        </is>
      </c>
      <c r="M193" s="29" t="inlineStr">
        <is>
          <t>IRIS0001</t>
        </is>
      </c>
      <c r="N193" s="29" t="n">
        <v>22</v>
      </c>
      <c r="O193" s="29" t="n">
        <v>22</v>
      </c>
      <c r="P193" s="29" t="inlineStr">
        <is>
          <t>MBA</t>
        </is>
      </c>
      <c r="Q193" s="29" t="inlineStr">
        <is>
          <t>Not in current mapping files</t>
        </is>
      </c>
      <c r="R193" s="29" t="inlineStr">
        <is>
          <t>D2</t>
        </is>
      </c>
      <c r="S193" s="30" t="inlineStr">
        <is>
          <t>0 of 20</t>
        </is>
      </c>
      <c r="T193" s="31"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t>
        </is>
      </c>
      <c r="U193" s="32" t="inlineStr">
        <is>
          <t>KRAs not received · manager to supply</t>
        </is>
      </c>
      <c r="V193" s="31" t="inlineStr">
        <is>
          <t>Latest rating: Not rated · manager · 9-box: Not placed · manager · Readiness: No rating data</t>
        </is>
      </c>
      <c r="W193" s="31" t="inlineStr">
        <is>
          <t>C L · Au L · Ac L · L L · BI L · Exp M · 22 yrs vs 18–24 yrs · Edu M · MBA</t>
        </is>
      </c>
      <c r="X193" s="33" t="inlineStr">
        <is>
          <t>Open ▸</t>
        </is>
      </c>
      <c r="Y193" s="34" t="str">
        <f>IFERROR(INDEX(DL_C,MATCH($CA193,DL_KEY,0)),"M")</f>
        <v>H</v>
      </c>
      <c r="Z193" s="35" t="str">
        <f>IFERROR(INDEX(DL_Au,MATCH($CA193,DL_KEY,0)),"M")</f>
        <v>M</v>
      </c>
      <c r="AA193" s="35" t="str">
        <f>IFERROR(INDEX(DL_Ac,MATCH($CA193,DL_KEY,0)),"M")</f>
        <v>M</v>
      </c>
      <c r="AB193" s="35" t="str">
        <f>IFERROR(INDEX(DL_L,MATCH($CA193,DL_KEY,0)),"M")</f>
        <v>M</v>
      </c>
      <c r="AC193" s="35" t="str">
        <f>IFERROR(INDEX(DL_BI,MATCH($CA193,DL_KEY,0)),"M")</f>
        <v>L</v>
      </c>
      <c r="AD193" s="35" t="str">
        <f>IFERROR(INDEX(DL_Exp,MATCH($CA193,DL_KEY,0)),"M")</f>
        <v>L</v>
      </c>
      <c r="AE193" s="35" t="str">
        <f>IFERROR(INDEX(DL_Edu,MATCH($CA193,DL_KEY,0)),"M")</f>
        <v>L</v>
      </c>
      <c r="AF193" s="34" t="inlineStr">
        <is>
          <t>M</t>
        </is>
      </c>
      <c r="AG193" s="35" t="inlineStr">
        <is>
          <t>M</t>
        </is>
      </c>
      <c r="AH193" s="35" t="inlineStr">
        <is>
          <t>M</t>
        </is>
      </c>
      <c r="AI193" s="35" t="inlineStr">
        <is>
          <t>M</t>
        </is>
      </c>
      <c r="AJ193" s="35" t="inlineStr">
        <is>
          <t>M</t>
        </is>
      </c>
      <c r="AK193" s="35" t="inlineStr">
        <is>
          <t>M</t>
        </is>
      </c>
      <c r="AL193" s="35" t="inlineStr">
        <is>
          <t>M</t>
        </is>
      </c>
      <c r="AM193" s="36" t="n">
        <v>0.363</v>
      </c>
      <c r="AN193" s="37" t="n">
        <v>0.19</v>
      </c>
      <c r="AO193" s="37" t="n">
        <v>0.113</v>
      </c>
      <c r="AP193" s="37" t="n">
        <v>0.2</v>
      </c>
      <c r="AQ193" s="37" t="n">
        <v>0.08699999999999999</v>
      </c>
      <c r="AR193" s="37" t="n">
        <v>0.04</v>
      </c>
      <c r="AS193" s="37" t="n">
        <v>0.01</v>
      </c>
      <c r="AT193" s="38" t="inlineStr">
        <is>
          <t>18–24 yrs</t>
        </is>
      </c>
      <c r="AU193" s="38" t="inlineStr">
        <is>
          <t>Postgraduate / professional qualification preferred</t>
        </is>
      </c>
      <c r="AV193" s="38" t="inlineStr">
        <is>
          <t>5–8 AVPs / heads</t>
        </is>
      </c>
      <c r="AW193" s="38" t="inlineStr">
        <is>
          <t>E3–E4 · SFIA 7 Set strategy</t>
        </is>
      </c>
      <c r="AX19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93" s="39" t="inlineStr">
        <is>
          <t>D2</t>
        </is>
      </c>
      <c r="AZ193" s="40" t="inlineStr">
        <is>
          <t>Band D · Business leadership · Senior Vice President / Business Head</t>
        </is>
      </c>
      <c r="BA193" s="40" t="inlineStr">
        <is>
          <t>Model D2 from the six ratings, the market-derived weights and rules R1–R13 · then No change · already below the manager</t>
        </is>
      </c>
      <c r="BB193" s="41" t="inlineStr">
        <is>
          <t>D1</t>
        </is>
      </c>
      <c r="BC193" s="40" t="inlineStr">
        <is>
          <t>The six ratings on the market-average weights of Bands D–E · Leadership score 9.10 → D1 · Hay, Mercer IPE and public plans · experience 22 yrs vs the D1 market range 15–20 yrs</t>
        </is>
      </c>
      <c r="BD193" s="42">
        <f>IF(SUM(BM193,BN193,BO193,BP193,BQ193,BR193,BS193)=0,0,(BM193*BT193+BN193*BU193+BO193*BV193+BP193*BW193+BQ193*BX193+BR193*BY193+BS193*BZ193)/SUM(BM193,BN193,BO193,BP193,BQ193,BR193,BS193))</f>
        <v>0</v>
      </c>
      <c r="BE193" s="41" t="str">
        <f>IF(LEFT(AY193,1)="X",AY193,IF(OR(AY193="B+",AY193="C+"),INDEX(LAD_PC,MAX(1,MIN(14,MATCH(AY193,LAD_PC,0)+IF(BD193&gt;=0.5,1,IF(BD193&lt;=-0.5,-1,0))))),INDEX(LAD_STD,MAX(1,MIN(12,MATCH(AY193,LAD_STD,0)+IF(BD193&gt;=0.5,1,IF(BD193&lt;=-0.5,-1,0)))))))</f>
        <v>D2</v>
      </c>
      <c r="BF193" s="43" t="n"/>
      <c r="BG193" s="41" t="str">
        <f>IF(BF193&lt;&gt;"",BF193,BE193)</f>
        <v>D2</v>
      </c>
      <c r="BH193" s="40" t="str">
        <f>IFERROR(CHOOSE(INDEX(B_RANK,MATCH(BG193,B_LVL,0)),"Band A","Band B","B+ · Player-Coach","Band C","C+ · Player-Coach","Band D","Band E"),"Band X · Consultant")</f>
        <v>Band D</v>
      </c>
      <c r="BI193" s="40" t="str">
        <f>IF(BG193=AY193,"• Same",IF(INDEX(B_VAL,MATCH(BG193,B_LVL,0))&gt;INDEX(B_VAL,MATCH(AY193,B_LVL,0)),"▲ Up","▼ Down"))</f>
        <v>• Same</v>
      </c>
      <c r="BJ193" s="40" t="str">
        <f>IF(OR($M193="",$M193="—",$M193="Not in this file"),"",IFERROR(INDEX($BG$7:$BG$592,MATCH($M193,$D$7:$D$592,0)),""))</f>
        <v>E2</v>
      </c>
      <c r="BK193" s="40" t="str">
        <f>IFERROR(IF(BJ193="","—",IF(OR(LEFT(BG193,1)="X",LEFT(BJ193,1)="X"),"—",IF(AND(LEFT(BG193,1)="E",LEFT(BJ193,1)="E"),"Exception · Band E",IF(AND(INDEX(B_VAL,MATCH(BJ193,B_LVL,0))&gt;=7,INDEX(B_RANK,MATCH(BG193,B_LVL,0))&gt;=INDEX(B_RANK,MATCH(BJ193,B_LVL,0))),"⚠ Same band as a head manager",IF(INDEX(B_VAL,MATCH(BG193,B_LVL,0))&gt;=INDEX(B_VAL,MATCH(BJ193,B_LVL,0)),"⚠ At or above the manager's level","OK"))))),"—")</f>
        <v>OK</v>
      </c>
      <c r="BL193" s="43" t="n"/>
      <c r="BM193" s="44">
        <f>IFERROR(INDEX(LMH_PTS,MATCH(Y193,LMH_KEY,0)),0)</f>
        <v>9</v>
      </c>
      <c r="BN193" s="38">
        <f>IFERROR(INDEX(LMH_PTS,MATCH(Z193,LMH_KEY,0)),0)</f>
        <v>3</v>
      </c>
      <c r="BO193" s="38">
        <f>IFERROR(INDEX(LMH_PTS,MATCH(AA193,LMH_KEY,0)),0)</f>
        <v>3</v>
      </c>
      <c r="BP193" s="38">
        <f>IFERROR(INDEX(LMH_PTS,MATCH(AB193,LMH_KEY,0)),0)</f>
        <v>3</v>
      </c>
      <c r="BQ193" s="38">
        <f>IFERROR(INDEX(LMH_PTS,MATCH(AC193,LMH_KEY,0)),0)</f>
        <v>1</v>
      </c>
      <c r="BR193" s="38">
        <f>IFERROR(INDEX(LMH_PTS,MATCH(AD193,LMH_KEY,0)),0)</f>
        <v>1</v>
      </c>
      <c r="BS193" s="38">
        <f>IFERROR(INDEX(LMH_PTS,MATCH(AE193,LMH_KEY,0)),0)</f>
        <v>1</v>
      </c>
      <c r="BT193" s="38">
        <f>IFERROR(INDEX(LMH_STEP,MATCH(AF193,LMH_KEY,0)),0)</f>
        <v>0</v>
      </c>
      <c r="BU193" s="38">
        <f>IFERROR(INDEX(LMH_STEP,MATCH(AG193,LMH_KEY,0)),0)</f>
        <v>0</v>
      </c>
      <c r="BV193" s="38">
        <f>IFERROR(INDEX(LMH_STEP,MATCH(AH193,LMH_KEY,0)),0)</f>
        <v>0</v>
      </c>
      <c r="BW193" s="38">
        <f>IFERROR(INDEX(LMH_STEP,MATCH(AI193,LMH_KEY,0)),0)</f>
        <v>0</v>
      </c>
      <c r="BX193" s="38">
        <f>IFERROR(INDEX(LMH_STEP,MATCH(AJ193,LMH_KEY,0)),0)</f>
        <v>0</v>
      </c>
      <c r="BY193" s="38">
        <f>IFERROR(INDEX(LMH_STEP,MATCH(AK193,LMH_KEY,0)),0)</f>
        <v>0</v>
      </c>
      <c r="BZ193" s="38">
        <f>IFERROR(INDEX(LMH_STEP,MATCH(AL193,LMH_KEY,0)),0)</f>
        <v>0</v>
      </c>
      <c r="CA193" s="38" t="inlineStr">
        <is>
          <t>iFile|Sales|Business Head – SupTech &amp; Bank-RegTech|D2|DE</t>
        </is>
      </c>
    </row>
    <row r="194" ht="110" customHeight="1">
      <c r="A194" s="28" t="inlineStr">
        <is>
          <t>iDEAL</t>
        </is>
      </c>
      <c r="B194" s="29" t="inlineStr">
        <is>
          <t>iDEAL Business Head</t>
        </is>
      </c>
      <c r="C194" s="29" t="n">
        <v>2</v>
      </c>
      <c r="D194" s="29" t="inlineStr">
        <is>
          <t>IRIS1224</t>
        </is>
      </c>
      <c r="E194" s="29" t="inlineStr">
        <is>
          <t>Hemant Karale</t>
        </is>
      </c>
      <c r="F194" s="29" t="inlineStr">
        <is>
          <t>Business Head IRIS iDEAL</t>
        </is>
      </c>
      <c r="G194" s="29" t="inlineStr">
        <is>
          <t>Business Head – iDEAL</t>
        </is>
      </c>
      <c r="H194" s="29" t="inlineStr">
        <is>
          <t>Executive Leadership</t>
        </is>
      </c>
      <c r="I194" s="29" t="inlineStr">
        <is>
          <t>Business Head</t>
        </is>
      </c>
      <c r="J194" s="29" t="inlineStr">
        <is>
          <t>People Manager</t>
        </is>
      </c>
      <c r="K194" s="29" t="inlineStr">
        <is>
          <t>RC-EL-BH-D1</t>
        </is>
      </c>
      <c r="L194" s="29" t="inlineStr">
        <is>
          <t>Shailesh Gupta</t>
        </is>
      </c>
      <c r="M194" s="29" t="inlineStr">
        <is>
          <t>IRIS0012</t>
        </is>
      </c>
      <c r="N194" s="29" t="n">
        <v>17.6</v>
      </c>
      <c r="O194" s="29" t="n">
        <v>14.2</v>
      </c>
      <c r="P194" s="29" t="inlineStr">
        <is>
          <t>MBA</t>
        </is>
      </c>
      <c r="Q194" s="29" t="inlineStr">
        <is>
          <t>L7 – Head / Sr Director</t>
        </is>
      </c>
      <c r="R194" s="29" t="inlineStr">
        <is>
          <t>D1</t>
        </is>
      </c>
      <c r="S194" s="30" t="inlineStr">
        <is>
          <t>0 of 20</t>
        </is>
      </c>
      <c r="T194" s="31" t="inlineStr">
        <is>
          <t>Complexity: Evidence reads like C2: KRA only: business revenue, foreign-market partner onboarding, AI product launches, defect reduction → moved down 0.5
Autonomy: Evidence reads like C2: KRA only: commits business revenue, partner onboarding and product launches; no decisions stated directly → moved down 0.5
Accountability: Evidence reads like D1: KRA: …</t>
        </is>
      </c>
      <c r="U194" s="31" t="inlineStr">
        <is>
          <t>Received · self · KRAs not received · manager to supply</t>
        </is>
      </c>
      <c r="V194" s="31" t="inlineStr">
        <is>
          <t>Latest rating: Not rated · manager · 9-box: Not placed · manager · Readiness: No rating data</t>
        </is>
      </c>
      <c r="W194" s="31" t="inlineStr">
        <is>
          <t>C M · Au M · Ac H · L M · BI H · Exp H · 17.6 yrs vs 12–17 yrs · Edu M · MBA</t>
        </is>
      </c>
      <c r="X194" s="33" t="inlineStr">
        <is>
          <t>Open ▸</t>
        </is>
      </c>
      <c r="Y194" s="34" t="str">
        <f>IFERROR(INDEX(DL_C,MATCH($CA194,DL_KEY,0)),"M")</f>
        <v>H</v>
      </c>
      <c r="Z194" s="35" t="str">
        <f>IFERROR(INDEX(DL_Au,MATCH($CA194,DL_KEY,0)),"M")</f>
        <v>M</v>
      </c>
      <c r="AA194" s="35" t="str">
        <f>IFERROR(INDEX(DL_Ac,MATCH($CA194,DL_KEY,0)),"M")</f>
        <v>M</v>
      </c>
      <c r="AB194" s="35" t="str">
        <f>IFERROR(INDEX(DL_L,MATCH($CA194,DL_KEY,0)),"M")</f>
        <v>M</v>
      </c>
      <c r="AC194" s="35" t="str">
        <f>IFERROR(INDEX(DL_BI,MATCH($CA194,DL_KEY,0)),"M")</f>
        <v>L</v>
      </c>
      <c r="AD194" s="35" t="str">
        <f>IFERROR(INDEX(DL_Exp,MATCH($CA194,DL_KEY,0)),"M")</f>
        <v>L</v>
      </c>
      <c r="AE194" s="35" t="str">
        <f>IFERROR(INDEX(DL_Edu,MATCH($CA194,DL_KEY,0)),"M")</f>
        <v>L</v>
      </c>
      <c r="AF194" s="34" t="inlineStr">
        <is>
          <t>M</t>
        </is>
      </c>
      <c r="AG194" s="35" t="inlineStr">
        <is>
          <t>M</t>
        </is>
      </c>
      <c r="AH194" s="35" t="inlineStr">
        <is>
          <t>M</t>
        </is>
      </c>
      <c r="AI194" s="35" t="inlineStr">
        <is>
          <t>M</t>
        </is>
      </c>
      <c r="AJ194" s="35" t="inlineStr">
        <is>
          <t>M</t>
        </is>
      </c>
      <c r="AK194" s="35" t="inlineStr">
        <is>
          <t>M</t>
        </is>
      </c>
      <c r="AL194" s="35" t="inlineStr">
        <is>
          <t>M</t>
        </is>
      </c>
      <c r="AM194" s="36" t="n">
        <v>0.433</v>
      </c>
      <c r="AN194" s="37" t="n">
        <v>0.18</v>
      </c>
      <c r="AO194" s="37" t="n">
        <v>0.107</v>
      </c>
      <c r="AP194" s="37" t="n">
        <v>0.15</v>
      </c>
      <c r="AQ194" s="37" t="n">
        <v>0.08</v>
      </c>
      <c r="AR194" s="37" t="n">
        <v>0.04</v>
      </c>
      <c r="AS194" s="37" t="n">
        <v>0.01</v>
      </c>
      <c r="AT194" s="38" t="inlineStr">
        <is>
          <t>12–17 yrs</t>
        </is>
      </c>
      <c r="AU194" s="38" t="inlineStr">
        <is>
          <t>Postgraduate / professional qualification preferred</t>
        </is>
      </c>
      <c r="AV194" s="38" t="inlineStr">
        <is>
          <t>5–8 managers / associate heads</t>
        </is>
      </c>
      <c r="AW194" s="38" t="inlineStr">
        <is>
          <t>P7 / M6 · SFIA 6 Initiate, influence</t>
        </is>
      </c>
      <c r="AX19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94" s="39" t="inlineStr">
        <is>
          <t>C2</t>
        </is>
      </c>
      <c r="AZ194" s="40" t="inlineStr">
        <is>
          <t>Band C · Principal / Head · Head of Function</t>
        </is>
      </c>
      <c r="BA194" s="40" t="inlineStr">
        <is>
          <t>Model D1 from the six ratings, the market-derived weights and rules R1–R13 · then Band rule: manager D2 is a head in Band D · Business leadership; a reportee sits in a lower band · D1 → C2 · move down · pay and title protected for one cycle</t>
        </is>
      </c>
      <c r="BB194" s="41" t="inlineStr">
        <is>
          <t>D1</t>
        </is>
      </c>
      <c r="BC194" s="40" t="inlineStr">
        <is>
          <t>The six ratings on the market-average weights of Band C · Head / manager score 8.64 → D1 · Hay, Mercer IPE and public plans · experience 17.6 yrs vs the D1 market range 15–20 yrs</t>
        </is>
      </c>
      <c r="BD194" s="42">
        <f>IF(SUM(BM194,BN194,BO194,BP194,BQ194,BR194,BS194)=0,0,(BM194*BT194+BN194*BU194+BO194*BV194+BP194*BW194+BQ194*BX194+BR194*BY194+BS194*BZ194)/SUM(BM194,BN194,BO194,BP194,BQ194,BR194,BS194))</f>
        <v>0</v>
      </c>
      <c r="BE194" s="41" t="str">
        <f>IF(LEFT(AY194,1)="X",AY194,IF(OR(AY194="B+",AY194="C+"),INDEX(LAD_PC,MAX(1,MIN(14,MATCH(AY194,LAD_PC,0)+IF(BD194&gt;=0.5,1,IF(BD194&lt;=-0.5,-1,0))))),INDEX(LAD_STD,MAX(1,MIN(12,MATCH(AY194,LAD_STD,0)+IF(BD194&gt;=0.5,1,IF(BD194&lt;=-0.5,-1,0)))))))</f>
        <v>C2</v>
      </c>
      <c r="BF194" s="43" t="n"/>
      <c r="BG194" s="41" t="str">
        <f>IF(BF194&lt;&gt;"",BF194,BE194)</f>
        <v>C2</v>
      </c>
      <c r="BH194" s="40" t="str">
        <f>IFERROR(CHOOSE(INDEX(B_RANK,MATCH(BG194,B_LVL,0)),"Band A","Band B","B+ · Player-Coach","Band C","C+ · Player-Coach","Band D","Band E"),"Band X · Consultant")</f>
        <v>Band C</v>
      </c>
      <c r="BI194" s="40" t="str">
        <f>IF(BG194=AY194,"• Same",IF(INDEX(B_VAL,MATCH(BG194,B_LVL,0))&gt;INDEX(B_VAL,MATCH(AY194,B_LVL,0)),"▲ Up","▼ Down"))</f>
        <v>• Same</v>
      </c>
      <c r="BJ194" s="40" t="str">
        <f>IF(OR($M194="",$M194="—",$M194="Not in this file"),"",IFERROR(INDEX($BG$7:$BG$592,MATCH($M194,$D$7:$D$592,0)),""))</f>
        <v>D2</v>
      </c>
      <c r="BK194" s="40" t="str">
        <f>IFERROR(IF(BJ194="","—",IF(OR(LEFT(BG194,1)="X",LEFT(BJ194,1)="X"),"—",IF(AND(LEFT(BG194,1)="E",LEFT(BJ194,1)="E"),"Exception · Band E",IF(AND(INDEX(B_VAL,MATCH(BJ194,B_LVL,0))&gt;=7,INDEX(B_RANK,MATCH(BG194,B_LVL,0))&gt;=INDEX(B_RANK,MATCH(BJ194,B_LVL,0))),"⚠ Same band as a head manager",IF(INDEX(B_VAL,MATCH(BG194,B_LVL,0))&gt;=INDEX(B_VAL,MATCH(BJ194,B_LVL,0)),"⚠ At or above the manager's level","OK"))))),"—")</f>
        <v>OK</v>
      </c>
      <c r="BL194" s="43" t="n"/>
      <c r="BM194" s="44">
        <f>IFERROR(INDEX(LMH_PTS,MATCH(Y194,LMH_KEY,0)),0)</f>
        <v>9</v>
      </c>
      <c r="BN194" s="38">
        <f>IFERROR(INDEX(LMH_PTS,MATCH(Z194,LMH_KEY,0)),0)</f>
        <v>3</v>
      </c>
      <c r="BO194" s="38">
        <f>IFERROR(INDEX(LMH_PTS,MATCH(AA194,LMH_KEY,0)),0)</f>
        <v>3</v>
      </c>
      <c r="BP194" s="38">
        <f>IFERROR(INDEX(LMH_PTS,MATCH(AB194,LMH_KEY,0)),0)</f>
        <v>3</v>
      </c>
      <c r="BQ194" s="38">
        <f>IFERROR(INDEX(LMH_PTS,MATCH(AC194,LMH_KEY,0)),0)</f>
        <v>1</v>
      </c>
      <c r="BR194" s="38">
        <f>IFERROR(INDEX(LMH_PTS,MATCH(AD194,LMH_KEY,0)),0)</f>
        <v>1</v>
      </c>
      <c r="BS194" s="38">
        <f>IFERROR(INDEX(LMH_PTS,MATCH(AE194,LMH_KEY,0)),0)</f>
        <v>1</v>
      </c>
      <c r="BT194" s="38">
        <f>IFERROR(INDEX(LMH_STEP,MATCH(AF194,LMH_KEY,0)),0)</f>
        <v>0</v>
      </c>
      <c r="BU194" s="38">
        <f>IFERROR(INDEX(LMH_STEP,MATCH(AG194,LMH_KEY,0)),0)</f>
        <v>0</v>
      </c>
      <c r="BV194" s="38">
        <f>IFERROR(INDEX(LMH_STEP,MATCH(AH194,LMH_KEY,0)),0)</f>
        <v>0</v>
      </c>
      <c r="BW194" s="38">
        <f>IFERROR(INDEX(LMH_STEP,MATCH(AI194,LMH_KEY,0)),0)</f>
        <v>0</v>
      </c>
      <c r="BX194" s="38">
        <f>IFERROR(INDEX(LMH_STEP,MATCH(AJ194,LMH_KEY,0)),0)</f>
        <v>0</v>
      </c>
      <c r="BY194" s="38">
        <f>IFERROR(INDEX(LMH_STEP,MATCH(AK194,LMH_KEY,0)),0)</f>
        <v>0</v>
      </c>
      <c r="BZ194" s="38">
        <f>IFERROR(INDEX(LMH_STEP,MATCH(AL194,LMH_KEY,0)),0)</f>
        <v>0</v>
      </c>
      <c r="CA194" s="38" t="inlineStr">
        <is>
          <t>iDEAL|iDEAL Business Head|Business Head – iDEAL|C2|C-M</t>
        </is>
      </c>
    </row>
    <row r="195" ht="110" customHeight="1">
      <c r="A195" s="28" t="inlineStr">
        <is>
          <t>iDEAL</t>
        </is>
      </c>
      <c r="B195" s="29" t="inlineStr">
        <is>
          <t>Technology</t>
        </is>
      </c>
      <c r="C195" s="29" t="n">
        <v>3</v>
      </c>
      <c r="D195" s="29" t="inlineStr">
        <is>
          <t>IRIS0810</t>
        </is>
      </c>
      <c r="E195" s="29" t="inlineStr">
        <is>
          <t>Jitendra Kumar</t>
        </is>
      </c>
      <c r="F195" s="29" t="inlineStr">
        <is>
          <t>Technical Architect</t>
        </is>
      </c>
      <c r="G195" s="29" t="inlineStr">
        <is>
          <t>Practice Lead – Solution &amp; Technical Architecture · Player-Coach</t>
        </is>
      </c>
      <c r="H195" s="29" t="inlineStr">
        <is>
          <t>Engineering &amp; Architecture</t>
        </is>
      </c>
      <c r="I195" s="29" t="inlineStr">
        <is>
          <t>Solution &amp; Technical Architecture</t>
        </is>
      </c>
      <c r="J195" s="29" t="inlineStr">
        <is>
          <t>Player-Coach</t>
        </is>
      </c>
      <c r="K195" s="29" t="inlineStr">
        <is>
          <t>RC-056</t>
        </is>
      </c>
      <c r="L195" s="29" t="inlineStr">
        <is>
          <t>Hemant Karale</t>
        </is>
      </c>
      <c r="M195" s="29" t="inlineStr">
        <is>
          <t>IRIS1224</t>
        </is>
      </c>
      <c r="N195" s="29" t="n">
        <v>16.6</v>
      </c>
      <c r="O195" s="29" t="n">
        <v>15.2</v>
      </c>
      <c r="P195" s="29" t="inlineStr">
        <is>
          <t>MCA</t>
        </is>
      </c>
      <c r="Q195" s="29" t="inlineStr">
        <is>
          <t>L3 – Professional / Associate</t>
        </is>
      </c>
      <c r="R195" s="29" t="inlineStr">
        <is>
          <t>B+</t>
        </is>
      </c>
      <c r="S195" s="30" t="inlineStr">
        <is>
          <t>20 of 20</t>
        </is>
      </c>
      <c r="T195" s="31" t="inlineStr">
        <is>
          <t>Complexity: Evidence reads like B2: Runs all technical aspects of a bank XBRL reporting product: requirements,.NET development, delivery, client support → moved down 1
Autonomy: Evidence reads like B2: Decides application enhancements; coordinates a nine-person team; leads client discussions → moved down 1
Accountability: Evidence reads like B2: Accountable …</t>
        </is>
      </c>
      <c r="U195" s="31" t="inlineStr">
        <is>
          <t>Received · manager annual, quarterly, self · 1. Identify and develop AI-driven functionalities. At least 2 · fully developed New AI Features to be released with the year. Encourage the AI adoption in the team to improve Software development business efficiency and operational effectiveness.
2. Successfully launch iDEAL 6.0 with enhanced functionality and …</t>
        </is>
      </c>
      <c r="V195" s="31" t="inlineStr">
        <is>
          <t>Latest rating: 4 · 9-box: Not placed · manager · Readiness: Ready in 6–12 months</t>
        </is>
      </c>
      <c r="W195" s="31" t="inlineStr">
        <is>
          <t>C M · Au M · Ac M · L L · BI M · Exp H · 16.6 yrs vs 9–14 yrs · Edu M · MCA</t>
        </is>
      </c>
      <c r="X195" s="33" t="inlineStr">
        <is>
          <t>Open ▸</t>
        </is>
      </c>
      <c r="Y195" s="34" t="str">
        <f>IFERROR(INDEX(DL_C,MATCH($CA195,DL_KEY,0)),"M")</f>
        <v>H</v>
      </c>
      <c r="Z195" s="35" t="str">
        <f>IFERROR(INDEX(DL_Au,MATCH($CA195,DL_KEY,0)),"M")</f>
        <v>M</v>
      </c>
      <c r="AA195" s="35" t="str">
        <f>IFERROR(INDEX(DL_Ac,MATCH($CA195,DL_KEY,0)),"M")</f>
        <v>L</v>
      </c>
      <c r="AB195" s="35" t="str">
        <f>IFERROR(INDEX(DL_L,MATCH($CA195,DL_KEY,0)),"M")</f>
        <v>M</v>
      </c>
      <c r="AC195" s="35" t="str">
        <f>IFERROR(INDEX(DL_BI,MATCH($CA195,DL_KEY,0)),"M")</f>
        <v>L</v>
      </c>
      <c r="AD195" s="35" t="str">
        <f>IFERROR(INDEX(DL_Exp,MATCH($CA195,DL_KEY,0)),"M")</f>
        <v>L</v>
      </c>
      <c r="AE195" s="35" t="str">
        <f>IFERROR(INDEX(DL_Edu,MATCH($CA195,DL_KEY,0)),"M")</f>
        <v>L</v>
      </c>
      <c r="AF195" s="34" t="inlineStr">
        <is>
          <t>M</t>
        </is>
      </c>
      <c r="AG195" s="35" t="inlineStr">
        <is>
          <t>M</t>
        </is>
      </c>
      <c r="AH195" s="35" t="inlineStr">
        <is>
          <t>M</t>
        </is>
      </c>
      <c r="AI195" s="35" t="inlineStr">
        <is>
          <t>M</t>
        </is>
      </c>
      <c r="AJ195" s="35" t="inlineStr">
        <is>
          <t>M</t>
        </is>
      </c>
      <c r="AK195" s="35" t="inlineStr">
        <is>
          <t>M</t>
        </is>
      </c>
      <c r="AL195" s="35" t="inlineStr">
        <is>
          <t>M</t>
        </is>
      </c>
      <c r="AM195" s="36" t="n">
        <v>0.44</v>
      </c>
      <c r="AN195" s="37" t="n">
        <v>0.177</v>
      </c>
      <c r="AO195" s="37" t="n">
        <v>0.103</v>
      </c>
      <c r="AP195" s="37" t="n">
        <v>0.1</v>
      </c>
      <c r="AQ195" s="37" t="n">
        <v>0.077</v>
      </c>
      <c r="AR195" s="37" t="n">
        <v>0.06</v>
      </c>
      <c r="AS195" s="37" t="n">
        <v>0.04</v>
      </c>
      <c r="AT195" s="38" t="inlineStr">
        <is>
          <t>9–14</t>
        </is>
      </c>
      <c r="AU195" s="38" t="inlineStr">
        <is>
          <t>Postgraduate or professional qualification preferred</t>
        </is>
      </c>
      <c r="AV195" s="38" t="inlineStr">
        <is>
          <t>3–6 direct reports with ≥ 40% of time on own delivery · McKinsey player/coach 3–5; Google Tech Lead Manager</t>
        </is>
      </c>
      <c r="AW195" s="38" t="inlineStr">
        <is>
          <t>P5–P6 / M4–M5 · SFIA 5 Ensure, advise</t>
        </is>
      </c>
      <c r="AX19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95" s="39" t="inlineStr">
        <is>
          <t>B+</t>
        </is>
      </c>
      <c r="AZ195" s="40" t="inlineStr">
        <is>
          <t>B+ · Player-Coach · Practice Lead · Player-Coach</t>
        </is>
      </c>
      <c r="BA195" s="40" t="inlineStr">
        <is>
          <t>Model B+ from the six ratings, the market-derived weights and rules R1–R13 · then No change · already below the manager</t>
        </is>
      </c>
      <c r="BB195" s="41" t="inlineStr">
        <is>
          <t>B3</t>
        </is>
      </c>
      <c r="BC195" s="40" t="inlineStr">
        <is>
          <t>The six ratings on the market-average weights of B+ · Player-Coach score 6.25 → B3 · Hay, Mercer IPE and public plans · experience 16.6 yrs vs the B3 market range 8–13</t>
        </is>
      </c>
      <c r="BD195" s="42">
        <f>IF(SUM(BM195,BN195,BO195,BP195,BQ195,BR195,BS195)=0,0,(BM195*BT195+BN195*BU195+BO195*BV195+BP195*BW195+BQ195*BX195+BR195*BY195+BS195*BZ195)/SUM(BM195,BN195,BO195,BP195,BQ195,BR195,BS195))</f>
        <v>0</v>
      </c>
      <c r="BE195" s="41" t="str">
        <f>IF(LEFT(AY195,1)="X",AY195,IF(OR(AY195="B+",AY195="C+"),INDEX(LAD_PC,MAX(1,MIN(14,MATCH(AY195,LAD_PC,0)+IF(BD195&gt;=0.5,1,IF(BD195&lt;=-0.5,-1,0))))),INDEX(LAD_STD,MAX(1,MIN(12,MATCH(AY195,LAD_STD,0)+IF(BD195&gt;=0.5,1,IF(BD195&lt;=-0.5,-1,0)))))))</f>
        <v>B+</v>
      </c>
      <c r="BF195" s="43" t="n"/>
      <c r="BG195" s="41" t="str">
        <f>IF(BF195&lt;&gt;"",BF195,BE195)</f>
        <v>B+</v>
      </c>
      <c r="BH195" s="40" t="str">
        <f>IFERROR(CHOOSE(INDEX(B_RANK,MATCH(BG195,B_LVL,0)),"Band A","Band B","B+ · Player-Coach","Band C","C+ · Player-Coach","Band D","Band E"),"Band X · Consultant")</f>
        <v>B+ · Player-Coach</v>
      </c>
      <c r="BI195" s="40" t="str">
        <f>IF(BG195=AY195,"• Same",IF(INDEX(B_VAL,MATCH(BG195,B_LVL,0))&gt;INDEX(B_VAL,MATCH(AY195,B_LVL,0)),"▲ Up","▼ Down"))</f>
        <v>• Same</v>
      </c>
      <c r="BJ195" s="40" t="str">
        <f>IF(OR($M195="",$M195="—",$M195="Not in this file"),"",IFERROR(INDEX($BG$7:$BG$592,MATCH($M195,$D$7:$D$592,0)),""))</f>
        <v>C2</v>
      </c>
      <c r="BK195" s="40" t="str">
        <f>IFERROR(IF(BJ195="","—",IF(OR(LEFT(BG195,1)="X",LEFT(BJ195,1)="X"),"—",IF(AND(LEFT(BG195,1)="E",LEFT(BJ195,1)="E"),"Exception · Band E",IF(AND(INDEX(B_VAL,MATCH(BJ195,B_LVL,0))&gt;=7,INDEX(B_RANK,MATCH(BG195,B_LVL,0))&gt;=INDEX(B_RANK,MATCH(BJ195,B_LVL,0))),"⚠ Same band as a head manager",IF(INDEX(B_VAL,MATCH(BG195,B_LVL,0))&gt;=INDEX(B_VAL,MATCH(BJ195,B_LVL,0)),"⚠ At or above the manager's level","OK"))))),"—")</f>
        <v>OK</v>
      </c>
      <c r="BL195" s="43" t="n"/>
      <c r="BM195" s="44">
        <f>IFERROR(INDEX(LMH_PTS,MATCH(Y195,LMH_KEY,0)),0)</f>
        <v>9</v>
      </c>
      <c r="BN195" s="38">
        <f>IFERROR(INDEX(LMH_PTS,MATCH(Z195,LMH_KEY,0)),0)</f>
        <v>3</v>
      </c>
      <c r="BO195" s="38">
        <f>IFERROR(INDEX(LMH_PTS,MATCH(AA195,LMH_KEY,0)),0)</f>
        <v>1</v>
      </c>
      <c r="BP195" s="38">
        <f>IFERROR(INDEX(LMH_PTS,MATCH(AB195,LMH_KEY,0)),0)</f>
        <v>3</v>
      </c>
      <c r="BQ195" s="38">
        <f>IFERROR(INDEX(LMH_PTS,MATCH(AC195,LMH_KEY,0)),0)</f>
        <v>1</v>
      </c>
      <c r="BR195" s="38">
        <f>IFERROR(INDEX(LMH_PTS,MATCH(AD195,LMH_KEY,0)),0)</f>
        <v>1</v>
      </c>
      <c r="BS195" s="38">
        <f>IFERROR(INDEX(LMH_PTS,MATCH(AE195,LMH_KEY,0)),0)</f>
        <v>1</v>
      </c>
      <c r="BT195" s="38">
        <f>IFERROR(INDEX(LMH_STEP,MATCH(AF195,LMH_KEY,0)),0)</f>
        <v>0</v>
      </c>
      <c r="BU195" s="38">
        <f>IFERROR(INDEX(LMH_STEP,MATCH(AG195,LMH_KEY,0)),0)</f>
        <v>0</v>
      </c>
      <c r="BV195" s="38">
        <f>IFERROR(INDEX(LMH_STEP,MATCH(AH195,LMH_KEY,0)),0)</f>
        <v>0</v>
      </c>
      <c r="BW195" s="38">
        <f>IFERROR(INDEX(LMH_STEP,MATCH(AI195,LMH_KEY,0)),0)</f>
        <v>0</v>
      </c>
      <c r="BX195" s="38">
        <f>IFERROR(INDEX(LMH_STEP,MATCH(AJ195,LMH_KEY,0)),0)</f>
        <v>0</v>
      </c>
      <c r="BY195" s="38">
        <f>IFERROR(INDEX(LMH_STEP,MATCH(AK195,LMH_KEY,0)),0)</f>
        <v>0</v>
      </c>
      <c r="BZ195" s="38">
        <f>IFERROR(INDEX(LMH_STEP,MATCH(AL195,LMH_KEY,0)),0)</f>
        <v>0</v>
      </c>
      <c r="CA195" s="38" t="inlineStr">
        <is>
          <t>iDEAL|Technology|Practice Lead – Solution &amp; Technical Architecture · Player-Coach|B+|B+</t>
        </is>
      </c>
    </row>
    <row r="196" ht="110" customHeight="1">
      <c r="A196" s="28" t="inlineStr">
        <is>
          <t>iDEAL</t>
        </is>
      </c>
      <c r="B196" s="29" t="inlineStr">
        <is>
          <t>Technology</t>
        </is>
      </c>
      <c r="C196" s="29" t="n">
        <v>4</v>
      </c>
      <c r="D196" s="29" t="inlineStr">
        <is>
          <t>IRIS1809</t>
        </is>
      </c>
      <c r="E196" s="29" t="inlineStr">
        <is>
          <t>Jignasha Sawla</t>
        </is>
      </c>
      <c r="F196" s="29" t="inlineStr">
        <is>
          <t>Database Lead</t>
        </is>
      </c>
      <c r="G196" s="29" t="inlineStr">
        <is>
          <t>Database Specialist – POD Lead</t>
        </is>
      </c>
      <c r="H196" s="29" t="inlineStr">
        <is>
          <t>Engineering &amp; Development</t>
        </is>
      </c>
      <c r="I196" s="29" t="inlineStr">
        <is>
          <t>Data Engineering &amp; Database Development</t>
        </is>
      </c>
      <c r="J196" s="29" t="inlineStr">
        <is>
          <t>POD Lead</t>
        </is>
      </c>
      <c r="K196" s="29" t="inlineStr">
        <is>
          <t>RC-075</t>
        </is>
      </c>
      <c r="L196" s="29" t="inlineStr">
        <is>
          <t>Jitendra Kumar</t>
        </is>
      </c>
      <c r="M196" s="29" t="inlineStr">
        <is>
          <t>IRIS0810</t>
        </is>
      </c>
      <c r="N196" s="29" t="n">
        <v>17</v>
      </c>
      <c r="O196" s="29" t="n">
        <v>7</v>
      </c>
      <c r="P196" s="29" t="inlineStr">
        <is>
          <t>B.E</t>
        </is>
      </c>
      <c r="Q196" s="29" t="inlineStr">
        <is>
          <t>L5 – Lead · IC</t>
        </is>
      </c>
      <c r="R196" s="29" t="inlineStr">
        <is>
          <t>B1</t>
        </is>
      </c>
      <c r="S196" s="30" t="inlineStr">
        <is>
          <t>20 of 20</t>
        </is>
      </c>
      <c r="T196" s="31" t="inlineStr">
        <is>
          <t>Complexity: Evidence reads like A3: Database development of procedures and functions, ETL tools, resolves production database issues → moved down 0.5
Autonomy: Evidence reads like A3: Independently decides how to resolve database issues → moved down 0.5
Accountability: Evidence reads like A3: Accountable for any database issues, including out-of-hours …</t>
        </is>
      </c>
      <c r="U196" s="31" t="inlineStr">
        <is>
          <t>Received · manager annual, quarterly, self · 1. Deliver end-to-end database development and project deliverables with high quality, timely execution, and adherence to business requirements.
2. Lead technical execution, coordinate with stakeholders, and mentor team members to ensure successful project delivery and knowledge sharing.
3. Ensure application …</t>
        </is>
      </c>
      <c r="V196" s="31" t="inlineStr">
        <is>
          <t>Latest rating: 2 · Potential: Low · 9-box: Performance Risk · Readiness: Performance first</t>
        </is>
      </c>
      <c r="W196" s="31" t="inlineStr">
        <is>
          <t>C M · Au M · Ac M · L L · BI M · Exp H · 17 yrs vs 4–7 yrs · Edu M · B.E</t>
        </is>
      </c>
      <c r="X196" s="33" t="inlineStr">
        <is>
          <t>Open ▸</t>
        </is>
      </c>
      <c r="Y196" s="34" t="str">
        <f>IFERROR(INDEX(DL_C,MATCH($CA196,DL_KEY,0)),"M")</f>
        <v>H</v>
      </c>
      <c r="Z196" s="35" t="str">
        <f>IFERROR(INDEX(DL_Au,MATCH($CA196,DL_KEY,0)),"M")</f>
        <v>M</v>
      </c>
      <c r="AA196" s="35" t="str">
        <f>IFERROR(INDEX(DL_Ac,MATCH($CA196,DL_KEY,0)),"M")</f>
        <v>L</v>
      </c>
      <c r="AB196" s="35" t="str">
        <f>IFERROR(INDEX(DL_L,MATCH($CA196,DL_KEY,0)),"M")</f>
        <v>L</v>
      </c>
      <c r="AC196" s="35" t="str">
        <f>IFERROR(INDEX(DL_BI,MATCH($CA196,DL_KEY,0)),"M")</f>
        <v>L</v>
      </c>
      <c r="AD196" s="35" t="str">
        <f>IFERROR(INDEX(DL_Exp,MATCH($CA196,DL_KEY,0)),"M")</f>
        <v>L</v>
      </c>
      <c r="AE196" s="35" t="str">
        <f>IFERROR(INDEX(DL_Edu,MATCH($CA196,DL_KEY,0)),"M")</f>
        <v>L</v>
      </c>
      <c r="AF196" s="34" t="inlineStr">
        <is>
          <t>M</t>
        </is>
      </c>
      <c r="AG196" s="35" t="inlineStr">
        <is>
          <t>M</t>
        </is>
      </c>
      <c r="AH196" s="35" t="inlineStr">
        <is>
          <t>M</t>
        </is>
      </c>
      <c r="AI196" s="35" t="inlineStr">
        <is>
          <t>M</t>
        </is>
      </c>
      <c r="AJ196" s="35" t="inlineStr">
        <is>
          <t>M</t>
        </is>
      </c>
      <c r="AK196" s="35" t="inlineStr">
        <is>
          <t>M</t>
        </is>
      </c>
      <c r="AL196" s="35" t="inlineStr">
        <is>
          <t>M</t>
        </is>
      </c>
      <c r="AM196" s="36" t="n">
        <v>0.513</v>
      </c>
      <c r="AN196" s="37" t="n">
        <v>0.173</v>
      </c>
      <c r="AO196" s="37" t="n">
        <v>0.09699999999999999</v>
      </c>
      <c r="AP196" s="37" t="n">
        <v>0.05</v>
      </c>
      <c r="AQ196" s="37" t="n">
        <v>0.07000000000000001</v>
      </c>
      <c r="AR196" s="37" t="n">
        <v>0.06</v>
      </c>
      <c r="AS196" s="37" t="n">
        <v>0.04</v>
      </c>
      <c r="AT196" s="38" t="inlineStr">
        <is>
          <t>4–8</t>
        </is>
      </c>
      <c r="AU196" s="38" t="inlineStr">
        <is>
          <t>Graduate + relevant qualification or certification preferred</t>
        </is>
      </c>
      <c r="AV196" s="38" t="inlineStr">
        <is>
          <t>IC: none · Team Lead: 3–5</t>
        </is>
      </c>
      <c r="AW196" s="38" t="inlineStr">
        <is>
          <t>P3 / M2 · SFIA 4 Enable</t>
        </is>
      </c>
      <c r="AX19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96" s="39" t="inlineStr">
        <is>
          <t>B1</t>
        </is>
      </c>
      <c r="AZ196" s="40" t="inlineStr">
        <is>
          <t>Band B · Specialist / Manager · Team Lead / Asst Manager</t>
        </is>
      </c>
      <c r="BA196" s="40" t="inlineStr">
        <is>
          <t>Model B1 from the six ratings, the market-derived weights and rules R1–R13 · then No change · already below the manager</t>
        </is>
      </c>
      <c r="BB196" s="41" t="inlineStr">
        <is>
          <t>B1</t>
        </is>
      </c>
      <c r="BC196" s="40" t="inlineStr">
        <is>
          <t>The six ratings on the market-average weights of Band B · Specialist / POD Lead score 4.06 → B1 · Hay, Mercer IPE and public plans · experience 17 yrs vs the B1 market range 4–8</t>
        </is>
      </c>
      <c r="BD196" s="42">
        <f>IF(SUM(BM196,BN196,BO196,BP196,BQ196,BR196,BS196)=0,0,(BM196*BT196+BN196*BU196+BO196*BV196+BP196*BW196+BQ196*BX196+BR196*BY196+BS196*BZ196)/SUM(BM196,BN196,BO196,BP196,BQ196,BR196,BS196))</f>
        <v>0</v>
      </c>
      <c r="BE196" s="41" t="str">
        <f>IF(LEFT(AY196,1)="X",AY196,IF(OR(AY196="B+",AY196="C+"),INDEX(LAD_PC,MAX(1,MIN(14,MATCH(AY196,LAD_PC,0)+IF(BD196&gt;=0.5,1,IF(BD196&lt;=-0.5,-1,0))))),INDEX(LAD_STD,MAX(1,MIN(12,MATCH(AY196,LAD_STD,0)+IF(BD196&gt;=0.5,1,IF(BD196&lt;=-0.5,-1,0)))))))</f>
        <v>B1</v>
      </c>
      <c r="BF196" s="43" t="n"/>
      <c r="BG196" s="41" t="str">
        <f>IF(BF196&lt;&gt;"",BF196,BE196)</f>
        <v>B1</v>
      </c>
      <c r="BH196" s="40" t="str">
        <f>IFERROR(CHOOSE(INDEX(B_RANK,MATCH(BG196,B_LVL,0)),"Band A","Band B","B+ · Player-Coach","Band C","C+ · Player-Coach","Band D","Band E"),"Band X · Consultant")</f>
        <v>Band B</v>
      </c>
      <c r="BI196" s="40" t="str">
        <f>IF(BG196=AY196,"• Same",IF(INDEX(B_VAL,MATCH(BG196,B_LVL,0))&gt;INDEX(B_VAL,MATCH(AY196,B_LVL,0)),"▲ Up","▼ Down"))</f>
        <v>• Same</v>
      </c>
      <c r="BJ196" s="40" t="str">
        <f>IF(OR($M196="",$M196="—",$M196="Not in this file"),"",IFERROR(INDEX($BG$7:$BG$592,MATCH($M196,$D$7:$D$592,0)),""))</f>
        <v>B+</v>
      </c>
      <c r="BK196" s="40" t="str">
        <f>IFERROR(IF(BJ196="","—",IF(OR(LEFT(BG196,1)="X",LEFT(BJ196,1)="X"),"—",IF(AND(LEFT(BG196,1)="E",LEFT(BJ196,1)="E"),"Exception · Band E",IF(AND(INDEX(B_VAL,MATCH(BJ196,B_LVL,0))&gt;=7,INDEX(B_RANK,MATCH(BG196,B_LVL,0))&gt;=INDEX(B_RANK,MATCH(BJ196,B_LVL,0))),"⚠ Same band as a head manager",IF(INDEX(B_VAL,MATCH(BG196,B_LVL,0))&gt;=INDEX(B_VAL,MATCH(BJ196,B_LVL,0)),"⚠ At or above the manager's level","OK"))))),"—")</f>
        <v>OK</v>
      </c>
      <c r="BL196" s="43" t="n"/>
      <c r="BM196" s="44">
        <f>IFERROR(INDEX(LMH_PTS,MATCH(Y196,LMH_KEY,0)),0)</f>
        <v>9</v>
      </c>
      <c r="BN196" s="38">
        <f>IFERROR(INDEX(LMH_PTS,MATCH(Z196,LMH_KEY,0)),0)</f>
        <v>3</v>
      </c>
      <c r="BO196" s="38">
        <f>IFERROR(INDEX(LMH_PTS,MATCH(AA196,LMH_KEY,0)),0)</f>
        <v>1</v>
      </c>
      <c r="BP196" s="38">
        <f>IFERROR(INDEX(LMH_PTS,MATCH(AB196,LMH_KEY,0)),0)</f>
        <v>1</v>
      </c>
      <c r="BQ196" s="38">
        <f>IFERROR(INDEX(LMH_PTS,MATCH(AC196,LMH_KEY,0)),0)</f>
        <v>1</v>
      </c>
      <c r="BR196" s="38">
        <f>IFERROR(INDEX(LMH_PTS,MATCH(AD196,LMH_KEY,0)),0)</f>
        <v>1</v>
      </c>
      <c r="BS196" s="38">
        <f>IFERROR(INDEX(LMH_PTS,MATCH(AE196,LMH_KEY,0)),0)</f>
        <v>1</v>
      </c>
      <c r="BT196" s="38">
        <f>IFERROR(INDEX(LMH_STEP,MATCH(AF196,LMH_KEY,0)),0)</f>
        <v>0</v>
      </c>
      <c r="BU196" s="38">
        <f>IFERROR(INDEX(LMH_STEP,MATCH(AG196,LMH_KEY,0)),0)</f>
        <v>0</v>
      </c>
      <c r="BV196" s="38">
        <f>IFERROR(INDEX(LMH_STEP,MATCH(AH196,LMH_KEY,0)),0)</f>
        <v>0</v>
      </c>
      <c r="BW196" s="38">
        <f>IFERROR(INDEX(LMH_STEP,MATCH(AI196,LMH_KEY,0)),0)</f>
        <v>0</v>
      </c>
      <c r="BX196" s="38">
        <f>IFERROR(INDEX(LMH_STEP,MATCH(AJ196,LMH_KEY,0)),0)</f>
        <v>0</v>
      </c>
      <c r="BY196" s="38">
        <f>IFERROR(INDEX(LMH_STEP,MATCH(AK196,LMH_KEY,0)),0)</f>
        <v>0</v>
      </c>
      <c r="BZ196" s="38">
        <f>IFERROR(INDEX(LMH_STEP,MATCH(AL196,LMH_KEY,0)),0)</f>
        <v>0</v>
      </c>
      <c r="CA196" s="38" t="inlineStr">
        <is>
          <t>iDEAL|Technology|Database Specialist – POD Lead|B1|B-IC</t>
        </is>
      </c>
    </row>
    <row r="197" ht="110" customHeight="1">
      <c r="A197" s="28" t="inlineStr">
        <is>
          <t>iDEAL</t>
        </is>
      </c>
      <c r="B197" s="29" t="inlineStr">
        <is>
          <t>Technology</t>
        </is>
      </c>
      <c r="C197" s="29" t="n">
        <v>5</v>
      </c>
      <c r="D197" s="29" t="inlineStr">
        <is>
          <t>IRIS1858</t>
        </is>
      </c>
      <c r="E197" s="29" t="inlineStr">
        <is>
          <t>Prasad Bhoite</t>
        </is>
      </c>
      <c r="F197" s="29" t="inlineStr">
        <is>
          <t>Software Engineer</t>
        </is>
      </c>
      <c r="G197" s="29" t="inlineStr">
        <is>
          <t>Senior Database Engineer</t>
        </is>
      </c>
      <c r="H197" s="29" t="inlineStr">
        <is>
          <t>Engineering &amp; Development</t>
        </is>
      </c>
      <c r="I197" s="29" t="inlineStr">
        <is>
          <t>Data Engineering &amp; Database Development</t>
        </is>
      </c>
      <c r="J197" s="29" t="inlineStr">
        <is>
          <t>IC</t>
        </is>
      </c>
      <c r="K197" s="29" t="inlineStr">
        <is>
          <t>RC-074</t>
        </is>
      </c>
      <c r="L197" s="29" t="inlineStr">
        <is>
          <t>Jignasha Sawla</t>
        </is>
      </c>
      <c r="M197" s="29" t="inlineStr">
        <is>
          <t>IRIS1809</t>
        </is>
      </c>
      <c r="N197" s="29" t="n">
        <v>6.9</v>
      </c>
      <c r="O197" s="29" t="n">
        <v>6.3</v>
      </c>
      <c r="P197" s="29" t="inlineStr">
        <is>
          <t>BCA</t>
        </is>
      </c>
      <c r="Q197" s="29" t="inlineStr">
        <is>
          <t>L3 – Professional / Associate</t>
        </is>
      </c>
      <c r="R197" s="29" t="inlineStr">
        <is>
          <t>A3</t>
        </is>
      </c>
      <c r="S197" s="30" t="inlineStr">
        <is>
          <t>20 of 20</t>
        </is>
      </c>
      <c r="T197" s="31" t="inlineStr">
        <is>
          <t>Complexity: Evidence reads like A3: Data models, stored procedures, query optimisation, performance monitoring and production issue support → moved up 0.5
Autonomy: Evidence reads like A2: own survey / KRA answers · summarised by the rater; not quoted → matches the start
Accountability: Evidence reads like A3: Data integrity and database performance; errors …</t>
        </is>
      </c>
      <c r="U197" s="31" t="inlineStr">
        <is>
          <t>Received · manager annual, quarterly, self · 1.Ensure timely and high-quality delivery of database development tasks across Oracle and SQL Server
2.Ensure continuous skill development in advanced database technologies and tools within the team
3.Promote best practices in database development, code quality, and performance optimization
4. Learn ETL tools like …</t>
        </is>
      </c>
      <c r="V197" s="31" t="inlineStr">
        <is>
          <t>Latest rating: 3 · Potential: Medium · 9-box: Emerging Talent · Readiness: Develop in role</t>
        </is>
      </c>
      <c r="W197" s="31" t="inlineStr">
        <is>
          <t>C M · Au L · Ac M · L L · BI M · Exp H · 6.9 yrs vs 2–4 yrs · Edu M · BCA</t>
        </is>
      </c>
      <c r="X197" s="33" t="inlineStr">
        <is>
          <t>Open ▸</t>
        </is>
      </c>
      <c r="Y197" s="34" t="str">
        <f>IFERROR(INDEX(DL_C,MATCH($CA197,DL_KEY,0)),"M")</f>
        <v>H</v>
      </c>
      <c r="Z197" s="35" t="str">
        <f>IFERROR(INDEX(DL_Au,MATCH($CA197,DL_KEY,0)),"M")</f>
        <v>M</v>
      </c>
      <c r="AA197" s="35" t="str">
        <f>IFERROR(INDEX(DL_Ac,MATCH($CA197,DL_KEY,0)),"M")</f>
        <v>L</v>
      </c>
      <c r="AB197" s="35" t="str">
        <f>IFERROR(INDEX(DL_L,MATCH($CA197,DL_KEY,0)),"M")</f>
        <v>L</v>
      </c>
      <c r="AC197" s="35" t="str">
        <f>IFERROR(INDEX(DL_BI,MATCH($CA197,DL_KEY,0)),"M")</f>
        <v>L</v>
      </c>
      <c r="AD197" s="35" t="str">
        <f>IFERROR(INDEX(DL_Exp,MATCH($CA197,DL_KEY,0)),"M")</f>
        <v>L</v>
      </c>
      <c r="AE197" s="35" t="str">
        <f>IFERROR(INDEX(DL_Edu,MATCH($CA197,DL_KEY,0)),"M")</f>
        <v>L</v>
      </c>
      <c r="AF197" s="34" t="inlineStr">
        <is>
          <t>M</t>
        </is>
      </c>
      <c r="AG197" s="35" t="inlineStr">
        <is>
          <t>M</t>
        </is>
      </c>
      <c r="AH197" s="35" t="inlineStr">
        <is>
          <t>M</t>
        </is>
      </c>
      <c r="AI197" s="35" t="inlineStr">
        <is>
          <t>M</t>
        </is>
      </c>
      <c r="AJ197" s="35" t="inlineStr">
        <is>
          <t>M</t>
        </is>
      </c>
      <c r="AK197" s="35" t="inlineStr">
        <is>
          <t>M</t>
        </is>
      </c>
      <c r="AL197" s="35" t="inlineStr">
        <is>
          <t>M</t>
        </is>
      </c>
      <c r="AM197" s="36" t="n">
        <v>0.583</v>
      </c>
      <c r="AN197" s="37" t="n">
        <v>0.16</v>
      </c>
      <c r="AO197" s="37" t="n">
        <v>0.09</v>
      </c>
      <c r="AP197" s="37" t="n">
        <v>0</v>
      </c>
      <c r="AQ197" s="37" t="n">
        <v>0.063</v>
      </c>
      <c r="AR197" s="37" t="n">
        <v>0.06</v>
      </c>
      <c r="AS197" s="37" t="n">
        <v>0.04</v>
      </c>
      <c r="AT197" s="38" t="inlineStr">
        <is>
          <t>2–5</t>
        </is>
      </c>
      <c r="AU197" s="38" t="inlineStr">
        <is>
          <t>Graduate; relevant certification preferred</t>
        </is>
      </c>
      <c r="AV197" s="38" t="inlineStr">
        <is>
          <t>None · guides 1–3 juniors informally</t>
        </is>
      </c>
      <c r="AW197" s="38" t="inlineStr">
        <is>
          <t>P2 · SFIA 3 Apply</t>
        </is>
      </c>
      <c r="AX19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97" s="39" t="inlineStr">
        <is>
          <t>A3</t>
        </is>
      </c>
      <c r="AZ197" s="40" t="inlineStr">
        <is>
          <t>Band A · Practitioner · Senior Associate</t>
        </is>
      </c>
      <c r="BA197" s="40" t="inlineStr">
        <is>
          <t>Model A3 from the six ratings, the market-derived weights and rules R1–R13 · then No change · already below the manager</t>
        </is>
      </c>
      <c r="BB197" s="41" t="inlineStr">
        <is>
          <t>A3</t>
        </is>
      </c>
      <c r="BC197" s="40" t="inlineStr">
        <is>
          <t>The six ratings on the market-average weights of Band A · all tracks score 2.65 → A3 · Hay, Mercer IPE and public plans · experience 6.9 yrs vs the A3 market range 2–5</t>
        </is>
      </c>
      <c r="BD197" s="42">
        <f>IF(SUM(BM197,BN197,BO197,BP197,BQ197,BR197,BS197)=0,0,(BM197*BT197+BN197*BU197+BO197*BV197+BP197*BW197+BQ197*BX197+BR197*BY197+BS197*BZ197)/SUM(BM197,BN197,BO197,BP197,BQ197,BR197,BS197))</f>
        <v>0</v>
      </c>
      <c r="BE197" s="41" t="str">
        <f>IF(LEFT(AY197,1)="X",AY197,IF(OR(AY197="B+",AY197="C+"),INDEX(LAD_PC,MAX(1,MIN(14,MATCH(AY197,LAD_PC,0)+IF(BD197&gt;=0.5,1,IF(BD197&lt;=-0.5,-1,0))))),INDEX(LAD_STD,MAX(1,MIN(12,MATCH(AY197,LAD_STD,0)+IF(BD197&gt;=0.5,1,IF(BD197&lt;=-0.5,-1,0)))))))</f>
        <v>A3</v>
      </c>
      <c r="BF197" s="43" t="n"/>
      <c r="BG197" s="41" t="str">
        <f>IF(BF197&lt;&gt;"",BF197,BE197)</f>
        <v>A3</v>
      </c>
      <c r="BH197" s="40" t="str">
        <f>IFERROR(CHOOSE(INDEX(B_RANK,MATCH(BG197,B_LVL,0)),"Band A","Band B","B+ · Player-Coach","Band C","C+ · Player-Coach","Band D","Band E"),"Band X · Consultant")</f>
        <v>Band A</v>
      </c>
      <c r="BI197" s="40" t="str">
        <f>IF(BG197=AY197,"• Same",IF(INDEX(B_VAL,MATCH(BG197,B_LVL,0))&gt;INDEX(B_VAL,MATCH(AY197,B_LVL,0)),"▲ Up","▼ Down"))</f>
        <v>• Same</v>
      </c>
      <c r="BJ197" s="40" t="str">
        <f>IF(OR($M197="",$M197="—",$M197="Not in this file"),"",IFERROR(INDEX($BG$7:$BG$592,MATCH($M197,$D$7:$D$592,0)),""))</f>
        <v>B1</v>
      </c>
      <c r="BK197" s="40" t="str">
        <f>IFERROR(IF(BJ197="","—",IF(OR(LEFT(BG197,1)="X",LEFT(BJ197,1)="X"),"—",IF(AND(LEFT(BG197,1)="E",LEFT(BJ197,1)="E"),"Exception · Band E",IF(AND(INDEX(B_VAL,MATCH(BJ197,B_LVL,0))&gt;=7,INDEX(B_RANK,MATCH(BG197,B_LVL,0))&gt;=INDEX(B_RANK,MATCH(BJ197,B_LVL,0))),"⚠ Same band as a head manager",IF(INDEX(B_VAL,MATCH(BG197,B_LVL,0))&gt;=INDEX(B_VAL,MATCH(BJ197,B_LVL,0)),"⚠ At or above the manager's level","OK"))))),"—")</f>
        <v>OK</v>
      </c>
      <c r="BL197" s="43" t="n"/>
      <c r="BM197" s="44">
        <f>IFERROR(INDEX(LMH_PTS,MATCH(Y197,LMH_KEY,0)),0)</f>
        <v>9</v>
      </c>
      <c r="BN197" s="38">
        <f>IFERROR(INDEX(LMH_PTS,MATCH(Z197,LMH_KEY,0)),0)</f>
        <v>3</v>
      </c>
      <c r="BO197" s="38">
        <f>IFERROR(INDEX(LMH_PTS,MATCH(AA197,LMH_KEY,0)),0)</f>
        <v>1</v>
      </c>
      <c r="BP197" s="38">
        <f>IFERROR(INDEX(LMH_PTS,MATCH(AB197,LMH_KEY,0)),0)</f>
        <v>1</v>
      </c>
      <c r="BQ197" s="38">
        <f>IFERROR(INDEX(LMH_PTS,MATCH(AC197,LMH_KEY,0)),0)</f>
        <v>1</v>
      </c>
      <c r="BR197" s="38">
        <f>IFERROR(INDEX(LMH_PTS,MATCH(AD197,LMH_KEY,0)),0)</f>
        <v>1</v>
      </c>
      <c r="BS197" s="38">
        <f>IFERROR(INDEX(LMH_PTS,MATCH(AE197,LMH_KEY,0)),0)</f>
        <v>1</v>
      </c>
      <c r="BT197" s="38">
        <f>IFERROR(INDEX(LMH_STEP,MATCH(AF197,LMH_KEY,0)),0)</f>
        <v>0</v>
      </c>
      <c r="BU197" s="38">
        <f>IFERROR(INDEX(LMH_STEP,MATCH(AG197,LMH_KEY,0)),0)</f>
        <v>0</v>
      </c>
      <c r="BV197" s="38">
        <f>IFERROR(INDEX(LMH_STEP,MATCH(AH197,LMH_KEY,0)),0)</f>
        <v>0</v>
      </c>
      <c r="BW197" s="38">
        <f>IFERROR(INDEX(LMH_STEP,MATCH(AI197,LMH_KEY,0)),0)</f>
        <v>0</v>
      </c>
      <c r="BX197" s="38">
        <f>IFERROR(INDEX(LMH_STEP,MATCH(AJ197,LMH_KEY,0)),0)</f>
        <v>0</v>
      </c>
      <c r="BY197" s="38">
        <f>IFERROR(INDEX(LMH_STEP,MATCH(AK197,LMH_KEY,0)),0)</f>
        <v>0</v>
      </c>
      <c r="BZ197" s="38">
        <f>IFERROR(INDEX(LMH_STEP,MATCH(AL197,LMH_KEY,0)),0)</f>
        <v>0</v>
      </c>
      <c r="CA197" s="38" t="inlineStr">
        <is>
          <t>iDEAL|Technology|Senior Database Engineer|A3|A</t>
        </is>
      </c>
    </row>
    <row r="198" ht="110" customHeight="1">
      <c r="A198" s="28" t="inlineStr">
        <is>
          <t>iDEAL</t>
        </is>
      </c>
      <c r="B198" s="29" t="inlineStr">
        <is>
          <t>Technology</t>
        </is>
      </c>
      <c r="C198" s="29" t="n">
        <v>4</v>
      </c>
      <c r="D198" s="29" t="inlineStr">
        <is>
          <t>IRIS2052</t>
        </is>
      </c>
      <c r="E198" s="29" t="inlineStr">
        <is>
          <t>Akshata Sabale</t>
        </is>
      </c>
      <c r="F198" s="29" t="inlineStr">
        <is>
          <t>Software Engineer</t>
        </is>
      </c>
      <c r="G198" s="29" t="inlineStr">
        <is>
          <t>Senior Software Engineer</t>
        </is>
      </c>
      <c r="H198" s="29" t="inlineStr">
        <is>
          <t>Engineering &amp; Development</t>
        </is>
      </c>
      <c r="I198" s="29" t="inlineStr">
        <is>
          <t>Backend Development</t>
        </is>
      </c>
      <c r="J198" s="29" t="inlineStr">
        <is>
          <t>IC</t>
        </is>
      </c>
      <c r="K198" s="29" t="inlineStr">
        <is>
          <t>RC-067</t>
        </is>
      </c>
      <c r="L198" s="29" t="inlineStr">
        <is>
          <t>Jitendra Kumar</t>
        </is>
      </c>
      <c r="M198" s="29" t="inlineStr">
        <is>
          <t>IRIS0810</t>
        </is>
      </c>
      <c r="N198" s="29" t="n">
        <v>5.1</v>
      </c>
      <c r="O198" s="29" t="n">
        <v>4.1</v>
      </c>
      <c r="P198" s="29" t="inlineStr">
        <is>
          <t>B.E</t>
        </is>
      </c>
      <c r="Q198" s="29" t="inlineStr">
        <is>
          <t>L3 – Professional / Associate</t>
        </is>
      </c>
      <c r="R198" s="29" t="inlineStr">
        <is>
          <t>A3</t>
        </is>
      </c>
      <c r="S198" s="30" t="inlineStr">
        <is>
          <t>20 of 20</t>
        </is>
      </c>
      <c r="T198" s="31" t="inlineStr">
        <is>
          <t>Complexity: Evidence reads like A3: New features, bug fixes, code review, live-issue debugging, report development, unit testing on RPT application → moved up 0.5
Autonomy: Evidence reads like A2: Only 'code implementation' given as independent decision → matches the start
Accountability: Evidence reads like A3: Code he ships to production; breakage means …</t>
        </is>
      </c>
      <c r="U198" s="31" t="inlineStr">
        <is>
          <t>Received · manager annual, quarterly, self · 1. AI-Assisted Development Adoption: Use AI coding assistants for at least 60% of development tasks , with no increase in bug-escape rate.
2. ownership: Take complete ownership of the iDEAL RPT ensuring timely delivery of client requirements, production support, and continuous improvements.
3. Test Coverage: Achieve …</t>
        </is>
      </c>
      <c r="V198" s="31" t="inlineStr">
        <is>
          <t>Latest rating: 3 · Potential: Medium · 9-box: Core Contributor · Readiness: Develop in role</t>
        </is>
      </c>
      <c r="W198" s="31" t="inlineStr">
        <is>
          <t>C M · Au L · Ac M · L L · BI M · Exp H · 5.1 yrs vs 2–4 yrs · Edu M · B.E</t>
        </is>
      </c>
      <c r="X198" s="33" t="inlineStr">
        <is>
          <t>Open ▸</t>
        </is>
      </c>
      <c r="Y198" s="34" t="str">
        <f>IFERROR(INDEX(DL_C,MATCH($CA198,DL_KEY,0)),"M")</f>
        <v>H</v>
      </c>
      <c r="Z198" s="35" t="str">
        <f>IFERROR(INDEX(DL_Au,MATCH($CA198,DL_KEY,0)),"M")</f>
        <v>M</v>
      </c>
      <c r="AA198" s="35" t="str">
        <f>IFERROR(INDEX(DL_Ac,MATCH($CA198,DL_KEY,0)),"M")</f>
        <v>L</v>
      </c>
      <c r="AB198" s="35" t="str">
        <f>IFERROR(INDEX(DL_L,MATCH($CA198,DL_KEY,0)),"M")</f>
        <v>L</v>
      </c>
      <c r="AC198" s="35" t="str">
        <f>IFERROR(INDEX(DL_BI,MATCH($CA198,DL_KEY,0)),"M")</f>
        <v>L</v>
      </c>
      <c r="AD198" s="35" t="str">
        <f>IFERROR(INDEX(DL_Exp,MATCH($CA198,DL_KEY,0)),"M")</f>
        <v>L</v>
      </c>
      <c r="AE198" s="35" t="str">
        <f>IFERROR(INDEX(DL_Edu,MATCH($CA198,DL_KEY,0)),"M")</f>
        <v>L</v>
      </c>
      <c r="AF198" s="34" t="inlineStr">
        <is>
          <t>M</t>
        </is>
      </c>
      <c r="AG198" s="35" t="inlineStr">
        <is>
          <t>M</t>
        </is>
      </c>
      <c r="AH198" s="35" t="inlineStr">
        <is>
          <t>M</t>
        </is>
      </c>
      <c r="AI198" s="35" t="inlineStr">
        <is>
          <t>M</t>
        </is>
      </c>
      <c r="AJ198" s="35" t="inlineStr">
        <is>
          <t>M</t>
        </is>
      </c>
      <c r="AK198" s="35" t="inlineStr">
        <is>
          <t>M</t>
        </is>
      </c>
      <c r="AL198" s="35" t="inlineStr">
        <is>
          <t>M</t>
        </is>
      </c>
      <c r="AM198" s="36" t="n">
        <v>0.583</v>
      </c>
      <c r="AN198" s="37" t="n">
        <v>0.16</v>
      </c>
      <c r="AO198" s="37" t="n">
        <v>0.09</v>
      </c>
      <c r="AP198" s="37" t="n">
        <v>0</v>
      </c>
      <c r="AQ198" s="37" t="n">
        <v>0.063</v>
      </c>
      <c r="AR198" s="37" t="n">
        <v>0.06</v>
      </c>
      <c r="AS198" s="37" t="n">
        <v>0.04</v>
      </c>
      <c r="AT198" s="38" t="inlineStr">
        <is>
          <t>2–5</t>
        </is>
      </c>
      <c r="AU198" s="38" t="inlineStr">
        <is>
          <t>Graduate; relevant certification preferred</t>
        </is>
      </c>
      <c r="AV198" s="38" t="inlineStr">
        <is>
          <t>None · guides 1–3 juniors informally</t>
        </is>
      </c>
      <c r="AW198" s="38" t="inlineStr">
        <is>
          <t>P2 · SFIA 3 Apply</t>
        </is>
      </c>
      <c r="AX19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98" s="39" t="inlineStr">
        <is>
          <t>A3</t>
        </is>
      </c>
      <c r="AZ198" s="40" t="inlineStr">
        <is>
          <t>Band A · Practitioner · Senior Associate</t>
        </is>
      </c>
      <c r="BA198" s="40" t="inlineStr">
        <is>
          <t>Model A3 from the six ratings, the market-derived weights and rules R1–R13 · then No change · already below the manager</t>
        </is>
      </c>
      <c r="BB198" s="41" t="inlineStr">
        <is>
          <t>A3</t>
        </is>
      </c>
      <c r="BC198" s="40" t="inlineStr">
        <is>
          <t>The six ratings on the market-average weights of Band A · all tracks score 2.57 → A3 · Hay, Mercer IPE and public plans · experience 5.1 yrs vs the A3 market range 2–5</t>
        </is>
      </c>
      <c r="BD198" s="42">
        <f>IF(SUM(BM198,BN198,BO198,BP198,BQ198,BR198,BS198)=0,0,(BM198*BT198+BN198*BU198+BO198*BV198+BP198*BW198+BQ198*BX198+BR198*BY198+BS198*BZ198)/SUM(BM198,BN198,BO198,BP198,BQ198,BR198,BS198))</f>
        <v>0</v>
      </c>
      <c r="BE198" s="41" t="str">
        <f>IF(LEFT(AY198,1)="X",AY198,IF(OR(AY198="B+",AY198="C+"),INDEX(LAD_PC,MAX(1,MIN(14,MATCH(AY198,LAD_PC,0)+IF(BD198&gt;=0.5,1,IF(BD198&lt;=-0.5,-1,0))))),INDEX(LAD_STD,MAX(1,MIN(12,MATCH(AY198,LAD_STD,0)+IF(BD198&gt;=0.5,1,IF(BD198&lt;=-0.5,-1,0)))))))</f>
        <v>A3</v>
      </c>
      <c r="BF198" s="43" t="n"/>
      <c r="BG198" s="41" t="str">
        <f>IF(BF198&lt;&gt;"",BF198,BE198)</f>
        <v>A3</v>
      </c>
      <c r="BH198" s="40" t="str">
        <f>IFERROR(CHOOSE(INDEX(B_RANK,MATCH(BG198,B_LVL,0)),"Band A","Band B","B+ · Player-Coach","Band C","C+ · Player-Coach","Band D","Band E"),"Band X · Consultant")</f>
        <v>Band A</v>
      </c>
      <c r="BI198" s="40" t="str">
        <f>IF(BG198=AY198,"• Same",IF(INDEX(B_VAL,MATCH(BG198,B_LVL,0))&gt;INDEX(B_VAL,MATCH(AY198,B_LVL,0)),"▲ Up","▼ Down"))</f>
        <v>• Same</v>
      </c>
      <c r="BJ198" s="40" t="str">
        <f>IF(OR($M198="",$M198="—",$M198="Not in this file"),"",IFERROR(INDEX($BG$7:$BG$592,MATCH($M198,$D$7:$D$592,0)),""))</f>
        <v>B+</v>
      </c>
      <c r="BK198" s="40" t="str">
        <f>IFERROR(IF(BJ198="","—",IF(OR(LEFT(BG198,1)="X",LEFT(BJ198,1)="X"),"—",IF(AND(LEFT(BG198,1)="E",LEFT(BJ198,1)="E"),"Exception · Band E",IF(AND(INDEX(B_VAL,MATCH(BJ198,B_LVL,0))&gt;=7,INDEX(B_RANK,MATCH(BG198,B_LVL,0))&gt;=INDEX(B_RANK,MATCH(BJ198,B_LVL,0))),"⚠ Same band as a head manager",IF(INDEX(B_VAL,MATCH(BG198,B_LVL,0))&gt;=INDEX(B_VAL,MATCH(BJ198,B_LVL,0)),"⚠ At or above the manager's level","OK"))))),"—")</f>
        <v>OK</v>
      </c>
      <c r="BL198" s="43" t="n"/>
      <c r="BM198" s="44">
        <f>IFERROR(INDEX(LMH_PTS,MATCH(Y198,LMH_KEY,0)),0)</f>
        <v>9</v>
      </c>
      <c r="BN198" s="38">
        <f>IFERROR(INDEX(LMH_PTS,MATCH(Z198,LMH_KEY,0)),0)</f>
        <v>3</v>
      </c>
      <c r="BO198" s="38">
        <f>IFERROR(INDEX(LMH_PTS,MATCH(AA198,LMH_KEY,0)),0)</f>
        <v>1</v>
      </c>
      <c r="BP198" s="38">
        <f>IFERROR(INDEX(LMH_PTS,MATCH(AB198,LMH_KEY,0)),0)</f>
        <v>1</v>
      </c>
      <c r="BQ198" s="38">
        <f>IFERROR(INDEX(LMH_PTS,MATCH(AC198,LMH_KEY,0)),0)</f>
        <v>1</v>
      </c>
      <c r="BR198" s="38">
        <f>IFERROR(INDEX(LMH_PTS,MATCH(AD198,LMH_KEY,0)),0)</f>
        <v>1</v>
      </c>
      <c r="BS198" s="38">
        <f>IFERROR(INDEX(LMH_PTS,MATCH(AE198,LMH_KEY,0)),0)</f>
        <v>1</v>
      </c>
      <c r="BT198" s="38">
        <f>IFERROR(INDEX(LMH_STEP,MATCH(AF198,LMH_KEY,0)),0)</f>
        <v>0</v>
      </c>
      <c r="BU198" s="38">
        <f>IFERROR(INDEX(LMH_STEP,MATCH(AG198,LMH_KEY,0)),0)</f>
        <v>0</v>
      </c>
      <c r="BV198" s="38">
        <f>IFERROR(INDEX(LMH_STEP,MATCH(AH198,LMH_KEY,0)),0)</f>
        <v>0</v>
      </c>
      <c r="BW198" s="38">
        <f>IFERROR(INDEX(LMH_STEP,MATCH(AI198,LMH_KEY,0)),0)</f>
        <v>0</v>
      </c>
      <c r="BX198" s="38">
        <f>IFERROR(INDEX(LMH_STEP,MATCH(AJ198,LMH_KEY,0)),0)</f>
        <v>0</v>
      </c>
      <c r="BY198" s="38">
        <f>IFERROR(INDEX(LMH_STEP,MATCH(AK198,LMH_KEY,0)),0)</f>
        <v>0</v>
      </c>
      <c r="BZ198" s="38">
        <f>IFERROR(INDEX(LMH_STEP,MATCH(AL198,LMH_KEY,0)),0)</f>
        <v>0</v>
      </c>
      <c r="CA198" s="38" t="inlineStr">
        <is>
          <t>iDEAL|Technology|Senior Software Engineer|A3|A</t>
        </is>
      </c>
    </row>
    <row r="199" ht="110" customHeight="1">
      <c r="A199" s="28" t="inlineStr">
        <is>
          <t>iDEAL</t>
        </is>
      </c>
      <c r="B199" s="29" t="inlineStr">
        <is>
          <t>Technology</t>
        </is>
      </c>
      <c r="C199" s="29" t="n">
        <v>4</v>
      </c>
      <c r="D199" s="29" t="inlineStr">
        <is>
          <t>IRIS1922</t>
        </is>
      </c>
      <c r="E199" s="29" t="inlineStr">
        <is>
          <t>H Marenna</t>
        </is>
      </c>
      <c r="F199" s="29" t="inlineStr">
        <is>
          <t>Senior Software Engineer</t>
        </is>
      </c>
      <c r="G199" s="29" t="inlineStr">
        <is>
          <t>Senior Database Engineer</t>
        </is>
      </c>
      <c r="H199" s="29" t="inlineStr">
        <is>
          <t>Engineering &amp; Development</t>
        </is>
      </c>
      <c r="I199" s="29" t="inlineStr">
        <is>
          <t>Data Engineering &amp; Database Development</t>
        </is>
      </c>
      <c r="J199" s="29" t="inlineStr">
        <is>
          <t>IC</t>
        </is>
      </c>
      <c r="K199" s="29" t="inlineStr">
        <is>
          <t>RC-074</t>
        </is>
      </c>
      <c r="L199" s="29" t="inlineStr">
        <is>
          <t>Jitendra Kumar</t>
        </is>
      </c>
      <c r="M199" s="29" t="inlineStr">
        <is>
          <t>IRIS0810</t>
        </is>
      </c>
      <c r="N199" s="29" t="n">
        <v>9.199999999999999</v>
      </c>
      <c r="O199" s="29" t="n">
        <v>5.2</v>
      </c>
      <c r="P199" s="29" t="inlineStr">
        <is>
          <t>B.Tech</t>
        </is>
      </c>
      <c r="Q199" s="29" t="inlineStr">
        <is>
          <t>L4 – Senior</t>
        </is>
      </c>
      <c r="R199" s="29" t="inlineStr">
        <is>
          <t>A3</t>
        </is>
      </c>
      <c r="S199" s="30" t="inlineStr">
        <is>
          <t>20 of 20</t>
        </is>
      </c>
      <c r="T199" s="31" t="inlineStr">
        <is>
          <t>Complexity: Evidence reads like A2: Database / ETL issue resolution on assigned work; no harder cases described → moved down 0.5
Autonomy: Evidence reads like A2: Only says troubleshooting issues is done independently → moved down 0.5
Accountability: Evidence reads like A2: own survey / KRA answers · summarised by the rater; not quoted → moved down …</t>
        </is>
      </c>
      <c r="U199" s="31" t="inlineStr">
        <is>
          <t>Received · manager annual, quarterly, self · 1.Promote best practices in database development, code quality, and performance optimization.
2.Drive team capability in handling database tasks independently with minimal supervision
3.Ensure timely and high-quality delivery of database development tasks across Oracle and SQL Server
4. Learn ETL tools like Apache Hop …</t>
        </is>
      </c>
      <c r="V199" s="31" t="inlineStr">
        <is>
          <t>Latest rating: 2 · Potential: Low · 9-box: Reliable Specialist · Readiness: Performance first</t>
        </is>
      </c>
      <c r="W199" s="31" t="inlineStr">
        <is>
          <t>C M · Au M · Ac M · L L · BI M · Exp H · 9.2 yrs vs 2–4 yrs · Edu M · B.Tech</t>
        </is>
      </c>
      <c r="X199" s="33" t="inlineStr">
        <is>
          <t>Open ▸</t>
        </is>
      </c>
      <c r="Y199" s="34" t="str">
        <f>IFERROR(INDEX(DL_C,MATCH($CA199,DL_KEY,0)),"M")</f>
        <v>H</v>
      </c>
      <c r="Z199" s="35" t="str">
        <f>IFERROR(INDEX(DL_Au,MATCH($CA199,DL_KEY,0)),"M")</f>
        <v>M</v>
      </c>
      <c r="AA199" s="35" t="str">
        <f>IFERROR(INDEX(DL_Ac,MATCH($CA199,DL_KEY,0)),"M")</f>
        <v>L</v>
      </c>
      <c r="AB199" s="35" t="str">
        <f>IFERROR(INDEX(DL_L,MATCH($CA199,DL_KEY,0)),"M")</f>
        <v>L</v>
      </c>
      <c r="AC199" s="35" t="str">
        <f>IFERROR(INDEX(DL_BI,MATCH($CA199,DL_KEY,0)),"M")</f>
        <v>L</v>
      </c>
      <c r="AD199" s="35" t="str">
        <f>IFERROR(INDEX(DL_Exp,MATCH($CA199,DL_KEY,0)),"M")</f>
        <v>L</v>
      </c>
      <c r="AE199" s="35" t="str">
        <f>IFERROR(INDEX(DL_Edu,MATCH($CA199,DL_KEY,0)),"M")</f>
        <v>L</v>
      </c>
      <c r="AF199" s="34" t="inlineStr">
        <is>
          <t>M</t>
        </is>
      </c>
      <c r="AG199" s="35" t="inlineStr">
        <is>
          <t>M</t>
        </is>
      </c>
      <c r="AH199" s="35" t="inlineStr">
        <is>
          <t>M</t>
        </is>
      </c>
      <c r="AI199" s="35" t="inlineStr">
        <is>
          <t>M</t>
        </is>
      </c>
      <c r="AJ199" s="35" t="inlineStr">
        <is>
          <t>M</t>
        </is>
      </c>
      <c r="AK199" s="35" t="inlineStr">
        <is>
          <t>M</t>
        </is>
      </c>
      <c r="AL199" s="35" t="inlineStr">
        <is>
          <t>M</t>
        </is>
      </c>
      <c r="AM199" s="36" t="n">
        <v>0.583</v>
      </c>
      <c r="AN199" s="37" t="n">
        <v>0.16</v>
      </c>
      <c r="AO199" s="37" t="n">
        <v>0.09</v>
      </c>
      <c r="AP199" s="37" t="n">
        <v>0</v>
      </c>
      <c r="AQ199" s="37" t="n">
        <v>0.063</v>
      </c>
      <c r="AR199" s="37" t="n">
        <v>0.06</v>
      </c>
      <c r="AS199" s="37" t="n">
        <v>0.04</v>
      </c>
      <c r="AT199" s="38" t="inlineStr">
        <is>
          <t>2–5</t>
        </is>
      </c>
      <c r="AU199" s="38" t="inlineStr">
        <is>
          <t>Graduate; relevant certification preferred</t>
        </is>
      </c>
      <c r="AV199" s="38" t="inlineStr">
        <is>
          <t>None · guides 1–3 juniors informally</t>
        </is>
      </c>
      <c r="AW199" s="38" t="inlineStr">
        <is>
          <t>P2 · SFIA 3 Apply</t>
        </is>
      </c>
      <c r="AX19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199" s="39" t="inlineStr">
        <is>
          <t>A3</t>
        </is>
      </c>
      <c r="AZ199" s="40" t="inlineStr">
        <is>
          <t>Band A · Practitioner · Senior Associate</t>
        </is>
      </c>
      <c r="BA199" s="40" t="inlineStr">
        <is>
          <t>Model A3 from the six ratings, the market-derived weights and rules R1–R13 · then No change · already below the manager</t>
        </is>
      </c>
      <c r="BB199" s="41" t="inlineStr">
        <is>
          <t>A3</t>
        </is>
      </c>
      <c r="BC199" s="40" t="inlineStr">
        <is>
          <t>The six ratings on the market-average weights of Band A · all tracks score 2.80 → A3 · Hay, Mercer IPE and public plans · experience 9.2 yrs vs the A3 market range 2–5</t>
        </is>
      </c>
      <c r="BD199" s="42">
        <f>IF(SUM(BM199,BN199,BO199,BP199,BQ199,BR199,BS199)=0,0,(BM199*BT199+BN199*BU199+BO199*BV199+BP199*BW199+BQ199*BX199+BR199*BY199+BS199*BZ199)/SUM(BM199,BN199,BO199,BP199,BQ199,BR199,BS199))</f>
        <v>0</v>
      </c>
      <c r="BE199" s="41" t="str">
        <f>IF(LEFT(AY199,1)="X",AY199,IF(OR(AY199="B+",AY199="C+"),INDEX(LAD_PC,MAX(1,MIN(14,MATCH(AY199,LAD_PC,0)+IF(BD199&gt;=0.5,1,IF(BD199&lt;=-0.5,-1,0))))),INDEX(LAD_STD,MAX(1,MIN(12,MATCH(AY199,LAD_STD,0)+IF(BD199&gt;=0.5,1,IF(BD199&lt;=-0.5,-1,0)))))))</f>
        <v>A3</v>
      </c>
      <c r="BF199" s="43" t="n"/>
      <c r="BG199" s="41" t="str">
        <f>IF(BF199&lt;&gt;"",BF199,BE199)</f>
        <v>A3</v>
      </c>
      <c r="BH199" s="40" t="str">
        <f>IFERROR(CHOOSE(INDEX(B_RANK,MATCH(BG199,B_LVL,0)),"Band A","Band B","B+ · Player-Coach","Band C","C+ · Player-Coach","Band D","Band E"),"Band X · Consultant")</f>
        <v>Band A</v>
      </c>
      <c r="BI199" s="40" t="str">
        <f>IF(BG199=AY199,"• Same",IF(INDEX(B_VAL,MATCH(BG199,B_LVL,0))&gt;INDEX(B_VAL,MATCH(AY199,B_LVL,0)),"▲ Up","▼ Down"))</f>
        <v>• Same</v>
      </c>
      <c r="BJ199" s="40" t="str">
        <f>IF(OR($M199="",$M199="—",$M199="Not in this file"),"",IFERROR(INDEX($BG$7:$BG$592,MATCH($M199,$D$7:$D$592,0)),""))</f>
        <v>B+</v>
      </c>
      <c r="BK199" s="40" t="str">
        <f>IFERROR(IF(BJ199="","—",IF(OR(LEFT(BG199,1)="X",LEFT(BJ199,1)="X"),"—",IF(AND(LEFT(BG199,1)="E",LEFT(BJ199,1)="E"),"Exception · Band E",IF(AND(INDEX(B_VAL,MATCH(BJ199,B_LVL,0))&gt;=7,INDEX(B_RANK,MATCH(BG199,B_LVL,0))&gt;=INDEX(B_RANK,MATCH(BJ199,B_LVL,0))),"⚠ Same band as a head manager",IF(INDEX(B_VAL,MATCH(BG199,B_LVL,0))&gt;=INDEX(B_VAL,MATCH(BJ199,B_LVL,0)),"⚠ At or above the manager's level","OK"))))),"—")</f>
        <v>OK</v>
      </c>
      <c r="BL199" s="43" t="n"/>
      <c r="BM199" s="44">
        <f>IFERROR(INDEX(LMH_PTS,MATCH(Y199,LMH_KEY,0)),0)</f>
        <v>9</v>
      </c>
      <c r="BN199" s="38">
        <f>IFERROR(INDEX(LMH_PTS,MATCH(Z199,LMH_KEY,0)),0)</f>
        <v>3</v>
      </c>
      <c r="BO199" s="38">
        <f>IFERROR(INDEX(LMH_PTS,MATCH(AA199,LMH_KEY,0)),0)</f>
        <v>1</v>
      </c>
      <c r="BP199" s="38">
        <f>IFERROR(INDEX(LMH_PTS,MATCH(AB199,LMH_KEY,0)),0)</f>
        <v>1</v>
      </c>
      <c r="BQ199" s="38">
        <f>IFERROR(INDEX(LMH_PTS,MATCH(AC199,LMH_KEY,0)),0)</f>
        <v>1</v>
      </c>
      <c r="BR199" s="38">
        <f>IFERROR(INDEX(LMH_PTS,MATCH(AD199,LMH_KEY,0)),0)</f>
        <v>1</v>
      </c>
      <c r="BS199" s="38">
        <f>IFERROR(INDEX(LMH_PTS,MATCH(AE199,LMH_KEY,0)),0)</f>
        <v>1</v>
      </c>
      <c r="BT199" s="38">
        <f>IFERROR(INDEX(LMH_STEP,MATCH(AF199,LMH_KEY,0)),0)</f>
        <v>0</v>
      </c>
      <c r="BU199" s="38">
        <f>IFERROR(INDEX(LMH_STEP,MATCH(AG199,LMH_KEY,0)),0)</f>
        <v>0</v>
      </c>
      <c r="BV199" s="38">
        <f>IFERROR(INDEX(LMH_STEP,MATCH(AH199,LMH_KEY,0)),0)</f>
        <v>0</v>
      </c>
      <c r="BW199" s="38">
        <f>IFERROR(INDEX(LMH_STEP,MATCH(AI199,LMH_KEY,0)),0)</f>
        <v>0</v>
      </c>
      <c r="BX199" s="38">
        <f>IFERROR(INDEX(LMH_STEP,MATCH(AJ199,LMH_KEY,0)),0)</f>
        <v>0</v>
      </c>
      <c r="BY199" s="38">
        <f>IFERROR(INDEX(LMH_STEP,MATCH(AK199,LMH_KEY,0)),0)</f>
        <v>0</v>
      </c>
      <c r="BZ199" s="38">
        <f>IFERROR(INDEX(LMH_STEP,MATCH(AL199,LMH_KEY,0)),0)</f>
        <v>0</v>
      </c>
      <c r="CA199" s="38" t="inlineStr">
        <is>
          <t>iDEAL|Technology|Senior Database Engineer|A3|A</t>
        </is>
      </c>
    </row>
    <row r="200" ht="110" customHeight="1">
      <c r="A200" s="28" t="inlineStr">
        <is>
          <t>iDEAL</t>
        </is>
      </c>
      <c r="B200" s="29" t="inlineStr">
        <is>
          <t>Technology</t>
        </is>
      </c>
      <c r="C200" s="29" t="n">
        <v>4</v>
      </c>
      <c r="D200" s="29" t="inlineStr">
        <is>
          <t>IRIS2530</t>
        </is>
      </c>
      <c r="E200" s="29" t="inlineStr">
        <is>
          <t>Jay Gudhka</t>
        </is>
      </c>
      <c r="F200" s="29" t="inlineStr">
        <is>
          <t>Senior Software Engineer</t>
        </is>
      </c>
      <c r="G200" s="29" t="inlineStr">
        <is>
          <t>Technical Specialist</t>
        </is>
      </c>
      <c r="H200" s="29" t="inlineStr">
        <is>
          <t>Engineering &amp; Development</t>
        </is>
      </c>
      <c r="I200" s="29" t="inlineStr">
        <is>
          <t>Full-Stack Development</t>
        </is>
      </c>
      <c r="J200" s="29" t="inlineStr">
        <is>
          <t>IC</t>
        </is>
      </c>
      <c r="K200" s="29" t="inlineStr">
        <is>
          <t>RC-085</t>
        </is>
      </c>
      <c r="L200" s="29" t="inlineStr">
        <is>
          <t>Jitendra Kumar</t>
        </is>
      </c>
      <c r="M200" s="29" t="inlineStr">
        <is>
          <t>IRIS0810</t>
        </is>
      </c>
      <c r="N200" s="29" t="n">
        <v>7.2</v>
      </c>
      <c r="O200" s="29" t="n">
        <v>0.4</v>
      </c>
      <c r="P200" s="29" t="inlineStr">
        <is>
          <t>B.E</t>
        </is>
      </c>
      <c r="Q200" s="29" t="inlineStr">
        <is>
          <t>L4 – Senior</t>
        </is>
      </c>
      <c r="R200" s="29" t="inlineStr">
        <is>
          <t>A3</t>
        </is>
      </c>
      <c r="S200" s="30" t="inlineStr">
        <is>
          <t>20 of 20</t>
        </is>
      </c>
      <c r="T200" s="31" t="inlineStr">
        <is>
          <t>Complexity: Evidence reads like B1: Full-stack development, API design and RAG/LLM integration with no established internal process → moved up 0.5
Autonomy: Evidence reads like A3: Makes the tech and design choices on what is built → matches the start
Accountability: Evidence reads like A3: own survey / KRA answers · summarised by the rater; not quoted → …</t>
        </is>
      </c>
      <c r="U200" s="31" t="inlineStr">
        <is>
          <t>Received · manager annual, quarterly, self · 1.	AI Feature Architecture: Design and lead implementation of at least 1 AI-powered feature in the application · e.g. auto Mapping, from architecture through production rollout.
2.	Mentorship in AI Practices: Train team members on effective AI-assisted coding practices, with measurable improvement in team's AI tool …</t>
        </is>
      </c>
      <c r="V200" s="31" t="inlineStr">
        <is>
          <t>Latest rating: 3 · Potential: Medium · 9-box: Emerging Talent · Readiness: Develop in role</t>
        </is>
      </c>
      <c r="W200" s="31" t="inlineStr">
        <is>
          <t>C M · Au M · Ac M · L M · BI M · Exp H · 7.2 yrs vs 2–4 yrs · Edu M · B.E</t>
        </is>
      </c>
      <c r="X200" s="33" t="inlineStr">
        <is>
          <t>Open ▸</t>
        </is>
      </c>
      <c r="Y200" s="34" t="str">
        <f>IFERROR(INDEX(DL_C,MATCH($CA200,DL_KEY,0)),"M")</f>
        <v>H</v>
      </c>
      <c r="Z200" s="35" t="str">
        <f>IFERROR(INDEX(DL_Au,MATCH($CA200,DL_KEY,0)),"M")</f>
        <v>M</v>
      </c>
      <c r="AA200" s="35" t="str">
        <f>IFERROR(INDEX(DL_Ac,MATCH($CA200,DL_KEY,0)),"M")</f>
        <v>L</v>
      </c>
      <c r="AB200" s="35" t="str">
        <f>IFERROR(INDEX(DL_L,MATCH($CA200,DL_KEY,0)),"M")</f>
        <v>L</v>
      </c>
      <c r="AC200" s="35" t="str">
        <f>IFERROR(INDEX(DL_BI,MATCH($CA200,DL_KEY,0)),"M")</f>
        <v>L</v>
      </c>
      <c r="AD200" s="35" t="str">
        <f>IFERROR(INDEX(DL_Exp,MATCH($CA200,DL_KEY,0)),"M")</f>
        <v>L</v>
      </c>
      <c r="AE200" s="35" t="str">
        <f>IFERROR(INDEX(DL_Edu,MATCH($CA200,DL_KEY,0)),"M")</f>
        <v>L</v>
      </c>
      <c r="AF200" s="34" t="inlineStr">
        <is>
          <t>M</t>
        </is>
      </c>
      <c r="AG200" s="35" t="inlineStr">
        <is>
          <t>M</t>
        </is>
      </c>
      <c r="AH200" s="35" t="inlineStr">
        <is>
          <t>M</t>
        </is>
      </c>
      <c r="AI200" s="35" t="inlineStr">
        <is>
          <t>M</t>
        </is>
      </c>
      <c r="AJ200" s="35" t="inlineStr">
        <is>
          <t>M</t>
        </is>
      </c>
      <c r="AK200" s="35" t="inlineStr">
        <is>
          <t>M</t>
        </is>
      </c>
      <c r="AL200" s="35" t="inlineStr">
        <is>
          <t>M</t>
        </is>
      </c>
      <c r="AM200" s="36" t="n">
        <v>0.583</v>
      </c>
      <c r="AN200" s="37" t="n">
        <v>0.16</v>
      </c>
      <c r="AO200" s="37" t="n">
        <v>0.09</v>
      </c>
      <c r="AP200" s="37" t="n">
        <v>0</v>
      </c>
      <c r="AQ200" s="37" t="n">
        <v>0.063</v>
      </c>
      <c r="AR200" s="37" t="n">
        <v>0.06</v>
      </c>
      <c r="AS200" s="37" t="n">
        <v>0.04</v>
      </c>
      <c r="AT200" s="38" t="inlineStr">
        <is>
          <t>2–5</t>
        </is>
      </c>
      <c r="AU200" s="38" t="inlineStr">
        <is>
          <t>Graduate; relevant certification preferred</t>
        </is>
      </c>
      <c r="AV200" s="38" t="inlineStr">
        <is>
          <t>None · guides 1–3 juniors informally</t>
        </is>
      </c>
      <c r="AW200" s="38" t="inlineStr">
        <is>
          <t>P2 · SFIA 3 Apply</t>
        </is>
      </c>
      <c r="AX20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00" s="39" t="inlineStr">
        <is>
          <t>A3</t>
        </is>
      </c>
      <c r="AZ200" s="40" t="inlineStr">
        <is>
          <t>Band A · Practitioner · Senior Associate</t>
        </is>
      </c>
      <c r="BA200" s="40" t="inlineStr">
        <is>
          <t>Model A3 from the six ratings, the market-derived weights and rules R1–R13 · then No change · already below the manager</t>
        </is>
      </c>
      <c r="BB200" s="41" t="inlineStr">
        <is>
          <t>A3</t>
        </is>
      </c>
      <c r="BC200" s="40" t="inlineStr">
        <is>
          <t>The six ratings on the market-average weights of Band A · all tracks score 3.49 → A3 · Hay, Mercer IPE and public plans · experience 7.2 yrs vs the A3 market range 2–5</t>
        </is>
      </c>
      <c r="BD200" s="42">
        <f>IF(SUM(BM200,BN200,BO200,BP200,BQ200,BR200,BS200)=0,0,(BM200*BT200+BN200*BU200+BO200*BV200+BP200*BW200+BQ200*BX200+BR200*BY200+BS200*BZ200)/SUM(BM200,BN200,BO200,BP200,BQ200,BR200,BS200))</f>
        <v>0</v>
      </c>
      <c r="BE200" s="41" t="str">
        <f>IF(LEFT(AY200,1)="X",AY200,IF(OR(AY200="B+",AY200="C+"),INDEX(LAD_PC,MAX(1,MIN(14,MATCH(AY200,LAD_PC,0)+IF(BD200&gt;=0.5,1,IF(BD200&lt;=-0.5,-1,0))))),INDEX(LAD_STD,MAX(1,MIN(12,MATCH(AY200,LAD_STD,0)+IF(BD200&gt;=0.5,1,IF(BD200&lt;=-0.5,-1,0)))))))</f>
        <v>A3</v>
      </c>
      <c r="BF200" s="43" t="n"/>
      <c r="BG200" s="41" t="str">
        <f>IF(BF200&lt;&gt;"",BF200,BE200)</f>
        <v>A3</v>
      </c>
      <c r="BH200" s="40" t="str">
        <f>IFERROR(CHOOSE(INDEX(B_RANK,MATCH(BG200,B_LVL,0)),"Band A","Band B","B+ · Player-Coach","Band C","C+ · Player-Coach","Band D","Band E"),"Band X · Consultant")</f>
        <v>Band A</v>
      </c>
      <c r="BI200" s="40" t="str">
        <f>IF(BG200=AY200,"• Same",IF(INDEX(B_VAL,MATCH(BG200,B_LVL,0))&gt;INDEX(B_VAL,MATCH(AY200,B_LVL,0)),"▲ Up","▼ Down"))</f>
        <v>• Same</v>
      </c>
      <c r="BJ200" s="40" t="str">
        <f>IF(OR($M200="",$M200="—",$M200="Not in this file"),"",IFERROR(INDEX($BG$7:$BG$592,MATCH($M200,$D$7:$D$592,0)),""))</f>
        <v>B+</v>
      </c>
      <c r="BK200" s="40" t="str">
        <f>IFERROR(IF(BJ200="","—",IF(OR(LEFT(BG200,1)="X",LEFT(BJ200,1)="X"),"—",IF(AND(LEFT(BG200,1)="E",LEFT(BJ200,1)="E"),"Exception · Band E",IF(AND(INDEX(B_VAL,MATCH(BJ200,B_LVL,0))&gt;=7,INDEX(B_RANK,MATCH(BG200,B_LVL,0))&gt;=INDEX(B_RANK,MATCH(BJ200,B_LVL,0))),"⚠ Same band as a head manager",IF(INDEX(B_VAL,MATCH(BG200,B_LVL,0))&gt;=INDEX(B_VAL,MATCH(BJ200,B_LVL,0)),"⚠ At or above the manager's level","OK"))))),"—")</f>
        <v>OK</v>
      </c>
      <c r="BL200" s="43" t="n"/>
      <c r="BM200" s="44">
        <f>IFERROR(INDEX(LMH_PTS,MATCH(Y200,LMH_KEY,0)),0)</f>
        <v>9</v>
      </c>
      <c r="BN200" s="38">
        <f>IFERROR(INDEX(LMH_PTS,MATCH(Z200,LMH_KEY,0)),0)</f>
        <v>3</v>
      </c>
      <c r="BO200" s="38">
        <f>IFERROR(INDEX(LMH_PTS,MATCH(AA200,LMH_KEY,0)),0)</f>
        <v>1</v>
      </c>
      <c r="BP200" s="38">
        <f>IFERROR(INDEX(LMH_PTS,MATCH(AB200,LMH_KEY,0)),0)</f>
        <v>1</v>
      </c>
      <c r="BQ200" s="38">
        <f>IFERROR(INDEX(LMH_PTS,MATCH(AC200,LMH_KEY,0)),0)</f>
        <v>1</v>
      </c>
      <c r="BR200" s="38">
        <f>IFERROR(INDEX(LMH_PTS,MATCH(AD200,LMH_KEY,0)),0)</f>
        <v>1</v>
      </c>
      <c r="BS200" s="38">
        <f>IFERROR(INDEX(LMH_PTS,MATCH(AE200,LMH_KEY,0)),0)</f>
        <v>1</v>
      </c>
      <c r="BT200" s="38">
        <f>IFERROR(INDEX(LMH_STEP,MATCH(AF200,LMH_KEY,0)),0)</f>
        <v>0</v>
      </c>
      <c r="BU200" s="38">
        <f>IFERROR(INDEX(LMH_STEP,MATCH(AG200,LMH_KEY,0)),0)</f>
        <v>0</v>
      </c>
      <c r="BV200" s="38">
        <f>IFERROR(INDEX(LMH_STEP,MATCH(AH200,LMH_KEY,0)),0)</f>
        <v>0</v>
      </c>
      <c r="BW200" s="38">
        <f>IFERROR(INDEX(LMH_STEP,MATCH(AI200,LMH_KEY,0)),0)</f>
        <v>0</v>
      </c>
      <c r="BX200" s="38">
        <f>IFERROR(INDEX(LMH_STEP,MATCH(AJ200,LMH_KEY,0)),0)</f>
        <v>0</v>
      </c>
      <c r="BY200" s="38">
        <f>IFERROR(INDEX(LMH_STEP,MATCH(AK200,LMH_KEY,0)),0)</f>
        <v>0</v>
      </c>
      <c r="BZ200" s="38">
        <f>IFERROR(INDEX(LMH_STEP,MATCH(AL200,LMH_KEY,0)),0)</f>
        <v>0</v>
      </c>
      <c r="CA200" s="38" t="inlineStr">
        <is>
          <t>iDEAL|Technology|Technical Specialist|A3|A</t>
        </is>
      </c>
    </row>
    <row r="201" ht="110" customHeight="1">
      <c r="A201" s="28" t="inlineStr">
        <is>
          <t>iDEAL</t>
        </is>
      </c>
      <c r="B201" s="29" t="inlineStr">
        <is>
          <t>Technology</t>
        </is>
      </c>
      <c r="C201" s="29" t="n">
        <v>4</v>
      </c>
      <c r="D201" s="29" t="inlineStr">
        <is>
          <t>IRIS2260</t>
        </is>
      </c>
      <c r="E201" s="29" t="inlineStr">
        <is>
          <t>Pratik Ekhande</t>
        </is>
      </c>
      <c r="F201" s="29" t="inlineStr">
        <is>
          <t>Software Engineer</t>
        </is>
      </c>
      <c r="G201" s="29" t="inlineStr">
        <is>
          <t>Senior Software Engineer</t>
        </is>
      </c>
      <c r="H201" s="29" t="inlineStr">
        <is>
          <t>Engineering &amp; Development</t>
        </is>
      </c>
      <c r="I201" s="29" t="inlineStr">
        <is>
          <t>Backend Development</t>
        </is>
      </c>
      <c r="J201" s="29" t="inlineStr">
        <is>
          <t>IC</t>
        </is>
      </c>
      <c r="K201" s="29" t="inlineStr">
        <is>
          <t>RC-067</t>
        </is>
      </c>
      <c r="L201" s="29" t="inlineStr">
        <is>
          <t>Jitendra Kumar</t>
        </is>
      </c>
      <c r="M201" s="29" t="inlineStr">
        <is>
          <t>IRIS0810</t>
        </is>
      </c>
      <c r="N201" s="29" t="n">
        <v>2.3</v>
      </c>
      <c r="O201" s="29" t="n">
        <v>2.3</v>
      </c>
      <c r="P201" s="29" t="inlineStr">
        <is>
          <t>B.E</t>
        </is>
      </c>
      <c r="Q201" s="29" t="inlineStr">
        <is>
          <t>L3 – Professional / Associate</t>
        </is>
      </c>
      <c r="R201" s="29" t="inlineStr">
        <is>
          <t>A3</t>
        </is>
      </c>
      <c r="S201" s="30" t="inlineStr">
        <is>
          <t>20 of 20</t>
        </is>
      </c>
      <c r="T201" s="31" t="inlineStr">
        <is>
          <t>Complexity: Evidence reads like A2:.NET Core development from requirements; asks experienced seniors for review → matches the start
Autonomy: Evidence reads like A2: Decides prerequisites / BRD design; relies on senior review → matches the start
Accountability: Evidence reads like A3: Module flow errors produce improper instances and entity filing issues → …</t>
        </is>
      </c>
      <c r="U201" s="31" t="inlineStr">
        <is>
          <t>Received · manager annual, quarterly, self · 1. Feature Delivery: Complete assigned features/stories with 90%+ sprint commitment accuracy .
2. Code Quality: Maintain a bug-escape rate below 5% · bugs found in production vs. total bugs for code shipped to production.
3. Test Coverage: Achieve and maintain 80%+ unit test coverage on all new code contributions.
4. …</t>
        </is>
      </c>
      <c r="V201" s="31" t="inlineStr">
        <is>
          <t>Latest rating: 4 · Potential: High · 9-box: Emerging Talent · Readiness: Ready now</t>
        </is>
      </c>
      <c r="W201" s="31" t="inlineStr">
        <is>
          <t>C L · Au L · Ac M · L L · BI M · Exp M · 2.3 yrs vs 2–4 yrs · Edu M · B.E</t>
        </is>
      </c>
      <c r="X201" s="33" t="inlineStr">
        <is>
          <t>Open ▸</t>
        </is>
      </c>
      <c r="Y201" s="34" t="str">
        <f>IFERROR(INDEX(DL_C,MATCH($CA201,DL_KEY,0)),"M")</f>
        <v>H</v>
      </c>
      <c r="Z201" s="35" t="str">
        <f>IFERROR(INDEX(DL_Au,MATCH($CA201,DL_KEY,0)),"M")</f>
        <v>M</v>
      </c>
      <c r="AA201" s="35" t="str">
        <f>IFERROR(INDEX(DL_Ac,MATCH($CA201,DL_KEY,0)),"M")</f>
        <v>L</v>
      </c>
      <c r="AB201" s="35" t="str">
        <f>IFERROR(INDEX(DL_L,MATCH($CA201,DL_KEY,0)),"M")</f>
        <v>L</v>
      </c>
      <c r="AC201" s="35" t="str">
        <f>IFERROR(INDEX(DL_BI,MATCH($CA201,DL_KEY,0)),"M")</f>
        <v>L</v>
      </c>
      <c r="AD201" s="35" t="str">
        <f>IFERROR(INDEX(DL_Exp,MATCH($CA201,DL_KEY,0)),"M")</f>
        <v>L</v>
      </c>
      <c r="AE201" s="35" t="str">
        <f>IFERROR(INDEX(DL_Edu,MATCH($CA201,DL_KEY,0)),"M")</f>
        <v>L</v>
      </c>
      <c r="AF201" s="34" t="inlineStr">
        <is>
          <t>M</t>
        </is>
      </c>
      <c r="AG201" s="35" t="inlineStr">
        <is>
          <t>M</t>
        </is>
      </c>
      <c r="AH201" s="35" t="inlineStr">
        <is>
          <t>M</t>
        </is>
      </c>
      <c r="AI201" s="35" t="inlineStr">
        <is>
          <t>M</t>
        </is>
      </c>
      <c r="AJ201" s="35" t="inlineStr">
        <is>
          <t>M</t>
        </is>
      </c>
      <c r="AK201" s="35" t="inlineStr">
        <is>
          <t>M</t>
        </is>
      </c>
      <c r="AL201" s="35" t="inlineStr">
        <is>
          <t>M</t>
        </is>
      </c>
      <c r="AM201" s="36" t="n">
        <v>0.583</v>
      </c>
      <c r="AN201" s="37" t="n">
        <v>0.16</v>
      </c>
      <c r="AO201" s="37" t="n">
        <v>0.09</v>
      </c>
      <c r="AP201" s="37" t="n">
        <v>0</v>
      </c>
      <c r="AQ201" s="37" t="n">
        <v>0.063</v>
      </c>
      <c r="AR201" s="37" t="n">
        <v>0.06</v>
      </c>
      <c r="AS201" s="37" t="n">
        <v>0.04</v>
      </c>
      <c r="AT201" s="38" t="inlineStr">
        <is>
          <t>2–5</t>
        </is>
      </c>
      <c r="AU201" s="38" t="inlineStr">
        <is>
          <t>Graduate; relevant certification preferred</t>
        </is>
      </c>
      <c r="AV201" s="38" t="inlineStr">
        <is>
          <t>None · guides 1–3 juniors informally</t>
        </is>
      </c>
      <c r="AW201" s="38" t="inlineStr">
        <is>
          <t>P2 · SFIA 3 Apply</t>
        </is>
      </c>
      <c r="AX20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01" s="39" t="inlineStr">
        <is>
          <t>A3</t>
        </is>
      </c>
      <c r="AZ201" s="40" t="inlineStr">
        <is>
          <t>Band A · Practitioner · Senior Associate</t>
        </is>
      </c>
      <c r="BA201" s="40" t="inlineStr">
        <is>
          <t>Model A3 from the six ratings, the market-derived weights and rules R1–R13 · then No change · already below the manager</t>
        </is>
      </c>
      <c r="BB201" s="41" t="inlineStr">
        <is>
          <t>A2</t>
        </is>
      </c>
      <c r="BC201" s="40" t="inlineStr">
        <is>
          <t>The six ratings on the market-average weights of Band A · all tracks score 2.16 → A2 · Hay, Mercer IPE and public plans · experience 2.3 yrs vs the A2 market range 0–3</t>
        </is>
      </c>
      <c r="BD201" s="42">
        <f>IF(SUM(BM201,BN201,BO201,BP201,BQ201,BR201,BS201)=0,0,(BM201*BT201+BN201*BU201+BO201*BV201+BP201*BW201+BQ201*BX201+BR201*BY201+BS201*BZ201)/SUM(BM201,BN201,BO201,BP201,BQ201,BR201,BS201))</f>
        <v>0</v>
      </c>
      <c r="BE201" s="41" t="str">
        <f>IF(LEFT(AY201,1)="X",AY201,IF(OR(AY201="B+",AY201="C+"),INDEX(LAD_PC,MAX(1,MIN(14,MATCH(AY201,LAD_PC,0)+IF(BD201&gt;=0.5,1,IF(BD201&lt;=-0.5,-1,0))))),INDEX(LAD_STD,MAX(1,MIN(12,MATCH(AY201,LAD_STD,0)+IF(BD201&gt;=0.5,1,IF(BD201&lt;=-0.5,-1,0)))))))</f>
        <v>A3</v>
      </c>
      <c r="BF201" s="43" t="n"/>
      <c r="BG201" s="41" t="str">
        <f>IF(BF201&lt;&gt;"",BF201,BE201)</f>
        <v>A3</v>
      </c>
      <c r="BH201" s="40" t="str">
        <f>IFERROR(CHOOSE(INDEX(B_RANK,MATCH(BG201,B_LVL,0)),"Band A","Band B","B+ · Player-Coach","Band C","C+ · Player-Coach","Band D","Band E"),"Band X · Consultant")</f>
        <v>Band A</v>
      </c>
      <c r="BI201" s="40" t="str">
        <f>IF(BG201=AY201,"• Same",IF(INDEX(B_VAL,MATCH(BG201,B_LVL,0))&gt;INDEX(B_VAL,MATCH(AY201,B_LVL,0)),"▲ Up","▼ Down"))</f>
        <v>• Same</v>
      </c>
      <c r="BJ201" s="40" t="str">
        <f>IF(OR($M201="",$M201="—",$M201="Not in this file"),"",IFERROR(INDEX($BG$7:$BG$592,MATCH($M201,$D$7:$D$592,0)),""))</f>
        <v>B+</v>
      </c>
      <c r="BK201" s="40" t="str">
        <f>IFERROR(IF(BJ201="","—",IF(OR(LEFT(BG201,1)="X",LEFT(BJ201,1)="X"),"—",IF(AND(LEFT(BG201,1)="E",LEFT(BJ201,1)="E"),"Exception · Band E",IF(AND(INDEX(B_VAL,MATCH(BJ201,B_LVL,0))&gt;=7,INDEX(B_RANK,MATCH(BG201,B_LVL,0))&gt;=INDEX(B_RANK,MATCH(BJ201,B_LVL,0))),"⚠ Same band as a head manager",IF(INDEX(B_VAL,MATCH(BG201,B_LVL,0))&gt;=INDEX(B_VAL,MATCH(BJ201,B_LVL,0)),"⚠ At or above the manager's level","OK"))))),"—")</f>
        <v>OK</v>
      </c>
      <c r="BL201" s="43" t="n"/>
      <c r="BM201" s="44">
        <f>IFERROR(INDEX(LMH_PTS,MATCH(Y201,LMH_KEY,0)),0)</f>
        <v>9</v>
      </c>
      <c r="BN201" s="38">
        <f>IFERROR(INDEX(LMH_PTS,MATCH(Z201,LMH_KEY,0)),0)</f>
        <v>3</v>
      </c>
      <c r="BO201" s="38">
        <f>IFERROR(INDEX(LMH_PTS,MATCH(AA201,LMH_KEY,0)),0)</f>
        <v>1</v>
      </c>
      <c r="BP201" s="38">
        <f>IFERROR(INDEX(LMH_PTS,MATCH(AB201,LMH_KEY,0)),0)</f>
        <v>1</v>
      </c>
      <c r="BQ201" s="38">
        <f>IFERROR(INDEX(LMH_PTS,MATCH(AC201,LMH_KEY,0)),0)</f>
        <v>1</v>
      </c>
      <c r="BR201" s="38">
        <f>IFERROR(INDEX(LMH_PTS,MATCH(AD201,LMH_KEY,0)),0)</f>
        <v>1</v>
      </c>
      <c r="BS201" s="38">
        <f>IFERROR(INDEX(LMH_PTS,MATCH(AE201,LMH_KEY,0)),0)</f>
        <v>1</v>
      </c>
      <c r="BT201" s="38">
        <f>IFERROR(INDEX(LMH_STEP,MATCH(AF201,LMH_KEY,0)),0)</f>
        <v>0</v>
      </c>
      <c r="BU201" s="38">
        <f>IFERROR(INDEX(LMH_STEP,MATCH(AG201,LMH_KEY,0)),0)</f>
        <v>0</v>
      </c>
      <c r="BV201" s="38">
        <f>IFERROR(INDEX(LMH_STEP,MATCH(AH201,LMH_KEY,0)),0)</f>
        <v>0</v>
      </c>
      <c r="BW201" s="38">
        <f>IFERROR(INDEX(LMH_STEP,MATCH(AI201,LMH_KEY,0)),0)</f>
        <v>0</v>
      </c>
      <c r="BX201" s="38">
        <f>IFERROR(INDEX(LMH_STEP,MATCH(AJ201,LMH_KEY,0)),0)</f>
        <v>0</v>
      </c>
      <c r="BY201" s="38">
        <f>IFERROR(INDEX(LMH_STEP,MATCH(AK201,LMH_KEY,0)),0)</f>
        <v>0</v>
      </c>
      <c r="BZ201" s="38">
        <f>IFERROR(INDEX(LMH_STEP,MATCH(AL201,LMH_KEY,0)),0)</f>
        <v>0</v>
      </c>
      <c r="CA201" s="38" t="inlineStr">
        <is>
          <t>iDEAL|Technology|Senior Software Engineer|A3|A</t>
        </is>
      </c>
    </row>
    <row r="202" ht="110" customHeight="1">
      <c r="A202" s="28" t="inlineStr">
        <is>
          <t>iDEAL</t>
        </is>
      </c>
      <c r="B202" s="29" t="inlineStr">
        <is>
          <t>Technology</t>
        </is>
      </c>
      <c r="C202" s="29" t="n">
        <v>4</v>
      </c>
      <c r="D202" s="29" t="inlineStr">
        <is>
          <t>IRIS2038</t>
        </is>
      </c>
      <c r="E202" s="29" t="inlineStr">
        <is>
          <t>Swapnil Shirke</t>
        </is>
      </c>
      <c r="F202" s="29" t="inlineStr">
        <is>
          <t>Software Engineer</t>
        </is>
      </c>
      <c r="G202" s="29" t="inlineStr">
        <is>
          <t>Senior Software Engineer</t>
        </is>
      </c>
      <c r="H202" s="29" t="inlineStr">
        <is>
          <t>Engineering &amp; Development</t>
        </is>
      </c>
      <c r="I202" s="29" t="inlineStr">
        <is>
          <t>Backend Development</t>
        </is>
      </c>
      <c r="J202" s="29" t="inlineStr">
        <is>
          <t>IC</t>
        </is>
      </c>
      <c r="K202" s="29" t="inlineStr">
        <is>
          <t>RC-067</t>
        </is>
      </c>
      <c r="L202" s="29" t="inlineStr">
        <is>
          <t>Jitendra Kumar</t>
        </is>
      </c>
      <c r="M202" s="29" t="inlineStr">
        <is>
          <t>IRIS0810</t>
        </is>
      </c>
      <c r="N202" s="29" t="n">
        <v>4.2</v>
      </c>
      <c r="O202" s="29" t="n">
        <v>4.2</v>
      </c>
      <c r="P202" s="29" t="inlineStr">
        <is>
          <t>B.E</t>
        </is>
      </c>
      <c r="Q202" s="29" t="inlineStr">
        <is>
          <t>L3 – Professional / Associate</t>
        </is>
      </c>
      <c r="R202" s="29" t="inlineStr">
        <is>
          <t>A3</t>
        </is>
      </c>
      <c r="S202" s="30" t="inlineStr">
        <is>
          <t>20 of 20</t>
        </is>
      </c>
      <c r="T202" s="31" t="inlineStr">
        <is>
          <t>Business Impact: Moved +0.5: the survey / manager mapping marks it business-critical.</t>
        </is>
      </c>
      <c r="U202" s="31" t="inlineStr">
        <is>
          <t>Received · manager annual, quarterly, self · 1. AI-Assisted Development Adoption: Use AI coding assistants for at least 60% of development tasks , with no increase in bug-escape rate.
2. Test Coverage: Achieve and maintain 80%+ unit test coverage on all new code contributions.
3. Code Reviews: Conduct at least 50 peer code reviews over the year with actionable …</t>
        </is>
      </c>
      <c r="V202" s="31" t="inlineStr">
        <is>
          <t>Latest rating: 5 · Potential: High · 9-box: High Impact / Growth Talent · Readiness: Ready now</t>
        </is>
      </c>
      <c r="W202" s="31" t="inlineStr">
        <is>
          <t>C M · Au M · Ac H · L H · BI H · Exp H · 4.2 yrs vs 2–4 yrs · Edu M · B.E</t>
        </is>
      </c>
      <c r="X202" s="33" t="inlineStr">
        <is>
          <t>Open ▸</t>
        </is>
      </c>
      <c r="Y202" s="34" t="str">
        <f>IFERROR(INDEX(DL_C,MATCH($CA202,DL_KEY,0)),"M")</f>
        <v>H</v>
      </c>
      <c r="Z202" s="35" t="str">
        <f>IFERROR(INDEX(DL_Au,MATCH($CA202,DL_KEY,0)),"M")</f>
        <v>M</v>
      </c>
      <c r="AA202" s="35" t="str">
        <f>IFERROR(INDEX(DL_Ac,MATCH($CA202,DL_KEY,0)),"M")</f>
        <v>L</v>
      </c>
      <c r="AB202" s="35" t="str">
        <f>IFERROR(INDEX(DL_L,MATCH($CA202,DL_KEY,0)),"M")</f>
        <v>L</v>
      </c>
      <c r="AC202" s="35" t="str">
        <f>IFERROR(INDEX(DL_BI,MATCH($CA202,DL_KEY,0)),"M")</f>
        <v>L</v>
      </c>
      <c r="AD202" s="35" t="str">
        <f>IFERROR(INDEX(DL_Exp,MATCH($CA202,DL_KEY,0)),"M")</f>
        <v>L</v>
      </c>
      <c r="AE202" s="35" t="str">
        <f>IFERROR(INDEX(DL_Edu,MATCH($CA202,DL_KEY,0)),"M")</f>
        <v>L</v>
      </c>
      <c r="AF202" s="34" t="inlineStr">
        <is>
          <t>M</t>
        </is>
      </c>
      <c r="AG202" s="35" t="inlineStr">
        <is>
          <t>M</t>
        </is>
      </c>
      <c r="AH202" s="35" t="inlineStr">
        <is>
          <t>M</t>
        </is>
      </c>
      <c r="AI202" s="35" t="inlineStr">
        <is>
          <t>M</t>
        </is>
      </c>
      <c r="AJ202" s="35" t="inlineStr">
        <is>
          <t>M</t>
        </is>
      </c>
      <c r="AK202" s="35" t="inlineStr">
        <is>
          <t>M</t>
        </is>
      </c>
      <c r="AL202" s="35" t="inlineStr">
        <is>
          <t>M</t>
        </is>
      </c>
      <c r="AM202" s="36" t="n">
        <v>0.583</v>
      </c>
      <c r="AN202" s="37" t="n">
        <v>0.16</v>
      </c>
      <c r="AO202" s="37" t="n">
        <v>0.09</v>
      </c>
      <c r="AP202" s="37" t="n">
        <v>0</v>
      </c>
      <c r="AQ202" s="37" t="n">
        <v>0.063</v>
      </c>
      <c r="AR202" s="37" t="n">
        <v>0.06</v>
      </c>
      <c r="AS202" s="37" t="n">
        <v>0.04</v>
      </c>
      <c r="AT202" s="38" t="inlineStr">
        <is>
          <t>2–5</t>
        </is>
      </c>
      <c r="AU202" s="38" t="inlineStr">
        <is>
          <t>Graduate; relevant certification preferred</t>
        </is>
      </c>
      <c r="AV202" s="38" t="inlineStr">
        <is>
          <t>None · guides 1–3 juniors informally</t>
        </is>
      </c>
      <c r="AW202" s="38" t="inlineStr">
        <is>
          <t>P2 · SFIA 3 Apply</t>
        </is>
      </c>
      <c r="AX20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02" s="39" t="inlineStr">
        <is>
          <t>A3</t>
        </is>
      </c>
      <c r="AZ202" s="40" t="inlineStr">
        <is>
          <t>Band A · Practitioner · Senior Associate</t>
        </is>
      </c>
      <c r="BA202" s="40" t="inlineStr">
        <is>
          <t>Model A3 from the six ratings, the market-derived weights and rules R1–R13 · then No change · already below the manager</t>
        </is>
      </c>
      <c r="BB202" s="41" t="inlineStr">
        <is>
          <t>A3</t>
        </is>
      </c>
      <c r="BC202" s="40" t="inlineStr">
        <is>
          <t>The six ratings on the market-average weights of Band A · all tracks score 3.02 → A3 · Hay, Mercer IPE and public plans · experience 4.2 yrs vs the A3 market range 2–5</t>
        </is>
      </c>
      <c r="BD202" s="42">
        <f>IF(SUM(BM202,BN202,BO202,BP202,BQ202,BR202,BS202)=0,0,(BM202*BT202+BN202*BU202+BO202*BV202+BP202*BW202+BQ202*BX202+BR202*BY202+BS202*BZ202)/SUM(BM202,BN202,BO202,BP202,BQ202,BR202,BS202))</f>
        <v>0</v>
      </c>
      <c r="BE202" s="41" t="str">
        <f>IF(LEFT(AY202,1)="X",AY202,IF(OR(AY202="B+",AY202="C+"),INDEX(LAD_PC,MAX(1,MIN(14,MATCH(AY202,LAD_PC,0)+IF(BD202&gt;=0.5,1,IF(BD202&lt;=-0.5,-1,0))))),INDEX(LAD_STD,MAX(1,MIN(12,MATCH(AY202,LAD_STD,0)+IF(BD202&gt;=0.5,1,IF(BD202&lt;=-0.5,-1,0)))))))</f>
        <v>A3</v>
      </c>
      <c r="BF202" s="43" t="n"/>
      <c r="BG202" s="41" t="str">
        <f>IF(BF202&lt;&gt;"",BF202,BE202)</f>
        <v>A3</v>
      </c>
      <c r="BH202" s="40" t="str">
        <f>IFERROR(CHOOSE(INDEX(B_RANK,MATCH(BG202,B_LVL,0)),"Band A","Band B","B+ · Player-Coach","Band C","C+ · Player-Coach","Band D","Band E"),"Band X · Consultant")</f>
        <v>Band A</v>
      </c>
      <c r="BI202" s="40" t="str">
        <f>IF(BG202=AY202,"• Same",IF(INDEX(B_VAL,MATCH(BG202,B_LVL,0))&gt;INDEX(B_VAL,MATCH(AY202,B_LVL,0)),"▲ Up","▼ Down"))</f>
        <v>• Same</v>
      </c>
      <c r="BJ202" s="40" t="str">
        <f>IF(OR($M202="",$M202="—",$M202="Not in this file"),"",IFERROR(INDEX($BG$7:$BG$592,MATCH($M202,$D$7:$D$592,0)),""))</f>
        <v>B+</v>
      </c>
      <c r="BK202" s="40" t="str">
        <f>IFERROR(IF(BJ202="","—",IF(OR(LEFT(BG202,1)="X",LEFT(BJ202,1)="X"),"—",IF(AND(LEFT(BG202,1)="E",LEFT(BJ202,1)="E"),"Exception · Band E",IF(AND(INDEX(B_VAL,MATCH(BJ202,B_LVL,0))&gt;=7,INDEX(B_RANK,MATCH(BG202,B_LVL,0))&gt;=INDEX(B_RANK,MATCH(BJ202,B_LVL,0))),"⚠ Same band as a head manager",IF(INDEX(B_VAL,MATCH(BG202,B_LVL,0))&gt;=INDEX(B_VAL,MATCH(BJ202,B_LVL,0)),"⚠ At or above the manager's level","OK"))))),"—")</f>
        <v>OK</v>
      </c>
      <c r="BL202" s="43" t="n"/>
      <c r="BM202" s="44">
        <f>IFERROR(INDEX(LMH_PTS,MATCH(Y202,LMH_KEY,0)),0)</f>
        <v>9</v>
      </c>
      <c r="BN202" s="38">
        <f>IFERROR(INDEX(LMH_PTS,MATCH(Z202,LMH_KEY,0)),0)</f>
        <v>3</v>
      </c>
      <c r="BO202" s="38">
        <f>IFERROR(INDEX(LMH_PTS,MATCH(AA202,LMH_KEY,0)),0)</f>
        <v>1</v>
      </c>
      <c r="BP202" s="38">
        <f>IFERROR(INDEX(LMH_PTS,MATCH(AB202,LMH_KEY,0)),0)</f>
        <v>1</v>
      </c>
      <c r="BQ202" s="38">
        <f>IFERROR(INDEX(LMH_PTS,MATCH(AC202,LMH_KEY,0)),0)</f>
        <v>1</v>
      </c>
      <c r="BR202" s="38">
        <f>IFERROR(INDEX(LMH_PTS,MATCH(AD202,LMH_KEY,0)),0)</f>
        <v>1</v>
      </c>
      <c r="BS202" s="38">
        <f>IFERROR(INDEX(LMH_PTS,MATCH(AE202,LMH_KEY,0)),0)</f>
        <v>1</v>
      </c>
      <c r="BT202" s="38">
        <f>IFERROR(INDEX(LMH_STEP,MATCH(AF202,LMH_KEY,0)),0)</f>
        <v>0</v>
      </c>
      <c r="BU202" s="38">
        <f>IFERROR(INDEX(LMH_STEP,MATCH(AG202,LMH_KEY,0)),0)</f>
        <v>0</v>
      </c>
      <c r="BV202" s="38">
        <f>IFERROR(INDEX(LMH_STEP,MATCH(AH202,LMH_KEY,0)),0)</f>
        <v>0</v>
      </c>
      <c r="BW202" s="38">
        <f>IFERROR(INDEX(LMH_STEP,MATCH(AI202,LMH_KEY,0)),0)</f>
        <v>0</v>
      </c>
      <c r="BX202" s="38">
        <f>IFERROR(INDEX(LMH_STEP,MATCH(AJ202,LMH_KEY,0)),0)</f>
        <v>0</v>
      </c>
      <c r="BY202" s="38">
        <f>IFERROR(INDEX(LMH_STEP,MATCH(AK202,LMH_KEY,0)),0)</f>
        <v>0</v>
      </c>
      <c r="BZ202" s="38">
        <f>IFERROR(INDEX(LMH_STEP,MATCH(AL202,LMH_KEY,0)),0)</f>
        <v>0</v>
      </c>
      <c r="CA202" s="38" t="inlineStr">
        <is>
          <t>iDEAL|Technology|Senior Software Engineer|A3|A</t>
        </is>
      </c>
    </row>
    <row r="203" ht="110" customHeight="1">
      <c r="A203" s="28" t="inlineStr">
        <is>
          <t>iDEAL</t>
        </is>
      </c>
      <c r="B203" s="29" t="inlineStr">
        <is>
          <t>Technology</t>
        </is>
      </c>
      <c r="C203" s="29" t="n">
        <v>5</v>
      </c>
      <c r="D203" s="29" t="inlineStr">
        <is>
          <t>IRIS2426</t>
        </is>
      </c>
      <c r="E203" s="29" t="inlineStr">
        <is>
          <t>Abhay Pandey</t>
        </is>
      </c>
      <c r="F203" s="29" t="inlineStr">
        <is>
          <t>Trainee Software Engineer</t>
        </is>
      </c>
      <c r="G203" s="29" t="inlineStr">
        <is>
          <t>Software Engineer</t>
        </is>
      </c>
      <c r="H203" s="29" t="inlineStr">
        <is>
          <t>Engineering &amp; Development</t>
        </is>
      </c>
      <c r="I203" s="29" t="inlineStr">
        <is>
          <t>Backend Development</t>
        </is>
      </c>
      <c r="J203" s="29" t="inlineStr">
        <is>
          <t>IC</t>
        </is>
      </c>
      <c r="K203" s="29" t="inlineStr">
        <is>
          <t>RC-066</t>
        </is>
      </c>
      <c r="L203" s="29" t="inlineStr">
        <is>
          <t>Swapnil Shirke</t>
        </is>
      </c>
      <c r="M203" s="29" t="inlineStr">
        <is>
          <t>IRIS2038</t>
        </is>
      </c>
      <c r="N203" s="29" t="n">
        <v>1.1</v>
      </c>
      <c r="O203" s="29" t="n">
        <v>1.1</v>
      </c>
      <c r="P203" s="29" t="inlineStr">
        <is>
          <t>B.E</t>
        </is>
      </c>
      <c r="Q203" s="29" t="inlineStr">
        <is>
          <t>L2 – Trainee</t>
        </is>
      </c>
      <c r="R203" s="29" t="inlineStr">
        <is>
          <t>A2</t>
        </is>
      </c>
      <c r="S203" s="30" t="inlineStr">
        <is>
          <t>20 of 20</t>
        </is>
      </c>
      <c r="T203" s="31" t="inlineStr">
        <is>
          <t>Business Impact: No survey or manager-mapping signal on criticality: kept at the start point.</t>
        </is>
      </c>
      <c r="U203" s="31" t="inlineStr">
        <is>
          <t>Received · manager annual, quarterly, self · 1.	Develop and enhance secure, scalable application features, including audit logging, data processing, and reporting capabilities. 
2.	Improve application performance, data validation, and user experience through optimized query processing, error handling, and workflow enhancements. 
3.	Design and deliver robust …</t>
        </is>
      </c>
      <c r="V203" s="31" t="inlineStr">
        <is>
          <t>Latest rating: 3 · Potential: Medium · 9-box: Core Contributor · Readiness: Develop in role</t>
        </is>
      </c>
      <c r="W203" s="31" t="inlineStr">
        <is>
          <t>C M · Au M · Ac M · L L · BI M · Exp M · 1.1 yrs vs 0–2 yrs · Edu M · B.E</t>
        </is>
      </c>
      <c r="X203" s="33" t="inlineStr">
        <is>
          <t>Open ▸</t>
        </is>
      </c>
      <c r="Y203" s="34" t="str">
        <f>IFERROR(INDEX(DL_C,MATCH($CA203,DL_KEY,0)),"M")</f>
        <v>H</v>
      </c>
      <c r="Z203" s="35" t="str">
        <f>IFERROR(INDEX(DL_Au,MATCH($CA203,DL_KEY,0)),"M")</f>
        <v>M</v>
      </c>
      <c r="AA203" s="35" t="str">
        <f>IFERROR(INDEX(DL_Ac,MATCH($CA203,DL_KEY,0)),"M")</f>
        <v>L</v>
      </c>
      <c r="AB203" s="35" t="str">
        <f>IFERROR(INDEX(DL_L,MATCH($CA203,DL_KEY,0)),"M")</f>
        <v>L</v>
      </c>
      <c r="AC203" s="35" t="str">
        <f>IFERROR(INDEX(DL_BI,MATCH($CA203,DL_KEY,0)),"M")</f>
        <v>L</v>
      </c>
      <c r="AD203" s="35" t="str">
        <f>IFERROR(INDEX(DL_Exp,MATCH($CA203,DL_KEY,0)),"M")</f>
        <v>L</v>
      </c>
      <c r="AE203" s="35" t="str">
        <f>IFERROR(INDEX(DL_Edu,MATCH($CA203,DL_KEY,0)),"M")</f>
        <v>L</v>
      </c>
      <c r="AF203" s="34" t="inlineStr">
        <is>
          <t>M</t>
        </is>
      </c>
      <c r="AG203" s="35" t="inlineStr">
        <is>
          <t>M</t>
        </is>
      </c>
      <c r="AH203" s="35" t="inlineStr">
        <is>
          <t>M</t>
        </is>
      </c>
      <c r="AI203" s="35" t="inlineStr">
        <is>
          <t>M</t>
        </is>
      </c>
      <c r="AJ203" s="35" t="inlineStr">
        <is>
          <t>M</t>
        </is>
      </c>
      <c r="AK203" s="35" t="inlineStr">
        <is>
          <t>M</t>
        </is>
      </c>
      <c r="AL203" s="35" t="inlineStr">
        <is>
          <t>M</t>
        </is>
      </c>
      <c r="AM203" s="36" t="n">
        <v>0.583</v>
      </c>
      <c r="AN203" s="37" t="n">
        <v>0.16</v>
      </c>
      <c r="AO203" s="37" t="n">
        <v>0.09</v>
      </c>
      <c r="AP203" s="37" t="n">
        <v>0</v>
      </c>
      <c r="AQ203" s="37" t="n">
        <v>0.063</v>
      </c>
      <c r="AR203" s="37" t="n">
        <v>0.06</v>
      </c>
      <c r="AS203" s="37" t="n">
        <v>0.04</v>
      </c>
      <c r="AT203" s="38" t="inlineStr">
        <is>
          <t>0–3</t>
        </is>
      </c>
      <c r="AU203" s="38" t="inlineStr">
        <is>
          <t>Graduate · or diploma with experience</t>
        </is>
      </c>
      <c r="AV203" s="38" t="inlineStr">
        <is>
          <t>No direct reports</t>
        </is>
      </c>
      <c r="AW203" s="38" t="inlineStr">
        <is>
          <t>P1–P2 · SFIA 2 Assist</t>
        </is>
      </c>
      <c r="AX20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03" s="39" t="inlineStr">
        <is>
          <t>A2</t>
        </is>
      </c>
      <c r="AZ203" s="40" t="inlineStr">
        <is>
          <t>Band A · Practitioner · Associate</t>
        </is>
      </c>
      <c r="BA203" s="40" t="inlineStr">
        <is>
          <t>Model A2 from the six ratings, the market-derived weights and rules R1–R13 · then No change · already below the manager</t>
        </is>
      </c>
      <c r="BB203" s="41" t="inlineStr">
        <is>
          <t>A2</t>
        </is>
      </c>
      <c r="BC203" s="40" t="inlineStr">
        <is>
          <t>The six ratings on the market-average weights of Band A · all tracks score 1.84 → A2 · Hay, Mercer IPE and public plans · experience 1.1 yrs vs the A2 market range 0–3</t>
        </is>
      </c>
      <c r="BD203" s="42">
        <f>IF(SUM(BM203,BN203,BO203,BP203,BQ203,BR203,BS203)=0,0,(BM203*BT203+BN203*BU203+BO203*BV203+BP203*BW203+BQ203*BX203+BR203*BY203+BS203*BZ203)/SUM(BM203,BN203,BO203,BP203,BQ203,BR203,BS203))</f>
        <v>0</v>
      </c>
      <c r="BE203" s="41" t="str">
        <f>IF(LEFT(AY203,1)="X",AY203,IF(OR(AY203="B+",AY203="C+"),INDEX(LAD_PC,MAX(1,MIN(14,MATCH(AY203,LAD_PC,0)+IF(BD203&gt;=0.5,1,IF(BD203&lt;=-0.5,-1,0))))),INDEX(LAD_STD,MAX(1,MIN(12,MATCH(AY203,LAD_STD,0)+IF(BD203&gt;=0.5,1,IF(BD203&lt;=-0.5,-1,0)))))))</f>
        <v>A2</v>
      </c>
      <c r="BF203" s="43" t="n"/>
      <c r="BG203" s="41" t="str">
        <f>IF(BF203&lt;&gt;"",BF203,BE203)</f>
        <v>A2</v>
      </c>
      <c r="BH203" s="40" t="str">
        <f>IFERROR(CHOOSE(INDEX(B_RANK,MATCH(BG203,B_LVL,0)),"Band A","Band B","B+ · Player-Coach","Band C","C+ · Player-Coach","Band D","Band E"),"Band X · Consultant")</f>
        <v>Band A</v>
      </c>
      <c r="BI203" s="40" t="str">
        <f>IF(BG203=AY203,"• Same",IF(INDEX(B_VAL,MATCH(BG203,B_LVL,0))&gt;INDEX(B_VAL,MATCH(AY203,B_LVL,0)),"▲ Up","▼ Down"))</f>
        <v>• Same</v>
      </c>
      <c r="BJ203" s="40" t="str">
        <f>IF(OR($M203="",$M203="—",$M203="Not in this file"),"",IFERROR(INDEX($BG$7:$BG$592,MATCH($M203,$D$7:$D$592,0)),""))</f>
        <v>A3</v>
      </c>
      <c r="BK203" s="40" t="str">
        <f>IFERROR(IF(BJ203="","—",IF(OR(LEFT(BG203,1)="X",LEFT(BJ203,1)="X"),"—",IF(AND(LEFT(BG203,1)="E",LEFT(BJ203,1)="E"),"Exception · Band E",IF(AND(INDEX(B_VAL,MATCH(BJ203,B_LVL,0))&gt;=7,INDEX(B_RANK,MATCH(BG203,B_LVL,0))&gt;=INDEX(B_RANK,MATCH(BJ203,B_LVL,0))),"⚠ Same band as a head manager",IF(INDEX(B_VAL,MATCH(BG203,B_LVL,0))&gt;=INDEX(B_VAL,MATCH(BJ203,B_LVL,0)),"⚠ At or above the manager's level","OK"))))),"—")</f>
        <v>OK</v>
      </c>
      <c r="BL203" s="43" t="n"/>
      <c r="BM203" s="44">
        <f>IFERROR(INDEX(LMH_PTS,MATCH(Y203,LMH_KEY,0)),0)</f>
        <v>9</v>
      </c>
      <c r="BN203" s="38">
        <f>IFERROR(INDEX(LMH_PTS,MATCH(Z203,LMH_KEY,0)),0)</f>
        <v>3</v>
      </c>
      <c r="BO203" s="38">
        <f>IFERROR(INDEX(LMH_PTS,MATCH(AA203,LMH_KEY,0)),0)</f>
        <v>1</v>
      </c>
      <c r="BP203" s="38">
        <f>IFERROR(INDEX(LMH_PTS,MATCH(AB203,LMH_KEY,0)),0)</f>
        <v>1</v>
      </c>
      <c r="BQ203" s="38">
        <f>IFERROR(INDEX(LMH_PTS,MATCH(AC203,LMH_KEY,0)),0)</f>
        <v>1</v>
      </c>
      <c r="BR203" s="38">
        <f>IFERROR(INDEX(LMH_PTS,MATCH(AD203,LMH_KEY,0)),0)</f>
        <v>1</v>
      </c>
      <c r="BS203" s="38">
        <f>IFERROR(INDEX(LMH_PTS,MATCH(AE203,LMH_KEY,0)),0)</f>
        <v>1</v>
      </c>
      <c r="BT203" s="38">
        <f>IFERROR(INDEX(LMH_STEP,MATCH(AF203,LMH_KEY,0)),0)</f>
        <v>0</v>
      </c>
      <c r="BU203" s="38">
        <f>IFERROR(INDEX(LMH_STEP,MATCH(AG203,LMH_KEY,0)),0)</f>
        <v>0</v>
      </c>
      <c r="BV203" s="38">
        <f>IFERROR(INDEX(LMH_STEP,MATCH(AH203,LMH_KEY,0)),0)</f>
        <v>0</v>
      </c>
      <c r="BW203" s="38">
        <f>IFERROR(INDEX(LMH_STEP,MATCH(AI203,LMH_KEY,0)),0)</f>
        <v>0</v>
      </c>
      <c r="BX203" s="38">
        <f>IFERROR(INDEX(LMH_STEP,MATCH(AJ203,LMH_KEY,0)),0)</f>
        <v>0</v>
      </c>
      <c r="BY203" s="38">
        <f>IFERROR(INDEX(LMH_STEP,MATCH(AK203,LMH_KEY,0)),0)</f>
        <v>0</v>
      </c>
      <c r="BZ203" s="38">
        <f>IFERROR(INDEX(LMH_STEP,MATCH(AL203,LMH_KEY,0)),0)</f>
        <v>0</v>
      </c>
      <c r="CA203" s="38" t="inlineStr">
        <is>
          <t>iDEAL|Technology|Software Engineer|A2|A</t>
        </is>
      </c>
    </row>
    <row r="204" ht="110" customHeight="1">
      <c r="A204" s="28" t="inlineStr">
        <is>
          <t>iDEAL</t>
        </is>
      </c>
      <c r="B204" s="29" t="inlineStr">
        <is>
          <t>Technology</t>
        </is>
      </c>
      <c r="C204" s="29" t="n">
        <v>5</v>
      </c>
      <c r="D204" s="29" t="inlineStr">
        <is>
          <t>IRIS2427</t>
        </is>
      </c>
      <c r="E204" s="29" t="inlineStr">
        <is>
          <t>Sumeet Laxman Kurdia</t>
        </is>
      </c>
      <c r="F204" s="29" t="inlineStr">
        <is>
          <t>Trainee Software Engineer</t>
        </is>
      </c>
      <c r="G204" s="29" t="inlineStr">
        <is>
          <t>Software Engineer</t>
        </is>
      </c>
      <c r="H204" s="29" t="inlineStr">
        <is>
          <t>Engineering &amp; Development</t>
        </is>
      </c>
      <c r="I204" s="29" t="inlineStr">
        <is>
          <t>Backend Development</t>
        </is>
      </c>
      <c r="J204" s="29" t="inlineStr">
        <is>
          <t>IC</t>
        </is>
      </c>
      <c r="K204" s="29" t="inlineStr">
        <is>
          <t>RC-066</t>
        </is>
      </c>
      <c r="L204" s="29" t="inlineStr">
        <is>
          <t>Swapnil Shirke</t>
        </is>
      </c>
      <c r="M204" s="29" t="inlineStr">
        <is>
          <t>IRIS2038</t>
        </is>
      </c>
      <c r="N204" s="29" t="n">
        <v>1.9</v>
      </c>
      <c r="O204" s="29" t="n">
        <v>1.1</v>
      </c>
      <c r="P204" s="29" t="inlineStr">
        <is>
          <t>B.Sc</t>
        </is>
      </c>
      <c r="Q204" s="29" t="inlineStr">
        <is>
          <t>L2 – Trainee</t>
        </is>
      </c>
      <c r="R204" s="29" t="inlineStr">
        <is>
          <t>A2</t>
        </is>
      </c>
      <c r="S204" s="30" t="inlineStr">
        <is>
          <t>20 of 20</t>
        </is>
      </c>
      <c r="T204" s="31" t="inlineStr">
        <is>
          <t>Complexity: Evidence reads like A2: ASP.NET MVC development and bug fixing with Excel/XML/Oracle integrations for financial reporting → moved up 0.5
Autonomy: Evidence reads like A2: Only 'technical analysis' named → moved up 0.5
Accountability: Evidence reads like A2: Quality of own features and fixes; errors cause incorrect data and bugs → moved up …</t>
        </is>
      </c>
      <c r="U204" s="31" t="inlineStr">
        <is>
          <t>Received · manager annual, quarterly, self · 1. Deliver high-quality application enhancements, business features, and defect resolutions within committed timelines while ensuring application stability and reliability.
2. Design and develop scalable, reusable, and maintainable application components using modern technologies and engineering best practices.
3. …</t>
        </is>
      </c>
      <c r="V204" s="31" t="inlineStr">
        <is>
          <t>Latest rating: 3 · Potential: Medium · 9-box: Core Contributor · Readiness: Develop in role</t>
        </is>
      </c>
      <c r="W204" s="31" t="inlineStr">
        <is>
          <t>C M · Au M · Ac M · L L · BI M · Exp M · 1.9 yrs vs 0–2 yrs · Edu M · B.Sc</t>
        </is>
      </c>
      <c r="X204" s="33" t="inlineStr">
        <is>
          <t>Open ▸</t>
        </is>
      </c>
      <c r="Y204" s="34" t="str">
        <f>IFERROR(INDEX(DL_C,MATCH($CA204,DL_KEY,0)),"M")</f>
        <v>H</v>
      </c>
      <c r="Z204" s="35" t="str">
        <f>IFERROR(INDEX(DL_Au,MATCH($CA204,DL_KEY,0)),"M")</f>
        <v>M</v>
      </c>
      <c r="AA204" s="35" t="str">
        <f>IFERROR(INDEX(DL_Ac,MATCH($CA204,DL_KEY,0)),"M")</f>
        <v>L</v>
      </c>
      <c r="AB204" s="35" t="str">
        <f>IFERROR(INDEX(DL_L,MATCH($CA204,DL_KEY,0)),"M")</f>
        <v>L</v>
      </c>
      <c r="AC204" s="35" t="str">
        <f>IFERROR(INDEX(DL_BI,MATCH($CA204,DL_KEY,0)),"M")</f>
        <v>L</v>
      </c>
      <c r="AD204" s="35" t="str">
        <f>IFERROR(INDEX(DL_Exp,MATCH($CA204,DL_KEY,0)),"M")</f>
        <v>L</v>
      </c>
      <c r="AE204" s="35" t="str">
        <f>IFERROR(INDEX(DL_Edu,MATCH($CA204,DL_KEY,0)),"M")</f>
        <v>L</v>
      </c>
      <c r="AF204" s="34" t="inlineStr">
        <is>
          <t>M</t>
        </is>
      </c>
      <c r="AG204" s="35" t="inlineStr">
        <is>
          <t>M</t>
        </is>
      </c>
      <c r="AH204" s="35" t="inlineStr">
        <is>
          <t>M</t>
        </is>
      </c>
      <c r="AI204" s="35" t="inlineStr">
        <is>
          <t>M</t>
        </is>
      </c>
      <c r="AJ204" s="35" t="inlineStr">
        <is>
          <t>M</t>
        </is>
      </c>
      <c r="AK204" s="35" t="inlineStr">
        <is>
          <t>M</t>
        </is>
      </c>
      <c r="AL204" s="35" t="inlineStr">
        <is>
          <t>M</t>
        </is>
      </c>
      <c r="AM204" s="36" t="n">
        <v>0.583</v>
      </c>
      <c r="AN204" s="37" t="n">
        <v>0.16</v>
      </c>
      <c r="AO204" s="37" t="n">
        <v>0.09</v>
      </c>
      <c r="AP204" s="37" t="n">
        <v>0</v>
      </c>
      <c r="AQ204" s="37" t="n">
        <v>0.063</v>
      </c>
      <c r="AR204" s="37" t="n">
        <v>0.06</v>
      </c>
      <c r="AS204" s="37" t="n">
        <v>0.04</v>
      </c>
      <c r="AT204" s="38" t="inlineStr">
        <is>
          <t>0–3</t>
        </is>
      </c>
      <c r="AU204" s="38" t="inlineStr">
        <is>
          <t>Graduate · or diploma with experience</t>
        </is>
      </c>
      <c r="AV204" s="38" t="inlineStr">
        <is>
          <t>No direct reports</t>
        </is>
      </c>
      <c r="AW204" s="38" t="inlineStr">
        <is>
          <t>P1–P2 · SFIA 2 Assist</t>
        </is>
      </c>
      <c r="AX20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04" s="39" t="inlineStr">
        <is>
          <t>A2</t>
        </is>
      </c>
      <c r="AZ204" s="40" t="inlineStr">
        <is>
          <t>Band A · Practitioner · Associate</t>
        </is>
      </c>
      <c r="BA204" s="40" t="inlineStr">
        <is>
          <t>Model A2 from the six ratings, the market-derived weights and rules R1–R13 · then No change · already below the manager</t>
        </is>
      </c>
      <c r="BB204" s="41" t="inlineStr">
        <is>
          <t>A2</t>
        </is>
      </c>
      <c r="BC204" s="40" t="inlineStr">
        <is>
          <t>The six ratings on the market-average weights of Band A · all tracks score 1.60 → A2 · Hay, Mercer IPE and public plans · experience 1.9 yrs vs the A2 market range 0–3</t>
        </is>
      </c>
      <c r="BD204" s="42">
        <f>IF(SUM(BM204,BN204,BO204,BP204,BQ204,BR204,BS204)=0,0,(BM204*BT204+BN204*BU204+BO204*BV204+BP204*BW204+BQ204*BX204+BR204*BY204+BS204*BZ204)/SUM(BM204,BN204,BO204,BP204,BQ204,BR204,BS204))</f>
        <v>0</v>
      </c>
      <c r="BE204" s="41" t="str">
        <f>IF(LEFT(AY204,1)="X",AY204,IF(OR(AY204="B+",AY204="C+"),INDEX(LAD_PC,MAX(1,MIN(14,MATCH(AY204,LAD_PC,0)+IF(BD204&gt;=0.5,1,IF(BD204&lt;=-0.5,-1,0))))),INDEX(LAD_STD,MAX(1,MIN(12,MATCH(AY204,LAD_STD,0)+IF(BD204&gt;=0.5,1,IF(BD204&lt;=-0.5,-1,0)))))))</f>
        <v>A2</v>
      </c>
      <c r="BF204" s="43" t="n"/>
      <c r="BG204" s="41" t="str">
        <f>IF(BF204&lt;&gt;"",BF204,BE204)</f>
        <v>A2</v>
      </c>
      <c r="BH204" s="40" t="str">
        <f>IFERROR(CHOOSE(INDEX(B_RANK,MATCH(BG204,B_LVL,0)),"Band A","Band B","B+ · Player-Coach","Band C","C+ · Player-Coach","Band D","Band E"),"Band X · Consultant")</f>
        <v>Band A</v>
      </c>
      <c r="BI204" s="40" t="str">
        <f>IF(BG204=AY204,"• Same",IF(INDEX(B_VAL,MATCH(BG204,B_LVL,0))&gt;INDEX(B_VAL,MATCH(AY204,B_LVL,0)),"▲ Up","▼ Down"))</f>
        <v>• Same</v>
      </c>
      <c r="BJ204" s="40" t="str">
        <f>IF(OR($M204="",$M204="—",$M204="Not in this file"),"",IFERROR(INDEX($BG$7:$BG$592,MATCH($M204,$D$7:$D$592,0)),""))</f>
        <v>A3</v>
      </c>
      <c r="BK204" s="40" t="str">
        <f>IFERROR(IF(BJ204="","—",IF(OR(LEFT(BG204,1)="X",LEFT(BJ204,1)="X"),"—",IF(AND(LEFT(BG204,1)="E",LEFT(BJ204,1)="E"),"Exception · Band E",IF(AND(INDEX(B_VAL,MATCH(BJ204,B_LVL,0))&gt;=7,INDEX(B_RANK,MATCH(BG204,B_LVL,0))&gt;=INDEX(B_RANK,MATCH(BJ204,B_LVL,0))),"⚠ Same band as a head manager",IF(INDEX(B_VAL,MATCH(BG204,B_LVL,0))&gt;=INDEX(B_VAL,MATCH(BJ204,B_LVL,0)),"⚠ At or above the manager's level","OK"))))),"—")</f>
        <v>OK</v>
      </c>
      <c r="BL204" s="43" t="n"/>
      <c r="BM204" s="44">
        <f>IFERROR(INDEX(LMH_PTS,MATCH(Y204,LMH_KEY,0)),0)</f>
        <v>9</v>
      </c>
      <c r="BN204" s="38">
        <f>IFERROR(INDEX(LMH_PTS,MATCH(Z204,LMH_KEY,0)),0)</f>
        <v>3</v>
      </c>
      <c r="BO204" s="38">
        <f>IFERROR(INDEX(LMH_PTS,MATCH(AA204,LMH_KEY,0)),0)</f>
        <v>1</v>
      </c>
      <c r="BP204" s="38">
        <f>IFERROR(INDEX(LMH_PTS,MATCH(AB204,LMH_KEY,0)),0)</f>
        <v>1</v>
      </c>
      <c r="BQ204" s="38">
        <f>IFERROR(INDEX(LMH_PTS,MATCH(AC204,LMH_KEY,0)),0)</f>
        <v>1</v>
      </c>
      <c r="BR204" s="38">
        <f>IFERROR(INDEX(LMH_PTS,MATCH(AD204,LMH_KEY,0)),0)</f>
        <v>1</v>
      </c>
      <c r="BS204" s="38">
        <f>IFERROR(INDEX(LMH_PTS,MATCH(AE204,LMH_KEY,0)),0)</f>
        <v>1</v>
      </c>
      <c r="BT204" s="38">
        <f>IFERROR(INDEX(LMH_STEP,MATCH(AF204,LMH_KEY,0)),0)</f>
        <v>0</v>
      </c>
      <c r="BU204" s="38">
        <f>IFERROR(INDEX(LMH_STEP,MATCH(AG204,LMH_KEY,0)),0)</f>
        <v>0</v>
      </c>
      <c r="BV204" s="38">
        <f>IFERROR(INDEX(LMH_STEP,MATCH(AH204,LMH_KEY,0)),0)</f>
        <v>0</v>
      </c>
      <c r="BW204" s="38">
        <f>IFERROR(INDEX(LMH_STEP,MATCH(AI204,LMH_KEY,0)),0)</f>
        <v>0</v>
      </c>
      <c r="BX204" s="38">
        <f>IFERROR(INDEX(LMH_STEP,MATCH(AJ204,LMH_KEY,0)),0)</f>
        <v>0</v>
      </c>
      <c r="BY204" s="38">
        <f>IFERROR(INDEX(LMH_STEP,MATCH(AK204,LMH_KEY,0)),0)</f>
        <v>0</v>
      </c>
      <c r="BZ204" s="38">
        <f>IFERROR(INDEX(LMH_STEP,MATCH(AL204,LMH_KEY,0)),0)</f>
        <v>0</v>
      </c>
      <c r="CA204" s="38" t="inlineStr">
        <is>
          <t>iDEAL|Technology|Software Engineer|A2|A</t>
        </is>
      </c>
    </row>
    <row r="205" ht="110" customHeight="1">
      <c r="A205" s="28" t="inlineStr">
        <is>
          <t>iDEAL</t>
        </is>
      </c>
      <c r="B205" s="29" t="inlineStr">
        <is>
          <t>Technology</t>
        </is>
      </c>
      <c r="C205" s="29" t="n">
        <v>5</v>
      </c>
      <c r="D205" s="29" t="inlineStr">
        <is>
          <t>IRIS2538</t>
        </is>
      </c>
      <c r="E205" s="29" t="inlineStr">
        <is>
          <t>Atharv Sameer Shevade</t>
        </is>
      </c>
      <c r="F205" s="29" t="inlineStr">
        <is>
          <t>Trainee Software Engineer</t>
        </is>
      </c>
      <c r="G205" s="29" t="inlineStr">
        <is>
          <t>Trainee Software Engineer</t>
        </is>
      </c>
      <c r="H205" s="29" t="inlineStr">
        <is>
          <t>Engineering &amp; Development</t>
        </is>
      </c>
      <c r="I205" s="29" t="inlineStr">
        <is>
          <t>Full-Stack Development</t>
        </is>
      </c>
      <c r="J205" s="29" t="inlineStr">
        <is>
          <t>IC</t>
        </is>
      </c>
      <c r="K205" s="29" t="inlineStr">
        <is>
          <t>RC-083</t>
        </is>
      </c>
      <c r="L205" s="29" t="inlineStr">
        <is>
          <t>Swapnil Shirke</t>
        </is>
      </c>
      <c r="M205" s="29" t="inlineStr">
        <is>
          <t>IRIS2038</t>
        </is>
      </c>
      <c r="N205" s="29" t="n">
        <v>0.3</v>
      </c>
      <c r="O205" s="29" t="n">
        <v>0.3</v>
      </c>
      <c r="P205" s="29" t="inlineStr">
        <is>
          <t>B.Tech</t>
        </is>
      </c>
      <c r="Q205" s="29" t="inlineStr">
        <is>
          <t>L1 – Intern</t>
        </is>
      </c>
      <c r="R205" s="29" t="inlineStr">
        <is>
          <t>A1</t>
        </is>
      </c>
      <c r="S205" s="30" t="inlineStr">
        <is>
          <t>20 of 20</t>
        </is>
      </c>
      <c r="T205" s="32" t="inlineStr">
        <is>
          <t>Full survey answers not in the files received · How We Grow export needed · HR</t>
        </is>
      </c>
      <c r="U205" s="31" t="inlineStr">
        <is>
          <t>Received · manager annual, quarterly, self · 1.Deliver high-quality development, enhancement, and support activities within committed timelines while adhering to coding standards and quality best practices.
2.Build strong expertise in React, .NET, SQL, and related technologies to effectively contribute to application development, maintenance, and …</t>
        </is>
      </c>
      <c r="V205" s="31" t="inlineStr">
        <is>
          <t>Latest rating: 3 · Potential: Medium · 9-box: Core Contributor · Readiness: Develop in role</t>
        </is>
      </c>
      <c r="W205" s="31" t="inlineStr">
        <is>
          <t>C — · Au — · Ac — · L — · BI — · Exp H · 0.3 yrs vs 0 yrs · fresher / intern · Edu M · B.Tech</t>
        </is>
      </c>
      <c r="X205" s="33" t="inlineStr">
        <is>
          <t>Open ▸</t>
        </is>
      </c>
      <c r="Y205" s="34" t="str">
        <f>IFERROR(INDEX(DL_C,MATCH($CA205,DL_KEY,0)),"M")</f>
        <v>H</v>
      </c>
      <c r="Z205" s="35" t="str">
        <f>IFERROR(INDEX(DL_Au,MATCH($CA205,DL_KEY,0)),"M")</f>
        <v>M</v>
      </c>
      <c r="AA205" s="35" t="str">
        <f>IFERROR(INDEX(DL_Ac,MATCH($CA205,DL_KEY,0)),"M")</f>
        <v>L</v>
      </c>
      <c r="AB205" s="35" t="str">
        <f>IFERROR(INDEX(DL_L,MATCH($CA205,DL_KEY,0)),"M")</f>
        <v>L</v>
      </c>
      <c r="AC205" s="35" t="str">
        <f>IFERROR(INDEX(DL_BI,MATCH($CA205,DL_KEY,0)),"M")</f>
        <v>L</v>
      </c>
      <c r="AD205" s="35" t="str">
        <f>IFERROR(INDEX(DL_Exp,MATCH($CA205,DL_KEY,0)),"M")</f>
        <v>L</v>
      </c>
      <c r="AE205" s="35" t="str">
        <f>IFERROR(INDEX(DL_Edu,MATCH($CA205,DL_KEY,0)),"M")</f>
        <v>L</v>
      </c>
      <c r="AF205" s="34" t="inlineStr">
        <is>
          <t>M</t>
        </is>
      </c>
      <c r="AG205" s="35" t="inlineStr">
        <is>
          <t>M</t>
        </is>
      </c>
      <c r="AH205" s="35" t="inlineStr">
        <is>
          <t>M</t>
        </is>
      </c>
      <c r="AI205" s="35" t="inlineStr">
        <is>
          <t>M</t>
        </is>
      </c>
      <c r="AJ205" s="35" t="inlineStr">
        <is>
          <t>M</t>
        </is>
      </c>
      <c r="AK205" s="35" t="inlineStr">
        <is>
          <t>M</t>
        </is>
      </c>
      <c r="AL205" s="35" t="inlineStr">
        <is>
          <t>M</t>
        </is>
      </c>
      <c r="AM205" s="36" t="n">
        <v>0.583</v>
      </c>
      <c r="AN205" s="37" t="n">
        <v>0.16</v>
      </c>
      <c r="AO205" s="37" t="n">
        <v>0.09</v>
      </c>
      <c r="AP205" s="37" t="n">
        <v>0</v>
      </c>
      <c r="AQ205" s="37" t="n">
        <v>0.063</v>
      </c>
      <c r="AR205" s="37" t="n">
        <v>0.06</v>
      </c>
      <c r="AS205" s="37" t="n">
        <v>0.04</v>
      </c>
      <c r="AT205" s="38" t="inlineStr">
        <is>
          <t>0 yrs · fresher / intern</t>
        </is>
      </c>
      <c r="AU205" s="38" t="inlineStr">
        <is>
          <t>Pursuing or completed graduation / diploma</t>
        </is>
      </c>
      <c r="AV205" s="38" t="inlineStr">
        <is>
          <t>No direct reports</t>
        </is>
      </c>
      <c r="AW205" s="38" t="inlineStr">
        <is>
          <t>Entry / P1 · intern · SFIA 1 Follow</t>
        </is>
      </c>
      <c r="AX20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05" s="39" t="inlineStr">
        <is>
          <t>A1</t>
        </is>
      </c>
      <c r="AZ205" s="40" t="inlineStr">
        <is>
          <t>Band A · Practitioner · Intern / Trainee</t>
        </is>
      </c>
      <c r="BA205" s="40" t="inlineStr">
        <is>
          <t>Model A1 from the six ratings, the market-derived weights and rules R1–R13 · then No change · already below the manager</t>
        </is>
      </c>
      <c r="BB205" s="41" t="inlineStr">
        <is>
          <t>A1</t>
        </is>
      </c>
      <c r="BC205" s="40" t="inlineStr">
        <is>
          <t>Placed by a category rule — no full set of ratings · benchmark follows the HR proposed level</t>
        </is>
      </c>
      <c r="BD205" s="42">
        <f>IF(SUM(BM205,BN205,BO205,BP205,BQ205,BR205,BS205)=0,0,(BM205*BT205+BN205*BU205+BO205*BV205+BP205*BW205+BQ205*BX205+BR205*BY205+BS205*BZ205)/SUM(BM205,BN205,BO205,BP205,BQ205,BR205,BS205))</f>
        <v>0</v>
      </c>
      <c r="BE205" s="41" t="str">
        <f>IF(LEFT(AY205,1)="X",AY205,IF(OR(AY205="B+",AY205="C+"),INDEX(LAD_PC,MAX(1,MIN(14,MATCH(AY205,LAD_PC,0)+IF(BD205&gt;=0.5,1,IF(BD205&lt;=-0.5,-1,0))))),INDEX(LAD_STD,MAX(1,MIN(12,MATCH(AY205,LAD_STD,0)+IF(BD205&gt;=0.5,1,IF(BD205&lt;=-0.5,-1,0)))))))</f>
        <v>A1</v>
      </c>
      <c r="BF205" s="43" t="n"/>
      <c r="BG205" s="41" t="str">
        <f>IF(BF205&lt;&gt;"",BF205,BE205)</f>
        <v>A1</v>
      </c>
      <c r="BH205" s="40" t="str">
        <f>IFERROR(CHOOSE(INDEX(B_RANK,MATCH(BG205,B_LVL,0)),"Band A","Band B","B+ · Player-Coach","Band C","C+ · Player-Coach","Band D","Band E"),"Band X · Consultant")</f>
        <v>Band A</v>
      </c>
      <c r="BI205" s="40" t="str">
        <f>IF(BG205=AY205,"• Same",IF(INDEX(B_VAL,MATCH(BG205,B_LVL,0))&gt;INDEX(B_VAL,MATCH(AY205,B_LVL,0)),"▲ Up","▼ Down"))</f>
        <v>• Same</v>
      </c>
      <c r="BJ205" s="40" t="str">
        <f>IF(OR($M205="",$M205="—",$M205="Not in this file"),"",IFERROR(INDEX($BG$7:$BG$592,MATCH($M205,$D$7:$D$592,0)),""))</f>
        <v>A3</v>
      </c>
      <c r="BK205" s="40" t="str">
        <f>IFERROR(IF(BJ205="","—",IF(OR(LEFT(BG205,1)="X",LEFT(BJ205,1)="X"),"—",IF(AND(LEFT(BG205,1)="E",LEFT(BJ205,1)="E"),"Exception · Band E",IF(AND(INDEX(B_VAL,MATCH(BJ205,B_LVL,0))&gt;=7,INDEX(B_RANK,MATCH(BG205,B_LVL,0))&gt;=INDEX(B_RANK,MATCH(BJ205,B_LVL,0))),"⚠ Same band as a head manager",IF(INDEX(B_VAL,MATCH(BG205,B_LVL,0))&gt;=INDEX(B_VAL,MATCH(BJ205,B_LVL,0)),"⚠ At or above the manager's level","OK"))))),"—")</f>
        <v>OK</v>
      </c>
      <c r="BL205" s="43" t="n"/>
      <c r="BM205" s="44">
        <f>IFERROR(INDEX(LMH_PTS,MATCH(Y205,LMH_KEY,0)),0)</f>
        <v>9</v>
      </c>
      <c r="BN205" s="38">
        <f>IFERROR(INDEX(LMH_PTS,MATCH(Z205,LMH_KEY,0)),0)</f>
        <v>3</v>
      </c>
      <c r="BO205" s="38">
        <f>IFERROR(INDEX(LMH_PTS,MATCH(AA205,LMH_KEY,0)),0)</f>
        <v>1</v>
      </c>
      <c r="BP205" s="38">
        <f>IFERROR(INDEX(LMH_PTS,MATCH(AB205,LMH_KEY,0)),0)</f>
        <v>1</v>
      </c>
      <c r="BQ205" s="38">
        <f>IFERROR(INDEX(LMH_PTS,MATCH(AC205,LMH_KEY,0)),0)</f>
        <v>1</v>
      </c>
      <c r="BR205" s="38">
        <f>IFERROR(INDEX(LMH_PTS,MATCH(AD205,LMH_KEY,0)),0)</f>
        <v>1</v>
      </c>
      <c r="BS205" s="38">
        <f>IFERROR(INDEX(LMH_PTS,MATCH(AE205,LMH_KEY,0)),0)</f>
        <v>1</v>
      </c>
      <c r="BT205" s="38">
        <f>IFERROR(INDEX(LMH_STEP,MATCH(AF205,LMH_KEY,0)),0)</f>
        <v>0</v>
      </c>
      <c r="BU205" s="38">
        <f>IFERROR(INDEX(LMH_STEP,MATCH(AG205,LMH_KEY,0)),0)</f>
        <v>0</v>
      </c>
      <c r="BV205" s="38">
        <f>IFERROR(INDEX(LMH_STEP,MATCH(AH205,LMH_KEY,0)),0)</f>
        <v>0</v>
      </c>
      <c r="BW205" s="38">
        <f>IFERROR(INDEX(LMH_STEP,MATCH(AI205,LMH_KEY,0)),0)</f>
        <v>0</v>
      </c>
      <c r="BX205" s="38">
        <f>IFERROR(INDEX(LMH_STEP,MATCH(AJ205,LMH_KEY,0)),0)</f>
        <v>0</v>
      </c>
      <c r="BY205" s="38">
        <f>IFERROR(INDEX(LMH_STEP,MATCH(AK205,LMH_KEY,0)),0)</f>
        <v>0</v>
      </c>
      <c r="BZ205" s="38">
        <f>IFERROR(INDEX(LMH_STEP,MATCH(AL205,LMH_KEY,0)),0)</f>
        <v>0</v>
      </c>
      <c r="CA205" s="38" t="inlineStr">
        <is>
          <t>iDEAL|Technology|Trainee Software Engineer|A1|A</t>
        </is>
      </c>
    </row>
    <row r="206" ht="110" customHeight="1">
      <c r="A206" s="28" t="inlineStr">
        <is>
          <t>iDEAL</t>
        </is>
      </c>
      <c r="B206" s="29" t="inlineStr">
        <is>
          <t>Technology</t>
        </is>
      </c>
      <c r="C206" s="29" t="n">
        <v>5</v>
      </c>
      <c r="D206" s="29" t="inlineStr">
        <is>
          <t>IRIS2539</t>
        </is>
      </c>
      <c r="E206" s="29" t="inlineStr">
        <is>
          <t>Vinayak Dadasaheb Suryawanshi</t>
        </is>
      </c>
      <c r="F206" s="29" t="inlineStr">
        <is>
          <t>Trainee Software Engineer</t>
        </is>
      </c>
      <c r="G206" s="29" t="inlineStr">
        <is>
          <t>Trainee Software Engineer</t>
        </is>
      </c>
      <c r="H206" s="29" t="inlineStr">
        <is>
          <t>Engineering &amp; Development</t>
        </is>
      </c>
      <c r="I206" s="29" t="inlineStr">
        <is>
          <t>Backend Development</t>
        </is>
      </c>
      <c r="J206" s="29" t="inlineStr">
        <is>
          <t>IC</t>
        </is>
      </c>
      <c r="K206" s="29" t="inlineStr">
        <is>
          <t>RC-065</t>
        </is>
      </c>
      <c r="L206" s="29" t="inlineStr">
        <is>
          <t>Swapnil Shirke</t>
        </is>
      </c>
      <c r="M206" s="29" t="inlineStr">
        <is>
          <t>IRIS2038</t>
        </is>
      </c>
      <c r="N206" s="29" t="n">
        <v>0.3</v>
      </c>
      <c r="O206" s="29" t="n">
        <v>0.3</v>
      </c>
      <c r="P206" s="29" t="inlineStr">
        <is>
          <t>B.Tech</t>
        </is>
      </c>
      <c r="Q206" s="29" t="inlineStr">
        <is>
          <t>L1 – Intern</t>
        </is>
      </c>
      <c r="R206" s="29" t="inlineStr">
        <is>
          <t>A1</t>
        </is>
      </c>
      <c r="S206" s="30" t="inlineStr">
        <is>
          <t>20 of 20</t>
        </is>
      </c>
      <c r="T206" s="32" t="inlineStr">
        <is>
          <t>Full survey answers not in the files received · How We Grow export needed · HR</t>
        </is>
      </c>
      <c r="U206" s="31" t="inlineStr">
        <is>
          <t>Received · manager annual, quarterly, self · 1. Deliver high-quality software solutions by completing assigned development, enhancement, and support activities within committed timelines while adhering to engineering standards.
2. Strengthen expertise in React, .NET, SQL, and AI technologies to contribute effectively to application development, maintenance, and …</t>
        </is>
      </c>
      <c r="V206" s="31" t="inlineStr">
        <is>
          <t>Latest rating: 3 · Potential: Medium · 9-box: Emerging Talent · Readiness: Develop in role</t>
        </is>
      </c>
      <c r="W206" s="31" t="inlineStr">
        <is>
          <t>C — · Au — · Ac — · L — · BI — · Exp H · 0.3 yrs vs 0 yrs · fresher / intern · Edu M · B.Tech</t>
        </is>
      </c>
      <c r="X206" s="33" t="inlineStr">
        <is>
          <t>Open ▸</t>
        </is>
      </c>
      <c r="Y206" s="34" t="str">
        <f>IFERROR(INDEX(DL_C,MATCH($CA206,DL_KEY,0)),"M")</f>
        <v>H</v>
      </c>
      <c r="Z206" s="35" t="str">
        <f>IFERROR(INDEX(DL_Au,MATCH($CA206,DL_KEY,0)),"M")</f>
        <v>M</v>
      </c>
      <c r="AA206" s="35" t="str">
        <f>IFERROR(INDEX(DL_Ac,MATCH($CA206,DL_KEY,0)),"M")</f>
        <v>L</v>
      </c>
      <c r="AB206" s="35" t="str">
        <f>IFERROR(INDEX(DL_L,MATCH($CA206,DL_KEY,0)),"M")</f>
        <v>L</v>
      </c>
      <c r="AC206" s="35" t="str">
        <f>IFERROR(INDEX(DL_BI,MATCH($CA206,DL_KEY,0)),"M")</f>
        <v>L</v>
      </c>
      <c r="AD206" s="35" t="str">
        <f>IFERROR(INDEX(DL_Exp,MATCH($CA206,DL_KEY,0)),"M")</f>
        <v>L</v>
      </c>
      <c r="AE206" s="35" t="str">
        <f>IFERROR(INDEX(DL_Edu,MATCH($CA206,DL_KEY,0)),"M")</f>
        <v>L</v>
      </c>
      <c r="AF206" s="34" t="inlineStr">
        <is>
          <t>M</t>
        </is>
      </c>
      <c r="AG206" s="35" t="inlineStr">
        <is>
          <t>M</t>
        </is>
      </c>
      <c r="AH206" s="35" t="inlineStr">
        <is>
          <t>M</t>
        </is>
      </c>
      <c r="AI206" s="35" t="inlineStr">
        <is>
          <t>M</t>
        </is>
      </c>
      <c r="AJ206" s="35" t="inlineStr">
        <is>
          <t>M</t>
        </is>
      </c>
      <c r="AK206" s="35" t="inlineStr">
        <is>
          <t>M</t>
        </is>
      </c>
      <c r="AL206" s="35" t="inlineStr">
        <is>
          <t>M</t>
        </is>
      </c>
      <c r="AM206" s="36" t="n">
        <v>0.583</v>
      </c>
      <c r="AN206" s="37" t="n">
        <v>0.16</v>
      </c>
      <c r="AO206" s="37" t="n">
        <v>0.09</v>
      </c>
      <c r="AP206" s="37" t="n">
        <v>0</v>
      </c>
      <c r="AQ206" s="37" t="n">
        <v>0.063</v>
      </c>
      <c r="AR206" s="37" t="n">
        <v>0.06</v>
      </c>
      <c r="AS206" s="37" t="n">
        <v>0.04</v>
      </c>
      <c r="AT206" s="38" t="inlineStr">
        <is>
          <t>0 yrs · fresher / intern</t>
        </is>
      </c>
      <c r="AU206" s="38" t="inlineStr">
        <is>
          <t>Pursuing or completed graduation / diploma</t>
        </is>
      </c>
      <c r="AV206" s="38" t="inlineStr">
        <is>
          <t>No direct reports</t>
        </is>
      </c>
      <c r="AW206" s="38" t="inlineStr">
        <is>
          <t>Entry / P1 · intern · SFIA 1 Follow</t>
        </is>
      </c>
      <c r="AX20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06" s="39" t="inlineStr">
        <is>
          <t>A1</t>
        </is>
      </c>
      <c r="AZ206" s="40" t="inlineStr">
        <is>
          <t>Band A · Practitioner · Intern / Trainee</t>
        </is>
      </c>
      <c r="BA206" s="40" t="inlineStr">
        <is>
          <t>Model A1 from the six ratings, the market-derived weights and rules R1–R13 · then No change · already below the manager</t>
        </is>
      </c>
      <c r="BB206" s="41" t="inlineStr">
        <is>
          <t>A1</t>
        </is>
      </c>
      <c r="BC206" s="40" t="inlineStr">
        <is>
          <t>Placed by a category rule — no full set of ratings · benchmark follows the HR proposed level</t>
        </is>
      </c>
      <c r="BD206" s="42">
        <f>IF(SUM(BM206,BN206,BO206,BP206,BQ206,BR206,BS206)=0,0,(BM206*BT206+BN206*BU206+BO206*BV206+BP206*BW206+BQ206*BX206+BR206*BY206+BS206*BZ206)/SUM(BM206,BN206,BO206,BP206,BQ206,BR206,BS206))</f>
        <v>0</v>
      </c>
      <c r="BE206" s="41" t="str">
        <f>IF(LEFT(AY206,1)="X",AY206,IF(OR(AY206="B+",AY206="C+"),INDEX(LAD_PC,MAX(1,MIN(14,MATCH(AY206,LAD_PC,0)+IF(BD206&gt;=0.5,1,IF(BD206&lt;=-0.5,-1,0))))),INDEX(LAD_STD,MAX(1,MIN(12,MATCH(AY206,LAD_STD,0)+IF(BD206&gt;=0.5,1,IF(BD206&lt;=-0.5,-1,0)))))))</f>
        <v>A1</v>
      </c>
      <c r="BF206" s="43" t="n"/>
      <c r="BG206" s="41" t="str">
        <f>IF(BF206&lt;&gt;"",BF206,BE206)</f>
        <v>A1</v>
      </c>
      <c r="BH206" s="40" t="str">
        <f>IFERROR(CHOOSE(INDEX(B_RANK,MATCH(BG206,B_LVL,0)),"Band A","Band B","B+ · Player-Coach","Band C","C+ · Player-Coach","Band D","Band E"),"Band X · Consultant")</f>
        <v>Band A</v>
      </c>
      <c r="BI206" s="40" t="str">
        <f>IF(BG206=AY206,"• Same",IF(INDEX(B_VAL,MATCH(BG206,B_LVL,0))&gt;INDEX(B_VAL,MATCH(AY206,B_LVL,0)),"▲ Up","▼ Down"))</f>
        <v>• Same</v>
      </c>
      <c r="BJ206" s="40" t="str">
        <f>IF(OR($M206="",$M206="—",$M206="Not in this file"),"",IFERROR(INDEX($BG$7:$BG$592,MATCH($M206,$D$7:$D$592,0)),""))</f>
        <v>A3</v>
      </c>
      <c r="BK206" s="40" t="str">
        <f>IFERROR(IF(BJ206="","—",IF(OR(LEFT(BG206,1)="X",LEFT(BJ206,1)="X"),"—",IF(AND(LEFT(BG206,1)="E",LEFT(BJ206,1)="E"),"Exception · Band E",IF(AND(INDEX(B_VAL,MATCH(BJ206,B_LVL,0))&gt;=7,INDEX(B_RANK,MATCH(BG206,B_LVL,0))&gt;=INDEX(B_RANK,MATCH(BJ206,B_LVL,0))),"⚠ Same band as a head manager",IF(INDEX(B_VAL,MATCH(BG206,B_LVL,0))&gt;=INDEX(B_VAL,MATCH(BJ206,B_LVL,0)),"⚠ At or above the manager's level","OK"))))),"—")</f>
        <v>OK</v>
      </c>
      <c r="BL206" s="43" t="n"/>
      <c r="BM206" s="44">
        <f>IFERROR(INDEX(LMH_PTS,MATCH(Y206,LMH_KEY,0)),0)</f>
        <v>9</v>
      </c>
      <c r="BN206" s="38">
        <f>IFERROR(INDEX(LMH_PTS,MATCH(Z206,LMH_KEY,0)),0)</f>
        <v>3</v>
      </c>
      <c r="BO206" s="38">
        <f>IFERROR(INDEX(LMH_PTS,MATCH(AA206,LMH_KEY,0)),0)</f>
        <v>1</v>
      </c>
      <c r="BP206" s="38">
        <f>IFERROR(INDEX(LMH_PTS,MATCH(AB206,LMH_KEY,0)),0)</f>
        <v>1</v>
      </c>
      <c r="BQ206" s="38">
        <f>IFERROR(INDEX(LMH_PTS,MATCH(AC206,LMH_KEY,0)),0)</f>
        <v>1</v>
      </c>
      <c r="BR206" s="38">
        <f>IFERROR(INDEX(LMH_PTS,MATCH(AD206,LMH_KEY,0)),0)</f>
        <v>1</v>
      </c>
      <c r="BS206" s="38">
        <f>IFERROR(INDEX(LMH_PTS,MATCH(AE206,LMH_KEY,0)),0)</f>
        <v>1</v>
      </c>
      <c r="BT206" s="38">
        <f>IFERROR(INDEX(LMH_STEP,MATCH(AF206,LMH_KEY,0)),0)</f>
        <v>0</v>
      </c>
      <c r="BU206" s="38">
        <f>IFERROR(INDEX(LMH_STEP,MATCH(AG206,LMH_KEY,0)),0)</f>
        <v>0</v>
      </c>
      <c r="BV206" s="38">
        <f>IFERROR(INDEX(LMH_STEP,MATCH(AH206,LMH_KEY,0)),0)</f>
        <v>0</v>
      </c>
      <c r="BW206" s="38">
        <f>IFERROR(INDEX(LMH_STEP,MATCH(AI206,LMH_KEY,0)),0)</f>
        <v>0</v>
      </c>
      <c r="BX206" s="38">
        <f>IFERROR(INDEX(LMH_STEP,MATCH(AJ206,LMH_KEY,0)),0)</f>
        <v>0</v>
      </c>
      <c r="BY206" s="38">
        <f>IFERROR(INDEX(LMH_STEP,MATCH(AK206,LMH_KEY,0)),0)</f>
        <v>0</v>
      </c>
      <c r="BZ206" s="38">
        <f>IFERROR(INDEX(LMH_STEP,MATCH(AL206,LMH_KEY,0)),0)</f>
        <v>0</v>
      </c>
      <c r="CA206" s="38" t="inlineStr">
        <is>
          <t>iDEAL|Technology|Trainee Software Engineer|A1|A</t>
        </is>
      </c>
    </row>
    <row r="207" ht="110" customHeight="1">
      <c r="A207" s="28" t="inlineStr">
        <is>
          <t>iDEAL</t>
        </is>
      </c>
      <c r="B207" s="29" t="inlineStr">
        <is>
          <t>Technology</t>
        </is>
      </c>
      <c r="C207" s="29" t="n">
        <v>4</v>
      </c>
      <c r="D207" s="29" t="inlineStr">
        <is>
          <t>IRIS2259</t>
        </is>
      </c>
      <c r="E207" s="29" t="inlineStr">
        <is>
          <t>Tushar Kadu Nimbolkar</t>
        </is>
      </c>
      <c r="F207" s="29" t="inlineStr">
        <is>
          <t>Software Engineer</t>
        </is>
      </c>
      <c r="G207" s="29" t="inlineStr">
        <is>
          <t>Senior Database Engineer</t>
        </is>
      </c>
      <c r="H207" s="29" t="inlineStr">
        <is>
          <t>Engineering &amp; Development</t>
        </is>
      </c>
      <c r="I207" s="29" t="inlineStr">
        <is>
          <t>Data Engineering &amp; Database Development</t>
        </is>
      </c>
      <c r="J207" s="29" t="inlineStr">
        <is>
          <t>IC</t>
        </is>
      </c>
      <c r="K207" s="29" t="inlineStr">
        <is>
          <t>RC-074</t>
        </is>
      </c>
      <c r="L207" s="29" t="inlineStr">
        <is>
          <t>Jitendra Kumar</t>
        </is>
      </c>
      <c r="M207" s="29" t="inlineStr">
        <is>
          <t>IRIS0810</t>
        </is>
      </c>
      <c r="N207" s="29" t="n">
        <v>2.3</v>
      </c>
      <c r="O207" s="29" t="n">
        <v>2.3</v>
      </c>
      <c r="P207" s="29" t="inlineStr">
        <is>
          <t>B.E</t>
        </is>
      </c>
      <c r="Q207" s="29" t="inlineStr">
        <is>
          <t>L3 – Professional / Associate</t>
        </is>
      </c>
      <c r="R207" s="29" t="inlineStr">
        <is>
          <t>A3</t>
        </is>
      </c>
      <c r="S207" s="30" t="inlineStr">
        <is>
          <t>20 of 20</t>
        </is>
      </c>
      <c r="T207" s="31" t="inlineStr">
        <is>
          <t>Complexity: Evidence reads like A3: Coding, client calls and support, deployment, R&amp;D, documentation; SQL, ETL and data engineering → moved up 0.5
Autonomy: Evidence reads like A3: Independently handles client support, issues and code enhancements → moved up 0.5
Accountability: Evidence reads like A3: Logic and code he develops, plus shared client support; …</t>
        </is>
      </c>
      <c r="U207" s="31" t="inlineStr">
        <is>
          <t>Received · manager annual, quarterly, self · 1. Feature Delivery: Complete assigned features/stories with 90%+ sprint commitment accuracy .
2. Code Quality: Maintain a bug-escape rate below 5% · bugs found in production vs. total bugs for code shipped to production.
3. Test Coverage: Achieve and maintain 80%+ unit test coverage on all new code contributions.
4. …</t>
        </is>
      </c>
      <c r="V207" s="31" t="inlineStr">
        <is>
          <t>Latest rating: 3 · Potential: Medium · 9-box: Emerging Talent · Readiness: Develop in role</t>
        </is>
      </c>
      <c r="W207" s="31" t="inlineStr">
        <is>
          <t>C M · Au M · Ac M · L L · BI M · Exp M · 2.3 yrs vs 2–4 yrs · Edu M · B.E</t>
        </is>
      </c>
      <c r="X207" s="33" t="inlineStr">
        <is>
          <t>Open ▸</t>
        </is>
      </c>
      <c r="Y207" s="34" t="str">
        <f>IFERROR(INDEX(DL_C,MATCH($CA207,DL_KEY,0)),"M")</f>
        <v>H</v>
      </c>
      <c r="Z207" s="35" t="str">
        <f>IFERROR(INDEX(DL_Au,MATCH($CA207,DL_KEY,0)),"M")</f>
        <v>M</v>
      </c>
      <c r="AA207" s="35" t="str">
        <f>IFERROR(INDEX(DL_Ac,MATCH($CA207,DL_KEY,0)),"M")</f>
        <v>L</v>
      </c>
      <c r="AB207" s="35" t="str">
        <f>IFERROR(INDEX(DL_L,MATCH($CA207,DL_KEY,0)),"M")</f>
        <v>L</v>
      </c>
      <c r="AC207" s="35" t="str">
        <f>IFERROR(INDEX(DL_BI,MATCH($CA207,DL_KEY,0)),"M")</f>
        <v>L</v>
      </c>
      <c r="AD207" s="35" t="str">
        <f>IFERROR(INDEX(DL_Exp,MATCH($CA207,DL_KEY,0)),"M")</f>
        <v>L</v>
      </c>
      <c r="AE207" s="35" t="str">
        <f>IFERROR(INDEX(DL_Edu,MATCH($CA207,DL_KEY,0)),"M")</f>
        <v>L</v>
      </c>
      <c r="AF207" s="34" t="inlineStr">
        <is>
          <t>M</t>
        </is>
      </c>
      <c r="AG207" s="35" t="inlineStr">
        <is>
          <t>M</t>
        </is>
      </c>
      <c r="AH207" s="35" t="inlineStr">
        <is>
          <t>M</t>
        </is>
      </c>
      <c r="AI207" s="35" t="inlineStr">
        <is>
          <t>M</t>
        </is>
      </c>
      <c r="AJ207" s="35" t="inlineStr">
        <is>
          <t>M</t>
        </is>
      </c>
      <c r="AK207" s="35" t="inlineStr">
        <is>
          <t>M</t>
        </is>
      </c>
      <c r="AL207" s="35" t="inlineStr">
        <is>
          <t>M</t>
        </is>
      </c>
      <c r="AM207" s="36" t="n">
        <v>0.583</v>
      </c>
      <c r="AN207" s="37" t="n">
        <v>0.16</v>
      </c>
      <c r="AO207" s="37" t="n">
        <v>0.09</v>
      </c>
      <c r="AP207" s="37" t="n">
        <v>0</v>
      </c>
      <c r="AQ207" s="37" t="n">
        <v>0.063</v>
      </c>
      <c r="AR207" s="37" t="n">
        <v>0.06</v>
      </c>
      <c r="AS207" s="37" t="n">
        <v>0.04</v>
      </c>
      <c r="AT207" s="38" t="inlineStr">
        <is>
          <t>2–5</t>
        </is>
      </c>
      <c r="AU207" s="38" t="inlineStr">
        <is>
          <t>Graduate; relevant certification preferred</t>
        </is>
      </c>
      <c r="AV207" s="38" t="inlineStr">
        <is>
          <t>None · guides 1–3 juniors informally</t>
        </is>
      </c>
      <c r="AW207" s="38" t="inlineStr">
        <is>
          <t>P2 · SFIA 3 Apply</t>
        </is>
      </c>
      <c r="AX20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07" s="39" t="inlineStr">
        <is>
          <t>A3</t>
        </is>
      </c>
      <c r="AZ207" s="40" t="inlineStr">
        <is>
          <t>Band A · Practitioner · Senior Associate</t>
        </is>
      </c>
      <c r="BA207" s="40" t="inlineStr">
        <is>
          <t>Model A3 from the six ratings, the market-derived weights and rules R1–R13 · then No change · already below the manager</t>
        </is>
      </c>
      <c r="BB207" s="41" t="inlineStr">
        <is>
          <t>A3</t>
        </is>
      </c>
      <c r="BC207" s="40" t="inlineStr">
        <is>
          <t>The six ratings on the market-average weights of Band A · all tracks score 2.56 → A3 · Hay, Mercer IPE and public plans · experience 2.3 yrs vs the A3 market range 2–5</t>
        </is>
      </c>
      <c r="BD207" s="42">
        <f>IF(SUM(BM207,BN207,BO207,BP207,BQ207,BR207,BS207)=0,0,(BM207*BT207+BN207*BU207+BO207*BV207+BP207*BW207+BQ207*BX207+BR207*BY207+BS207*BZ207)/SUM(BM207,BN207,BO207,BP207,BQ207,BR207,BS207))</f>
        <v>0</v>
      </c>
      <c r="BE207" s="41" t="str">
        <f>IF(LEFT(AY207,1)="X",AY207,IF(OR(AY207="B+",AY207="C+"),INDEX(LAD_PC,MAX(1,MIN(14,MATCH(AY207,LAD_PC,0)+IF(BD207&gt;=0.5,1,IF(BD207&lt;=-0.5,-1,0))))),INDEX(LAD_STD,MAX(1,MIN(12,MATCH(AY207,LAD_STD,0)+IF(BD207&gt;=0.5,1,IF(BD207&lt;=-0.5,-1,0)))))))</f>
        <v>A3</v>
      </c>
      <c r="BF207" s="43" t="n"/>
      <c r="BG207" s="41" t="str">
        <f>IF(BF207&lt;&gt;"",BF207,BE207)</f>
        <v>A3</v>
      </c>
      <c r="BH207" s="40" t="str">
        <f>IFERROR(CHOOSE(INDEX(B_RANK,MATCH(BG207,B_LVL,0)),"Band A","Band B","B+ · Player-Coach","Band C","C+ · Player-Coach","Band D","Band E"),"Band X · Consultant")</f>
        <v>Band A</v>
      </c>
      <c r="BI207" s="40" t="str">
        <f>IF(BG207=AY207,"• Same",IF(INDEX(B_VAL,MATCH(BG207,B_LVL,0))&gt;INDEX(B_VAL,MATCH(AY207,B_LVL,0)),"▲ Up","▼ Down"))</f>
        <v>• Same</v>
      </c>
      <c r="BJ207" s="40" t="str">
        <f>IF(OR($M207="",$M207="—",$M207="Not in this file"),"",IFERROR(INDEX($BG$7:$BG$592,MATCH($M207,$D$7:$D$592,0)),""))</f>
        <v>B+</v>
      </c>
      <c r="BK207" s="40" t="str">
        <f>IFERROR(IF(BJ207="","—",IF(OR(LEFT(BG207,1)="X",LEFT(BJ207,1)="X"),"—",IF(AND(LEFT(BG207,1)="E",LEFT(BJ207,1)="E"),"Exception · Band E",IF(AND(INDEX(B_VAL,MATCH(BJ207,B_LVL,0))&gt;=7,INDEX(B_RANK,MATCH(BG207,B_LVL,0))&gt;=INDEX(B_RANK,MATCH(BJ207,B_LVL,0))),"⚠ Same band as a head manager",IF(INDEX(B_VAL,MATCH(BG207,B_LVL,0))&gt;=INDEX(B_VAL,MATCH(BJ207,B_LVL,0)),"⚠ At or above the manager's level","OK"))))),"—")</f>
        <v>OK</v>
      </c>
      <c r="BL207" s="43" t="n"/>
      <c r="BM207" s="44">
        <f>IFERROR(INDEX(LMH_PTS,MATCH(Y207,LMH_KEY,0)),0)</f>
        <v>9</v>
      </c>
      <c r="BN207" s="38">
        <f>IFERROR(INDEX(LMH_PTS,MATCH(Z207,LMH_KEY,0)),0)</f>
        <v>3</v>
      </c>
      <c r="BO207" s="38">
        <f>IFERROR(INDEX(LMH_PTS,MATCH(AA207,LMH_KEY,0)),0)</f>
        <v>1</v>
      </c>
      <c r="BP207" s="38">
        <f>IFERROR(INDEX(LMH_PTS,MATCH(AB207,LMH_KEY,0)),0)</f>
        <v>1</v>
      </c>
      <c r="BQ207" s="38">
        <f>IFERROR(INDEX(LMH_PTS,MATCH(AC207,LMH_KEY,0)),0)</f>
        <v>1</v>
      </c>
      <c r="BR207" s="38">
        <f>IFERROR(INDEX(LMH_PTS,MATCH(AD207,LMH_KEY,0)),0)</f>
        <v>1</v>
      </c>
      <c r="BS207" s="38">
        <f>IFERROR(INDEX(LMH_PTS,MATCH(AE207,LMH_KEY,0)),0)</f>
        <v>1</v>
      </c>
      <c r="BT207" s="38">
        <f>IFERROR(INDEX(LMH_STEP,MATCH(AF207,LMH_KEY,0)),0)</f>
        <v>0</v>
      </c>
      <c r="BU207" s="38">
        <f>IFERROR(INDEX(LMH_STEP,MATCH(AG207,LMH_KEY,0)),0)</f>
        <v>0</v>
      </c>
      <c r="BV207" s="38">
        <f>IFERROR(INDEX(LMH_STEP,MATCH(AH207,LMH_KEY,0)),0)</f>
        <v>0</v>
      </c>
      <c r="BW207" s="38">
        <f>IFERROR(INDEX(LMH_STEP,MATCH(AI207,LMH_KEY,0)),0)</f>
        <v>0</v>
      </c>
      <c r="BX207" s="38">
        <f>IFERROR(INDEX(LMH_STEP,MATCH(AJ207,LMH_KEY,0)),0)</f>
        <v>0</v>
      </c>
      <c r="BY207" s="38">
        <f>IFERROR(INDEX(LMH_STEP,MATCH(AK207,LMH_KEY,0)),0)</f>
        <v>0</v>
      </c>
      <c r="BZ207" s="38">
        <f>IFERROR(INDEX(LMH_STEP,MATCH(AL207,LMH_KEY,0)),0)</f>
        <v>0</v>
      </c>
      <c r="CA207" s="38" t="inlineStr">
        <is>
          <t>iDEAL|Technology|Senior Database Engineer|A3|A</t>
        </is>
      </c>
    </row>
    <row r="208" ht="110" customHeight="1">
      <c r="A208" s="28" t="inlineStr">
        <is>
          <t>iDEAL</t>
        </is>
      </c>
      <c r="B208" s="29" t="inlineStr">
        <is>
          <t>Technology</t>
        </is>
      </c>
      <c r="C208" s="29" t="n">
        <v>4</v>
      </c>
      <c r="D208" s="29" t="inlineStr">
        <is>
          <t>IRIS2258</t>
        </is>
      </c>
      <c r="E208" s="29" t="inlineStr">
        <is>
          <t>Vaibhav Govind Gahat</t>
        </is>
      </c>
      <c r="F208" s="29" t="inlineStr">
        <is>
          <t>Software Engineer</t>
        </is>
      </c>
      <c r="G208" s="29" t="inlineStr">
        <is>
          <t>Senior Software Engineer</t>
        </is>
      </c>
      <c r="H208" s="29" t="inlineStr">
        <is>
          <t>Engineering &amp; Development</t>
        </is>
      </c>
      <c r="I208" s="29" t="inlineStr">
        <is>
          <t>Backend Development</t>
        </is>
      </c>
      <c r="J208" s="29" t="inlineStr">
        <is>
          <t>IC</t>
        </is>
      </c>
      <c r="K208" s="29" t="inlineStr">
        <is>
          <t>RC-067</t>
        </is>
      </c>
      <c r="L208" s="29" t="inlineStr">
        <is>
          <t>Jitendra Kumar</t>
        </is>
      </c>
      <c r="M208" s="29" t="inlineStr">
        <is>
          <t>IRIS0810</t>
        </is>
      </c>
      <c r="N208" s="29" t="n">
        <v>2.3</v>
      </c>
      <c r="O208" s="29" t="n">
        <v>2.3</v>
      </c>
      <c r="P208" s="29" t="inlineStr">
        <is>
          <t>B.E</t>
        </is>
      </c>
      <c r="Q208" s="29" t="inlineStr">
        <is>
          <t>L3 – Professional / Associate</t>
        </is>
      </c>
      <c r="R208" s="29" t="inlineStr">
        <is>
          <t>A3</t>
        </is>
      </c>
      <c r="S208" s="30" t="inlineStr">
        <is>
          <t>20 of 20</t>
        </is>
      </c>
      <c r="T208" s="31" t="inlineStr">
        <is>
          <t>Complexity: Evidence reads like A3: Answers for Data automation module and API issues; deployment, table creation, performance enhancements → moved up 0.5
Autonomy: Evidence reads like A2: Decides performance enhancements and documentation → matches the start
Accountability: Evidence reads like A3: Data automation module and API-related issues in iDEAL …</t>
        </is>
      </c>
      <c r="U208" s="31" t="inlineStr">
        <is>
          <t>Received · manager annual, quarterly, self · 1. Feature Delivery: Complete assigned features/stories with 90%+ sprint commitment accuracy .
2. Code Quality: Maintain a bug-escape rate below 5% · bugs found in production vs. total bugs for code shipped to production.
3. Test Coverage: Achieve and maintain 80%+ unit test coverage on all new code contributions.
4. …</t>
        </is>
      </c>
      <c r="V208" s="31" t="inlineStr">
        <is>
          <t>Latest rating: 4 · Potential: High · 9-box: Emerging Talent · Readiness: Ready now</t>
        </is>
      </c>
      <c r="W208" s="31" t="inlineStr">
        <is>
          <t>C M · Au L · Ac M · L L · BI M · Exp M · 2.3 yrs vs 2–4 yrs · Edu M · B.E</t>
        </is>
      </c>
      <c r="X208" s="33" t="inlineStr">
        <is>
          <t>Open ▸</t>
        </is>
      </c>
      <c r="Y208" s="34" t="str">
        <f>IFERROR(INDEX(DL_C,MATCH($CA208,DL_KEY,0)),"M")</f>
        <v>H</v>
      </c>
      <c r="Z208" s="35" t="str">
        <f>IFERROR(INDEX(DL_Au,MATCH($CA208,DL_KEY,0)),"M")</f>
        <v>M</v>
      </c>
      <c r="AA208" s="35" t="str">
        <f>IFERROR(INDEX(DL_Ac,MATCH($CA208,DL_KEY,0)),"M")</f>
        <v>L</v>
      </c>
      <c r="AB208" s="35" t="str">
        <f>IFERROR(INDEX(DL_L,MATCH($CA208,DL_KEY,0)),"M")</f>
        <v>L</v>
      </c>
      <c r="AC208" s="35" t="str">
        <f>IFERROR(INDEX(DL_BI,MATCH($CA208,DL_KEY,0)),"M")</f>
        <v>L</v>
      </c>
      <c r="AD208" s="35" t="str">
        <f>IFERROR(INDEX(DL_Exp,MATCH($CA208,DL_KEY,0)),"M")</f>
        <v>L</v>
      </c>
      <c r="AE208" s="35" t="str">
        <f>IFERROR(INDEX(DL_Edu,MATCH($CA208,DL_KEY,0)),"M")</f>
        <v>L</v>
      </c>
      <c r="AF208" s="34" t="inlineStr">
        <is>
          <t>M</t>
        </is>
      </c>
      <c r="AG208" s="35" t="inlineStr">
        <is>
          <t>M</t>
        </is>
      </c>
      <c r="AH208" s="35" t="inlineStr">
        <is>
          <t>M</t>
        </is>
      </c>
      <c r="AI208" s="35" t="inlineStr">
        <is>
          <t>M</t>
        </is>
      </c>
      <c r="AJ208" s="35" t="inlineStr">
        <is>
          <t>M</t>
        </is>
      </c>
      <c r="AK208" s="35" t="inlineStr">
        <is>
          <t>M</t>
        </is>
      </c>
      <c r="AL208" s="35" t="inlineStr">
        <is>
          <t>M</t>
        </is>
      </c>
      <c r="AM208" s="36" t="n">
        <v>0.583</v>
      </c>
      <c r="AN208" s="37" t="n">
        <v>0.16</v>
      </c>
      <c r="AO208" s="37" t="n">
        <v>0.09</v>
      </c>
      <c r="AP208" s="37" t="n">
        <v>0</v>
      </c>
      <c r="AQ208" s="37" t="n">
        <v>0.063</v>
      </c>
      <c r="AR208" s="37" t="n">
        <v>0.06</v>
      </c>
      <c r="AS208" s="37" t="n">
        <v>0.04</v>
      </c>
      <c r="AT208" s="38" t="inlineStr">
        <is>
          <t>2–5</t>
        </is>
      </c>
      <c r="AU208" s="38" t="inlineStr">
        <is>
          <t>Graduate; relevant certification preferred</t>
        </is>
      </c>
      <c r="AV208" s="38" t="inlineStr">
        <is>
          <t>None · guides 1–3 juniors informally</t>
        </is>
      </c>
      <c r="AW208" s="38" t="inlineStr">
        <is>
          <t>P2 · SFIA 3 Apply</t>
        </is>
      </c>
      <c r="AX20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08" s="39" t="inlineStr">
        <is>
          <t>A3</t>
        </is>
      </c>
      <c r="AZ208" s="40" t="inlineStr">
        <is>
          <t>Band A · Practitioner · Senior Associate</t>
        </is>
      </c>
      <c r="BA208" s="40" t="inlineStr">
        <is>
          <t>Model A3 from the six ratings, the market-derived weights and rules R1–R13 · then No change · already below the manager</t>
        </is>
      </c>
      <c r="BB208" s="41" t="inlineStr">
        <is>
          <t>A2</t>
        </is>
      </c>
      <c r="BC208" s="40" t="inlineStr">
        <is>
          <t>The six ratings on the market-average weights of Band A · all tracks score 2.45 → A2 · Hay, Mercer IPE and public plans · experience 2.3 yrs vs the A2 market range 0–3</t>
        </is>
      </c>
      <c r="BD208" s="42">
        <f>IF(SUM(BM208,BN208,BO208,BP208,BQ208,BR208,BS208)=0,0,(BM208*BT208+BN208*BU208+BO208*BV208+BP208*BW208+BQ208*BX208+BR208*BY208+BS208*BZ208)/SUM(BM208,BN208,BO208,BP208,BQ208,BR208,BS208))</f>
        <v>0</v>
      </c>
      <c r="BE208" s="41" t="str">
        <f>IF(LEFT(AY208,1)="X",AY208,IF(OR(AY208="B+",AY208="C+"),INDEX(LAD_PC,MAX(1,MIN(14,MATCH(AY208,LAD_PC,0)+IF(BD208&gt;=0.5,1,IF(BD208&lt;=-0.5,-1,0))))),INDEX(LAD_STD,MAX(1,MIN(12,MATCH(AY208,LAD_STD,0)+IF(BD208&gt;=0.5,1,IF(BD208&lt;=-0.5,-1,0)))))))</f>
        <v>A3</v>
      </c>
      <c r="BF208" s="43" t="n"/>
      <c r="BG208" s="41" t="str">
        <f>IF(BF208&lt;&gt;"",BF208,BE208)</f>
        <v>A3</v>
      </c>
      <c r="BH208" s="40" t="str">
        <f>IFERROR(CHOOSE(INDEX(B_RANK,MATCH(BG208,B_LVL,0)),"Band A","Band B","B+ · Player-Coach","Band C","C+ · Player-Coach","Band D","Band E"),"Band X · Consultant")</f>
        <v>Band A</v>
      </c>
      <c r="BI208" s="40" t="str">
        <f>IF(BG208=AY208,"• Same",IF(INDEX(B_VAL,MATCH(BG208,B_LVL,0))&gt;INDEX(B_VAL,MATCH(AY208,B_LVL,0)),"▲ Up","▼ Down"))</f>
        <v>• Same</v>
      </c>
      <c r="BJ208" s="40" t="str">
        <f>IF(OR($M208="",$M208="—",$M208="Not in this file"),"",IFERROR(INDEX($BG$7:$BG$592,MATCH($M208,$D$7:$D$592,0)),""))</f>
        <v>B+</v>
      </c>
      <c r="BK208" s="40" t="str">
        <f>IFERROR(IF(BJ208="","—",IF(OR(LEFT(BG208,1)="X",LEFT(BJ208,1)="X"),"—",IF(AND(LEFT(BG208,1)="E",LEFT(BJ208,1)="E"),"Exception · Band E",IF(AND(INDEX(B_VAL,MATCH(BJ208,B_LVL,0))&gt;=7,INDEX(B_RANK,MATCH(BG208,B_LVL,0))&gt;=INDEX(B_RANK,MATCH(BJ208,B_LVL,0))),"⚠ Same band as a head manager",IF(INDEX(B_VAL,MATCH(BG208,B_LVL,0))&gt;=INDEX(B_VAL,MATCH(BJ208,B_LVL,0)),"⚠ At or above the manager's level","OK"))))),"—")</f>
        <v>OK</v>
      </c>
      <c r="BL208" s="43" t="n"/>
      <c r="BM208" s="44">
        <f>IFERROR(INDEX(LMH_PTS,MATCH(Y208,LMH_KEY,0)),0)</f>
        <v>9</v>
      </c>
      <c r="BN208" s="38">
        <f>IFERROR(INDEX(LMH_PTS,MATCH(Z208,LMH_KEY,0)),0)</f>
        <v>3</v>
      </c>
      <c r="BO208" s="38">
        <f>IFERROR(INDEX(LMH_PTS,MATCH(AA208,LMH_KEY,0)),0)</f>
        <v>1</v>
      </c>
      <c r="BP208" s="38">
        <f>IFERROR(INDEX(LMH_PTS,MATCH(AB208,LMH_KEY,0)),0)</f>
        <v>1</v>
      </c>
      <c r="BQ208" s="38">
        <f>IFERROR(INDEX(LMH_PTS,MATCH(AC208,LMH_KEY,0)),0)</f>
        <v>1</v>
      </c>
      <c r="BR208" s="38">
        <f>IFERROR(INDEX(LMH_PTS,MATCH(AD208,LMH_KEY,0)),0)</f>
        <v>1</v>
      </c>
      <c r="BS208" s="38">
        <f>IFERROR(INDEX(LMH_PTS,MATCH(AE208,LMH_KEY,0)),0)</f>
        <v>1</v>
      </c>
      <c r="BT208" s="38">
        <f>IFERROR(INDEX(LMH_STEP,MATCH(AF208,LMH_KEY,0)),0)</f>
        <v>0</v>
      </c>
      <c r="BU208" s="38">
        <f>IFERROR(INDEX(LMH_STEP,MATCH(AG208,LMH_KEY,0)),0)</f>
        <v>0</v>
      </c>
      <c r="BV208" s="38">
        <f>IFERROR(INDEX(LMH_STEP,MATCH(AH208,LMH_KEY,0)),0)</f>
        <v>0</v>
      </c>
      <c r="BW208" s="38">
        <f>IFERROR(INDEX(LMH_STEP,MATCH(AI208,LMH_KEY,0)),0)</f>
        <v>0</v>
      </c>
      <c r="BX208" s="38">
        <f>IFERROR(INDEX(LMH_STEP,MATCH(AJ208,LMH_KEY,0)),0)</f>
        <v>0</v>
      </c>
      <c r="BY208" s="38">
        <f>IFERROR(INDEX(LMH_STEP,MATCH(AK208,LMH_KEY,0)),0)</f>
        <v>0</v>
      </c>
      <c r="BZ208" s="38">
        <f>IFERROR(INDEX(LMH_STEP,MATCH(AL208,LMH_KEY,0)),0)</f>
        <v>0</v>
      </c>
      <c r="CA208" s="38" t="inlineStr">
        <is>
          <t>iDEAL|Technology|Senior Software Engineer|A3|A</t>
        </is>
      </c>
    </row>
    <row r="209" ht="110" customHeight="1">
      <c r="A209" s="28" t="inlineStr">
        <is>
          <t>iDEAL</t>
        </is>
      </c>
      <c r="B209" s="29" t="inlineStr">
        <is>
          <t>Technology</t>
        </is>
      </c>
      <c r="C209" s="29" t="n">
        <v>4</v>
      </c>
      <c r="D209" s="29" t="inlineStr">
        <is>
          <t>IRIS2018</t>
        </is>
      </c>
      <c r="E209" s="29" t="inlineStr">
        <is>
          <t>Varsha Patil</t>
        </is>
      </c>
      <c r="F209" s="29" t="inlineStr">
        <is>
          <t>Software Engineer</t>
        </is>
      </c>
      <c r="G209" s="29" t="inlineStr">
        <is>
          <t>Senior Software Engineer</t>
        </is>
      </c>
      <c r="H209" s="29" t="inlineStr">
        <is>
          <t>Engineering &amp; Development</t>
        </is>
      </c>
      <c r="I209" s="29" t="inlineStr">
        <is>
          <t>Backend Development</t>
        </is>
      </c>
      <c r="J209" s="29" t="inlineStr">
        <is>
          <t>IC</t>
        </is>
      </c>
      <c r="K209" s="29" t="inlineStr">
        <is>
          <t>RC-067</t>
        </is>
      </c>
      <c r="L209" s="29" t="inlineStr">
        <is>
          <t>Jitendra Kumar</t>
        </is>
      </c>
      <c r="M209" s="29" t="inlineStr">
        <is>
          <t>IRIS0810</t>
        </is>
      </c>
      <c r="N209" s="29" t="n">
        <v>5.3</v>
      </c>
      <c r="O209" s="29" t="n">
        <v>4.3</v>
      </c>
      <c r="P209" s="29" t="inlineStr">
        <is>
          <t>B.E</t>
        </is>
      </c>
      <c r="Q209" s="29" t="inlineStr">
        <is>
          <t>L3 – Professional / Associate</t>
        </is>
      </c>
      <c r="R209" s="29" t="inlineStr">
        <is>
          <t>A3</t>
        </is>
      </c>
      <c r="S209" s="30" t="inlineStr">
        <is>
          <t>20 of 20</t>
        </is>
      </c>
      <c r="T209" s="31" t="inlineStr">
        <is>
          <t>Complexity: Evidence reads like A2: Develops features, supports production issues, fixes bugs; no specifics in own answers → matches the start
Autonomy: Evidence reads like A2: Only 'improve existing code' given as independent decision → matches the start
Accountability: Evidence reads like A3: Production support; KRA gives ownership of non-XBRL WebIDEAL …</t>
        </is>
      </c>
      <c r="U209" s="31" t="inlineStr">
        <is>
          <t>Received · manager annual, quarterly, self · 1. AI-Assisted Development Adoption: Use AI coding assistants for at least 60% of development tasks , with no increase in bug-escape rate.
2. Test Coverage: Achieve and maintain 80%+ unit test coverage on all new code contributions.
3. Ownership: Complete iDEAL6.0 Application development with end-to-end ownership and …</t>
        </is>
      </c>
      <c r="V209" s="31" t="inlineStr">
        <is>
          <t>Latest rating: 3 · Potential: Medium · 9-box: Core Contributor · Readiness: Develop in role</t>
        </is>
      </c>
      <c r="W209" s="31" t="inlineStr">
        <is>
          <t>C L · Au L · Ac M · L L · BI M · Exp H · 5.3 yrs vs 2–4 yrs · Edu M · B.E</t>
        </is>
      </c>
      <c r="X209" s="33" t="inlineStr">
        <is>
          <t>Open ▸</t>
        </is>
      </c>
      <c r="Y209" s="34" t="str">
        <f>IFERROR(INDEX(DL_C,MATCH($CA209,DL_KEY,0)),"M")</f>
        <v>H</v>
      </c>
      <c r="Z209" s="35" t="str">
        <f>IFERROR(INDEX(DL_Au,MATCH($CA209,DL_KEY,0)),"M")</f>
        <v>M</v>
      </c>
      <c r="AA209" s="35" t="str">
        <f>IFERROR(INDEX(DL_Ac,MATCH($CA209,DL_KEY,0)),"M")</f>
        <v>L</v>
      </c>
      <c r="AB209" s="35" t="str">
        <f>IFERROR(INDEX(DL_L,MATCH($CA209,DL_KEY,0)),"M")</f>
        <v>L</v>
      </c>
      <c r="AC209" s="35" t="str">
        <f>IFERROR(INDEX(DL_BI,MATCH($CA209,DL_KEY,0)),"M")</f>
        <v>L</v>
      </c>
      <c r="AD209" s="35" t="str">
        <f>IFERROR(INDEX(DL_Exp,MATCH($CA209,DL_KEY,0)),"M")</f>
        <v>L</v>
      </c>
      <c r="AE209" s="35" t="str">
        <f>IFERROR(INDEX(DL_Edu,MATCH($CA209,DL_KEY,0)),"M")</f>
        <v>L</v>
      </c>
      <c r="AF209" s="34" t="inlineStr">
        <is>
          <t>M</t>
        </is>
      </c>
      <c r="AG209" s="35" t="inlineStr">
        <is>
          <t>M</t>
        </is>
      </c>
      <c r="AH209" s="35" t="inlineStr">
        <is>
          <t>M</t>
        </is>
      </c>
      <c r="AI209" s="35" t="inlineStr">
        <is>
          <t>M</t>
        </is>
      </c>
      <c r="AJ209" s="35" t="inlineStr">
        <is>
          <t>M</t>
        </is>
      </c>
      <c r="AK209" s="35" t="inlineStr">
        <is>
          <t>M</t>
        </is>
      </c>
      <c r="AL209" s="35" t="inlineStr">
        <is>
          <t>M</t>
        </is>
      </c>
      <c r="AM209" s="36" t="n">
        <v>0.583</v>
      </c>
      <c r="AN209" s="37" t="n">
        <v>0.16</v>
      </c>
      <c r="AO209" s="37" t="n">
        <v>0.09</v>
      </c>
      <c r="AP209" s="37" t="n">
        <v>0</v>
      </c>
      <c r="AQ209" s="37" t="n">
        <v>0.063</v>
      </c>
      <c r="AR209" s="37" t="n">
        <v>0.06</v>
      </c>
      <c r="AS209" s="37" t="n">
        <v>0.04</v>
      </c>
      <c r="AT209" s="38" t="inlineStr">
        <is>
          <t>2–5</t>
        </is>
      </c>
      <c r="AU209" s="38" t="inlineStr">
        <is>
          <t>Graduate; relevant certification preferred</t>
        </is>
      </c>
      <c r="AV209" s="38" t="inlineStr">
        <is>
          <t>None · guides 1–3 juniors informally</t>
        </is>
      </c>
      <c r="AW209" s="38" t="inlineStr">
        <is>
          <t>P2 · SFIA 3 Apply</t>
        </is>
      </c>
      <c r="AX20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09" s="39" t="inlineStr">
        <is>
          <t>A3</t>
        </is>
      </c>
      <c r="AZ209" s="40" t="inlineStr">
        <is>
          <t>Band A · Practitioner · Senior Associate</t>
        </is>
      </c>
      <c r="BA209" s="40" t="inlineStr">
        <is>
          <t>Model A3 from the six ratings, the market-derived weights and rules R1–R13 · then No change · already below the manager</t>
        </is>
      </c>
      <c r="BB209" s="41" t="inlineStr">
        <is>
          <t>A2</t>
        </is>
      </c>
      <c r="BC209" s="40" t="inlineStr">
        <is>
          <t>The six ratings on the market-average weights of Band A · all tracks score 2.28 → A2 · Hay, Mercer IPE and public plans · experience 5.3 yrs vs the A2 market range 0–3</t>
        </is>
      </c>
      <c r="BD209" s="42">
        <f>IF(SUM(BM209,BN209,BO209,BP209,BQ209,BR209,BS209)=0,0,(BM209*BT209+BN209*BU209+BO209*BV209+BP209*BW209+BQ209*BX209+BR209*BY209+BS209*BZ209)/SUM(BM209,BN209,BO209,BP209,BQ209,BR209,BS209))</f>
        <v>0</v>
      </c>
      <c r="BE209" s="41" t="str">
        <f>IF(LEFT(AY209,1)="X",AY209,IF(OR(AY209="B+",AY209="C+"),INDEX(LAD_PC,MAX(1,MIN(14,MATCH(AY209,LAD_PC,0)+IF(BD209&gt;=0.5,1,IF(BD209&lt;=-0.5,-1,0))))),INDEX(LAD_STD,MAX(1,MIN(12,MATCH(AY209,LAD_STD,0)+IF(BD209&gt;=0.5,1,IF(BD209&lt;=-0.5,-1,0)))))))</f>
        <v>A3</v>
      </c>
      <c r="BF209" s="43" t="n"/>
      <c r="BG209" s="41" t="str">
        <f>IF(BF209&lt;&gt;"",BF209,BE209)</f>
        <v>A3</v>
      </c>
      <c r="BH209" s="40" t="str">
        <f>IFERROR(CHOOSE(INDEX(B_RANK,MATCH(BG209,B_LVL,0)),"Band A","Band B","B+ · Player-Coach","Band C","C+ · Player-Coach","Band D","Band E"),"Band X · Consultant")</f>
        <v>Band A</v>
      </c>
      <c r="BI209" s="40" t="str">
        <f>IF(BG209=AY209,"• Same",IF(INDEX(B_VAL,MATCH(BG209,B_LVL,0))&gt;INDEX(B_VAL,MATCH(AY209,B_LVL,0)),"▲ Up","▼ Down"))</f>
        <v>• Same</v>
      </c>
      <c r="BJ209" s="40" t="str">
        <f>IF(OR($M209="",$M209="—",$M209="Not in this file"),"",IFERROR(INDEX($BG$7:$BG$592,MATCH($M209,$D$7:$D$592,0)),""))</f>
        <v>B+</v>
      </c>
      <c r="BK209" s="40" t="str">
        <f>IFERROR(IF(BJ209="","—",IF(OR(LEFT(BG209,1)="X",LEFT(BJ209,1)="X"),"—",IF(AND(LEFT(BG209,1)="E",LEFT(BJ209,1)="E"),"Exception · Band E",IF(AND(INDEX(B_VAL,MATCH(BJ209,B_LVL,0))&gt;=7,INDEX(B_RANK,MATCH(BG209,B_LVL,0))&gt;=INDEX(B_RANK,MATCH(BJ209,B_LVL,0))),"⚠ Same band as a head manager",IF(INDEX(B_VAL,MATCH(BG209,B_LVL,0))&gt;=INDEX(B_VAL,MATCH(BJ209,B_LVL,0)),"⚠ At or above the manager's level","OK"))))),"—")</f>
        <v>OK</v>
      </c>
      <c r="BL209" s="43" t="n"/>
      <c r="BM209" s="44">
        <f>IFERROR(INDEX(LMH_PTS,MATCH(Y209,LMH_KEY,0)),0)</f>
        <v>9</v>
      </c>
      <c r="BN209" s="38">
        <f>IFERROR(INDEX(LMH_PTS,MATCH(Z209,LMH_KEY,0)),0)</f>
        <v>3</v>
      </c>
      <c r="BO209" s="38">
        <f>IFERROR(INDEX(LMH_PTS,MATCH(AA209,LMH_KEY,0)),0)</f>
        <v>1</v>
      </c>
      <c r="BP209" s="38">
        <f>IFERROR(INDEX(LMH_PTS,MATCH(AB209,LMH_KEY,0)),0)</f>
        <v>1</v>
      </c>
      <c r="BQ209" s="38">
        <f>IFERROR(INDEX(LMH_PTS,MATCH(AC209,LMH_KEY,0)),0)</f>
        <v>1</v>
      </c>
      <c r="BR209" s="38">
        <f>IFERROR(INDEX(LMH_PTS,MATCH(AD209,LMH_KEY,0)),0)</f>
        <v>1</v>
      </c>
      <c r="BS209" s="38">
        <f>IFERROR(INDEX(LMH_PTS,MATCH(AE209,LMH_KEY,0)),0)</f>
        <v>1</v>
      </c>
      <c r="BT209" s="38">
        <f>IFERROR(INDEX(LMH_STEP,MATCH(AF209,LMH_KEY,0)),0)</f>
        <v>0</v>
      </c>
      <c r="BU209" s="38">
        <f>IFERROR(INDEX(LMH_STEP,MATCH(AG209,LMH_KEY,0)),0)</f>
        <v>0</v>
      </c>
      <c r="BV209" s="38">
        <f>IFERROR(INDEX(LMH_STEP,MATCH(AH209,LMH_KEY,0)),0)</f>
        <v>0</v>
      </c>
      <c r="BW209" s="38">
        <f>IFERROR(INDEX(LMH_STEP,MATCH(AI209,LMH_KEY,0)),0)</f>
        <v>0</v>
      </c>
      <c r="BX209" s="38">
        <f>IFERROR(INDEX(LMH_STEP,MATCH(AJ209,LMH_KEY,0)),0)</f>
        <v>0</v>
      </c>
      <c r="BY209" s="38">
        <f>IFERROR(INDEX(LMH_STEP,MATCH(AK209,LMH_KEY,0)),0)</f>
        <v>0</v>
      </c>
      <c r="BZ209" s="38">
        <f>IFERROR(INDEX(LMH_STEP,MATCH(AL209,LMH_KEY,0)),0)</f>
        <v>0</v>
      </c>
      <c r="CA209" s="38" t="inlineStr">
        <is>
          <t>iDEAL|Technology|Senior Software Engineer|A3|A</t>
        </is>
      </c>
    </row>
    <row r="210" ht="110" customHeight="1">
      <c r="A210" s="28" t="inlineStr">
        <is>
          <t>iDEAL</t>
        </is>
      </c>
      <c r="B210" s="29" t="inlineStr">
        <is>
          <t>Technology</t>
        </is>
      </c>
      <c r="C210" s="29" t="n">
        <v>3</v>
      </c>
      <c r="D210" s="29" t="inlineStr">
        <is>
          <t>IRIS2104</t>
        </is>
      </c>
      <c r="E210" s="29" t="inlineStr">
        <is>
          <t>Ravi Ranjan</t>
        </is>
      </c>
      <c r="F210" s="29" t="inlineStr">
        <is>
          <t>Lead Software Engineer</t>
        </is>
      </c>
      <c r="G210" s="29" t="inlineStr">
        <is>
          <t>Lead Software Engineer</t>
        </is>
      </c>
      <c r="H210" s="29" t="inlineStr">
        <is>
          <t>Engineering &amp; Development</t>
        </is>
      </c>
      <c r="I210" s="29" t="inlineStr">
        <is>
          <t>Backend Development</t>
        </is>
      </c>
      <c r="J210" s="29" t="inlineStr">
        <is>
          <t>IC</t>
        </is>
      </c>
      <c r="K210" s="29" t="inlineStr">
        <is>
          <t>RC-071</t>
        </is>
      </c>
      <c r="L210" s="29" t="inlineStr">
        <is>
          <t>Hemant Karale</t>
        </is>
      </c>
      <c r="M210" s="29" t="inlineStr">
        <is>
          <t>IRIS1224</t>
        </is>
      </c>
      <c r="N210" s="29" t="n">
        <v>25.6</v>
      </c>
      <c r="O210" s="29" t="n">
        <v>3.6</v>
      </c>
      <c r="P210" s="29" t="inlineStr">
        <is>
          <t>MCA</t>
        </is>
      </c>
      <c r="Q210" s="29" t="inlineStr">
        <is>
          <t>L5 – Lead · IC</t>
        </is>
      </c>
      <c r="R210" s="29" t="inlineStr">
        <is>
          <t>B3</t>
        </is>
      </c>
      <c r="S210" s="30" t="inlineStr">
        <is>
          <t>20 of 20</t>
        </is>
      </c>
      <c r="T210" s="31" t="inlineStr">
        <is>
          <t>Complexity: Evidence reads like B1: SAML implementation,.NET Framework to.NET Core upgrade, load-balancer work, security testing with Burp Suite → moved down 1
Autonomy: Evidence reads like B1: Decides SAML feature enhancement and the framework upgrade for the product → moved down 1
Accountability: Evidence reads like A3: Accountable for SAML implementation …</t>
        </is>
      </c>
      <c r="U210" s="31" t="inlineStr">
        <is>
          <t>Received · manager annual, quarterly, self · 1. Identify and develop AI-driven functionalities. At least 2 · fully developed New AI Features to be released with the year. Encourage the AI adoption in the team to improve Software development business efficiency and operational effectiveness.
2. Successfully launch iDEAL 6.0 with enhanced functionality and …</t>
        </is>
      </c>
      <c r="V210" s="31" t="inlineStr">
        <is>
          <t>Latest rating: 4 · 9-box: Not placed · manager · Readiness: Ready in 6–12 months</t>
        </is>
      </c>
      <c r="W210" s="31" t="inlineStr">
        <is>
          <t>C L · Au L · Ac L · L L · BI M · Exp H · 25.6 yrs vs 8–12 yrs · Edu M · MCA</t>
        </is>
      </c>
      <c r="X210" s="33" t="inlineStr">
        <is>
          <t>Open ▸</t>
        </is>
      </c>
      <c r="Y210" s="34" t="str">
        <f>IFERROR(INDEX(DL_C,MATCH($CA210,DL_KEY,0)),"M")</f>
        <v>H</v>
      </c>
      <c r="Z210" s="35" t="str">
        <f>IFERROR(INDEX(DL_Au,MATCH($CA210,DL_KEY,0)),"M")</f>
        <v>M</v>
      </c>
      <c r="AA210" s="35" t="str">
        <f>IFERROR(INDEX(DL_Ac,MATCH($CA210,DL_KEY,0)),"M")</f>
        <v>L</v>
      </c>
      <c r="AB210" s="35" t="str">
        <f>IFERROR(INDEX(DL_L,MATCH($CA210,DL_KEY,0)),"M")</f>
        <v>L</v>
      </c>
      <c r="AC210" s="35" t="str">
        <f>IFERROR(INDEX(DL_BI,MATCH($CA210,DL_KEY,0)),"M")</f>
        <v>L</v>
      </c>
      <c r="AD210" s="35" t="str">
        <f>IFERROR(INDEX(DL_Exp,MATCH($CA210,DL_KEY,0)),"M")</f>
        <v>L</v>
      </c>
      <c r="AE210" s="35" t="str">
        <f>IFERROR(INDEX(DL_Edu,MATCH($CA210,DL_KEY,0)),"M")</f>
        <v>L</v>
      </c>
      <c r="AF210" s="34" t="inlineStr">
        <is>
          <t>M</t>
        </is>
      </c>
      <c r="AG210" s="35" t="inlineStr">
        <is>
          <t>M</t>
        </is>
      </c>
      <c r="AH210" s="35" t="inlineStr">
        <is>
          <t>M</t>
        </is>
      </c>
      <c r="AI210" s="35" t="inlineStr">
        <is>
          <t>M</t>
        </is>
      </c>
      <c r="AJ210" s="35" t="inlineStr">
        <is>
          <t>M</t>
        </is>
      </c>
      <c r="AK210" s="35" t="inlineStr">
        <is>
          <t>M</t>
        </is>
      </c>
      <c r="AL210" s="35" t="inlineStr">
        <is>
          <t>M</t>
        </is>
      </c>
      <c r="AM210" s="36" t="n">
        <v>0.513</v>
      </c>
      <c r="AN210" s="37" t="n">
        <v>0.173</v>
      </c>
      <c r="AO210" s="37" t="n">
        <v>0.09699999999999999</v>
      </c>
      <c r="AP210" s="37" t="n">
        <v>0.05</v>
      </c>
      <c r="AQ210" s="37" t="n">
        <v>0.07000000000000001</v>
      </c>
      <c r="AR210" s="37" t="n">
        <v>0.06</v>
      </c>
      <c r="AS210" s="37" t="n">
        <v>0.04</v>
      </c>
      <c r="AT210" s="38" t="inlineStr">
        <is>
          <t>8–13</t>
        </is>
      </c>
      <c r="AU210" s="38" t="inlineStr">
        <is>
          <t>Postgraduate or professional qualification preferred</t>
        </is>
      </c>
      <c r="AV210" s="38" t="inlineStr">
        <is>
          <t>IC: none · People: 5–8 incl. team leads</t>
        </is>
      </c>
      <c r="AW210" s="38" t="inlineStr">
        <is>
          <t>P5 / M4 · SFIA 5 Ensure, advise</t>
        </is>
      </c>
      <c r="AX21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10" s="39" t="inlineStr">
        <is>
          <t>B3</t>
        </is>
      </c>
      <c r="AZ210" s="40" t="inlineStr">
        <is>
          <t>Band B · Specialist / Manager · Lead Specialist</t>
        </is>
      </c>
      <c r="BA210" s="40" t="inlineStr">
        <is>
          <t>Model B3 from the six ratings, the market-derived weights and rules R1–R13 · then No change · already below the manager</t>
        </is>
      </c>
      <c r="BB210" s="41" t="inlineStr">
        <is>
          <t>B3</t>
        </is>
      </c>
      <c r="BC210" s="40" t="inlineStr">
        <is>
          <t>The six ratings on the market-average weights of Band B · Specialist / POD Lead score 5.68 → B3 · Hay, Mercer IPE and public plans · experience 25.6 yrs vs the B3 market range 8–13</t>
        </is>
      </c>
      <c r="BD210" s="42">
        <f>IF(SUM(BM210,BN210,BO210,BP210,BQ210,BR210,BS210)=0,0,(BM210*BT210+BN210*BU210+BO210*BV210+BP210*BW210+BQ210*BX210+BR210*BY210+BS210*BZ210)/SUM(BM210,BN210,BO210,BP210,BQ210,BR210,BS210))</f>
        <v>0</v>
      </c>
      <c r="BE210" s="41" t="str">
        <f>IF(LEFT(AY210,1)="X",AY210,IF(OR(AY210="B+",AY210="C+"),INDEX(LAD_PC,MAX(1,MIN(14,MATCH(AY210,LAD_PC,0)+IF(BD210&gt;=0.5,1,IF(BD210&lt;=-0.5,-1,0))))),INDEX(LAD_STD,MAX(1,MIN(12,MATCH(AY210,LAD_STD,0)+IF(BD210&gt;=0.5,1,IF(BD210&lt;=-0.5,-1,0)))))))</f>
        <v>B3</v>
      </c>
      <c r="BF210" s="43" t="n"/>
      <c r="BG210" s="41" t="str">
        <f>IF(BF210&lt;&gt;"",BF210,BE210)</f>
        <v>B3</v>
      </c>
      <c r="BH210" s="40" t="str">
        <f>IFERROR(CHOOSE(INDEX(B_RANK,MATCH(BG210,B_LVL,0)),"Band A","Band B","B+ · Player-Coach","Band C","C+ · Player-Coach","Band D","Band E"),"Band X · Consultant")</f>
        <v>Band B</v>
      </c>
      <c r="BI210" s="40" t="str">
        <f>IF(BG210=AY210,"• Same",IF(INDEX(B_VAL,MATCH(BG210,B_LVL,0))&gt;INDEX(B_VAL,MATCH(AY210,B_LVL,0)),"▲ Up","▼ Down"))</f>
        <v>• Same</v>
      </c>
      <c r="BJ210" s="40" t="str">
        <f>IF(OR($M210="",$M210="—",$M210="Not in this file"),"",IFERROR(INDEX($BG$7:$BG$592,MATCH($M210,$D$7:$D$592,0)),""))</f>
        <v>C2</v>
      </c>
      <c r="BK210" s="40" t="str">
        <f>IFERROR(IF(BJ210="","—",IF(OR(LEFT(BG210,1)="X",LEFT(BJ210,1)="X"),"—",IF(AND(LEFT(BG210,1)="E",LEFT(BJ210,1)="E"),"Exception · Band E",IF(AND(INDEX(B_VAL,MATCH(BJ210,B_LVL,0))&gt;=7,INDEX(B_RANK,MATCH(BG210,B_LVL,0))&gt;=INDEX(B_RANK,MATCH(BJ210,B_LVL,0))),"⚠ Same band as a head manager",IF(INDEX(B_VAL,MATCH(BG210,B_LVL,0))&gt;=INDEX(B_VAL,MATCH(BJ210,B_LVL,0)),"⚠ At or above the manager's level","OK"))))),"—")</f>
        <v>OK</v>
      </c>
      <c r="BL210" s="43" t="n"/>
      <c r="BM210" s="44">
        <f>IFERROR(INDEX(LMH_PTS,MATCH(Y210,LMH_KEY,0)),0)</f>
        <v>9</v>
      </c>
      <c r="BN210" s="38">
        <f>IFERROR(INDEX(LMH_PTS,MATCH(Z210,LMH_KEY,0)),0)</f>
        <v>3</v>
      </c>
      <c r="BO210" s="38">
        <f>IFERROR(INDEX(LMH_PTS,MATCH(AA210,LMH_KEY,0)),0)</f>
        <v>1</v>
      </c>
      <c r="BP210" s="38">
        <f>IFERROR(INDEX(LMH_PTS,MATCH(AB210,LMH_KEY,0)),0)</f>
        <v>1</v>
      </c>
      <c r="BQ210" s="38">
        <f>IFERROR(INDEX(LMH_PTS,MATCH(AC210,LMH_KEY,0)),0)</f>
        <v>1</v>
      </c>
      <c r="BR210" s="38">
        <f>IFERROR(INDEX(LMH_PTS,MATCH(AD210,LMH_KEY,0)),0)</f>
        <v>1</v>
      </c>
      <c r="BS210" s="38">
        <f>IFERROR(INDEX(LMH_PTS,MATCH(AE210,LMH_KEY,0)),0)</f>
        <v>1</v>
      </c>
      <c r="BT210" s="38">
        <f>IFERROR(INDEX(LMH_STEP,MATCH(AF210,LMH_KEY,0)),0)</f>
        <v>0</v>
      </c>
      <c r="BU210" s="38">
        <f>IFERROR(INDEX(LMH_STEP,MATCH(AG210,LMH_KEY,0)),0)</f>
        <v>0</v>
      </c>
      <c r="BV210" s="38">
        <f>IFERROR(INDEX(LMH_STEP,MATCH(AH210,LMH_KEY,0)),0)</f>
        <v>0</v>
      </c>
      <c r="BW210" s="38">
        <f>IFERROR(INDEX(LMH_STEP,MATCH(AI210,LMH_KEY,0)),0)</f>
        <v>0</v>
      </c>
      <c r="BX210" s="38">
        <f>IFERROR(INDEX(LMH_STEP,MATCH(AJ210,LMH_KEY,0)),0)</f>
        <v>0</v>
      </c>
      <c r="BY210" s="38">
        <f>IFERROR(INDEX(LMH_STEP,MATCH(AK210,LMH_KEY,0)),0)</f>
        <v>0</v>
      </c>
      <c r="BZ210" s="38">
        <f>IFERROR(INDEX(LMH_STEP,MATCH(AL210,LMH_KEY,0)),0)</f>
        <v>0</v>
      </c>
      <c r="CA210" s="38" t="inlineStr">
        <is>
          <t>iDEAL|Technology|Lead Software Engineer|B3|B-IC</t>
        </is>
      </c>
    </row>
    <row r="211" ht="110" customHeight="1">
      <c r="A211" s="28" t="inlineStr">
        <is>
          <t>iDEAL</t>
        </is>
      </c>
      <c r="B211" s="29" t="inlineStr">
        <is>
          <t>Product Management</t>
        </is>
      </c>
      <c r="C211" s="29" t="n">
        <v>3</v>
      </c>
      <c r="D211" s="29" t="inlineStr">
        <is>
          <t>IRIS0971</t>
        </is>
      </c>
      <c r="E211" s="29" t="inlineStr">
        <is>
          <t>Dnyaneshwar Daund</t>
        </is>
      </c>
      <c r="F211" s="29" t="inlineStr">
        <is>
          <t>Product Manager</t>
        </is>
      </c>
      <c r="G211" s="29" t="inlineStr">
        <is>
          <t>Product Manager</t>
        </is>
      </c>
      <c r="H211" s="29" t="inlineStr">
        <is>
          <t>Product Management</t>
        </is>
      </c>
      <c r="I211" s="29" t="inlineStr">
        <is>
          <t>Product Management</t>
        </is>
      </c>
      <c r="J211" s="29" t="inlineStr">
        <is>
          <t>People Manager</t>
        </is>
      </c>
      <c r="K211" s="29" t="inlineStr">
        <is>
          <t>RC-127</t>
        </is>
      </c>
      <c r="L211" s="29" t="inlineStr">
        <is>
          <t>Hemant Karale</t>
        </is>
      </c>
      <c r="M211" s="29" t="inlineStr">
        <is>
          <t>IRIS1224</t>
        </is>
      </c>
      <c r="N211" s="29" t="n">
        <v>16.2</v>
      </c>
      <c r="O211" s="29" t="n">
        <v>15</v>
      </c>
      <c r="P211" s="29" t="inlineStr">
        <is>
          <t>MMS</t>
        </is>
      </c>
      <c r="Q211" s="29" t="inlineStr">
        <is>
          <t>L5 – Manager</t>
        </is>
      </c>
      <c r="R211" s="29" t="inlineStr">
        <is>
          <t>B2</t>
        </is>
      </c>
      <c r="S211" s="30" t="inlineStr">
        <is>
          <t>20 of 20</t>
        </is>
      </c>
      <c r="T211" s="31" t="inlineStr">
        <is>
          <t>Complexity: Evidence reads like B1: Researches regulatory mandates, translates them into product requirements, delivers and implements across several regions → moved down 0.5
Autonomy: Evidence reads like B1: Decides on new mandate research and iDEAL opportunities; work prioritisation and client problem-solving → moved down 0.5
Accountability: Evidence …</t>
        </is>
      </c>
      <c r="U211" s="31" t="inlineStr">
        <is>
          <t>Received · manager annual, quarterly, self · 1. Manage CIMS Report development and delivery with less than 4 defects/ Escalations in a year 
2. Manage EBR Report development and delivery with less than 4 defects/ Escalations in a year 
3. Support to BD Activities: Support Sales team in BD Activities for Middle East, Mauritius &amp; Africa Markets
4. Support …</t>
        </is>
      </c>
      <c r="V211" s="31" t="inlineStr">
        <is>
          <t>Latest rating: 5 · 9-box: Not placed · manager · Readiness: Ready in 6–12 months</t>
        </is>
      </c>
      <c r="W211" s="31" t="inlineStr">
        <is>
          <t>C M · Au M · Ac M · L L · BI M · Exp H · 16.2 yrs vs 6–9 yrs · Edu H · MMS</t>
        </is>
      </c>
      <c r="X211" s="33" t="inlineStr">
        <is>
          <t>Open ▸</t>
        </is>
      </c>
      <c r="Y211" s="34" t="str">
        <f>IFERROR(INDEX(DL_C,MATCH($CA211,DL_KEY,0)),"M")</f>
        <v>H</v>
      </c>
      <c r="Z211" s="35" t="str">
        <f>IFERROR(INDEX(DL_Au,MATCH($CA211,DL_KEY,0)),"M")</f>
        <v>M</v>
      </c>
      <c r="AA211" s="35" t="str">
        <f>IFERROR(INDEX(DL_Ac,MATCH($CA211,DL_KEY,0)),"M")</f>
        <v>M</v>
      </c>
      <c r="AB211" s="35" t="str">
        <f>IFERROR(INDEX(DL_L,MATCH($CA211,DL_KEY,0)),"M")</f>
        <v>M</v>
      </c>
      <c r="AC211" s="35" t="str">
        <f>IFERROR(INDEX(DL_BI,MATCH($CA211,DL_KEY,0)),"M")</f>
        <v>L</v>
      </c>
      <c r="AD211" s="35" t="str">
        <f>IFERROR(INDEX(DL_Exp,MATCH($CA211,DL_KEY,0)),"M")</f>
        <v>L</v>
      </c>
      <c r="AE211" s="35" t="str">
        <f>IFERROR(INDEX(DL_Edu,MATCH($CA211,DL_KEY,0)),"M")</f>
        <v>L</v>
      </c>
      <c r="AF211" s="34" t="inlineStr">
        <is>
          <t>M</t>
        </is>
      </c>
      <c r="AG211" s="35" t="inlineStr">
        <is>
          <t>M</t>
        </is>
      </c>
      <c r="AH211" s="35" t="inlineStr">
        <is>
          <t>M</t>
        </is>
      </c>
      <c r="AI211" s="35" t="inlineStr">
        <is>
          <t>M</t>
        </is>
      </c>
      <c r="AJ211" s="35" t="inlineStr">
        <is>
          <t>M</t>
        </is>
      </c>
      <c r="AK211" s="35" t="inlineStr">
        <is>
          <t>M</t>
        </is>
      </c>
      <c r="AL211" s="35" t="inlineStr">
        <is>
          <t>M</t>
        </is>
      </c>
      <c r="AM211" s="36" t="n">
        <v>0.37</v>
      </c>
      <c r="AN211" s="37" t="n">
        <v>0.183</v>
      </c>
      <c r="AO211" s="37" t="n">
        <v>0.113</v>
      </c>
      <c r="AP211" s="37" t="n">
        <v>0.15</v>
      </c>
      <c r="AQ211" s="37" t="n">
        <v>0.08699999999999999</v>
      </c>
      <c r="AR211" s="37" t="n">
        <v>0.06</v>
      </c>
      <c r="AS211" s="37" t="n">
        <v>0.04</v>
      </c>
      <c r="AT211" s="38" t="inlineStr">
        <is>
          <t>6–10</t>
        </is>
      </c>
      <c r="AU211" s="38" t="inlineStr">
        <is>
          <t>Graduate or postgraduate; professional qualification preferred</t>
        </is>
      </c>
      <c r="AV211" s="38" t="inlineStr">
        <is>
          <t>IC: none · People: 6–8 knowledge work, 8–12 standardised delivery</t>
        </is>
      </c>
      <c r="AW211" s="38" t="inlineStr">
        <is>
          <t>P4 / M3 · SFIA 4–5</t>
        </is>
      </c>
      <c r="AX21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11" s="39" t="inlineStr">
        <is>
          <t>B2</t>
        </is>
      </c>
      <c r="AZ211" s="40" t="inlineStr">
        <is>
          <t>Band B · Specialist / Manager · Manager</t>
        </is>
      </c>
      <c r="BA211" s="40" t="inlineStr">
        <is>
          <t>Model B2 from the six ratings, the market-derived weights and rules R1–R13 · then No change · already below the manager</t>
        </is>
      </c>
      <c r="BB211" s="41" t="inlineStr">
        <is>
          <t>B2</t>
        </is>
      </c>
      <c r="BC211" s="40" t="inlineStr">
        <is>
          <t>The six ratings on the market-average weights of Band B · People Manager score 4.97 → B2 · Hay, Mercer IPE and public plans · experience 16.2 yrs vs the B2 market range 6–10</t>
        </is>
      </c>
      <c r="BD211" s="42">
        <f>IF(SUM(BM211,BN211,BO211,BP211,BQ211,BR211,BS211)=0,0,(BM211*BT211+BN211*BU211+BO211*BV211+BP211*BW211+BQ211*BX211+BR211*BY211+BS211*BZ211)/SUM(BM211,BN211,BO211,BP211,BQ211,BR211,BS211))</f>
        <v>0</v>
      </c>
      <c r="BE211" s="41" t="str">
        <f>IF(LEFT(AY211,1)="X",AY211,IF(OR(AY211="B+",AY211="C+"),INDEX(LAD_PC,MAX(1,MIN(14,MATCH(AY211,LAD_PC,0)+IF(BD211&gt;=0.5,1,IF(BD211&lt;=-0.5,-1,0))))),INDEX(LAD_STD,MAX(1,MIN(12,MATCH(AY211,LAD_STD,0)+IF(BD211&gt;=0.5,1,IF(BD211&lt;=-0.5,-1,0)))))))</f>
        <v>B2</v>
      </c>
      <c r="BF211" s="43" t="n"/>
      <c r="BG211" s="41" t="str">
        <f>IF(BF211&lt;&gt;"",BF211,BE211)</f>
        <v>B2</v>
      </c>
      <c r="BH211" s="40" t="str">
        <f>IFERROR(CHOOSE(INDEX(B_RANK,MATCH(BG211,B_LVL,0)),"Band A","Band B","B+ · Player-Coach","Band C","C+ · Player-Coach","Band D","Band E"),"Band X · Consultant")</f>
        <v>Band B</v>
      </c>
      <c r="BI211" s="40" t="str">
        <f>IF(BG211=AY211,"• Same",IF(INDEX(B_VAL,MATCH(BG211,B_LVL,0))&gt;INDEX(B_VAL,MATCH(AY211,B_LVL,0)),"▲ Up","▼ Down"))</f>
        <v>• Same</v>
      </c>
      <c r="BJ211" s="40" t="str">
        <f>IF(OR($M211="",$M211="—",$M211="Not in this file"),"",IFERROR(INDEX($BG$7:$BG$592,MATCH($M211,$D$7:$D$592,0)),""))</f>
        <v>C2</v>
      </c>
      <c r="BK211" s="40" t="str">
        <f>IFERROR(IF(BJ211="","—",IF(OR(LEFT(BG211,1)="X",LEFT(BJ211,1)="X"),"—",IF(AND(LEFT(BG211,1)="E",LEFT(BJ211,1)="E"),"Exception · Band E",IF(AND(INDEX(B_VAL,MATCH(BJ211,B_LVL,0))&gt;=7,INDEX(B_RANK,MATCH(BG211,B_LVL,0))&gt;=INDEX(B_RANK,MATCH(BJ211,B_LVL,0))),"⚠ Same band as a head manager",IF(INDEX(B_VAL,MATCH(BG211,B_LVL,0))&gt;=INDEX(B_VAL,MATCH(BJ211,B_LVL,0)),"⚠ At or above the manager's level","OK"))))),"—")</f>
        <v>OK</v>
      </c>
      <c r="BL211" s="43" t="n"/>
      <c r="BM211" s="44">
        <f>IFERROR(INDEX(LMH_PTS,MATCH(Y211,LMH_KEY,0)),0)</f>
        <v>9</v>
      </c>
      <c r="BN211" s="38">
        <f>IFERROR(INDEX(LMH_PTS,MATCH(Z211,LMH_KEY,0)),0)</f>
        <v>3</v>
      </c>
      <c r="BO211" s="38">
        <f>IFERROR(INDEX(LMH_PTS,MATCH(AA211,LMH_KEY,0)),0)</f>
        <v>3</v>
      </c>
      <c r="BP211" s="38">
        <f>IFERROR(INDEX(LMH_PTS,MATCH(AB211,LMH_KEY,0)),0)</f>
        <v>3</v>
      </c>
      <c r="BQ211" s="38">
        <f>IFERROR(INDEX(LMH_PTS,MATCH(AC211,LMH_KEY,0)),0)</f>
        <v>1</v>
      </c>
      <c r="BR211" s="38">
        <f>IFERROR(INDEX(LMH_PTS,MATCH(AD211,LMH_KEY,0)),0)</f>
        <v>1</v>
      </c>
      <c r="BS211" s="38">
        <f>IFERROR(INDEX(LMH_PTS,MATCH(AE211,LMH_KEY,0)),0)</f>
        <v>1</v>
      </c>
      <c r="BT211" s="38">
        <f>IFERROR(INDEX(LMH_STEP,MATCH(AF211,LMH_KEY,0)),0)</f>
        <v>0</v>
      </c>
      <c r="BU211" s="38">
        <f>IFERROR(INDEX(LMH_STEP,MATCH(AG211,LMH_KEY,0)),0)</f>
        <v>0</v>
      </c>
      <c r="BV211" s="38">
        <f>IFERROR(INDEX(LMH_STEP,MATCH(AH211,LMH_KEY,0)),0)</f>
        <v>0</v>
      </c>
      <c r="BW211" s="38">
        <f>IFERROR(INDEX(LMH_STEP,MATCH(AI211,LMH_KEY,0)),0)</f>
        <v>0</v>
      </c>
      <c r="BX211" s="38">
        <f>IFERROR(INDEX(LMH_STEP,MATCH(AJ211,LMH_KEY,0)),0)</f>
        <v>0</v>
      </c>
      <c r="BY211" s="38">
        <f>IFERROR(INDEX(LMH_STEP,MATCH(AK211,LMH_KEY,0)),0)</f>
        <v>0</v>
      </c>
      <c r="BZ211" s="38">
        <f>IFERROR(INDEX(LMH_STEP,MATCH(AL211,LMH_KEY,0)),0)</f>
        <v>0</v>
      </c>
      <c r="CA211" s="38" t="inlineStr">
        <is>
          <t>iDEAL|Product Management|Product Manager|B2|B-M</t>
        </is>
      </c>
    </row>
    <row r="212" ht="110" customHeight="1">
      <c r="A212" s="28" t="inlineStr">
        <is>
          <t>iDEAL</t>
        </is>
      </c>
      <c r="B212" s="29" t="inlineStr">
        <is>
          <t>Technology</t>
        </is>
      </c>
      <c r="C212" s="29" t="n">
        <v>4</v>
      </c>
      <c r="D212" s="29" t="inlineStr">
        <is>
          <t>IRIS2125</t>
        </is>
      </c>
      <c r="E212" s="29" t="inlineStr">
        <is>
          <t>Phuzel Siddiqui</t>
        </is>
      </c>
      <c r="F212" s="29" t="inlineStr">
        <is>
          <t>Business Analyst</t>
        </is>
      </c>
      <c r="G212" s="29" t="inlineStr">
        <is>
          <t>Business Analysis Specialist – POD Lead</t>
        </is>
      </c>
      <c r="H212" s="29" t="inlineStr">
        <is>
          <t>Business Analysis</t>
        </is>
      </c>
      <c r="I212" s="29" t="inlineStr">
        <is>
          <t>Business Analysis</t>
        </is>
      </c>
      <c r="J212" s="29" t="inlineStr">
        <is>
          <t>POD Lead</t>
        </is>
      </c>
      <c r="K212" s="29" t="inlineStr">
        <is>
          <t>RC-010</t>
        </is>
      </c>
      <c r="L212" s="29" t="inlineStr">
        <is>
          <t>Dnyaneshwar Daund</t>
        </is>
      </c>
      <c r="M212" s="29" t="inlineStr">
        <is>
          <t>IRIS0971</t>
        </is>
      </c>
      <c r="N212" s="29" t="n">
        <v>9.800000000000001</v>
      </c>
      <c r="O212" s="29" t="n">
        <v>3.4</v>
      </c>
      <c r="P212" s="29" t="inlineStr">
        <is>
          <t>B.E</t>
        </is>
      </c>
      <c r="Q212" s="29" t="inlineStr">
        <is>
          <t>L3 – Professional / Associate</t>
        </is>
      </c>
      <c r="R212" s="29" t="inlineStr">
        <is>
          <t>B1</t>
        </is>
      </c>
      <c r="S212" s="30" t="inlineStr">
        <is>
          <t>18 of 20</t>
        </is>
      </c>
      <c r="T212" s="31" t="inlineStr">
        <is>
          <t>Complexity: Evidence reads like B1: Handles bank portfolio, product demos, EBR project, ETL coordination, enhancement pitches; FATCA and mutual fund reporting → moved up 0.5
Autonomy: Evidence reads like A3: Decides process streamlining and application improvement initiatives; manages portfolio independently → matches the start
Accountability: Evidence …</t>
        </is>
      </c>
      <c r="U212" s="31" t="inlineStr">
        <is>
          <t>Received · manager annual, quarterly, self · 1. Effectively manage the assigned portfolio of banks and maintain high customer satisfaction, with a target of zero critical client escalations attributable to service delivery gaps.
2. Acquire in-depth knowledge of EBR SDMX reports, validation rules and implementation processes to independently manage assigned …</t>
        </is>
      </c>
      <c r="V212" s="31" t="inlineStr">
        <is>
          <t>Latest rating: 3 · Potential: Medium · 9-box: Emerging Talent · Readiness: Develop in role</t>
        </is>
      </c>
      <c r="W212" s="31" t="inlineStr">
        <is>
          <t>C M · Au L · Ac M · L L · BI M · Exp H · 9.8 yrs vs 4–7 yrs · Edu M · B.E</t>
        </is>
      </c>
      <c r="X212" s="33" t="inlineStr">
        <is>
          <t>Open ▸</t>
        </is>
      </c>
      <c r="Y212" s="34" t="str">
        <f>IFERROR(INDEX(DL_C,MATCH($CA212,DL_KEY,0)),"M")</f>
        <v>H</v>
      </c>
      <c r="Z212" s="35" t="str">
        <f>IFERROR(INDEX(DL_Au,MATCH($CA212,DL_KEY,0)),"M")</f>
        <v>M</v>
      </c>
      <c r="AA212" s="35" t="str">
        <f>IFERROR(INDEX(DL_Ac,MATCH($CA212,DL_KEY,0)),"M")</f>
        <v>L</v>
      </c>
      <c r="AB212" s="35" t="str">
        <f>IFERROR(INDEX(DL_L,MATCH($CA212,DL_KEY,0)),"M")</f>
        <v>L</v>
      </c>
      <c r="AC212" s="35" t="str">
        <f>IFERROR(INDEX(DL_BI,MATCH($CA212,DL_KEY,0)),"M")</f>
        <v>L</v>
      </c>
      <c r="AD212" s="35" t="str">
        <f>IFERROR(INDEX(DL_Exp,MATCH($CA212,DL_KEY,0)),"M")</f>
        <v>L</v>
      </c>
      <c r="AE212" s="35" t="str">
        <f>IFERROR(INDEX(DL_Edu,MATCH($CA212,DL_KEY,0)),"M")</f>
        <v>L</v>
      </c>
      <c r="AF212" s="34" t="inlineStr">
        <is>
          <t>M</t>
        </is>
      </c>
      <c r="AG212" s="35" t="inlineStr">
        <is>
          <t>M</t>
        </is>
      </c>
      <c r="AH212" s="35" t="inlineStr">
        <is>
          <t>M</t>
        </is>
      </c>
      <c r="AI212" s="35" t="inlineStr">
        <is>
          <t>M</t>
        </is>
      </c>
      <c r="AJ212" s="35" t="inlineStr">
        <is>
          <t>M</t>
        </is>
      </c>
      <c r="AK212" s="35" t="inlineStr">
        <is>
          <t>M</t>
        </is>
      </c>
      <c r="AL212" s="35" t="inlineStr">
        <is>
          <t>M</t>
        </is>
      </c>
      <c r="AM212" s="36" t="n">
        <v>0.513</v>
      </c>
      <c r="AN212" s="37" t="n">
        <v>0.173</v>
      </c>
      <c r="AO212" s="37" t="n">
        <v>0.09699999999999999</v>
      </c>
      <c r="AP212" s="37" t="n">
        <v>0.05</v>
      </c>
      <c r="AQ212" s="37" t="n">
        <v>0.07000000000000001</v>
      </c>
      <c r="AR212" s="37" t="n">
        <v>0.06</v>
      </c>
      <c r="AS212" s="37" t="n">
        <v>0.04</v>
      </c>
      <c r="AT212" s="38" t="inlineStr">
        <is>
          <t>4–8</t>
        </is>
      </c>
      <c r="AU212" s="38" t="inlineStr">
        <is>
          <t>Graduate + relevant qualification or certification preferred</t>
        </is>
      </c>
      <c r="AV212" s="38" t="inlineStr">
        <is>
          <t>IC: none · Team Lead: 3–5</t>
        </is>
      </c>
      <c r="AW212" s="38" t="inlineStr">
        <is>
          <t>P3 / M2 · SFIA 4 Enable</t>
        </is>
      </c>
      <c r="AX21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12" s="39" t="inlineStr">
        <is>
          <t>B1</t>
        </is>
      </c>
      <c r="AZ212" s="40" t="inlineStr">
        <is>
          <t>Band B · Specialist / Manager · Team Lead / Asst Manager</t>
        </is>
      </c>
      <c r="BA212" s="40" t="inlineStr">
        <is>
          <t>Model B1 from the six ratings, the market-derived weights and rules R1–R13 · then No change · already below the manager</t>
        </is>
      </c>
      <c r="BB212" s="41" t="inlineStr">
        <is>
          <t>B1</t>
        </is>
      </c>
      <c r="BC212" s="40" t="inlineStr">
        <is>
          <t>The six ratings on the market-average weights of Band B · Specialist / POD Lead score 3.76 → B1 · Hay, Mercer IPE and public plans · experience 9.8 yrs vs the B1 market range 4–8</t>
        </is>
      </c>
      <c r="BD212" s="42">
        <f>IF(SUM(BM212,BN212,BO212,BP212,BQ212,BR212,BS212)=0,0,(BM212*BT212+BN212*BU212+BO212*BV212+BP212*BW212+BQ212*BX212+BR212*BY212+BS212*BZ212)/SUM(BM212,BN212,BO212,BP212,BQ212,BR212,BS212))</f>
        <v>0</v>
      </c>
      <c r="BE212" s="41" t="str">
        <f>IF(LEFT(AY212,1)="X",AY212,IF(OR(AY212="B+",AY212="C+"),INDEX(LAD_PC,MAX(1,MIN(14,MATCH(AY212,LAD_PC,0)+IF(BD212&gt;=0.5,1,IF(BD212&lt;=-0.5,-1,0))))),INDEX(LAD_STD,MAX(1,MIN(12,MATCH(AY212,LAD_STD,0)+IF(BD212&gt;=0.5,1,IF(BD212&lt;=-0.5,-1,0)))))))</f>
        <v>B1</v>
      </c>
      <c r="BF212" s="43" t="n"/>
      <c r="BG212" s="41" t="str">
        <f>IF(BF212&lt;&gt;"",BF212,BE212)</f>
        <v>B1</v>
      </c>
      <c r="BH212" s="40" t="str">
        <f>IFERROR(CHOOSE(INDEX(B_RANK,MATCH(BG212,B_LVL,0)),"Band A","Band B","B+ · Player-Coach","Band C","C+ · Player-Coach","Band D","Band E"),"Band X · Consultant")</f>
        <v>Band B</v>
      </c>
      <c r="BI212" s="40" t="str">
        <f>IF(BG212=AY212,"• Same",IF(INDEX(B_VAL,MATCH(BG212,B_LVL,0))&gt;INDEX(B_VAL,MATCH(AY212,B_LVL,0)),"▲ Up","▼ Down"))</f>
        <v>• Same</v>
      </c>
      <c r="BJ212" s="40" t="str">
        <f>IF(OR($M212="",$M212="—",$M212="Not in this file"),"",IFERROR(INDEX($BG$7:$BG$592,MATCH($M212,$D$7:$D$592,0)),""))</f>
        <v>B2</v>
      </c>
      <c r="BK212" s="40" t="str">
        <f>IFERROR(IF(BJ212="","—",IF(OR(LEFT(BG212,1)="X",LEFT(BJ212,1)="X"),"—",IF(AND(LEFT(BG212,1)="E",LEFT(BJ212,1)="E"),"Exception · Band E",IF(AND(INDEX(B_VAL,MATCH(BJ212,B_LVL,0))&gt;=7,INDEX(B_RANK,MATCH(BG212,B_LVL,0))&gt;=INDEX(B_RANK,MATCH(BJ212,B_LVL,0))),"⚠ Same band as a head manager",IF(INDEX(B_VAL,MATCH(BG212,B_LVL,0))&gt;=INDEX(B_VAL,MATCH(BJ212,B_LVL,0)),"⚠ At or above the manager's level","OK"))))),"—")</f>
        <v>OK</v>
      </c>
      <c r="BL212" s="43" t="n"/>
      <c r="BM212" s="44">
        <f>IFERROR(INDEX(LMH_PTS,MATCH(Y212,LMH_KEY,0)),0)</f>
        <v>9</v>
      </c>
      <c r="BN212" s="38">
        <f>IFERROR(INDEX(LMH_PTS,MATCH(Z212,LMH_KEY,0)),0)</f>
        <v>3</v>
      </c>
      <c r="BO212" s="38">
        <f>IFERROR(INDEX(LMH_PTS,MATCH(AA212,LMH_KEY,0)),0)</f>
        <v>1</v>
      </c>
      <c r="BP212" s="38">
        <f>IFERROR(INDEX(LMH_PTS,MATCH(AB212,LMH_KEY,0)),0)</f>
        <v>1</v>
      </c>
      <c r="BQ212" s="38">
        <f>IFERROR(INDEX(LMH_PTS,MATCH(AC212,LMH_KEY,0)),0)</f>
        <v>1</v>
      </c>
      <c r="BR212" s="38">
        <f>IFERROR(INDEX(LMH_PTS,MATCH(AD212,LMH_KEY,0)),0)</f>
        <v>1</v>
      </c>
      <c r="BS212" s="38">
        <f>IFERROR(INDEX(LMH_PTS,MATCH(AE212,LMH_KEY,0)),0)</f>
        <v>1</v>
      </c>
      <c r="BT212" s="38">
        <f>IFERROR(INDEX(LMH_STEP,MATCH(AF212,LMH_KEY,0)),0)</f>
        <v>0</v>
      </c>
      <c r="BU212" s="38">
        <f>IFERROR(INDEX(LMH_STEP,MATCH(AG212,LMH_KEY,0)),0)</f>
        <v>0</v>
      </c>
      <c r="BV212" s="38">
        <f>IFERROR(INDEX(LMH_STEP,MATCH(AH212,LMH_KEY,0)),0)</f>
        <v>0</v>
      </c>
      <c r="BW212" s="38">
        <f>IFERROR(INDEX(LMH_STEP,MATCH(AI212,LMH_KEY,0)),0)</f>
        <v>0</v>
      </c>
      <c r="BX212" s="38">
        <f>IFERROR(INDEX(LMH_STEP,MATCH(AJ212,LMH_KEY,0)),0)</f>
        <v>0</v>
      </c>
      <c r="BY212" s="38">
        <f>IFERROR(INDEX(LMH_STEP,MATCH(AK212,LMH_KEY,0)),0)</f>
        <v>0</v>
      </c>
      <c r="BZ212" s="38">
        <f>IFERROR(INDEX(LMH_STEP,MATCH(AL212,LMH_KEY,0)),0)</f>
        <v>0</v>
      </c>
      <c r="CA212" s="38" t="inlineStr">
        <is>
          <t>iDEAL|Technology|Business Analysis Specialist – POD Lead|B1|B-IC</t>
        </is>
      </c>
    </row>
    <row r="213" ht="110" customHeight="1">
      <c r="A213" s="28" t="inlineStr">
        <is>
          <t>iDEAL</t>
        </is>
      </c>
      <c r="B213" s="29" t="inlineStr">
        <is>
          <t>Technology</t>
        </is>
      </c>
      <c r="C213" s="29" t="n">
        <v>5</v>
      </c>
      <c r="D213" s="29" t="inlineStr">
        <is>
          <t>IRIS2552</t>
        </is>
      </c>
      <c r="E213" s="29" t="inlineStr">
        <is>
          <t>Shreekanth Samala</t>
        </is>
      </c>
      <c r="F213" s="29" t="inlineStr">
        <is>
          <t>Technical Support Analyst</t>
        </is>
      </c>
      <c r="G213" s="29" t="inlineStr">
        <is>
          <t>Support Specialist</t>
        </is>
      </c>
      <c r="H213" s="29" t="inlineStr">
        <is>
          <t>Customer Success &amp; Support</t>
        </is>
      </c>
      <c r="I213" s="29" t="inlineStr">
        <is>
          <t>Application &amp; Product Support</t>
        </is>
      </c>
      <c r="J213" s="29" t="inlineStr">
        <is>
          <t>IC</t>
        </is>
      </c>
      <c r="K213" s="29" t="inlineStr">
        <is>
          <t>RC-031</t>
        </is>
      </c>
      <c r="L213" s="29" t="inlineStr">
        <is>
          <t>Phuzel Siddiqui</t>
        </is>
      </c>
      <c r="M213" s="29" t="inlineStr">
        <is>
          <t>IRIS2125</t>
        </is>
      </c>
      <c r="N213" s="29" t="n">
        <v>13.4</v>
      </c>
      <c r="O213" s="29" t="n">
        <v>0.1</v>
      </c>
      <c r="P213" s="29" t="inlineStr">
        <is>
          <t>MBA</t>
        </is>
      </c>
      <c r="Q213" s="29" t="inlineStr">
        <is>
          <t>Not in current mapping files</t>
        </is>
      </c>
      <c r="R213" s="29" t="inlineStr">
        <is>
          <t>A3</t>
        </is>
      </c>
      <c r="S213" s="30" t="inlineStr">
        <is>
          <t>20 of 20</t>
        </is>
      </c>
      <c r="T213" s="31"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t>
        </is>
      </c>
      <c r="U213" s="32" t="inlineStr">
        <is>
          <t>KRAs not received · manager to supply</t>
        </is>
      </c>
      <c r="V213" s="31" t="inlineStr">
        <is>
          <t>Latest rating: Not rated · manager · 9-box: Not placed · manager · Readiness: No rating data</t>
        </is>
      </c>
      <c r="W213" s="31" t="inlineStr">
        <is>
          <t>C M · Au M · Ac M · L L · BI M · Exp H · 13.4 yrs vs 2–4 yrs · Edu H · MBA</t>
        </is>
      </c>
      <c r="X213" s="33" t="inlineStr">
        <is>
          <t>Open ▸</t>
        </is>
      </c>
      <c r="Y213" s="34" t="str">
        <f>IFERROR(INDEX(DL_C,MATCH($CA213,DL_KEY,0)),"M")</f>
        <v>H</v>
      </c>
      <c r="Z213" s="35" t="str">
        <f>IFERROR(INDEX(DL_Au,MATCH($CA213,DL_KEY,0)),"M")</f>
        <v>M</v>
      </c>
      <c r="AA213" s="35" t="str">
        <f>IFERROR(INDEX(DL_Ac,MATCH($CA213,DL_KEY,0)),"M")</f>
        <v>M</v>
      </c>
      <c r="AB213" s="35" t="str">
        <f>IFERROR(INDEX(DL_L,MATCH($CA213,DL_KEY,0)),"M")</f>
        <v>L</v>
      </c>
      <c r="AC213" s="35" t="str">
        <f>IFERROR(INDEX(DL_BI,MATCH($CA213,DL_KEY,0)),"M")</f>
        <v>M</v>
      </c>
      <c r="AD213" s="35" t="str">
        <f>IFERROR(INDEX(DL_Exp,MATCH($CA213,DL_KEY,0)),"M")</f>
        <v>L</v>
      </c>
      <c r="AE213" s="35" t="str">
        <f>IFERROR(INDEX(DL_Edu,MATCH($CA213,DL_KEY,0)),"M")</f>
        <v>L</v>
      </c>
      <c r="AF213" s="34" t="inlineStr">
        <is>
          <t>M</t>
        </is>
      </c>
      <c r="AG213" s="35" t="inlineStr">
        <is>
          <t>M</t>
        </is>
      </c>
      <c r="AH213" s="35" t="inlineStr">
        <is>
          <t>M</t>
        </is>
      </c>
      <c r="AI213" s="35" t="inlineStr">
        <is>
          <t>M</t>
        </is>
      </c>
      <c r="AJ213" s="35" t="inlineStr">
        <is>
          <t>M</t>
        </is>
      </c>
      <c r="AK213" s="35" t="inlineStr">
        <is>
          <t>M</t>
        </is>
      </c>
      <c r="AL213" s="35" t="inlineStr">
        <is>
          <t>M</t>
        </is>
      </c>
      <c r="AM213" s="36" t="n">
        <v>0.583</v>
      </c>
      <c r="AN213" s="37" t="n">
        <v>0.16</v>
      </c>
      <c r="AO213" s="37" t="n">
        <v>0.09</v>
      </c>
      <c r="AP213" s="37" t="n">
        <v>0</v>
      </c>
      <c r="AQ213" s="37" t="n">
        <v>0.063</v>
      </c>
      <c r="AR213" s="37" t="n">
        <v>0.06</v>
      </c>
      <c r="AS213" s="37" t="n">
        <v>0.04</v>
      </c>
      <c r="AT213" s="38" t="inlineStr">
        <is>
          <t>2–5</t>
        </is>
      </c>
      <c r="AU213" s="38" t="inlineStr">
        <is>
          <t>Graduate; relevant certification preferred</t>
        </is>
      </c>
      <c r="AV213" s="38" t="inlineStr">
        <is>
          <t>None · guides 1–3 juniors informally</t>
        </is>
      </c>
      <c r="AW213" s="38" t="inlineStr">
        <is>
          <t>P2 · SFIA 3 Apply</t>
        </is>
      </c>
      <c r="AX21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13" s="39" t="inlineStr">
        <is>
          <t>A3</t>
        </is>
      </c>
      <c r="AZ213" s="40" t="inlineStr">
        <is>
          <t>Band A · Practitioner · Senior Associate</t>
        </is>
      </c>
      <c r="BA213" s="40" t="inlineStr">
        <is>
          <t>Model A3 from the six ratings, the market-derived weights and rules R1–R13 · then No change · already below the manager</t>
        </is>
      </c>
      <c r="BB213" s="41" t="inlineStr">
        <is>
          <t>A3</t>
        </is>
      </c>
      <c r="BC213" s="40" t="inlineStr">
        <is>
          <t>The six ratings on the market-average weights of Band A · all tracks score 3.45 → A3 · Hay, Mercer IPE and public plans · experience 13.4 yrs vs the A3 market range 2–5</t>
        </is>
      </c>
      <c r="BD213" s="42">
        <f>IF(SUM(BM213,BN213,BO213,BP213,BQ213,BR213,BS213)=0,0,(BM213*BT213+BN213*BU213+BO213*BV213+BP213*BW213+BQ213*BX213+BR213*BY213+BS213*BZ213)/SUM(BM213,BN213,BO213,BP213,BQ213,BR213,BS213))</f>
        <v>0</v>
      </c>
      <c r="BE213" s="41" t="str">
        <f>IF(LEFT(AY213,1)="X",AY213,IF(OR(AY213="B+",AY213="C+"),INDEX(LAD_PC,MAX(1,MIN(14,MATCH(AY213,LAD_PC,0)+IF(BD213&gt;=0.5,1,IF(BD213&lt;=-0.5,-1,0))))),INDEX(LAD_STD,MAX(1,MIN(12,MATCH(AY213,LAD_STD,0)+IF(BD213&gt;=0.5,1,IF(BD213&lt;=-0.5,-1,0)))))))</f>
        <v>A3</v>
      </c>
      <c r="BF213" s="43" t="n"/>
      <c r="BG213" s="41" t="str">
        <f>IF(BF213&lt;&gt;"",BF213,BE213)</f>
        <v>A3</v>
      </c>
      <c r="BH213" s="40" t="str">
        <f>IFERROR(CHOOSE(INDEX(B_RANK,MATCH(BG213,B_LVL,0)),"Band A","Band B","B+ · Player-Coach","Band C","C+ · Player-Coach","Band D","Band E"),"Band X · Consultant")</f>
        <v>Band A</v>
      </c>
      <c r="BI213" s="40" t="str">
        <f>IF(BG213=AY213,"• Same",IF(INDEX(B_VAL,MATCH(BG213,B_LVL,0))&gt;INDEX(B_VAL,MATCH(AY213,B_LVL,0)),"▲ Up","▼ Down"))</f>
        <v>• Same</v>
      </c>
      <c r="BJ213" s="40" t="str">
        <f>IF(OR($M213="",$M213="—",$M213="Not in this file"),"",IFERROR(INDEX($BG$7:$BG$592,MATCH($M213,$D$7:$D$592,0)),""))</f>
        <v>B1</v>
      </c>
      <c r="BK213" s="40" t="str">
        <f>IFERROR(IF(BJ213="","—",IF(OR(LEFT(BG213,1)="X",LEFT(BJ213,1)="X"),"—",IF(AND(LEFT(BG213,1)="E",LEFT(BJ213,1)="E"),"Exception · Band E",IF(AND(INDEX(B_VAL,MATCH(BJ213,B_LVL,0))&gt;=7,INDEX(B_RANK,MATCH(BG213,B_LVL,0))&gt;=INDEX(B_RANK,MATCH(BJ213,B_LVL,0))),"⚠ Same band as a head manager",IF(INDEX(B_VAL,MATCH(BG213,B_LVL,0))&gt;=INDEX(B_VAL,MATCH(BJ213,B_LVL,0)),"⚠ At or above the manager's level","OK"))))),"—")</f>
        <v>OK</v>
      </c>
      <c r="BL213" s="43" t="n"/>
      <c r="BM213" s="44">
        <f>IFERROR(INDEX(LMH_PTS,MATCH(Y213,LMH_KEY,0)),0)</f>
        <v>9</v>
      </c>
      <c r="BN213" s="38">
        <f>IFERROR(INDEX(LMH_PTS,MATCH(Z213,LMH_KEY,0)),0)</f>
        <v>3</v>
      </c>
      <c r="BO213" s="38">
        <f>IFERROR(INDEX(LMH_PTS,MATCH(AA213,LMH_KEY,0)),0)</f>
        <v>3</v>
      </c>
      <c r="BP213" s="38">
        <f>IFERROR(INDEX(LMH_PTS,MATCH(AB213,LMH_KEY,0)),0)</f>
        <v>1</v>
      </c>
      <c r="BQ213" s="38">
        <f>IFERROR(INDEX(LMH_PTS,MATCH(AC213,LMH_KEY,0)),0)</f>
        <v>3</v>
      </c>
      <c r="BR213" s="38">
        <f>IFERROR(INDEX(LMH_PTS,MATCH(AD213,LMH_KEY,0)),0)</f>
        <v>1</v>
      </c>
      <c r="BS213" s="38">
        <f>IFERROR(INDEX(LMH_PTS,MATCH(AE213,LMH_KEY,0)),0)</f>
        <v>1</v>
      </c>
      <c r="BT213" s="38">
        <f>IFERROR(INDEX(LMH_STEP,MATCH(AF213,LMH_KEY,0)),0)</f>
        <v>0</v>
      </c>
      <c r="BU213" s="38">
        <f>IFERROR(INDEX(LMH_STEP,MATCH(AG213,LMH_KEY,0)),0)</f>
        <v>0</v>
      </c>
      <c r="BV213" s="38">
        <f>IFERROR(INDEX(LMH_STEP,MATCH(AH213,LMH_KEY,0)),0)</f>
        <v>0</v>
      </c>
      <c r="BW213" s="38">
        <f>IFERROR(INDEX(LMH_STEP,MATCH(AI213,LMH_KEY,0)),0)</f>
        <v>0</v>
      </c>
      <c r="BX213" s="38">
        <f>IFERROR(INDEX(LMH_STEP,MATCH(AJ213,LMH_KEY,0)),0)</f>
        <v>0</v>
      </c>
      <c r="BY213" s="38">
        <f>IFERROR(INDEX(LMH_STEP,MATCH(AK213,LMH_KEY,0)),0)</f>
        <v>0</v>
      </c>
      <c r="BZ213" s="38">
        <f>IFERROR(INDEX(LMH_STEP,MATCH(AL213,LMH_KEY,0)),0)</f>
        <v>0</v>
      </c>
      <c r="CA213" s="38" t="inlineStr">
        <is>
          <t>iDEAL|Technology|Support Specialist|A3|A</t>
        </is>
      </c>
    </row>
    <row r="214" ht="110" customHeight="1">
      <c r="A214" s="28" t="inlineStr">
        <is>
          <t>iDEAL</t>
        </is>
      </c>
      <c r="B214" s="29" t="inlineStr">
        <is>
          <t>Technology</t>
        </is>
      </c>
      <c r="C214" s="29" t="n">
        <v>4</v>
      </c>
      <c r="D214" s="29" t="inlineStr">
        <is>
          <t>IRIS0417</t>
        </is>
      </c>
      <c r="E214" s="29" t="inlineStr">
        <is>
          <t>Vishal Pingle</t>
        </is>
      </c>
      <c r="F214" s="29" t="inlineStr">
        <is>
          <t>Senior Business Analyst</t>
        </is>
      </c>
      <c r="G214" s="29" t="inlineStr">
        <is>
          <t>Senior Business Analysis Specialist</t>
        </is>
      </c>
      <c r="H214" s="29" t="inlineStr">
        <is>
          <t>Business Analysis</t>
        </is>
      </c>
      <c r="I214" s="29" t="inlineStr">
        <is>
          <t>Business Analysis</t>
        </is>
      </c>
      <c r="J214" s="29" t="inlineStr">
        <is>
          <t>IC</t>
        </is>
      </c>
      <c r="K214" s="29" t="inlineStr">
        <is>
          <t>RC-010</t>
        </is>
      </c>
      <c r="L214" s="29" t="inlineStr">
        <is>
          <t>Dnyaneshwar Daund</t>
        </is>
      </c>
      <c r="M214" s="29" t="inlineStr">
        <is>
          <t>IRIS0971</t>
        </is>
      </c>
      <c r="N214" s="29" t="n">
        <v>16.5</v>
      </c>
      <c r="O214" s="29" t="n">
        <v>16</v>
      </c>
      <c r="P214" s="29" t="inlineStr">
        <is>
          <t>B.Com</t>
        </is>
      </c>
      <c r="Q214" s="29" t="inlineStr">
        <is>
          <t>L4 – Senior</t>
        </is>
      </c>
      <c r="R214" s="29" t="inlineStr">
        <is>
          <t>B1</t>
        </is>
      </c>
      <c r="S214" s="30" t="inlineStr">
        <is>
          <t>20 of 20</t>
        </is>
      </c>
      <c r="T214" s="31" t="inlineStr">
        <is>
          <t>Complexity: Evidence reads like B1: RBI CIMS return developments, taxonomy changes, validation rules and client customisations across assigned banks → matches the start
Autonomy: Evidence reads like A3: Analyses and resolves routine client issues independently; escalates others → moved down 0.5
Accountability: Evidence reads like B1: Assigned bank clients …</t>
        </is>
      </c>
      <c r="U214" s="31" t="inlineStr">
        <is>
          <t>Received · manager annual, quarterly, self · 1. Effectively manage the assigned portfolio of banks and maintain high customer satisfaction, with a target of zero critical client escalations attributable to service delivery gaps.
2. Ensure 100% timely tracking, analysis, development, testing, and delivery of RBI CIMS taxonomy changes within prescribed regulatory …</t>
        </is>
      </c>
      <c r="V214" s="31" t="inlineStr">
        <is>
          <t>Latest rating: 3 · Potential: Medium · 9-box: Trusted Professional · Readiness: Develop in role</t>
        </is>
      </c>
      <c r="W214" s="31" t="inlineStr">
        <is>
          <t>C M · Au M · Ac M · L L · BI M · Exp H · 16.5 yrs vs 4–7 yrs · Edu M · B.Com</t>
        </is>
      </c>
      <c r="X214" s="33" t="inlineStr">
        <is>
          <t>Open ▸</t>
        </is>
      </c>
      <c r="Y214" s="34" t="str">
        <f>IFERROR(INDEX(DL_C,MATCH($CA214,DL_KEY,0)),"M")</f>
        <v>H</v>
      </c>
      <c r="Z214" s="35" t="str">
        <f>IFERROR(INDEX(DL_Au,MATCH($CA214,DL_KEY,0)),"M")</f>
        <v>M</v>
      </c>
      <c r="AA214" s="35" t="str">
        <f>IFERROR(INDEX(DL_Ac,MATCH($CA214,DL_KEY,0)),"M")</f>
        <v>L</v>
      </c>
      <c r="AB214" s="35" t="str">
        <f>IFERROR(INDEX(DL_L,MATCH($CA214,DL_KEY,0)),"M")</f>
        <v>L</v>
      </c>
      <c r="AC214" s="35" t="str">
        <f>IFERROR(INDEX(DL_BI,MATCH($CA214,DL_KEY,0)),"M")</f>
        <v>L</v>
      </c>
      <c r="AD214" s="35" t="str">
        <f>IFERROR(INDEX(DL_Exp,MATCH($CA214,DL_KEY,0)),"M")</f>
        <v>L</v>
      </c>
      <c r="AE214" s="35" t="str">
        <f>IFERROR(INDEX(DL_Edu,MATCH($CA214,DL_KEY,0)),"M")</f>
        <v>L</v>
      </c>
      <c r="AF214" s="34" t="inlineStr">
        <is>
          <t>M</t>
        </is>
      </c>
      <c r="AG214" s="35" t="inlineStr">
        <is>
          <t>M</t>
        </is>
      </c>
      <c r="AH214" s="35" t="inlineStr">
        <is>
          <t>M</t>
        </is>
      </c>
      <c r="AI214" s="35" t="inlineStr">
        <is>
          <t>M</t>
        </is>
      </c>
      <c r="AJ214" s="35" t="inlineStr">
        <is>
          <t>M</t>
        </is>
      </c>
      <c r="AK214" s="35" t="inlineStr">
        <is>
          <t>M</t>
        </is>
      </c>
      <c r="AL214" s="35" t="inlineStr">
        <is>
          <t>M</t>
        </is>
      </c>
      <c r="AM214" s="36" t="n">
        <v>0.513</v>
      </c>
      <c r="AN214" s="37" t="n">
        <v>0.173</v>
      </c>
      <c r="AO214" s="37" t="n">
        <v>0.09699999999999999</v>
      </c>
      <c r="AP214" s="37" t="n">
        <v>0.05</v>
      </c>
      <c r="AQ214" s="37" t="n">
        <v>0.07000000000000001</v>
      </c>
      <c r="AR214" s="37" t="n">
        <v>0.06</v>
      </c>
      <c r="AS214" s="37" t="n">
        <v>0.04</v>
      </c>
      <c r="AT214" s="38" t="inlineStr">
        <is>
          <t>4–8</t>
        </is>
      </c>
      <c r="AU214" s="38" t="inlineStr">
        <is>
          <t>Graduate + relevant qualification or certification preferred</t>
        </is>
      </c>
      <c r="AV214" s="38" t="inlineStr">
        <is>
          <t>IC: none · Team Lead: 3–5</t>
        </is>
      </c>
      <c r="AW214" s="38" t="inlineStr">
        <is>
          <t>P3 / M2 · SFIA 4 Enable</t>
        </is>
      </c>
      <c r="AX21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14" s="39" t="inlineStr">
        <is>
          <t>B1</t>
        </is>
      </c>
      <c r="AZ214" s="40" t="inlineStr">
        <is>
          <t>Band B · Specialist / Manager · Specialist</t>
        </is>
      </c>
      <c r="BA214" s="40" t="inlineStr">
        <is>
          <t>Model B1 from the six ratings, the market-derived weights and rules R1–R13 · then No change · already below the manager</t>
        </is>
      </c>
      <c r="BB214" s="41" t="inlineStr">
        <is>
          <t>B1</t>
        </is>
      </c>
      <c r="BC214" s="40" t="inlineStr">
        <is>
          <t>The six ratings on the market-average weights of Band B · Specialist / POD Lead score 4.30 → B1 · Hay, Mercer IPE and public plans · experience 16.5 yrs vs the B1 market range 4–8</t>
        </is>
      </c>
      <c r="BD214" s="42">
        <f>IF(SUM(BM214,BN214,BO214,BP214,BQ214,BR214,BS214)=0,0,(BM214*BT214+BN214*BU214+BO214*BV214+BP214*BW214+BQ214*BX214+BR214*BY214+BS214*BZ214)/SUM(BM214,BN214,BO214,BP214,BQ214,BR214,BS214))</f>
        <v>0</v>
      </c>
      <c r="BE214" s="41" t="str">
        <f>IF(LEFT(AY214,1)="X",AY214,IF(OR(AY214="B+",AY214="C+"),INDEX(LAD_PC,MAX(1,MIN(14,MATCH(AY214,LAD_PC,0)+IF(BD214&gt;=0.5,1,IF(BD214&lt;=-0.5,-1,0))))),INDEX(LAD_STD,MAX(1,MIN(12,MATCH(AY214,LAD_STD,0)+IF(BD214&gt;=0.5,1,IF(BD214&lt;=-0.5,-1,0)))))))</f>
        <v>B1</v>
      </c>
      <c r="BF214" s="43" t="n"/>
      <c r="BG214" s="41" t="str">
        <f>IF(BF214&lt;&gt;"",BF214,BE214)</f>
        <v>B1</v>
      </c>
      <c r="BH214" s="40" t="str">
        <f>IFERROR(CHOOSE(INDEX(B_RANK,MATCH(BG214,B_LVL,0)),"Band A","Band B","B+ · Player-Coach","Band C","C+ · Player-Coach","Band D","Band E"),"Band X · Consultant")</f>
        <v>Band B</v>
      </c>
      <c r="BI214" s="40" t="str">
        <f>IF(BG214=AY214,"• Same",IF(INDEX(B_VAL,MATCH(BG214,B_LVL,0))&gt;INDEX(B_VAL,MATCH(AY214,B_LVL,0)),"▲ Up","▼ Down"))</f>
        <v>• Same</v>
      </c>
      <c r="BJ214" s="40" t="str">
        <f>IF(OR($M214="",$M214="—",$M214="Not in this file"),"",IFERROR(INDEX($BG$7:$BG$592,MATCH($M214,$D$7:$D$592,0)),""))</f>
        <v>B2</v>
      </c>
      <c r="BK214" s="40" t="str">
        <f>IFERROR(IF(BJ214="","—",IF(OR(LEFT(BG214,1)="X",LEFT(BJ214,1)="X"),"—",IF(AND(LEFT(BG214,1)="E",LEFT(BJ214,1)="E"),"Exception · Band E",IF(AND(INDEX(B_VAL,MATCH(BJ214,B_LVL,0))&gt;=7,INDEX(B_RANK,MATCH(BG214,B_LVL,0))&gt;=INDEX(B_RANK,MATCH(BJ214,B_LVL,0))),"⚠ Same band as a head manager",IF(INDEX(B_VAL,MATCH(BG214,B_LVL,0))&gt;=INDEX(B_VAL,MATCH(BJ214,B_LVL,0)),"⚠ At or above the manager's level","OK"))))),"—")</f>
        <v>OK</v>
      </c>
      <c r="BL214" s="43" t="n"/>
      <c r="BM214" s="44">
        <f>IFERROR(INDEX(LMH_PTS,MATCH(Y214,LMH_KEY,0)),0)</f>
        <v>9</v>
      </c>
      <c r="BN214" s="38">
        <f>IFERROR(INDEX(LMH_PTS,MATCH(Z214,LMH_KEY,0)),0)</f>
        <v>3</v>
      </c>
      <c r="BO214" s="38">
        <f>IFERROR(INDEX(LMH_PTS,MATCH(AA214,LMH_KEY,0)),0)</f>
        <v>1</v>
      </c>
      <c r="BP214" s="38">
        <f>IFERROR(INDEX(LMH_PTS,MATCH(AB214,LMH_KEY,0)),0)</f>
        <v>1</v>
      </c>
      <c r="BQ214" s="38">
        <f>IFERROR(INDEX(LMH_PTS,MATCH(AC214,LMH_KEY,0)),0)</f>
        <v>1</v>
      </c>
      <c r="BR214" s="38">
        <f>IFERROR(INDEX(LMH_PTS,MATCH(AD214,LMH_KEY,0)),0)</f>
        <v>1</v>
      </c>
      <c r="BS214" s="38">
        <f>IFERROR(INDEX(LMH_PTS,MATCH(AE214,LMH_KEY,0)),0)</f>
        <v>1</v>
      </c>
      <c r="BT214" s="38">
        <f>IFERROR(INDEX(LMH_STEP,MATCH(AF214,LMH_KEY,0)),0)</f>
        <v>0</v>
      </c>
      <c r="BU214" s="38">
        <f>IFERROR(INDEX(LMH_STEP,MATCH(AG214,LMH_KEY,0)),0)</f>
        <v>0</v>
      </c>
      <c r="BV214" s="38">
        <f>IFERROR(INDEX(LMH_STEP,MATCH(AH214,LMH_KEY,0)),0)</f>
        <v>0</v>
      </c>
      <c r="BW214" s="38">
        <f>IFERROR(INDEX(LMH_STEP,MATCH(AI214,LMH_KEY,0)),0)</f>
        <v>0</v>
      </c>
      <c r="BX214" s="38">
        <f>IFERROR(INDEX(LMH_STEP,MATCH(AJ214,LMH_KEY,0)),0)</f>
        <v>0</v>
      </c>
      <c r="BY214" s="38">
        <f>IFERROR(INDEX(LMH_STEP,MATCH(AK214,LMH_KEY,0)),0)</f>
        <v>0</v>
      </c>
      <c r="BZ214" s="38">
        <f>IFERROR(INDEX(LMH_STEP,MATCH(AL214,LMH_KEY,0)),0)</f>
        <v>0</v>
      </c>
      <c r="CA214" s="38" t="inlineStr">
        <is>
          <t>iDEAL|Technology|Senior Business Analysis Specialist|B1|B-IC</t>
        </is>
      </c>
    </row>
    <row r="215" ht="110" customHeight="1">
      <c r="A215" s="28" t="inlineStr">
        <is>
          <t>iDEAL</t>
        </is>
      </c>
      <c r="B215" s="29" t="inlineStr">
        <is>
          <t>Technology</t>
        </is>
      </c>
      <c r="C215" s="29" t="n">
        <v>4</v>
      </c>
      <c r="D215" s="29" t="inlineStr">
        <is>
          <t>IRIS2142</t>
        </is>
      </c>
      <c r="E215" s="29" t="inlineStr">
        <is>
          <t>Nilam Anandrao Kadam</t>
        </is>
      </c>
      <c r="F215" s="29" t="inlineStr">
        <is>
          <t>Business Analyst</t>
        </is>
      </c>
      <c r="G215" s="29" t="inlineStr">
        <is>
          <t>Senior Business Analyst</t>
        </is>
      </c>
      <c r="H215" s="29" t="inlineStr">
        <is>
          <t>Business Analysis</t>
        </is>
      </c>
      <c r="I215" s="29" t="inlineStr">
        <is>
          <t>Business Analysis</t>
        </is>
      </c>
      <c r="J215" s="29" t="inlineStr">
        <is>
          <t>IC</t>
        </is>
      </c>
      <c r="K215" s="29" t="inlineStr">
        <is>
          <t>RC-009</t>
        </is>
      </c>
      <c r="L215" s="29" t="inlineStr">
        <is>
          <t>Dnyaneshwar Daund</t>
        </is>
      </c>
      <c r="M215" s="29" t="inlineStr">
        <is>
          <t>IRIS0971</t>
        </is>
      </c>
      <c r="N215" s="29" t="n">
        <v>5.9</v>
      </c>
      <c r="O215" s="29" t="n">
        <v>3.3</v>
      </c>
      <c r="P215" s="29" t="inlineStr">
        <is>
          <t>MBA</t>
        </is>
      </c>
      <c r="Q215" s="29" t="inlineStr">
        <is>
          <t>L3 – Professional / Associate</t>
        </is>
      </c>
      <c r="R215" s="29" t="inlineStr">
        <is>
          <t>A3</t>
        </is>
      </c>
      <c r="S215" s="30" t="inlineStr">
        <is>
          <t>0 of 20</t>
        </is>
      </c>
      <c r="T215" s="31" t="inlineStr">
        <is>
          <t>Complexity: Evidence reads like A3: Manager note only: tracks, analyses and delivers EBA taxonomy changes; UAT and production deployments for banks → matches the start
Autonomy: Evidence reads like A2: No survey; note shows query handling and follow-ups within set timelines, no stated authority → moved down 0.5
Accountability: Evidence reads like A3: Note: …</t>
        </is>
      </c>
      <c r="U215" s="31" t="inlineStr">
        <is>
          <t>Received · manager annual, quarterly, self · 1. Effectively manage the assigned portfolio of banks and maintain high customer satisfaction, with a target of zero critical client escalations attributable to service delivery gaps.
2. Ensure 100% timely tracking, analysis, development, testing, and delivery of EBA taxonomy changes within prescribed internal …</t>
        </is>
      </c>
      <c r="V215" s="31" t="inlineStr">
        <is>
          <t>Latest rating: 3 · Potential: Medium · 9-box: Trusted Professional · Readiness: Develop in role</t>
        </is>
      </c>
      <c r="W215" s="31" t="inlineStr">
        <is>
          <t>C M · Au M · Ac M · L L · BI M · Exp H · 5.9 yrs vs 2–4 yrs · Edu H · MBA</t>
        </is>
      </c>
      <c r="X215" s="33" t="inlineStr">
        <is>
          <t>Open ▸</t>
        </is>
      </c>
      <c r="Y215" s="34" t="str">
        <f>IFERROR(INDEX(DL_C,MATCH($CA215,DL_KEY,0)),"M")</f>
        <v>H</v>
      </c>
      <c r="Z215" s="35" t="str">
        <f>IFERROR(INDEX(DL_Au,MATCH($CA215,DL_KEY,0)),"M")</f>
        <v>M</v>
      </c>
      <c r="AA215" s="35" t="str">
        <f>IFERROR(INDEX(DL_Ac,MATCH($CA215,DL_KEY,0)),"M")</f>
        <v>L</v>
      </c>
      <c r="AB215" s="35" t="str">
        <f>IFERROR(INDEX(DL_L,MATCH($CA215,DL_KEY,0)),"M")</f>
        <v>L</v>
      </c>
      <c r="AC215" s="35" t="str">
        <f>IFERROR(INDEX(DL_BI,MATCH($CA215,DL_KEY,0)),"M")</f>
        <v>L</v>
      </c>
      <c r="AD215" s="35" t="str">
        <f>IFERROR(INDEX(DL_Exp,MATCH($CA215,DL_KEY,0)),"M")</f>
        <v>L</v>
      </c>
      <c r="AE215" s="35" t="str">
        <f>IFERROR(INDEX(DL_Edu,MATCH($CA215,DL_KEY,0)),"M")</f>
        <v>L</v>
      </c>
      <c r="AF215" s="34" t="inlineStr">
        <is>
          <t>M</t>
        </is>
      </c>
      <c r="AG215" s="35" t="inlineStr">
        <is>
          <t>M</t>
        </is>
      </c>
      <c r="AH215" s="35" t="inlineStr">
        <is>
          <t>M</t>
        </is>
      </c>
      <c r="AI215" s="35" t="inlineStr">
        <is>
          <t>M</t>
        </is>
      </c>
      <c r="AJ215" s="35" t="inlineStr">
        <is>
          <t>M</t>
        </is>
      </c>
      <c r="AK215" s="35" t="inlineStr">
        <is>
          <t>M</t>
        </is>
      </c>
      <c r="AL215" s="35" t="inlineStr">
        <is>
          <t>M</t>
        </is>
      </c>
      <c r="AM215" s="36" t="n">
        <v>0.583</v>
      </c>
      <c r="AN215" s="37" t="n">
        <v>0.16</v>
      </c>
      <c r="AO215" s="37" t="n">
        <v>0.09</v>
      </c>
      <c r="AP215" s="37" t="n">
        <v>0</v>
      </c>
      <c r="AQ215" s="37" t="n">
        <v>0.063</v>
      </c>
      <c r="AR215" s="37" t="n">
        <v>0.06</v>
      </c>
      <c r="AS215" s="37" t="n">
        <v>0.04</v>
      </c>
      <c r="AT215" s="38" t="inlineStr">
        <is>
          <t>2–5</t>
        </is>
      </c>
      <c r="AU215" s="38" t="inlineStr">
        <is>
          <t>Graduate; relevant certification preferred</t>
        </is>
      </c>
      <c r="AV215" s="38" t="inlineStr">
        <is>
          <t>None · guides 1–3 juniors informally</t>
        </is>
      </c>
      <c r="AW215" s="38" t="inlineStr">
        <is>
          <t>P2 · SFIA 3 Apply</t>
        </is>
      </c>
      <c r="AX21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15" s="39" t="inlineStr">
        <is>
          <t>A3</t>
        </is>
      </c>
      <c r="AZ215" s="40" t="inlineStr">
        <is>
          <t>Band A · Practitioner · Senior Associate</t>
        </is>
      </c>
      <c r="BA215" s="40" t="inlineStr">
        <is>
          <t>Model A3 from the six ratings, the market-derived weights and rules R1–R13 · then No change · already below the manager</t>
        </is>
      </c>
      <c r="BB215" s="41" t="inlineStr">
        <is>
          <t>A3</t>
        </is>
      </c>
      <c r="BC215" s="40" t="inlineStr">
        <is>
          <t>The six ratings on the market-average weights of Band A · all tracks score 3.05 → A3 · Hay, Mercer IPE and public plans · experience 5.9 yrs vs the A3 market range 2–5</t>
        </is>
      </c>
      <c r="BD215" s="42">
        <f>IF(SUM(BM215,BN215,BO215,BP215,BQ215,BR215,BS215)=0,0,(BM215*BT215+BN215*BU215+BO215*BV215+BP215*BW215+BQ215*BX215+BR215*BY215+BS215*BZ215)/SUM(BM215,BN215,BO215,BP215,BQ215,BR215,BS215))</f>
        <v>0</v>
      </c>
      <c r="BE215" s="41" t="str">
        <f>IF(LEFT(AY215,1)="X",AY215,IF(OR(AY215="B+",AY215="C+"),INDEX(LAD_PC,MAX(1,MIN(14,MATCH(AY215,LAD_PC,0)+IF(BD215&gt;=0.5,1,IF(BD215&lt;=-0.5,-1,0))))),INDEX(LAD_STD,MAX(1,MIN(12,MATCH(AY215,LAD_STD,0)+IF(BD215&gt;=0.5,1,IF(BD215&lt;=-0.5,-1,0)))))))</f>
        <v>A3</v>
      </c>
      <c r="BF215" s="43" t="n"/>
      <c r="BG215" s="41" t="str">
        <f>IF(BF215&lt;&gt;"",BF215,BE215)</f>
        <v>A3</v>
      </c>
      <c r="BH215" s="40" t="str">
        <f>IFERROR(CHOOSE(INDEX(B_RANK,MATCH(BG215,B_LVL,0)),"Band A","Band B","B+ · Player-Coach","Band C","C+ · Player-Coach","Band D","Band E"),"Band X · Consultant")</f>
        <v>Band A</v>
      </c>
      <c r="BI215" s="40" t="str">
        <f>IF(BG215=AY215,"• Same",IF(INDEX(B_VAL,MATCH(BG215,B_LVL,0))&gt;INDEX(B_VAL,MATCH(AY215,B_LVL,0)),"▲ Up","▼ Down"))</f>
        <v>• Same</v>
      </c>
      <c r="BJ215" s="40" t="str">
        <f>IF(OR($M215="",$M215="—",$M215="Not in this file"),"",IFERROR(INDEX($BG$7:$BG$592,MATCH($M215,$D$7:$D$592,0)),""))</f>
        <v>B2</v>
      </c>
      <c r="BK215" s="40" t="str">
        <f>IFERROR(IF(BJ215="","—",IF(OR(LEFT(BG215,1)="X",LEFT(BJ215,1)="X"),"—",IF(AND(LEFT(BG215,1)="E",LEFT(BJ215,1)="E"),"Exception · Band E",IF(AND(INDEX(B_VAL,MATCH(BJ215,B_LVL,0))&gt;=7,INDEX(B_RANK,MATCH(BG215,B_LVL,0))&gt;=INDEX(B_RANK,MATCH(BJ215,B_LVL,0))),"⚠ Same band as a head manager",IF(INDEX(B_VAL,MATCH(BG215,B_LVL,0))&gt;=INDEX(B_VAL,MATCH(BJ215,B_LVL,0)),"⚠ At or above the manager's level","OK"))))),"—")</f>
        <v>OK</v>
      </c>
      <c r="BL215" s="43" t="n"/>
      <c r="BM215" s="44">
        <f>IFERROR(INDEX(LMH_PTS,MATCH(Y215,LMH_KEY,0)),0)</f>
        <v>9</v>
      </c>
      <c r="BN215" s="38">
        <f>IFERROR(INDEX(LMH_PTS,MATCH(Z215,LMH_KEY,0)),0)</f>
        <v>3</v>
      </c>
      <c r="BO215" s="38">
        <f>IFERROR(INDEX(LMH_PTS,MATCH(AA215,LMH_KEY,0)),0)</f>
        <v>1</v>
      </c>
      <c r="BP215" s="38">
        <f>IFERROR(INDEX(LMH_PTS,MATCH(AB215,LMH_KEY,0)),0)</f>
        <v>1</v>
      </c>
      <c r="BQ215" s="38">
        <f>IFERROR(INDEX(LMH_PTS,MATCH(AC215,LMH_KEY,0)),0)</f>
        <v>1</v>
      </c>
      <c r="BR215" s="38">
        <f>IFERROR(INDEX(LMH_PTS,MATCH(AD215,LMH_KEY,0)),0)</f>
        <v>1</v>
      </c>
      <c r="BS215" s="38">
        <f>IFERROR(INDEX(LMH_PTS,MATCH(AE215,LMH_KEY,0)),0)</f>
        <v>1</v>
      </c>
      <c r="BT215" s="38">
        <f>IFERROR(INDEX(LMH_STEP,MATCH(AF215,LMH_KEY,0)),0)</f>
        <v>0</v>
      </c>
      <c r="BU215" s="38">
        <f>IFERROR(INDEX(LMH_STEP,MATCH(AG215,LMH_KEY,0)),0)</f>
        <v>0</v>
      </c>
      <c r="BV215" s="38">
        <f>IFERROR(INDEX(LMH_STEP,MATCH(AH215,LMH_KEY,0)),0)</f>
        <v>0</v>
      </c>
      <c r="BW215" s="38">
        <f>IFERROR(INDEX(LMH_STEP,MATCH(AI215,LMH_KEY,0)),0)</f>
        <v>0</v>
      </c>
      <c r="BX215" s="38">
        <f>IFERROR(INDEX(LMH_STEP,MATCH(AJ215,LMH_KEY,0)),0)</f>
        <v>0</v>
      </c>
      <c r="BY215" s="38">
        <f>IFERROR(INDEX(LMH_STEP,MATCH(AK215,LMH_KEY,0)),0)</f>
        <v>0</v>
      </c>
      <c r="BZ215" s="38">
        <f>IFERROR(INDEX(LMH_STEP,MATCH(AL215,LMH_KEY,0)),0)</f>
        <v>0</v>
      </c>
      <c r="CA215" s="38" t="inlineStr">
        <is>
          <t>iDEAL|Technology|Senior Business Analyst|A3|A</t>
        </is>
      </c>
    </row>
    <row r="216" ht="110" customHeight="1">
      <c r="A216" s="28" t="inlineStr">
        <is>
          <t>iDEAL</t>
        </is>
      </c>
      <c r="B216" s="29" t="inlineStr">
        <is>
          <t>Technology</t>
        </is>
      </c>
      <c r="C216" s="29" t="n">
        <v>4</v>
      </c>
      <c r="D216" s="29" t="inlineStr">
        <is>
          <t>IRIS2067</t>
        </is>
      </c>
      <c r="E216" s="29" t="inlineStr">
        <is>
          <t>Silky Agarwal</t>
        </is>
      </c>
      <c r="F216" s="29" t="inlineStr">
        <is>
          <t>Business Analyst</t>
        </is>
      </c>
      <c r="G216" s="29" t="inlineStr">
        <is>
          <t>Senior Business Analyst</t>
        </is>
      </c>
      <c r="H216" s="29" t="inlineStr">
        <is>
          <t>Business Analysis</t>
        </is>
      </c>
      <c r="I216" s="29" t="inlineStr">
        <is>
          <t>Business Analysis</t>
        </is>
      </c>
      <c r="J216" s="29" t="inlineStr">
        <is>
          <t>IC</t>
        </is>
      </c>
      <c r="K216" s="29" t="inlineStr">
        <is>
          <t>RC-009</t>
        </is>
      </c>
      <c r="L216" s="29" t="inlineStr">
        <is>
          <t>Dnyaneshwar Daund</t>
        </is>
      </c>
      <c r="M216" s="29" t="inlineStr">
        <is>
          <t>IRIS0971</t>
        </is>
      </c>
      <c r="N216" s="29" t="n">
        <v>4.3</v>
      </c>
      <c r="O216" s="29" t="n">
        <v>4</v>
      </c>
      <c r="P216" s="29" t="inlineStr">
        <is>
          <t>MBA</t>
        </is>
      </c>
      <c r="Q216" s="29" t="inlineStr">
        <is>
          <t>L3 – Professional / Associate</t>
        </is>
      </c>
      <c r="R216" s="29" t="inlineStr">
        <is>
          <t>A3</t>
        </is>
      </c>
      <c r="S216" s="30" t="inlineStr">
        <is>
          <t>20 of 20</t>
        </is>
      </c>
      <c r="T216" s="31" t="inlineStr">
        <is>
          <t>Business Impact: Moved +0.5: the survey / manager mapping marks it business-critical.</t>
        </is>
      </c>
      <c r="U216" s="31" t="inlineStr">
        <is>
          <t>Received · manager annual, quarterly, self · 1. Effectively manage the assigned portfolio of banks and maintain high customer satisfaction, with a target of zero critical client escalations attributable to service delivery gaps.
2. Contribute to the successful delivery of SARB Phase 4 by actively supporting backlog requirement discussions, analysis, testing, and …</t>
        </is>
      </c>
      <c r="V216" s="31" t="inlineStr">
        <is>
          <t>Latest rating: 3 · Potential: Medium · 9-box: Emerging Talent · Readiness: Develop in role</t>
        </is>
      </c>
      <c r="W216" s="31" t="inlineStr">
        <is>
          <t>C M · Au M · Ac M · L L · BI M · Exp H · 4.3 yrs vs 2–4 yrs · Edu H · MBA</t>
        </is>
      </c>
      <c r="X216" s="33" t="inlineStr">
        <is>
          <t>Open ▸</t>
        </is>
      </c>
      <c r="Y216" s="34" t="str">
        <f>IFERROR(INDEX(DL_C,MATCH($CA216,DL_KEY,0)),"M")</f>
        <v>H</v>
      </c>
      <c r="Z216" s="35" t="str">
        <f>IFERROR(INDEX(DL_Au,MATCH($CA216,DL_KEY,0)),"M")</f>
        <v>M</v>
      </c>
      <c r="AA216" s="35" t="str">
        <f>IFERROR(INDEX(DL_Ac,MATCH($CA216,DL_KEY,0)),"M")</f>
        <v>L</v>
      </c>
      <c r="AB216" s="35" t="str">
        <f>IFERROR(INDEX(DL_L,MATCH($CA216,DL_KEY,0)),"M")</f>
        <v>L</v>
      </c>
      <c r="AC216" s="35" t="str">
        <f>IFERROR(INDEX(DL_BI,MATCH($CA216,DL_KEY,0)),"M")</f>
        <v>L</v>
      </c>
      <c r="AD216" s="35" t="str">
        <f>IFERROR(INDEX(DL_Exp,MATCH($CA216,DL_KEY,0)),"M")</f>
        <v>L</v>
      </c>
      <c r="AE216" s="35" t="str">
        <f>IFERROR(INDEX(DL_Edu,MATCH($CA216,DL_KEY,0)),"M")</f>
        <v>L</v>
      </c>
      <c r="AF216" s="34" t="inlineStr">
        <is>
          <t>M</t>
        </is>
      </c>
      <c r="AG216" s="35" t="inlineStr">
        <is>
          <t>M</t>
        </is>
      </c>
      <c r="AH216" s="35" t="inlineStr">
        <is>
          <t>M</t>
        </is>
      </c>
      <c r="AI216" s="35" t="inlineStr">
        <is>
          <t>M</t>
        </is>
      </c>
      <c r="AJ216" s="35" t="inlineStr">
        <is>
          <t>M</t>
        </is>
      </c>
      <c r="AK216" s="35" t="inlineStr">
        <is>
          <t>M</t>
        </is>
      </c>
      <c r="AL216" s="35" t="inlineStr">
        <is>
          <t>M</t>
        </is>
      </c>
      <c r="AM216" s="36" t="n">
        <v>0.583</v>
      </c>
      <c r="AN216" s="37" t="n">
        <v>0.16</v>
      </c>
      <c r="AO216" s="37" t="n">
        <v>0.09</v>
      </c>
      <c r="AP216" s="37" t="n">
        <v>0</v>
      </c>
      <c r="AQ216" s="37" t="n">
        <v>0.063</v>
      </c>
      <c r="AR216" s="37" t="n">
        <v>0.06</v>
      </c>
      <c r="AS216" s="37" t="n">
        <v>0.04</v>
      </c>
      <c r="AT216" s="38" t="inlineStr">
        <is>
          <t>2–5</t>
        </is>
      </c>
      <c r="AU216" s="38" t="inlineStr">
        <is>
          <t>Graduate; relevant certification preferred</t>
        </is>
      </c>
      <c r="AV216" s="38" t="inlineStr">
        <is>
          <t>None · guides 1–3 juniors informally</t>
        </is>
      </c>
      <c r="AW216" s="38" t="inlineStr">
        <is>
          <t>P2 · SFIA 3 Apply</t>
        </is>
      </c>
      <c r="AX21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16" s="39" t="inlineStr">
        <is>
          <t>A3</t>
        </is>
      </c>
      <c r="AZ216" s="40" t="inlineStr">
        <is>
          <t>Band A · Practitioner · Senior Associate</t>
        </is>
      </c>
      <c r="BA216" s="40" t="inlineStr">
        <is>
          <t>Model A3 from the six ratings, the market-derived weights and rules R1–R13 · then No change · already below the manager</t>
        </is>
      </c>
      <c r="BB216" s="41" t="inlineStr">
        <is>
          <t>A3</t>
        </is>
      </c>
      <c r="BC216" s="40" t="inlineStr">
        <is>
          <t>The six ratings on the market-average weights of Band A · all tracks score 3.08 → A3 · Hay, Mercer IPE and public plans · experience 4.3 yrs vs the A3 market range 2–5</t>
        </is>
      </c>
      <c r="BD216" s="42">
        <f>IF(SUM(BM216,BN216,BO216,BP216,BQ216,BR216,BS216)=0,0,(BM216*BT216+BN216*BU216+BO216*BV216+BP216*BW216+BQ216*BX216+BR216*BY216+BS216*BZ216)/SUM(BM216,BN216,BO216,BP216,BQ216,BR216,BS216))</f>
        <v>0</v>
      </c>
      <c r="BE216" s="41" t="str">
        <f>IF(LEFT(AY216,1)="X",AY216,IF(OR(AY216="B+",AY216="C+"),INDEX(LAD_PC,MAX(1,MIN(14,MATCH(AY216,LAD_PC,0)+IF(BD216&gt;=0.5,1,IF(BD216&lt;=-0.5,-1,0))))),INDEX(LAD_STD,MAX(1,MIN(12,MATCH(AY216,LAD_STD,0)+IF(BD216&gt;=0.5,1,IF(BD216&lt;=-0.5,-1,0)))))))</f>
        <v>A3</v>
      </c>
      <c r="BF216" s="43" t="n"/>
      <c r="BG216" s="41" t="str">
        <f>IF(BF216&lt;&gt;"",BF216,BE216)</f>
        <v>A3</v>
      </c>
      <c r="BH216" s="40" t="str">
        <f>IFERROR(CHOOSE(INDEX(B_RANK,MATCH(BG216,B_LVL,0)),"Band A","Band B","B+ · Player-Coach","Band C","C+ · Player-Coach","Band D","Band E"),"Band X · Consultant")</f>
        <v>Band A</v>
      </c>
      <c r="BI216" s="40" t="str">
        <f>IF(BG216=AY216,"• Same",IF(INDEX(B_VAL,MATCH(BG216,B_LVL,0))&gt;INDEX(B_VAL,MATCH(AY216,B_LVL,0)),"▲ Up","▼ Down"))</f>
        <v>• Same</v>
      </c>
      <c r="BJ216" s="40" t="str">
        <f>IF(OR($M216="",$M216="—",$M216="Not in this file"),"",IFERROR(INDEX($BG$7:$BG$592,MATCH($M216,$D$7:$D$592,0)),""))</f>
        <v>B2</v>
      </c>
      <c r="BK216" s="40" t="str">
        <f>IFERROR(IF(BJ216="","—",IF(OR(LEFT(BG216,1)="X",LEFT(BJ216,1)="X"),"—",IF(AND(LEFT(BG216,1)="E",LEFT(BJ216,1)="E"),"Exception · Band E",IF(AND(INDEX(B_VAL,MATCH(BJ216,B_LVL,0))&gt;=7,INDEX(B_RANK,MATCH(BG216,B_LVL,0))&gt;=INDEX(B_RANK,MATCH(BJ216,B_LVL,0))),"⚠ Same band as a head manager",IF(INDEX(B_VAL,MATCH(BG216,B_LVL,0))&gt;=INDEX(B_VAL,MATCH(BJ216,B_LVL,0)),"⚠ At or above the manager's level","OK"))))),"—")</f>
        <v>OK</v>
      </c>
      <c r="BL216" s="43" t="n"/>
      <c r="BM216" s="44">
        <f>IFERROR(INDEX(LMH_PTS,MATCH(Y216,LMH_KEY,0)),0)</f>
        <v>9</v>
      </c>
      <c r="BN216" s="38">
        <f>IFERROR(INDEX(LMH_PTS,MATCH(Z216,LMH_KEY,0)),0)</f>
        <v>3</v>
      </c>
      <c r="BO216" s="38">
        <f>IFERROR(INDEX(LMH_PTS,MATCH(AA216,LMH_KEY,0)),0)</f>
        <v>1</v>
      </c>
      <c r="BP216" s="38">
        <f>IFERROR(INDEX(LMH_PTS,MATCH(AB216,LMH_KEY,0)),0)</f>
        <v>1</v>
      </c>
      <c r="BQ216" s="38">
        <f>IFERROR(INDEX(LMH_PTS,MATCH(AC216,LMH_KEY,0)),0)</f>
        <v>1</v>
      </c>
      <c r="BR216" s="38">
        <f>IFERROR(INDEX(LMH_PTS,MATCH(AD216,LMH_KEY,0)),0)</f>
        <v>1</v>
      </c>
      <c r="BS216" s="38">
        <f>IFERROR(INDEX(LMH_PTS,MATCH(AE216,LMH_KEY,0)),0)</f>
        <v>1</v>
      </c>
      <c r="BT216" s="38">
        <f>IFERROR(INDEX(LMH_STEP,MATCH(AF216,LMH_KEY,0)),0)</f>
        <v>0</v>
      </c>
      <c r="BU216" s="38">
        <f>IFERROR(INDEX(LMH_STEP,MATCH(AG216,LMH_KEY,0)),0)</f>
        <v>0</v>
      </c>
      <c r="BV216" s="38">
        <f>IFERROR(INDEX(LMH_STEP,MATCH(AH216,LMH_KEY,0)),0)</f>
        <v>0</v>
      </c>
      <c r="BW216" s="38">
        <f>IFERROR(INDEX(LMH_STEP,MATCH(AI216,LMH_KEY,0)),0)</f>
        <v>0</v>
      </c>
      <c r="BX216" s="38">
        <f>IFERROR(INDEX(LMH_STEP,MATCH(AJ216,LMH_KEY,0)),0)</f>
        <v>0</v>
      </c>
      <c r="BY216" s="38">
        <f>IFERROR(INDEX(LMH_STEP,MATCH(AK216,LMH_KEY,0)),0)</f>
        <v>0</v>
      </c>
      <c r="BZ216" s="38">
        <f>IFERROR(INDEX(LMH_STEP,MATCH(AL216,LMH_KEY,0)),0)</f>
        <v>0</v>
      </c>
      <c r="CA216" s="38" t="inlineStr">
        <is>
          <t>iDEAL|Technology|Senior Business Analyst|A3|A</t>
        </is>
      </c>
    </row>
    <row r="217" ht="110" customHeight="1">
      <c r="A217" s="28" t="inlineStr">
        <is>
          <t>iDEAL</t>
        </is>
      </c>
      <c r="B217" s="29" t="inlineStr">
        <is>
          <t>Technology</t>
        </is>
      </c>
      <c r="C217" s="29" t="n">
        <v>4</v>
      </c>
      <c r="D217" s="29" t="inlineStr">
        <is>
          <t>IRIS2466</t>
        </is>
      </c>
      <c r="E217" s="29" t="inlineStr">
        <is>
          <t>Vidyasagar Reddy</t>
        </is>
      </c>
      <c r="F217" s="29" t="inlineStr">
        <is>
          <t>Business Analyst</t>
        </is>
      </c>
      <c r="G217" s="29" t="inlineStr">
        <is>
          <t>Senior Business Analyst</t>
        </is>
      </c>
      <c r="H217" s="29" t="inlineStr">
        <is>
          <t>Business Analysis</t>
        </is>
      </c>
      <c r="I217" s="29" t="inlineStr">
        <is>
          <t>Business Analysis</t>
        </is>
      </c>
      <c r="J217" s="29" t="inlineStr">
        <is>
          <t>IC</t>
        </is>
      </c>
      <c r="K217" s="29" t="inlineStr">
        <is>
          <t>RC-009</t>
        </is>
      </c>
      <c r="L217" s="29" t="inlineStr">
        <is>
          <t>Dnyaneshwar Daund</t>
        </is>
      </c>
      <c r="M217" s="29" t="inlineStr">
        <is>
          <t>IRIS0971</t>
        </is>
      </c>
      <c r="N217" s="29" t="n">
        <v>2.2</v>
      </c>
      <c r="O217" s="29" t="n">
        <v>0.7</v>
      </c>
      <c r="P217" s="29" t="inlineStr">
        <is>
          <t>B.Tech</t>
        </is>
      </c>
      <c r="Q217" s="29" t="inlineStr">
        <is>
          <t>L3 – Professional / Associate</t>
        </is>
      </c>
      <c r="R217" s="29" t="inlineStr">
        <is>
          <t>A3</t>
        </is>
      </c>
      <c r="S217" s="30" t="inlineStr">
        <is>
          <t>19 of 20</t>
        </is>
      </c>
      <c r="T217" s="31" t="inlineStr">
        <is>
          <t>Complexity: Evidence reads like A3: Requirement gathering, wireframe design, proposes solution designs, part scrum-master duties, client support → matches the start
Autonomy: Evidence reads like A2: Decides only on proposing innovative product ideas; note targets working with minimal supervision → moved down 0.5
Accountability: Evidence reads like A3: …</t>
        </is>
      </c>
      <c r="U217" s="31" t="inlineStr">
        <is>
          <t>Received · manager annual, quarterly, self · 1. By the end of July 2026, develop an in-depth understanding of the iDEAL product, business processes, and regulatory reporting framework to independently analyse client requirements, provide functional support, and contribute effectively to project delivery.
2. Gain expertise in independently handling client issues, …</t>
        </is>
      </c>
      <c r="V217" s="31" t="inlineStr">
        <is>
          <t>Latest rating: 3 · Potential: Medium · 9-box: Emerging Talent · Readiness: Develop in role</t>
        </is>
      </c>
      <c r="W217" s="31" t="inlineStr">
        <is>
          <t>C M · Au M · Ac M · L L · BI M · Exp M · 2.2 yrs vs 2–4 yrs · Edu M · B.Tech</t>
        </is>
      </c>
      <c r="X217" s="33" t="inlineStr">
        <is>
          <t>Open ▸</t>
        </is>
      </c>
      <c r="Y217" s="34" t="str">
        <f>IFERROR(INDEX(DL_C,MATCH($CA217,DL_KEY,0)),"M")</f>
        <v>H</v>
      </c>
      <c r="Z217" s="35" t="str">
        <f>IFERROR(INDEX(DL_Au,MATCH($CA217,DL_KEY,0)),"M")</f>
        <v>M</v>
      </c>
      <c r="AA217" s="35" t="str">
        <f>IFERROR(INDEX(DL_Ac,MATCH($CA217,DL_KEY,0)),"M")</f>
        <v>L</v>
      </c>
      <c r="AB217" s="35" t="str">
        <f>IFERROR(INDEX(DL_L,MATCH($CA217,DL_KEY,0)),"M")</f>
        <v>L</v>
      </c>
      <c r="AC217" s="35" t="str">
        <f>IFERROR(INDEX(DL_BI,MATCH($CA217,DL_KEY,0)),"M")</f>
        <v>L</v>
      </c>
      <c r="AD217" s="35" t="str">
        <f>IFERROR(INDEX(DL_Exp,MATCH($CA217,DL_KEY,0)),"M")</f>
        <v>L</v>
      </c>
      <c r="AE217" s="35" t="str">
        <f>IFERROR(INDEX(DL_Edu,MATCH($CA217,DL_KEY,0)),"M")</f>
        <v>L</v>
      </c>
      <c r="AF217" s="34" t="inlineStr">
        <is>
          <t>M</t>
        </is>
      </c>
      <c r="AG217" s="35" t="inlineStr">
        <is>
          <t>M</t>
        </is>
      </c>
      <c r="AH217" s="35" t="inlineStr">
        <is>
          <t>M</t>
        </is>
      </c>
      <c r="AI217" s="35" t="inlineStr">
        <is>
          <t>M</t>
        </is>
      </c>
      <c r="AJ217" s="35" t="inlineStr">
        <is>
          <t>M</t>
        </is>
      </c>
      <c r="AK217" s="35" t="inlineStr">
        <is>
          <t>M</t>
        </is>
      </c>
      <c r="AL217" s="35" t="inlineStr">
        <is>
          <t>M</t>
        </is>
      </c>
      <c r="AM217" s="36" t="n">
        <v>0.583</v>
      </c>
      <c r="AN217" s="37" t="n">
        <v>0.16</v>
      </c>
      <c r="AO217" s="37" t="n">
        <v>0.09</v>
      </c>
      <c r="AP217" s="37" t="n">
        <v>0</v>
      </c>
      <c r="AQ217" s="37" t="n">
        <v>0.063</v>
      </c>
      <c r="AR217" s="37" t="n">
        <v>0.06</v>
      </c>
      <c r="AS217" s="37" t="n">
        <v>0.04</v>
      </c>
      <c r="AT217" s="38" t="inlineStr">
        <is>
          <t>2–5</t>
        </is>
      </c>
      <c r="AU217" s="38" t="inlineStr">
        <is>
          <t>Graduate; relevant certification preferred</t>
        </is>
      </c>
      <c r="AV217" s="38" t="inlineStr">
        <is>
          <t>None · guides 1–3 juniors informally</t>
        </is>
      </c>
      <c r="AW217" s="38" t="inlineStr">
        <is>
          <t>P2 · SFIA 3 Apply</t>
        </is>
      </c>
      <c r="AX21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17" s="39" t="inlineStr">
        <is>
          <t>A3</t>
        </is>
      </c>
      <c r="AZ217" s="40" t="inlineStr">
        <is>
          <t>Band A · Practitioner · Senior Associate</t>
        </is>
      </c>
      <c r="BA217" s="40" t="inlineStr">
        <is>
          <t>Model A3 from the six ratings, the market-derived weights and rules R1–R13 · then No change · already below the manager</t>
        </is>
      </c>
      <c r="BB217" s="41" t="inlineStr">
        <is>
          <t>A3</t>
        </is>
      </c>
      <c r="BC217" s="40" t="inlineStr">
        <is>
          <t>The six ratings on the market-average weights of Band A · all tracks score 2.87 → A3 · Hay, Mercer IPE and public plans · experience 2.2 yrs vs the A3 market range 2–5</t>
        </is>
      </c>
      <c r="BD217" s="42">
        <f>IF(SUM(BM217,BN217,BO217,BP217,BQ217,BR217,BS217)=0,0,(BM217*BT217+BN217*BU217+BO217*BV217+BP217*BW217+BQ217*BX217+BR217*BY217+BS217*BZ217)/SUM(BM217,BN217,BO217,BP217,BQ217,BR217,BS217))</f>
        <v>0</v>
      </c>
      <c r="BE217" s="41" t="str">
        <f>IF(LEFT(AY217,1)="X",AY217,IF(OR(AY217="B+",AY217="C+"),INDEX(LAD_PC,MAX(1,MIN(14,MATCH(AY217,LAD_PC,0)+IF(BD217&gt;=0.5,1,IF(BD217&lt;=-0.5,-1,0))))),INDEX(LAD_STD,MAX(1,MIN(12,MATCH(AY217,LAD_STD,0)+IF(BD217&gt;=0.5,1,IF(BD217&lt;=-0.5,-1,0)))))))</f>
        <v>A3</v>
      </c>
      <c r="BF217" s="43" t="n"/>
      <c r="BG217" s="41" t="str">
        <f>IF(BF217&lt;&gt;"",BF217,BE217)</f>
        <v>A3</v>
      </c>
      <c r="BH217" s="40" t="str">
        <f>IFERROR(CHOOSE(INDEX(B_RANK,MATCH(BG217,B_LVL,0)),"Band A","Band B","B+ · Player-Coach","Band C","C+ · Player-Coach","Band D","Band E"),"Band X · Consultant")</f>
        <v>Band A</v>
      </c>
      <c r="BI217" s="40" t="str">
        <f>IF(BG217=AY217,"• Same",IF(INDEX(B_VAL,MATCH(BG217,B_LVL,0))&gt;INDEX(B_VAL,MATCH(AY217,B_LVL,0)),"▲ Up","▼ Down"))</f>
        <v>• Same</v>
      </c>
      <c r="BJ217" s="40" t="str">
        <f>IF(OR($M217="",$M217="—",$M217="Not in this file"),"",IFERROR(INDEX($BG$7:$BG$592,MATCH($M217,$D$7:$D$592,0)),""))</f>
        <v>B2</v>
      </c>
      <c r="BK217" s="40" t="str">
        <f>IFERROR(IF(BJ217="","—",IF(OR(LEFT(BG217,1)="X",LEFT(BJ217,1)="X"),"—",IF(AND(LEFT(BG217,1)="E",LEFT(BJ217,1)="E"),"Exception · Band E",IF(AND(INDEX(B_VAL,MATCH(BJ217,B_LVL,0))&gt;=7,INDEX(B_RANK,MATCH(BG217,B_LVL,0))&gt;=INDEX(B_RANK,MATCH(BJ217,B_LVL,0))),"⚠ Same band as a head manager",IF(INDEX(B_VAL,MATCH(BG217,B_LVL,0))&gt;=INDEX(B_VAL,MATCH(BJ217,B_LVL,0)),"⚠ At or above the manager's level","OK"))))),"—")</f>
        <v>OK</v>
      </c>
      <c r="BL217" s="43" t="n"/>
      <c r="BM217" s="44">
        <f>IFERROR(INDEX(LMH_PTS,MATCH(Y217,LMH_KEY,0)),0)</f>
        <v>9</v>
      </c>
      <c r="BN217" s="38">
        <f>IFERROR(INDEX(LMH_PTS,MATCH(Z217,LMH_KEY,0)),0)</f>
        <v>3</v>
      </c>
      <c r="BO217" s="38">
        <f>IFERROR(INDEX(LMH_PTS,MATCH(AA217,LMH_KEY,0)),0)</f>
        <v>1</v>
      </c>
      <c r="BP217" s="38">
        <f>IFERROR(INDEX(LMH_PTS,MATCH(AB217,LMH_KEY,0)),0)</f>
        <v>1</v>
      </c>
      <c r="BQ217" s="38">
        <f>IFERROR(INDEX(LMH_PTS,MATCH(AC217,LMH_KEY,0)),0)</f>
        <v>1</v>
      </c>
      <c r="BR217" s="38">
        <f>IFERROR(INDEX(LMH_PTS,MATCH(AD217,LMH_KEY,0)),0)</f>
        <v>1</v>
      </c>
      <c r="BS217" s="38">
        <f>IFERROR(INDEX(LMH_PTS,MATCH(AE217,LMH_KEY,0)),0)</f>
        <v>1</v>
      </c>
      <c r="BT217" s="38">
        <f>IFERROR(INDEX(LMH_STEP,MATCH(AF217,LMH_KEY,0)),0)</f>
        <v>0</v>
      </c>
      <c r="BU217" s="38">
        <f>IFERROR(INDEX(LMH_STEP,MATCH(AG217,LMH_KEY,0)),0)</f>
        <v>0</v>
      </c>
      <c r="BV217" s="38">
        <f>IFERROR(INDEX(LMH_STEP,MATCH(AH217,LMH_KEY,0)),0)</f>
        <v>0</v>
      </c>
      <c r="BW217" s="38">
        <f>IFERROR(INDEX(LMH_STEP,MATCH(AI217,LMH_KEY,0)),0)</f>
        <v>0</v>
      </c>
      <c r="BX217" s="38">
        <f>IFERROR(INDEX(LMH_STEP,MATCH(AJ217,LMH_KEY,0)),0)</f>
        <v>0</v>
      </c>
      <c r="BY217" s="38">
        <f>IFERROR(INDEX(LMH_STEP,MATCH(AK217,LMH_KEY,0)),0)</f>
        <v>0</v>
      </c>
      <c r="BZ217" s="38">
        <f>IFERROR(INDEX(LMH_STEP,MATCH(AL217,LMH_KEY,0)),0)</f>
        <v>0</v>
      </c>
      <c r="CA217" s="38" t="inlineStr">
        <is>
          <t>iDEAL|Technology|Senior Business Analyst|A3|A</t>
        </is>
      </c>
    </row>
    <row r="218" ht="110" customHeight="1">
      <c r="A218" s="28" t="inlineStr">
        <is>
          <t>iDEAL</t>
        </is>
      </c>
      <c r="B218" s="29" t="inlineStr">
        <is>
          <t>Sales</t>
        </is>
      </c>
      <c r="C218" s="29" t="n">
        <v>3</v>
      </c>
      <c r="D218" s="29" t="inlineStr">
        <is>
          <t>IRIS2505</t>
        </is>
      </c>
      <c r="E218" s="29" t="inlineStr">
        <is>
          <t>Rohit Patil</t>
        </is>
      </c>
      <c r="F218" s="29" t="inlineStr">
        <is>
          <t>Manager Sales</t>
        </is>
      </c>
      <c r="G218" s="29" t="inlineStr">
        <is>
          <t>Senior Account Executive</t>
        </is>
      </c>
      <c r="H218" s="29" t="inlineStr">
        <is>
          <t>Sales &amp; Business Development</t>
        </is>
      </c>
      <c r="I218" s="29" t="inlineStr">
        <is>
          <t>Enterprise Sales &amp; Account Management</t>
        </is>
      </c>
      <c r="J218" s="29" t="inlineStr">
        <is>
          <t>IC</t>
        </is>
      </c>
      <c r="K218" s="29" t="inlineStr">
        <is>
          <t>RC-152</t>
        </is>
      </c>
      <c r="L218" s="29" t="inlineStr">
        <is>
          <t>Hemant Karale</t>
        </is>
      </c>
      <c r="M218" s="29" t="inlineStr">
        <is>
          <t>IRIS1224</t>
        </is>
      </c>
      <c r="N218" s="29" t="n">
        <v>16.5</v>
      </c>
      <c r="O218" s="29" t="n">
        <v>0.5</v>
      </c>
      <c r="P218" s="29" t="inlineStr">
        <is>
          <t>MBA</t>
        </is>
      </c>
      <c r="Q218" s="29" t="inlineStr">
        <is>
          <t>L5 – Manager</t>
        </is>
      </c>
      <c r="R218" s="29" t="inlineStr">
        <is>
          <t>B2</t>
        </is>
      </c>
      <c r="S218" s="30" t="inlineStr">
        <is>
          <t>20 of 20</t>
        </is>
      </c>
      <c r="T218" s="31" t="inlineStr">
        <is>
          <t>Complexity: Evidence reads like A3: Sells compliance-automation solutions to banks and NBFCs; lead identification and client research → moved down 0.5
Autonomy: Evidence reads like A2: Only 'meeting new clients' named as an independent decision → moved down 0.5
Accountability: Evidence reads like B2: own survey / KRA answers · summarised by the rater; not …</t>
        </is>
      </c>
      <c r="U218" s="31" t="inlineStr">
        <is>
          <t>Received · manager annual, quarterly · 1. Revenue Goal: Achieve ARR Revenue Target - 2 Cr &amp; One-Time Revenue Target - 4 Cr in the year
2. Strong Pipe Building: Generate Qualified Leads from Banks - 1 &amp; NBFCs - 2 Active Buy SALs &amp; 6 Discovery Meetings per month 
3. Log Meeting notes, Next steps etc. with clear descriptions · intent, stakeholders, …</t>
        </is>
      </c>
      <c r="V218" s="31" t="inlineStr">
        <is>
          <t>Latest rating: 2 · 9-box: Not placed · manager · Readiness: Performance first</t>
        </is>
      </c>
      <c r="W218" s="31" t="inlineStr">
        <is>
          <t>C M · Au M · Ac M · L L · BI M · Exp H · 16.5 yrs vs 6–9 yrs · Edu H · MBA</t>
        </is>
      </c>
      <c r="X218" s="33" t="inlineStr">
        <is>
          <t>Open ▸</t>
        </is>
      </c>
      <c r="Y218" s="34" t="str">
        <f>IFERROR(INDEX(DL_C,MATCH($CA218,DL_KEY,0)),"M")</f>
        <v>H</v>
      </c>
      <c r="Z218" s="35" t="str">
        <f>IFERROR(INDEX(DL_Au,MATCH($CA218,DL_KEY,0)),"M")</f>
        <v>M</v>
      </c>
      <c r="AA218" s="35" t="str">
        <f>IFERROR(INDEX(DL_Ac,MATCH($CA218,DL_KEY,0)),"M")</f>
        <v>L</v>
      </c>
      <c r="AB218" s="35" t="str">
        <f>IFERROR(INDEX(DL_L,MATCH($CA218,DL_KEY,0)),"M")</f>
        <v>L</v>
      </c>
      <c r="AC218" s="35" t="str">
        <f>IFERROR(INDEX(DL_BI,MATCH($CA218,DL_KEY,0)),"M")</f>
        <v>M</v>
      </c>
      <c r="AD218" s="35" t="str">
        <f>IFERROR(INDEX(DL_Exp,MATCH($CA218,DL_KEY,0)),"M")</f>
        <v>L</v>
      </c>
      <c r="AE218" s="35" t="str">
        <f>IFERROR(INDEX(DL_Edu,MATCH($CA218,DL_KEY,0)),"M")</f>
        <v>L</v>
      </c>
      <c r="AF218" s="34" t="inlineStr">
        <is>
          <t>M</t>
        </is>
      </c>
      <c r="AG218" s="35" t="inlineStr">
        <is>
          <t>M</t>
        </is>
      </c>
      <c r="AH218" s="35" t="inlineStr">
        <is>
          <t>M</t>
        </is>
      </c>
      <c r="AI218" s="35" t="inlineStr">
        <is>
          <t>M</t>
        </is>
      </c>
      <c r="AJ218" s="35" t="inlineStr">
        <is>
          <t>M</t>
        </is>
      </c>
      <c r="AK218" s="35" t="inlineStr">
        <is>
          <t>M</t>
        </is>
      </c>
      <c r="AL218" s="35" t="inlineStr">
        <is>
          <t>M</t>
        </is>
      </c>
      <c r="AM218" s="36" t="n">
        <v>0.513</v>
      </c>
      <c r="AN218" s="37" t="n">
        <v>0.173</v>
      </c>
      <c r="AO218" s="37" t="n">
        <v>0.09699999999999999</v>
      </c>
      <c r="AP218" s="37" t="n">
        <v>0.05</v>
      </c>
      <c r="AQ218" s="37" t="n">
        <v>0.07000000000000001</v>
      </c>
      <c r="AR218" s="37" t="n">
        <v>0.06</v>
      </c>
      <c r="AS218" s="37" t="n">
        <v>0.04</v>
      </c>
      <c r="AT218" s="38" t="inlineStr">
        <is>
          <t>6–10</t>
        </is>
      </c>
      <c r="AU218" s="38" t="inlineStr">
        <is>
          <t>Graduate or postgraduate; professional qualification preferred</t>
        </is>
      </c>
      <c r="AV218" s="38" t="inlineStr">
        <is>
          <t>IC: none · People: 6–8 knowledge work, 8–12 standardised delivery</t>
        </is>
      </c>
      <c r="AW218" s="38" t="inlineStr">
        <is>
          <t>P4 / M3 · SFIA 4–5</t>
        </is>
      </c>
      <c r="AX21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18" s="39" t="inlineStr">
        <is>
          <t>B2</t>
        </is>
      </c>
      <c r="AZ218" s="40" t="inlineStr">
        <is>
          <t>Band B · Specialist / Manager · Senior Specialist</t>
        </is>
      </c>
      <c r="BA218" s="40" t="inlineStr">
        <is>
          <t>Model B2 from the six ratings, the market-derived weights and rules R1–R13 · then No change · already below the manager</t>
        </is>
      </c>
      <c r="BB218" s="41" t="inlineStr">
        <is>
          <t>B2</t>
        </is>
      </c>
      <c r="BC218" s="40" t="inlineStr">
        <is>
          <t>The six ratings on the market-average weights of Band B · Specialist / POD Lead score 4.98 → B2 · Hay, Mercer IPE and public plans · experience 16.5 yrs vs the B2 market range 6–10</t>
        </is>
      </c>
      <c r="BD218" s="42">
        <f>IF(SUM(BM218,BN218,BO218,BP218,BQ218,BR218,BS218)=0,0,(BM218*BT218+BN218*BU218+BO218*BV218+BP218*BW218+BQ218*BX218+BR218*BY218+BS218*BZ218)/SUM(BM218,BN218,BO218,BP218,BQ218,BR218,BS218))</f>
        <v>0</v>
      </c>
      <c r="BE218" s="41" t="str">
        <f>IF(LEFT(AY218,1)="X",AY218,IF(OR(AY218="B+",AY218="C+"),INDEX(LAD_PC,MAX(1,MIN(14,MATCH(AY218,LAD_PC,0)+IF(BD218&gt;=0.5,1,IF(BD218&lt;=-0.5,-1,0))))),INDEX(LAD_STD,MAX(1,MIN(12,MATCH(AY218,LAD_STD,0)+IF(BD218&gt;=0.5,1,IF(BD218&lt;=-0.5,-1,0)))))))</f>
        <v>B2</v>
      </c>
      <c r="BF218" s="43" t="n"/>
      <c r="BG218" s="41" t="str">
        <f>IF(BF218&lt;&gt;"",BF218,BE218)</f>
        <v>B2</v>
      </c>
      <c r="BH218" s="40" t="str">
        <f>IFERROR(CHOOSE(INDEX(B_RANK,MATCH(BG218,B_LVL,0)),"Band A","Band B","B+ · Player-Coach","Band C","C+ · Player-Coach","Band D","Band E"),"Band X · Consultant")</f>
        <v>Band B</v>
      </c>
      <c r="BI218" s="40" t="str">
        <f>IF(BG218=AY218,"• Same",IF(INDEX(B_VAL,MATCH(BG218,B_LVL,0))&gt;INDEX(B_VAL,MATCH(AY218,B_LVL,0)),"▲ Up","▼ Down"))</f>
        <v>• Same</v>
      </c>
      <c r="BJ218" s="40" t="str">
        <f>IF(OR($M218="",$M218="—",$M218="Not in this file"),"",IFERROR(INDEX($BG$7:$BG$592,MATCH($M218,$D$7:$D$592,0)),""))</f>
        <v>C2</v>
      </c>
      <c r="BK218" s="40" t="str">
        <f>IFERROR(IF(BJ218="","—",IF(OR(LEFT(BG218,1)="X",LEFT(BJ218,1)="X"),"—",IF(AND(LEFT(BG218,1)="E",LEFT(BJ218,1)="E"),"Exception · Band E",IF(AND(INDEX(B_VAL,MATCH(BJ218,B_LVL,0))&gt;=7,INDEX(B_RANK,MATCH(BG218,B_LVL,0))&gt;=INDEX(B_RANK,MATCH(BJ218,B_LVL,0))),"⚠ Same band as a head manager",IF(INDEX(B_VAL,MATCH(BG218,B_LVL,0))&gt;=INDEX(B_VAL,MATCH(BJ218,B_LVL,0)),"⚠ At or above the manager's level","OK"))))),"—")</f>
        <v>OK</v>
      </c>
      <c r="BL218" s="43" t="n"/>
      <c r="BM218" s="44">
        <f>IFERROR(INDEX(LMH_PTS,MATCH(Y218,LMH_KEY,0)),0)</f>
        <v>9</v>
      </c>
      <c r="BN218" s="38">
        <f>IFERROR(INDEX(LMH_PTS,MATCH(Z218,LMH_KEY,0)),0)</f>
        <v>3</v>
      </c>
      <c r="BO218" s="38">
        <f>IFERROR(INDEX(LMH_PTS,MATCH(AA218,LMH_KEY,0)),0)</f>
        <v>1</v>
      </c>
      <c r="BP218" s="38">
        <f>IFERROR(INDEX(LMH_PTS,MATCH(AB218,LMH_KEY,0)),0)</f>
        <v>1</v>
      </c>
      <c r="BQ218" s="38">
        <f>IFERROR(INDEX(LMH_PTS,MATCH(AC218,LMH_KEY,0)),0)</f>
        <v>3</v>
      </c>
      <c r="BR218" s="38">
        <f>IFERROR(INDEX(LMH_PTS,MATCH(AD218,LMH_KEY,0)),0)</f>
        <v>1</v>
      </c>
      <c r="BS218" s="38">
        <f>IFERROR(INDEX(LMH_PTS,MATCH(AE218,LMH_KEY,0)),0)</f>
        <v>1</v>
      </c>
      <c r="BT218" s="38">
        <f>IFERROR(INDEX(LMH_STEP,MATCH(AF218,LMH_KEY,0)),0)</f>
        <v>0</v>
      </c>
      <c r="BU218" s="38">
        <f>IFERROR(INDEX(LMH_STEP,MATCH(AG218,LMH_KEY,0)),0)</f>
        <v>0</v>
      </c>
      <c r="BV218" s="38">
        <f>IFERROR(INDEX(LMH_STEP,MATCH(AH218,LMH_KEY,0)),0)</f>
        <v>0</v>
      </c>
      <c r="BW218" s="38">
        <f>IFERROR(INDEX(LMH_STEP,MATCH(AI218,LMH_KEY,0)),0)</f>
        <v>0</v>
      </c>
      <c r="BX218" s="38">
        <f>IFERROR(INDEX(LMH_STEP,MATCH(AJ218,LMH_KEY,0)),0)</f>
        <v>0</v>
      </c>
      <c r="BY218" s="38">
        <f>IFERROR(INDEX(LMH_STEP,MATCH(AK218,LMH_KEY,0)),0)</f>
        <v>0</v>
      </c>
      <c r="BZ218" s="38">
        <f>IFERROR(INDEX(LMH_STEP,MATCH(AL218,LMH_KEY,0)),0)</f>
        <v>0</v>
      </c>
      <c r="CA218" s="38" t="inlineStr">
        <is>
          <t>iDEAL|Sales|Senior Account Executive|B2|B-IC</t>
        </is>
      </c>
    </row>
    <row r="219" ht="110" customHeight="1">
      <c r="A219" s="28" t="inlineStr">
        <is>
          <t>iDEAL</t>
        </is>
      </c>
      <c r="B219" s="29" t="inlineStr">
        <is>
          <t>Product Management</t>
        </is>
      </c>
      <c r="C219" s="29" t="n">
        <v>3</v>
      </c>
      <c r="D219" s="29" t="inlineStr">
        <is>
          <t>IRIS1158</t>
        </is>
      </c>
      <c r="E219" s="29" t="inlineStr">
        <is>
          <t>Yuvraj Kharchane</t>
        </is>
      </c>
      <c r="F219" s="29" t="inlineStr">
        <is>
          <t>Product Manager</t>
        </is>
      </c>
      <c r="G219" s="29" t="inlineStr">
        <is>
          <t>Product Manager</t>
        </is>
      </c>
      <c r="H219" s="29" t="inlineStr">
        <is>
          <t>Product Management</t>
        </is>
      </c>
      <c r="I219" s="29" t="inlineStr">
        <is>
          <t>Product Management</t>
        </is>
      </c>
      <c r="J219" s="29" t="inlineStr">
        <is>
          <t>People Manager</t>
        </is>
      </c>
      <c r="K219" s="29" t="inlineStr">
        <is>
          <t>RC-127</t>
        </is>
      </c>
      <c r="L219" s="29" t="inlineStr">
        <is>
          <t>Hemant Karale</t>
        </is>
      </c>
      <c r="M219" s="29" t="inlineStr">
        <is>
          <t>IRIS1224</t>
        </is>
      </c>
      <c r="N219" s="29" t="n">
        <v>14.3</v>
      </c>
      <c r="O219" s="29" t="n">
        <v>14.3</v>
      </c>
      <c r="P219" s="29" t="inlineStr">
        <is>
          <t>MBA</t>
        </is>
      </c>
      <c r="Q219" s="29" t="inlineStr">
        <is>
          <t>L5 – Manager</t>
        </is>
      </c>
      <c r="R219" s="29" t="inlineStr">
        <is>
          <t>B2</t>
        </is>
      </c>
      <c r="S219" s="30" t="inlineStr">
        <is>
          <t>20 of 20</t>
        </is>
      </c>
      <c r="T219" s="31" t="inlineStr">
        <is>
          <t>Complexity: Evidence reads like B2: Combines product delivery, client relationships, renewals, billing, proposals and EU business development in regulatory reporting → matches the start
Autonomy: Evidence reads like B2: Decides delivery matters, day-to-day operations and commercial negotiations with clients → matches the start
Accountability: Evidence reads …</t>
        </is>
      </c>
      <c r="U219" s="31" t="inlineStr">
        <is>
          <t>Received · manager annual, quarterly, self · 1. Manage EBR Report development and delivery with less than 4 defects/ Escalations in a year 
2. Revenue Goal: Close &gt;= 10 EBR clients, Achieve ARR Revenue Target - 2 Cr in the year
3. Strong Pipe Building: Generate Qualified Leads from Banks for EBR Business - 2 Discovery Meetings per month. Support Sales team in BD …</t>
        </is>
      </c>
      <c r="V219" s="31" t="inlineStr">
        <is>
          <t>Latest rating: 5 · Potential: High · 9-box: Core Contributor · Readiness: Ready now</t>
        </is>
      </c>
      <c r="W219" s="31" t="inlineStr">
        <is>
          <t>C M · Au M · Ac M · L M · BI M · Exp H · 14.3 yrs vs 6–9 yrs · Edu H · MBA</t>
        </is>
      </c>
      <c r="X219" s="33" t="inlineStr">
        <is>
          <t>Open ▸</t>
        </is>
      </c>
      <c r="Y219" s="34" t="str">
        <f>IFERROR(INDEX(DL_C,MATCH($CA219,DL_KEY,0)),"M")</f>
        <v>H</v>
      </c>
      <c r="Z219" s="35" t="str">
        <f>IFERROR(INDEX(DL_Au,MATCH($CA219,DL_KEY,0)),"M")</f>
        <v>M</v>
      </c>
      <c r="AA219" s="35" t="str">
        <f>IFERROR(INDEX(DL_Ac,MATCH($CA219,DL_KEY,0)),"M")</f>
        <v>M</v>
      </c>
      <c r="AB219" s="35" t="str">
        <f>IFERROR(INDEX(DL_L,MATCH($CA219,DL_KEY,0)),"M")</f>
        <v>M</v>
      </c>
      <c r="AC219" s="35" t="str">
        <f>IFERROR(INDEX(DL_BI,MATCH($CA219,DL_KEY,0)),"M")</f>
        <v>L</v>
      </c>
      <c r="AD219" s="35" t="str">
        <f>IFERROR(INDEX(DL_Exp,MATCH($CA219,DL_KEY,0)),"M")</f>
        <v>L</v>
      </c>
      <c r="AE219" s="35" t="str">
        <f>IFERROR(INDEX(DL_Edu,MATCH($CA219,DL_KEY,0)),"M")</f>
        <v>L</v>
      </c>
      <c r="AF219" s="34" t="inlineStr">
        <is>
          <t>M</t>
        </is>
      </c>
      <c r="AG219" s="35" t="inlineStr">
        <is>
          <t>M</t>
        </is>
      </c>
      <c r="AH219" s="35" t="inlineStr">
        <is>
          <t>M</t>
        </is>
      </c>
      <c r="AI219" s="35" t="inlineStr">
        <is>
          <t>M</t>
        </is>
      </c>
      <c r="AJ219" s="35" t="inlineStr">
        <is>
          <t>M</t>
        </is>
      </c>
      <c r="AK219" s="35" t="inlineStr">
        <is>
          <t>M</t>
        </is>
      </c>
      <c r="AL219" s="35" t="inlineStr">
        <is>
          <t>M</t>
        </is>
      </c>
      <c r="AM219" s="36" t="n">
        <v>0.37</v>
      </c>
      <c r="AN219" s="37" t="n">
        <v>0.183</v>
      </c>
      <c r="AO219" s="37" t="n">
        <v>0.113</v>
      </c>
      <c r="AP219" s="37" t="n">
        <v>0.15</v>
      </c>
      <c r="AQ219" s="37" t="n">
        <v>0.08699999999999999</v>
      </c>
      <c r="AR219" s="37" t="n">
        <v>0.06</v>
      </c>
      <c r="AS219" s="37" t="n">
        <v>0.04</v>
      </c>
      <c r="AT219" s="38" t="inlineStr">
        <is>
          <t>6–10</t>
        </is>
      </c>
      <c r="AU219" s="38" t="inlineStr">
        <is>
          <t>Graduate or postgraduate; professional qualification preferred</t>
        </is>
      </c>
      <c r="AV219" s="38" t="inlineStr">
        <is>
          <t>IC: none · People: 6–8 knowledge work, 8–12 standardised delivery</t>
        </is>
      </c>
      <c r="AW219" s="38" t="inlineStr">
        <is>
          <t>P4 / M3 · SFIA 4–5</t>
        </is>
      </c>
      <c r="AX21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19" s="39" t="inlineStr">
        <is>
          <t>B2</t>
        </is>
      </c>
      <c r="AZ219" s="40" t="inlineStr">
        <is>
          <t>Band B · Specialist / Manager · Manager</t>
        </is>
      </c>
      <c r="BA219" s="40" t="inlineStr">
        <is>
          <t>Model B2 from the six ratings, the market-derived weights and rules R1–R13 · then No change · already below the manager</t>
        </is>
      </c>
      <c r="BB219" s="41" t="inlineStr">
        <is>
          <t>B2</t>
        </is>
      </c>
      <c r="BC219" s="40" t="inlineStr">
        <is>
          <t>The six ratings on the market-average weights of Band B · People Manager score 5.32 → B2 · Hay, Mercer IPE and public plans · experience 14.3 yrs vs the B2 market range 6–10</t>
        </is>
      </c>
      <c r="BD219" s="42">
        <f>IF(SUM(BM219,BN219,BO219,BP219,BQ219,BR219,BS219)=0,0,(BM219*BT219+BN219*BU219+BO219*BV219+BP219*BW219+BQ219*BX219+BR219*BY219+BS219*BZ219)/SUM(BM219,BN219,BO219,BP219,BQ219,BR219,BS219))</f>
        <v>0</v>
      </c>
      <c r="BE219" s="41" t="str">
        <f>IF(LEFT(AY219,1)="X",AY219,IF(OR(AY219="B+",AY219="C+"),INDEX(LAD_PC,MAX(1,MIN(14,MATCH(AY219,LAD_PC,0)+IF(BD219&gt;=0.5,1,IF(BD219&lt;=-0.5,-1,0))))),INDEX(LAD_STD,MAX(1,MIN(12,MATCH(AY219,LAD_STD,0)+IF(BD219&gt;=0.5,1,IF(BD219&lt;=-0.5,-1,0)))))))</f>
        <v>B2</v>
      </c>
      <c r="BF219" s="43" t="n"/>
      <c r="BG219" s="41" t="str">
        <f>IF(BF219&lt;&gt;"",BF219,BE219)</f>
        <v>B2</v>
      </c>
      <c r="BH219" s="40" t="str">
        <f>IFERROR(CHOOSE(INDEX(B_RANK,MATCH(BG219,B_LVL,0)),"Band A","Band B","B+ · Player-Coach","Band C","C+ · Player-Coach","Band D","Band E"),"Band X · Consultant")</f>
        <v>Band B</v>
      </c>
      <c r="BI219" s="40" t="str">
        <f>IF(BG219=AY219,"• Same",IF(INDEX(B_VAL,MATCH(BG219,B_LVL,0))&gt;INDEX(B_VAL,MATCH(AY219,B_LVL,0)),"▲ Up","▼ Down"))</f>
        <v>• Same</v>
      </c>
      <c r="BJ219" s="40" t="str">
        <f>IF(OR($M219="",$M219="—",$M219="Not in this file"),"",IFERROR(INDEX($BG$7:$BG$592,MATCH($M219,$D$7:$D$592,0)),""))</f>
        <v>C2</v>
      </c>
      <c r="BK219" s="40" t="str">
        <f>IFERROR(IF(BJ219="","—",IF(OR(LEFT(BG219,1)="X",LEFT(BJ219,1)="X"),"—",IF(AND(LEFT(BG219,1)="E",LEFT(BJ219,1)="E"),"Exception · Band E",IF(AND(INDEX(B_VAL,MATCH(BJ219,B_LVL,0))&gt;=7,INDEX(B_RANK,MATCH(BG219,B_LVL,0))&gt;=INDEX(B_RANK,MATCH(BJ219,B_LVL,0))),"⚠ Same band as a head manager",IF(INDEX(B_VAL,MATCH(BG219,B_LVL,0))&gt;=INDEX(B_VAL,MATCH(BJ219,B_LVL,0)),"⚠ At or above the manager's level","OK"))))),"—")</f>
        <v>OK</v>
      </c>
      <c r="BL219" s="43" t="n"/>
      <c r="BM219" s="44">
        <f>IFERROR(INDEX(LMH_PTS,MATCH(Y219,LMH_KEY,0)),0)</f>
        <v>9</v>
      </c>
      <c r="BN219" s="38">
        <f>IFERROR(INDEX(LMH_PTS,MATCH(Z219,LMH_KEY,0)),0)</f>
        <v>3</v>
      </c>
      <c r="BO219" s="38">
        <f>IFERROR(INDEX(LMH_PTS,MATCH(AA219,LMH_KEY,0)),0)</f>
        <v>3</v>
      </c>
      <c r="BP219" s="38">
        <f>IFERROR(INDEX(LMH_PTS,MATCH(AB219,LMH_KEY,0)),0)</f>
        <v>3</v>
      </c>
      <c r="BQ219" s="38">
        <f>IFERROR(INDEX(LMH_PTS,MATCH(AC219,LMH_KEY,0)),0)</f>
        <v>1</v>
      </c>
      <c r="BR219" s="38">
        <f>IFERROR(INDEX(LMH_PTS,MATCH(AD219,LMH_KEY,0)),0)</f>
        <v>1</v>
      </c>
      <c r="BS219" s="38">
        <f>IFERROR(INDEX(LMH_PTS,MATCH(AE219,LMH_KEY,0)),0)</f>
        <v>1</v>
      </c>
      <c r="BT219" s="38">
        <f>IFERROR(INDEX(LMH_STEP,MATCH(AF219,LMH_KEY,0)),0)</f>
        <v>0</v>
      </c>
      <c r="BU219" s="38">
        <f>IFERROR(INDEX(LMH_STEP,MATCH(AG219,LMH_KEY,0)),0)</f>
        <v>0</v>
      </c>
      <c r="BV219" s="38">
        <f>IFERROR(INDEX(LMH_STEP,MATCH(AH219,LMH_KEY,0)),0)</f>
        <v>0</v>
      </c>
      <c r="BW219" s="38">
        <f>IFERROR(INDEX(LMH_STEP,MATCH(AI219,LMH_KEY,0)),0)</f>
        <v>0</v>
      </c>
      <c r="BX219" s="38">
        <f>IFERROR(INDEX(LMH_STEP,MATCH(AJ219,LMH_KEY,0)),0)</f>
        <v>0</v>
      </c>
      <c r="BY219" s="38">
        <f>IFERROR(INDEX(LMH_STEP,MATCH(AK219,LMH_KEY,0)),0)</f>
        <v>0</v>
      </c>
      <c r="BZ219" s="38">
        <f>IFERROR(INDEX(LMH_STEP,MATCH(AL219,LMH_KEY,0)),0)</f>
        <v>0</v>
      </c>
      <c r="CA219" s="38" t="inlineStr">
        <is>
          <t>iDEAL|Product Management|Product Manager|B2|B-M</t>
        </is>
      </c>
    </row>
    <row r="220" ht="110" customHeight="1">
      <c r="A220" s="28" t="inlineStr">
        <is>
          <t>iDEAL</t>
        </is>
      </c>
      <c r="B220" s="29" t="inlineStr">
        <is>
          <t>Technology</t>
        </is>
      </c>
      <c r="C220" s="29" t="n">
        <v>4</v>
      </c>
      <c r="D220" s="29" t="inlineStr">
        <is>
          <t>IRIS1178</t>
        </is>
      </c>
      <c r="E220" s="29" t="inlineStr">
        <is>
          <t>Anand Shinde</t>
        </is>
      </c>
      <c r="F220" s="29" t="inlineStr">
        <is>
          <t>Senior Business Analyst</t>
        </is>
      </c>
      <c r="G220" s="29" t="inlineStr">
        <is>
          <t>Business Analysis Specialist</t>
        </is>
      </c>
      <c r="H220" s="29" t="inlineStr">
        <is>
          <t>Business Analysis</t>
        </is>
      </c>
      <c r="I220" s="29" t="inlineStr">
        <is>
          <t>Business Analysis</t>
        </is>
      </c>
      <c r="J220" s="29" t="inlineStr">
        <is>
          <t>IC</t>
        </is>
      </c>
      <c r="K220" s="29" t="inlineStr">
        <is>
          <t>RC-010</t>
        </is>
      </c>
      <c r="L220" s="29" t="inlineStr">
        <is>
          <t>Yuvraj Kharchane</t>
        </is>
      </c>
      <c r="M220" s="29" t="inlineStr">
        <is>
          <t>IRIS1158</t>
        </is>
      </c>
      <c r="N220" s="29" t="n">
        <v>14.3</v>
      </c>
      <c r="O220" s="29" t="n">
        <v>14.3</v>
      </c>
      <c r="P220" s="29" t="inlineStr">
        <is>
          <t>MBA</t>
        </is>
      </c>
      <c r="Q220" s="29" t="inlineStr">
        <is>
          <t>L4 – Senior</t>
        </is>
      </c>
      <c r="R220" s="29" t="inlineStr">
        <is>
          <t>B1</t>
        </is>
      </c>
      <c r="S220" s="30" t="inlineStr">
        <is>
          <t>20 of 20</t>
        </is>
      </c>
      <c r="T220" s="31" t="inlineStr">
        <is>
          <t>Complexity: Evidence reads like A3: Develops new RBI returns from scratch; handles client return-conversion errors; uses SQL → moved down 0.5
Autonomy: Evidence reads like A2: Decides bug fixing only → moved down 0.5
Accountability: Evidence reads like A2: Own return development and error fixes; mistakes trigger client escalation → moved down …</t>
        </is>
      </c>
      <c r="U220" s="31" t="inlineStr">
        <is>
          <t>Received · manager annual, quarterly, self · 1. Effectively manage the assigned portfolio of banks and maintain high customer satisfaction, with a target of zero critical client escalations attributable to service delivery gaps.
2. Ensure 100% timely tracking, analysis, development, testing, and delivery of RBI CIMS taxonomy changes within prescribed regulatory …</t>
        </is>
      </c>
      <c r="V220" s="31" t="inlineStr">
        <is>
          <t>Latest rating: 5 · Potential: High · 9-box: Trusted Professional · Readiness: Ready now</t>
        </is>
      </c>
      <c r="W220" s="31" t="inlineStr">
        <is>
          <t>C M · Au M · Ac M · L L · BI M · Exp H · 14.3 yrs vs 4–7 yrs · Edu H · MBA</t>
        </is>
      </c>
      <c r="X220" s="33" t="inlineStr">
        <is>
          <t>Open ▸</t>
        </is>
      </c>
      <c r="Y220" s="34" t="str">
        <f>IFERROR(INDEX(DL_C,MATCH($CA220,DL_KEY,0)),"M")</f>
        <v>H</v>
      </c>
      <c r="Z220" s="35" t="str">
        <f>IFERROR(INDEX(DL_Au,MATCH($CA220,DL_KEY,0)),"M")</f>
        <v>M</v>
      </c>
      <c r="AA220" s="35" t="str">
        <f>IFERROR(INDEX(DL_Ac,MATCH($CA220,DL_KEY,0)),"M")</f>
        <v>L</v>
      </c>
      <c r="AB220" s="35" t="str">
        <f>IFERROR(INDEX(DL_L,MATCH($CA220,DL_KEY,0)),"M")</f>
        <v>L</v>
      </c>
      <c r="AC220" s="35" t="str">
        <f>IFERROR(INDEX(DL_BI,MATCH($CA220,DL_KEY,0)),"M")</f>
        <v>L</v>
      </c>
      <c r="AD220" s="35" t="str">
        <f>IFERROR(INDEX(DL_Exp,MATCH($CA220,DL_KEY,0)),"M")</f>
        <v>L</v>
      </c>
      <c r="AE220" s="35" t="str">
        <f>IFERROR(INDEX(DL_Edu,MATCH($CA220,DL_KEY,0)),"M")</f>
        <v>L</v>
      </c>
      <c r="AF220" s="34" t="inlineStr">
        <is>
          <t>M</t>
        </is>
      </c>
      <c r="AG220" s="35" t="inlineStr">
        <is>
          <t>M</t>
        </is>
      </c>
      <c r="AH220" s="35" t="inlineStr">
        <is>
          <t>M</t>
        </is>
      </c>
      <c r="AI220" s="35" t="inlineStr">
        <is>
          <t>M</t>
        </is>
      </c>
      <c r="AJ220" s="35" t="inlineStr">
        <is>
          <t>M</t>
        </is>
      </c>
      <c r="AK220" s="35" t="inlineStr">
        <is>
          <t>M</t>
        </is>
      </c>
      <c r="AL220" s="35" t="inlineStr">
        <is>
          <t>M</t>
        </is>
      </c>
      <c r="AM220" s="36" t="n">
        <v>0.513</v>
      </c>
      <c r="AN220" s="37" t="n">
        <v>0.173</v>
      </c>
      <c r="AO220" s="37" t="n">
        <v>0.09699999999999999</v>
      </c>
      <c r="AP220" s="37" t="n">
        <v>0.05</v>
      </c>
      <c r="AQ220" s="37" t="n">
        <v>0.07000000000000001</v>
      </c>
      <c r="AR220" s="37" t="n">
        <v>0.06</v>
      </c>
      <c r="AS220" s="37" t="n">
        <v>0.04</v>
      </c>
      <c r="AT220" s="38" t="inlineStr">
        <is>
          <t>4–8</t>
        </is>
      </c>
      <c r="AU220" s="38" t="inlineStr">
        <is>
          <t>Graduate + relevant qualification or certification preferred</t>
        </is>
      </c>
      <c r="AV220" s="38" t="inlineStr">
        <is>
          <t>IC: none · Team Lead: 3–5</t>
        </is>
      </c>
      <c r="AW220" s="38" t="inlineStr">
        <is>
          <t>P3 / M2 · SFIA 4 Enable</t>
        </is>
      </c>
      <c r="AX22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20" s="39" t="inlineStr">
        <is>
          <t>B1</t>
        </is>
      </c>
      <c r="AZ220" s="40" t="inlineStr">
        <is>
          <t>Band B · Specialist / Manager · Specialist</t>
        </is>
      </c>
      <c r="BA220" s="40" t="inlineStr">
        <is>
          <t>Model B1 from the six ratings, the market-derived weights and rules R1–R13 · then No change · already below the manager</t>
        </is>
      </c>
      <c r="BB220" s="41" t="inlineStr">
        <is>
          <t>B1</t>
        </is>
      </c>
      <c r="BC220" s="40" t="inlineStr">
        <is>
          <t>The six ratings on the market-average weights of Band B · Specialist / POD Lead score 3.97 → B1 · Hay, Mercer IPE and public plans · experience 14.3 yrs vs the B1 market range 4–8</t>
        </is>
      </c>
      <c r="BD220" s="42">
        <f>IF(SUM(BM220,BN220,BO220,BP220,BQ220,BR220,BS220)=0,0,(BM220*BT220+BN220*BU220+BO220*BV220+BP220*BW220+BQ220*BX220+BR220*BY220+BS220*BZ220)/SUM(BM220,BN220,BO220,BP220,BQ220,BR220,BS220))</f>
        <v>0</v>
      </c>
      <c r="BE220" s="41" t="str">
        <f>IF(LEFT(AY220,1)="X",AY220,IF(OR(AY220="B+",AY220="C+"),INDEX(LAD_PC,MAX(1,MIN(14,MATCH(AY220,LAD_PC,0)+IF(BD220&gt;=0.5,1,IF(BD220&lt;=-0.5,-1,0))))),INDEX(LAD_STD,MAX(1,MIN(12,MATCH(AY220,LAD_STD,0)+IF(BD220&gt;=0.5,1,IF(BD220&lt;=-0.5,-1,0)))))))</f>
        <v>B1</v>
      </c>
      <c r="BF220" s="43" t="n"/>
      <c r="BG220" s="41" t="str">
        <f>IF(BF220&lt;&gt;"",BF220,BE220)</f>
        <v>B1</v>
      </c>
      <c r="BH220" s="40" t="str">
        <f>IFERROR(CHOOSE(INDEX(B_RANK,MATCH(BG220,B_LVL,0)),"Band A","Band B","B+ · Player-Coach","Band C","C+ · Player-Coach","Band D","Band E"),"Band X · Consultant")</f>
        <v>Band B</v>
      </c>
      <c r="BI220" s="40" t="str">
        <f>IF(BG220=AY220,"• Same",IF(INDEX(B_VAL,MATCH(BG220,B_LVL,0))&gt;INDEX(B_VAL,MATCH(AY220,B_LVL,0)),"▲ Up","▼ Down"))</f>
        <v>• Same</v>
      </c>
      <c r="BJ220" s="40" t="str">
        <f>IF(OR($M220="",$M220="—",$M220="Not in this file"),"",IFERROR(INDEX($BG$7:$BG$592,MATCH($M220,$D$7:$D$592,0)),""))</f>
        <v>B2</v>
      </c>
      <c r="BK220" s="40" t="str">
        <f>IFERROR(IF(BJ220="","—",IF(OR(LEFT(BG220,1)="X",LEFT(BJ220,1)="X"),"—",IF(AND(LEFT(BG220,1)="E",LEFT(BJ220,1)="E"),"Exception · Band E",IF(AND(INDEX(B_VAL,MATCH(BJ220,B_LVL,0))&gt;=7,INDEX(B_RANK,MATCH(BG220,B_LVL,0))&gt;=INDEX(B_RANK,MATCH(BJ220,B_LVL,0))),"⚠ Same band as a head manager",IF(INDEX(B_VAL,MATCH(BG220,B_LVL,0))&gt;=INDEX(B_VAL,MATCH(BJ220,B_LVL,0)),"⚠ At or above the manager's level","OK"))))),"—")</f>
        <v>OK</v>
      </c>
      <c r="BL220" s="43" t="n"/>
      <c r="BM220" s="44">
        <f>IFERROR(INDEX(LMH_PTS,MATCH(Y220,LMH_KEY,0)),0)</f>
        <v>9</v>
      </c>
      <c r="BN220" s="38">
        <f>IFERROR(INDEX(LMH_PTS,MATCH(Z220,LMH_KEY,0)),0)</f>
        <v>3</v>
      </c>
      <c r="BO220" s="38">
        <f>IFERROR(INDEX(LMH_PTS,MATCH(AA220,LMH_KEY,0)),0)</f>
        <v>1</v>
      </c>
      <c r="BP220" s="38">
        <f>IFERROR(INDEX(LMH_PTS,MATCH(AB220,LMH_KEY,0)),0)</f>
        <v>1</v>
      </c>
      <c r="BQ220" s="38">
        <f>IFERROR(INDEX(LMH_PTS,MATCH(AC220,LMH_KEY,0)),0)</f>
        <v>1</v>
      </c>
      <c r="BR220" s="38">
        <f>IFERROR(INDEX(LMH_PTS,MATCH(AD220,LMH_KEY,0)),0)</f>
        <v>1</v>
      </c>
      <c r="BS220" s="38">
        <f>IFERROR(INDEX(LMH_PTS,MATCH(AE220,LMH_KEY,0)),0)</f>
        <v>1</v>
      </c>
      <c r="BT220" s="38">
        <f>IFERROR(INDEX(LMH_STEP,MATCH(AF220,LMH_KEY,0)),0)</f>
        <v>0</v>
      </c>
      <c r="BU220" s="38">
        <f>IFERROR(INDEX(LMH_STEP,MATCH(AG220,LMH_KEY,0)),0)</f>
        <v>0</v>
      </c>
      <c r="BV220" s="38">
        <f>IFERROR(INDEX(LMH_STEP,MATCH(AH220,LMH_KEY,0)),0)</f>
        <v>0</v>
      </c>
      <c r="BW220" s="38">
        <f>IFERROR(INDEX(LMH_STEP,MATCH(AI220,LMH_KEY,0)),0)</f>
        <v>0</v>
      </c>
      <c r="BX220" s="38">
        <f>IFERROR(INDEX(LMH_STEP,MATCH(AJ220,LMH_KEY,0)),0)</f>
        <v>0</v>
      </c>
      <c r="BY220" s="38">
        <f>IFERROR(INDEX(LMH_STEP,MATCH(AK220,LMH_KEY,0)),0)</f>
        <v>0</v>
      </c>
      <c r="BZ220" s="38">
        <f>IFERROR(INDEX(LMH_STEP,MATCH(AL220,LMH_KEY,0)),0)</f>
        <v>0</v>
      </c>
      <c r="CA220" s="38" t="inlineStr">
        <is>
          <t>iDEAL|Technology|Business Analysis Specialist|B1|B-IC</t>
        </is>
      </c>
    </row>
    <row r="221" ht="110" customHeight="1">
      <c r="A221" s="28" t="inlineStr">
        <is>
          <t>iDEAL</t>
        </is>
      </c>
      <c r="B221" s="29" t="inlineStr">
        <is>
          <t>Technology</t>
        </is>
      </c>
      <c r="C221" s="29" t="n">
        <v>4</v>
      </c>
      <c r="D221" s="29" t="inlineStr">
        <is>
          <t>IRIS1796</t>
        </is>
      </c>
      <c r="E221" s="29" t="inlineStr">
        <is>
          <t>Kailash Sahu</t>
        </is>
      </c>
      <c r="F221" s="29" t="inlineStr">
        <is>
          <t>Business Analyst</t>
        </is>
      </c>
      <c r="G221" s="29" t="inlineStr">
        <is>
          <t>Business Analysis Specialist</t>
        </is>
      </c>
      <c r="H221" s="29" t="inlineStr">
        <is>
          <t>Business Analysis</t>
        </is>
      </c>
      <c r="I221" s="29" t="inlineStr">
        <is>
          <t>Business Analysis</t>
        </is>
      </c>
      <c r="J221" s="29" t="inlineStr">
        <is>
          <t>IC</t>
        </is>
      </c>
      <c r="K221" s="29" t="inlineStr">
        <is>
          <t>RC-010</t>
        </is>
      </c>
      <c r="L221" s="29" t="inlineStr">
        <is>
          <t>Yuvraj Kharchane</t>
        </is>
      </c>
      <c r="M221" s="29" t="inlineStr">
        <is>
          <t>IRIS1158</t>
        </is>
      </c>
      <c r="N221" s="29" t="n">
        <v>19.9</v>
      </c>
      <c r="O221" s="29" t="n">
        <v>7.2</v>
      </c>
      <c r="P221" s="29" t="inlineStr">
        <is>
          <t>MCA</t>
        </is>
      </c>
      <c r="Q221" s="29" t="inlineStr">
        <is>
          <t>L3 – Professional / Associate</t>
        </is>
      </c>
      <c r="R221" s="29" t="inlineStr">
        <is>
          <t>B1</t>
        </is>
      </c>
      <c r="S221" s="30" t="inlineStr">
        <is>
          <t>20 of 20</t>
        </is>
      </c>
      <c r="T221" s="31" t="inlineStr">
        <is>
          <t>Complexity: Evidence reads like A3: Resolves report errors, deploys upgrades and takes enhancement requirements for client banks → matches the start
Autonomy: Evidence reads like A3: Independently resolves report errors and carries out upgrade deployments for his clients → matches the start
Accountability: Evidence reads like B1: Own client banks' on-time, …</t>
        </is>
      </c>
      <c r="U221" s="31" t="inlineStr">
        <is>
          <t>Received · manager annual, quarterly, self · On Notice Period</t>
        </is>
      </c>
      <c r="V221" s="31" t="inlineStr">
        <is>
          <t>Latest rating: 3 · Potential: Medium · 9-box: Core Contributor · Readiness: Develop in role</t>
        </is>
      </c>
      <c r="W221" s="31" t="inlineStr">
        <is>
          <t>C L · Au L · Ac M · L L · BI M · Exp H · 19.9 yrs vs 4–7 yrs · Edu H · MCA</t>
        </is>
      </c>
      <c r="X221" s="33" t="inlineStr">
        <is>
          <t>Open ▸</t>
        </is>
      </c>
      <c r="Y221" s="34" t="str">
        <f>IFERROR(INDEX(DL_C,MATCH($CA221,DL_KEY,0)),"M")</f>
        <v>H</v>
      </c>
      <c r="Z221" s="35" t="str">
        <f>IFERROR(INDEX(DL_Au,MATCH($CA221,DL_KEY,0)),"M")</f>
        <v>M</v>
      </c>
      <c r="AA221" s="35" t="str">
        <f>IFERROR(INDEX(DL_Ac,MATCH($CA221,DL_KEY,0)),"M")</f>
        <v>L</v>
      </c>
      <c r="AB221" s="35" t="str">
        <f>IFERROR(INDEX(DL_L,MATCH($CA221,DL_KEY,0)),"M")</f>
        <v>L</v>
      </c>
      <c r="AC221" s="35" t="str">
        <f>IFERROR(INDEX(DL_BI,MATCH($CA221,DL_KEY,0)),"M")</f>
        <v>L</v>
      </c>
      <c r="AD221" s="35" t="str">
        <f>IFERROR(INDEX(DL_Exp,MATCH($CA221,DL_KEY,0)),"M")</f>
        <v>L</v>
      </c>
      <c r="AE221" s="35" t="str">
        <f>IFERROR(INDEX(DL_Edu,MATCH($CA221,DL_KEY,0)),"M")</f>
        <v>L</v>
      </c>
      <c r="AF221" s="34" t="inlineStr">
        <is>
          <t>M</t>
        </is>
      </c>
      <c r="AG221" s="35" t="inlineStr">
        <is>
          <t>M</t>
        </is>
      </c>
      <c r="AH221" s="35" t="inlineStr">
        <is>
          <t>M</t>
        </is>
      </c>
      <c r="AI221" s="35" t="inlineStr">
        <is>
          <t>M</t>
        </is>
      </c>
      <c r="AJ221" s="35" t="inlineStr">
        <is>
          <t>M</t>
        </is>
      </c>
      <c r="AK221" s="35" t="inlineStr">
        <is>
          <t>M</t>
        </is>
      </c>
      <c r="AL221" s="35" t="inlineStr">
        <is>
          <t>M</t>
        </is>
      </c>
      <c r="AM221" s="36" t="n">
        <v>0.513</v>
      </c>
      <c r="AN221" s="37" t="n">
        <v>0.173</v>
      </c>
      <c r="AO221" s="37" t="n">
        <v>0.09699999999999999</v>
      </c>
      <c r="AP221" s="37" t="n">
        <v>0.05</v>
      </c>
      <c r="AQ221" s="37" t="n">
        <v>0.07000000000000001</v>
      </c>
      <c r="AR221" s="37" t="n">
        <v>0.06</v>
      </c>
      <c r="AS221" s="37" t="n">
        <v>0.04</v>
      </c>
      <c r="AT221" s="38" t="inlineStr">
        <is>
          <t>4–8</t>
        </is>
      </c>
      <c r="AU221" s="38" t="inlineStr">
        <is>
          <t>Graduate + relevant qualification or certification preferred</t>
        </is>
      </c>
      <c r="AV221" s="38" t="inlineStr">
        <is>
          <t>IC: none · Team Lead: 3–5</t>
        </is>
      </c>
      <c r="AW221" s="38" t="inlineStr">
        <is>
          <t>P3 / M2 · SFIA 4 Enable</t>
        </is>
      </c>
      <c r="AX22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21" s="39" t="inlineStr">
        <is>
          <t>B1</t>
        </is>
      </c>
      <c r="AZ221" s="40" t="inlineStr">
        <is>
          <t>Band B · Specialist / Manager · Specialist</t>
        </is>
      </c>
      <c r="BA221" s="40" t="inlineStr">
        <is>
          <t>Model B1 from the six ratings, the market-derived weights and rules R1–R13 · then No change · already below the manager</t>
        </is>
      </c>
      <c r="BB221" s="41" t="inlineStr">
        <is>
          <t>B1</t>
        </is>
      </c>
      <c r="BC221" s="40" t="inlineStr">
        <is>
          <t>The six ratings on the market-average weights of Band B · Specialist / POD Lead score 3.71 → B1 · Hay, Mercer IPE and public plans · experience 19.9 yrs vs the B1 market range 4–8</t>
        </is>
      </c>
      <c r="BD221" s="42">
        <f>IF(SUM(BM221,BN221,BO221,BP221,BQ221,BR221,BS221)=0,0,(BM221*BT221+BN221*BU221+BO221*BV221+BP221*BW221+BQ221*BX221+BR221*BY221+BS221*BZ221)/SUM(BM221,BN221,BO221,BP221,BQ221,BR221,BS221))</f>
        <v>0</v>
      </c>
      <c r="BE221" s="41" t="str">
        <f>IF(LEFT(AY221,1)="X",AY221,IF(OR(AY221="B+",AY221="C+"),INDEX(LAD_PC,MAX(1,MIN(14,MATCH(AY221,LAD_PC,0)+IF(BD221&gt;=0.5,1,IF(BD221&lt;=-0.5,-1,0))))),INDEX(LAD_STD,MAX(1,MIN(12,MATCH(AY221,LAD_STD,0)+IF(BD221&gt;=0.5,1,IF(BD221&lt;=-0.5,-1,0)))))))</f>
        <v>B1</v>
      </c>
      <c r="BF221" s="43" t="n"/>
      <c r="BG221" s="41" t="str">
        <f>IF(BF221&lt;&gt;"",BF221,BE221)</f>
        <v>B1</v>
      </c>
      <c r="BH221" s="40" t="str">
        <f>IFERROR(CHOOSE(INDEX(B_RANK,MATCH(BG221,B_LVL,0)),"Band A","Band B","B+ · Player-Coach","Band C","C+ · Player-Coach","Band D","Band E"),"Band X · Consultant")</f>
        <v>Band B</v>
      </c>
      <c r="BI221" s="40" t="str">
        <f>IF(BG221=AY221,"• Same",IF(INDEX(B_VAL,MATCH(BG221,B_LVL,0))&gt;INDEX(B_VAL,MATCH(AY221,B_LVL,0)),"▲ Up","▼ Down"))</f>
        <v>• Same</v>
      </c>
      <c r="BJ221" s="40" t="str">
        <f>IF(OR($M221="",$M221="—",$M221="Not in this file"),"",IFERROR(INDEX($BG$7:$BG$592,MATCH($M221,$D$7:$D$592,0)),""))</f>
        <v>B2</v>
      </c>
      <c r="BK221" s="40" t="str">
        <f>IFERROR(IF(BJ221="","—",IF(OR(LEFT(BG221,1)="X",LEFT(BJ221,1)="X"),"—",IF(AND(LEFT(BG221,1)="E",LEFT(BJ221,1)="E"),"Exception · Band E",IF(AND(INDEX(B_VAL,MATCH(BJ221,B_LVL,0))&gt;=7,INDEX(B_RANK,MATCH(BG221,B_LVL,0))&gt;=INDEX(B_RANK,MATCH(BJ221,B_LVL,0))),"⚠ Same band as a head manager",IF(INDEX(B_VAL,MATCH(BG221,B_LVL,0))&gt;=INDEX(B_VAL,MATCH(BJ221,B_LVL,0)),"⚠ At or above the manager's level","OK"))))),"—")</f>
        <v>OK</v>
      </c>
      <c r="BL221" s="43" t="n"/>
      <c r="BM221" s="44">
        <f>IFERROR(INDEX(LMH_PTS,MATCH(Y221,LMH_KEY,0)),0)</f>
        <v>9</v>
      </c>
      <c r="BN221" s="38">
        <f>IFERROR(INDEX(LMH_PTS,MATCH(Z221,LMH_KEY,0)),0)</f>
        <v>3</v>
      </c>
      <c r="BO221" s="38">
        <f>IFERROR(INDEX(LMH_PTS,MATCH(AA221,LMH_KEY,0)),0)</f>
        <v>1</v>
      </c>
      <c r="BP221" s="38">
        <f>IFERROR(INDEX(LMH_PTS,MATCH(AB221,LMH_KEY,0)),0)</f>
        <v>1</v>
      </c>
      <c r="BQ221" s="38">
        <f>IFERROR(INDEX(LMH_PTS,MATCH(AC221,LMH_KEY,0)),0)</f>
        <v>1</v>
      </c>
      <c r="BR221" s="38">
        <f>IFERROR(INDEX(LMH_PTS,MATCH(AD221,LMH_KEY,0)),0)</f>
        <v>1</v>
      </c>
      <c r="BS221" s="38">
        <f>IFERROR(INDEX(LMH_PTS,MATCH(AE221,LMH_KEY,0)),0)</f>
        <v>1</v>
      </c>
      <c r="BT221" s="38">
        <f>IFERROR(INDEX(LMH_STEP,MATCH(AF221,LMH_KEY,0)),0)</f>
        <v>0</v>
      </c>
      <c r="BU221" s="38">
        <f>IFERROR(INDEX(LMH_STEP,MATCH(AG221,LMH_KEY,0)),0)</f>
        <v>0</v>
      </c>
      <c r="BV221" s="38">
        <f>IFERROR(INDEX(LMH_STEP,MATCH(AH221,LMH_KEY,0)),0)</f>
        <v>0</v>
      </c>
      <c r="BW221" s="38">
        <f>IFERROR(INDEX(LMH_STEP,MATCH(AI221,LMH_KEY,0)),0)</f>
        <v>0</v>
      </c>
      <c r="BX221" s="38">
        <f>IFERROR(INDEX(LMH_STEP,MATCH(AJ221,LMH_KEY,0)),0)</f>
        <v>0</v>
      </c>
      <c r="BY221" s="38">
        <f>IFERROR(INDEX(LMH_STEP,MATCH(AK221,LMH_KEY,0)),0)</f>
        <v>0</v>
      </c>
      <c r="BZ221" s="38">
        <f>IFERROR(INDEX(LMH_STEP,MATCH(AL221,LMH_KEY,0)),0)</f>
        <v>0</v>
      </c>
      <c r="CA221" s="38" t="inlineStr">
        <is>
          <t>iDEAL|Technology|Business Analysis Specialist|B1|B-IC</t>
        </is>
      </c>
    </row>
    <row r="222" ht="110" customHeight="1">
      <c r="A222" s="28" t="inlineStr">
        <is>
          <t>iDEAL</t>
        </is>
      </c>
      <c r="B222" s="29" t="inlineStr">
        <is>
          <t>Technology</t>
        </is>
      </c>
      <c r="C222" s="29" t="n">
        <v>4</v>
      </c>
      <c r="D222" s="29" t="inlineStr">
        <is>
          <t>IRIS2236</t>
        </is>
      </c>
      <c r="E222" s="29" t="inlineStr">
        <is>
          <t>Anishaa Mahesh Kukreja</t>
        </is>
      </c>
      <c r="F222" s="29" t="inlineStr">
        <is>
          <t>Business Analyst</t>
        </is>
      </c>
      <c r="G222" s="29" t="inlineStr">
        <is>
          <t>Senior Business Analyst</t>
        </is>
      </c>
      <c r="H222" s="29" t="inlineStr">
        <is>
          <t>Business Analysis</t>
        </is>
      </c>
      <c r="I222" s="29" t="inlineStr">
        <is>
          <t>Business Analysis</t>
        </is>
      </c>
      <c r="J222" s="29" t="inlineStr">
        <is>
          <t>IC</t>
        </is>
      </c>
      <c r="K222" s="29" t="inlineStr">
        <is>
          <t>RC-009</t>
        </is>
      </c>
      <c r="L222" s="29" t="inlineStr">
        <is>
          <t>Yuvraj Kharchane</t>
        </is>
      </c>
      <c r="M222" s="29" t="inlineStr">
        <is>
          <t>IRIS1158</t>
        </is>
      </c>
      <c r="N222" s="29" t="n">
        <v>6.5</v>
      </c>
      <c r="O222" s="29" t="n">
        <v>2.5</v>
      </c>
      <c r="P222" s="29" t="inlineStr">
        <is>
          <t>B.E</t>
        </is>
      </c>
      <c r="Q222" s="29" t="inlineStr">
        <is>
          <t>L3 – Professional / Associate</t>
        </is>
      </c>
      <c r="R222" s="29" t="inlineStr">
        <is>
          <t>A3</t>
        </is>
      </c>
      <c r="S222" s="30" t="inlineStr">
        <is>
          <t>20 of 20</t>
        </is>
      </c>
      <c r="T222" s="31" t="inlineStr">
        <is>
          <t>Complexity: Evidence reads like A3: Requirement gathering, testing, demos and documentation for RPT; CIMS and EBR support → matches the start
Autonomy: Evidence reads like A3: Coordinates the RPT project and independently validates delivered solution against expected outcome → matches the start
Accountability: Evidence reads like B1: States accountability …</t>
        </is>
      </c>
      <c r="U222" s="31" t="inlineStr">
        <is>
          <t>Received · manager annual, quarterly, self · 1. Effectively manage the assigned portfolio of banks and maintain high customer satisfaction, with a target of zero critical client escalations attributable to service delivery gaps.
2. Drive RPT product demonstrations, client discussions, requirement gathering, and requirement clarification activities to facilitate …</t>
        </is>
      </c>
      <c r="V222" s="31" t="inlineStr">
        <is>
          <t>Latest rating: 3 · Potential: Medium · 9-box: Core Contributor · Readiness: Develop in role</t>
        </is>
      </c>
      <c r="W222" s="31" t="inlineStr">
        <is>
          <t>C M · Au M · Ac M · L L · BI H · Exp H · 6.5 yrs vs 2–4 yrs · Edu M · B.E</t>
        </is>
      </c>
      <c r="X222" s="33" t="inlineStr">
        <is>
          <t>Open ▸</t>
        </is>
      </c>
      <c r="Y222" s="34" t="str">
        <f>IFERROR(INDEX(DL_C,MATCH($CA222,DL_KEY,0)),"M")</f>
        <v>H</v>
      </c>
      <c r="Z222" s="35" t="str">
        <f>IFERROR(INDEX(DL_Au,MATCH($CA222,DL_KEY,0)),"M")</f>
        <v>M</v>
      </c>
      <c r="AA222" s="35" t="str">
        <f>IFERROR(INDEX(DL_Ac,MATCH($CA222,DL_KEY,0)),"M")</f>
        <v>L</v>
      </c>
      <c r="AB222" s="35" t="str">
        <f>IFERROR(INDEX(DL_L,MATCH($CA222,DL_KEY,0)),"M")</f>
        <v>L</v>
      </c>
      <c r="AC222" s="35" t="str">
        <f>IFERROR(INDEX(DL_BI,MATCH($CA222,DL_KEY,0)),"M")</f>
        <v>L</v>
      </c>
      <c r="AD222" s="35" t="str">
        <f>IFERROR(INDEX(DL_Exp,MATCH($CA222,DL_KEY,0)),"M")</f>
        <v>L</v>
      </c>
      <c r="AE222" s="35" t="str">
        <f>IFERROR(INDEX(DL_Edu,MATCH($CA222,DL_KEY,0)),"M")</f>
        <v>L</v>
      </c>
      <c r="AF222" s="34" t="inlineStr">
        <is>
          <t>M</t>
        </is>
      </c>
      <c r="AG222" s="35" t="inlineStr">
        <is>
          <t>M</t>
        </is>
      </c>
      <c r="AH222" s="35" t="inlineStr">
        <is>
          <t>M</t>
        </is>
      </c>
      <c r="AI222" s="35" t="inlineStr">
        <is>
          <t>M</t>
        </is>
      </c>
      <c r="AJ222" s="35" t="inlineStr">
        <is>
          <t>M</t>
        </is>
      </c>
      <c r="AK222" s="35" t="inlineStr">
        <is>
          <t>M</t>
        </is>
      </c>
      <c r="AL222" s="35" t="inlineStr">
        <is>
          <t>M</t>
        </is>
      </c>
      <c r="AM222" s="36" t="n">
        <v>0.583</v>
      </c>
      <c r="AN222" s="37" t="n">
        <v>0.16</v>
      </c>
      <c r="AO222" s="37" t="n">
        <v>0.09</v>
      </c>
      <c r="AP222" s="37" t="n">
        <v>0</v>
      </c>
      <c r="AQ222" s="37" t="n">
        <v>0.063</v>
      </c>
      <c r="AR222" s="37" t="n">
        <v>0.06</v>
      </c>
      <c r="AS222" s="37" t="n">
        <v>0.04</v>
      </c>
      <c r="AT222" s="38" t="inlineStr">
        <is>
          <t>2–5</t>
        </is>
      </c>
      <c r="AU222" s="38" t="inlineStr">
        <is>
          <t>Graduate; relevant certification preferred</t>
        </is>
      </c>
      <c r="AV222" s="38" t="inlineStr">
        <is>
          <t>None · guides 1–3 juniors informally</t>
        </is>
      </c>
      <c r="AW222" s="38" t="inlineStr">
        <is>
          <t>P2 · SFIA 3 Apply</t>
        </is>
      </c>
      <c r="AX22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22" s="39" t="inlineStr">
        <is>
          <t>A3</t>
        </is>
      </c>
      <c r="AZ222" s="40" t="inlineStr">
        <is>
          <t>Band A · Practitioner · Senior Associate</t>
        </is>
      </c>
      <c r="BA222" s="40" t="inlineStr">
        <is>
          <t>Model A3 from the six ratings, the market-derived weights and rules R1–R13 · then No change · already below the manager</t>
        </is>
      </c>
      <c r="BB222" s="41" t="inlineStr">
        <is>
          <t>A3</t>
        </is>
      </c>
      <c r="BC222" s="40" t="inlineStr">
        <is>
          <t>The six ratings on the market-average weights of Band A · all tracks score 3.26 → A3 · Hay, Mercer IPE and public plans · experience 6.5 yrs vs the A3 market range 2–5</t>
        </is>
      </c>
      <c r="BD222" s="42">
        <f>IF(SUM(BM222,BN222,BO222,BP222,BQ222,BR222,BS222)=0,0,(BM222*BT222+BN222*BU222+BO222*BV222+BP222*BW222+BQ222*BX222+BR222*BY222+BS222*BZ222)/SUM(BM222,BN222,BO222,BP222,BQ222,BR222,BS222))</f>
        <v>0</v>
      </c>
      <c r="BE222" s="41" t="str">
        <f>IF(LEFT(AY222,1)="X",AY222,IF(OR(AY222="B+",AY222="C+"),INDEX(LAD_PC,MAX(1,MIN(14,MATCH(AY222,LAD_PC,0)+IF(BD222&gt;=0.5,1,IF(BD222&lt;=-0.5,-1,0))))),INDEX(LAD_STD,MAX(1,MIN(12,MATCH(AY222,LAD_STD,0)+IF(BD222&gt;=0.5,1,IF(BD222&lt;=-0.5,-1,0)))))))</f>
        <v>A3</v>
      </c>
      <c r="BF222" s="43" t="n"/>
      <c r="BG222" s="41" t="str">
        <f>IF(BF222&lt;&gt;"",BF222,BE222)</f>
        <v>A3</v>
      </c>
      <c r="BH222" s="40" t="str">
        <f>IFERROR(CHOOSE(INDEX(B_RANK,MATCH(BG222,B_LVL,0)),"Band A","Band B","B+ · Player-Coach","Band C","C+ · Player-Coach","Band D","Band E"),"Band X · Consultant")</f>
        <v>Band A</v>
      </c>
      <c r="BI222" s="40" t="str">
        <f>IF(BG222=AY222,"• Same",IF(INDEX(B_VAL,MATCH(BG222,B_LVL,0))&gt;INDEX(B_VAL,MATCH(AY222,B_LVL,0)),"▲ Up","▼ Down"))</f>
        <v>• Same</v>
      </c>
      <c r="BJ222" s="40" t="str">
        <f>IF(OR($M222="",$M222="—",$M222="Not in this file"),"",IFERROR(INDEX($BG$7:$BG$592,MATCH($M222,$D$7:$D$592,0)),""))</f>
        <v>B2</v>
      </c>
      <c r="BK222" s="40" t="str">
        <f>IFERROR(IF(BJ222="","—",IF(OR(LEFT(BG222,1)="X",LEFT(BJ222,1)="X"),"—",IF(AND(LEFT(BG222,1)="E",LEFT(BJ222,1)="E"),"Exception · Band E",IF(AND(INDEX(B_VAL,MATCH(BJ222,B_LVL,0))&gt;=7,INDEX(B_RANK,MATCH(BG222,B_LVL,0))&gt;=INDEX(B_RANK,MATCH(BJ222,B_LVL,0))),"⚠ Same band as a head manager",IF(INDEX(B_VAL,MATCH(BG222,B_LVL,0))&gt;=INDEX(B_VAL,MATCH(BJ222,B_LVL,0)),"⚠ At or above the manager's level","OK"))))),"—")</f>
        <v>OK</v>
      </c>
      <c r="BL222" s="43" t="n"/>
      <c r="BM222" s="44">
        <f>IFERROR(INDEX(LMH_PTS,MATCH(Y222,LMH_KEY,0)),0)</f>
        <v>9</v>
      </c>
      <c r="BN222" s="38">
        <f>IFERROR(INDEX(LMH_PTS,MATCH(Z222,LMH_KEY,0)),0)</f>
        <v>3</v>
      </c>
      <c r="BO222" s="38">
        <f>IFERROR(INDEX(LMH_PTS,MATCH(AA222,LMH_KEY,0)),0)</f>
        <v>1</v>
      </c>
      <c r="BP222" s="38">
        <f>IFERROR(INDEX(LMH_PTS,MATCH(AB222,LMH_KEY,0)),0)</f>
        <v>1</v>
      </c>
      <c r="BQ222" s="38">
        <f>IFERROR(INDEX(LMH_PTS,MATCH(AC222,LMH_KEY,0)),0)</f>
        <v>1</v>
      </c>
      <c r="BR222" s="38">
        <f>IFERROR(INDEX(LMH_PTS,MATCH(AD222,LMH_KEY,0)),0)</f>
        <v>1</v>
      </c>
      <c r="BS222" s="38">
        <f>IFERROR(INDEX(LMH_PTS,MATCH(AE222,LMH_KEY,0)),0)</f>
        <v>1</v>
      </c>
      <c r="BT222" s="38">
        <f>IFERROR(INDEX(LMH_STEP,MATCH(AF222,LMH_KEY,0)),0)</f>
        <v>0</v>
      </c>
      <c r="BU222" s="38">
        <f>IFERROR(INDEX(LMH_STEP,MATCH(AG222,LMH_KEY,0)),0)</f>
        <v>0</v>
      </c>
      <c r="BV222" s="38">
        <f>IFERROR(INDEX(LMH_STEP,MATCH(AH222,LMH_KEY,0)),0)</f>
        <v>0</v>
      </c>
      <c r="BW222" s="38">
        <f>IFERROR(INDEX(LMH_STEP,MATCH(AI222,LMH_KEY,0)),0)</f>
        <v>0</v>
      </c>
      <c r="BX222" s="38">
        <f>IFERROR(INDEX(LMH_STEP,MATCH(AJ222,LMH_KEY,0)),0)</f>
        <v>0</v>
      </c>
      <c r="BY222" s="38">
        <f>IFERROR(INDEX(LMH_STEP,MATCH(AK222,LMH_KEY,0)),0)</f>
        <v>0</v>
      </c>
      <c r="BZ222" s="38">
        <f>IFERROR(INDEX(LMH_STEP,MATCH(AL222,LMH_KEY,0)),0)</f>
        <v>0</v>
      </c>
      <c r="CA222" s="38" t="inlineStr">
        <is>
          <t>iDEAL|Technology|Senior Business Analyst|A3|A</t>
        </is>
      </c>
    </row>
    <row r="223" ht="110" customHeight="1">
      <c r="A223" s="28" t="inlineStr">
        <is>
          <t>iDEAL</t>
        </is>
      </c>
      <c r="B223" s="29" t="inlineStr">
        <is>
          <t>Technology</t>
        </is>
      </c>
      <c r="C223" s="29" t="n">
        <v>4</v>
      </c>
      <c r="D223" s="29" t="inlineStr">
        <is>
          <t>IRIS2136</t>
        </is>
      </c>
      <c r="E223" s="29" t="inlineStr">
        <is>
          <t>Neetu Rani Paul</t>
        </is>
      </c>
      <c r="F223" s="29" t="inlineStr">
        <is>
          <t>Business Analyst</t>
        </is>
      </c>
      <c r="G223" s="29" t="inlineStr">
        <is>
          <t>Senior Business Analyst</t>
        </is>
      </c>
      <c r="H223" s="29" t="inlineStr">
        <is>
          <t>Business Analysis</t>
        </is>
      </c>
      <c r="I223" s="29" t="inlineStr">
        <is>
          <t>Business Analysis</t>
        </is>
      </c>
      <c r="J223" s="29" t="inlineStr">
        <is>
          <t>IC</t>
        </is>
      </c>
      <c r="K223" s="29" t="inlineStr">
        <is>
          <t>RC-009</t>
        </is>
      </c>
      <c r="L223" s="29" t="inlineStr">
        <is>
          <t>Yuvraj Kharchane</t>
        </is>
      </c>
      <c r="M223" s="29" t="inlineStr">
        <is>
          <t>IRIS1158</t>
        </is>
      </c>
      <c r="N223" s="29" t="n">
        <v>5.9</v>
      </c>
      <c r="O223" s="29" t="n">
        <v>3.3</v>
      </c>
      <c r="P223" s="29" t="inlineStr">
        <is>
          <t>MA</t>
        </is>
      </c>
      <c r="Q223" s="29" t="inlineStr">
        <is>
          <t>L3 – Professional / Associate</t>
        </is>
      </c>
      <c r="R223" s="29" t="inlineStr">
        <is>
          <t>A3</t>
        </is>
      </c>
      <c r="S223" s="30" t="inlineStr">
        <is>
          <t>20 of 20</t>
        </is>
      </c>
      <c r="T223" s="31" t="inlineStr">
        <is>
          <t>Complexity: Evidence reads like A3: Checks feasibility, gives solutions to banks, reads developer code to resolve issues, Excel mapping, deployments → matches the start
Autonomy: Evidence reads like A3: Decides deployment process; assesses feasibility and gives the solution to banks himself → matches the start
Accountability: Evidence reads like A3: Timely …</t>
        </is>
      </c>
      <c r="U223" s="31" t="inlineStr">
        <is>
          <t>Received · manager annual, quarterly, self · 1. Effectively manage the assigned portfolio of banks and maintain high customer satisfaction, with a target of zero critical client escalations attributable to service delivery gaps.
2. Acquire in-depth knowledge of EBR SDMX reports, validation rules and implementation processes to independently manage assigned …</t>
        </is>
      </c>
      <c r="V223" s="31" t="inlineStr">
        <is>
          <t>Latest rating: 3 · Potential: Medium · 9-box: Trusted Professional · Readiness: Develop in role</t>
        </is>
      </c>
      <c r="W223" s="31" t="inlineStr">
        <is>
          <t>C M · Au M · Ac M · L L · BI M · Exp H · 5.9 yrs vs 2–4 yrs · Edu H · MA</t>
        </is>
      </c>
      <c r="X223" s="33" t="inlineStr">
        <is>
          <t>Open ▸</t>
        </is>
      </c>
      <c r="Y223" s="34" t="str">
        <f>IFERROR(INDEX(DL_C,MATCH($CA223,DL_KEY,0)),"M")</f>
        <v>H</v>
      </c>
      <c r="Z223" s="35" t="str">
        <f>IFERROR(INDEX(DL_Au,MATCH($CA223,DL_KEY,0)),"M")</f>
        <v>M</v>
      </c>
      <c r="AA223" s="35" t="str">
        <f>IFERROR(INDEX(DL_Ac,MATCH($CA223,DL_KEY,0)),"M")</f>
        <v>L</v>
      </c>
      <c r="AB223" s="35" t="str">
        <f>IFERROR(INDEX(DL_L,MATCH($CA223,DL_KEY,0)),"M")</f>
        <v>L</v>
      </c>
      <c r="AC223" s="35" t="str">
        <f>IFERROR(INDEX(DL_BI,MATCH($CA223,DL_KEY,0)),"M")</f>
        <v>L</v>
      </c>
      <c r="AD223" s="35" t="str">
        <f>IFERROR(INDEX(DL_Exp,MATCH($CA223,DL_KEY,0)),"M")</f>
        <v>L</v>
      </c>
      <c r="AE223" s="35" t="str">
        <f>IFERROR(INDEX(DL_Edu,MATCH($CA223,DL_KEY,0)),"M")</f>
        <v>L</v>
      </c>
      <c r="AF223" s="34" t="inlineStr">
        <is>
          <t>M</t>
        </is>
      </c>
      <c r="AG223" s="35" t="inlineStr">
        <is>
          <t>M</t>
        </is>
      </c>
      <c r="AH223" s="35" t="inlineStr">
        <is>
          <t>M</t>
        </is>
      </c>
      <c r="AI223" s="35" t="inlineStr">
        <is>
          <t>M</t>
        </is>
      </c>
      <c r="AJ223" s="35" t="inlineStr">
        <is>
          <t>M</t>
        </is>
      </c>
      <c r="AK223" s="35" t="inlineStr">
        <is>
          <t>M</t>
        </is>
      </c>
      <c r="AL223" s="35" t="inlineStr">
        <is>
          <t>M</t>
        </is>
      </c>
      <c r="AM223" s="36" t="n">
        <v>0.583</v>
      </c>
      <c r="AN223" s="37" t="n">
        <v>0.16</v>
      </c>
      <c r="AO223" s="37" t="n">
        <v>0.09</v>
      </c>
      <c r="AP223" s="37" t="n">
        <v>0</v>
      </c>
      <c r="AQ223" s="37" t="n">
        <v>0.063</v>
      </c>
      <c r="AR223" s="37" t="n">
        <v>0.06</v>
      </c>
      <c r="AS223" s="37" t="n">
        <v>0.04</v>
      </c>
      <c r="AT223" s="38" t="inlineStr">
        <is>
          <t>2–5</t>
        </is>
      </c>
      <c r="AU223" s="38" t="inlineStr">
        <is>
          <t>Graduate; relevant certification preferred</t>
        </is>
      </c>
      <c r="AV223" s="38" t="inlineStr">
        <is>
          <t>None · guides 1–3 juniors informally</t>
        </is>
      </c>
      <c r="AW223" s="38" t="inlineStr">
        <is>
          <t>P2 · SFIA 3 Apply</t>
        </is>
      </c>
      <c r="AX22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23" s="39" t="inlineStr">
        <is>
          <t>A3</t>
        </is>
      </c>
      <c r="AZ223" s="40" t="inlineStr">
        <is>
          <t>Band A · Practitioner · Senior Associate</t>
        </is>
      </c>
      <c r="BA223" s="40" t="inlineStr">
        <is>
          <t>Model A3 from the six ratings, the market-derived weights and rules R1–R13 · then No change · already below the manager</t>
        </is>
      </c>
      <c r="BB223" s="41" t="inlineStr">
        <is>
          <t>A3</t>
        </is>
      </c>
      <c r="BC223" s="40" t="inlineStr">
        <is>
          <t>The six ratings on the market-average weights of Band A · all tracks score 3.13 → A3 · Hay, Mercer IPE and public plans · experience 5.9 yrs vs the A3 market range 2–5</t>
        </is>
      </c>
      <c r="BD223" s="42">
        <f>IF(SUM(BM223,BN223,BO223,BP223,BQ223,BR223,BS223)=0,0,(BM223*BT223+BN223*BU223+BO223*BV223+BP223*BW223+BQ223*BX223+BR223*BY223+BS223*BZ223)/SUM(BM223,BN223,BO223,BP223,BQ223,BR223,BS223))</f>
        <v>0</v>
      </c>
      <c r="BE223" s="41" t="str">
        <f>IF(LEFT(AY223,1)="X",AY223,IF(OR(AY223="B+",AY223="C+"),INDEX(LAD_PC,MAX(1,MIN(14,MATCH(AY223,LAD_PC,0)+IF(BD223&gt;=0.5,1,IF(BD223&lt;=-0.5,-1,0))))),INDEX(LAD_STD,MAX(1,MIN(12,MATCH(AY223,LAD_STD,0)+IF(BD223&gt;=0.5,1,IF(BD223&lt;=-0.5,-1,0)))))))</f>
        <v>A3</v>
      </c>
      <c r="BF223" s="43" t="n"/>
      <c r="BG223" s="41" t="str">
        <f>IF(BF223&lt;&gt;"",BF223,BE223)</f>
        <v>A3</v>
      </c>
      <c r="BH223" s="40" t="str">
        <f>IFERROR(CHOOSE(INDEX(B_RANK,MATCH(BG223,B_LVL,0)),"Band A","Band B","B+ · Player-Coach","Band C","C+ · Player-Coach","Band D","Band E"),"Band X · Consultant")</f>
        <v>Band A</v>
      </c>
      <c r="BI223" s="40" t="str">
        <f>IF(BG223=AY223,"• Same",IF(INDEX(B_VAL,MATCH(BG223,B_LVL,0))&gt;INDEX(B_VAL,MATCH(AY223,B_LVL,0)),"▲ Up","▼ Down"))</f>
        <v>• Same</v>
      </c>
      <c r="BJ223" s="40" t="str">
        <f>IF(OR($M223="",$M223="—",$M223="Not in this file"),"",IFERROR(INDEX($BG$7:$BG$592,MATCH($M223,$D$7:$D$592,0)),""))</f>
        <v>B2</v>
      </c>
      <c r="BK223" s="40" t="str">
        <f>IFERROR(IF(BJ223="","—",IF(OR(LEFT(BG223,1)="X",LEFT(BJ223,1)="X"),"—",IF(AND(LEFT(BG223,1)="E",LEFT(BJ223,1)="E"),"Exception · Band E",IF(AND(INDEX(B_VAL,MATCH(BJ223,B_LVL,0))&gt;=7,INDEX(B_RANK,MATCH(BG223,B_LVL,0))&gt;=INDEX(B_RANK,MATCH(BJ223,B_LVL,0))),"⚠ Same band as a head manager",IF(INDEX(B_VAL,MATCH(BG223,B_LVL,0))&gt;=INDEX(B_VAL,MATCH(BJ223,B_LVL,0)),"⚠ At or above the manager's level","OK"))))),"—")</f>
        <v>OK</v>
      </c>
      <c r="BL223" s="43" t="n"/>
      <c r="BM223" s="44">
        <f>IFERROR(INDEX(LMH_PTS,MATCH(Y223,LMH_KEY,0)),0)</f>
        <v>9</v>
      </c>
      <c r="BN223" s="38">
        <f>IFERROR(INDEX(LMH_PTS,MATCH(Z223,LMH_KEY,0)),0)</f>
        <v>3</v>
      </c>
      <c r="BO223" s="38">
        <f>IFERROR(INDEX(LMH_PTS,MATCH(AA223,LMH_KEY,0)),0)</f>
        <v>1</v>
      </c>
      <c r="BP223" s="38">
        <f>IFERROR(INDEX(LMH_PTS,MATCH(AB223,LMH_KEY,0)),0)</f>
        <v>1</v>
      </c>
      <c r="BQ223" s="38">
        <f>IFERROR(INDEX(LMH_PTS,MATCH(AC223,LMH_KEY,0)),0)</f>
        <v>1</v>
      </c>
      <c r="BR223" s="38">
        <f>IFERROR(INDEX(LMH_PTS,MATCH(AD223,LMH_KEY,0)),0)</f>
        <v>1</v>
      </c>
      <c r="BS223" s="38">
        <f>IFERROR(INDEX(LMH_PTS,MATCH(AE223,LMH_KEY,0)),0)</f>
        <v>1</v>
      </c>
      <c r="BT223" s="38">
        <f>IFERROR(INDEX(LMH_STEP,MATCH(AF223,LMH_KEY,0)),0)</f>
        <v>0</v>
      </c>
      <c r="BU223" s="38">
        <f>IFERROR(INDEX(LMH_STEP,MATCH(AG223,LMH_KEY,0)),0)</f>
        <v>0</v>
      </c>
      <c r="BV223" s="38">
        <f>IFERROR(INDEX(LMH_STEP,MATCH(AH223,LMH_KEY,0)),0)</f>
        <v>0</v>
      </c>
      <c r="BW223" s="38">
        <f>IFERROR(INDEX(LMH_STEP,MATCH(AI223,LMH_KEY,0)),0)</f>
        <v>0</v>
      </c>
      <c r="BX223" s="38">
        <f>IFERROR(INDEX(LMH_STEP,MATCH(AJ223,LMH_KEY,0)),0)</f>
        <v>0</v>
      </c>
      <c r="BY223" s="38">
        <f>IFERROR(INDEX(LMH_STEP,MATCH(AK223,LMH_KEY,0)),0)</f>
        <v>0</v>
      </c>
      <c r="BZ223" s="38">
        <f>IFERROR(INDEX(LMH_STEP,MATCH(AL223,LMH_KEY,0)),0)</f>
        <v>0</v>
      </c>
      <c r="CA223" s="38" t="inlineStr">
        <is>
          <t>iDEAL|Technology|Senior Business Analyst|A3|A</t>
        </is>
      </c>
    </row>
    <row r="224" ht="110" customHeight="1">
      <c r="A224" s="28" t="inlineStr">
        <is>
          <t>iDEAL</t>
        </is>
      </c>
      <c r="B224" s="29" t="inlineStr">
        <is>
          <t>Technology</t>
        </is>
      </c>
      <c r="C224" s="29" t="n">
        <v>4</v>
      </c>
      <c r="D224" s="29" t="inlineStr">
        <is>
          <t>IRIS2066</t>
        </is>
      </c>
      <c r="E224" s="29" t="inlineStr">
        <is>
          <t>Shivani Mishra</t>
        </is>
      </c>
      <c r="F224" s="29" t="inlineStr">
        <is>
          <t>Business Analyst</t>
        </is>
      </c>
      <c r="G224" s="29" t="inlineStr">
        <is>
          <t>Senior Business Analyst</t>
        </is>
      </c>
      <c r="H224" s="29" t="inlineStr">
        <is>
          <t>Business Analysis</t>
        </is>
      </c>
      <c r="I224" s="29" t="inlineStr">
        <is>
          <t>Business Analysis</t>
        </is>
      </c>
      <c r="J224" s="29" t="inlineStr">
        <is>
          <t>IC</t>
        </is>
      </c>
      <c r="K224" s="29" t="inlineStr">
        <is>
          <t>RC-009</t>
        </is>
      </c>
      <c r="L224" s="29" t="inlineStr">
        <is>
          <t>Yuvraj Kharchane</t>
        </is>
      </c>
      <c r="M224" s="29" t="inlineStr">
        <is>
          <t>IRIS1158</t>
        </is>
      </c>
      <c r="N224" s="29" t="n">
        <v>7.5</v>
      </c>
      <c r="O224" s="29" t="n">
        <v>4</v>
      </c>
      <c r="P224" s="29" t="inlineStr">
        <is>
          <t>M.Com</t>
        </is>
      </c>
      <c r="Q224" s="29" t="inlineStr">
        <is>
          <t>L3 – Professional / Associate</t>
        </is>
      </c>
      <c r="R224" s="29" t="inlineStr">
        <is>
          <t>A3</t>
        </is>
      </c>
      <c r="S224" s="30" t="inlineStr">
        <is>
          <t>0 of 20</t>
        </is>
      </c>
      <c r="T224" s="31" t="inlineStr">
        <is>
          <t>Complexity: Evidence reads like A3: Manager note only: tracks, analyses and delivers EBA taxonomy changes; UAT and production deployments for banks → matches the start
Autonomy: Evidence reads like A2: No survey; note shows query handling and follow-ups within set timelines, no stated authority → moved down 0.5
Accountability: Evidence reads like A3: Note: …</t>
        </is>
      </c>
      <c r="U224" s="31" t="inlineStr">
        <is>
          <t>Received · manager annual, quarterly, self · 1. Effectively manage the assigned portfolio of banks and maintain high customer satisfaction, with a target of zero critical client escalations attributable to service delivery gaps.
2. Ensure 100% timely tracking, analysis, development, testing, and delivery of EBA taxonomy changes within prescribed internal …</t>
        </is>
      </c>
      <c r="V224" s="31" t="inlineStr">
        <is>
          <t>Latest rating: 3 · Potential: Medium · 9-box: Trusted Professional · Readiness: Develop in role</t>
        </is>
      </c>
      <c r="W224" s="31" t="inlineStr">
        <is>
          <t>C M · Au M · Ac M · L L · BI M · Exp H · 7.5 yrs vs 2–4 yrs · Edu H · M.Com</t>
        </is>
      </c>
      <c r="X224" s="33" t="inlineStr">
        <is>
          <t>Open ▸</t>
        </is>
      </c>
      <c r="Y224" s="34" t="str">
        <f>IFERROR(INDEX(DL_C,MATCH($CA224,DL_KEY,0)),"M")</f>
        <v>H</v>
      </c>
      <c r="Z224" s="35" t="str">
        <f>IFERROR(INDEX(DL_Au,MATCH($CA224,DL_KEY,0)),"M")</f>
        <v>M</v>
      </c>
      <c r="AA224" s="35" t="str">
        <f>IFERROR(INDEX(DL_Ac,MATCH($CA224,DL_KEY,0)),"M")</f>
        <v>L</v>
      </c>
      <c r="AB224" s="35" t="str">
        <f>IFERROR(INDEX(DL_L,MATCH($CA224,DL_KEY,0)),"M")</f>
        <v>L</v>
      </c>
      <c r="AC224" s="35" t="str">
        <f>IFERROR(INDEX(DL_BI,MATCH($CA224,DL_KEY,0)),"M")</f>
        <v>L</v>
      </c>
      <c r="AD224" s="35" t="str">
        <f>IFERROR(INDEX(DL_Exp,MATCH($CA224,DL_KEY,0)),"M")</f>
        <v>L</v>
      </c>
      <c r="AE224" s="35" t="str">
        <f>IFERROR(INDEX(DL_Edu,MATCH($CA224,DL_KEY,0)),"M")</f>
        <v>L</v>
      </c>
      <c r="AF224" s="34" t="inlineStr">
        <is>
          <t>M</t>
        </is>
      </c>
      <c r="AG224" s="35" t="inlineStr">
        <is>
          <t>M</t>
        </is>
      </c>
      <c r="AH224" s="35" t="inlineStr">
        <is>
          <t>M</t>
        </is>
      </c>
      <c r="AI224" s="35" t="inlineStr">
        <is>
          <t>M</t>
        </is>
      </c>
      <c r="AJ224" s="35" t="inlineStr">
        <is>
          <t>M</t>
        </is>
      </c>
      <c r="AK224" s="35" t="inlineStr">
        <is>
          <t>M</t>
        </is>
      </c>
      <c r="AL224" s="35" t="inlineStr">
        <is>
          <t>M</t>
        </is>
      </c>
      <c r="AM224" s="36" t="n">
        <v>0.583</v>
      </c>
      <c r="AN224" s="37" t="n">
        <v>0.16</v>
      </c>
      <c r="AO224" s="37" t="n">
        <v>0.09</v>
      </c>
      <c r="AP224" s="37" t="n">
        <v>0</v>
      </c>
      <c r="AQ224" s="37" t="n">
        <v>0.063</v>
      </c>
      <c r="AR224" s="37" t="n">
        <v>0.06</v>
      </c>
      <c r="AS224" s="37" t="n">
        <v>0.04</v>
      </c>
      <c r="AT224" s="38" t="inlineStr">
        <is>
          <t>2–5</t>
        </is>
      </c>
      <c r="AU224" s="38" t="inlineStr">
        <is>
          <t>Graduate; relevant certification preferred</t>
        </is>
      </c>
      <c r="AV224" s="38" t="inlineStr">
        <is>
          <t>None · guides 1–3 juniors informally</t>
        </is>
      </c>
      <c r="AW224" s="38" t="inlineStr">
        <is>
          <t>P2 · SFIA 3 Apply</t>
        </is>
      </c>
      <c r="AX22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24" s="39" t="inlineStr">
        <is>
          <t>A3</t>
        </is>
      </c>
      <c r="AZ224" s="40" t="inlineStr">
        <is>
          <t>Band A · Practitioner · Senior Associate</t>
        </is>
      </c>
      <c r="BA224" s="40" t="inlineStr">
        <is>
          <t>Model A3 from the six ratings, the market-derived weights and rules R1–R13 · then No change · already below the manager</t>
        </is>
      </c>
      <c r="BB224" s="41" t="inlineStr">
        <is>
          <t>A3</t>
        </is>
      </c>
      <c r="BC224" s="40" t="inlineStr">
        <is>
          <t>The six ratings on the market-average weights of Band A · all tracks score 3.15 → A3 · Hay, Mercer IPE and public plans · experience 7.5 yrs vs the A3 market range 2–5</t>
        </is>
      </c>
      <c r="BD224" s="42">
        <f>IF(SUM(BM224,BN224,BO224,BP224,BQ224,BR224,BS224)=0,0,(BM224*BT224+BN224*BU224+BO224*BV224+BP224*BW224+BQ224*BX224+BR224*BY224+BS224*BZ224)/SUM(BM224,BN224,BO224,BP224,BQ224,BR224,BS224))</f>
        <v>0</v>
      </c>
      <c r="BE224" s="41" t="str">
        <f>IF(LEFT(AY224,1)="X",AY224,IF(OR(AY224="B+",AY224="C+"),INDEX(LAD_PC,MAX(1,MIN(14,MATCH(AY224,LAD_PC,0)+IF(BD224&gt;=0.5,1,IF(BD224&lt;=-0.5,-1,0))))),INDEX(LAD_STD,MAX(1,MIN(12,MATCH(AY224,LAD_STD,0)+IF(BD224&gt;=0.5,1,IF(BD224&lt;=-0.5,-1,0)))))))</f>
        <v>A3</v>
      </c>
      <c r="BF224" s="43" t="n"/>
      <c r="BG224" s="41" t="str">
        <f>IF(BF224&lt;&gt;"",BF224,BE224)</f>
        <v>A3</v>
      </c>
      <c r="BH224" s="40" t="str">
        <f>IFERROR(CHOOSE(INDEX(B_RANK,MATCH(BG224,B_LVL,0)),"Band A","Band B","B+ · Player-Coach","Band C","C+ · Player-Coach","Band D","Band E"),"Band X · Consultant")</f>
        <v>Band A</v>
      </c>
      <c r="BI224" s="40" t="str">
        <f>IF(BG224=AY224,"• Same",IF(INDEX(B_VAL,MATCH(BG224,B_LVL,0))&gt;INDEX(B_VAL,MATCH(AY224,B_LVL,0)),"▲ Up","▼ Down"))</f>
        <v>• Same</v>
      </c>
      <c r="BJ224" s="40" t="str">
        <f>IF(OR($M224="",$M224="—",$M224="Not in this file"),"",IFERROR(INDEX($BG$7:$BG$592,MATCH($M224,$D$7:$D$592,0)),""))</f>
        <v>B2</v>
      </c>
      <c r="BK224" s="40" t="str">
        <f>IFERROR(IF(BJ224="","—",IF(OR(LEFT(BG224,1)="X",LEFT(BJ224,1)="X"),"—",IF(AND(LEFT(BG224,1)="E",LEFT(BJ224,1)="E"),"Exception · Band E",IF(AND(INDEX(B_VAL,MATCH(BJ224,B_LVL,0))&gt;=7,INDEX(B_RANK,MATCH(BG224,B_LVL,0))&gt;=INDEX(B_RANK,MATCH(BJ224,B_LVL,0))),"⚠ Same band as a head manager",IF(INDEX(B_VAL,MATCH(BG224,B_LVL,0))&gt;=INDEX(B_VAL,MATCH(BJ224,B_LVL,0)),"⚠ At or above the manager's level","OK"))))),"—")</f>
        <v>OK</v>
      </c>
      <c r="BL224" s="43" t="n"/>
      <c r="BM224" s="44">
        <f>IFERROR(INDEX(LMH_PTS,MATCH(Y224,LMH_KEY,0)),0)</f>
        <v>9</v>
      </c>
      <c r="BN224" s="38">
        <f>IFERROR(INDEX(LMH_PTS,MATCH(Z224,LMH_KEY,0)),0)</f>
        <v>3</v>
      </c>
      <c r="BO224" s="38">
        <f>IFERROR(INDEX(LMH_PTS,MATCH(AA224,LMH_KEY,0)),0)</f>
        <v>1</v>
      </c>
      <c r="BP224" s="38">
        <f>IFERROR(INDEX(LMH_PTS,MATCH(AB224,LMH_KEY,0)),0)</f>
        <v>1</v>
      </c>
      <c r="BQ224" s="38">
        <f>IFERROR(INDEX(LMH_PTS,MATCH(AC224,LMH_KEY,0)),0)</f>
        <v>1</v>
      </c>
      <c r="BR224" s="38">
        <f>IFERROR(INDEX(LMH_PTS,MATCH(AD224,LMH_KEY,0)),0)</f>
        <v>1</v>
      </c>
      <c r="BS224" s="38">
        <f>IFERROR(INDEX(LMH_PTS,MATCH(AE224,LMH_KEY,0)),0)</f>
        <v>1</v>
      </c>
      <c r="BT224" s="38">
        <f>IFERROR(INDEX(LMH_STEP,MATCH(AF224,LMH_KEY,0)),0)</f>
        <v>0</v>
      </c>
      <c r="BU224" s="38">
        <f>IFERROR(INDEX(LMH_STEP,MATCH(AG224,LMH_KEY,0)),0)</f>
        <v>0</v>
      </c>
      <c r="BV224" s="38">
        <f>IFERROR(INDEX(LMH_STEP,MATCH(AH224,LMH_KEY,0)),0)</f>
        <v>0</v>
      </c>
      <c r="BW224" s="38">
        <f>IFERROR(INDEX(LMH_STEP,MATCH(AI224,LMH_KEY,0)),0)</f>
        <v>0</v>
      </c>
      <c r="BX224" s="38">
        <f>IFERROR(INDEX(LMH_STEP,MATCH(AJ224,LMH_KEY,0)),0)</f>
        <v>0</v>
      </c>
      <c r="BY224" s="38">
        <f>IFERROR(INDEX(LMH_STEP,MATCH(AK224,LMH_KEY,0)),0)</f>
        <v>0</v>
      </c>
      <c r="BZ224" s="38">
        <f>IFERROR(INDEX(LMH_STEP,MATCH(AL224,LMH_KEY,0)),0)</f>
        <v>0</v>
      </c>
      <c r="CA224" s="38" t="inlineStr">
        <is>
          <t>iDEAL|Technology|Senior Business Analyst|A3|A</t>
        </is>
      </c>
    </row>
    <row r="225" ht="110" customHeight="1">
      <c r="A225" s="28" t="inlineStr">
        <is>
          <t>iDEAL</t>
        </is>
      </c>
      <c r="B225" s="29" t="inlineStr">
        <is>
          <t>Product Management</t>
        </is>
      </c>
      <c r="C225" s="29" t="n">
        <v>4</v>
      </c>
      <c r="D225" s="29" t="inlineStr">
        <is>
          <t>IRIS2435</t>
        </is>
      </c>
      <c r="E225" s="29" t="inlineStr">
        <is>
          <t>Srijith Menon</t>
        </is>
      </c>
      <c r="F225" s="29" t="inlineStr">
        <is>
          <t>Product Coordinator</t>
        </is>
      </c>
      <c r="G225" s="29" t="inlineStr">
        <is>
          <t>Senior Product Analyst</t>
        </is>
      </c>
      <c r="H225" s="29" t="inlineStr">
        <is>
          <t>Product Management</t>
        </is>
      </c>
      <c r="I225" s="29" t="inlineStr">
        <is>
          <t>Product Operations &amp; Research</t>
        </is>
      </c>
      <c r="J225" s="29" t="inlineStr">
        <is>
          <t>IC</t>
        </is>
      </c>
      <c r="K225" s="29" t="inlineStr">
        <is>
          <t>RC-130</t>
        </is>
      </c>
      <c r="L225" s="29" t="inlineStr">
        <is>
          <t>Yuvraj Kharchane</t>
        </is>
      </c>
      <c r="M225" s="29" t="inlineStr">
        <is>
          <t>IRIS1158</t>
        </is>
      </c>
      <c r="N225" s="29" t="n">
        <v>8</v>
      </c>
      <c r="O225" s="29" t="n">
        <v>1</v>
      </c>
      <c r="P225" s="29" t="inlineStr">
        <is>
          <t>Bachelors in Hotel Management</t>
        </is>
      </c>
      <c r="Q225" s="29" t="inlineStr">
        <is>
          <t>L3 – Professional / Associate</t>
        </is>
      </c>
      <c r="R225" s="29" t="inlineStr">
        <is>
          <t>A3</t>
        </is>
      </c>
      <c r="S225" s="30" t="inlineStr">
        <is>
          <t>20 of 20</t>
        </is>
      </c>
      <c r="T225" s="31" t="inlineStr">
        <is>
          <t>Complexity: Evidence reads like A3: Coordinates ETL implementation projects across stakeholders: schedules, documentation, tracking, follow-up, escalation → moved up 0.5
Autonomy: Evidence reads like A2: Decides scheduling; judges what to escalate and when → matches the start
Accountability: Evidence reads like A3: Accountable for ETL solution delivery for …</t>
        </is>
      </c>
      <c r="U225" s="31" t="inlineStr">
        <is>
          <t>Received · manager annual, quarterly, self · 1. Effectively manage the assigned portfolio of iDEAL ETL clients, ensuring successful onboarding, implementation, adoption, and customer satisfaction with zero escalations.
2. Coordinate with clients and cross-functional teams to ensure timely execution, implementation of data automation requirements, including …</t>
        </is>
      </c>
      <c r="V225" s="31" t="inlineStr">
        <is>
          <t>Latest rating: 3 · Potential: Medium · 9-box: Emerging Talent · Readiness: Develop in role</t>
        </is>
      </c>
      <c r="W225" s="31" t="inlineStr">
        <is>
          <t>C M · Au L · Ac M · L L · BI M · Exp H · 8 yrs vs 2–4 yrs · Edu M · Bachelors in Hotel Management</t>
        </is>
      </c>
      <c r="X225" s="33" t="inlineStr">
        <is>
          <t>Open ▸</t>
        </is>
      </c>
      <c r="Y225" s="34" t="str">
        <f>IFERROR(INDEX(DL_C,MATCH($CA225,DL_KEY,0)),"M")</f>
        <v>H</v>
      </c>
      <c r="Z225" s="35" t="str">
        <f>IFERROR(INDEX(DL_Au,MATCH($CA225,DL_KEY,0)),"M")</f>
        <v>M</v>
      </c>
      <c r="AA225" s="35" t="str">
        <f>IFERROR(INDEX(DL_Ac,MATCH($CA225,DL_KEY,0)),"M")</f>
        <v>M</v>
      </c>
      <c r="AB225" s="35" t="str">
        <f>IFERROR(INDEX(DL_L,MATCH($CA225,DL_KEY,0)),"M")</f>
        <v>L</v>
      </c>
      <c r="AC225" s="35" t="str">
        <f>IFERROR(INDEX(DL_BI,MATCH($CA225,DL_KEY,0)),"M")</f>
        <v>L</v>
      </c>
      <c r="AD225" s="35" t="str">
        <f>IFERROR(INDEX(DL_Exp,MATCH($CA225,DL_KEY,0)),"M")</f>
        <v>L</v>
      </c>
      <c r="AE225" s="35" t="str">
        <f>IFERROR(INDEX(DL_Edu,MATCH($CA225,DL_KEY,0)),"M")</f>
        <v>L</v>
      </c>
      <c r="AF225" s="34" t="inlineStr">
        <is>
          <t>M</t>
        </is>
      </c>
      <c r="AG225" s="35" t="inlineStr">
        <is>
          <t>M</t>
        </is>
      </c>
      <c r="AH225" s="35" t="inlineStr">
        <is>
          <t>M</t>
        </is>
      </c>
      <c r="AI225" s="35" t="inlineStr">
        <is>
          <t>M</t>
        </is>
      </c>
      <c r="AJ225" s="35" t="inlineStr">
        <is>
          <t>M</t>
        </is>
      </c>
      <c r="AK225" s="35" t="inlineStr">
        <is>
          <t>M</t>
        </is>
      </c>
      <c r="AL225" s="35" t="inlineStr">
        <is>
          <t>M</t>
        </is>
      </c>
      <c r="AM225" s="36" t="n">
        <v>0.583</v>
      </c>
      <c r="AN225" s="37" t="n">
        <v>0.16</v>
      </c>
      <c r="AO225" s="37" t="n">
        <v>0.09</v>
      </c>
      <c r="AP225" s="37" t="n">
        <v>0</v>
      </c>
      <c r="AQ225" s="37" t="n">
        <v>0.063</v>
      </c>
      <c r="AR225" s="37" t="n">
        <v>0.06</v>
      </c>
      <c r="AS225" s="37" t="n">
        <v>0.04</v>
      </c>
      <c r="AT225" s="38" t="inlineStr">
        <is>
          <t>2–5</t>
        </is>
      </c>
      <c r="AU225" s="38" t="inlineStr">
        <is>
          <t>Graduate; relevant certification preferred</t>
        </is>
      </c>
      <c r="AV225" s="38" t="inlineStr">
        <is>
          <t>None · guides 1–3 juniors informally</t>
        </is>
      </c>
      <c r="AW225" s="38" t="inlineStr">
        <is>
          <t>P2 · SFIA 3 Apply</t>
        </is>
      </c>
      <c r="AX22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25" s="39" t="inlineStr">
        <is>
          <t>A3</t>
        </is>
      </c>
      <c r="AZ225" s="40" t="inlineStr">
        <is>
          <t>Band A · Practitioner · Senior Associate</t>
        </is>
      </c>
      <c r="BA225" s="40" t="inlineStr">
        <is>
          <t>Model A3 from the six ratings, the market-derived weights and rules R1–R13 · then No change · already below the manager</t>
        </is>
      </c>
      <c r="BB225" s="41" t="inlineStr">
        <is>
          <t>A3</t>
        </is>
      </c>
      <c r="BC225" s="40" t="inlineStr">
        <is>
          <t>The six ratings on the market-average weights of Band A · all tracks score 2.70 → A3 · Hay, Mercer IPE and public plans · experience 8 yrs vs the A3 market range 2–5</t>
        </is>
      </c>
      <c r="BD225" s="42">
        <f>IF(SUM(BM225,BN225,BO225,BP225,BQ225,BR225,BS225)=0,0,(BM225*BT225+BN225*BU225+BO225*BV225+BP225*BW225+BQ225*BX225+BR225*BY225+BS225*BZ225)/SUM(BM225,BN225,BO225,BP225,BQ225,BR225,BS225))</f>
        <v>0</v>
      </c>
      <c r="BE225" s="41" t="str">
        <f>IF(LEFT(AY225,1)="X",AY225,IF(OR(AY225="B+",AY225="C+"),INDEX(LAD_PC,MAX(1,MIN(14,MATCH(AY225,LAD_PC,0)+IF(BD225&gt;=0.5,1,IF(BD225&lt;=-0.5,-1,0))))),INDEX(LAD_STD,MAX(1,MIN(12,MATCH(AY225,LAD_STD,0)+IF(BD225&gt;=0.5,1,IF(BD225&lt;=-0.5,-1,0)))))))</f>
        <v>A3</v>
      </c>
      <c r="BF225" s="43" t="n"/>
      <c r="BG225" s="41" t="str">
        <f>IF(BF225&lt;&gt;"",BF225,BE225)</f>
        <v>A3</v>
      </c>
      <c r="BH225" s="40" t="str">
        <f>IFERROR(CHOOSE(INDEX(B_RANK,MATCH(BG225,B_LVL,0)),"Band A","Band B","B+ · Player-Coach","Band C","C+ · Player-Coach","Band D","Band E"),"Band X · Consultant")</f>
        <v>Band A</v>
      </c>
      <c r="BI225" s="40" t="str">
        <f>IF(BG225=AY225,"• Same",IF(INDEX(B_VAL,MATCH(BG225,B_LVL,0))&gt;INDEX(B_VAL,MATCH(AY225,B_LVL,0)),"▲ Up","▼ Down"))</f>
        <v>• Same</v>
      </c>
      <c r="BJ225" s="40" t="str">
        <f>IF(OR($M225="",$M225="—",$M225="Not in this file"),"",IFERROR(INDEX($BG$7:$BG$592,MATCH($M225,$D$7:$D$592,0)),""))</f>
        <v>B2</v>
      </c>
      <c r="BK225" s="40" t="str">
        <f>IFERROR(IF(BJ225="","—",IF(OR(LEFT(BG225,1)="X",LEFT(BJ225,1)="X"),"—",IF(AND(LEFT(BG225,1)="E",LEFT(BJ225,1)="E"),"Exception · Band E",IF(AND(INDEX(B_VAL,MATCH(BJ225,B_LVL,0))&gt;=7,INDEX(B_RANK,MATCH(BG225,B_LVL,0))&gt;=INDEX(B_RANK,MATCH(BJ225,B_LVL,0))),"⚠ Same band as a head manager",IF(INDEX(B_VAL,MATCH(BG225,B_LVL,0))&gt;=INDEX(B_VAL,MATCH(BJ225,B_LVL,0)),"⚠ At or above the manager's level","OK"))))),"—")</f>
        <v>OK</v>
      </c>
      <c r="BL225" s="43" t="n"/>
      <c r="BM225" s="44">
        <f>IFERROR(INDEX(LMH_PTS,MATCH(Y225,LMH_KEY,0)),0)</f>
        <v>9</v>
      </c>
      <c r="BN225" s="38">
        <f>IFERROR(INDEX(LMH_PTS,MATCH(Z225,LMH_KEY,0)),0)</f>
        <v>3</v>
      </c>
      <c r="BO225" s="38">
        <f>IFERROR(INDEX(LMH_PTS,MATCH(AA225,LMH_KEY,0)),0)</f>
        <v>3</v>
      </c>
      <c r="BP225" s="38">
        <f>IFERROR(INDEX(LMH_PTS,MATCH(AB225,LMH_KEY,0)),0)</f>
        <v>1</v>
      </c>
      <c r="BQ225" s="38">
        <f>IFERROR(INDEX(LMH_PTS,MATCH(AC225,LMH_KEY,0)),0)</f>
        <v>1</v>
      </c>
      <c r="BR225" s="38">
        <f>IFERROR(INDEX(LMH_PTS,MATCH(AD225,LMH_KEY,0)),0)</f>
        <v>1</v>
      </c>
      <c r="BS225" s="38">
        <f>IFERROR(INDEX(LMH_PTS,MATCH(AE225,LMH_KEY,0)),0)</f>
        <v>1</v>
      </c>
      <c r="BT225" s="38">
        <f>IFERROR(INDEX(LMH_STEP,MATCH(AF225,LMH_KEY,0)),0)</f>
        <v>0</v>
      </c>
      <c r="BU225" s="38">
        <f>IFERROR(INDEX(LMH_STEP,MATCH(AG225,LMH_KEY,0)),0)</f>
        <v>0</v>
      </c>
      <c r="BV225" s="38">
        <f>IFERROR(INDEX(LMH_STEP,MATCH(AH225,LMH_KEY,0)),0)</f>
        <v>0</v>
      </c>
      <c r="BW225" s="38">
        <f>IFERROR(INDEX(LMH_STEP,MATCH(AI225,LMH_KEY,0)),0)</f>
        <v>0</v>
      </c>
      <c r="BX225" s="38">
        <f>IFERROR(INDEX(LMH_STEP,MATCH(AJ225,LMH_KEY,0)),0)</f>
        <v>0</v>
      </c>
      <c r="BY225" s="38">
        <f>IFERROR(INDEX(LMH_STEP,MATCH(AK225,LMH_KEY,0)),0)</f>
        <v>0</v>
      </c>
      <c r="BZ225" s="38">
        <f>IFERROR(INDEX(LMH_STEP,MATCH(AL225,LMH_KEY,0)),0)</f>
        <v>0</v>
      </c>
      <c r="CA225" s="38" t="inlineStr">
        <is>
          <t>iDEAL|Product Management|Senior Product Analyst|A3|A</t>
        </is>
      </c>
    </row>
    <row r="226" ht="110" customHeight="1">
      <c r="A226" s="28" t="inlineStr">
        <is>
          <t>iDEAL</t>
        </is>
      </c>
      <c r="B226" s="29" t="inlineStr">
        <is>
          <t>Technology</t>
        </is>
      </c>
      <c r="C226" s="29" t="n">
        <v>3</v>
      </c>
      <c r="D226" s="29" t="inlineStr">
        <is>
          <t>IRIS1343</t>
        </is>
      </c>
      <c r="E226" s="29" t="inlineStr">
        <is>
          <t>Anand Usakoyal</t>
        </is>
      </c>
      <c r="F226" s="29" t="inlineStr">
        <is>
          <t>Project Lead</t>
        </is>
      </c>
      <c r="G226" s="29" t="inlineStr">
        <is>
          <t>Associate Project Manager</t>
        </is>
      </c>
      <c r="H226" s="29" t="inlineStr">
        <is>
          <t>Project &amp; Program Management</t>
        </is>
      </c>
      <c r="I226" s="29" t="inlineStr">
        <is>
          <t>Project &amp; Program Delivery</t>
        </is>
      </c>
      <c r="J226" s="29" t="inlineStr">
        <is>
          <t>IC</t>
        </is>
      </c>
      <c r="K226" s="29" t="inlineStr">
        <is>
          <t>RC-134</t>
        </is>
      </c>
      <c r="L226" s="29" t="inlineStr">
        <is>
          <t>Hemant Karale</t>
        </is>
      </c>
      <c r="M226" s="29" t="inlineStr">
        <is>
          <t>IRIS1224</t>
        </is>
      </c>
      <c r="N226" s="29" t="n">
        <v>13.3</v>
      </c>
      <c r="O226" s="29" t="n">
        <v>13.3</v>
      </c>
      <c r="P226" s="29" t="inlineStr">
        <is>
          <t>MBA</t>
        </is>
      </c>
      <c r="Q226" s="29" t="inlineStr">
        <is>
          <t>L5 – Lead · IC</t>
        </is>
      </c>
      <c r="R226" s="29" t="inlineStr">
        <is>
          <t>B1</t>
        </is>
      </c>
      <c r="S226" s="30" t="inlineStr">
        <is>
          <t>20 of 20</t>
        </is>
      </c>
      <c r="T226" s="31" t="inlineStr">
        <is>
          <t>Complexity: Evidence reads like A3: Gathers RBI EBR return requirements, verifies developed returns, resolves team doubts → moved down 0.5
Autonomy: Evidence reads like A3: Decides requirement gathering independently; verifies returns before delivery to banks → moved down 0.5
Accountability: Evidence reads like B1: Answers for EBR returns delivered to banks …</t>
        </is>
      </c>
      <c r="U226" s="31" t="inlineStr">
        <is>
          <t>Received · manager annual, quarterly, self · 1. Develop a comprehensive understanding of the EBR solution workflow, reporting framework, and implementation processes by August 2026. Gain in-depth expertise in EBR SDMX report validations and error handling by July 2026, enabling you to independently lead support activities, effectively manage client requests, and …</t>
        </is>
      </c>
      <c r="V226" s="31" t="inlineStr">
        <is>
          <t>Latest rating: 3 · Potential: Medium · 9-box: Emerging Talent · Readiness: Develop in role</t>
        </is>
      </c>
      <c r="W226" s="31" t="inlineStr">
        <is>
          <t>C M · Au M · Ac M · L L · BI M · Exp H · 13.3 yrs vs 4–7 yrs · Edu H · MBA</t>
        </is>
      </c>
      <c r="X226" s="33" t="inlineStr">
        <is>
          <t>Open ▸</t>
        </is>
      </c>
      <c r="Y226" s="34" t="str">
        <f>IFERROR(INDEX(DL_C,MATCH($CA226,DL_KEY,0)),"M")</f>
        <v>H</v>
      </c>
      <c r="Z226" s="35" t="str">
        <f>IFERROR(INDEX(DL_Au,MATCH($CA226,DL_KEY,0)),"M")</f>
        <v>M</v>
      </c>
      <c r="AA226" s="35" t="str">
        <f>IFERROR(INDEX(DL_Ac,MATCH($CA226,DL_KEY,0)),"M")</f>
        <v>L</v>
      </c>
      <c r="AB226" s="35" t="str">
        <f>IFERROR(INDEX(DL_L,MATCH($CA226,DL_KEY,0)),"M")</f>
        <v>L</v>
      </c>
      <c r="AC226" s="35" t="str">
        <f>IFERROR(INDEX(DL_BI,MATCH($CA226,DL_KEY,0)),"M")</f>
        <v>L</v>
      </c>
      <c r="AD226" s="35" t="str">
        <f>IFERROR(INDEX(DL_Exp,MATCH($CA226,DL_KEY,0)),"M")</f>
        <v>L</v>
      </c>
      <c r="AE226" s="35" t="str">
        <f>IFERROR(INDEX(DL_Edu,MATCH($CA226,DL_KEY,0)),"M")</f>
        <v>L</v>
      </c>
      <c r="AF226" s="34" t="inlineStr">
        <is>
          <t>M</t>
        </is>
      </c>
      <c r="AG226" s="35" t="inlineStr">
        <is>
          <t>M</t>
        </is>
      </c>
      <c r="AH226" s="35" t="inlineStr">
        <is>
          <t>M</t>
        </is>
      </c>
      <c r="AI226" s="35" t="inlineStr">
        <is>
          <t>M</t>
        </is>
      </c>
      <c r="AJ226" s="35" t="inlineStr">
        <is>
          <t>M</t>
        </is>
      </c>
      <c r="AK226" s="35" t="inlineStr">
        <is>
          <t>M</t>
        </is>
      </c>
      <c r="AL226" s="35" t="inlineStr">
        <is>
          <t>M</t>
        </is>
      </c>
      <c r="AM226" s="36" t="n">
        <v>0.513</v>
      </c>
      <c r="AN226" s="37" t="n">
        <v>0.173</v>
      </c>
      <c r="AO226" s="37" t="n">
        <v>0.09699999999999999</v>
      </c>
      <c r="AP226" s="37" t="n">
        <v>0.05</v>
      </c>
      <c r="AQ226" s="37" t="n">
        <v>0.07000000000000001</v>
      </c>
      <c r="AR226" s="37" t="n">
        <v>0.06</v>
      </c>
      <c r="AS226" s="37" t="n">
        <v>0.04</v>
      </c>
      <c r="AT226" s="38" t="inlineStr">
        <is>
          <t>4–8</t>
        </is>
      </c>
      <c r="AU226" s="38" t="inlineStr">
        <is>
          <t>Graduate + relevant qualification or certification preferred</t>
        </is>
      </c>
      <c r="AV226" s="38" t="inlineStr">
        <is>
          <t>IC: none · Team Lead: 3–5</t>
        </is>
      </c>
      <c r="AW226" s="38" t="inlineStr">
        <is>
          <t>P3 / M2 · SFIA 4 Enable</t>
        </is>
      </c>
      <c r="AX22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26" s="39" t="inlineStr">
        <is>
          <t>B1</t>
        </is>
      </c>
      <c r="AZ226" s="40" t="inlineStr">
        <is>
          <t>Band B · Specialist / Manager · Specialist</t>
        </is>
      </c>
      <c r="BA226" s="40" t="inlineStr">
        <is>
          <t>Model B1 from the six ratings, the market-derived weights and rules R1–R13 · then No change · already below the manager</t>
        </is>
      </c>
      <c r="BB226" s="41" t="inlineStr">
        <is>
          <t>B1</t>
        </is>
      </c>
      <c r="BC226" s="40" t="inlineStr">
        <is>
          <t>The six ratings on the market-average weights of Band B · Specialist / POD Lead score 3.96 → B1 · Hay, Mercer IPE and public plans · experience 13.3 yrs vs the B1 market range 4–8</t>
        </is>
      </c>
      <c r="BD226" s="42">
        <f>IF(SUM(BM226,BN226,BO226,BP226,BQ226,BR226,BS226)=0,0,(BM226*BT226+BN226*BU226+BO226*BV226+BP226*BW226+BQ226*BX226+BR226*BY226+BS226*BZ226)/SUM(BM226,BN226,BO226,BP226,BQ226,BR226,BS226))</f>
        <v>0</v>
      </c>
      <c r="BE226" s="41" t="str">
        <f>IF(LEFT(AY226,1)="X",AY226,IF(OR(AY226="B+",AY226="C+"),INDEX(LAD_PC,MAX(1,MIN(14,MATCH(AY226,LAD_PC,0)+IF(BD226&gt;=0.5,1,IF(BD226&lt;=-0.5,-1,0))))),INDEX(LAD_STD,MAX(1,MIN(12,MATCH(AY226,LAD_STD,0)+IF(BD226&gt;=0.5,1,IF(BD226&lt;=-0.5,-1,0)))))))</f>
        <v>B1</v>
      </c>
      <c r="BF226" s="43" t="n"/>
      <c r="BG226" s="41" t="str">
        <f>IF(BF226&lt;&gt;"",BF226,BE226)</f>
        <v>B1</v>
      </c>
      <c r="BH226" s="40" t="str">
        <f>IFERROR(CHOOSE(INDEX(B_RANK,MATCH(BG226,B_LVL,0)),"Band A","Band B","B+ · Player-Coach","Band C","C+ · Player-Coach","Band D","Band E"),"Band X · Consultant")</f>
        <v>Band B</v>
      </c>
      <c r="BI226" s="40" t="str">
        <f>IF(BG226=AY226,"• Same",IF(INDEX(B_VAL,MATCH(BG226,B_LVL,0))&gt;INDEX(B_VAL,MATCH(AY226,B_LVL,0)),"▲ Up","▼ Down"))</f>
        <v>• Same</v>
      </c>
      <c r="BJ226" s="40" t="str">
        <f>IF(OR($M226="",$M226="—",$M226="Not in this file"),"",IFERROR(INDEX($BG$7:$BG$592,MATCH($M226,$D$7:$D$592,0)),""))</f>
        <v>C2</v>
      </c>
      <c r="BK226" s="40" t="str">
        <f>IFERROR(IF(BJ226="","—",IF(OR(LEFT(BG226,1)="X",LEFT(BJ226,1)="X"),"—",IF(AND(LEFT(BG226,1)="E",LEFT(BJ226,1)="E"),"Exception · Band E",IF(AND(INDEX(B_VAL,MATCH(BJ226,B_LVL,0))&gt;=7,INDEX(B_RANK,MATCH(BG226,B_LVL,0))&gt;=INDEX(B_RANK,MATCH(BJ226,B_LVL,0))),"⚠ Same band as a head manager",IF(INDEX(B_VAL,MATCH(BG226,B_LVL,0))&gt;=INDEX(B_VAL,MATCH(BJ226,B_LVL,0)),"⚠ At or above the manager's level","OK"))))),"—")</f>
        <v>OK</v>
      </c>
      <c r="BL226" s="43" t="n"/>
      <c r="BM226" s="44">
        <f>IFERROR(INDEX(LMH_PTS,MATCH(Y226,LMH_KEY,0)),0)</f>
        <v>9</v>
      </c>
      <c r="BN226" s="38">
        <f>IFERROR(INDEX(LMH_PTS,MATCH(Z226,LMH_KEY,0)),0)</f>
        <v>3</v>
      </c>
      <c r="BO226" s="38">
        <f>IFERROR(INDEX(LMH_PTS,MATCH(AA226,LMH_KEY,0)),0)</f>
        <v>1</v>
      </c>
      <c r="BP226" s="38">
        <f>IFERROR(INDEX(LMH_PTS,MATCH(AB226,LMH_KEY,0)),0)</f>
        <v>1</v>
      </c>
      <c r="BQ226" s="38">
        <f>IFERROR(INDEX(LMH_PTS,MATCH(AC226,LMH_KEY,0)),0)</f>
        <v>1</v>
      </c>
      <c r="BR226" s="38">
        <f>IFERROR(INDEX(LMH_PTS,MATCH(AD226,LMH_KEY,0)),0)</f>
        <v>1</v>
      </c>
      <c r="BS226" s="38">
        <f>IFERROR(INDEX(LMH_PTS,MATCH(AE226,LMH_KEY,0)),0)</f>
        <v>1</v>
      </c>
      <c r="BT226" s="38">
        <f>IFERROR(INDEX(LMH_STEP,MATCH(AF226,LMH_KEY,0)),0)</f>
        <v>0</v>
      </c>
      <c r="BU226" s="38">
        <f>IFERROR(INDEX(LMH_STEP,MATCH(AG226,LMH_KEY,0)),0)</f>
        <v>0</v>
      </c>
      <c r="BV226" s="38">
        <f>IFERROR(INDEX(LMH_STEP,MATCH(AH226,LMH_KEY,0)),0)</f>
        <v>0</v>
      </c>
      <c r="BW226" s="38">
        <f>IFERROR(INDEX(LMH_STEP,MATCH(AI226,LMH_KEY,0)),0)</f>
        <v>0</v>
      </c>
      <c r="BX226" s="38">
        <f>IFERROR(INDEX(LMH_STEP,MATCH(AJ226,LMH_KEY,0)),0)</f>
        <v>0</v>
      </c>
      <c r="BY226" s="38">
        <f>IFERROR(INDEX(LMH_STEP,MATCH(AK226,LMH_KEY,0)),0)</f>
        <v>0</v>
      </c>
      <c r="BZ226" s="38">
        <f>IFERROR(INDEX(LMH_STEP,MATCH(AL226,LMH_KEY,0)),0)</f>
        <v>0</v>
      </c>
      <c r="CA226" s="38" t="inlineStr">
        <is>
          <t>iDEAL|Technology|Associate Project Manager|B1|B-IC</t>
        </is>
      </c>
    </row>
    <row r="227" ht="110" customHeight="1">
      <c r="A227" s="28" t="inlineStr">
        <is>
          <t>iDEAL</t>
        </is>
      </c>
      <c r="B227" s="29" t="inlineStr">
        <is>
          <t>Technology</t>
        </is>
      </c>
      <c r="C227" s="29" t="n">
        <v>3</v>
      </c>
      <c r="D227" s="29" t="inlineStr">
        <is>
          <t>IRIS1947</t>
        </is>
      </c>
      <c r="E227" s="29" t="inlineStr">
        <is>
          <t>Aroosa Ghole</t>
        </is>
      </c>
      <c r="F227" s="29" t="inlineStr">
        <is>
          <t>Senior Business Analyst</t>
        </is>
      </c>
      <c r="G227" s="29" t="inlineStr">
        <is>
          <t>Team Lead – Business Analysis</t>
        </is>
      </c>
      <c r="H227" s="29" t="inlineStr">
        <is>
          <t>Business Analysis</t>
        </is>
      </c>
      <c r="I227" s="29" t="inlineStr">
        <is>
          <t>Business Analysis</t>
        </is>
      </c>
      <c r="J227" s="29" t="inlineStr">
        <is>
          <t>People Manager</t>
        </is>
      </c>
      <c r="K227" s="29" t="inlineStr">
        <is>
          <t>RC-011</t>
        </is>
      </c>
      <c r="L227" s="29" t="inlineStr">
        <is>
          <t>Hemant Karale</t>
        </is>
      </c>
      <c r="M227" s="29" t="inlineStr">
        <is>
          <t>IRIS1224</t>
        </is>
      </c>
      <c r="N227" s="29" t="n">
        <v>7.5</v>
      </c>
      <c r="O227" s="29" t="n">
        <v>5.1</v>
      </c>
      <c r="P227" s="29" t="inlineStr">
        <is>
          <t>PGDM</t>
        </is>
      </c>
      <c r="Q227" s="29" t="inlineStr">
        <is>
          <t>L4 – Senior</t>
        </is>
      </c>
      <c r="R227" s="29" t="inlineStr">
        <is>
          <t>B1</t>
        </is>
      </c>
      <c r="S227" s="30" t="inlineStr">
        <is>
          <t>20 of 20</t>
        </is>
      </c>
      <c r="T227" s="31" t="inlineStr">
        <is>
          <t>Complexity: Evidence reads like B1: RBI regulatory reporting and iDEAL expertise; feasibility assessment, BRD/FSD, validation rules, UAT → matches the start
Autonomy: Evidence reads like B1: Decides whether requirements fit standard product or need customisation, effort and cost → matches the start
Accountability: Evidence reads like B1: Requirement …</t>
        </is>
      </c>
      <c r="U227" s="31" t="inlineStr">
        <is>
          <t>Received · manager annual, quarterly, self · 1. Lead the end-to-end delivery of the EBR solution by ensuring all RBI-released SDMX reports are analysed, prioritized, developed, tested, and delivered to customers within regulatory timelines while maintaining high quality and with zero defects at client end.
2. Drive the implementation, testing, and rollout of all …</t>
        </is>
      </c>
      <c r="V227" s="31" t="inlineStr">
        <is>
          <t>Latest rating: 4 · Potential: High · 9-box: High Impact / Growth Talent · Readiness: Ready now</t>
        </is>
      </c>
      <c r="W227" s="31" t="inlineStr">
        <is>
          <t>C M · Au M · Ac M · L M · BI M · Exp H · 7.5 yrs vs 4–7 yrs · Edu H · PGDM</t>
        </is>
      </c>
      <c r="X227" s="33" t="inlineStr">
        <is>
          <t>Open ▸</t>
        </is>
      </c>
      <c r="Y227" s="34" t="str">
        <f>IFERROR(INDEX(DL_C,MATCH($CA227,DL_KEY,0)),"M")</f>
        <v>H</v>
      </c>
      <c r="Z227" s="35" t="str">
        <f>IFERROR(INDEX(DL_Au,MATCH($CA227,DL_KEY,0)),"M")</f>
        <v>M</v>
      </c>
      <c r="AA227" s="35" t="str">
        <f>IFERROR(INDEX(DL_Ac,MATCH($CA227,DL_KEY,0)),"M")</f>
        <v>L</v>
      </c>
      <c r="AB227" s="35" t="str">
        <f>IFERROR(INDEX(DL_L,MATCH($CA227,DL_KEY,0)),"M")</f>
        <v>M</v>
      </c>
      <c r="AC227" s="35" t="str">
        <f>IFERROR(INDEX(DL_BI,MATCH($CA227,DL_KEY,0)),"M")</f>
        <v>L</v>
      </c>
      <c r="AD227" s="35" t="str">
        <f>IFERROR(INDEX(DL_Exp,MATCH($CA227,DL_KEY,0)),"M")</f>
        <v>L</v>
      </c>
      <c r="AE227" s="35" t="str">
        <f>IFERROR(INDEX(DL_Edu,MATCH($CA227,DL_KEY,0)),"M")</f>
        <v>L</v>
      </c>
      <c r="AF227" s="34" t="inlineStr">
        <is>
          <t>M</t>
        </is>
      </c>
      <c r="AG227" s="35" t="inlineStr">
        <is>
          <t>M</t>
        </is>
      </c>
      <c r="AH227" s="35" t="inlineStr">
        <is>
          <t>M</t>
        </is>
      </c>
      <c r="AI227" s="35" t="inlineStr">
        <is>
          <t>M</t>
        </is>
      </c>
      <c r="AJ227" s="35" t="inlineStr">
        <is>
          <t>M</t>
        </is>
      </c>
      <c r="AK227" s="35" t="inlineStr">
        <is>
          <t>M</t>
        </is>
      </c>
      <c r="AL227" s="35" t="inlineStr">
        <is>
          <t>M</t>
        </is>
      </c>
      <c r="AM227" s="36" t="n">
        <v>0.37</v>
      </c>
      <c r="AN227" s="37" t="n">
        <v>0.183</v>
      </c>
      <c r="AO227" s="37" t="n">
        <v>0.113</v>
      </c>
      <c r="AP227" s="37" t="n">
        <v>0.15</v>
      </c>
      <c r="AQ227" s="37" t="n">
        <v>0.08699999999999999</v>
      </c>
      <c r="AR227" s="37" t="n">
        <v>0.06</v>
      </c>
      <c r="AS227" s="37" t="n">
        <v>0.04</v>
      </c>
      <c r="AT227" s="38" t="inlineStr">
        <is>
          <t>4–8</t>
        </is>
      </c>
      <c r="AU227" s="38" t="inlineStr">
        <is>
          <t>Graduate + relevant qualification or certification preferred</t>
        </is>
      </c>
      <c r="AV227" s="38" t="inlineStr">
        <is>
          <t>IC: none · Team Lead: 3–5</t>
        </is>
      </c>
      <c r="AW227" s="38" t="inlineStr">
        <is>
          <t>P3 / M2 · SFIA 4 Enable</t>
        </is>
      </c>
      <c r="AX22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27" s="39" t="inlineStr">
        <is>
          <t>B1</t>
        </is>
      </c>
      <c r="AZ227" s="40" t="inlineStr">
        <is>
          <t>Band B · Specialist / Manager · Team Lead / Asst Manager</t>
        </is>
      </c>
      <c r="BA227" s="40" t="inlineStr">
        <is>
          <t>Model B1 from the six ratings, the market-derived weights and rules R1–R13 · then No change · already below the manager</t>
        </is>
      </c>
      <c r="BB227" s="41" t="inlineStr">
        <is>
          <t>B1</t>
        </is>
      </c>
      <c r="BC227" s="40" t="inlineStr">
        <is>
          <t>The six ratings on the market-average weights of Band B · People Manager score 4.14 → B1 · Hay, Mercer IPE and public plans · experience 7.5 yrs vs the B1 market range 4–8</t>
        </is>
      </c>
      <c r="BD227" s="42">
        <f>IF(SUM(BM227,BN227,BO227,BP227,BQ227,BR227,BS227)=0,0,(BM227*BT227+BN227*BU227+BO227*BV227+BP227*BW227+BQ227*BX227+BR227*BY227+BS227*BZ227)/SUM(BM227,BN227,BO227,BP227,BQ227,BR227,BS227))</f>
        <v>0</v>
      </c>
      <c r="BE227" s="41" t="str">
        <f>IF(LEFT(AY227,1)="X",AY227,IF(OR(AY227="B+",AY227="C+"),INDEX(LAD_PC,MAX(1,MIN(14,MATCH(AY227,LAD_PC,0)+IF(BD227&gt;=0.5,1,IF(BD227&lt;=-0.5,-1,0))))),INDEX(LAD_STD,MAX(1,MIN(12,MATCH(AY227,LAD_STD,0)+IF(BD227&gt;=0.5,1,IF(BD227&lt;=-0.5,-1,0)))))))</f>
        <v>B1</v>
      </c>
      <c r="BF227" s="43" t="n"/>
      <c r="BG227" s="41" t="str">
        <f>IF(BF227&lt;&gt;"",BF227,BE227)</f>
        <v>B1</v>
      </c>
      <c r="BH227" s="40" t="str">
        <f>IFERROR(CHOOSE(INDEX(B_RANK,MATCH(BG227,B_LVL,0)),"Band A","Band B","B+ · Player-Coach","Band C","C+ · Player-Coach","Band D","Band E"),"Band X · Consultant")</f>
        <v>Band B</v>
      </c>
      <c r="BI227" s="40" t="str">
        <f>IF(BG227=AY227,"• Same",IF(INDEX(B_VAL,MATCH(BG227,B_LVL,0))&gt;INDEX(B_VAL,MATCH(AY227,B_LVL,0)),"▲ Up","▼ Down"))</f>
        <v>• Same</v>
      </c>
      <c r="BJ227" s="40" t="str">
        <f>IF(OR($M227="",$M227="—",$M227="Not in this file"),"",IFERROR(INDEX($BG$7:$BG$592,MATCH($M227,$D$7:$D$592,0)),""))</f>
        <v>C2</v>
      </c>
      <c r="BK227" s="40" t="str">
        <f>IFERROR(IF(BJ227="","—",IF(OR(LEFT(BG227,1)="X",LEFT(BJ227,1)="X"),"—",IF(AND(LEFT(BG227,1)="E",LEFT(BJ227,1)="E"),"Exception · Band E",IF(AND(INDEX(B_VAL,MATCH(BJ227,B_LVL,0))&gt;=7,INDEX(B_RANK,MATCH(BG227,B_LVL,0))&gt;=INDEX(B_RANK,MATCH(BJ227,B_LVL,0))),"⚠ Same band as a head manager",IF(INDEX(B_VAL,MATCH(BG227,B_LVL,0))&gt;=INDEX(B_VAL,MATCH(BJ227,B_LVL,0)),"⚠ At or above the manager's level","OK"))))),"—")</f>
        <v>OK</v>
      </c>
      <c r="BL227" s="43" t="n"/>
      <c r="BM227" s="44">
        <f>IFERROR(INDEX(LMH_PTS,MATCH(Y227,LMH_KEY,0)),0)</f>
        <v>9</v>
      </c>
      <c r="BN227" s="38">
        <f>IFERROR(INDEX(LMH_PTS,MATCH(Z227,LMH_KEY,0)),0)</f>
        <v>3</v>
      </c>
      <c r="BO227" s="38">
        <f>IFERROR(INDEX(LMH_PTS,MATCH(AA227,LMH_KEY,0)),0)</f>
        <v>1</v>
      </c>
      <c r="BP227" s="38">
        <f>IFERROR(INDEX(LMH_PTS,MATCH(AB227,LMH_KEY,0)),0)</f>
        <v>3</v>
      </c>
      <c r="BQ227" s="38">
        <f>IFERROR(INDEX(LMH_PTS,MATCH(AC227,LMH_KEY,0)),0)</f>
        <v>1</v>
      </c>
      <c r="BR227" s="38">
        <f>IFERROR(INDEX(LMH_PTS,MATCH(AD227,LMH_KEY,0)),0)</f>
        <v>1</v>
      </c>
      <c r="BS227" s="38">
        <f>IFERROR(INDEX(LMH_PTS,MATCH(AE227,LMH_KEY,0)),0)</f>
        <v>1</v>
      </c>
      <c r="BT227" s="38">
        <f>IFERROR(INDEX(LMH_STEP,MATCH(AF227,LMH_KEY,0)),0)</f>
        <v>0</v>
      </c>
      <c r="BU227" s="38">
        <f>IFERROR(INDEX(LMH_STEP,MATCH(AG227,LMH_KEY,0)),0)</f>
        <v>0</v>
      </c>
      <c r="BV227" s="38">
        <f>IFERROR(INDEX(LMH_STEP,MATCH(AH227,LMH_KEY,0)),0)</f>
        <v>0</v>
      </c>
      <c r="BW227" s="38">
        <f>IFERROR(INDEX(LMH_STEP,MATCH(AI227,LMH_KEY,0)),0)</f>
        <v>0</v>
      </c>
      <c r="BX227" s="38">
        <f>IFERROR(INDEX(LMH_STEP,MATCH(AJ227,LMH_KEY,0)),0)</f>
        <v>0</v>
      </c>
      <c r="BY227" s="38">
        <f>IFERROR(INDEX(LMH_STEP,MATCH(AK227,LMH_KEY,0)),0)</f>
        <v>0</v>
      </c>
      <c r="BZ227" s="38">
        <f>IFERROR(INDEX(LMH_STEP,MATCH(AL227,LMH_KEY,0)),0)</f>
        <v>0</v>
      </c>
      <c r="CA227" s="38" t="inlineStr">
        <is>
          <t>iDEAL|Technology|Team Lead – Business Analysis|B1|B-M</t>
        </is>
      </c>
    </row>
    <row r="228" ht="110" customHeight="1">
      <c r="A228" s="28" t="inlineStr">
        <is>
          <t>iDEAL</t>
        </is>
      </c>
      <c r="B228" s="29" t="inlineStr">
        <is>
          <t>Technology</t>
        </is>
      </c>
      <c r="C228" s="29" t="n">
        <v>4</v>
      </c>
      <c r="D228" s="29" t="inlineStr">
        <is>
          <t>IRIS2536</t>
        </is>
      </c>
      <c r="E228" s="29" t="inlineStr">
        <is>
          <t>Mohin Patel</t>
        </is>
      </c>
      <c r="F228" s="29" t="inlineStr">
        <is>
          <t>Business Analyst</t>
        </is>
      </c>
      <c r="G228" s="29" t="inlineStr">
        <is>
          <t>Senior Business Analyst</t>
        </is>
      </c>
      <c r="H228" s="29" t="inlineStr">
        <is>
          <t>Business Analysis</t>
        </is>
      </c>
      <c r="I228" s="29" t="inlineStr">
        <is>
          <t>Business Analysis</t>
        </is>
      </c>
      <c r="J228" s="29" t="inlineStr">
        <is>
          <t>IC</t>
        </is>
      </c>
      <c r="K228" s="29" t="inlineStr">
        <is>
          <t>RC-009</t>
        </is>
      </c>
      <c r="L228" s="29" t="inlineStr">
        <is>
          <t>Aroosa Ghole</t>
        </is>
      </c>
      <c r="M228" s="29" t="inlineStr">
        <is>
          <t>IRIS1947</t>
        </is>
      </c>
      <c r="N228" s="29" t="n">
        <v>2.7</v>
      </c>
      <c r="O228" s="29" t="n">
        <v>0.3</v>
      </c>
      <c r="P228" s="29" t="inlineStr">
        <is>
          <t>B.E</t>
        </is>
      </c>
      <c r="Q228" s="29" t="inlineStr">
        <is>
          <t>L3 – Professional / Associate</t>
        </is>
      </c>
      <c r="R228" s="29" t="inlineStr">
        <is>
          <t>A3</t>
        </is>
      </c>
      <c r="S228" s="30" t="inlineStr">
        <is>
          <t>20 of 20</t>
        </is>
      </c>
      <c r="T228" s="31" t="inlineStr">
        <is>
          <t>Complexity: Evidence reads like A2: Standard BA tasks: documentation, BRD/FRD, requirement gathering, bank support for report generation → moved down 0.5
Autonomy: Evidence reads like A2: Only decides 'documentation'; manager note says still gaining independent handling of portfolio → moved down 0.5
Accountability: Evidence reads like A2: Accountable for …</t>
        </is>
      </c>
      <c r="U228" s="31" t="inlineStr">
        <is>
          <t>Received · manager annual, quarterly, self · 1. By the end of July 2026, develop an in-depth understanding of the iDEAL product, business processes, and regulatory reporting framework to independently analyse client requirements, provide functional support, and contribute effectively to project delivery.
2. Gain expertise in independently handling client issues, …</t>
        </is>
      </c>
      <c r="V228" s="31" t="inlineStr">
        <is>
          <t>Latest rating: 3 · Potential: Medium · 9-box: Core Contributor · Readiness: Develop in role</t>
        </is>
      </c>
      <c r="W228" s="31" t="inlineStr">
        <is>
          <t>C M · Au M · Ac M · L L · BI M · Exp M · 2.7 yrs vs 2–4 yrs · Edu M · B.E</t>
        </is>
      </c>
      <c r="X228" s="33" t="inlineStr">
        <is>
          <t>Open ▸</t>
        </is>
      </c>
      <c r="Y228" s="34" t="str">
        <f>IFERROR(INDEX(DL_C,MATCH($CA228,DL_KEY,0)),"M")</f>
        <v>H</v>
      </c>
      <c r="Z228" s="35" t="str">
        <f>IFERROR(INDEX(DL_Au,MATCH($CA228,DL_KEY,0)),"M")</f>
        <v>M</v>
      </c>
      <c r="AA228" s="35" t="str">
        <f>IFERROR(INDEX(DL_Ac,MATCH($CA228,DL_KEY,0)),"M")</f>
        <v>L</v>
      </c>
      <c r="AB228" s="35" t="str">
        <f>IFERROR(INDEX(DL_L,MATCH($CA228,DL_KEY,0)),"M")</f>
        <v>L</v>
      </c>
      <c r="AC228" s="35" t="str">
        <f>IFERROR(INDEX(DL_BI,MATCH($CA228,DL_KEY,0)),"M")</f>
        <v>L</v>
      </c>
      <c r="AD228" s="35" t="str">
        <f>IFERROR(INDEX(DL_Exp,MATCH($CA228,DL_KEY,0)),"M")</f>
        <v>L</v>
      </c>
      <c r="AE228" s="35" t="str">
        <f>IFERROR(INDEX(DL_Edu,MATCH($CA228,DL_KEY,0)),"M")</f>
        <v>L</v>
      </c>
      <c r="AF228" s="34" t="inlineStr">
        <is>
          <t>M</t>
        </is>
      </c>
      <c r="AG228" s="35" t="inlineStr">
        <is>
          <t>M</t>
        </is>
      </c>
      <c r="AH228" s="35" t="inlineStr">
        <is>
          <t>M</t>
        </is>
      </c>
      <c r="AI228" s="35" t="inlineStr">
        <is>
          <t>M</t>
        </is>
      </c>
      <c r="AJ228" s="35" t="inlineStr">
        <is>
          <t>M</t>
        </is>
      </c>
      <c r="AK228" s="35" t="inlineStr">
        <is>
          <t>M</t>
        </is>
      </c>
      <c r="AL228" s="35" t="inlineStr">
        <is>
          <t>M</t>
        </is>
      </c>
      <c r="AM228" s="36" t="n">
        <v>0.583</v>
      </c>
      <c r="AN228" s="37" t="n">
        <v>0.16</v>
      </c>
      <c r="AO228" s="37" t="n">
        <v>0.09</v>
      </c>
      <c r="AP228" s="37" t="n">
        <v>0</v>
      </c>
      <c r="AQ228" s="37" t="n">
        <v>0.063</v>
      </c>
      <c r="AR228" s="37" t="n">
        <v>0.06</v>
      </c>
      <c r="AS228" s="37" t="n">
        <v>0.04</v>
      </c>
      <c r="AT228" s="38" t="inlineStr">
        <is>
          <t>2–5</t>
        </is>
      </c>
      <c r="AU228" s="38" t="inlineStr">
        <is>
          <t>Graduate; relevant certification preferred</t>
        </is>
      </c>
      <c r="AV228" s="38" t="inlineStr">
        <is>
          <t>None · guides 1–3 juniors informally</t>
        </is>
      </c>
      <c r="AW228" s="38" t="inlineStr">
        <is>
          <t>P2 · SFIA 3 Apply</t>
        </is>
      </c>
      <c r="AX22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28" s="39" t="inlineStr">
        <is>
          <t>A3</t>
        </is>
      </c>
      <c r="AZ228" s="40" t="inlineStr">
        <is>
          <t>Band A · Practitioner · Senior Associate</t>
        </is>
      </c>
      <c r="BA228" s="40" t="inlineStr">
        <is>
          <t>Model A3 from the six ratings, the market-derived weights and rules R1–R13 · then No change · already below the manager</t>
        </is>
      </c>
      <c r="BB228" s="41" t="inlineStr">
        <is>
          <t>A3</t>
        </is>
      </c>
      <c r="BC228" s="40" t="inlineStr">
        <is>
          <t>The six ratings on the market-average weights of Band A · all tracks score 2.55 → A3 · Hay, Mercer IPE and public plans · experience 2.7 yrs vs the A3 market range 2–5</t>
        </is>
      </c>
      <c r="BD228" s="42">
        <f>IF(SUM(BM228,BN228,BO228,BP228,BQ228,BR228,BS228)=0,0,(BM228*BT228+BN228*BU228+BO228*BV228+BP228*BW228+BQ228*BX228+BR228*BY228+BS228*BZ228)/SUM(BM228,BN228,BO228,BP228,BQ228,BR228,BS228))</f>
        <v>0</v>
      </c>
      <c r="BE228" s="41" t="str">
        <f>IF(LEFT(AY228,1)="X",AY228,IF(OR(AY228="B+",AY228="C+"),INDEX(LAD_PC,MAX(1,MIN(14,MATCH(AY228,LAD_PC,0)+IF(BD228&gt;=0.5,1,IF(BD228&lt;=-0.5,-1,0))))),INDEX(LAD_STD,MAX(1,MIN(12,MATCH(AY228,LAD_STD,0)+IF(BD228&gt;=0.5,1,IF(BD228&lt;=-0.5,-1,0)))))))</f>
        <v>A3</v>
      </c>
      <c r="BF228" s="43" t="n"/>
      <c r="BG228" s="41" t="str">
        <f>IF(BF228&lt;&gt;"",BF228,BE228)</f>
        <v>A3</v>
      </c>
      <c r="BH228" s="40" t="str">
        <f>IFERROR(CHOOSE(INDEX(B_RANK,MATCH(BG228,B_LVL,0)),"Band A","Band B","B+ · Player-Coach","Band C","C+ · Player-Coach","Band D","Band E"),"Band X · Consultant")</f>
        <v>Band A</v>
      </c>
      <c r="BI228" s="40" t="str">
        <f>IF(BG228=AY228,"• Same",IF(INDEX(B_VAL,MATCH(BG228,B_LVL,0))&gt;INDEX(B_VAL,MATCH(AY228,B_LVL,0)),"▲ Up","▼ Down"))</f>
        <v>• Same</v>
      </c>
      <c r="BJ228" s="40" t="str">
        <f>IF(OR($M228="",$M228="—",$M228="Not in this file"),"",IFERROR(INDEX($BG$7:$BG$592,MATCH($M228,$D$7:$D$592,0)),""))</f>
        <v>B1</v>
      </c>
      <c r="BK228" s="40" t="str">
        <f>IFERROR(IF(BJ228="","—",IF(OR(LEFT(BG228,1)="X",LEFT(BJ228,1)="X"),"—",IF(AND(LEFT(BG228,1)="E",LEFT(BJ228,1)="E"),"Exception · Band E",IF(AND(INDEX(B_VAL,MATCH(BJ228,B_LVL,0))&gt;=7,INDEX(B_RANK,MATCH(BG228,B_LVL,0))&gt;=INDEX(B_RANK,MATCH(BJ228,B_LVL,0))),"⚠ Same band as a head manager",IF(INDEX(B_VAL,MATCH(BG228,B_LVL,0))&gt;=INDEX(B_VAL,MATCH(BJ228,B_LVL,0)),"⚠ At or above the manager's level","OK"))))),"—")</f>
        <v>OK</v>
      </c>
      <c r="BL228" s="43" t="n"/>
      <c r="BM228" s="44">
        <f>IFERROR(INDEX(LMH_PTS,MATCH(Y228,LMH_KEY,0)),0)</f>
        <v>9</v>
      </c>
      <c r="BN228" s="38">
        <f>IFERROR(INDEX(LMH_PTS,MATCH(Z228,LMH_KEY,0)),0)</f>
        <v>3</v>
      </c>
      <c r="BO228" s="38">
        <f>IFERROR(INDEX(LMH_PTS,MATCH(AA228,LMH_KEY,0)),0)</f>
        <v>1</v>
      </c>
      <c r="BP228" s="38">
        <f>IFERROR(INDEX(LMH_PTS,MATCH(AB228,LMH_KEY,0)),0)</f>
        <v>1</v>
      </c>
      <c r="BQ228" s="38">
        <f>IFERROR(INDEX(LMH_PTS,MATCH(AC228,LMH_KEY,0)),0)</f>
        <v>1</v>
      </c>
      <c r="BR228" s="38">
        <f>IFERROR(INDEX(LMH_PTS,MATCH(AD228,LMH_KEY,0)),0)</f>
        <v>1</v>
      </c>
      <c r="BS228" s="38">
        <f>IFERROR(INDEX(LMH_PTS,MATCH(AE228,LMH_KEY,0)),0)</f>
        <v>1</v>
      </c>
      <c r="BT228" s="38">
        <f>IFERROR(INDEX(LMH_STEP,MATCH(AF228,LMH_KEY,0)),0)</f>
        <v>0</v>
      </c>
      <c r="BU228" s="38">
        <f>IFERROR(INDEX(LMH_STEP,MATCH(AG228,LMH_KEY,0)),0)</f>
        <v>0</v>
      </c>
      <c r="BV228" s="38">
        <f>IFERROR(INDEX(LMH_STEP,MATCH(AH228,LMH_KEY,0)),0)</f>
        <v>0</v>
      </c>
      <c r="BW228" s="38">
        <f>IFERROR(INDEX(LMH_STEP,MATCH(AI228,LMH_KEY,0)),0)</f>
        <v>0</v>
      </c>
      <c r="BX228" s="38">
        <f>IFERROR(INDEX(LMH_STEP,MATCH(AJ228,LMH_KEY,0)),0)</f>
        <v>0</v>
      </c>
      <c r="BY228" s="38">
        <f>IFERROR(INDEX(LMH_STEP,MATCH(AK228,LMH_KEY,0)),0)</f>
        <v>0</v>
      </c>
      <c r="BZ228" s="38">
        <f>IFERROR(INDEX(LMH_STEP,MATCH(AL228,LMH_KEY,0)),0)</f>
        <v>0</v>
      </c>
      <c r="CA228" s="38" t="inlineStr">
        <is>
          <t>iDEAL|Technology|Senior Business Analyst|A3|A</t>
        </is>
      </c>
    </row>
    <row r="229" ht="110" customHeight="1">
      <c r="A229" s="28" t="inlineStr">
        <is>
          <t>iDEAL</t>
        </is>
      </c>
      <c r="B229" s="29" t="inlineStr">
        <is>
          <t>Technology</t>
        </is>
      </c>
      <c r="C229" s="29" t="n">
        <v>4</v>
      </c>
      <c r="D229" s="29" t="inlineStr">
        <is>
          <t>IRIS2555</t>
        </is>
      </c>
      <c r="E229" s="29" t="inlineStr">
        <is>
          <t>Nidhi Kulkarni</t>
        </is>
      </c>
      <c r="F229" s="29" t="inlineStr">
        <is>
          <t>Technical Support Analyst</t>
        </is>
      </c>
      <c r="G229" s="29" t="inlineStr">
        <is>
          <t>Senior Support Executive</t>
        </is>
      </c>
      <c r="H229" s="29" t="inlineStr">
        <is>
          <t>Customer Success &amp; Support</t>
        </is>
      </c>
      <c r="I229" s="29" t="inlineStr">
        <is>
          <t>Application &amp; Product Support</t>
        </is>
      </c>
      <c r="J229" s="29" t="inlineStr">
        <is>
          <t>IC</t>
        </is>
      </c>
      <c r="K229" s="29" t="inlineStr">
        <is>
          <t>RC-031</t>
        </is>
      </c>
      <c r="L229" s="29" t="inlineStr">
        <is>
          <t>Aroosa Ghole</t>
        </is>
      </c>
      <c r="M229" s="29" t="inlineStr">
        <is>
          <t>IRIS1947</t>
        </is>
      </c>
      <c r="N229" s="29" t="inlineStr">
        <is>
          <t>Not provided · HRIS</t>
        </is>
      </c>
      <c r="O229" s="29" t="n">
        <v>0.1</v>
      </c>
      <c r="P229" s="29" t="inlineStr">
        <is>
          <t>B.E</t>
        </is>
      </c>
      <c r="Q229" s="29" t="inlineStr">
        <is>
          <t>Not in current mapping files</t>
        </is>
      </c>
      <c r="R229" s="29" t="inlineStr">
        <is>
          <t>A3</t>
        </is>
      </c>
      <c r="S229" s="30" t="inlineStr">
        <is>
          <t>20 of 20</t>
        </is>
      </c>
      <c r="T229" s="31" t="inlineStr">
        <is>
          <t>Complexity: Evidence reads like A2: Routine client support: error solving, documentation, coordination so report filing goes through → moved down 0.5
Autonomy: Evidence reads like A2: Only documentation named as an independent decision → moved down 0.5
Accountability: Evidence reads like A2: Delivering correct kits for the reports clients ask for → moved …</t>
        </is>
      </c>
      <c r="U229" s="32" t="inlineStr">
        <is>
          <t>KRAs not received · manager to supply</t>
        </is>
      </c>
      <c r="V229" s="31" t="inlineStr">
        <is>
          <t>Latest rating: Not rated · manager · 9-box: Not placed · manager · Readiness: No rating data</t>
        </is>
      </c>
      <c r="W229" s="31" t="inlineStr">
        <is>
          <t>C M · Au M · Ac M · L L · BI M · Exp — · not on file · Edu M · B.E</t>
        </is>
      </c>
      <c r="X229" s="33" t="inlineStr">
        <is>
          <t>Open ▸</t>
        </is>
      </c>
      <c r="Y229" s="34" t="str">
        <f>IFERROR(INDEX(DL_C,MATCH($CA229,DL_KEY,0)),"M")</f>
        <v>H</v>
      </c>
      <c r="Z229" s="35" t="str">
        <f>IFERROR(INDEX(DL_Au,MATCH($CA229,DL_KEY,0)),"M")</f>
        <v>M</v>
      </c>
      <c r="AA229" s="35" t="str">
        <f>IFERROR(INDEX(DL_Ac,MATCH($CA229,DL_KEY,0)),"M")</f>
        <v>M</v>
      </c>
      <c r="AB229" s="35" t="str">
        <f>IFERROR(INDEX(DL_L,MATCH($CA229,DL_KEY,0)),"M")</f>
        <v>L</v>
      </c>
      <c r="AC229" s="35" t="str">
        <f>IFERROR(INDEX(DL_BI,MATCH($CA229,DL_KEY,0)),"M")</f>
        <v>M</v>
      </c>
      <c r="AD229" s="35" t="str">
        <f>IFERROR(INDEX(DL_Exp,MATCH($CA229,DL_KEY,0)),"M")</f>
        <v>L</v>
      </c>
      <c r="AE229" s="35" t="str">
        <f>IFERROR(INDEX(DL_Edu,MATCH($CA229,DL_KEY,0)),"M")</f>
        <v>L</v>
      </c>
      <c r="AF229" s="34" t="inlineStr">
        <is>
          <t>M</t>
        </is>
      </c>
      <c r="AG229" s="35" t="inlineStr">
        <is>
          <t>M</t>
        </is>
      </c>
      <c r="AH229" s="35" t="inlineStr">
        <is>
          <t>M</t>
        </is>
      </c>
      <c r="AI229" s="35" t="inlineStr">
        <is>
          <t>M</t>
        </is>
      </c>
      <c r="AJ229" s="35" t="inlineStr">
        <is>
          <t>M</t>
        </is>
      </c>
      <c r="AK229" s="35" t="inlineStr">
        <is>
          <t>M</t>
        </is>
      </c>
      <c r="AL229" s="35" t="inlineStr">
        <is>
          <t>M</t>
        </is>
      </c>
      <c r="AM229" s="36" t="n">
        <v>0.583</v>
      </c>
      <c r="AN229" s="37" t="n">
        <v>0.16</v>
      </c>
      <c r="AO229" s="37" t="n">
        <v>0.09</v>
      </c>
      <c r="AP229" s="37" t="n">
        <v>0</v>
      </c>
      <c r="AQ229" s="37" t="n">
        <v>0.063</v>
      </c>
      <c r="AR229" s="37" t="n">
        <v>0.06</v>
      </c>
      <c r="AS229" s="37" t="n">
        <v>0.04</v>
      </c>
      <c r="AT229" s="38" t="inlineStr">
        <is>
          <t>2–5</t>
        </is>
      </c>
      <c r="AU229" s="38" t="inlineStr">
        <is>
          <t>Graduate; relevant certification preferred</t>
        </is>
      </c>
      <c r="AV229" s="38" t="inlineStr">
        <is>
          <t>None · guides 1–3 juniors informally</t>
        </is>
      </c>
      <c r="AW229" s="38" t="inlineStr">
        <is>
          <t>P2 · SFIA 3 Apply</t>
        </is>
      </c>
      <c r="AX22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29" s="39" t="inlineStr">
        <is>
          <t>A3</t>
        </is>
      </c>
      <c r="AZ229" s="40" t="inlineStr">
        <is>
          <t>Band A · Practitioner · Senior Associate</t>
        </is>
      </c>
      <c r="BA229" s="40" t="inlineStr">
        <is>
          <t>Model A3 from the six ratings, the market-derived weights and rules R1–R13 · then No change · already below the manager</t>
        </is>
      </c>
      <c r="BB229" s="41" t="inlineStr">
        <is>
          <t>A3</t>
        </is>
      </c>
      <c r="BC229" s="40" t="inlineStr">
        <is>
          <t>The six ratings on the market-average weights of Band A · all tracks score 2.53 → A3 · Hay, Mercer IPE and public plans · experience Not provided · HRIS yrs vs the A3 market range 2–5</t>
        </is>
      </c>
      <c r="BD229" s="42">
        <f>IF(SUM(BM229,BN229,BO229,BP229,BQ229,BR229,BS229)=0,0,(BM229*BT229+BN229*BU229+BO229*BV229+BP229*BW229+BQ229*BX229+BR229*BY229+BS229*BZ229)/SUM(BM229,BN229,BO229,BP229,BQ229,BR229,BS229))</f>
        <v>0</v>
      </c>
      <c r="BE229" s="41" t="str">
        <f>IF(LEFT(AY229,1)="X",AY229,IF(OR(AY229="B+",AY229="C+"),INDEX(LAD_PC,MAX(1,MIN(14,MATCH(AY229,LAD_PC,0)+IF(BD229&gt;=0.5,1,IF(BD229&lt;=-0.5,-1,0))))),INDEX(LAD_STD,MAX(1,MIN(12,MATCH(AY229,LAD_STD,0)+IF(BD229&gt;=0.5,1,IF(BD229&lt;=-0.5,-1,0)))))))</f>
        <v>A3</v>
      </c>
      <c r="BF229" s="43" t="n"/>
      <c r="BG229" s="41" t="str">
        <f>IF(BF229&lt;&gt;"",BF229,BE229)</f>
        <v>A3</v>
      </c>
      <c r="BH229" s="40" t="str">
        <f>IFERROR(CHOOSE(INDEX(B_RANK,MATCH(BG229,B_LVL,0)),"Band A","Band B","B+ · Player-Coach","Band C","C+ · Player-Coach","Band D","Band E"),"Band X · Consultant")</f>
        <v>Band A</v>
      </c>
      <c r="BI229" s="40" t="str">
        <f>IF(BG229=AY229,"• Same",IF(INDEX(B_VAL,MATCH(BG229,B_LVL,0))&gt;INDEX(B_VAL,MATCH(AY229,B_LVL,0)),"▲ Up","▼ Down"))</f>
        <v>• Same</v>
      </c>
      <c r="BJ229" s="40" t="str">
        <f>IF(OR($M229="",$M229="—",$M229="Not in this file"),"",IFERROR(INDEX($BG$7:$BG$592,MATCH($M229,$D$7:$D$592,0)),""))</f>
        <v>B1</v>
      </c>
      <c r="BK229" s="40" t="str">
        <f>IFERROR(IF(BJ229="","—",IF(OR(LEFT(BG229,1)="X",LEFT(BJ229,1)="X"),"—",IF(AND(LEFT(BG229,1)="E",LEFT(BJ229,1)="E"),"Exception · Band E",IF(AND(INDEX(B_VAL,MATCH(BJ229,B_LVL,0))&gt;=7,INDEX(B_RANK,MATCH(BG229,B_LVL,0))&gt;=INDEX(B_RANK,MATCH(BJ229,B_LVL,0))),"⚠ Same band as a head manager",IF(INDEX(B_VAL,MATCH(BG229,B_LVL,0))&gt;=INDEX(B_VAL,MATCH(BJ229,B_LVL,0)),"⚠ At or above the manager's level","OK"))))),"—")</f>
        <v>OK</v>
      </c>
      <c r="BL229" s="43" t="n"/>
      <c r="BM229" s="44">
        <f>IFERROR(INDEX(LMH_PTS,MATCH(Y229,LMH_KEY,0)),0)</f>
        <v>9</v>
      </c>
      <c r="BN229" s="38">
        <f>IFERROR(INDEX(LMH_PTS,MATCH(Z229,LMH_KEY,0)),0)</f>
        <v>3</v>
      </c>
      <c r="BO229" s="38">
        <f>IFERROR(INDEX(LMH_PTS,MATCH(AA229,LMH_KEY,0)),0)</f>
        <v>3</v>
      </c>
      <c r="BP229" s="38">
        <f>IFERROR(INDEX(LMH_PTS,MATCH(AB229,LMH_KEY,0)),0)</f>
        <v>1</v>
      </c>
      <c r="BQ229" s="38">
        <f>IFERROR(INDEX(LMH_PTS,MATCH(AC229,LMH_KEY,0)),0)</f>
        <v>3</v>
      </c>
      <c r="BR229" s="38">
        <f>IFERROR(INDEX(LMH_PTS,MATCH(AD229,LMH_KEY,0)),0)</f>
        <v>1</v>
      </c>
      <c r="BS229" s="38">
        <f>IFERROR(INDEX(LMH_PTS,MATCH(AE229,LMH_KEY,0)),0)</f>
        <v>1</v>
      </c>
      <c r="BT229" s="38">
        <f>IFERROR(INDEX(LMH_STEP,MATCH(AF229,LMH_KEY,0)),0)</f>
        <v>0</v>
      </c>
      <c r="BU229" s="38">
        <f>IFERROR(INDEX(LMH_STEP,MATCH(AG229,LMH_KEY,0)),0)</f>
        <v>0</v>
      </c>
      <c r="BV229" s="38">
        <f>IFERROR(INDEX(LMH_STEP,MATCH(AH229,LMH_KEY,0)),0)</f>
        <v>0</v>
      </c>
      <c r="BW229" s="38">
        <f>IFERROR(INDEX(LMH_STEP,MATCH(AI229,LMH_KEY,0)),0)</f>
        <v>0</v>
      </c>
      <c r="BX229" s="38">
        <f>IFERROR(INDEX(LMH_STEP,MATCH(AJ229,LMH_KEY,0)),0)</f>
        <v>0</v>
      </c>
      <c r="BY229" s="38">
        <f>IFERROR(INDEX(LMH_STEP,MATCH(AK229,LMH_KEY,0)),0)</f>
        <v>0</v>
      </c>
      <c r="BZ229" s="38">
        <f>IFERROR(INDEX(LMH_STEP,MATCH(AL229,LMH_KEY,0)),0)</f>
        <v>0</v>
      </c>
      <c r="CA229" s="38" t="inlineStr">
        <is>
          <t>iDEAL|Technology|Senior Support Executive|A3|A</t>
        </is>
      </c>
    </row>
    <row r="230" ht="110" customHeight="1">
      <c r="A230" s="28" t="inlineStr">
        <is>
          <t>iDEAL</t>
        </is>
      </c>
      <c r="B230" s="29" t="inlineStr">
        <is>
          <t>Technology</t>
        </is>
      </c>
      <c r="C230" s="29" t="n">
        <v>4</v>
      </c>
      <c r="D230" s="29" t="inlineStr">
        <is>
          <t>IRIS2310</t>
        </is>
      </c>
      <c r="E230" s="29" t="inlineStr">
        <is>
          <t>Vivek Kumar</t>
        </is>
      </c>
      <c r="F230" s="29" t="inlineStr">
        <is>
          <t>Trainee Business Analyst</t>
        </is>
      </c>
      <c r="G230" s="29" t="inlineStr">
        <is>
          <t>Senior Business Analyst</t>
        </is>
      </c>
      <c r="H230" s="29" t="inlineStr">
        <is>
          <t>Business Analysis</t>
        </is>
      </c>
      <c r="I230" s="29" t="inlineStr">
        <is>
          <t>Business Analysis</t>
        </is>
      </c>
      <c r="J230" s="29" t="inlineStr">
        <is>
          <t>IC</t>
        </is>
      </c>
      <c r="K230" s="29" t="inlineStr">
        <is>
          <t>RC-009</t>
        </is>
      </c>
      <c r="L230" s="29" t="inlineStr">
        <is>
          <t>Aroosa Ghole</t>
        </is>
      </c>
      <c r="M230" s="29" t="inlineStr">
        <is>
          <t>IRIS1947</t>
        </is>
      </c>
      <c r="N230" s="29" t="n">
        <v>3.1</v>
      </c>
      <c r="O230" s="29" t="n">
        <v>2</v>
      </c>
      <c r="P230" s="29" t="inlineStr">
        <is>
          <t>BBA</t>
        </is>
      </c>
      <c r="Q230" s="29" t="inlineStr">
        <is>
          <t>L2 – Trainee</t>
        </is>
      </c>
      <c r="R230" s="29" t="inlineStr">
        <is>
          <t>A3</t>
        </is>
      </c>
      <c r="S230" s="30" t="inlineStr">
        <is>
          <t>20 of 20</t>
        </is>
      </c>
      <c r="T230" s="31" t="inlineStr">
        <is>
          <t>Complexity: Evidence reads like A3: Resolves bank queries, errors and deployments across 10+ banks; documents requirements; CIC automation → moved up 1
Autonomy: Evidence reads like A3: Runs daily support calls and requirement understanding with banks as their SPOC → moved up 1
Accountability: Evidence reads like A3: SPOC for 10+ banks; checks changes on …</t>
        </is>
      </c>
      <c r="U230" s="31" t="inlineStr">
        <is>
          <t>Received · manager annual, quarterly, self · 1. Effectively manage the assigned portfolio of banks and maintain high customer satisfaction, with a target of zero critical client escalations attributable to service delivery gaps.
2. Provide timely support for client queries, incidents, and service requests, ensuring initial response within 2 hours and …</t>
        </is>
      </c>
      <c r="V230" s="31" t="inlineStr">
        <is>
          <t>Latest rating: 3 · Potential: Medium · 9-box: Emerging Talent · Readiness: Develop in role</t>
        </is>
      </c>
      <c r="W230" s="31" t="inlineStr">
        <is>
          <t>C L · Au L · Ac L · L L · BI L · Exp M · 3.1 yrs vs 2–4 yrs · Edu M · BBA</t>
        </is>
      </c>
      <c r="X230" s="33" t="inlineStr">
        <is>
          <t>Open ▸</t>
        </is>
      </c>
      <c r="Y230" s="34" t="str">
        <f>IFERROR(INDEX(DL_C,MATCH($CA230,DL_KEY,0)),"M")</f>
        <v>H</v>
      </c>
      <c r="Z230" s="35" t="str">
        <f>IFERROR(INDEX(DL_Au,MATCH($CA230,DL_KEY,0)),"M")</f>
        <v>M</v>
      </c>
      <c r="AA230" s="35" t="str">
        <f>IFERROR(INDEX(DL_Ac,MATCH($CA230,DL_KEY,0)),"M")</f>
        <v>L</v>
      </c>
      <c r="AB230" s="35" t="str">
        <f>IFERROR(INDEX(DL_L,MATCH($CA230,DL_KEY,0)),"M")</f>
        <v>L</v>
      </c>
      <c r="AC230" s="35" t="str">
        <f>IFERROR(INDEX(DL_BI,MATCH($CA230,DL_KEY,0)),"M")</f>
        <v>L</v>
      </c>
      <c r="AD230" s="35" t="str">
        <f>IFERROR(INDEX(DL_Exp,MATCH($CA230,DL_KEY,0)),"M")</f>
        <v>L</v>
      </c>
      <c r="AE230" s="35" t="str">
        <f>IFERROR(INDEX(DL_Edu,MATCH($CA230,DL_KEY,0)),"M")</f>
        <v>L</v>
      </c>
      <c r="AF230" s="34" t="inlineStr">
        <is>
          <t>M</t>
        </is>
      </c>
      <c r="AG230" s="35" t="inlineStr">
        <is>
          <t>M</t>
        </is>
      </c>
      <c r="AH230" s="35" t="inlineStr">
        <is>
          <t>M</t>
        </is>
      </c>
      <c r="AI230" s="35" t="inlineStr">
        <is>
          <t>M</t>
        </is>
      </c>
      <c r="AJ230" s="35" t="inlineStr">
        <is>
          <t>M</t>
        </is>
      </c>
      <c r="AK230" s="35" t="inlineStr">
        <is>
          <t>M</t>
        </is>
      </c>
      <c r="AL230" s="35" t="inlineStr">
        <is>
          <t>M</t>
        </is>
      </c>
      <c r="AM230" s="36" t="n">
        <v>0.583</v>
      </c>
      <c r="AN230" s="37" t="n">
        <v>0.16</v>
      </c>
      <c r="AO230" s="37" t="n">
        <v>0.09</v>
      </c>
      <c r="AP230" s="37" t="n">
        <v>0</v>
      </c>
      <c r="AQ230" s="37" t="n">
        <v>0.063</v>
      </c>
      <c r="AR230" s="37" t="n">
        <v>0.06</v>
      </c>
      <c r="AS230" s="37" t="n">
        <v>0.04</v>
      </c>
      <c r="AT230" s="38" t="inlineStr">
        <is>
          <t>2–5</t>
        </is>
      </c>
      <c r="AU230" s="38" t="inlineStr">
        <is>
          <t>Graduate; relevant certification preferred</t>
        </is>
      </c>
      <c r="AV230" s="38" t="inlineStr">
        <is>
          <t>None · guides 1–3 juniors informally</t>
        </is>
      </c>
      <c r="AW230" s="38" t="inlineStr">
        <is>
          <t>P2 · SFIA 3 Apply</t>
        </is>
      </c>
      <c r="AX23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30" s="39" t="inlineStr">
        <is>
          <t>A3</t>
        </is>
      </c>
      <c r="AZ230" s="40" t="inlineStr">
        <is>
          <t>Band A · Practitioner · Senior Associate</t>
        </is>
      </c>
      <c r="BA230" s="40" t="inlineStr">
        <is>
          <t>Model A3 from the six ratings, the market-derived weights and rules R1–R13 · then No change · already below the manager</t>
        </is>
      </c>
      <c r="BB230" s="41" t="inlineStr">
        <is>
          <t>A2</t>
        </is>
      </c>
      <c r="BC230" s="40" t="inlineStr">
        <is>
          <t>The six ratings on the market-average weights of Band A · all tracks score 2.10 → A2 · Hay, Mercer IPE and public plans · experience 3.1 yrs vs the A2 market range 0–3</t>
        </is>
      </c>
      <c r="BD230" s="42">
        <f>IF(SUM(BM230,BN230,BO230,BP230,BQ230,BR230,BS230)=0,0,(BM230*BT230+BN230*BU230+BO230*BV230+BP230*BW230+BQ230*BX230+BR230*BY230+BS230*BZ230)/SUM(BM230,BN230,BO230,BP230,BQ230,BR230,BS230))</f>
        <v>0</v>
      </c>
      <c r="BE230" s="41" t="str">
        <f>IF(LEFT(AY230,1)="X",AY230,IF(OR(AY230="B+",AY230="C+"),INDEX(LAD_PC,MAX(1,MIN(14,MATCH(AY230,LAD_PC,0)+IF(BD230&gt;=0.5,1,IF(BD230&lt;=-0.5,-1,0))))),INDEX(LAD_STD,MAX(1,MIN(12,MATCH(AY230,LAD_STD,0)+IF(BD230&gt;=0.5,1,IF(BD230&lt;=-0.5,-1,0)))))))</f>
        <v>A3</v>
      </c>
      <c r="BF230" s="43" t="n"/>
      <c r="BG230" s="41" t="str">
        <f>IF(BF230&lt;&gt;"",BF230,BE230)</f>
        <v>A3</v>
      </c>
      <c r="BH230" s="40" t="str">
        <f>IFERROR(CHOOSE(INDEX(B_RANK,MATCH(BG230,B_LVL,0)),"Band A","Band B","B+ · Player-Coach","Band C","C+ · Player-Coach","Band D","Band E"),"Band X · Consultant")</f>
        <v>Band A</v>
      </c>
      <c r="BI230" s="40" t="str">
        <f>IF(BG230=AY230,"• Same",IF(INDEX(B_VAL,MATCH(BG230,B_LVL,0))&gt;INDEX(B_VAL,MATCH(AY230,B_LVL,0)),"▲ Up","▼ Down"))</f>
        <v>• Same</v>
      </c>
      <c r="BJ230" s="40" t="str">
        <f>IF(OR($M230="",$M230="—",$M230="Not in this file"),"",IFERROR(INDEX($BG$7:$BG$592,MATCH($M230,$D$7:$D$592,0)),""))</f>
        <v>B1</v>
      </c>
      <c r="BK230" s="40" t="str">
        <f>IFERROR(IF(BJ230="","—",IF(OR(LEFT(BG230,1)="X",LEFT(BJ230,1)="X"),"—",IF(AND(LEFT(BG230,1)="E",LEFT(BJ230,1)="E"),"Exception · Band E",IF(AND(INDEX(B_VAL,MATCH(BJ230,B_LVL,0))&gt;=7,INDEX(B_RANK,MATCH(BG230,B_LVL,0))&gt;=INDEX(B_RANK,MATCH(BJ230,B_LVL,0))),"⚠ Same band as a head manager",IF(INDEX(B_VAL,MATCH(BG230,B_LVL,0))&gt;=INDEX(B_VAL,MATCH(BJ230,B_LVL,0)),"⚠ At or above the manager's level","OK"))))),"—")</f>
        <v>OK</v>
      </c>
      <c r="BL230" s="43" t="n"/>
      <c r="BM230" s="44">
        <f>IFERROR(INDEX(LMH_PTS,MATCH(Y230,LMH_KEY,0)),0)</f>
        <v>9</v>
      </c>
      <c r="BN230" s="38">
        <f>IFERROR(INDEX(LMH_PTS,MATCH(Z230,LMH_KEY,0)),0)</f>
        <v>3</v>
      </c>
      <c r="BO230" s="38">
        <f>IFERROR(INDEX(LMH_PTS,MATCH(AA230,LMH_KEY,0)),0)</f>
        <v>1</v>
      </c>
      <c r="BP230" s="38">
        <f>IFERROR(INDEX(LMH_PTS,MATCH(AB230,LMH_KEY,0)),0)</f>
        <v>1</v>
      </c>
      <c r="BQ230" s="38">
        <f>IFERROR(INDEX(LMH_PTS,MATCH(AC230,LMH_KEY,0)),0)</f>
        <v>1</v>
      </c>
      <c r="BR230" s="38">
        <f>IFERROR(INDEX(LMH_PTS,MATCH(AD230,LMH_KEY,0)),0)</f>
        <v>1</v>
      </c>
      <c r="BS230" s="38">
        <f>IFERROR(INDEX(LMH_PTS,MATCH(AE230,LMH_KEY,0)),0)</f>
        <v>1</v>
      </c>
      <c r="BT230" s="38">
        <f>IFERROR(INDEX(LMH_STEP,MATCH(AF230,LMH_KEY,0)),0)</f>
        <v>0</v>
      </c>
      <c r="BU230" s="38">
        <f>IFERROR(INDEX(LMH_STEP,MATCH(AG230,LMH_KEY,0)),0)</f>
        <v>0</v>
      </c>
      <c r="BV230" s="38">
        <f>IFERROR(INDEX(LMH_STEP,MATCH(AH230,LMH_KEY,0)),0)</f>
        <v>0</v>
      </c>
      <c r="BW230" s="38">
        <f>IFERROR(INDEX(LMH_STEP,MATCH(AI230,LMH_KEY,0)),0)</f>
        <v>0</v>
      </c>
      <c r="BX230" s="38">
        <f>IFERROR(INDEX(LMH_STEP,MATCH(AJ230,LMH_KEY,0)),0)</f>
        <v>0</v>
      </c>
      <c r="BY230" s="38">
        <f>IFERROR(INDEX(LMH_STEP,MATCH(AK230,LMH_KEY,0)),0)</f>
        <v>0</v>
      </c>
      <c r="BZ230" s="38">
        <f>IFERROR(INDEX(LMH_STEP,MATCH(AL230,LMH_KEY,0)),0)</f>
        <v>0</v>
      </c>
      <c r="CA230" s="38" t="inlineStr">
        <is>
          <t>iDEAL|Technology|Senior Business Analyst|A3|A</t>
        </is>
      </c>
    </row>
    <row r="231" ht="110" customHeight="1">
      <c r="A231" s="28" t="inlineStr">
        <is>
          <t>iDEAL</t>
        </is>
      </c>
      <c r="B231" s="29" t="inlineStr">
        <is>
          <t>Technology</t>
        </is>
      </c>
      <c r="C231" s="29" t="n">
        <v>4</v>
      </c>
      <c r="D231" s="29" t="inlineStr">
        <is>
          <t>IRIS2527</t>
        </is>
      </c>
      <c r="E231" s="29" t="inlineStr">
        <is>
          <t>Hemand Thayil</t>
        </is>
      </c>
      <c r="F231" s="29" t="inlineStr">
        <is>
          <t>Customer Solution Analyst</t>
        </is>
      </c>
      <c r="G231" s="29" t="inlineStr">
        <is>
          <t>Support Executive</t>
        </is>
      </c>
      <c r="H231" s="29" t="inlineStr">
        <is>
          <t>Customer Success &amp; Support</t>
        </is>
      </c>
      <c r="I231" s="29" t="inlineStr">
        <is>
          <t>Application &amp; Product Support</t>
        </is>
      </c>
      <c r="J231" s="29" t="inlineStr">
        <is>
          <t>IC</t>
        </is>
      </c>
      <c r="K231" s="29" t="inlineStr">
        <is>
          <t>RC-030</t>
        </is>
      </c>
      <c r="L231" s="29" t="inlineStr">
        <is>
          <t>Aroosa Ghole</t>
        </is>
      </c>
      <c r="M231" s="29" t="inlineStr">
        <is>
          <t>IRIS1947</t>
        </is>
      </c>
      <c r="N231" s="29" t="n">
        <v>1.9</v>
      </c>
      <c r="O231" s="29" t="n">
        <v>0.4</v>
      </c>
      <c r="P231" s="29" t="inlineStr">
        <is>
          <t>MCA</t>
        </is>
      </c>
      <c r="Q231" s="29" t="inlineStr">
        <is>
          <t>L3 – Professional / Associate</t>
        </is>
      </c>
      <c r="R231" s="29" t="inlineStr">
        <is>
          <t>A2</t>
        </is>
      </c>
      <c r="S231" s="30" t="inlineStr">
        <is>
          <t>17 of 20</t>
        </is>
      </c>
      <c r="T231" s="31" t="inlineStr">
        <is>
          <t>Complexity: Evidence reads like A2: Client support and error handling on iDEAL; note says moving from shadowing to independent → matches the start
Autonomy: Evidence reads like A2: Decides to connect with the client to fix an issue; note shows reliance on seniors → matches the start
Accountability: Evidence reads like A2: own survey / KRA answers · …</t>
        </is>
      </c>
      <c r="U231" s="31" t="inlineStr">
        <is>
          <t>Received · manager annual, quarterly, self · 1. By the end of July 2026, develop an in-depth understanding of the iDEAL product, business processes, and regulatory reporting framework to independently analyse client requirements, provide functional support, and contribute effectively to project delivery.
2. Gain expertise in independently handling client issues, …</t>
        </is>
      </c>
      <c r="V231" s="31" t="inlineStr">
        <is>
          <t>Latest rating: 3 · Potential: Medium · 9-box: Core Contributor · Readiness: Develop in role</t>
        </is>
      </c>
      <c r="W231" s="31" t="inlineStr">
        <is>
          <t>C M · Au M · Ac M · L L · BI M · Exp M · 1.9 yrs vs 0–2 yrs · Edu H · MCA</t>
        </is>
      </c>
      <c r="X231" s="33" t="inlineStr">
        <is>
          <t>Open ▸</t>
        </is>
      </c>
      <c r="Y231" s="34" t="str">
        <f>IFERROR(INDEX(DL_C,MATCH($CA231,DL_KEY,0)),"M")</f>
        <v>H</v>
      </c>
      <c r="Z231" s="35" t="str">
        <f>IFERROR(INDEX(DL_Au,MATCH($CA231,DL_KEY,0)),"M")</f>
        <v>M</v>
      </c>
      <c r="AA231" s="35" t="str">
        <f>IFERROR(INDEX(DL_Ac,MATCH($CA231,DL_KEY,0)),"M")</f>
        <v>M</v>
      </c>
      <c r="AB231" s="35" t="str">
        <f>IFERROR(INDEX(DL_L,MATCH($CA231,DL_KEY,0)),"M")</f>
        <v>L</v>
      </c>
      <c r="AC231" s="35" t="str">
        <f>IFERROR(INDEX(DL_BI,MATCH($CA231,DL_KEY,0)),"M")</f>
        <v>M</v>
      </c>
      <c r="AD231" s="35" t="str">
        <f>IFERROR(INDEX(DL_Exp,MATCH($CA231,DL_KEY,0)),"M")</f>
        <v>L</v>
      </c>
      <c r="AE231" s="35" t="str">
        <f>IFERROR(INDEX(DL_Edu,MATCH($CA231,DL_KEY,0)),"M")</f>
        <v>L</v>
      </c>
      <c r="AF231" s="34" t="inlineStr">
        <is>
          <t>M</t>
        </is>
      </c>
      <c r="AG231" s="35" t="inlineStr">
        <is>
          <t>M</t>
        </is>
      </c>
      <c r="AH231" s="35" t="inlineStr">
        <is>
          <t>M</t>
        </is>
      </c>
      <c r="AI231" s="35" t="inlineStr">
        <is>
          <t>M</t>
        </is>
      </c>
      <c r="AJ231" s="35" t="inlineStr">
        <is>
          <t>M</t>
        </is>
      </c>
      <c r="AK231" s="35" t="inlineStr">
        <is>
          <t>M</t>
        </is>
      </c>
      <c r="AL231" s="35" t="inlineStr">
        <is>
          <t>M</t>
        </is>
      </c>
      <c r="AM231" s="36" t="n">
        <v>0.583</v>
      </c>
      <c r="AN231" s="37" t="n">
        <v>0.16</v>
      </c>
      <c r="AO231" s="37" t="n">
        <v>0.09</v>
      </c>
      <c r="AP231" s="37" t="n">
        <v>0</v>
      </c>
      <c r="AQ231" s="37" t="n">
        <v>0.063</v>
      </c>
      <c r="AR231" s="37" t="n">
        <v>0.06</v>
      </c>
      <c r="AS231" s="37" t="n">
        <v>0.04</v>
      </c>
      <c r="AT231" s="38" t="inlineStr">
        <is>
          <t>0–3</t>
        </is>
      </c>
      <c r="AU231" s="38" t="inlineStr">
        <is>
          <t>Graduate · or diploma with experience</t>
        </is>
      </c>
      <c r="AV231" s="38" t="inlineStr">
        <is>
          <t>No direct reports</t>
        </is>
      </c>
      <c r="AW231" s="38" t="inlineStr">
        <is>
          <t>P1–P2 · SFIA 2 Assist</t>
        </is>
      </c>
      <c r="AX23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31" s="39" t="inlineStr">
        <is>
          <t>A2</t>
        </is>
      </c>
      <c r="AZ231" s="40" t="inlineStr">
        <is>
          <t>Band A · Practitioner · Associate</t>
        </is>
      </c>
      <c r="BA231" s="40" t="inlineStr">
        <is>
          <t>Model A2 from the six ratings, the market-derived weights and rules R1–R13 · then No change · already below the manager</t>
        </is>
      </c>
      <c r="BB231" s="41" t="inlineStr">
        <is>
          <t>A2</t>
        </is>
      </c>
      <c r="BC231" s="40" t="inlineStr">
        <is>
          <t>The six ratings on the market-average weights of Band A · all tracks score 2.10 → A2 · Hay, Mercer IPE and public plans · experience 1.9 yrs vs the A2 market range 0–3</t>
        </is>
      </c>
      <c r="BD231" s="42">
        <f>IF(SUM(BM231,BN231,BO231,BP231,BQ231,BR231,BS231)=0,0,(BM231*BT231+BN231*BU231+BO231*BV231+BP231*BW231+BQ231*BX231+BR231*BY231+BS231*BZ231)/SUM(BM231,BN231,BO231,BP231,BQ231,BR231,BS231))</f>
        <v>0</v>
      </c>
      <c r="BE231" s="41" t="str">
        <f>IF(LEFT(AY231,1)="X",AY231,IF(OR(AY231="B+",AY231="C+"),INDEX(LAD_PC,MAX(1,MIN(14,MATCH(AY231,LAD_PC,0)+IF(BD231&gt;=0.5,1,IF(BD231&lt;=-0.5,-1,0))))),INDEX(LAD_STD,MAX(1,MIN(12,MATCH(AY231,LAD_STD,0)+IF(BD231&gt;=0.5,1,IF(BD231&lt;=-0.5,-1,0)))))))</f>
        <v>A2</v>
      </c>
      <c r="BF231" s="43" t="n"/>
      <c r="BG231" s="41" t="str">
        <f>IF(BF231&lt;&gt;"",BF231,BE231)</f>
        <v>A2</v>
      </c>
      <c r="BH231" s="40" t="str">
        <f>IFERROR(CHOOSE(INDEX(B_RANK,MATCH(BG231,B_LVL,0)),"Band A","Band B","B+ · Player-Coach","Band C","C+ · Player-Coach","Band D","Band E"),"Band X · Consultant")</f>
        <v>Band A</v>
      </c>
      <c r="BI231" s="40" t="str">
        <f>IF(BG231=AY231,"• Same",IF(INDEX(B_VAL,MATCH(BG231,B_LVL,0))&gt;INDEX(B_VAL,MATCH(AY231,B_LVL,0)),"▲ Up","▼ Down"))</f>
        <v>• Same</v>
      </c>
      <c r="BJ231" s="40" t="str">
        <f>IF(OR($M231="",$M231="—",$M231="Not in this file"),"",IFERROR(INDEX($BG$7:$BG$592,MATCH($M231,$D$7:$D$592,0)),""))</f>
        <v>B1</v>
      </c>
      <c r="BK231" s="40" t="str">
        <f>IFERROR(IF(BJ231="","—",IF(OR(LEFT(BG231,1)="X",LEFT(BJ231,1)="X"),"—",IF(AND(LEFT(BG231,1)="E",LEFT(BJ231,1)="E"),"Exception · Band E",IF(AND(INDEX(B_VAL,MATCH(BJ231,B_LVL,0))&gt;=7,INDEX(B_RANK,MATCH(BG231,B_LVL,0))&gt;=INDEX(B_RANK,MATCH(BJ231,B_LVL,0))),"⚠ Same band as a head manager",IF(INDEX(B_VAL,MATCH(BG231,B_LVL,0))&gt;=INDEX(B_VAL,MATCH(BJ231,B_LVL,0)),"⚠ At or above the manager's level","OK"))))),"—")</f>
        <v>OK</v>
      </c>
      <c r="BL231" s="43" t="n"/>
      <c r="BM231" s="44">
        <f>IFERROR(INDEX(LMH_PTS,MATCH(Y231,LMH_KEY,0)),0)</f>
        <v>9</v>
      </c>
      <c r="BN231" s="38">
        <f>IFERROR(INDEX(LMH_PTS,MATCH(Z231,LMH_KEY,0)),0)</f>
        <v>3</v>
      </c>
      <c r="BO231" s="38">
        <f>IFERROR(INDEX(LMH_PTS,MATCH(AA231,LMH_KEY,0)),0)</f>
        <v>3</v>
      </c>
      <c r="BP231" s="38">
        <f>IFERROR(INDEX(LMH_PTS,MATCH(AB231,LMH_KEY,0)),0)</f>
        <v>1</v>
      </c>
      <c r="BQ231" s="38">
        <f>IFERROR(INDEX(LMH_PTS,MATCH(AC231,LMH_KEY,0)),0)</f>
        <v>3</v>
      </c>
      <c r="BR231" s="38">
        <f>IFERROR(INDEX(LMH_PTS,MATCH(AD231,LMH_KEY,0)),0)</f>
        <v>1</v>
      </c>
      <c r="BS231" s="38">
        <f>IFERROR(INDEX(LMH_PTS,MATCH(AE231,LMH_KEY,0)),0)</f>
        <v>1</v>
      </c>
      <c r="BT231" s="38">
        <f>IFERROR(INDEX(LMH_STEP,MATCH(AF231,LMH_KEY,0)),0)</f>
        <v>0</v>
      </c>
      <c r="BU231" s="38">
        <f>IFERROR(INDEX(LMH_STEP,MATCH(AG231,LMH_KEY,0)),0)</f>
        <v>0</v>
      </c>
      <c r="BV231" s="38">
        <f>IFERROR(INDEX(LMH_STEP,MATCH(AH231,LMH_KEY,0)),0)</f>
        <v>0</v>
      </c>
      <c r="BW231" s="38">
        <f>IFERROR(INDEX(LMH_STEP,MATCH(AI231,LMH_KEY,0)),0)</f>
        <v>0</v>
      </c>
      <c r="BX231" s="38">
        <f>IFERROR(INDEX(LMH_STEP,MATCH(AJ231,LMH_KEY,0)),0)</f>
        <v>0</v>
      </c>
      <c r="BY231" s="38">
        <f>IFERROR(INDEX(LMH_STEP,MATCH(AK231,LMH_KEY,0)),0)</f>
        <v>0</v>
      </c>
      <c r="BZ231" s="38">
        <f>IFERROR(INDEX(LMH_STEP,MATCH(AL231,LMH_KEY,0)),0)</f>
        <v>0</v>
      </c>
      <c r="CA231" s="38" t="inlineStr">
        <is>
          <t>iDEAL|Technology|Support Executive|A2|A</t>
        </is>
      </c>
    </row>
    <row r="232" ht="110" customHeight="1">
      <c r="A232" s="28" t="inlineStr">
        <is>
          <t>iDEAL</t>
        </is>
      </c>
      <c r="B232" s="29" t="inlineStr">
        <is>
          <t>Quality Assurance</t>
        </is>
      </c>
      <c r="C232" s="29" t="n">
        <v>3</v>
      </c>
      <c r="D232" s="29" t="inlineStr">
        <is>
          <t>IRIS0636</t>
        </is>
      </c>
      <c r="E232" s="29" t="inlineStr">
        <is>
          <t>Reena Gotal</t>
        </is>
      </c>
      <c r="F232" s="29" t="inlineStr">
        <is>
          <t>Senior QA - Engineer</t>
        </is>
      </c>
      <c r="G232" s="29" t="inlineStr">
        <is>
          <t>QA Manager</t>
        </is>
      </c>
      <c r="H232" s="29" t="inlineStr">
        <is>
          <t>Quality Assurance</t>
        </is>
      </c>
      <c r="I232" s="29" t="inlineStr">
        <is>
          <t>Functional &amp; Domain Testing</t>
        </is>
      </c>
      <c r="J232" s="29" t="inlineStr">
        <is>
          <t>People Manager</t>
        </is>
      </c>
      <c r="K232" s="29" t="inlineStr">
        <is>
          <t>RC-143</t>
        </is>
      </c>
      <c r="L232" s="29" t="inlineStr">
        <is>
          <t>Hemant Karale</t>
        </is>
      </c>
      <c r="M232" s="29" t="inlineStr">
        <is>
          <t>IRIS1224</t>
        </is>
      </c>
      <c r="N232" s="29" t="n">
        <v>15.3</v>
      </c>
      <c r="O232" s="29" t="n">
        <v>15.3</v>
      </c>
      <c r="P232" s="29" t="inlineStr">
        <is>
          <t>B.Com</t>
        </is>
      </c>
      <c r="Q232" s="29" t="inlineStr">
        <is>
          <t>L4 – Senior</t>
        </is>
      </c>
      <c r="R232" s="29" t="inlineStr">
        <is>
          <t>B1</t>
        </is>
      </c>
      <c r="S232" s="30" t="inlineStr">
        <is>
          <t>20 of 20</t>
        </is>
      </c>
      <c r="T232" s="31" t="inlineStr">
        <is>
          <t>Complexity: Evidence reads like A3: Test planning and execution, defect management, API testing with SQL/Postman; no harder problems detailed → matches the start
Autonomy: Evidence reads like A3: Names only 'independent testing'; mentions managing priorities in passing → matches the start
Accountability: Evidence reads like B1: Own test coverage and defect …</t>
        </is>
      </c>
      <c r="U232" s="31" t="inlineStr">
        <is>
          <t>Received · manager annual, quarterly · 1. Defect Escape Rate should be &lt;= 5% i.e. Each tested functionality should have less &lt;= 1 bug
2. Defect Detection Efficiency should be &gt;95%. 
3. Defect Leakage for Critical Functionality should be &lt;= 1 within a year
4. Automation testing · test cases coverage should be &gt;=50% for each functionality being tested
5. …</t>
        </is>
      </c>
      <c r="V232" s="31" t="inlineStr">
        <is>
          <t>Latest rating: 3 · Potential: Medium · 9-box: Core Contributor · Readiness: Develop in role</t>
        </is>
      </c>
      <c r="W232" s="31" t="inlineStr">
        <is>
          <t>C L · Au L · Ac M · L M · BI M · Exp H · 15.3 yrs vs 4–7 yrs · Edu M · B.Com</t>
        </is>
      </c>
      <c r="X232" s="33" t="inlineStr">
        <is>
          <t>Open ▸</t>
        </is>
      </c>
      <c r="Y232" s="34" t="str">
        <f>IFERROR(INDEX(DL_C,MATCH($CA232,DL_KEY,0)),"M")</f>
        <v>H</v>
      </c>
      <c r="Z232" s="35" t="str">
        <f>IFERROR(INDEX(DL_Au,MATCH($CA232,DL_KEY,0)),"M")</f>
        <v>M</v>
      </c>
      <c r="AA232" s="35" t="str">
        <f>IFERROR(INDEX(DL_Ac,MATCH($CA232,DL_KEY,0)),"M")</f>
        <v>L</v>
      </c>
      <c r="AB232" s="35" t="str">
        <f>IFERROR(INDEX(DL_L,MATCH($CA232,DL_KEY,0)),"M")</f>
        <v>M</v>
      </c>
      <c r="AC232" s="35" t="str">
        <f>IFERROR(INDEX(DL_BI,MATCH($CA232,DL_KEY,0)),"M")</f>
        <v>L</v>
      </c>
      <c r="AD232" s="35" t="str">
        <f>IFERROR(INDEX(DL_Exp,MATCH($CA232,DL_KEY,0)),"M")</f>
        <v>L</v>
      </c>
      <c r="AE232" s="35" t="str">
        <f>IFERROR(INDEX(DL_Edu,MATCH($CA232,DL_KEY,0)),"M")</f>
        <v>L</v>
      </c>
      <c r="AF232" s="34" t="inlineStr">
        <is>
          <t>M</t>
        </is>
      </c>
      <c r="AG232" s="35" t="inlineStr">
        <is>
          <t>M</t>
        </is>
      </c>
      <c r="AH232" s="35" t="inlineStr">
        <is>
          <t>M</t>
        </is>
      </c>
      <c r="AI232" s="35" t="inlineStr">
        <is>
          <t>M</t>
        </is>
      </c>
      <c r="AJ232" s="35" t="inlineStr">
        <is>
          <t>M</t>
        </is>
      </c>
      <c r="AK232" s="35" t="inlineStr">
        <is>
          <t>M</t>
        </is>
      </c>
      <c r="AL232" s="35" t="inlineStr">
        <is>
          <t>M</t>
        </is>
      </c>
      <c r="AM232" s="36" t="n">
        <v>0.37</v>
      </c>
      <c r="AN232" s="37" t="n">
        <v>0.183</v>
      </c>
      <c r="AO232" s="37" t="n">
        <v>0.113</v>
      </c>
      <c r="AP232" s="37" t="n">
        <v>0.15</v>
      </c>
      <c r="AQ232" s="37" t="n">
        <v>0.08699999999999999</v>
      </c>
      <c r="AR232" s="37" t="n">
        <v>0.06</v>
      </c>
      <c r="AS232" s="37" t="n">
        <v>0.04</v>
      </c>
      <c r="AT232" s="38" t="inlineStr">
        <is>
          <t>4–8</t>
        </is>
      </c>
      <c r="AU232" s="38" t="inlineStr">
        <is>
          <t>Graduate + relevant qualification or certification preferred</t>
        </is>
      </c>
      <c r="AV232" s="38" t="inlineStr">
        <is>
          <t>IC: none · Team Lead: 3–5</t>
        </is>
      </c>
      <c r="AW232" s="38" t="inlineStr">
        <is>
          <t>P3 / M2 · SFIA 4 Enable</t>
        </is>
      </c>
      <c r="AX23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32" s="39" t="inlineStr">
        <is>
          <t>B1</t>
        </is>
      </c>
      <c r="AZ232" s="40" t="inlineStr">
        <is>
          <t>Band B · Specialist / Manager · Team Lead / Asst Manager</t>
        </is>
      </c>
      <c r="BA232" s="40" t="inlineStr">
        <is>
          <t>Model B1 from the six ratings, the market-derived weights and rules R1–R13 · then No change · already below the manager</t>
        </is>
      </c>
      <c r="BB232" s="41" t="inlineStr">
        <is>
          <t>B1</t>
        </is>
      </c>
      <c r="BC232" s="40" t="inlineStr">
        <is>
          <t>The six ratings on the market-average weights of Band B · People Manager score 3.90 → B1 · Hay, Mercer IPE and public plans · experience 15.3 yrs vs the B1 market range 4–8</t>
        </is>
      </c>
      <c r="BD232" s="42">
        <f>IF(SUM(BM232,BN232,BO232,BP232,BQ232,BR232,BS232)=0,0,(BM232*BT232+BN232*BU232+BO232*BV232+BP232*BW232+BQ232*BX232+BR232*BY232+BS232*BZ232)/SUM(BM232,BN232,BO232,BP232,BQ232,BR232,BS232))</f>
        <v>0</v>
      </c>
      <c r="BE232" s="41" t="str">
        <f>IF(LEFT(AY232,1)="X",AY232,IF(OR(AY232="B+",AY232="C+"),INDEX(LAD_PC,MAX(1,MIN(14,MATCH(AY232,LAD_PC,0)+IF(BD232&gt;=0.5,1,IF(BD232&lt;=-0.5,-1,0))))),INDEX(LAD_STD,MAX(1,MIN(12,MATCH(AY232,LAD_STD,0)+IF(BD232&gt;=0.5,1,IF(BD232&lt;=-0.5,-1,0)))))))</f>
        <v>B1</v>
      </c>
      <c r="BF232" s="43" t="n"/>
      <c r="BG232" s="41" t="str">
        <f>IF(BF232&lt;&gt;"",BF232,BE232)</f>
        <v>B1</v>
      </c>
      <c r="BH232" s="40" t="str">
        <f>IFERROR(CHOOSE(INDEX(B_RANK,MATCH(BG232,B_LVL,0)),"Band A","Band B","B+ · Player-Coach","Band C","C+ · Player-Coach","Band D","Band E"),"Band X · Consultant")</f>
        <v>Band B</v>
      </c>
      <c r="BI232" s="40" t="str">
        <f>IF(BG232=AY232,"• Same",IF(INDEX(B_VAL,MATCH(BG232,B_LVL,0))&gt;INDEX(B_VAL,MATCH(AY232,B_LVL,0)),"▲ Up","▼ Down"))</f>
        <v>• Same</v>
      </c>
      <c r="BJ232" s="40" t="str">
        <f>IF(OR($M232="",$M232="—",$M232="Not in this file"),"",IFERROR(INDEX($BG$7:$BG$592,MATCH($M232,$D$7:$D$592,0)),""))</f>
        <v>C2</v>
      </c>
      <c r="BK232" s="40" t="str">
        <f>IFERROR(IF(BJ232="","—",IF(OR(LEFT(BG232,1)="X",LEFT(BJ232,1)="X"),"—",IF(AND(LEFT(BG232,1)="E",LEFT(BJ232,1)="E"),"Exception · Band E",IF(AND(INDEX(B_VAL,MATCH(BJ232,B_LVL,0))&gt;=7,INDEX(B_RANK,MATCH(BG232,B_LVL,0))&gt;=INDEX(B_RANK,MATCH(BJ232,B_LVL,0))),"⚠ Same band as a head manager",IF(INDEX(B_VAL,MATCH(BG232,B_LVL,0))&gt;=INDEX(B_VAL,MATCH(BJ232,B_LVL,0)),"⚠ At or above the manager's level","OK"))))),"—")</f>
        <v>OK</v>
      </c>
      <c r="BL232" s="43" t="n"/>
      <c r="BM232" s="44">
        <f>IFERROR(INDEX(LMH_PTS,MATCH(Y232,LMH_KEY,0)),0)</f>
        <v>9</v>
      </c>
      <c r="BN232" s="38">
        <f>IFERROR(INDEX(LMH_PTS,MATCH(Z232,LMH_KEY,0)),0)</f>
        <v>3</v>
      </c>
      <c r="BO232" s="38">
        <f>IFERROR(INDEX(LMH_PTS,MATCH(AA232,LMH_KEY,0)),0)</f>
        <v>1</v>
      </c>
      <c r="BP232" s="38">
        <f>IFERROR(INDEX(LMH_PTS,MATCH(AB232,LMH_KEY,0)),0)</f>
        <v>3</v>
      </c>
      <c r="BQ232" s="38">
        <f>IFERROR(INDEX(LMH_PTS,MATCH(AC232,LMH_KEY,0)),0)</f>
        <v>1</v>
      </c>
      <c r="BR232" s="38">
        <f>IFERROR(INDEX(LMH_PTS,MATCH(AD232,LMH_KEY,0)),0)</f>
        <v>1</v>
      </c>
      <c r="BS232" s="38">
        <f>IFERROR(INDEX(LMH_PTS,MATCH(AE232,LMH_KEY,0)),0)</f>
        <v>1</v>
      </c>
      <c r="BT232" s="38">
        <f>IFERROR(INDEX(LMH_STEP,MATCH(AF232,LMH_KEY,0)),0)</f>
        <v>0</v>
      </c>
      <c r="BU232" s="38">
        <f>IFERROR(INDEX(LMH_STEP,MATCH(AG232,LMH_KEY,0)),0)</f>
        <v>0</v>
      </c>
      <c r="BV232" s="38">
        <f>IFERROR(INDEX(LMH_STEP,MATCH(AH232,LMH_KEY,0)),0)</f>
        <v>0</v>
      </c>
      <c r="BW232" s="38">
        <f>IFERROR(INDEX(LMH_STEP,MATCH(AI232,LMH_KEY,0)),0)</f>
        <v>0</v>
      </c>
      <c r="BX232" s="38">
        <f>IFERROR(INDEX(LMH_STEP,MATCH(AJ232,LMH_KEY,0)),0)</f>
        <v>0</v>
      </c>
      <c r="BY232" s="38">
        <f>IFERROR(INDEX(LMH_STEP,MATCH(AK232,LMH_KEY,0)),0)</f>
        <v>0</v>
      </c>
      <c r="BZ232" s="38">
        <f>IFERROR(INDEX(LMH_STEP,MATCH(AL232,LMH_KEY,0)),0)</f>
        <v>0</v>
      </c>
      <c r="CA232" s="38" t="inlineStr">
        <is>
          <t>iDEAL|Quality Assurance|QA Manager|B1|B-M</t>
        </is>
      </c>
    </row>
    <row r="233" ht="110" customHeight="1">
      <c r="A233" s="28" t="inlineStr">
        <is>
          <t>iDEAL</t>
        </is>
      </c>
      <c r="B233" s="29" t="inlineStr">
        <is>
          <t>Quality Assurance</t>
        </is>
      </c>
      <c r="C233" s="29" t="n">
        <v>4</v>
      </c>
      <c r="D233" s="29" t="inlineStr">
        <is>
          <t>IRIS2271</t>
        </is>
      </c>
      <c r="E233" s="29" t="inlineStr">
        <is>
          <t>Atharv Ravindra Bokade</t>
        </is>
      </c>
      <c r="F233" s="29" t="inlineStr">
        <is>
          <t>QA Engineer</t>
        </is>
      </c>
      <c r="G233" s="29" t="inlineStr">
        <is>
          <t>Senior QA Automation Engineer</t>
        </is>
      </c>
      <c r="H233" s="29" t="inlineStr">
        <is>
          <t>Quality Assurance</t>
        </is>
      </c>
      <c r="I233" s="29" t="inlineStr">
        <is>
          <t>Test Automation</t>
        </is>
      </c>
      <c r="J233" s="29" t="inlineStr">
        <is>
          <t>IC</t>
        </is>
      </c>
      <c r="K233" s="29" t="inlineStr">
        <is>
          <t>RC-146</t>
        </is>
      </c>
      <c r="L233" s="29" t="inlineStr">
        <is>
          <t>Reena Gotal</t>
        </is>
      </c>
      <c r="M233" s="29" t="inlineStr">
        <is>
          <t>IRIS0636</t>
        </is>
      </c>
      <c r="N233" s="29" t="n">
        <v>2.3</v>
      </c>
      <c r="O233" s="29" t="n">
        <v>2.3</v>
      </c>
      <c r="P233" s="29" t="inlineStr">
        <is>
          <t>B.E</t>
        </is>
      </c>
      <c r="Q233" s="29" t="inlineStr">
        <is>
          <t>L2 – Trainee</t>
        </is>
      </c>
      <c r="R233" s="29" t="inlineStr">
        <is>
          <t>A3</t>
        </is>
      </c>
      <c r="S233" s="30" t="inlineStr">
        <is>
          <t>20 of 20</t>
        </is>
      </c>
      <c r="T233" s="31" t="inlineStr">
        <is>
          <t>Complexity: Evidence reads like A2: Writes test cases, manual testing and bug reports for regulatory applications; some Playwright and VAPT → matches the start
Autonomy: Evidence reads like A2: Cannot name independent decisions; only judges depth of testing → matches the start
Accountability: Evidence reads like A3: Accountable if bugs persist after own …</t>
        </is>
      </c>
      <c r="U233" s="31" t="inlineStr">
        <is>
          <t>Received · manager annual, quarterly, self · 1. Prepare comprehensive and maintainable test cases based on business requirements and user stories.
2.Ensure the delivery of high-quality software by executing testing activities with comprehensive test coverage and minimal production defects.
3. Complete assigned testing activities within project schedules while …</t>
        </is>
      </c>
      <c r="V233" s="31" t="inlineStr">
        <is>
          <t>Latest rating: 3 · Potential: Medium · 9-box: Core Contributor · Readiness: Develop in role</t>
        </is>
      </c>
      <c r="W233" s="31" t="inlineStr">
        <is>
          <t>C L · Au L · Ac M · L L · BI M · Exp M · 2.3 yrs vs 2–4 yrs · Edu M · B.E</t>
        </is>
      </c>
      <c r="X233" s="33" t="inlineStr">
        <is>
          <t>Open ▸</t>
        </is>
      </c>
      <c r="Y233" s="34" t="str">
        <f>IFERROR(INDEX(DL_C,MATCH($CA233,DL_KEY,0)),"M")</f>
        <v>H</v>
      </c>
      <c r="Z233" s="35" t="str">
        <f>IFERROR(INDEX(DL_Au,MATCH($CA233,DL_KEY,0)),"M")</f>
        <v>M</v>
      </c>
      <c r="AA233" s="35" t="str">
        <f>IFERROR(INDEX(DL_Ac,MATCH($CA233,DL_KEY,0)),"M")</f>
        <v>L</v>
      </c>
      <c r="AB233" s="35" t="str">
        <f>IFERROR(INDEX(DL_L,MATCH($CA233,DL_KEY,0)),"M")</f>
        <v>L</v>
      </c>
      <c r="AC233" s="35" t="str">
        <f>IFERROR(INDEX(DL_BI,MATCH($CA233,DL_KEY,0)),"M")</f>
        <v>L</v>
      </c>
      <c r="AD233" s="35" t="str">
        <f>IFERROR(INDEX(DL_Exp,MATCH($CA233,DL_KEY,0)),"M")</f>
        <v>L</v>
      </c>
      <c r="AE233" s="35" t="str">
        <f>IFERROR(INDEX(DL_Edu,MATCH($CA233,DL_KEY,0)),"M")</f>
        <v>L</v>
      </c>
      <c r="AF233" s="34" t="inlineStr">
        <is>
          <t>M</t>
        </is>
      </c>
      <c r="AG233" s="35" t="inlineStr">
        <is>
          <t>M</t>
        </is>
      </c>
      <c r="AH233" s="35" t="inlineStr">
        <is>
          <t>M</t>
        </is>
      </c>
      <c r="AI233" s="35" t="inlineStr">
        <is>
          <t>M</t>
        </is>
      </c>
      <c r="AJ233" s="35" t="inlineStr">
        <is>
          <t>M</t>
        </is>
      </c>
      <c r="AK233" s="35" t="inlineStr">
        <is>
          <t>M</t>
        </is>
      </c>
      <c r="AL233" s="35" t="inlineStr">
        <is>
          <t>M</t>
        </is>
      </c>
      <c r="AM233" s="36" t="n">
        <v>0.583</v>
      </c>
      <c r="AN233" s="37" t="n">
        <v>0.16</v>
      </c>
      <c r="AO233" s="37" t="n">
        <v>0.09</v>
      </c>
      <c r="AP233" s="37" t="n">
        <v>0</v>
      </c>
      <c r="AQ233" s="37" t="n">
        <v>0.063</v>
      </c>
      <c r="AR233" s="37" t="n">
        <v>0.06</v>
      </c>
      <c r="AS233" s="37" t="n">
        <v>0.04</v>
      </c>
      <c r="AT233" s="38" t="inlineStr">
        <is>
          <t>2–5</t>
        </is>
      </c>
      <c r="AU233" s="38" t="inlineStr">
        <is>
          <t>Graduate; relevant certification preferred</t>
        </is>
      </c>
      <c r="AV233" s="38" t="inlineStr">
        <is>
          <t>None · guides 1–3 juniors informally</t>
        </is>
      </c>
      <c r="AW233" s="38" t="inlineStr">
        <is>
          <t>P2 · SFIA 3 Apply</t>
        </is>
      </c>
      <c r="AX23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33" s="39" t="inlineStr">
        <is>
          <t>A3</t>
        </is>
      </c>
      <c r="AZ233" s="40" t="inlineStr">
        <is>
          <t>Band A · Practitioner · Senior Associate</t>
        </is>
      </c>
      <c r="BA233" s="40" t="inlineStr">
        <is>
          <t>Model A3 from the six ratings, the market-derived weights and rules R1–R13 · then No change · already below the manager</t>
        </is>
      </c>
      <c r="BB233" s="41" t="inlineStr">
        <is>
          <t>A2</t>
        </is>
      </c>
      <c r="BC233" s="40" t="inlineStr">
        <is>
          <t>The six ratings on the market-average weights of Band A · all tracks score 2.13 → A2 · Hay, Mercer IPE and public plans · experience 2.3 yrs vs the A2 market range 0–3</t>
        </is>
      </c>
      <c r="BD233" s="42">
        <f>IF(SUM(BM233,BN233,BO233,BP233,BQ233,BR233,BS233)=0,0,(BM233*BT233+BN233*BU233+BO233*BV233+BP233*BW233+BQ233*BX233+BR233*BY233+BS233*BZ233)/SUM(BM233,BN233,BO233,BP233,BQ233,BR233,BS233))</f>
        <v>0</v>
      </c>
      <c r="BE233" s="41" t="str">
        <f>IF(LEFT(AY233,1)="X",AY233,IF(OR(AY233="B+",AY233="C+"),INDEX(LAD_PC,MAX(1,MIN(14,MATCH(AY233,LAD_PC,0)+IF(BD233&gt;=0.5,1,IF(BD233&lt;=-0.5,-1,0))))),INDEX(LAD_STD,MAX(1,MIN(12,MATCH(AY233,LAD_STD,0)+IF(BD233&gt;=0.5,1,IF(BD233&lt;=-0.5,-1,0)))))))</f>
        <v>A3</v>
      </c>
      <c r="BF233" s="43" t="n"/>
      <c r="BG233" s="41" t="str">
        <f>IF(BF233&lt;&gt;"",BF233,BE233)</f>
        <v>A3</v>
      </c>
      <c r="BH233" s="40" t="str">
        <f>IFERROR(CHOOSE(INDEX(B_RANK,MATCH(BG233,B_LVL,0)),"Band A","Band B","B+ · Player-Coach","Band C","C+ · Player-Coach","Band D","Band E"),"Band X · Consultant")</f>
        <v>Band A</v>
      </c>
      <c r="BI233" s="40" t="str">
        <f>IF(BG233=AY233,"• Same",IF(INDEX(B_VAL,MATCH(BG233,B_LVL,0))&gt;INDEX(B_VAL,MATCH(AY233,B_LVL,0)),"▲ Up","▼ Down"))</f>
        <v>• Same</v>
      </c>
      <c r="BJ233" s="40" t="str">
        <f>IF(OR($M233="",$M233="—",$M233="Not in this file"),"",IFERROR(INDEX($BG$7:$BG$592,MATCH($M233,$D$7:$D$592,0)),""))</f>
        <v>B1</v>
      </c>
      <c r="BK233" s="40" t="str">
        <f>IFERROR(IF(BJ233="","—",IF(OR(LEFT(BG233,1)="X",LEFT(BJ233,1)="X"),"—",IF(AND(LEFT(BG233,1)="E",LEFT(BJ233,1)="E"),"Exception · Band E",IF(AND(INDEX(B_VAL,MATCH(BJ233,B_LVL,0))&gt;=7,INDEX(B_RANK,MATCH(BG233,B_LVL,0))&gt;=INDEX(B_RANK,MATCH(BJ233,B_LVL,0))),"⚠ Same band as a head manager",IF(INDEX(B_VAL,MATCH(BG233,B_LVL,0))&gt;=INDEX(B_VAL,MATCH(BJ233,B_LVL,0)),"⚠ At or above the manager's level","OK"))))),"—")</f>
        <v>OK</v>
      </c>
      <c r="BL233" s="43" t="n"/>
      <c r="BM233" s="44">
        <f>IFERROR(INDEX(LMH_PTS,MATCH(Y233,LMH_KEY,0)),0)</f>
        <v>9</v>
      </c>
      <c r="BN233" s="38">
        <f>IFERROR(INDEX(LMH_PTS,MATCH(Z233,LMH_KEY,0)),0)</f>
        <v>3</v>
      </c>
      <c r="BO233" s="38">
        <f>IFERROR(INDEX(LMH_PTS,MATCH(AA233,LMH_KEY,0)),0)</f>
        <v>1</v>
      </c>
      <c r="BP233" s="38">
        <f>IFERROR(INDEX(LMH_PTS,MATCH(AB233,LMH_KEY,0)),0)</f>
        <v>1</v>
      </c>
      <c r="BQ233" s="38">
        <f>IFERROR(INDEX(LMH_PTS,MATCH(AC233,LMH_KEY,0)),0)</f>
        <v>1</v>
      </c>
      <c r="BR233" s="38">
        <f>IFERROR(INDEX(LMH_PTS,MATCH(AD233,LMH_KEY,0)),0)</f>
        <v>1</v>
      </c>
      <c r="BS233" s="38">
        <f>IFERROR(INDEX(LMH_PTS,MATCH(AE233,LMH_KEY,0)),0)</f>
        <v>1</v>
      </c>
      <c r="BT233" s="38">
        <f>IFERROR(INDEX(LMH_STEP,MATCH(AF233,LMH_KEY,0)),0)</f>
        <v>0</v>
      </c>
      <c r="BU233" s="38">
        <f>IFERROR(INDEX(LMH_STEP,MATCH(AG233,LMH_KEY,0)),0)</f>
        <v>0</v>
      </c>
      <c r="BV233" s="38">
        <f>IFERROR(INDEX(LMH_STEP,MATCH(AH233,LMH_KEY,0)),0)</f>
        <v>0</v>
      </c>
      <c r="BW233" s="38">
        <f>IFERROR(INDEX(LMH_STEP,MATCH(AI233,LMH_KEY,0)),0)</f>
        <v>0</v>
      </c>
      <c r="BX233" s="38">
        <f>IFERROR(INDEX(LMH_STEP,MATCH(AJ233,LMH_KEY,0)),0)</f>
        <v>0</v>
      </c>
      <c r="BY233" s="38">
        <f>IFERROR(INDEX(LMH_STEP,MATCH(AK233,LMH_KEY,0)),0)</f>
        <v>0</v>
      </c>
      <c r="BZ233" s="38">
        <f>IFERROR(INDEX(LMH_STEP,MATCH(AL233,LMH_KEY,0)),0)</f>
        <v>0</v>
      </c>
      <c r="CA233" s="38" t="inlineStr">
        <is>
          <t>iDEAL|Quality Assurance|Senior QA Automation Engineer|A3|A</t>
        </is>
      </c>
    </row>
    <row r="234" ht="110" customHeight="1">
      <c r="A234" s="28" t="inlineStr">
        <is>
          <t>iDEAL</t>
        </is>
      </c>
      <c r="B234" s="29" t="inlineStr">
        <is>
          <t>Quality Assurance</t>
        </is>
      </c>
      <c r="C234" s="29" t="n">
        <v>4</v>
      </c>
      <c r="D234" s="29" t="inlineStr">
        <is>
          <t>IRIS2479</t>
        </is>
      </c>
      <c r="E234" s="29" t="inlineStr">
        <is>
          <t>Rohan Kailas Aher</t>
        </is>
      </c>
      <c r="F234" s="29" t="inlineStr">
        <is>
          <t>QA Engineer</t>
        </is>
      </c>
      <c r="G234" s="29" t="inlineStr">
        <is>
          <t>Senior QA Engineer</t>
        </is>
      </c>
      <c r="H234" s="29" t="inlineStr">
        <is>
          <t>Quality Assurance</t>
        </is>
      </c>
      <c r="I234" s="29" t="inlineStr">
        <is>
          <t>Functional &amp; Domain Testing</t>
        </is>
      </c>
      <c r="J234" s="29" t="inlineStr">
        <is>
          <t>IC</t>
        </is>
      </c>
      <c r="K234" s="29" t="inlineStr">
        <is>
          <t>RC-141</t>
        </is>
      </c>
      <c r="L234" s="29" t="inlineStr">
        <is>
          <t>Reena Gotal</t>
        </is>
      </c>
      <c r="M234" s="29" t="inlineStr">
        <is>
          <t>IRIS0636</t>
        </is>
      </c>
      <c r="N234" s="29" t="n">
        <v>3.6</v>
      </c>
      <c r="O234" s="29" t="n">
        <v>0.6</v>
      </c>
      <c r="P234" s="29" t="inlineStr">
        <is>
          <t>Civil engineering</t>
        </is>
      </c>
      <c r="Q234" s="29" t="inlineStr">
        <is>
          <t>L3 – Professional / Associate</t>
        </is>
      </c>
      <c r="R234" s="29" t="inlineStr">
        <is>
          <t>A3</t>
        </is>
      </c>
      <c r="S234" s="30" t="inlineStr">
        <is>
          <t>20 of 20</t>
        </is>
      </c>
      <c r="T234" s="31" t="inlineStr">
        <is>
          <t>Complexity: Evidence reads like A2: Testing, bug reporting, retesting, API testing and documentation; no harder cases shown → matches the start
Autonomy: Evidence reads like A2: States 'routine decisions' only → matches the start
Accountability: Evidence reads like A2: Own assigned testing work, its quality and timeliness → matches the start
Leadership: …</t>
        </is>
      </c>
      <c r="U234" s="31" t="inlineStr">
        <is>
          <t>Received · manager annual, quarterly, self · 1. Prepare comprehensive and maintainable test cases based on business requirements and user stories.
2.Ensure the delivery of high-quality software by executing testing activities with comprehensive test coverage and minimal production defects.
3. Complete assigned testing activities within project schedules while …</t>
        </is>
      </c>
      <c r="V234" s="31" t="inlineStr">
        <is>
          <t>Latest rating: 3 · Potential: Medium · 9-box: Core Contributor · Readiness: Develop in role</t>
        </is>
      </c>
      <c r="W234" s="31" t="inlineStr">
        <is>
          <t>C L · Au L · Ac L · L L · BI L · Exp M · 3.6 yrs vs 2–4 yrs · Edu M · Civil engineering</t>
        </is>
      </c>
      <c r="X234" s="33" t="inlineStr">
        <is>
          <t>Open ▸</t>
        </is>
      </c>
      <c r="Y234" s="34" t="str">
        <f>IFERROR(INDEX(DL_C,MATCH($CA234,DL_KEY,0)),"M")</f>
        <v>H</v>
      </c>
      <c r="Z234" s="35" t="str">
        <f>IFERROR(INDEX(DL_Au,MATCH($CA234,DL_KEY,0)),"M")</f>
        <v>M</v>
      </c>
      <c r="AA234" s="35" t="str">
        <f>IFERROR(INDEX(DL_Ac,MATCH($CA234,DL_KEY,0)),"M")</f>
        <v>L</v>
      </c>
      <c r="AB234" s="35" t="str">
        <f>IFERROR(INDEX(DL_L,MATCH($CA234,DL_KEY,0)),"M")</f>
        <v>L</v>
      </c>
      <c r="AC234" s="35" t="str">
        <f>IFERROR(INDEX(DL_BI,MATCH($CA234,DL_KEY,0)),"M")</f>
        <v>L</v>
      </c>
      <c r="AD234" s="35" t="str">
        <f>IFERROR(INDEX(DL_Exp,MATCH($CA234,DL_KEY,0)),"M")</f>
        <v>L</v>
      </c>
      <c r="AE234" s="35" t="str">
        <f>IFERROR(INDEX(DL_Edu,MATCH($CA234,DL_KEY,0)),"M")</f>
        <v>L</v>
      </c>
      <c r="AF234" s="34" t="inlineStr">
        <is>
          <t>M</t>
        </is>
      </c>
      <c r="AG234" s="35" t="inlineStr">
        <is>
          <t>M</t>
        </is>
      </c>
      <c r="AH234" s="35" t="inlineStr">
        <is>
          <t>M</t>
        </is>
      </c>
      <c r="AI234" s="35" t="inlineStr">
        <is>
          <t>M</t>
        </is>
      </c>
      <c r="AJ234" s="35" t="inlineStr">
        <is>
          <t>M</t>
        </is>
      </c>
      <c r="AK234" s="35" t="inlineStr">
        <is>
          <t>M</t>
        </is>
      </c>
      <c r="AL234" s="35" t="inlineStr">
        <is>
          <t>M</t>
        </is>
      </c>
      <c r="AM234" s="36" t="n">
        <v>0.583</v>
      </c>
      <c r="AN234" s="37" t="n">
        <v>0.16</v>
      </c>
      <c r="AO234" s="37" t="n">
        <v>0.09</v>
      </c>
      <c r="AP234" s="37" t="n">
        <v>0</v>
      </c>
      <c r="AQ234" s="37" t="n">
        <v>0.063</v>
      </c>
      <c r="AR234" s="37" t="n">
        <v>0.06</v>
      </c>
      <c r="AS234" s="37" t="n">
        <v>0.04</v>
      </c>
      <c r="AT234" s="38" t="inlineStr">
        <is>
          <t>2–5</t>
        </is>
      </c>
      <c r="AU234" s="38" t="inlineStr">
        <is>
          <t>Graduate; relevant certification preferred</t>
        </is>
      </c>
      <c r="AV234" s="38" t="inlineStr">
        <is>
          <t>None · guides 1–3 juniors informally</t>
        </is>
      </c>
      <c r="AW234" s="38" t="inlineStr">
        <is>
          <t>P2 · SFIA 3 Apply</t>
        </is>
      </c>
      <c r="AX23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34" s="39" t="inlineStr">
        <is>
          <t>A3</t>
        </is>
      </c>
      <c r="AZ234" s="40" t="inlineStr">
        <is>
          <t>Band A · Practitioner · Senior Associate</t>
        </is>
      </c>
      <c r="BA234" s="40" t="inlineStr">
        <is>
          <t>Model A3 from the six ratings, the market-derived weights and rules R1–R13 · then No change · already below the manager</t>
        </is>
      </c>
      <c r="BB234" s="41" t="inlineStr">
        <is>
          <t>A2</t>
        </is>
      </c>
      <c r="BC234" s="40" t="inlineStr">
        <is>
          <t>The six ratings on the market-average weights of Band A · all tracks score 2.10 → A2 · Hay, Mercer IPE and public plans · experience 3.6 yrs vs the A2 market range 0–3</t>
        </is>
      </c>
      <c r="BD234" s="42">
        <f>IF(SUM(BM234,BN234,BO234,BP234,BQ234,BR234,BS234)=0,0,(BM234*BT234+BN234*BU234+BO234*BV234+BP234*BW234+BQ234*BX234+BR234*BY234+BS234*BZ234)/SUM(BM234,BN234,BO234,BP234,BQ234,BR234,BS234))</f>
        <v>0</v>
      </c>
      <c r="BE234" s="41" t="str">
        <f>IF(LEFT(AY234,1)="X",AY234,IF(OR(AY234="B+",AY234="C+"),INDEX(LAD_PC,MAX(1,MIN(14,MATCH(AY234,LAD_PC,0)+IF(BD234&gt;=0.5,1,IF(BD234&lt;=-0.5,-1,0))))),INDEX(LAD_STD,MAX(1,MIN(12,MATCH(AY234,LAD_STD,0)+IF(BD234&gt;=0.5,1,IF(BD234&lt;=-0.5,-1,0)))))))</f>
        <v>A3</v>
      </c>
      <c r="BF234" s="43" t="n"/>
      <c r="BG234" s="41" t="str">
        <f>IF(BF234&lt;&gt;"",BF234,BE234)</f>
        <v>A3</v>
      </c>
      <c r="BH234" s="40" t="str">
        <f>IFERROR(CHOOSE(INDEX(B_RANK,MATCH(BG234,B_LVL,0)),"Band A","Band B","B+ · Player-Coach","Band C","C+ · Player-Coach","Band D","Band E"),"Band X · Consultant")</f>
        <v>Band A</v>
      </c>
      <c r="BI234" s="40" t="str">
        <f>IF(BG234=AY234,"• Same",IF(INDEX(B_VAL,MATCH(BG234,B_LVL,0))&gt;INDEX(B_VAL,MATCH(AY234,B_LVL,0)),"▲ Up","▼ Down"))</f>
        <v>• Same</v>
      </c>
      <c r="BJ234" s="40" t="str">
        <f>IF(OR($M234="",$M234="—",$M234="Not in this file"),"",IFERROR(INDEX($BG$7:$BG$592,MATCH($M234,$D$7:$D$592,0)),""))</f>
        <v>B1</v>
      </c>
      <c r="BK234" s="40" t="str">
        <f>IFERROR(IF(BJ234="","—",IF(OR(LEFT(BG234,1)="X",LEFT(BJ234,1)="X"),"—",IF(AND(LEFT(BG234,1)="E",LEFT(BJ234,1)="E"),"Exception · Band E",IF(AND(INDEX(B_VAL,MATCH(BJ234,B_LVL,0))&gt;=7,INDEX(B_RANK,MATCH(BG234,B_LVL,0))&gt;=INDEX(B_RANK,MATCH(BJ234,B_LVL,0))),"⚠ Same band as a head manager",IF(INDEX(B_VAL,MATCH(BG234,B_LVL,0))&gt;=INDEX(B_VAL,MATCH(BJ234,B_LVL,0)),"⚠ At or above the manager's level","OK"))))),"—")</f>
        <v>OK</v>
      </c>
      <c r="BL234" s="43" t="n"/>
      <c r="BM234" s="44">
        <f>IFERROR(INDEX(LMH_PTS,MATCH(Y234,LMH_KEY,0)),0)</f>
        <v>9</v>
      </c>
      <c r="BN234" s="38">
        <f>IFERROR(INDEX(LMH_PTS,MATCH(Z234,LMH_KEY,0)),0)</f>
        <v>3</v>
      </c>
      <c r="BO234" s="38">
        <f>IFERROR(INDEX(LMH_PTS,MATCH(AA234,LMH_KEY,0)),0)</f>
        <v>1</v>
      </c>
      <c r="BP234" s="38">
        <f>IFERROR(INDEX(LMH_PTS,MATCH(AB234,LMH_KEY,0)),0)</f>
        <v>1</v>
      </c>
      <c r="BQ234" s="38">
        <f>IFERROR(INDEX(LMH_PTS,MATCH(AC234,LMH_KEY,0)),0)</f>
        <v>1</v>
      </c>
      <c r="BR234" s="38">
        <f>IFERROR(INDEX(LMH_PTS,MATCH(AD234,LMH_KEY,0)),0)</f>
        <v>1</v>
      </c>
      <c r="BS234" s="38">
        <f>IFERROR(INDEX(LMH_PTS,MATCH(AE234,LMH_KEY,0)),0)</f>
        <v>1</v>
      </c>
      <c r="BT234" s="38">
        <f>IFERROR(INDEX(LMH_STEP,MATCH(AF234,LMH_KEY,0)),0)</f>
        <v>0</v>
      </c>
      <c r="BU234" s="38">
        <f>IFERROR(INDEX(LMH_STEP,MATCH(AG234,LMH_KEY,0)),0)</f>
        <v>0</v>
      </c>
      <c r="BV234" s="38">
        <f>IFERROR(INDEX(LMH_STEP,MATCH(AH234,LMH_KEY,0)),0)</f>
        <v>0</v>
      </c>
      <c r="BW234" s="38">
        <f>IFERROR(INDEX(LMH_STEP,MATCH(AI234,LMH_KEY,0)),0)</f>
        <v>0</v>
      </c>
      <c r="BX234" s="38">
        <f>IFERROR(INDEX(LMH_STEP,MATCH(AJ234,LMH_KEY,0)),0)</f>
        <v>0</v>
      </c>
      <c r="BY234" s="38">
        <f>IFERROR(INDEX(LMH_STEP,MATCH(AK234,LMH_KEY,0)),0)</f>
        <v>0</v>
      </c>
      <c r="BZ234" s="38">
        <f>IFERROR(INDEX(LMH_STEP,MATCH(AL234,LMH_KEY,0)),0)</f>
        <v>0</v>
      </c>
      <c r="CA234" s="38" t="inlineStr">
        <is>
          <t>iDEAL|Quality Assurance|Senior QA Engineer|A3|A</t>
        </is>
      </c>
    </row>
    <row r="235" ht="110" customHeight="1">
      <c r="A235" s="28" t="inlineStr">
        <is>
          <t>iDEAL</t>
        </is>
      </c>
      <c r="B235" s="29" t="inlineStr">
        <is>
          <t>Quality Assurance</t>
        </is>
      </c>
      <c r="C235" s="29" t="n">
        <v>4</v>
      </c>
      <c r="D235" s="29" t="inlineStr">
        <is>
          <t>IRIS2437</t>
        </is>
      </c>
      <c r="E235" s="29" t="inlineStr">
        <is>
          <t>Shubham Kamble</t>
        </is>
      </c>
      <c r="F235" s="29" t="inlineStr">
        <is>
          <t>QA Automation Engineer</t>
        </is>
      </c>
      <c r="G235" s="29" t="inlineStr">
        <is>
          <t>Senior QA Automation Engineer</t>
        </is>
      </c>
      <c r="H235" s="29" t="inlineStr">
        <is>
          <t>Quality Assurance</t>
        </is>
      </c>
      <c r="I235" s="29" t="inlineStr">
        <is>
          <t>Test Automation</t>
        </is>
      </c>
      <c r="J235" s="29" t="inlineStr">
        <is>
          <t>IC</t>
        </is>
      </c>
      <c r="K235" s="29" t="inlineStr">
        <is>
          <t>RC-146</t>
        </is>
      </c>
      <c r="L235" s="29" t="inlineStr">
        <is>
          <t>Reena Gotal</t>
        </is>
      </c>
      <c r="M235" s="29" t="inlineStr">
        <is>
          <t>IRIS0636</t>
        </is>
      </c>
      <c r="N235" s="29" t="n">
        <v>4.3</v>
      </c>
      <c r="O235" s="29" t="n">
        <v>0.9</v>
      </c>
      <c r="P235" s="29" t="inlineStr">
        <is>
          <t>B.Tech</t>
        </is>
      </c>
      <c r="Q235" s="29" t="inlineStr">
        <is>
          <t>L3 – Professional / Associate</t>
        </is>
      </c>
      <c r="R235" s="29" t="inlineStr">
        <is>
          <t>A3</t>
        </is>
      </c>
      <c r="S235" s="30" t="inlineStr">
        <is>
          <t>20 of 20</t>
        </is>
      </c>
      <c r="T235" s="31" t="inlineStr">
        <is>
          <t>Complexity: Evidence reads like A3: Playwright UI/API automation, Jenkins integration, root-cause analysis of flaky tests and production defects → matches the start
Autonomy: Evidence reads like A3: Decides what tasks or features to automate, when to test manually, and raises bugs → matches the start
Accountability: Evidence reads like A3: Answers for iDeal …</t>
        </is>
      </c>
      <c r="U235" s="31" t="inlineStr">
        <is>
          <t>Received · manager annual, quarterly, self · 1. Prepare comprehensive and maintainable test cases based on business requirements and user stories.
2.Ensure the delivery of high-quality software by executing testing activities with comprehensive test coverage and minimal production defects.
3. Complete assigned testing activities within project schedules while …</t>
        </is>
      </c>
      <c r="V235" s="31" t="inlineStr">
        <is>
          <t>Latest rating: 3 · Potential: Medium · 9-box: Emerging Talent · Readiness: Develop in role</t>
        </is>
      </c>
      <c r="W235" s="31" t="inlineStr">
        <is>
          <t>C M · Au M · Ac M · L L · BI M · Exp H · 4.3 yrs vs 2–4 yrs · Edu M · B.Tech</t>
        </is>
      </c>
      <c r="X235" s="33" t="inlineStr">
        <is>
          <t>Open ▸</t>
        </is>
      </c>
      <c r="Y235" s="34" t="str">
        <f>IFERROR(INDEX(DL_C,MATCH($CA235,DL_KEY,0)),"M")</f>
        <v>H</v>
      </c>
      <c r="Z235" s="35" t="str">
        <f>IFERROR(INDEX(DL_Au,MATCH($CA235,DL_KEY,0)),"M")</f>
        <v>M</v>
      </c>
      <c r="AA235" s="35" t="str">
        <f>IFERROR(INDEX(DL_Ac,MATCH($CA235,DL_KEY,0)),"M")</f>
        <v>L</v>
      </c>
      <c r="AB235" s="35" t="str">
        <f>IFERROR(INDEX(DL_L,MATCH($CA235,DL_KEY,0)),"M")</f>
        <v>L</v>
      </c>
      <c r="AC235" s="35" t="str">
        <f>IFERROR(INDEX(DL_BI,MATCH($CA235,DL_KEY,0)),"M")</f>
        <v>L</v>
      </c>
      <c r="AD235" s="35" t="str">
        <f>IFERROR(INDEX(DL_Exp,MATCH($CA235,DL_KEY,0)),"M")</f>
        <v>L</v>
      </c>
      <c r="AE235" s="35" t="str">
        <f>IFERROR(INDEX(DL_Edu,MATCH($CA235,DL_KEY,0)),"M")</f>
        <v>L</v>
      </c>
      <c r="AF235" s="34" t="inlineStr">
        <is>
          <t>M</t>
        </is>
      </c>
      <c r="AG235" s="35" t="inlineStr">
        <is>
          <t>M</t>
        </is>
      </c>
      <c r="AH235" s="35" t="inlineStr">
        <is>
          <t>M</t>
        </is>
      </c>
      <c r="AI235" s="35" t="inlineStr">
        <is>
          <t>M</t>
        </is>
      </c>
      <c r="AJ235" s="35" t="inlineStr">
        <is>
          <t>M</t>
        </is>
      </c>
      <c r="AK235" s="35" t="inlineStr">
        <is>
          <t>M</t>
        </is>
      </c>
      <c r="AL235" s="35" t="inlineStr">
        <is>
          <t>M</t>
        </is>
      </c>
      <c r="AM235" s="36" t="n">
        <v>0.583</v>
      </c>
      <c r="AN235" s="37" t="n">
        <v>0.16</v>
      </c>
      <c r="AO235" s="37" t="n">
        <v>0.09</v>
      </c>
      <c r="AP235" s="37" t="n">
        <v>0</v>
      </c>
      <c r="AQ235" s="37" t="n">
        <v>0.063</v>
      </c>
      <c r="AR235" s="37" t="n">
        <v>0.06</v>
      </c>
      <c r="AS235" s="37" t="n">
        <v>0.04</v>
      </c>
      <c r="AT235" s="38" t="inlineStr">
        <is>
          <t>2–5</t>
        </is>
      </c>
      <c r="AU235" s="38" t="inlineStr">
        <is>
          <t>Graduate; relevant certification preferred</t>
        </is>
      </c>
      <c r="AV235" s="38" t="inlineStr">
        <is>
          <t>None · guides 1–3 juniors informally</t>
        </is>
      </c>
      <c r="AW235" s="38" t="inlineStr">
        <is>
          <t>P2 · SFIA 3 Apply</t>
        </is>
      </c>
      <c r="AX23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35" s="39" t="inlineStr">
        <is>
          <t>A3</t>
        </is>
      </c>
      <c r="AZ235" s="40" t="inlineStr">
        <is>
          <t>Band A · Practitioner · Senior Associate</t>
        </is>
      </c>
      <c r="BA235" s="40" t="inlineStr">
        <is>
          <t>Model A3 from the six ratings, the market-derived weights and rules R1–R13 · then No change · already below the manager</t>
        </is>
      </c>
      <c r="BB235" s="41" t="inlineStr">
        <is>
          <t>A3</t>
        </is>
      </c>
      <c r="BC235" s="40" t="inlineStr">
        <is>
          <t>The six ratings on the market-average weights of Band A · all tracks score 3.05 → A3 · Hay, Mercer IPE and public plans · experience 4.3 yrs vs the A3 market range 2–5</t>
        </is>
      </c>
      <c r="BD235" s="42">
        <f>IF(SUM(BM235,BN235,BO235,BP235,BQ235,BR235,BS235)=0,0,(BM235*BT235+BN235*BU235+BO235*BV235+BP235*BW235+BQ235*BX235+BR235*BY235+BS235*BZ235)/SUM(BM235,BN235,BO235,BP235,BQ235,BR235,BS235))</f>
        <v>0</v>
      </c>
      <c r="BE235" s="41" t="str">
        <f>IF(LEFT(AY235,1)="X",AY235,IF(OR(AY235="B+",AY235="C+"),INDEX(LAD_PC,MAX(1,MIN(14,MATCH(AY235,LAD_PC,0)+IF(BD235&gt;=0.5,1,IF(BD235&lt;=-0.5,-1,0))))),INDEX(LAD_STD,MAX(1,MIN(12,MATCH(AY235,LAD_STD,0)+IF(BD235&gt;=0.5,1,IF(BD235&lt;=-0.5,-1,0)))))))</f>
        <v>A3</v>
      </c>
      <c r="BF235" s="43" t="n"/>
      <c r="BG235" s="41" t="str">
        <f>IF(BF235&lt;&gt;"",BF235,BE235)</f>
        <v>A3</v>
      </c>
      <c r="BH235" s="40" t="str">
        <f>IFERROR(CHOOSE(INDEX(B_RANK,MATCH(BG235,B_LVL,0)),"Band A","Band B","B+ · Player-Coach","Band C","C+ · Player-Coach","Band D","Band E"),"Band X · Consultant")</f>
        <v>Band A</v>
      </c>
      <c r="BI235" s="40" t="str">
        <f>IF(BG235=AY235,"• Same",IF(INDEX(B_VAL,MATCH(BG235,B_LVL,0))&gt;INDEX(B_VAL,MATCH(AY235,B_LVL,0)),"▲ Up","▼ Down"))</f>
        <v>• Same</v>
      </c>
      <c r="BJ235" s="40" t="str">
        <f>IF(OR($M235="",$M235="—",$M235="Not in this file"),"",IFERROR(INDEX($BG$7:$BG$592,MATCH($M235,$D$7:$D$592,0)),""))</f>
        <v>B1</v>
      </c>
      <c r="BK235" s="40" t="str">
        <f>IFERROR(IF(BJ235="","—",IF(OR(LEFT(BG235,1)="X",LEFT(BJ235,1)="X"),"—",IF(AND(LEFT(BG235,1)="E",LEFT(BJ235,1)="E"),"Exception · Band E",IF(AND(INDEX(B_VAL,MATCH(BJ235,B_LVL,0))&gt;=7,INDEX(B_RANK,MATCH(BG235,B_LVL,0))&gt;=INDEX(B_RANK,MATCH(BJ235,B_LVL,0))),"⚠ Same band as a head manager",IF(INDEX(B_VAL,MATCH(BG235,B_LVL,0))&gt;=INDEX(B_VAL,MATCH(BJ235,B_LVL,0)),"⚠ At or above the manager's level","OK"))))),"—")</f>
        <v>OK</v>
      </c>
      <c r="BL235" s="43" t="n"/>
      <c r="BM235" s="44">
        <f>IFERROR(INDEX(LMH_PTS,MATCH(Y235,LMH_KEY,0)),0)</f>
        <v>9</v>
      </c>
      <c r="BN235" s="38">
        <f>IFERROR(INDEX(LMH_PTS,MATCH(Z235,LMH_KEY,0)),0)</f>
        <v>3</v>
      </c>
      <c r="BO235" s="38">
        <f>IFERROR(INDEX(LMH_PTS,MATCH(AA235,LMH_KEY,0)),0)</f>
        <v>1</v>
      </c>
      <c r="BP235" s="38">
        <f>IFERROR(INDEX(LMH_PTS,MATCH(AB235,LMH_KEY,0)),0)</f>
        <v>1</v>
      </c>
      <c r="BQ235" s="38">
        <f>IFERROR(INDEX(LMH_PTS,MATCH(AC235,LMH_KEY,0)),0)</f>
        <v>1</v>
      </c>
      <c r="BR235" s="38">
        <f>IFERROR(INDEX(LMH_PTS,MATCH(AD235,LMH_KEY,0)),0)</f>
        <v>1</v>
      </c>
      <c r="BS235" s="38">
        <f>IFERROR(INDEX(LMH_PTS,MATCH(AE235,LMH_KEY,0)),0)</f>
        <v>1</v>
      </c>
      <c r="BT235" s="38">
        <f>IFERROR(INDEX(LMH_STEP,MATCH(AF235,LMH_KEY,0)),0)</f>
        <v>0</v>
      </c>
      <c r="BU235" s="38">
        <f>IFERROR(INDEX(LMH_STEP,MATCH(AG235,LMH_KEY,0)),0)</f>
        <v>0</v>
      </c>
      <c r="BV235" s="38">
        <f>IFERROR(INDEX(LMH_STEP,MATCH(AH235,LMH_KEY,0)),0)</f>
        <v>0</v>
      </c>
      <c r="BW235" s="38">
        <f>IFERROR(INDEX(LMH_STEP,MATCH(AI235,LMH_KEY,0)),0)</f>
        <v>0</v>
      </c>
      <c r="BX235" s="38">
        <f>IFERROR(INDEX(LMH_STEP,MATCH(AJ235,LMH_KEY,0)),0)</f>
        <v>0</v>
      </c>
      <c r="BY235" s="38">
        <f>IFERROR(INDEX(LMH_STEP,MATCH(AK235,LMH_KEY,0)),0)</f>
        <v>0</v>
      </c>
      <c r="BZ235" s="38">
        <f>IFERROR(INDEX(LMH_STEP,MATCH(AL235,LMH_KEY,0)),0)</f>
        <v>0</v>
      </c>
      <c r="CA235" s="38" t="inlineStr">
        <is>
          <t>iDEAL|Quality Assurance|Senior QA Automation Engineer|A3|A</t>
        </is>
      </c>
    </row>
    <row r="236" ht="110" customHeight="1">
      <c r="A236" s="28" t="inlineStr">
        <is>
          <t>iDEAL</t>
        </is>
      </c>
      <c r="B236" s="29" t="inlineStr">
        <is>
          <t>Quality Assurance</t>
        </is>
      </c>
      <c r="C236" s="29" t="n">
        <v>4</v>
      </c>
      <c r="D236" s="29" t="inlineStr">
        <is>
          <t>IRIS2522</t>
        </is>
      </c>
      <c r="E236" s="29" t="inlineStr">
        <is>
          <t>Tulasiram Chand</t>
        </is>
      </c>
      <c r="F236" s="29" t="inlineStr">
        <is>
          <t>QA Automation Engineer</t>
        </is>
      </c>
      <c r="G236" s="29" t="inlineStr">
        <is>
          <t>Senior QA Automation Engineer</t>
        </is>
      </c>
      <c r="H236" s="29" t="inlineStr">
        <is>
          <t>Quality Assurance</t>
        </is>
      </c>
      <c r="I236" s="29" t="inlineStr">
        <is>
          <t>Test Automation</t>
        </is>
      </c>
      <c r="J236" s="29" t="inlineStr">
        <is>
          <t>IC</t>
        </is>
      </c>
      <c r="K236" s="29" t="inlineStr">
        <is>
          <t>RC-146</t>
        </is>
      </c>
      <c r="L236" s="29" t="inlineStr">
        <is>
          <t>Reena Gotal</t>
        </is>
      </c>
      <c r="M236" s="29" t="inlineStr">
        <is>
          <t>IRIS0636</t>
        </is>
      </c>
      <c r="N236" s="29" t="n">
        <v>4.4</v>
      </c>
      <c r="O236" s="29" t="n">
        <v>0.4</v>
      </c>
      <c r="P236" s="29" t="inlineStr">
        <is>
          <t>MCA</t>
        </is>
      </c>
      <c r="Q236" s="29" t="inlineStr">
        <is>
          <t>L3 – Professional / Associate</t>
        </is>
      </c>
      <c r="R236" s="29" t="inlineStr">
        <is>
          <t>A3</t>
        </is>
      </c>
      <c r="S236" s="30" t="inlineStr">
        <is>
          <t>20 of 20</t>
        </is>
      </c>
      <c r="T236" s="31" t="inlineStr">
        <is>
          <t>Complexity: Evidence reads like A3: Playwright/Cucumber scripts, API and database testing, Windows/Linux runs, CI/CD pipeline integration → matches the start
Autonomy: Evidence reads like A2: Decisions listed are generic · 'identify issues, find solutions'; KRA says existing framework is used → moved down 0.5
Accountability: Evidence reads like A2: Own …</t>
        </is>
      </c>
      <c r="U236" s="31" t="inlineStr">
        <is>
          <t>Received · manager annual, quarterly, self · 1. Prepare comprehensive and maintainable test cases based on business requirements and user stories.
2.Ensure the delivery of high-quality software by executing testing activities with comprehensive test coverage and minimal production defects.
3. Complete assigned testing activities within project schedules while …</t>
        </is>
      </c>
      <c r="V236" s="31" t="inlineStr">
        <is>
          <t>Latest rating: 3 · Potential: Medium · 9-box: Reliable Specialist · Readiness: Develop in role</t>
        </is>
      </c>
      <c r="W236" s="31" t="inlineStr">
        <is>
          <t>C M · Au M · Ac M · L L · BI M · Exp H · 4.4 yrs vs 2–4 yrs · Edu H · MCA</t>
        </is>
      </c>
      <c r="X236" s="33" t="inlineStr">
        <is>
          <t>Open ▸</t>
        </is>
      </c>
      <c r="Y236" s="34" t="str">
        <f>IFERROR(INDEX(DL_C,MATCH($CA236,DL_KEY,0)),"M")</f>
        <v>H</v>
      </c>
      <c r="Z236" s="35" t="str">
        <f>IFERROR(INDEX(DL_Au,MATCH($CA236,DL_KEY,0)),"M")</f>
        <v>M</v>
      </c>
      <c r="AA236" s="35" t="str">
        <f>IFERROR(INDEX(DL_Ac,MATCH($CA236,DL_KEY,0)),"M")</f>
        <v>L</v>
      </c>
      <c r="AB236" s="35" t="str">
        <f>IFERROR(INDEX(DL_L,MATCH($CA236,DL_KEY,0)),"M")</f>
        <v>L</v>
      </c>
      <c r="AC236" s="35" t="str">
        <f>IFERROR(INDEX(DL_BI,MATCH($CA236,DL_KEY,0)),"M")</f>
        <v>L</v>
      </c>
      <c r="AD236" s="35" t="str">
        <f>IFERROR(INDEX(DL_Exp,MATCH($CA236,DL_KEY,0)),"M")</f>
        <v>L</v>
      </c>
      <c r="AE236" s="35" t="str">
        <f>IFERROR(INDEX(DL_Edu,MATCH($CA236,DL_KEY,0)),"M")</f>
        <v>L</v>
      </c>
      <c r="AF236" s="34" t="inlineStr">
        <is>
          <t>M</t>
        </is>
      </c>
      <c r="AG236" s="35" t="inlineStr">
        <is>
          <t>M</t>
        </is>
      </c>
      <c r="AH236" s="35" t="inlineStr">
        <is>
          <t>M</t>
        </is>
      </c>
      <c r="AI236" s="35" t="inlineStr">
        <is>
          <t>M</t>
        </is>
      </c>
      <c r="AJ236" s="35" t="inlineStr">
        <is>
          <t>M</t>
        </is>
      </c>
      <c r="AK236" s="35" t="inlineStr">
        <is>
          <t>M</t>
        </is>
      </c>
      <c r="AL236" s="35" t="inlineStr">
        <is>
          <t>M</t>
        </is>
      </c>
      <c r="AM236" s="36" t="n">
        <v>0.583</v>
      </c>
      <c r="AN236" s="37" t="n">
        <v>0.16</v>
      </c>
      <c r="AO236" s="37" t="n">
        <v>0.09</v>
      </c>
      <c r="AP236" s="37" t="n">
        <v>0</v>
      </c>
      <c r="AQ236" s="37" t="n">
        <v>0.063</v>
      </c>
      <c r="AR236" s="37" t="n">
        <v>0.06</v>
      </c>
      <c r="AS236" s="37" t="n">
        <v>0.04</v>
      </c>
      <c r="AT236" s="38" t="inlineStr">
        <is>
          <t>2–5</t>
        </is>
      </c>
      <c r="AU236" s="38" t="inlineStr">
        <is>
          <t>Graduate; relevant certification preferred</t>
        </is>
      </c>
      <c r="AV236" s="38" t="inlineStr">
        <is>
          <t>None · guides 1–3 juniors informally</t>
        </is>
      </c>
      <c r="AW236" s="38" t="inlineStr">
        <is>
          <t>P2 · SFIA 3 Apply</t>
        </is>
      </c>
      <c r="AX23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36" s="39" t="inlineStr">
        <is>
          <t>A3</t>
        </is>
      </c>
      <c r="AZ236" s="40" t="inlineStr">
        <is>
          <t>Band A · Practitioner · Senior Associate</t>
        </is>
      </c>
      <c r="BA236" s="40" t="inlineStr">
        <is>
          <t>Model A3 from the six ratings, the market-derived weights and rules R1–R13 · then No change · already below the manager</t>
        </is>
      </c>
      <c r="BB236" s="41" t="inlineStr">
        <is>
          <t>A3</t>
        </is>
      </c>
      <c r="BC236" s="40" t="inlineStr">
        <is>
          <t>The six ratings on the market-average weights of Band A · all tracks score 2.94 → A3 · Hay, Mercer IPE and public plans · experience 4.4 yrs vs the A3 market range 2–5</t>
        </is>
      </c>
      <c r="BD236" s="42">
        <f>IF(SUM(BM236,BN236,BO236,BP236,BQ236,BR236,BS236)=0,0,(BM236*BT236+BN236*BU236+BO236*BV236+BP236*BW236+BQ236*BX236+BR236*BY236+BS236*BZ236)/SUM(BM236,BN236,BO236,BP236,BQ236,BR236,BS236))</f>
        <v>0</v>
      </c>
      <c r="BE236" s="41" t="str">
        <f>IF(LEFT(AY236,1)="X",AY236,IF(OR(AY236="B+",AY236="C+"),INDEX(LAD_PC,MAX(1,MIN(14,MATCH(AY236,LAD_PC,0)+IF(BD236&gt;=0.5,1,IF(BD236&lt;=-0.5,-1,0))))),INDEX(LAD_STD,MAX(1,MIN(12,MATCH(AY236,LAD_STD,0)+IF(BD236&gt;=0.5,1,IF(BD236&lt;=-0.5,-1,0)))))))</f>
        <v>A3</v>
      </c>
      <c r="BF236" s="43" t="n"/>
      <c r="BG236" s="41" t="str">
        <f>IF(BF236&lt;&gt;"",BF236,BE236)</f>
        <v>A3</v>
      </c>
      <c r="BH236" s="40" t="str">
        <f>IFERROR(CHOOSE(INDEX(B_RANK,MATCH(BG236,B_LVL,0)),"Band A","Band B","B+ · Player-Coach","Band C","C+ · Player-Coach","Band D","Band E"),"Band X · Consultant")</f>
        <v>Band A</v>
      </c>
      <c r="BI236" s="40" t="str">
        <f>IF(BG236=AY236,"• Same",IF(INDEX(B_VAL,MATCH(BG236,B_LVL,0))&gt;INDEX(B_VAL,MATCH(AY236,B_LVL,0)),"▲ Up","▼ Down"))</f>
        <v>• Same</v>
      </c>
      <c r="BJ236" s="40" t="str">
        <f>IF(OR($M236="",$M236="—",$M236="Not in this file"),"",IFERROR(INDEX($BG$7:$BG$592,MATCH($M236,$D$7:$D$592,0)),""))</f>
        <v>B1</v>
      </c>
      <c r="BK236" s="40" t="str">
        <f>IFERROR(IF(BJ236="","—",IF(OR(LEFT(BG236,1)="X",LEFT(BJ236,1)="X"),"—",IF(AND(LEFT(BG236,1)="E",LEFT(BJ236,1)="E"),"Exception · Band E",IF(AND(INDEX(B_VAL,MATCH(BJ236,B_LVL,0))&gt;=7,INDEX(B_RANK,MATCH(BG236,B_LVL,0))&gt;=INDEX(B_RANK,MATCH(BJ236,B_LVL,0))),"⚠ Same band as a head manager",IF(INDEX(B_VAL,MATCH(BG236,B_LVL,0))&gt;=INDEX(B_VAL,MATCH(BJ236,B_LVL,0)),"⚠ At or above the manager's level","OK"))))),"—")</f>
        <v>OK</v>
      </c>
      <c r="BL236" s="43" t="n"/>
      <c r="BM236" s="44">
        <f>IFERROR(INDEX(LMH_PTS,MATCH(Y236,LMH_KEY,0)),0)</f>
        <v>9</v>
      </c>
      <c r="BN236" s="38">
        <f>IFERROR(INDEX(LMH_PTS,MATCH(Z236,LMH_KEY,0)),0)</f>
        <v>3</v>
      </c>
      <c r="BO236" s="38">
        <f>IFERROR(INDEX(LMH_PTS,MATCH(AA236,LMH_KEY,0)),0)</f>
        <v>1</v>
      </c>
      <c r="BP236" s="38">
        <f>IFERROR(INDEX(LMH_PTS,MATCH(AB236,LMH_KEY,0)),0)</f>
        <v>1</v>
      </c>
      <c r="BQ236" s="38">
        <f>IFERROR(INDEX(LMH_PTS,MATCH(AC236,LMH_KEY,0)),0)</f>
        <v>1</v>
      </c>
      <c r="BR236" s="38">
        <f>IFERROR(INDEX(LMH_PTS,MATCH(AD236,LMH_KEY,0)),0)</f>
        <v>1</v>
      </c>
      <c r="BS236" s="38">
        <f>IFERROR(INDEX(LMH_PTS,MATCH(AE236,LMH_KEY,0)),0)</f>
        <v>1</v>
      </c>
      <c r="BT236" s="38">
        <f>IFERROR(INDEX(LMH_STEP,MATCH(AF236,LMH_KEY,0)),0)</f>
        <v>0</v>
      </c>
      <c r="BU236" s="38">
        <f>IFERROR(INDEX(LMH_STEP,MATCH(AG236,LMH_KEY,0)),0)</f>
        <v>0</v>
      </c>
      <c r="BV236" s="38">
        <f>IFERROR(INDEX(LMH_STEP,MATCH(AH236,LMH_KEY,0)),0)</f>
        <v>0</v>
      </c>
      <c r="BW236" s="38">
        <f>IFERROR(INDEX(LMH_STEP,MATCH(AI236,LMH_KEY,0)),0)</f>
        <v>0</v>
      </c>
      <c r="BX236" s="38">
        <f>IFERROR(INDEX(LMH_STEP,MATCH(AJ236,LMH_KEY,0)),0)</f>
        <v>0</v>
      </c>
      <c r="BY236" s="38">
        <f>IFERROR(INDEX(LMH_STEP,MATCH(AK236,LMH_KEY,0)),0)</f>
        <v>0</v>
      </c>
      <c r="BZ236" s="38">
        <f>IFERROR(INDEX(LMH_STEP,MATCH(AL236,LMH_KEY,0)),0)</f>
        <v>0</v>
      </c>
      <c r="CA236" s="38" t="inlineStr">
        <is>
          <t>iDEAL|Quality Assurance|Senior QA Automation Engineer|A3|A</t>
        </is>
      </c>
    </row>
    <row r="237" ht="110" customHeight="1">
      <c r="A237" s="28" t="inlineStr">
        <is>
          <t>iFile</t>
        </is>
      </c>
      <c r="B237" s="29" t="inlineStr">
        <is>
          <t>Sales</t>
        </is>
      </c>
      <c r="C237" s="29" t="n">
        <v>2</v>
      </c>
      <c r="D237" s="29" t="inlineStr">
        <is>
          <t>IRIS0242</t>
        </is>
      </c>
      <c r="E237" s="29" t="inlineStr">
        <is>
          <t>Arup Ganguly</t>
        </is>
      </c>
      <c r="F237" s="29" t="inlineStr">
        <is>
          <t>Head Sales - SupTech</t>
        </is>
      </c>
      <c r="G237" s="29" t="inlineStr">
        <is>
          <t>Head – Sales</t>
        </is>
      </c>
      <c r="H237" s="29" t="inlineStr">
        <is>
          <t>Sales &amp; Business Development</t>
        </is>
      </c>
      <c r="I237" s="29" t="inlineStr">
        <is>
          <t>Sales Leadership</t>
        </is>
      </c>
      <c r="J237" s="29" t="inlineStr">
        <is>
          <t>People Manager</t>
        </is>
      </c>
      <c r="K237" s="29" t="inlineStr">
        <is>
          <t>RC-171</t>
        </is>
      </c>
      <c r="L237" s="29" t="inlineStr">
        <is>
          <t>Shailesh Gupta</t>
        </is>
      </c>
      <c r="M237" s="29" t="inlineStr">
        <is>
          <t>IRIS0012</t>
        </is>
      </c>
      <c r="N237" s="29" t="n">
        <v>24.1</v>
      </c>
      <c r="O237" s="29" t="n">
        <v>17.9</v>
      </c>
      <c r="P237" s="29" t="inlineStr">
        <is>
          <t>MBA</t>
        </is>
      </c>
      <c r="Q237" s="29" t="inlineStr">
        <is>
          <t>Not in current mapping files</t>
        </is>
      </c>
      <c r="R237" s="29" t="inlineStr">
        <is>
          <t>C2</t>
        </is>
      </c>
      <c r="S237" s="30" t="inlineStr">
        <is>
          <t>0 of 20</t>
        </is>
      </c>
      <c r="T237" s="31"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t>
        </is>
      </c>
      <c r="U237" s="32" t="inlineStr">
        <is>
          <t>KRAs not received · manager to supply</t>
        </is>
      </c>
      <c r="V237" s="31" t="inlineStr">
        <is>
          <t>Latest rating: Not rated · manager · 9-box: Not placed · manager · Readiness: No rating data</t>
        </is>
      </c>
      <c r="W237" s="31" t="inlineStr">
        <is>
          <t>C M · Au M · Ac M · L L · BI M · Exp H · 24.1 yrs vs 12–17 yrs · Edu M · MBA</t>
        </is>
      </c>
      <c r="X237" s="33" t="inlineStr">
        <is>
          <t>Open ▸</t>
        </is>
      </c>
      <c r="Y237" s="34" t="str">
        <f>IFERROR(INDEX(DL_C,MATCH($CA237,DL_KEY,0)),"M")</f>
        <v>H</v>
      </c>
      <c r="Z237" s="35" t="str">
        <f>IFERROR(INDEX(DL_Au,MATCH($CA237,DL_KEY,0)),"M")</f>
        <v>M</v>
      </c>
      <c r="AA237" s="35" t="str">
        <f>IFERROR(INDEX(DL_Ac,MATCH($CA237,DL_KEY,0)),"M")</f>
        <v>L</v>
      </c>
      <c r="AB237" s="35" t="str">
        <f>IFERROR(INDEX(DL_L,MATCH($CA237,DL_KEY,0)),"M")</f>
        <v>M</v>
      </c>
      <c r="AC237" s="35" t="str">
        <f>IFERROR(INDEX(DL_BI,MATCH($CA237,DL_KEY,0)),"M")</f>
        <v>M</v>
      </c>
      <c r="AD237" s="35" t="str">
        <f>IFERROR(INDEX(DL_Exp,MATCH($CA237,DL_KEY,0)),"M")</f>
        <v>L</v>
      </c>
      <c r="AE237" s="35" t="str">
        <f>IFERROR(INDEX(DL_Edu,MATCH($CA237,DL_KEY,0)),"M")</f>
        <v>L</v>
      </c>
      <c r="AF237" s="34" t="inlineStr">
        <is>
          <t>M</t>
        </is>
      </c>
      <c r="AG237" s="35" t="inlineStr">
        <is>
          <t>M</t>
        </is>
      </c>
      <c r="AH237" s="35" t="inlineStr">
        <is>
          <t>M</t>
        </is>
      </c>
      <c r="AI237" s="35" t="inlineStr">
        <is>
          <t>M</t>
        </is>
      </c>
      <c r="AJ237" s="35" t="inlineStr">
        <is>
          <t>M</t>
        </is>
      </c>
      <c r="AK237" s="35" t="inlineStr">
        <is>
          <t>M</t>
        </is>
      </c>
      <c r="AL237" s="35" t="inlineStr">
        <is>
          <t>M</t>
        </is>
      </c>
      <c r="AM237" s="36" t="n">
        <v>0.433</v>
      </c>
      <c r="AN237" s="37" t="n">
        <v>0.18</v>
      </c>
      <c r="AO237" s="37" t="n">
        <v>0.107</v>
      </c>
      <c r="AP237" s="37" t="n">
        <v>0.15</v>
      </c>
      <c r="AQ237" s="37" t="n">
        <v>0.08</v>
      </c>
      <c r="AR237" s="37" t="n">
        <v>0.04</v>
      </c>
      <c r="AS237" s="37" t="n">
        <v>0.01</v>
      </c>
      <c r="AT237" s="38" t="inlineStr">
        <is>
          <t>12–17 yrs</t>
        </is>
      </c>
      <c r="AU237" s="38" t="inlineStr">
        <is>
          <t>Postgraduate / professional qualification preferred</t>
        </is>
      </c>
      <c r="AV237" s="38" t="inlineStr">
        <is>
          <t>5–8 managers / associate heads</t>
        </is>
      </c>
      <c r="AW237" s="38" t="inlineStr">
        <is>
          <t>P7 / M6 · SFIA 6 Initiate, influence</t>
        </is>
      </c>
      <c r="AX23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37" s="39" t="inlineStr">
        <is>
          <t>C2</t>
        </is>
      </c>
      <c r="AZ237" s="40" t="inlineStr">
        <is>
          <t>Band C · Principal / Head · Head of Function</t>
        </is>
      </c>
      <c r="BA237" s="40" t="inlineStr">
        <is>
          <t>Model C2 from the six ratings, the market-derived weights and rules R1–R13 · then No change · already below the manager</t>
        </is>
      </c>
      <c r="BB237" s="41" t="inlineStr">
        <is>
          <t>C2</t>
        </is>
      </c>
      <c r="BC237" s="40" t="inlineStr">
        <is>
          <t>The six ratings on the market-average weights of Band C · Head / manager score 7.93 → C2 · Hay, Mercer IPE and public plans · experience 24.1 yrs vs the C2 market range 12–17 yrs</t>
        </is>
      </c>
      <c r="BD237" s="42">
        <f>IF(SUM(BM237,BN237,BO237,BP237,BQ237,BR237,BS237)=0,0,(BM237*BT237+BN237*BU237+BO237*BV237+BP237*BW237+BQ237*BX237+BR237*BY237+BS237*BZ237)/SUM(BM237,BN237,BO237,BP237,BQ237,BR237,BS237))</f>
        <v>0</v>
      </c>
      <c r="BE237" s="41" t="str">
        <f>IF(LEFT(AY237,1)="X",AY237,IF(OR(AY237="B+",AY237="C+"),INDEX(LAD_PC,MAX(1,MIN(14,MATCH(AY237,LAD_PC,0)+IF(BD237&gt;=0.5,1,IF(BD237&lt;=-0.5,-1,0))))),INDEX(LAD_STD,MAX(1,MIN(12,MATCH(AY237,LAD_STD,0)+IF(BD237&gt;=0.5,1,IF(BD237&lt;=-0.5,-1,0)))))))</f>
        <v>C2</v>
      </c>
      <c r="BF237" s="43" t="n"/>
      <c r="BG237" s="41" t="str">
        <f>IF(BF237&lt;&gt;"",BF237,BE237)</f>
        <v>C2</v>
      </c>
      <c r="BH237" s="40" t="str">
        <f>IFERROR(CHOOSE(INDEX(B_RANK,MATCH(BG237,B_LVL,0)),"Band A","Band B","B+ · Player-Coach","Band C","C+ · Player-Coach","Band D","Band E"),"Band X · Consultant")</f>
        <v>Band C</v>
      </c>
      <c r="BI237" s="40" t="str">
        <f>IF(BG237=AY237,"• Same",IF(INDEX(B_VAL,MATCH(BG237,B_LVL,0))&gt;INDEX(B_VAL,MATCH(AY237,B_LVL,0)),"▲ Up","▼ Down"))</f>
        <v>• Same</v>
      </c>
      <c r="BJ237" s="40" t="str">
        <f>IF(OR($M237="",$M237="—",$M237="Not in this file"),"",IFERROR(INDEX($BG$7:$BG$592,MATCH($M237,$D$7:$D$592,0)),""))</f>
        <v>D2</v>
      </c>
      <c r="BK237" s="40" t="str">
        <f>IFERROR(IF(BJ237="","—",IF(OR(LEFT(BG237,1)="X",LEFT(BJ237,1)="X"),"—",IF(AND(LEFT(BG237,1)="E",LEFT(BJ237,1)="E"),"Exception · Band E",IF(AND(INDEX(B_VAL,MATCH(BJ237,B_LVL,0))&gt;=7,INDEX(B_RANK,MATCH(BG237,B_LVL,0))&gt;=INDEX(B_RANK,MATCH(BJ237,B_LVL,0))),"⚠ Same band as a head manager",IF(INDEX(B_VAL,MATCH(BG237,B_LVL,0))&gt;=INDEX(B_VAL,MATCH(BJ237,B_LVL,0)),"⚠ At or above the manager's level","OK"))))),"—")</f>
        <v>OK</v>
      </c>
      <c r="BL237" s="43" t="n"/>
      <c r="BM237" s="44">
        <f>IFERROR(INDEX(LMH_PTS,MATCH(Y237,LMH_KEY,0)),0)</f>
        <v>9</v>
      </c>
      <c r="BN237" s="38">
        <f>IFERROR(INDEX(LMH_PTS,MATCH(Z237,LMH_KEY,0)),0)</f>
        <v>3</v>
      </c>
      <c r="BO237" s="38">
        <f>IFERROR(INDEX(LMH_PTS,MATCH(AA237,LMH_KEY,0)),0)</f>
        <v>1</v>
      </c>
      <c r="BP237" s="38">
        <f>IFERROR(INDEX(LMH_PTS,MATCH(AB237,LMH_KEY,0)),0)</f>
        <v>3</v>
      </c>
      <c r="BQ237" s="38">
        <f>IFERROR(INDEX(LMH_PTS,MATCH(AC237,LMH_KEY,0)),0)</f>
        <v>3</v>
      </c>
      <c r="BR237" s="38">
        <f>IFERROR(INDEX(LMH_PTS,MATCH(AD237,LMH_KEY,0)),0)</f>
        <v>1</v>
      </c>
      <c r="BS237" s="38">
        <f>IFERROR(INDEX(LMH_PTS,MATCH(AE237,LMH_KEY,0)),0)</f>
        <v>1</v>
      </c>
      <c r="BT237" s="38">
        <f>IFERROR(INDEX(LMH_STEP,MATCH(AF237,LMH_KEY,0)),0)</f>
        <v>0</v>
      </c>
      <c r="BU237" s="38">
        <f>IFERROR(INDEX(LMH_STEP,MATCH(AG237,LMH_KEY,0)),0)</f>
        <v>0</v>
      </c>
      <c r="BV237" s="38">
        <f>IFERROR(INDEX(LMH_STEP,MATCH(AH237,LMH_KEY,0)),0)</f>
        <v>0</v>
      </c>
      <c r="BW237" s="38">
        <f>IFERROR(INDEX(LMH_STEP,MATCH(AI237,LMH_KEY,0)),0)</f>
        <v>0</v>
      </c>
      <c r="BX237" s="38">
        <f>IFERROR(INDEX(LMH_STEP,MATCH(AJ237,LMH_KEY,0)),0)</f>
        <v>0</v>
      </c>
      <c r="BY237" s="38">
        <f>IFERROR(INDEX(LMH_STEP,MATCH(AK237,LMH_KEY,0)),0)</f>
        <v>0</v>
      </c>
      <c r="BZ237" s="38">
        <f>IFERROR(INDEX(LMH_STEP,MATCH(AL237,LMH_KEY,0)),0)</f>
        <v>0</v>
      </c>
      <c r="CA237" s="38" t="inlineStr">
        <is>
          <t>iFile|Sales|Head – Sales|C2|C-M</t>
        </is>
      </c>
    </row>
    <row r="238" ht="110" customHeight="1">
      <c r="A238" s="28" t="inlineStr">
        <is>
          <t>iFile</t>
        </is>
      </c>
      <c r="B238" s="29" t="inlineStr">
        <is>
          <t>Sales</t>
        </is>
      </c>
      <c r="C238" s="29" t="n">
        <v>3</v>
      </c>
      <c r="D238" s="29" t="inlineStr">
        <is>
          <t>IRIS1687</t>
        </is>
      </c>
      <c r="E238" s="29" t="inlineStr">
        <is>
          <t>Amit Jaidka</t>
        </is>
      </c>
      <c r="F238" s="29" t="inlineStr">
        <is>
          <t>Manager Sales</t>
        </is>
      </c>
      <c r="G238" s="29" t="inlineStr">
        <is>
          <t>Lead Alliances Specialist – POD Lead</t>
        </is>
      </c>
      <c r="H238" s="29" t="inlineStr">
        <is>
          <t>Sales &amp; Business Development</t>
        </is>
      </c>
      <c r="I238" s="29" t="inlineStr">
        <is>
          <t>Partnerships &amp; Alliances</t>
        </is>
      </c>
      <c r="J238" s="29" t="inlineStr">
        <is>
          <t>POD Lead</t>
        </is>
      </c>
      <c r="K238" s="29" t="inlineStr">
        <is>
          <t>RC-160</t>
        </is>
      </c>
      <c r="L238" s="29" t="inlineStr">
        <is>
          <t>Arup Ganguly</t>
        </is>
      </c>
      <c r="M238" s="29" t="inlineStr">
        <is>
          <t>IRIS0242</t>
        </is>
      </c>
      <c r="N238" s="29" t="n">
        <v>19.8</v>
      </c>
      <c r="O238" s="29" t="n">
        <v>8.800000000000001</v>
      </c>
      <c r="P238" s="29" t="inlineStr">
        <is>
          <t>MBA</t>
        </is>
      </c>
      <c r="Q238" s="29" t="inlineStr">
        <is>
          <t>L5 – Manager</t>
        </is>
      </c>
      <c r="R238" s="29" t="inlineStr">
        <is>
          <t>B3</t>
        </is>
      </c>
      <c r="S238" s="30" t="inlineStr">
        <is>
          <t>20 of 20</t>
        </is>
      </c>
      <c r="T238" s="31" t="inlineStr">
        <is>
          <t>Complexity: Evidence reads like B2: Multi-country, multi-product MEA selling to regulators, banks and partners; tender strategy and negotiation → matches the start
Autonomy: Evidence reads like B2: Decides client strategy; KRA: leads tender strategy, pricing inputs, commercial negotiation, team weekly reviews → matches the start
Accountability: Evidence …</t>
        </is>
      </c>
      <c r="U238" s="31" t="inlineStr">
        <is>
          <t>Received · manager annual, quarterly, self · 1. Achieve assigned MEA revenue and pipeline targets across iFile/SupTech/iDEAL and related opportunities.
2. Convert priority regulator/enterprise opportunities through demos, tenders, partner strategy and commercial negotiation.
3. Build strong partner ecosystem and senior stakeholder relationships across Africa and …</t>
        </is>
      </c>
      <c r="V238" s="31" t="inlineStr">
        <is>
          <t>Latest rating: 5 · Potential: High · 9-box: Future Leader · Readiness: Ready now</t>
        </is>
      </c>
      <c r="W238" s="31" t="inlineStr">
        <is>
          <t>C L · Au L · Ac L · L L · BI M · Exp H · 19.8 yrs vs 8–12 yrs · Edu M · MBA</t>
        </is>
      </c>
      <c r="X238" s="33" t="inlineStr">
        <is>
          <t>Open ▸</t>
        </is>
      </c>
      <c r="Y238" s="34" t="str">
        <f>IFERROR(INDEX(DL_C,MATCH($CA238,DL_KEY,0)),"M")</f>
        <v>H</v>
      </c>
      <c r="Z238" s="35" t="str">
        <f>IFERROR(INDEX(DL_Au,MATCH($CA238,DL_KEY,0)),"M")</f>
        <v>M</v>
      </c>
      <c r="AA238" s="35" t="str">
        <f>IFERROR(INDEX(DL_Ac,MATCH($CA238,DL_KEY,0)),"M")</f>
        <v>L</v>
      </c>
      <c r="AB238" s="35" t="str">
        <f>IFERROR(INDEX(DL_L,MATCH($CA238,DL_KEY,0)),"M")</f>
        <v>L</v>
      </c>
      <c r="AC238" s="35" t="str">
        <f>IFERROR(INDEX(DL_BI,MATCH($CA238,DL_KEY,0)),"M")</f>
        <v>M</v>
      </c>
      <c r="AD238" s="35" t="str">
        <f>IFERROR(INDEX(DL_Exp,MATCH($CA238,DL_KEY,0)),"M")</f>
        <v>L</v>
      </c>
      <c r="AE238" s="35" t="str">
        <f>IFERROR(INDEX(DL_Edu,MATCH($CA238,DL_KEY,0)),"M")</f>
        <v>L</v>
      </c>
      <c r="AF238" s="34" t="inlineStr">
        <is>
          <t>M</t>
        </is>
      </c>
      <c r="AG238" s="35" t="inlineStr">
        <is>
          <t>M</t>
        </is>
      </c>
      <c r="AH238" s="35" t="inlineStr">
        <is>
          <t>M</t>
        </is>
      </c>
      <c r="AI238" s="35" t="inlineStr">
        <is>
          <t>M</t>
        </is>
      </c>
      <c r="AJ238" s="35" t="inlineStr">
        <is>
          <t>M</t>
        </is>
      </c>
      <c r="AK238" s="35" t="inlineStr">
        <is>
          <t>M</t>
        </is>
      </c>
      <c r="AL238" s="35" t="inlineStr">
        <is>
          <t>M</t>
        </is>
      </c>
      <c r="AM238" s="36" t="n">
        <v>0.513</v>
      </c>
      <c r="AN238" s="37" t="n">
        <v>0.173</v>
      </c>
      <c r="AO238" s="37" t="n">
        <v>0.09699999999999999</v>
      </c>
      <c r="AP238" s="37" t="n">
        <v>0.05</v>
      </c>
      <c r="AQ238" s="37" t="n">
        <v>0.07000000000000001</v>
      </c>
      <c r="AR238" s="37" t="n">
        <v>0.06</v>
      </c>
      <c r="AS238" s="37" t="n">
        <v>0.04</v>
      </c>
      <c r="AT238" s="38" t="inlineStr">
        <is>
          <t>8–13</t>
        </is>
      </c>
      <c r="AU238" s="38" t="inlineStr">
        <is>
          <t>Postgraduate or professional qualification preferred</t>
        </is>
      </c>
      <c r="AV238" s="38" t="inlineStr">
        <is>
          <t>IC: none · People: 5–8 incl. team leads</t>
        </is>
      </c>
      <c r="AW238" s="38" t="inlineStr">
        <is>
          <t>P5 / M4 · SFIA 5 Ensure, advise</t>
        </is>
      </c>
      <c r="AX23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38" s="39" t="inlineStr">
        <is>
          <t>B3</t>
        </is>
      </c>
      <c r="AZ238" s="40" t="inlineStr">
        <is>
          <t>Band B · Specialist / Manager · Senior Manager</t>
        </is>
      </c>
      <c r="BA238" s="40" t="inlineStr">
        <is>
          <t>Model B3 from the six ratings, the market-derived weights and rules R1–R13 · then No change · already below the manager</t>
        </is>
      </c>
      <c r="BB238" s="41" t="inlineStr">
        <is>
          <t>B2</t>
        </is>
      </c>
      <c r="BC238" s="40" t="inlineStr">
        <is>
          <t>The six ratings on the market-average weights of Band B · Specialist / POD Lead score 5.48 → B2 · Hay, Mercer IPE and public plans · experience 19.8 yrs vs the B2 market range 6–10</t>
        </is>
      </c>
      <c r="BD238" s="42">
        <f>IF(SUM(BM238,BN238,BO238,BP238,BQ238,BR238,BS238)=0,0,(BM238*BT238+BN238*BU238+BO238*BV238+BP238*BW238+BQ238*BX238+BR238*BY238+BS238*BZ238)/SUM(BM238,BN238,BO238,BP238,BQ238,BR238,BS238))</f>
        <v>0</v>
      </c>
      <c r="BE238" s="41" t="str">
        <f>IF(LEFT(AY238,1)="X",AY238,IF(OR(AY238="B+",AY238="C+"),INDEX(LAD_PC,MAX(1,MIN(14,MATCH(AY238,LAD_PC,0)+IF(BD238&gt;=0.5,1,IF(BD238&lt;=-0.5,-1,0))))),INDEX(LAD_STD,MAX(1,MIN(12,MATCH(AY238,LAD_STD,0)+IF(BD238&gt;=0.5,1,IF(BD238&lt;=-0.5,-1,0)))))))</f>
        <v>B3</v>
      </c>
      <c r="BF238" s="43" t="n"/>
      <c r="BG238" s="41" t="str">
        <f>IF(BF238&lt;&gt;"",BF238,BE238)</f>
        <v>B3</v>
      </c>
      <c r="BH238" s="40" t="str">
        <f>IFERROR(CHOOSE(INDEX(B_RANK,MATCH(BG238,B_LVL,0)),"Band A","Band B","B+ · Player-Coach","Band C","C+ · Player-Coach","Band D","Band E"),"Band X · Consultant")</f>
        <v>Band B</v>
      </c>
      <c r="BI238" s="40" t="str">
        <f>IF(BG238=AY238,"• Same",IF(INDEX(B_VAL,MATCH(BG238,B_LVL,0))&gt;INDEX(B_VAL,MATCH(AY238,B_LVL,0)),"▲ Up","▼ Down"))</f>
        <v>• Same</v>
      </c>
      <c r="BJ238" s="40" t="str">
        <f>IF(OR($M238="",$M238="—",$M238="Not in this file"),"",IFERROR(INDEX($BG$7:$BG$592,MATCH($M238,$D$7:$D$592,0)),""))</f>
        <v>C2</v>
      </c>
      <c r="BK238" s="40" t="str">
        <f>IFERROR(IF(BJ238="","—",IF(OR(LEFT(BG238,1)="X",LEFT(BJ238,1)="X"),"—",IF(AND(LEFT(BG238,1)="E",LEFT(BJ238,1)="E"),"Exception · Band E",IF(AND(INDEX(B_VAL,MATCH(BJ238,B_LVL,0))&gt;=7,INDEX(B_RANK,MATCH(BG238,B_LVL,0))&gt;=INDEX(B_RANK,MATCH(BJ238,B_LVL,0))),"⚠ Same band as a head manager",IF(INDEX(B_VAL,MATCH(BG238,B_LVL,0))&gt;=INDEX(B_VAL,MATCH(BJ238,B_LVL,0)),"⚠ At or above the manager's level","OK"))))),"—")</f>
        <v>OK</v>
      </c>
      <c r="BL238" s="43" t="n"/>
      <c r="BM238" s="44">
        <f>IFERROR(INDEX(LMH_PTS,MATCH(Y238,LMH_KEY,0)),0)</f>
        <v>9</v>
      </c>
      <c r="BN238" s="38">
        <f>IFERROR(INDEX(LMH_PTS,MATCH(Z238,LMH_KEY,0)),0)</f>
        <v>3</v>
      </c>
      <c r="BO238" s="38">
        <f>IFERROR(INDEX(LMH_PTS,MATCH(AA238,LMH_KEY,0)),0)</f>
        <v>1</v>
      </c>
      <c r="BP238" s="38">
        <f>IFERROR(INDEX(LMH_PTS,MATCH(AB238,LMH_KEY,0)),0)</f>
        <v>1</v>
      </c>
      <c r="BQ238" s="38">
        <f>IFERROR(INDEX(LMH_PTS,MATCH(AC238,LMH_KEY,0)),0)</f>
        <v>3</v>
      </c>
      <c r="BR238" s="38">
        <f>IFERROR(INDEX(LMH_PTS,MATCH(AD238,LMH_KEY,0)),0)</f>
        <v>1</v>
      </c>
      <c r="BS238" s="38">
        <f>IFERROR(INDEX(LMH_PTS,MATCH(AE238,LMH_KEY,0)),0)</f>
        <v>1</v>
      </c>
      <c r="BT238" s="38">
        <f>IFERROR(INDEX(LMH_STEP,MATCH(AF238,LMH_KEY,0)),0)</f>
        <v>0</v>
      </c>
      <c r="BU238" s="38">
        <f>IFERROR(INDEX(LMH_STEP,MATCH(AG238,LMH_KEY,0)),0)</f>
        <v>0</v>
      </c>
      <c r="BV238" s="38">
        <f>IFERROR(INDEX(LMH_STEP,MATCH(AH238,LMH_KEY,0)),0)</f>
        <v>0</v>
      </c>
      <c r="BW238" s="38">
        <f>IFERROR(INDEX(LMH_STEP,MATCH(AI238,LMH_KEY,0)),0)</f>
        <v>0</v>
      </c>
      <c r="BX238" s="38">
        <f>IFERROR(INDEX(LMH_STEP,MATCH(AJ238,LMH_KEY,0)),0)</f>
        <v>0</v>
      </c>
      <c r="BY238" s="38">
        <f>IFERROR(INDEX(LMH_STEP,MATCH(AK238,LMH_KEY,0)),0)</f>
        <v>0</v>
      </c>
      <c r="BZ238" s="38">
        <f>IFERROR(INDEX(LMH_STEP,MATCH(AL238,LMH_KEY,0)),0)</f>
        <v>0</v>
      </c>
      <c r="CA238" s="38" t="inlineStr">
        <is>
          <t>iFile|Sales|Lead Alliances Specialist – POD Lead|B3|B-IC</t>
        </is>
      </c>
    </row>
    <row r="239" ht="110" customHeight="1">
      <c r="A239" s="28" t="inlineStr">
        <is>
          <t>iFile</t>
        </is>
      </c>
      <c r="B239" s="29" t="inlineStr">
        <is>
          <t>Sales</t>
        </is>
      </c>
      <c r="C239" s="29" t="n">
        <v>4</v>
      </c>
      <c r="D239" s="29" t="inlineStr">
        <is>
          <t>IRIS2070</t>
        </is>
      </c>
      <c r="E239" s="29" t="inlineStr">
        <is>
          <t>Shreya Jolly</t>
        </is>
      </c>
      <c r="F239" s="29" t="inlineStr">
        <is>
          <t>Assistant Manager Sales</t>
        </is>
      </c>
      <c r="G239" s="29" t="inlineStr">
        <is>
          <t>Account Executive – POD Lead</t>
        </is>
      </c>
      <c r="H239" s="29" t="inlineStr">
        <is>
          <t>Sales &amp; Business Development</t>
        </is>
      </c>
      <c r="I239" s="29" t="inlineStr">
        <is>
          <t>Enterprise Sales &amp; Account Management</t>
        </is>
      </c>
      <c r="J239" s="29" t="inlineStr">
        <is>
          <t>POD Lead</t>
        </is>
      </c>
      <c r="K239" s="29" t="inlineStr">
        <is>
          <t>RC-151</t>
        </is>
      </c>
      <c r="L239" s="29" t="inlineStr">
        <is>
          <t>Amit Jaidka</t>
        </is>
      </c>
      <c r="M239" s="29" t="inlineStr">
        <is>
          <t>IRIS1687</t>
        </is>
      </c>
      <c r="N239" s="29" t="n">
        <v>5</v>
      </c>
      <c r="O239" s="29" t="n">
        <v>3.9</v>
      </c>
      <c r="P239" s="29" t="inlineStr">
        <is>
          <t>MBA</t>
        </is>
      </c>
      <c r="Q239" s="29" t="inlineStr">
        <is>
          <t>L5 – Assistant Manager</t>
        </is>
      </c>
      <c r="R239" s="29" t="inlineStr">
        <is>
          <t>B1</t>
        </is>
      </c>
      <c r="S239" s="30" t="inlineStr">
        <is>
          <t>20 of 20</t>
        </is>
      </c>
      <c r="T239" s="31" t="inlineStr">
        <is>
          <t>Complexity: Evidence reads like B1: Compliance-driven sales across Africa/ASEAN regulators: proposals, pricing negotiation, contract clauses, onboarding, renewals → matches the start
Autonomy: Evidence reads like B1: Decides deal priorities, negotiation approach, proposal structure; allocates tasks to two reports → matches the start
Accountability: Evidence …</t>
        </is>
      </c>
      <c r="U239" s="31" t="inlineStr">
        <is>
          <t>Received · manager annual, quarterly, self · Q1: Deliver assigned sales pipeline and revenue contribution across iFile/INSTANT/CARBON accounts.
Q1: Lead customer engagement and ensure timely movement of opportunities from lead to demo, proposal and closure.
Q1: Manage interns/junior resources with weekly task plans, output review and measurable productivity.
Q1: …</t>
        </is>
      </c>
      <c r="V239" s="31" t="inlineStr">
        <is>
          <t>Latest rating: 4 · Potential: High · 9-box: High Impact / Growth Talent · Readiness: Ready now</t>
        </is>
      </c>
      <c r="W239" s="31" t="inlineStr">
        <is>
          <t>C M · Au M · Ac M · L M · BI H · Exp M · 5 yrs vs 4–7 yrs · Edu H · MBA</t>
        </is>
      </c>
      <c r="X239" s="33" t="inlineStr">
        <is>
          <t>Open ▸</t>
        </is>
      </c>
      <c r="Y239" s="34" t="str">
        <f>IFERROR(INDEX(DL_C,MATCH($CA239,DL_KEY,0)),"M")</f>
        <v>H</v>
      </c>
      <c r="Z239" s="35" t="str">
        <f>IFERROR(INDEX(DL_Au,MATCH($CA239,DL_KEY,0)),"M")</f>
        <v>M</v>
      </c>
      <c r="AA239" s="35" t="str">
        <f>IFERROR(INDEX(DL_Ac,MATCH($CA239,DL_KEY,0)),"M")</f>
        <v>L</v>
      </c>
      <c r="AB239" s="35" t="str">
        <f>IFERROR(INDEX(DL_L,MATCH($CA239,DL_KEY,0)),"M")</f>
        <v>L</v>
      </c>
      <c r="AC239" s="35" t="str">
        <f>IFERROR(INDEX(DL_BI,MATCH($CA239,DL_KEY,0)),"M")</f>
        <v>M</v>
      </c>
      <c r="AD239" s="35" t="str">
        <f>IFERROR(INDEX(DL_Exp,MATCH($CA239,DL_KEY,0)),"M")</f>
        <v>L</v>
      </c>
      <c r="AE239" s="35" t="str">
        <f>IFERROR(INDEX(DL_Edu,MATCH($CA239,DL_KEY,0)),"M")</f>
        <v>L</v>
      </c>
      <c r="AF239" s="34" t="inlineStr">
        <is>
          <t>M</t>
        </is>
      </c>
      <c r="AG239" s="35" t="inlineStr">
        <is>
          <t>M</t>
        </is>
      </c>
      <c r="AH239" s="35" t="inlineStr">
        <is>
          <t>M</t>
        </is>
      </c>
      <c r="AI239" s="35" t="inlineStr">
        <is>
          <t>M</t>
        </is>
      </c>
      <c r="AJ239" s="35" t="inlineStr">
        <is>
          <t>M</t>
        </is>
      </c>
      <c r="AK239" s="35" t="inlineStr">
        <is>
          <t>M</t>
        </is>
      </c>
      <c r="AL239" s="35" t="inlineStr">
        <is>
          <t>M</t>
        </is>
      </c>
      <c r="AM239" s="36" t="n">
        <v>0.513</v>
      </c>
      <c r="AN239" s="37" t="n">
        <v>0.173</v>
      </c>
      <c r="AO239" s="37" t="n">
        <v>0.09699999999999999</v>
      </c>
      <c r="AP239" s="37" t="n">
        <v>0.05</v>
      </c>
      <c r="AQ239" s="37" t="n">
        <v>0.07000000000000001</v>
      </c>
      <c r="AR239" s="37" t="n">
        <v>0.06</v>
      </c>
      <c r="AS239" s="37" t="n">
        <v>0.04</v>
      </c>
      <c r="AT239" s="38" t="inlineStr">
        <is>
          <t>4–8</t>
        </is>
      </c>
      <c r="AU239" s="38" t="inlineStr">
        <is>
          <t>Graduate + relevant qualification or certification preferred</t>
        </is>
      </c>
      <c r="AV239" s="38" t="inlineStr">
        <is>
          <t>IC: none · Team Lead: 3–5</t>
        </is>
      </c>
      <c r="AW239" s="38" t="inlineStr">
        <is>
          <t>P3 / M2 · SFIA 4 Enable</t>
        </is>
      </c>
      <c r="AX23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39" s="39" t="inlineStr">
        <is>
          <t>B1</t>
        </is>
      </c>
      <c r="AZ239" s="40" t="inlineStr">
        <is>
          <t>Band B · Specialist / Manager · Team Lead / Asst Manager</t>
        </is>
      </c>
      <c r="BA239" s="40" t="inlineStr">
        <is>
          <t>Model B1 from the six ratings, the market-derived weights and rules R1–R13 · then No change · already below the manager</t>
        </is>
      </c>
      <c r="BB239" s="41" t="inlineStr">
        <is>
          <t>B1</t>
        </is>
      </c>
      <c r="BC239" s="40" t="inlineStr">
        <is>
          <t>The six ratings on the market-average weights of Band B · Specialist / POD Lead score 4.17 → B1 · Hay, Mercer IPE and public plans · experience 5 yrs vs the B1 market range 4–8</t>
        </is>
      </c>
      <c r="BD239" s="42">
        <f>IF(SUM(BM239,BN239,BO239,BP239,BQ239,BR239,BS239)=0,0,(BM239*BT239+BN239*BU239+BO239*BV239+BP239*BW239+BQ239*BX239+BR239*BY239+BS239*BZ239)/SUM(BM239,BN239,BO239,BP239,BQ239,BR239,BS239))</f>
        <v>0</v>
      </c>
      <c r="BE239" s="41" t="str">
        <f>IF(LEFT(AY239,1)="X",AY239,IF(OR(AY239="B+",AY239="C+"),INDEX(LAD_PC,MAX(1,MIN(14,MATCH(AY239,LAD_PC,0)+IF(BD239&gt;=0.5,1,IF(BD239&lt;=-0.5,-1,0))))),INDEX(LAD_STD,MAX(1,MIN(12,MATCH(AY239,LAD_STD,0)+IF(BD239&gt;=0.5,1,IF(BD239&lt;=-0.5,-1,0)))))))</f>
        <v>B1</v>
      </c>
      <c r="BF239" s="43" t="n"/>
      <c r="BG239" s="41" t="str">
        <f>IF(BF239&lt;&gt;"",BF239,BE239)</f>
        <v>B1</v>
      </c>
      <c r="BH239" s="40" t="str">
        <f>IFERROR(CHOOSE(INDEX(B_RANK,MATCH(BG239,B_LVL,0)),"Band A","Band B","B+ · Player-Coach","Band C","C+ · Player-Coach","Band D","Band E"),"Band X · Consultant")</f>
        <v>Band B</v>
      </c>
      <c r="BI239" s="40" t="str">
        <f>IF(BG239=AY239,"• Same",IF(INDEX(B_VAL,MATCH(BG239,B_LVL,0))&gt;INDEX(B_VAL,MATCH(AY239,B_LVL,0)),"▲ Up","▼ Down"))</f>
        <v>• Same</v>
      </c>
      <c r="BJ239" s="40" t="str">
        <f>IF(OR($M239="",$M239="—",$M239="Not in this file"),"",IFERROR(INDEX($BG$7:$BG$592,MATCH($M239,$D$7:$D$592,0)),""))</f>
        <v>B3</v>
      </c>
      <c r="BK239" s="40" t="str">
        <f>IFERROR(IF(BJ239="","—",IF(OR(LEFT(BG239,1)="X",LEFT(BJ239,1)="X"),"—",IF(AND(LEFT(BG239,1)="E",LEFT(BJ239,1)="E"),"Exception · Band E",IF(AND(INDEX(B_VAL,MATCH(BJ239,B_LVL,0))&gt;=7,INDEX(B_RANK,MATCH(BG239,B_LVL,0))&gt;=INDEX(B_RANK,MATCH(BJ239,B_LVL,0))),"⚠ Same band as a head manager",IF(INDEX(B_VAL,MATCH(BG239,B_LVL,0))&gt;=INDEX(B_VAL,MATCH(BJ239,B_LVL,0)),"⚠ At or above the manager's level","OK"))))),"—")</f>
        <v>OK</v>
      </c>
      <c r="BL239" s="43" t="n"/>
      <c r="BM239" s="44">
        <f>IFERROR(INDEX(LMH_PTS,MATCH(Y239,LMH_KEY,0)),0)</f>
        <v>9</v>
      </c>
      <c r="BN239" s="38">
        <f>IFERROR(INDEX(LMH_PTS,MATCH(Z239,LMH_KEY,0)),0)</f>
        <v>3</v>
      </c>
      <c r="BO239" s="38">
        <f>IFERROR(INDEX(LMH_PTS,MATCH(AA239,LMH_KEY,0)),0)</f>
        <v>1</v>
      </c>
      <c r="BP239" s="38">
        <f>IFERROR(INDEX(LMH_PTS,MATCH(AB239,LMH_KEY,0)),0)</f>
        <v>1</v>
      </c>
      <c r="BQ239" s="38">
        <f>IFERROR(INDEX(LMH_PTS,MATCH(AC239,LMH_KEY,0)),0)</f>
        <v>3</v>
      </c>
      <c r="BR239" s="38">
        <f>IFERROR(INDEX(LMH_PTS,MATCH(AD239,LMH_KEY,0)),0)</f>
        <v>1</v>
      </c>
      <c r="BS239" s="38">
        <f>IFERROR(INDEX(LMH_PTS,MATCH(AE239,LMH_KEY,0)),0)</f>
        <v>1</v>
      </c>
      <c r="BT239" s="38">
        <f>IFERROR(INDEX(LMH_STEP,MATCH(AF239,LMH_KEY,0)),0)</f>
        <v>0</v>
      </c>
      <c r="BU239" s="38">
        <f>IFERROR(INDEX(LMH_STEP,MATCH(AG239,LMH_KEY,0)),0)</f>
        <v>0</v>
      </c>
      <c r="BV239" s="38">
        <f>IFERROR(INDEX(LMH_STEP,MATCH(AH239,LMH_KEY,0)),0)</f>
        <v>0</v>
      </c>
      <c r="BW239" s="38">
        <f>IFERROR(INDEX(LMH_STEP,MATCH(AI239,LMH_KEY,0)),0)</f>
        <v>0</v>
      </c>
      <c r="BX239" s="38">
        <f>IFERROR(INDEX(LMH_STEP,MATCH(AJ239,LMH_KEY,0)),0)</f>
        <v>0</v>
      </c>
      <c r="BY239" s="38">
        <f>IFERROR(INDEX(LMH_STEP,MATCH(AK239,LMH_KEY,0)),0)</f>
        <v>0</v>
      </c>
      <c r="BZ239" s="38">
        <f>IFERROR(INDEX(LMH_STEP,MATCH(AL239,LMH_KEY,0)),0)</f>
        <v>0</v>
      </c>
      <c r="CA239" s="38" t="inlineStr">
        <is>
          <t>iFile|Sales|Account Executive – POD Lead|B1|B-IC</t>
        </is>
      </c>
    </row>
    <row r="240" ht="110" customHeight="1">
      <c r="A240" s="28" t="inlineStr">
        <is>
          <t>iDEAL</t>
        </is>
      </c>
      <c r="B240" s="29" t="inlineStr">
        <is>
          <t>Sales</t>
        </is>
      </c>
      <c r="C240" s="29" t="n">
        <v>5</v>
      </c>
      <c r="D240" s="29" t="inlineStr">
        <is>
          <t>IRIS2540</t>
        </is>
      </c>
      <c r="E240" s="29" t="inlineStr">
        <is>
          <t>Deepali Barai</t>
        </is>
      </c>
      <c r="F240" s="29" t="inlineStr">
        <is>
          <t>Business Development Manager</t>
        </is>
      </c>
      <c r="G240" s="29" t="inlineStr">
        <is>
          <t>Account Executive</t>
        </is>
      </c>
      <c r="H240" s="29" t="inlineStr">
        <is>
          <t>Sales &amp; Business Development</t>
        </is>
      </c>
      <c r="I240" s="29" t="inlineStr">
        <is>
          <t>Enterprise Sales &amp; Account Management</t>
        </is>
      </c>
      <c r="J240" s="29" t="inlineStr">
        <is>
          <t>IC</t>
        </is>
      </c>
      <c r="K240" s="29" t="inlineStr">
        <is>
          <t>RC-151</t>
        </is>
      </c>
      <c r="L240" s="29" t="inlineStr">
        <is>
          <t>Shreya Jolly</t>
        </is>
      </c>
      <c r="M240" s="29" t="inlineStr">
        <is>
          <t>IRIS2070</t>
        </is>
      </c>
      <c r="N240" s="29" t="n">
        <v>4.6</v>
      </c>
      <c r="O240" s="29" t="n">
        <v>0.3</v>
      </c>
      <c r="P240" s="29" t="inlineStr">
        <is>
          <t>B.E</t>
        </is>
      </c>
      <c r="Q240" s="29" t="inlineStr">
        <is>
          <t>Not in current mapping files</t>
        </is>
      </c>
      <c r="R240" s="29" t="inlineStr">
        <is>
          <t>B1</t>
        </is>
      </c>
      <c r="S240" s="30" t="inlineStr">
        <is>
          <t>18 of 20</t>
        </is>
      </c>
      <c r="T240" s="31" t="inlineStr">
        <is>
          <t>Complexity: Evidence reads like A2: Prospecting, cold calls, emails, LinkedIn outreach and client demos for the Africa region → moved down 1
Autonomy: Evidence reads like A2: Decides only own prospecting and cold calls → moved down 1
Accountability: Evidence reads like B1: Names a revenue target and demo set-up; outputs are meetings, calls and demos for …</t>
        </is>
      </c>
      <c r="U240" s="32" t="inlineStr">
        <is>
          <t>KRAs not received · manager to supply</t>
        </is>
      </c>
      <c r="V240" s="31" t="inlineStr">
        <is>
          <t>Latest rating: Not rated · manager · 9-box: Not placed · manager · Readiness: No rating data</t>
        </is>
      </c>
      <c r="W240" s="31" t="inlineStr">
        <is>
          <t>C H · Au H · Ac H · L M · BI H · Exp H · 4.6 yrs vs 2–4 yrs · Edu M · B.E</t>
        </is>
      </c>
      <c r="X240" s="33" t="inlineStr">
        <is>
          <t>Open ▸</t>
        </is>
      </c>
      <c r="Y240" s="34" t="str">
        <f>IFERROR(INDEX(DL_C,MATCH($CA240,DL_KEY,0)),"M")</f>
        <v>H</v>
      </c>
      <c r="Z240" s="35" t="str">
        <f>IFERROR(INDEX(DL_Au,MATCH($CA240,DL_KEY,0)),"M")</f>
        <v>M</v>
      </c>
      <c r="AA240" s="35" t="str">
        <f>IFERROR(INDEX(DL_Ac,MATCH($CA240,DL_KEY,0)),"M")</f>
        <v>L</v>
      </c>
      <c r="AB240" s="35" t="str">
        <f>IFERROR(INDEX(DL_L,MATCH($CA240,DL_KEY,0)),"M")</f>
        <v>L</v>
      </c>
      <c r="AC240" s="35" t="str">
        <f>IFERROR(INDEX(DL_BI,MATCH($CA240,DL_KEY,0)),"M")</f>
        <v>M</v>
      </c>
      <c r="AD240" s="35" t="str">
        <f>IFERROR(INDEX(DL_Exp,MATCH($CA240,DL_KEY,0)),"M")</f>
        <v>L</v>
      </c>
      <c r="AE240" s="35" t="str">
        <f>IFERROR(INDEX(DL_Edu,MATCH($CA240,DL_KEY,0)),"M")</f>
        <v>L</v>
      </c>
      <c r="AF240" s="34" t="inlineStr">
        <is>
          <t>M</t>
        </is>
      </c>
      <c r="AG240" s="35" t="inlineStr">
        <is>
          <t>M</t>
        </is>
      </c>
      <c r="AH240" s="35" t="inlineStr">
        <is>
          <t>M</t>
        </is>
      </c>
      <c r="AI240" s="35" t="inlineStr">
        <is>
          <t>M</t>
        </is>
      </c>
      <c r="AJ240" s="35" t="inlineStr">
        <is>
          <t>M</t>
        </is>
      </c>
      <c r="AK240" s="35" t="inlineStr">
        <is>
          <t>M</t>
        </is>
      </c>
      <c r="AL240" s="35" t="inlineStr">
        <is>
          <t>M</t>
        </is>
      </c>
      <c r="AM240" s="36" t="n">
        <v>0.583</v>
      </c>
      <c r="AN240" s="37" t="n">
        <v>0.16</v>
      </c>
      <c r="AO240" s="37" t="n">
        <v>0.09</v>
      </c>
      <c r="AP240" s="37" t="n">
        <v>0</v>
      </c>
      <c r="AQ240" s="37" t="n">
        <v>0.063</v>
      </c>
      <c r="AR240" s="37" t="n">
        <v>0.06</v>
      </c>
      <c r="AS240" s="37" t="n">
        <v>0.04</v>
      </c>
      <c r="AT240" s="38" t="inlineStr">
        <is>
          <t>2–5</t>
        </is>
      </c>
      <c r="AU240" s="38" t="inlineStr">
        <is>
          <t>Graduate; relevant certification preferred</t>
        </is>
      </c>
      <c r="AV240" s="38" t="inlineStr">
        <is>
          <t>None · guides 1–3 juniors informally</t>
        </is>
      </c>
      <c r="AW240" s="38" t="inlineStr">
        <is>
          <t>P2 · SFIA 3 Apply</t>
        </is>
      </c>
      <c r="AX24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40" s="39" t="inlineStr">
        <is>
          <t>A3</t>
        </is>
      </c>
      <c r="AZ240" s="40" t="inlineStr">
        <is>
          <t>Band A · Practitioner · Senior Associate</t>
        </is>
      </c>
      <c r="BA240" s="40" t="inlineStr">
        <is>
          <t>Model B1 from the six ratings, the market-derived weights and rules R1–R13 · then Level rule: manager B1; a reportee sits at least one level below · B1 → A3 · move down · pay and title protected for one cycle</t>
        </is>
      </c>
      <c r="BB240" s="41" t="inlineStr">
        <is>
          <t>B1</t>
        </is>
      </c>
      <c r="BC240" s="40" t="inlineStr">
        <is>
          <t>The six ratings on the market-average weights of Band A · all tracks score 4.03 → B1 · Hay, Mercer IPE and public plans · experience 4.6 yrs vs the B1 market range 4–8</t>
        </is>
      </c>
      <c r="BD240" s="42">
        <f>IF(SUM(BM240,BN240,BO240,BP240,BQ240,BR240,BS240)=0,0,(BM240*BT240+BN240*BU240+BO240*BV240+BP240*BW240+BQ240*BX240+BR240*BY240+BS240*BZ240)/SUM(BM240,BN240,BO240,BP240,BQ240,BR240,BS240))</f>
        <v>0</v>
      </c>
      <c r="BE240" s="41" t="str">
        <f>IF(LEFT(AY240,1)="X",AY240,IF(OR(AY240="B+",AY240="C+"),INDEX(LAD_PC,MAX(1,MIN(14,MATCH(AY240,LAD_PC,0)+IF(BD240&gt;=0.5,1,IF(BD240&lt;=-0.5,-1,0))))),INDEX(LAD_STD,MAX(1,MIN(12,MATCH(AY240,LAD_STD,0)+IF(BD240&gt;=0.5,1,IF(BD240&lt;=-0.5,-1,0)))))))</f>
        <v>A3</v>
      </c>
      <c r="BF240" s="43" t="n"/>
      <c r="BG240" s="41" t="str">
        <f>IF(BF240&lt;&gt;"",BF240,BE240)</f>
        <v>A3</v>
      </c>
      <c r="BH240" s="40" t="str">
        <f>IFERROR(CHOOSE(INDEX(B_RANK,MATCH(BG240,B_LVL,0)),"Band A","Band B","B+ · Player-Coach","Band C","C+ · Player-Coach","Band D","Band E"),"Band X · Consultant")</f>
        <v>Band A</v>
      </c>
      <c r="BI240" s="40" t="str">
        <f>IF(BG240=AY240,"• Same",IF(INDEX(B_VAL,MATCH(BG240,B_LVL,0))&gt;INDEX(B_VAL,MATCH(AY240,B_LVL,0)),"▲ Up","▼ Down"))</f>
        <v>• Same</v>
      </c>
      <c r="BJ240" s="40" t="str">
        <f>IF(OR($M240="",$M240="—",$M240="Not in this file"),"",IFERROR(INDEX($BG$7:$BG$592,MATCH($M240,$D$7:$D$592,0)),""))</f>
        <v>B1</v>
      </c>
      <c r="BK240" s="40" t="str">
        <f>IFERROR(IF(BJ240="","—",IF(OR(LEFT(BG240,1)="X",LEFT(BJ240,1)="X"),"—",IF(AND(LEFT(BG240,1)="E",LEFT(BJ240,1)="E"),"Exception · Band E",IF(AND(INDEX(B_VAL,MATCH(BJ240,B_LVL,0))&gt;=7,INDEX(B_RANK,MATCH(BG240,B_LVL,0))&gt;=INDEX(B_RANK,MATCH(BJ240,B_LVL,0))),"⚠ Same band as a head manager",IF(INDEX(B_VAL,MATCH(BG240,B_LVL,0))&gt;=INDEX(B_VAL,MATCH(BJ240,B_LVL,0)),"⚠ At or above the manager's level","OK"))))),"—")</f>
        <v>OK</v>
      </c>
      <c r="BL240" s="43" t="n"/>
      <c r="BM240" s="44">
        <f>IFERROR(INDEX(LMH_PTS,MATCH(Y240,LMH_KEY,0)),0)</f>
        <v>9</v>
      </c>
      <c r="BN240" s="38">
        <f>IFERROR(INDEX(LMH_PTS,MATCH(Z240,LMH_KEY,0)),0)</f>
        <v>3</v>
      </c>
      <c r="BO240" s="38">
        <f>IFERROR(INDEX(LMH_PTS,MATCH(AA240,LMH_KEY,0)),0)</f>
        <v>1</v>
      </c>
      <c r="BP240" s="38">
        <f>IFERROR(INDEX(LMH_PTS,MATCH(AB240,LMH_KEY,0)),0)</f>
        <v>1</v>
      </c>
      <c r="BQ240" s="38">
        <f>IFERROR(INDEX(LMH_PTS,MATCH(AC240,LMH_KEY,0)),0)</f>
        <v>3</v>
      </c>
      <c r="BR240" s="38">
        <f>IFERROR(INDEX(LMH_PTS,MATCH(AD240,LMH_KEY,0)),0)</f>
        <v>1</v>
      </c>
      <c r="BS240" s="38">
        <f>IFERROR(INDEX(LMH_PTS,MATCH(AE240,LMH_KEY,0)),0)</f>
        <v>1</v>
      </c>
      <c r="BT240" s="38">
        <f>IFERROR(INDEX(LMH_STEP,MATCH(AF240,LMH_KEY,0)),0)</f>
        <v>0</v>
      </c>
      <c r="BU240" s="38">
        <f>IFERROR(INDEX(LMH_STEP,MATCH(AG240,LMH_KEY,0)),0)</f>
        <v>0</v>
      </c>
      <c r="BV240" s="38">
        <f>IFERROR(INDEX(LMH_STEP,MATCH(AH240,LMH_KEY,0)),0)</f>
        <v>0</v>
      </c>
      <c r="BW240" s="38">
        <f>IFERROR(INDEX(LMH_STEP,MATCH(AI240,LMH_KEY,0)),0)</f>
        <v>0</v>
      </c>
      <c r="BX240" s="38">
        <f>IFERROR(INDEX(LMH_STEP,MATCH(AJ240,LMH_KEY,0)),0)</f>
        <v>0</v>
      </c>
      <c r="BY240" s="38">
        <f>IFERROR(INDEX(LMH_STEP,MATCH(AK240,LMH_KEY,0)),0)</f>
        <v>0</v>
      </c>
      <c r="BZ240" s="38">
        <f>IFERROR(INDEX(LMH_STEP,MATCH(AL240,LMH_KEY,0)),0)</f>
        <v>0</v>
      </c>
      <c r="CA240" s="38" t="inlineStr">
        <is>
          <t>iDEAL|Sales|Account Executive|A3|A</t>
        </is>
      </c>
    </row>
    <row r="241" ht="110" customHeight="1">
      <c r="A241" s="28" t="inlineStr">
        <is>
          <t>iDEAL</t>
        </is>
      </c>
      <c r="B241" s="29" t="inlineStr">
        <is>
          <t>Sales</t>
        </is>
      </c>
      <c r="C241" s="29" t="n">
        <v>5</v>
      </c>
      <c r="D241" s="29" t="inlineStr">
        <is>
          <t>IRIS2481</t>
        </is>
      </c>
      <c r="E241" s="29" t="inlineStr">
        <is>
          <t>Shreya Sharma</t>
        </is>
      </c>
      <c r="F241" s="29" t="inlineStr">
        <is>
          <t>Senior Sales Executive</t>
        </is>
      </c>
      <c r="G241" s="29" t="inlineStr">
        <is>
          <t>Senior Alliances Executive</t>
        </is>
      </c>
      <c r="H241" s="29" t="inlineStr">
        <is>
          <t>Sales &amp; Business Development</t>
        </is>
      </c>
      <c r="I241" s="29" t="inlineStr">
        <is>
          <t>Partnerships &amp; Alliances</t>
        </is>
      </c>
      <c r="J241" s="29" t="inlineStr">
        <is>
          <t>IC</t>
        </is>
      </c>
      <c r="K241" s="29" t="inlineStr">
        <is>
          <t>RC-159</t>
        </is>
      </c>
      <c r="L241" s="29" t="inlineStr">
        <is>
          <t>Shreya Jolly</t>
        </is>
      </c>
      <c r="M241" s="29" t="inlineStr">
        <is>
          <t>IRIS2070</t>
        </is>
      </c>
      <c r="N241" s="29" t="n">
        <v>4.4</v>
      </c>
      <c r="O241" s="29" t="n">
        <v>0.6</v>
      </c>
      <c r="P241" s="29" t="inlineStr">
        <is>
          <t>B.Com</t>
        </is>
      </c>
      <c r="Q241" s="29" t="inlineStr">
        <is>
          <t>L4 – Senior</t>
        </is>
      </c>
      <c r="R241" s="29" t="inlineStr">
        <is>
          <t>A3</t>
        </is>
      </c>
      <c r="S241" s="30" t="inlineStr">
        <is>
          <t>20 of 20</t>
        </is>
      </c>
      <c r="T241" s="31" t="inlineStr">
        <is>
          <t>Complexity: Evidence reads like A3: Full cycle for one market: prospecting, cold outreach, giving demos, proposals, partnerships, sales reports → matches the start
Autonomy: Evidence reads like A2: Decides emails, collateral sharing and fresh prospecting → moved down 0.5
Accountability: Evidence reads like B1: Handles an entire market; accountable for …</t>
        </is>
      </c>
      <c r="U241" s="31" t="inlineStr">
        <is>
          <t>Received · manager annual, quarterly, self · 1. Achieve assigned annual sales / revenue quota · target: 80 Lakhs
2. Build and maintain qualified pipeline of &gt;=3x quota coverage
3. Maintain healthy win rate · &gt;=20% on qualified opportunities
4. Keep CRM hygiene at 100% · all opportunities &amp; activities logged &amp; current
5. Drive new logo/business acquisition: meet …</t>
        </is>
      </c>
      <c r="V241" s="31" t="inlineStr">
        <is>
          <t>Latest rating: 3 · Potential: High · 9-box: Emerging Talent · Readiness: Ready in 6–12 months</t>
        </is>
      </c>
      <c r="W241" s="31" t="inlineStr">
        <is>
          <t>C M · Au M · Ac M · L L · BI H · Exp H · 4.4 yrs vs 2–4 yrs · Edu M · B.Com</t>
        </is>
      </c>
      <c r="X241" s="33" t="inlineStr">
        <is>
          <t>Open ▸</t>
        </is>
      </c>
      <c r="Y241" s="34" t="str">
        <f>IFERROR(INDEX(DL_C,MATCH($CA241,DL_KEY,0)),"M")</f>
        <v>H</v>
      </c>
      <c r="Z241" s="35" t="str">
        <f>IFERROR(INDEX(DL_Au,MATCH($CA241,DL_KEY,0)),"M")</f>
        <v>M</v>
      </c>
      <c r="AA241" s="35" t="str">
        <f>IFERROR(INDEX(DL_Ac,MATCH($CA241,DL_KEY,0)),"M")</f>
        <v>L</v>
      </c>
      <c r="AB241" s="35" t="str">
        <f>IFERROR(INDEX(DL_L,MATCH($CA241,DL_KEY,0)),"M")</f>
        <v>L</v>
      </c>
      <c r="AC241" s="35" t="str">
        <f>IFERROR(INDEX(DL_BI,MATCH($CA241,DL_KEY,0)),"M")</f>
        <v>M</v>
      </c>
      <c r="AD241" s="35" t="str">
        <f>IFERROR(INDEX(DL_Exp,MATCH($CA241,DL_KEY,0)),"M")</f>
        <v>L</v>
      </c>
      <c r="AE241" s="35" t="str">
        <f>IFERROR(INDEX(DL_Edu,MATCH($CA241,DL_KEY,0)),"M")</f>
        <v>L</v>
      </c>
      <c r="AF241" s="34" t="inlineStr">
        <is>
          <t>M</t>
        </is>
      </c>
      <c r="AG241" s="35" t="inlineStr">
        <is>
          <t>M</t>
        </is>
      </c>
      <c r="AH241" s="35" t="inlineStr">
        <is>
          <t>M</t>
        </is>
      </c>
      <c r="AI241" s="35" t="inlineStr">
        <is>
          <t>M</t>
        </is>
      </c>
      <c r="AJ241" s="35" t="inlineStr">
        <is>
          <t>M</t>
        </is>
      </c>
      <c r="AK241" s="35" t="inlineStr">
        <is>
          <t>M</t>
        </is>
      </c>
      <c r="AL241" s="35" t="inlineStr">
        <is>
          <t>M</t>
        </is>
      </c>
      <c r="AM241" s="36" t="n">
        <v>0.583</v>
      </c>
      <c r="AN241" s="37" t="n">
        <v>0.16</v>
      </c>
      <c r="AO241" s="37" t="n">
        <v>0.09</v>
      </c>
      <c r="AP241" s="37" t="n">
        <v>0</v>
      </c>
      <c r="AQ241" s="37" t="n">
        <v>0.063</v>
      </c>
      <c r="AR241" s="37" t="n">
        <v>0.06</v>
      </c>
      <c r="AS241" s="37" t="n">
        <v>0.04</v>
      </c>
      <c r="AT241" s="38" t="inlineStr">
        <is>
          <t>2–5</t>
        </is>
      </c>
      <c r="AU241" s="38" t="inlineStr">
        <is>
          <t>Graduate; relevant certification preferred</t>
        </is>
      </c>
      <c r="AV241" s="38" t="inlineStr">
        <is>
          <t>None · guides 1–3 juniors informally</t>
        </is>
      </c>
      <c r="AW241" s="38" t="inlineStr">
        <is>
          <t>P2 · SFIA 3 Apply</t>
        </is>
      </c>
      <c r="AX24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41" s="39" t="inlineStr">
        <is>
          <t>A3</t>
        </is>
      </c>
      <c r="AZ241" s="40" t="inlineStr">
        <is>
          <t>Band A · Practitioner · Senior Associate</t>
        </is>
      </c>
      <c r="BA241" s="40" t="inlineStr">
        <is>
          <t>Model A3 from the six ratings, the market-derived weights and rules R1–R13 · then No change · already below the manager</t>
        </is>
      </c>
      <c r="BB241" s="41" t="inlineStr">
        <is>
          <t>A3</t>
        </is>
      </c>
      <c r="BC241" s="40" t="inlineStr">
        <is>
          <t>The six ratings on the market-average weights of Band A · all tracks score 3.08 → A3 · Hay, Mercer IPE and public plans · experience 4.4 yrs vs the A3 market range 2–5</t>
        </is>
      </c>
      <c r="BD241" s="42">
        <f>IF(SUM(BM241,BN241,BO241,BP241,BQ241,BR241,BS241)=0,0,(BM241*BT241+BN241*BU241+BO241*BV241+BP241*BW241+BQ241*BX241+BR241*BY241+BS241*BZ241)/SUM(BM241,BN241,BO241,BP241,BQ241,BR241,BS241))</f>
        <v>0</v>
      </c>
      <c r="BE241" s="41" t="str">
        <f>IF(LEFT(AY241,1)="X",AY241,IF(OR(AY241="B+",AY241="C+"),INDEX(LAD_PC,MAX(1,MIN(14,MATCH(AY241,LAD_PC,0)+IF(BD241&gt;=0.5,1,IF(BD241&lt;=-0.5,-1,0))))),INDEX(LAD_STD,MAX(1,MIN(12,MATCH(AY241,LAD_STD,0)+IF(BD241&gt;=0.5,1,IF(BD241&lt;=-0.5,-1,0)))))))</f>
        <v>A3</v>
      </c>
      <c r="BF241" s="43" t="n"/>
      <c r="BG241" s="41" t="str">
        <f>IF(BF241&lt;&gt;"",BF241,BE241)</f>
        <v>A3</v>
      </c>
      <c r="BH241" s="40" t="str">
        <f>IFERROR(CHOOSE(INDEX(B_RANK,MATCH(BG241,B_LVL,0)),"Band A","Band B","B+ · Player-Coach","Band C","C+ · Player-Coach","Band D","Band E"),"Band X · Consultant")</f>
        <v>Band A</v>
      </c>
      <c r="BI241" s="40" t="str">
        <f>IF(BG241=AY241,"• Same",IF(INDEX(B_VAL,MATCH(BG241,B_LVL,0))&gt;INDEX(B_VAL,MATCH(AY241,B_LVL,0)),"▲ Up","▼ Down"))</f>
        <v>• Same</v>
      </c>
      <c r="BJ241" s="40" t="str">
        <f>IF(OR($M241="",$M241="—",$M241="Not in this file"),"",IFERROR(INDEX($BG$7:$BG$592,MATCH($M241,$D$7:$D$592,0)),""))</f>
        <v>B1</v>
      </c>
      <c r="BK241" s="40" t="str">
        <f>IFERROR(IF(BJ241="","—",IF(OR(LEFT(BG241,1)="X",LEFT(BJ241,1)="X"),"—",IF(AND(LEFT(BG241,1)="E",LEFT(BJ241,1)="E"),"Exception · Band E",IF(AND(INDEX(B_VAL,MATCH(BJ241,B_LVL,0))&gt;=7,INDEX(B_RANK,MATCH(BG241,B_LVL,0))&gt;=INDEX(B_RANK,MATCH(BJ241,B_LVL,0))),"⚠ Same band as a head manager",IF(INDEX(B_VAL,MATCH(BG241,B_LVL,0))&gt;=INDEX(B_VAL,MATCH(BJ241,B_LVL,0)),"⚠ At or above the manager's level","OK"))))),"—")</f>
        <v>OK</v>
      </c>
      <c r="BL241" s="43" t="n"/>
      <c r="BM241" s="44">
        <f>IFERROR(INDEX(LMH_PTS,MATCH(Y241,LMH_KEY,0)),0)</f>
        <v>9</v>
      </c>
      <c r="BN241" s="38">
        <f>IFERROR(INDEX(LMH_PTS,MATCH(Z241,LMH_KEY,0)),0)</f>
        <v>3</v>
      </c>
      <c r="BO241" s="38">
        <f>IFERROR(INDEX(LMH_PTS,MATCH(AA241,LMH_KEY,0)),0)</f>
        <v>1</v>
      </c>
      <c r="BP241" s="38">
        <f>IFERROR(INDEX(LMH_PTS,MATCH(AB241,LMH_KEY,0)),0)</f>
        <v>1</v>
      </c>
      <c r="BQ241" s="38">
        <f>IFERROR(INDEX(LMH_PTS,MATCH(AC241,LMH_KEY,0)),0)</f>
        <v>3</v>
      </c>
      <c r="BR241" s="38">
        <f>IFERROR(INDEX(LMH_PTS,MATCH(AD241,LMH_KEY,0)),0)</f>
        <v>1</v>
      </c>
      <c r="BS241" s="38">
        <f>IFERROR(INDEX(LMH_PTS,MATCH(AE241,LMH_KEY,0)),0)</f>
        <v>1</v>
      </c>
      <c r="BT241" s="38">
        <f>IFERROR(INDEX(LMH_STEP,MATCH(AF241,LMH_KEY,0)),0)</f>
        <v>0</v>
      </c>
      <c r="BU241" s="38">
        <f>IFERROR(INDEX(LMH_STEP,MATCH(AG241,LMH_KEY,0)),0)</f>
        <v>0</v>
      </c>
      <c r="BV241" s="38">
        <f>IFERROR(INDEX(LMH_STEP,MATCH(AH241,LMH_KEY,0)),0)</f>
        <v>0</v>
      </c>
      <c r="BW241" s="38">
        <f>IFERROR(INDEX(LMH_STEP,MATCH(AI241,LMH_KEY,0)),0)</f>
        <v>0</v>
      </c>
      <c r="BX241" s="38">
        <f>IFERROR(INDEX(LMH_STEP,MATCH(AJ241,LMH_KEY,0)),0)</f>
        <v>0</v>
      </c>
      <c r="BY241" s="38">
        <f>IFERROR(INDEX(LMH_STEP,MATCH(AK241,LMH_KEY,0)),0)</f>
        <v>0</v>
      </c>
      <c r="BZ241" s="38">
        <f>IFERROR(INDEX(LMH_STEP,MATCH(AL241,LMH_KEY,0)),0)</f>
        <v>0</v>
      </c>
      <c r="CA241" s="38" t="inlineStr">
        <is>
          <t>iDEAL|Sales|Senior Alliances Executive|A3|A</t>
        </is>
      </c>
    </row>
    <row r="242" ht="110" customHeight="1">
      <c r="A242" s="28" t="inlineStr">
        <is>
          <t>iFile</t>
        </is>
      </c>
      <c r="B242" s="29" t="inlineStr">
        <is>
          <t>Sales</t>
        </is>
      </c>
      <c r="C242" s="29" t="n">
        <v>4</v>
      </c>
      <c r="D242" s="29" t="inlineStr">
        <is>
          <t>INTN0304</t>
        </is>
      </c>
      <c r="E242" s="29" t="inlineStr">
        <is>
          <t>Anushka Chaturvedi</t>
        </is>
      </c>
      <c r="F242" s="29" t="inlineStr">
        <is>
          <t>Intern</t>
        </is>
      </c>
      <c r="G242" s="29" t="inlineStr">
        <is>
          <t>Intern – Application &amp; Product Support</t>
        </is>
      </c>
      <c r="H242" s="29" t="inlineStr">
        <is>
          <t>Customer Success &amp; Support</t>
        </is>
      </c>
      <c r="I242" s="29" t="inlineStr">
        <is>
          <t>Application &amp; Product Support</t>
        </is>
      </c>
      <c r="J242" s="29" t="inlineStr">
        <is>
          <t>IC</t>
        </is>
      </c>
      <c r="K242" s="29" t="inlineStr">
        <is>
          <t>RC-029</t>
        </is>
      </c>
      <c r="L242" s="29" t="inlineStr">
        <is>
          <t>Amit Jaidka</t>
        </is>
      </c>
      <c r="M242" s="29" t="inlineStr">
        <is>
          <t>IRIS1687</t>
        </is>
      </c>
      <c r="N242" s="29" t="n">
        <v>0.4</v>
      </c>
      <c r="O242" s="29" t="n">
        <v>0.4</v>
      </c>
      <c r="P242" s="29" t="inlineStr">
        <is>
          <t>MBA</t>
        </is>
      </c>
      <c r="Q242" s="29" t="inlineStr">
        <is>
          <t>L1 – Intern</t>
        </is>
      </c>
      <c r="R242" s="29" t="inlineStr">
        <is>
          <t>A1</t>
        </is>
      </c>
      <c r="S242" s="30" t="inlineStr">
        <is>
          <t>20 of 20</t>
        </is>
      </c>
      <c r="T242" s="32" t="inlineStr">
        <is>
          <t>Full survey answers not in the files received · How We Grow export needed · HR</t>
        </is>
      </c>
      <c r="U242" s="31" t="inlineStr">
        <is>
          <t>Received · manager annual, quarterly, self · 1. Complete iFile/SupTech country/regulator research and lead database creation for assigned geographies.
2. Support tender tracking, partner mapping and opportunity briefs with accurate documentation.
3. Coordinate meeting/demo follow-ups and maintain clear action trackers.
4. Learn iFile/SupTech basics and present …</t>
        </is>
      </c>
      <c r="V242" s="31" t="inlineStr">
        <is>
          <t>Latest rating: 4 · Potential: Medium · 9-box: Emerging Talent · Readiness: Ready in 6–12 months</t>
        </is>
      </c>
      <c r="W242" s="31" t="inlineStr">
        <is>
          <t>C — · Au — · Ac — · L — · BI — · Exp H · 0.4 yrs vs 0 yrs · fresher / intern · Edu H · MBA</t>
        </is>
      </c>
      <c r="X242" s="33" t="inlineStr">
        <is>
          <t>Open ▸</t>
        </is>
      </c>
      <c r="Y242" s="34" t="str">
        <f>IFERROR(INDEX(DL_C,MATCH($CA242,DL_KEY,0)),"M")</f>
        <v>H</v>
      </c>
      <c r="Z242" s="35" t="str">
        <f>IFERROR(INDEX(DL_Au,MATCH($CA242,DL_KEY,0)),"M")</f>
        <v>M</v>
      </c>
      <c r="AA242" s="35" t="str">
        <f>IFERROR(INDEX(DL_Ac,MATCH($CA242,DL_KEY,0)),"M")</f>
        <v>M</v>
      </c>
      <c r="AB242" s="35" t="str">
        <f>IFERROR(INDEX(DL_L,MATCH($CA242,DL_KEY,0)),"M")</f>
        <v>L</v>
      </c>
      <c r="AC242" s="35" t="str">
        <f>IFERROR(INDEX(DL_BI,MATCH($CA242,DL_KEY,0)),"M")</f>
        <v>M</v>
      </c>
      <c r="AD242" s="35" t="str">
        <f>IFERROR(INDEX(DL_Exp,MATCH($CA242,DL_KEY,0)),"M")</f>
        <v>L</v>
      </c>
      <c r="AE242" s="35" t="str">
        <f>IFERROR(INDEX(DL_Edu,MATCH($CA242,DL_KEY,0)),"M")</f>
        <v>L</v>
      </c>
      <c r="AF242" s="34" t="inlineStr">
        <is>
          <t>M</t>
        </is>
      </c>
      <c r="AG242" s="35" t="inlineStr">
        <is>
          <t>M</t>
        </is>
      </c>
      <c r="AH242" s="35" t="inlineStr">
        <is>
          <t>M</t>
        </is>
      </c>
      <c r="AI242" s="35" t="inlineStr">
        <is>
          <t>M</t>
        </is>
      </c>
      <c r="AJ242" s="35" t="inlineStr">
        <is>
          <t>M</t>
        </is>
      </c>
      <c r="AK242" s="35" t="inlineStr">
        <is>
          <t>M</t>
        </is>
      </c>
      <c r="AL242" s="35" t="inlineStr">
        <is>
          <t>M</t>
        </is>
      </c>
      <c r="AM242" s="36" t="n">
        <v>0.583</v>
      </c>
      <c r="AN242" s="37" t="n">
        <v>0.16</v>
      </c>
      <c r="AO242" s="37" t="n">
        <v>0.09</v>
      </c>
      <c r="AP242" s="37" t="n">
        <v>0</v>
      </c>
      <c r="AQ242" s="37" t="n">
        <v>0.063</v>
      </c>
      <c r="AR242" s="37" t="n">
        <v>0.06</v>
      </c>
      <c r="AS242" s="37" t="n">
        <v>0.04</v>
      </c>
      <c r="AT242" s="38" t="inlineStr">
        <is>
          <t>0 yrs · fresher / intern</t>
        </is>
      </c>
      <c r="AU242" s="38" t="inlineStr">
        <is>
          <t>Pursuing or completed graduation / diploma</t>
        </is>
      </c>
      <c r="AV242" s="38" t="inlineStr">
        <is>
          <t>No direct reports</t>
        </is>
      </c>
      <c r="AW242" s="38" t="inlineStr">
        <is>
          <t>Entry / P1 · intern · SFIA 1 Follow</t>
        </is>
      </c>
      <c r="AX24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42" s="39" t="inlineStr">
        <is>
          <t>A1</t>
        </is>
      </c>
      <c r="AZ242" s="40" t="inlineStr">
        <is>
          <t>Band A · Practitioner · Intern / Trainee</t>
        </is>
      </c>
      <c r="BA242" s="40" t="inlineStr">
        <is>
          <t>Model A1 from the six ratings, the market-derived weights and rules R1–R13 · then No change · already below the manager</t>
        </is>
      </c>
      <c r="BB242" s="41" t="inlineStr">
        <is>
          <t>A1</t>
        </is>
      </c>
      <c r="BC242" s="40" t="inlineStr">
        <is>
          <t>Placed by a category rule — no full set of ratings · benchmark follows the HR proposed level</t>
        </is>
      </c>
      <c r="BD242" s="42">
        <f>IF(SUM(BM242,BN242,BO242,BP242,BQ242,BR242,BS242)=0,0,(BM242*BT242+BN242*BU242+BO242*BV242+BP242*BW242+BQ242*BX242+BR242*BY242+BS242*BZ242)/SUM(BM242,BN242,BO242,BP242,BQ242,BR242,BS242))</f>
        <v>0</v>
      </c>
      <c r="BE242" s="41" t="str">
        <f>IF(LEFT(AY242,1)="X",AY242,IF(OR(AY242="B+",AY242="C+"),INDEX(LAD_PC,MAX(1,MIN(14,MATCH(AY242,LAD_PC,0)+IF(BD242&gt;=0.5,1,IF(BD242&lt;=-0.5,-1,0))))),INDEX(LAD_STD,MAX(1,MIN(12,MATCH(AY242,LAD_STD,0)+IF(BD242&gt;=0.5,1,IF(BD242&lt;=-0.5,-1,0)))))))</f>
        <v>A1</v>
      </c>
      <c r="BF242" s="43" t="n"/>
      <c r="BG242" s="41" t="str">
        <f>IF(BF242&lt;&gt;"",BF242,BE242)</f>
        <v>A1</v>
      </c>
      <c r="BH242" s="40" t="str">
        <f>IFERROR(CHOOSE(INDEX(B_RANK,MATCH(BG242,B_LVL,0)),"Band A","Band B","B+ · Player-Coach","Band C","C+ · Player-Coach","Band D","Band E"),"Band X · Consultant")</f>
        <v>Band A</v>
      </c>
      <c r="BI242" s="40" t="str">
        <f>IF(BG242=AY242,"• Same",IF(INDEX(B_VAL,MATCH(BG242,B_LVL,0))&gt;INDEX(B_VAL,MATCH(AY242,B_LVL,0)),"▲ Up","▼ Down"))</f>
        <v>• Same</v>
      </c>
      <c r="BJ242" s="40" t="str">
        <f>IF(OR($M242="",$M242="—",$M242="Not in this file"),"",IFERROR(INDEX($BG$7:$BG$592,MATCH($M242,$D$7:$D$592,0)),""))</f>
        <v>B3</v>
      </c>
      <c r="BK242" s="40" t="str">
        <f>IFERROR(IF(BJ242="","—",IF(OR(LEFT(BG242,1)="X",LEFT(BJ242,1)="X"),"—",IF(AND(LEFT(BG242,1)="E",LEFT(BJ242,1)="E"),"Exception · Band E",IF(AND(INDEX(B_VAL,MATCH(BJ242,B_LVL,0))&gt;=7,INDEX(B_RANK,MATCH(BG242,B_LVL,0))&gt;=INDEX(B_RANK,MATCH(BJ242,B_LVL,0))),"⚠ Same band as a head manager",IF(INDEX(B_VAL,MATCH(BG242,B_LVL,0))&gt;=INDEX(B_VAL,MATCH(BJ242,B_LVL,0)),"⚠ At or above the manager's level","OK"))))),"—")</f>
        <v>OK</v>
      </c>
      <c r="BL242" s="43" t="n"/>
      <c r="BM242" s="44">
        <f>IFERROR(INDEX(LMH_PTS,MATCH(Y242,LMH_KEY,0)),0)</f>
        <v>9</v>
      </c>
      <c r="BN242" s="38">
        <f>IFERROR(INDEX(LMH_PTS,MATCH(Z242,LMH_KEY,0)),0)</f>
        <v>3</v>
      </c>
      <c r="BO242" s="38">
        <f>IFERROR(INDEX(LMH_PTS,MATCH(AA242,LMH_KEY,0)),0)</f>
        <v>3</v>
      </c>
      <c r="BP242" s="38">
        <f>IFERROR(INDEX(LMH_PTS,MATCH(AB242,LMH_KEY,0)),0)</f>
        <v>1</v>
      </c>
      <c r="BQ242" s="38">
        <f>IFERROR(INDEX(LMH_PTS,MATCH(AC242,LMH_KEY,0)),0)</f>
        <v>3</v>
      </c>
      <c r="BR242" s="38">
        <f>IFERROR(INDEX(LMH_PTS,MATCH(AD242,LMH_KEY,0)),0)</f>
        <v>1</v>
      </c>
      <c r="BS242" s="38">
        <f>IFERROR(INDEX(LMH_PTS,MATCH(AE242,LMH_KEY,0)),0)</f>
        <v>1</v>
      </c>
      <c r="BT242" s="38">
        <f>IFERROR(INDEX(LMH_STEP,MATCH(AF242,LMH_KEY,0)),0)</f>
        <v>0</v>
      </c>
      <c r="BU242" s="38">
        <f>IFERROR(INDEX(LMH_STEP,MATCH(AG242,LMH_KEY,0)),0)</f>
        <v>0</v>
      </c>
      <c r="BV242" s="38">
        <f>IFERROR(INDEX(LMH_STEP,MATCH(AH242,LMH_KEY,0)),0)</f>
        <v>0</v>
      </c>
      <c r="BW242" s="38">
        <f>IFERROR(INDEX(LMH_STEP,MATCH(AI242,LMH_KEY,0)),0)</f>
        <v>0</v>
      </c>
      <c r="BX242" s="38">
        <f>IFERROR(INDEX(LMH_STEP,MATCH(AJ242,LMH_KEY,0)),0)</f>
        <v>0</v>
      </c>
      <c r="BY242" s="38">
        <f>IFERROR(INDEX(LMH_STEP,MATCH(AK242,LMH_KEY,0)),0)</f>
        <v>0</v>
      </c>
      <c r="BZ242" s="38">
        <f>IFERROR(INDEX(LMH_STEP,MATCH(AL242,LMH_KEY,0)),0)</f>
        <v>0</v>
      </c>
      <c r="CA242" s="38" t="inlineStr">
        <is>
          <t>iFile|Sales|Intern – Application &amp; Product Support|A1|A</t>
        </is>
      </c>
    </row>
    <row r="243" ht="110" customHeight="1">
      <c r="A243" s="28" t="inlineStr">
        <is>
          <t>iDEAL</t>
        </is>
      </c>
      <c r="B243" s="29" t="inlineStr">
        <is>
          <t>Sales</t>
        </is>
      </c>
      <c r="C243" s="29" t="n">
        <v>4</v>
      </c>
      <c r="D243" s="29" t="inlineStr">
        <is>
          <t>INTN0302</t>
        </is>
      </c>
      <c r="E243" s="29" t="inlineStr">
        <is>
          <t>Nehal Bohra</t>
        </is>
      </c>
      <c r="F243" s="29" t="inlineStr">
        <is>
          <t>Intern</t>
        </is>
      </c>
      <c r="G243" s="29" t="inlineStr">
        <is>
          <t>Intern – Application &amp; Product Support</t>
        </is>
      </c>
      <c r="H243" s="29" t="inlineStr">
        <is>
          <t>Customer Success &amp; Support</t>
        </is>
      </c>
      <c r="I243" s="29" t="inlineStr">
        <is>
          <t>Application &amp; Product Support</t>
        </is>
      </c>
      <c r="J243" s="29" t="inlineStr">
        <is>
          <t>IC</t>
        </is>
      </c>
      <c r="K243" s="29" t="inlineStr">
        <is>
          <t>RC-029</t>
        </is>
      </c>
      <c r="L243" s="29" t="inlineStr">
        <is>
          <t>Amit Jaidka</t>
        </is>
      </c>
      <c r="M243" s="29" t="inlineStr">
        <is>
          <t>IRIS1687</t>
        </is>
      </c>
      <c r="N243" s="29" t="n">
        <v>0.4</v>
      </c>
      <c r="O243" s="29" t="n">
        <v>0.4</v>
      </c>
      <c r="P243" s="29" t="inlineStr">
        <is>
          <t>BBA</t>
        </is>
      </c>
      <c r="Q243" s="29" t="inlineStr">
        <is>
          <t>L1 – Intern</t>
        </is>
      </c>
      <c r="R243" s="29" t="inlineStr">
        <is>
          <t>A1</t>
        </is>
      </c>
      <c r="S243" s="30" t="inlineStr">
        <is>
          <t>19 of 20</t>
        </is>
      </c>
      <c r="T243" s="32" t="inlineStr">
        <is>
          <t>Full survey answers not in the files received · How We Grow export needed · HR</t>
        </is>
      </c>
      <c r="U243" s="31" t="inlineStr">
        <is>
          <t>Received · manager annual, quarterly, self · 1. Achieve assigned annual sales / revenue quota · target: 100% of number
2. Build and maintain qualified pipeline of &gt;=3x quota coverage
3. Maintain healthy win rate · &gt;=20% on qualified opportunities
4. Keep CRM hygiene at 100% · all opportunities &amp; activities logged &amp; current
5. Drive new logo acquisition: meet …</t>
        </is>
      </c>
      <c r="V243" s="31" t="inlineStr">
        <is>
          <t>Latest rating: Not rated · manager · 9-box: Not placed · manager · Readiness: No rating data</t>
        </is>
      </c>
      <c r="W243" s="31" t="inlineStr">
        <is>
          <t>C — · Au — · Ac — · L — · BI — · Exp H · 0.4 yrs vs 0 yrs · fresher / intern · Edu M · BBA</t>
        </is>
      </c>
      <c r="X243" s="33" t="inlineStr">
        <is>
          <t>Open ▸</t>
        </is>
      </c>
      <c r="Y243" s="34" t="str">
        <f>IFERROR(INDEX(DL_C,MATCH($CA243,DL_KEY,0)),"M")</f>
        <v>H</v>
      </c>
      <c r="Z243" s="35" t="str">
        <f>IFERROR(INDEX(DL_Au,MATCH($CA243,DL_KEY,0)),"M")</f>
        <v>M</v>
      </c>
      <c r="AA243" s="35" t="str">
        <f>IFERROR(INDEX(DL_Ac,MATCH($CA243,DL_KEY,0)),"M")</f>
        <v>M</v>
      </c>
      <c r="AB243" s="35" t="str">
        <f>IFERROR(INDEX(DL_L,MATCH($CA243,DL_KEY,0)),"M")</f>
        <v>L</v>
      </c>
      <c r="AC243" s="35" t="str">
        <f>IFERROR(INDEX(DL_BI,MATCH($CA243,DL_KEY,0)),"M")</f>
        <v>M</v>
      </c>
      <c r="AD243" s="35" t="str">
        <f>IFERROR(INDEX(DL_Exp,MATCH($CA243,DL_KEY,0)),"M")</f>
        <v>L</v>
      </c>
      <c r="AE243" s="35" t="str">
        <f>IFERROR(INDEX(DL_Edu,MATCH($CA243,DL_KEY,0)),"M")</f>
        <v>L</v>
      </c>
      <c r="AF243" s="34" t="inlineStr">
        <is>
          <t>M</t>
        </is>
      </c>
      <c r="AG243" s="35" t="inlineStr">
        <is>
          <t>M</t>
        </is>
      </c>
      <c r="AH243" s="35" t="inlineStr">
        <is>
          <t>M</t>
        </is>
      </c>
      <c r="AI243" s="35" t="inlineStr">
        <is>
          <t>M</t>
        </is>
      </c>
      <c r="AJ243" s="35" t="inlineStr">
        <is>
          <t>M</t>
        </is>
      </c>
      <c r="AK243" s="35" t="inlineStr">
        <is>
          <t>M</t>
        </is>
      </c>
      <c r="AL243" s="35" t="inlineStr">
        <is>
          <t>M</t>
        </is>
      </c>
      <c r="AM243" s="36" t="n">
        <v>0.583</v>
      </c>
      <c r="AN243" s="37" t="n">
        <v>0.16</v>
      </c>
      <c r="AO243" s="37" t="n">
        <v>0.09</v>
      </c>
      <c r="AP243" s="37" t="n">
        <v>0</v>
      </c>
      <c r="AQ243" s="37" t="n">
        <v>0.063</v>
      </c>
      <c r="AR243" s="37" t="n">
        <v>0.06</v>
      </c>
      <c r="AS243" s="37" t="n">
        <v>0.04</v>
      </c>
      <c r="AT243" s="38" t="inlineStr">
        <is>
          <t>0 yrs · fresher / intern</t>
        </is>
      </c>
      <c r="AU243" s="38" t="inlineStr">
        <is>
          <t>Pursuing or completed graduation / diploma</t>
        </is>
      </c>
      <c r="AV243" s="38" t="inlineStr">
        <is>
          <t>No direct reports</t>
        </is>
      </c>
      <c r="AW243" s="38" t="inlineStr">
        <is>
          <t>Entry / P1 · intern · SFIA 1 Follow</t>
        </is>
      </c>
      <c r="AX24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43" s="39" t="inlineStr">
        <is>
          <t>A1</t>
        </is>
      </c>
      <c r="AZ243" s="40" t="inlineStr">
        <is>
          <t>Band A · Practitioner · Intern / Trainee</t>
        </is>
      </c>
      <c r="BA243" s="40" t="inlineStr">
        <is>
          <t>Model A1 from the six ratings, the market-derived weights and rules R1–R13 · then No change · already below the manager</t>
        </is>
      </c>
      <c r="BB243" s="41" t="inlineStr">
        <is>
          <t>A1</t>
        </is>
      </c>
      <c r="BC243" s="40" t="inlineStr">
        <is>
          <t>Placed by a category rule — no full set of ratings · benchmark follows the HR proposed level</t>
        </is>
      </c>
      <c r="BD243" s="42">
        <f>IF(SUM(BM243,BN243,BO243,BP243,BQ243,BR243,BS243)=0,0,(BM243*BT243+BN243*BU243+BO243*BV243+BP243*BW243+BQ243*BX243+BR243*BY243+BS243*BZ243)/SUM(BM243,BN243,BO243,BP243,BQ243,BR243,BS243))</f>
        <v>0</v>
      </c>
      <c r="BE243" s="41" t="str">
        <f>IF(LEFT(AY243,1)="X",AY243,IF(OR(AY243="B+",AY243="C+"),INDEX(LAD_PC,MAX(1,MIN(14,MATCH(AY243,LAD_PC,0)+IF(BD243&gt;=0.5,1,IF(BD243&lt;=-0.5,-1,0))))),INDEX(LAD_STD,MAX(1,MIN(12,MATCH(AY243,LAD_STD,0)+IF(BD243&gt;=0.5,1,IF(BD243&lt;=-0.5,-1,0)))))))</f>
        <v>A1</v>
      </c>
      <c r="BF243" s="43" t="n"/>
      <c r="BG243" s="41" t="str">
        <f>IF(BF243&lt;&gt;"",BF243,BE243)</f>
        <v>A1</v>
      </c>
      <c r="BH243" s="40" t="str">
        <f>IFERROR(CHOOSE(INDEX(B_RANK,MATCH(BG243,B_LVL,0)),"Band A","Band B","B+ · Player-Coach","Band C","C+ · Player-Coach","Band D","Band E"),"Band X · Consultant")</f>
        <v>Band A</v>
      </c>
      <c r="BI243" s="40" t="str">
        <f>IF(BG243=AY243,"• Same",IF(INDEX(B_VAL,MATCH(BG243,B_LVL,0))&gt;INDEX(B_VAL,MATCH(AY243,B_LVL,0)),"▲ Up","▼ Down"))</f>
        <v>• Same</v>
      </c>
      <c r="BJ243" s="40" t="str">
        <f>IF(OR($M243="",$M243="—",$M243="Not in this file"),"",IFERROR(INDEX($BG$7:$BG$592,MATCH($M243,$D$7:$D$592,0)),""))</f>
        <v>B3</v>
      </c>
      <c r="BK243" s="40" t="str">
        <f>IFERROR(IF(BJ243="","—",IF(OR(LEFT(BG243,1)="X",LEFT(BJ243,1)="X"),"—",IF(AND(LEFT(BG243,1)="E",LEFT(BJ243,1)="E"),"Exception · Band E",IF(AND(INDEX(B_VAL,MATCH(BJ243,B_LVL,0))&gt;=7,INDEX(B_RANK,MATCH(BG243,B_LVL,0))&gt;=INDEX(B_RANK,MATCH(BJ243,B_LVL,0))),"⚠ Same band as a head manager",IF(INDEX(B_VAL,MATCH(BG243,B_LVL,0))&gt;=INDEX(B_VAL,MATCH(BJ243,B_LVL,0)),"⚠ At or above the manager's level","OK"))))),"—")</f>
        <v>OK</v>
      </c>
      <c r="BL243" s="43" t="n"/>
      <c r="BM243" s="44">
        <f>IFERROR(INDEX(LMH_PTS,MATCH(Y243,LMH_KEY,0)),0)</f>
        <v>9</v>
      </c>
      <c r="BN243" s="38">
        <f>IFERROR(INDEX(LMH_PTS,MATCH(Z243,LMH_KEY,0)),0)</f>
        <v>3</v>
      </c>
      <c r="BO243" s="38">
        <f>IFERROR(INDEX(LMH_PTS,MATCH(AA243,LMH_KEY,0)),0)</f>
        <v>3</v>
      </c>
      <c r="BP243" s="38">
        <f>IFERROR(INDEX(LMH_PTS,MATCH(AB243,LMH_KEY,0)),0)</f>
        <v>1</v>
      </c>
      <c r="BQ243" s="38">
        <f>IFERROR(INDEX(LMH_PTS,MATCH(AC243,LMH_KEY,0)),0)</f>
        <v>3</v>
      </c>
      <c r="BR243" s="38">
        <f>IFERROR(INDEX(LMH_PTS,MATCH(AD243,LMH_KEY,0)),0)</f>
        <v>1</v>
      </c>
      <c r="BS243" s="38">
        <f>IFERROR(INDEX(LMH_PTS,MATCH(AE243,LMH_KEY,0)),0)</f>
        <v>1</v>
      </c>
      <c r="BT243" s="38">
        <f>IFERROR(INDEX(LMH_STEP,MATCH(AF243,LMH_KEY,0)),0)</f>
        <v>0</v>
      </c>
      <c r="BU243" s="38">
        <f>IFERROR(INDEX(LMH_STEP,MATCH(AG243,LMH_KEY,0)),0)</f>
        <v>0</v>
      </c>
      <c r="BV243" s="38">
        <f>IFERROR(INDEX(LMH_STEP,MATCH(AH243,LMH_KEY,0)),0)</f>
        <v>0</v>
      </c>
      <c r="BW243" s="38">
        <f>IFERROR(INDEX(LMH_STEP,MATCH(AI243,LMH_KEY,0)),0)</f>
        <v>0</v>
      </c>
      <c r="BX243" s="38">
        <f>IFERROR(INDEX(LMH_STEP,MATCH(AJ243,LMH_KEY,0)),0)</f>
        <v>0</v>
      </c>
      <c r="BY243" s="38">
        <f>IFERROR(INDEX(LMH_STEP,MATCH(AK243,LMH_KEY,0)),0)</f>
        <v>0</v>
      </c>
      <c r="BZ243" s="38">
        <f>IFERROR(INDEX(LMH_STEP,MATCH(AL243,LMH_KEY,0)),0)</f>
        <v>0</v>
      </c>
      <c r="CA243" s="38" t="inlineStr">
        <is>
          <t>iDEAL|Sales|Intern – Application &amp; Product Support|A1|A</t>
        </is>
      </c>
    </row>
    <row r="244" ht="110" customHeight="1">
      <c r="A244" s="28" t="inlineStr">
        <is>
          <t>Consume</t>
        </is>
      </c>
      <c r="B244" s="29" t="inlineStr">
        <is>
          <t>India Content</t>
        </is>
      </c>
      <c r="C244" s="29" t="n">
        <v>3</v>
      </c>
      <c r="D244" s="29" t="inlineStr">
        <is>
          <t>IRIS0007</t>
        </is>
      </c>
      <c r="E244" s="29" t="inlineStr">
        <is>
          <t>Gopal Krishna Sahu</t>
        </is>
      </c>
      <c r="F244" s="29" t="inlineStr">
        <is>
          <t>Data Analyst Manager</t>
        </is>
      </c>
      <c r="G244" s="29" t="inlineStr">
        <is>
          <t>Data Operations Manager</t>
        </is>
      </c>
      <c r="H244" s="29" t="inlineStr">
        <is>
          <t>Data &amp; Analytics</t>
        </is>
      </c>
      <c r="I244" s="29" t="inlineStr">
        <is>
          <t>Financial Data Processing</t>
        </is>
      </c>
      <c r="J244" s="29" t="inlineStr">
        <is>
          <t>People Manager</t>
        </is>
      </c>
      <c r="K244" s="29" t="inlineStr">
        <is>
          <t>RC-042</t>
        </is>
      </c>
      <c r="L244" s="29" t="inlineStr">
        <is>
          <t>Arup Ganguly</t>
        </is>
      </c>
      <c r="M244" s="29" t="inlineStr">
        <is>
          <t>IRIS0242</t>
        </is>
      </c>
      <c r="N244" s="29" t="n">
        <v>35.2</v>
      </c>
      <c r="O244" s="29" t="n">
        <v>22.1</v>
      </c>
      <c r="P244" s="29" t="inlineStr">
        <is>
          <t>MBA</t>
        </is>
      </c>
      <c r="Q244" s="29" t="inlineStr">
        <is>
          <t>L5 – Manager</t>
        </is>
      </c>
      <c r="R244" s="29" t="inlineStr">
        <is>
          <t>B2</t>
        </is>
      </c>
      <c r="S244" s="30" t="inlineStr">
        <is>
          <t>20 of 20</t>
        </is>
      </c>
      <c r="T244" s="31" t="inlineStr">
        <is>
          <t>Complexity: Evidence reads like B2: Solves all issues the team faces; answers client product queries; equity and mutual fund domain → matches the start
Autonomy: Evidence reads like B2: Manages team and workload · KRA, handles client escalations and RCAs, decides product matters → matches the start
Accountability: Evidence reads like B2: Team's client …</t>
        </is>
      </c>
      <c r="U244" s="31" t="inlineStr">
        <is>
          <t>Received · manager annual, quarterly, self · 1. Ensure team delivers 100% of client filings within regulatory deadlines
2. Keep team accuracy &gt;=99% with critical errors trending to zero
3. Maintain team capacity / utilisation in target band with balanced workload
4. Drive &lt;=3% client-reported rework across the team
5. Standardise SOPs/checklists with 100% …</t>
        </is>
      </c>
      <c r="V244" s="31" t="inlineStr">
        <is>
          <t>Latest rating: 4 · Potential: Medium · 9-box: Emerging Talent · Readiness: Ready in 6–12 months</t>
        </is>
      </c>
      <c r="W244" s="31" t="inlineStr">
        <is>
          <t>C M · Au M · Ac M · L M · BI M · Exp H · 35.2 yrs vs 6–9 yrs · Edu H · MBA</t>
        </is>
      </c>
      <c r="X244" s="33" t="inlineStr">
        <is>
          <t>Open ▸</t>
        </is>
      </c>
      <c r="Y244" s="34" t="str">
        <f>IFERROR(INDEX(DL_C,MATCH($CA244,DL_KEY,0)),"M")</f>
        <v>H</v>
      </c>
      <c r="Z244" s="35" t="str">
        <f>IFERROR(INDEX(DL_Au,MATCH($CA244,DL_KEY,0)),"M")</f>
        <v>M</v>
      </c>
      <c r="AA244" s="35" t="str">
        <f>IFERROR(INDEX(DL_Ac,MATCH($CA244,DL_KEY,0)),"M")</f>
        <v>M</v>
      </c>
      <c r="AB244" s="35" t="str">
        <f>IFERROR(INDEX(DL_L,MATCH($CA244,DL_KEY,0)),"M")</f>
        <v>M</v>
      </c>
      <c r="AC244" s="35" t="str">
        <f>IFERROR(INDEX(DL_BI,MATCH($CA244,DL_KEY,0)),"M")</f>
        <v>L</v>
      </c>
      <c r="AD244" s="35" t="str">
        <f>IFERROR(INDEX(DL_Exp,MATCH($CA244,DL_KEY,0)),"M")</f>
        <v>L</v>
      </c>
      <c r="AE244" s="35" t="str">
        <f>IFERROR(INDEX(DL_Edu,MATCH($CA244,DL_KEY,0)),"M")</f>
        <v>L</v>
      </c>
      <c r="AF244" s="34" t="inlineStr">
        <is>
          <t>M</t>
        </is>
      </c>
      <c r="AG244" s="35" t="inlineStr">
        <is>
          <t>M</t>
        </is>
      </c>
      <c r="AH244" s="35" t="inlineStr">
        <is>
          <t>M</t>
        </is>
      </c>
      <c r="AI244" s="35" t="inlineStr">
        <is>
          <t>M</t>
        </is>
      </c>
      <c r="AJ244" s="35" t="inlineStr">
        <is>
          <t>M</t>
        </is>
      </c>
      <c r="AK244" s="35" t="inlineStr">
        <is>
          <t>M</t>
        </is>
      </c>
      <c r="AL244" s="35" t="inlineStr">
        <is>
          <t>M</t>
        </is>
      </c>
      <c r="AM244" s="36" t="n">
        <v>0.37</v>
      </c>
      <c r="AN244" s="37" t="n">
        <v>0.183</v>
      </c>
      <c r="AO244" s="37" t="n">
        <v>0.113</v>
      </c>
      <c r="AP244" s="37" t="n">
        <v>0.15</v>
      </c>
      <c r="AQ244" s="37" t="n">
        <v>0.08699999999999999</v>
      </c>
      <c r="AR244" s="37" t="n">
        <v>0.06</v>
      </c>
      <c r="AS244" s="37" t="n">
        <v>0.04</v>
      </c>
      <c r="AT244" s="38" t="inlineStr">
        <is>
          <t>6–10</t>
        </is>
      </c>
      <c r="AU244" s="38" t="inlineStr">
        <is>
          <t>Graduate or postgraduate; professional qualification preferred</t>
        </is>
      </c>
      <c r="AV244" s="38" t="inlineStr">
        <is>
          <t>IC: none · People: 6–8 knowledge work, 8–12 standardised delivery</t>
        </is>
      </c>
      <c r="AW244" s="38" t="inlineStr">
        <is>
          <t>P4 / M3 · SFIA 4–5</t>
        </is>
      </c>
      <c r="AX24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44" s="39" t="inlineStr">
        <is>
          <t>B2</t>
        </is>
      </c>
      <c r="AZ244" s="40" t="inlineStr">
        <is>
          <t>Band B · Specialist / Manager · Manager</t>
        </is>
      </c>
      <c r="BA244" s="40" t="inlineStr">
        <is>
          <t>Model B2 from the six ratings, the market-derived weights and rules R1–R13 · then No change · already below the manager</t>
        </is>
      </c>
      <c r="BB244" s="41" t="inlineStr">
        <is>
          <t>B3</t>
        </is>
      </c>
      <c r="BC244" s="40" t="inlineStr">
        <is>
          <t>The six ratings on the market-average weights of Band B · People Manager score 5.70 → B3 · Hay, Mercer IPE and public plans · experience 35.2 yrs vs the B3 market range 8–13</t>
        </is>
      </c>
      <c r="BD244" s="42">
        <f>IF(SUM(BM244,BN244,BO244,BP244,BQ244,BR244,BS244)=0,0,(BM244*BT244+BN244*BU244+BO244*BV244+BP244*BW244+BQ244*BX244+BR244*BY244+BS244*BZ244)/SUM(BM244,BN244,BO244,BP244,BQ244,BR244,BS244))</f>
        <v>0</v>
      </c>
      <c r="BE244" s="41" t="str">
        <f>IF(LEFT(AY244,1)="X",AY244,IF(OR(AY244="B+",AY244="C+"),INDEX(LAD_PC,MAX(1,MIN(14,MATCH(AY244,LAD_PC,0)+IF(BD244&gt;=0.5,1,IF(BD244&lt;=-0.5,-1,0))))),INDEX(LAD_STD,MAX(1,MIN(12,MATCH(AY244,LAD_STD,0)+IF(BD244&gt;=0.5,1,IF(BD244&lt;=-0.5,-1,0)))))))</f>
        <v>B2</v>
      </c>
      <c r="BF244" s="43" t="n"/>
      <c r="BG244" s="41" t="str">
        <f>IF(BF244&lt;&gt;"",BF244,BE244)</f>
        <v>B2</v>
      </c>
      <c r="BH244" s="40" t="str">
        <f>IFERROR(CHOOSE(INDEX(B_RANK,MATCH(BG244,B_LVL,0)),"Band A","Band B","B+ · Player-Coach","Band C","C+ · Player-Coach","Band D","Band E"),"Band X · Consultant")</f>
        <v>Band B</v>
      </c>
      <c r="BI244" s="40" t="str">
        <f>IF(BG244=AY244,"• Same",IF(INDEX(B_VAL,MATCH(BG244,B_LVL,0))&gt;INDEX(B_VAL,MATCH(AY244,B_LVL,0)),"▲ Up","▼ Down"))</f>
        <v>• Same</v>
      </c>
      <c r="BJ244" s="40" t="str">
        <f>IF(OR($M244="",$M244="—",$M244="Not in this file"),"",IFERROR(INDEX($BG$7:$BG$592,MATCH($M244,$D$7:$D$592,0)),""))</f>
        <v>C2</v>
      </c>
      <c r="BK244" s="40" t="str">
        <f>IFERROR(IF(BJ244="","—",IF(OR(LEFT(BG244,1)="X",LEFT(BJ244,1)="X"),"—",IF(AND(LEFT(BG244,1)="E",LEFT(BJ244,1)="E"),"Exception · Band E",IF(AND(INDEX(B_VAL,MATCH(BJ244,B_LVL,0))&gt;=7,INDEX(B_RANK,MATCH(BG244,B_LVL,0))&gt;=INDEX(B_RANK,MATCH(BJ244,B_LVL,0))),"⚠ Same band as a head manager",IF(INDEX(B_VAL,MATCH(BG244,B_LVL,0))&gt;=INDEX(B_VAL,MATCH(BJ244,B_LVL,0)),"⚠ At or above the manager's level","OK"))))),"—")</f>
        <v>OK</v>
      </c>
      <c r="BL244" s="43" t="n"/>
      <c r="BM244" s="44">
        <f>IFERROR(INDEX(LMH_PTS,MATCH(Y244,LMH_KEY,0)),0)</f>
        <v>9</v>
      </c>
      <c r="BN244" s="38">
        <f>IFERROR(INDEX(LMH_PTS,MATCH(Z244,LMH_KEY,0)),0)</f>
        <v>3</v>
      </c>
      <c r="BO244" s="38">
        <f>IFERROR(INDEX(LMH_PTS,MATCH(AA244,LMH_KEY,0)),0)</f>
        <v>3</v>
      </c>
      <c r="BP244" s="38">
        <f>IFERROR(INDEX(LMH_PTS,MATCH(AB244,LMH_KEY,0)),0)</f>
        <v>3</v>
      </c>
      <c r="BQ244" s="38">
        <f>IFERROR(INDEX(LMH_PTS,MATCH(AC244,LMH_KEY,0)),0)</f>
        <v>1</v>
      </c>
      <c r="BR244" s="38">
        <f>IFERROR(INDEX(LMH_PTS,MATCH(AD244,LMH_KEY,0)),0)</f>
        <v>1</v>
      </c>
      <c r="BS244" s="38">
        <f>IFERROR(INDEX(LMH_PTS,MATCH(AE244,LMH_KEY,0)),0)</f>
        <v>1</v>
      </c>
      <c r="BT244" s="38">
        <f>IFERROR(INDEX(LMH_STEP,MATCH(AF244,LMH_KEY,0)),0)</f>
        <v>0</v>
      </c>
      <c r="BU244" s="38">
        <f>IFERROR(INDEX(LMH_STEP,MATCH(AG244,LMH_KEY,0)),0)</f>
        <v>0</v>
      </c>
      <c r="BV244" s="38">
        <f>IFERROR(INDEX(LMH_STEP,MATCH(AH244,LMH_KEY,0)),0)</f>
        <v>0</v>
      </c>
      <c r="BW244" s="38">
        <f>IFERROR(INDEX(LMH_STEP,MATCH(AI244,LMH_KEY,0)),0)</f>
        <v>0</v>
      </c>
      <c r="BX244" s="38">
        <f>IFERROR(INDEX(LMH_STEP,MATCH(AJ244,LMH_KEY,0)),0)</f>
        <v>0</v>
      </c>
      <c r="BY244" s="38">
        <f>IFERROR(INDEX(LMH_STEP,MATCH(AK244,LMH_KEY,0)),0)</f>
        <v>0</v>
      </c>
      <c r="BZ244" s="38">
        <f>IFERROR(INDEX(LMH_STEP,MATCH(AL244,LMH_KEY,0)),0)</f>
        <v>0</v>
      </c>
      <c r="CA244" s="38" t="inlineStr">
        <is>
          <t>Consume|India Content|Data Operations Manager|B2|B-M</t>
        </is>
      </c>
    </row>
    <row r="245" ht="110" customHeight="1">
      <c r="A245" s="28" t="inlineStr">
        <is>
          <t>Consume</t>
        </is>
      </c>
      <c r="B245" s="29" t="inlineStr">
        <is>
          <t>India Content</t>
        </is>
      </c>
      <c r="C245" s="29" t="n">
        <v>4</v>
      </c>
      <c r="D245" s="29" t="inlineStr">
        <is>
          <t>IRIS0015</t>
        </is>
      </c>
      <c r="E245" s="29" t="inlineStr">
        <is>
          <t>Virendra Borkar</t>
        </is>
      </c>
      <c r="F245" s="29" t="inlineStr">
        <is>
          <t>Data Analyst Lead</t>
        </is>
      </c>
      <c r="G245" s="29" t="inlineStr">
        <is>
          <t>Data Specialist</t>
        </is>
      </c>
      <c r="H245" s="29" t="inlineStr">
        <is>
          <t>Data &amp; Analytics</t>
        </is>
      </c>
      <c r="I245" s="29" t="inlineStr">
        <is>
          <t>Financial Data Processing</t>
        </is>
      </c>
      <c r="J245" s="29" t="inlineStr">
        <is>
          <t>IC</t>
        </is>
      </c>
      <c r="K245" s="29" t="inlineStr">
        <is>
          <t>RC-041</t>
        </is>
      </c>
      <c r="L245" s="29" t="inlineStr">
        <is>
          <t>Gopal Krishna Sahu</t>
        </is>
      </c>
      <c r="M245" s="29" t="inlineStr">
        <is>
          <t>IRIS0007</t>
        </is>
      </c>
      <c r="N245" s="29" t="n">
        <v>22.3</v>
      </c>
      <c r="O245" s="29" t="n">
        <v>21.9</v>
      </c>
      <c r="P245" s="29" t="inlineStr">
        <is>
          <t>B.Com</t>
        </is>
      </c>
      <c r="Q245" s="29" t="inlineStr">
        <is>
          <t>L5 – Lead · IC</t>
        </is>
      </c>
      <c r="R245" s="29" t="inlineStr">
        <is>
          <t>B1</t>
        </is>
      </c>
      <c r="S245" s="30" t="inlineStr">
        <is>
          <t>20 of 20</t>
        </is>
      </c>
      <c r="T245" s="31" t="inlineStr">
        <is>
          <t>Complexity: Evidence reads like A2: Maintains client master and price data with Access queries; daily tasks and reports → moved down 0.5
Autonomy: Evidence reads like A2: Names only client work and new updates; no team or method decisions → moved down 0.5
Accountability: Evidence reads like A2: Accuracy of master data sent to clients; own daily reports → …</t>
        </is>
      </c>
      <c r="U245" s="31" t="inlineStr">
        <is>
          <t>Received · manager annual, quarterly, self · 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t>
        </is>
      </c>
      <c r="V245" s="31" t="inlineStr">
        <is>
          <t>Latest rating: 3 · Potential: Medium · 9-box: Future Leader · Readiness: Develop in role</t>
        </is>
      </c>
      <c r="W245" s="31" t="inlineStr">
        <is>
          <t>C M · Au M · Ac M · L L · BI M · Exp H · 22.3 yrs vs 4–7 yrs · Edu M · B.Com</t>
        </is>
      </c>
      <c r="X245" s="33" t="inlineStr">
        <is>
          <t>Open ▸</t>
        </is>
      </c>
      <c r="Y245" s="34" t="str">
        <f>IFERROR(INDEX(DL_C,MATCH($CA245,DL_KEY,0)),"M")</f>
        <v>H</v>
      </c>
      <c r="Z245" s="35" t="str">
        <f>IFERROR(INDEX(DL_Au,MATCH($CA245,DL_KEY,0)),"M")</f>
        <v>M</v>
      </c>
      <c r="AA245" s="35" t="str">
        <f>IFERROR(INDEX(DL_Ac,MATCH($CA245,DL_KEY,0)),"M")</f>
        <v>M</v>
      </c>
      <c r="AB245" s="35" t="str">
        <f>IFERROR(INDEX(DL_L,MATCH($CA245,DL_KEY,0)),"M")</f>
        <v>L</v>
      </c>
      <c r="AC245" s="35" t="str">
        <f>IFERROR(INDEX(DL_BI,MATCH($CA245,DL_KEY,0)),"M")</f>
        <v>L</v>
      </c>
      <c r="AD245" s="35" t="str">
        <f>IFERROR(INDEX(DL_Exp,MATCH($CA245,DL_KEY,0)),"M")</f>
        <v>L</v>
      </c>
      <c r="AE245" s="35" t="str">
        <f>IFERROR(INDEX(DL_Edu,MATCH($CA245,DL_KEY,0)),"M")</f>
        <v>L</v>
      </c>
      <c r="AF245" s="34" t="inlineStr">
        <is>
          <t>M</t>
        </is>
      </c>
      <c r="AG245" s="35" t="inlineStr">
        <is>
          <t>M</t>
        </is>
      </c>
      <c r="AH245" s="35" t="inlineStr">
        <is>
          <t>M</t>
        </is>
      </c>
      <c r="AI245" s="35" t="inlineStr">
        <is>
          <t>M</t>
        </is>
      </c>
      <c r="AJ245" s="35" t="inlineStr">
        <is>
          <t>M</t>
        </is>
      </c>
      <c r="AK245" s="35" t="inlineStr">
        <is>
          <t>M</t>
        </is>
      </c>
      <c r="AL245" s="35" t="inlineStr">
        <is>
          <t>M</t>
        </is>
      </c>
      <c r="AM245" s="36" t="n">
        <v>0.513</v>
      </c>
      <c r="AN245" s="37" t="n">
        <v>0.173</v>
      </c>
      <c r="AO245" s="37" t="n">
        <v>0.09699999999999999</v>
      </c>
      <c r="AP245" s="37" t="n">
        <v>0.05</v>
      </c>
      <c r="AQ245" s="37" t="n">
        <v>0.07000000000000001</v>
      </c>
      <c r="AR245" s="37" t="n">
        <v>0.06</v>
      </c>
      <c r="AS245" s="37" t="n">
        <v>0.04</v>
      </c>
      <c r="AT245" s="38" t="inlineStr">
        <is>
          <t>4–8</t>
        </is>
      </c>
      <c r="AU245" s="38" t="inlineStr">
        <is>
          <t>Graduate + relevant qualification or certification preferred</t>
        </is>
      </c>
      <c r="AV245" s="38" t="inlineStr">
        <is>
          <t>IC: none · Team Lead: 3–5</t>
        </is>
      </c>
      <c r="AW245" s="38" t="inlineStr">
        <is>
          <t>P3 / M2 · SFIA 4 Enable</t>
        </is>
      </c>
      <c r="AX24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45" s="39" t="inlineStr">
        <is>
          <t>B1</t>
        </is>
      </c>
      <c r="AZ245" s="40" t="inlineStr">
        <is>
          <t>Band B · Specialist / Manager · Specialist</t>
        </is>
      </c>
      <c r="BA245" s="40" t="inlineStr">
        <is>
          <t>Model B1 from the six ratings, the market-derived weights and rules R1–R13 · then No change · already below the manager</t>
        </is>
      </c>
      <c r="BB245" s="41" t="inlineStr">
        <is>
          <t>B1</t>
        </is>
      </c>
      <c r="BC245" s="40" t="inlineStr">
        <is>
          <t>The six ratings on the market-average weights of Band B · Specialist / POD Lead score 4.18 → B1 · Hay, Mercer IPE and public plans · experience 22.3 yrs vs the B1 market range 4–8</t>
        </is>
      </c>
      <c r="BD245" s="42">
        <f>IF(SUM(BM245,BN245,BO245,BP245,BQ245,BR245,BS245)=0,0,(BM245*BT245+BN245*BU245+BO245*BV245+BP245*BW245+BQ245*BX245+BR245*BY245+BS245*BZ245)/SUM(BM245,BN245,BO245,BP245,BQ245,BR245,BS245))</f>
        <v>0</v>
      </c>
      <c r="BE245" s="41" t="str">
        <f>IF(LEFT(AY245,1)="X",AY245,IF(OR(AY245="B+",AY245="C+"),INDEX(LAD_PC,MAX(1,MIN(14,MATCH(AY245,LAD_PC,0)+IF(BD245&gt;=0.5,1,IF(BD245&lt;=-0.5,-1,0))))),INDEX(LAD_STD,MAX(1,MIN(12,MATCH(AY245,LAD_STD,0)+IF(BD245&gt;=0.5,1,IF(BD245&lt;=-0.5,-1,0)))))))</f>
        <v>B1</v>
      </c>
      <c r="BF245" s="43" t="n"/>
      <c r="BG245" s="41" t="str">
        <f>IF(BF245&lt;&gt;"",BF245,BE245)</f>
        <v>B1</v>
      </c>
      <c r="BH245" s="40" t="str">
        <f>IFERROR(CHOOSE(INDEX(B_RANK,MATCH(BG245,B_LVL,0)),"Band A","Band B","B+ · Player-Coach","Band C","C+ · Player-Coach","Band D","Band E"),"Band X · Consultant")</f>
        <v>Band B</v>
      </c>
      <c r="BI245" s="40" t="str">
        <f>IF(BG245=AY245,"• Same",IF(INDEX(B_VAL,MATCH(BG245,B_LVL,0))&gt;INDEX(B_VAL,MATCH(AY245,B_LVL,0)),"▲ Up","▼ Down"))</f>
        <v>• Same</v>
      </c>
      <c r="BJ245" s="40" t="str">
        <f>IF(OR($M245="",$M245="—",$M245="Not in this file"),"",IFERROR(INDEX($BG$7:$BG$592,MATCH($M245,$D$7:$D$592,0)),""))</f>
        <v>B2</v>
      </c>
      <c r="BK245" s="40" t="str">
        <f>IFERROR(IF(BJ245="","—",IF(OR(LEFT(BG245,1)="X",LEFT(BJ245,1)="X"),"—",IF(AND(LEFT(BG245,1)="E",LEFT(BJ245,1)="E"),"Exception · Band E",IF(AND(INDEX(B_VAL,MATCH(BJ245,B_LVL,0))&gt;=7,INDEX(B_RANK,MATCH(BG245,B_LVL,0))&gt;=INDEX(B_RANK,MATCH(BJ245,B_LVL,0))),"⚠ Same band as a head manager",IF(INDEX(B_VAL,MATCH(BG245,B_LVL,0))&gt;=INDEX(B_VAL,MATCH(BJ245,B_LVL,0)),"⚠ At or above the manager's level","OK"))))),"—")</f>
        <v>OK</v>
      </c>
      <c r="BL245" s="43" t="n"/>
      <c r="BM245" s="44">
        <f>IFERROR(INDEX(LMH_PTS,MATCH(Y245,LMH_KEY,0)),0)</f>
        <v>9</v>
      </c>
      <c r="BN245" s="38">
        <f>IFERROR(INDEX(LMH_PTS,MATCH(Z245,LMH_KEY,0)),0)</f>
        <v>3</v>
      </c>
      <c r="BO245" s="38">
        <f>IFERROR(INDEX(LMH_PTS,MATCH(AA245,LMH_KEY,0)),0)</f>
        <v>3</v>
      </c>
      <c r="BP245" s="38">
        <f>IFERROR(INDEX(LMH_PTS,MATCH(AB245,LMH_KEY,0)),0)</f>
        <v>1</v>
      </c>
      <c r="BQ245" s="38">
        <f>IFERROR(INDEX(LMH_PTS,MATCH(AC245,LMH_KEY,0)),0)</f>
        <v>1</v>
      </c>
      <c r="BR245" s="38">
        <f>IFERROR(INDEX(LMH_PTS,MATCH(AD245,LMH_KEY,0)),0)</f>
        <v>1</v>
      </c>
      <c r="BS245" s="38">
        <f>IFERROR(INDEX(LMH_PTS,MATCH(AE245,LMH_KEY,0)),0)</f>
        <v>1</v>
      </c>
      <c r="BT245" s="38">
        <f>IFERROR(INDEX(LMH_STEP,MATCH(AF245,LMH_KEY,0)),0)</f>
        <v>0</v>
      </c>
      <c r="BU245" s="38">
        <f>IFERROR(INDEX(LMH_STEP,MATCH(AG245,LMH_KEY,0)),0)</f>
        <v>0</v>
      </c>
      <c r="BV245" s="38">
        <f>IFERROR(INDEX(LMH_STEP,MATCH(AH245,LMH_KEY,0)),0)</f>
        <v>0</v>
      </c>
      <c r="BW245" s="38">
        <f>IFERROR(INDEX(LMH_STEP,MATCH(AI245,LMH_KEY,0)),0)</f>
        <v>0</v>
      </c>
      <c r="BX245" s="38">
        <f>IFERROR(INDEX(LMH_STEP,MATCH(AJ245,LMH_KEY,0)),0)</f>
        <v>0</v>
      </c>
      <c r="BY245" s="38">
        <f>IFERROR(INDEX(LMH_STEP,MATCH(AK245,LMH_KEY,0)),0)</f>
        <v>0</v>
      </c>
      <c r="BZ245" s="38">
        <f>IFERROR(INDEX(LMH_STEP,MATCH(AL245,LMH_KEY,0)),0)</f>
        <v>0</v>
      </c>
      <c r="CA245" s="38" t="inlineStr">
        <is>
          <t>Consume|India Content|Data Specialist|B1|B-IC</t>
        </is>
      </c>
    </row>
    <row r="246" ht="110" customHeight="1">
      <c r="A246" s="28" t="inlineStr">
        <is>
          <t>Consume</t>
        </is>
      </c>
      <c r="B246" s="29" t="inlineStr">
        <is>
          <t>India Content</t>
        </is>
      </c>
      <c r="C246" s="29" t="n">
        <v>4</v>
      </c>
      <c r="D246" s="29" t="inlineStr">
        <is>
          <t>IRIS1743</t>
        </is>
      </c>
      <c r="E246" s="29" t="inlineStr">
        <is>
          <t>Akash Dubey</t>
        </is>
      </c>
      <c r="F246" s="29" t="inlineStr">
        <is>
          <t>Data Analyst</t>
        </is>
      </c>
      <c r="G246" s="29" t="inlineStr">
        <is>
          <t>Senior Data Analyst</t>
        </is>
      </c>
      <c r="H246" s="29" t="inlineStr">
        <is>
          <t>Data &amp; Analytics</t>
        </is>
      </c>
      <c r="I246" s="29" t="inlineStr">
        <is>
          <t>Financial Data Processing</t>
        </is>
      </c>
      <c r="J246" s="29" t="inlineStr">
        <is>
          <t>IC</t>
        </is>
      </c>
      <c r="K246" s="29" t="inlineStr">
        <is>
          <t>RC-040</t>
        </is>
      </c>
      <c r="L246" s="29" t="inlineStr">
        <is>
          <t>Gopal Krishna Sahu</t>
        </is>
      </c>
      <c r="M246" s="29" t="inlineStr">
        <is>
          <t>IRIS0007</t>
        </is>
      </c>
      <c r="N246" s="29" t="n">
        <v>8.1</v>
      </c>
      <c r="O246" s="29" t="n">
        <v>8.1</v>
      </c>
      <c r="P246" s="29" t="inlineStr">
        <is>
          <t>M.Com</t>
        </is>
      </c>
      <c r="Q246" s="29" t="inlineStr">
        <is>
          <t>L3 – Professional / Associate</t>
        </is>
      </c>
      <c r="R246" s="29" t="inlineStr">
        <is>
          <t>A3</t>
        </is>
      </c>
      <c r="S246" s="30" t="inlineStr">
        <is>
          <t>20 of 20</t>
        </is>
      </c>
      <c r="T246" s="31" t="inlineStr">
        <is>
          <t>Complexity: Evidence reads like A2: Collects and validates mutual fund data from several sources; prepares client-specific NAV/returns reports → matches the start
Autonomy: Evidence reads like A2: Independently collects data per requirements and process; KRA says escalate discrepancies to seniors → matches the start
Accountability: Evidence reads like A2: …</t>
        </is>
      </c>
      <c r="U246" s="31" t="inlineStr">
        <is>
          <t>Received · manager annual, quarterly, self · 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t>
        </is>
      </c>
      <c r="V246" s="31" t="inlineStr">
        <is>
          <t>Latest rating: 3 · Potential: Medium · 9-box: Trusted Professional · Readiness: Develop in role</t>
        </is>
      </c>
      <c r="W246" s="31" t="inlineStr">
        <is>
          <t>C L · Au L · Ac L · L L · BI M · Exp H · 8.1 yrs vs 2–4 yrs · Edu H · M.Com</t>
        </is>
      </c>
      <c r="X246" s="33" t="inlineStr">
        <is>
          <t>Open ▸</t>
        </is>
      </c>
      <c r="Y246" s="34" t="str">
        <f>IFERROR(INDEX(DL_C,MATCH($CA246,DL_KEY,0)),"M")</f>
        <v>H</v>
      </c>
      <c r="Z246" s="35" t="str">
        <f>IFERROR(INDEX(DL_Au,MATCH($CA246,DL_KEY,0)),"M")</f>
        <v>M</v>
      </c>
      <c r="AA246" s="35" t="str">
        <f>IFERROR(INDEX(DL_Ac,MATCH($CA246,DL_KEY,0)),"M")</f>
        <v>M</v>
      </c>
      <c r="AB246" s="35" t="str">
        <f>IFERROR(INDEX(DL_L,MATCH($CA246,DL_KEY,0)),"M")</f>
        <v>L</v>
      </c>
      <c r="AC246" s="35" t="str">
        <f>IFERROR(INDEX(DL_BI,MATCH($CA246,DL_KEY,0)),"M")</f>
        <v>L</v>
      </c>
      <c r="AD246" s="35" t="str">
        <f>IFERROR(INDEX(DL_Exp,MATCH($CA246,DL_KEY,0)),"M")</f>
        <v>L</v>
      </c>
      <c r="AE246" s="35" t="str">
        <f>IFERROR(INDEX(DL_Edu,MATCH($CA246,DL_KEY,0)),"M")</f>
        <v>L</v>
      </c>
      <c r="AF246" s="34" t="inlineStr">
        <is>
          <t>M</t>
        </is>
      </c>
      <c r="AG246" s="35" t="inlineStr">
        <is>
          <t>M</t>
        </is>
      </c>
      <c r="AH246" s="35" t="inlineStr">
        <is>
          <t>M</t>
        </is>
      </c>
      <c r="AI246" s="35" t="inlineStr">
        <is>
          <t>M</t>
        </is>
      </c>
      <c r="AJ246" s="35" t="inlineStr">
        <is>
          <t>M</t>
        </is>
      </c>
      <c r="AK246" s="35" t="inlineStr">
        <is>
          <t>M</t>
        </is>
      </c>
      <c r="AL246" s="35" t="inlineStr">
        <is>
          <t>M</t>
        </is>
      </c>
      <c r="AM246" s="36" t="n">
        <v>0.583</v>
      </c>
      <c r="AN246" s="37" t="n">
        <v>0.16</v>
      </c>
      <c r="AO246" s="37" t="n">
        <v>0.09</v>
      </c>
      <c r="AP246" s="37" t="n">
        <v>0</v>
      </c>
      <c r="AQ246" s="37" t="n">
        <v>0.063</v>
      </c>
      <c r="AR246" s="37" t="n">
        <v>0.06</v>
      </c>
      <c r="AS246" s="37" t="n">
        <v>0.04</v>
      </c>
      <c r="AT246" s="38" t="inlineStr">
        <is>
          <t>2–5</t>
        </is>
      </c>
      <c r="AU246" s="38" t="inlineStr">
        <is>
          <t>Graduate; relevant certification preferred</t>
        </is>
      </c>
      <c r="AV246" s="38" t="inlineStr">
        <is>
          <t>None · guides 1–3 juniors informally</t>
        </is>
      </c>
      <c r="AW246" s="38" t="inlineStr">
        <is>
          <t>P2 · SFIA 3 Apply</t>
        </is>
      </c>
      <c r="AX24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46" s="39" t="inlineStr">
        <is>
          <t>A3</t>
        </is>
      </c>
      <c r="AZ246" s="40" t="inlineStr">
        <is>
          <t>Band A · Practitioner · Senior Associate</t>
        </is>
      </c>
      <c r="BA246" s="40" t="inlineStr">
        <is>
          <t>Model A3 from the six ratings, the market-derived weights and rules R1–R13 · then No change · already below the manager</t>
        </is>
      </c>
      <c r="BB246" s="41" t="inlineStr">
        <is>
          <t>A2</t>
        </is>
      </c>
      <c r="BC246" s="40" t="inlineStr">
        <is>
          <t>The six ratings on the market-average weights of Band A · all tracks score 2.38 → A2 · Hay, Mercer IPE and public plans · experience 8.1 yrs vs the A2 market range 0–3</t>
        </is>
      </c>
      <c r="BD246" s="42">
        <f>IF(SUM(BM246,BN246,BO246,BP246,BQ246,BR246,BS246)=0,0,(BM246*BT246+BN246*BU246+BO246*BV246+BP246*BW246+BQ246*BX246+BR246*BY246+BS246*BZ246)/SUM(BM246,BN246,BO246,BP246,BQ246,BR246,BS246))</f>
        <v>0</v>
      </c>
      <c r="BE246" s="41" t="str">
        <f>IF(LEFT(AY246,1)="X",AY246,IF(OR(AY246="B+",AY246="C+"),INDEX(LAD_PC,MAX(1,MIN(14,MATCH(AY246,LAD_PC,0)+IF(BD246&gt;=0.5,1,IF(BD246&lt;=-0.5,-1,0))))),INDEX(LAD_STD,MAX(1,MIN(12,MATCH(AY246,LAD_STD,0)+IF(BD246&gt;=0.5,1,IF(BD246&lt;=-0.5,-1,0)))))))</f>
        <v>A3</v>
      </c>
      <c r="BF246" s="43" t="n"/>
      <c r="BG246" s="41" t="str">
        <f>IF(BF246&lt;&gt;"",BF246,BE246)</f>
        <v>A3</v>
      </c>
      <c r="BH246" s="40" t="str">
        <f>IFERROR(CHOOSE(INDEX(B_RANK,MATCH(BG246,B_LVL,0)),"Band A","Band B","B+ · Player-Coach","Band C","C+ · Player-Coach","Band D","Band E"),"Band X · Consultant")</f>
        <v>Band A</v>
      </c>
      <c r="BI246" s="40" t="str">
        <f>IF(BG246=AY246,"• Same",IF(INDEX(B_VAL,MATCH(BG246,B_LVL,0))&gt;INDEX(B_VAL,MATCH(AY246,B_LVL,0)),"▲ Up","▼ Down"))</f>
        <v>• Same</v>
      </c>
      <c r="BJ246" s="40" t="str">
        <f>IF(OR($M246="",$M246="—",$M246="Not in this file"),"",IFERROR(INDEX($BG$7:$BG$592,MATCH($M246,$D$7:$D$592,0)),""))</f>
        <v>B2</v>
      </c>
      <c r="BK246" s="40" t="str">
        <f>IFERROR(IF(BJ246="","—",IF(OR(LEFT(BG246,1)="X",LEFT(BJ246,1)="X"),"—",IF(AND(LEFT(BG246,1)="E",LEFT(BJ246,1)="E"),"Exception · Band E",IF(AND(INDEX(B_VAL,MATCH(BJ246,B_LVL,0))&gt;=7,INDEX(B_RANK,MATCH(BG246,B_LVL,0))&gt;=INDEX(B_RANK,MATCH(BJ246,B_LVL,0))),"⚠ Same band as a head manager",IF(INDEX(B_VAL,MATCH(BG246,B_LVL,0))&gt;=INDEX(B_VAL,MATCH(BJ246,B_LVL,0)),"⚠ At or above the manager's level","OK"))))),"—")</f>
        <v>OK</v>
      </c>
      <c r="BL246" s="43" t="n"/>
      <c r="BM246" s="44">
        <f>IFERROR(INDEX(LMH_PTS,MATCH(Y246,LMH_KEY,0)),0)</f>
        <v>9</v>
      </c>
      <c r="BN246" s="38">
        <f>IFERROR(INDEX(LMH_PTS,MATCH(Z246,LMH_KEY,0)),0)</f>
        <v>3</v>
      </c>
      <c r="BO246" s="38">
        <f>IFERROR(INDEX(LMH_PTS,MATCH(AA246,LMH_KEY,0)),0)</f>
        <v>3</v>
      </c>
      <c r="BP246" s="38">
        <f>IFERROR(INDEX(LMH_PTS,MATCH(AB246,LMH_KEY,0)),0)</f>
        <v>1</v>
      </c>
      <c r="BQ246" s="38">
        <f>IFERROR(INDEX(LMH_PTS,MATCH(AC246,LMH_KEY,0)),0)</f>
        <v>1</v>
      </c>
      <c r="BR246" s="38">
        <f>IFERROR(INDEX(LMH_PTS,MATCH(AD246,LMH_KEY,0)),0)</f>
        <v>1</v>
      </c>
      <c r="BS246" s="38">
        <f>IFERROR(INDEX(LMH_PTS,MATCH(AE246,LMH_KEY,0)),0)</f>
        <v>1</v>
      </c>
      <c r="BT246" s="38">
        <f>IFERROR(INDEX(LMH_STEP,MATCH(AF246,LMH_KEY,0)),0)</f>
        <v>0</v>
      </c>
      <c r="BU246" s="38">
        <f>IFERROR(INDEX(LMH_STEP,MATCH(AG246,LMH_KEY,0)),0)</f>
        <v>0</v>
      </c>
      <c r="BV246" s="38">
        <f>IFERROR(INDEX(LMH_STEP,MATCH(AH246,LMH_KEY,0)),0)</f>
        <v>0</v>
      </c>
      <c r="BW246" s="38">
        <f>IFERROR(INDEX(LMH_STEP,MATCH(AI246,LMH_KEY,0)),0)</f>
        <v>0</v>
      </c>
      <c r="BX246" s="38">
        <f>IFERROR(INDEX(LMH_STEP,MATCH(AJ246,LMH_KEY,0)),0)</f>
        <v>0</v>
      </c>
      <c r="BY246" s="38">
        <f>IFERROR(INDEX(LMH_STEP,MATCH(AK246,LMH_KEY,0)),0)</f>
        <v>0</v>
      </c>
      <c r="BZ246" s="38">
        <f>IFERROR(INDEX(LMH_STEP,MATCH(AL246,LMH_KEY,0)),0)</f>
        <v>0</v>
      </c>
      <c r="CA246" s="38" t="inlineStr">
        <is>
          <t>Consume|India Content|Senior Data Analyst|A3|A</t>
        </is>
      </c>
    </row>
    <row r="247" ht="110" customHeight="1">
      <c r="A247" s="28" t="inlineStr">
        <is>
          <t>Consume</t>
        </is>
      </c>
      <c r="B247" s="29" t="inlineStr">
        <is>
          <t>India Content</t>
        </is>
      </c>
      <c r="C247" s="29" t="n">
        <v>4</v>
      </c>
      <c r="D247" s="29" t="inlineStr">
        <is>
          <t>IRIS1710</t>
        </is>
      </c>
      <c r="E247" s="29" t="inlineStr">
        <is>
          <t>John Mariakulandai</t>
        </is>
      </c>
      <c r="F247" s="29" t="inlineStr">
        <is>
          <t>Data Analyst</t>
        </is>
      </c>
      <c r="G247" s="29" t="inlineStr">
        <is>
          <t>Senior Data Analyst</t>
        </is>
      </c>
      <c r="H247" s="29" t="inlineStr">
        <is>
          <t>Data &amp; Analytics</t>
        </is>
      </c>
      <c r="I247" s="29" t="inlineStr">
        <is>
          <t>Financial Data Processing</t>
        </is>
      </c>
      <c r="J247" s="29" t="inlineStr">
        <is>
          <t>IC</t>
        </is>
      </c>
      <c r="K247" s="29" t="inlineStr">
        <is>
          <t>RC-040</t>
        </is>
      </c>
      <c r="L247" s="29" t="inlineStr">
        <is>
          <t>Gopal Krishna Sahu</t>
        </is>
      </c>
      <c r="M247" s="29" t="inlineStr">
        <is>
          <t>IRIS0007</t>
        </is>
      </c>
      <c r="N247" s="29" t="n">
        <v>17.4</v>
      </c>
      <c r="O247" s="29" t="n">
        <v>8.6</v>
      </c>
      <c r="P247" s="29" t="inlineStr">
        <is>
          <t>B.Com</t>
        </is>
      </c>
      <c r="Q247" s="29" t="inlineStr">
        <is>
          <t>L3 – Professional / Associate</t>
        </is>
      </c>
      <c r="R247" s="29" t="inlineStr">
        <is>
          <t>A3</t>
        </is>
      </c>
      <c r="S247" s="30" t="inlineStr">
        <is>
          <t>20 of 20</t>
        </is>
      </c>
      <c r="T247" s="31" t="inlineStr">
        <is>
          <t>Complexity: Evidence reads like A2: Updates mutual fund scheme details daily and sends the feed to the client → matches the start
Autonomy: Evidence reads like A2: Only 'mutual fund data' named; KRA requires escalating discrepancies to seniors → matches the start
Accountability: Evidence reads like A2: Accurate own data to client, who loads it to a portal …</t>
        </is>
      </c>
      <c r="U247" s="31" t="inlineStr">
        <is>
          <t>Received · manager annual, quarterly, self · 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t>
        </is>
      </c>
      <c r="V247" s="31" t="inlineStr">
        <is>
          <t>Latest rating: 3 · Potential: Medium · 9-box: High Impact / Growth Talent · Readiness: Develop in role</t>
        </is>
      </c>
      <c r="W247" s="31" t="inlineStr">
        <is>
          <t>C L · Au L · Ac L · L L · BI M · Exp H · 17.4 yrs vs 2–4 yrs · Edu M · B.Com</t>
        </is>
      </c>
      <c r="X247" s="33" t="inlineStr">
        <is>
          <t>Open ▸</t>
        </is>
      </c>
      <c r="Y247" s="34" t="str">
        <f>IFERROR(INDEX(DL_C,MATCH($CA247,DL_KEY,0)),"M")</f>
        <v>H</v>
      </c>
      <c r="Z247" s="35" t="str">
        <f>IFERROR(INDEX(DL_Au,MATCH($CA247,DL_KEY,0)),"M")</f>
        <v>M</v>
      </c>
      <c r="AA247" s="35" t="str">
        <f>IFERROR(INDEX(DL_Ac,MATCH($CA247,DL_KEY,0)),"M")</f>
        <v>M</v>
      </c>
      <c r="AB247" s="35" t="str">
        <f>IFERROR(INDEX(DL_L,MATCH($CA247,DL_KEY,0)),"M")</f>
        <v>L</v>
      </c>
      <c r="AC247" s="35" t="str">
        <f>IFERROR(INDEX(DL_BI,MATCH($CA247,DL_KEY,0)),"M")</f>
        <v>L</v>
      </c>
      <c r="AD247" s="35" t="str">
        <f>IFERROR(INDEX(DL_Exp,MATCH($CA247,DL_KEY,0)),"M")</f>
        <v>L</v>
      </c>
      <c r="AE247" s="35" t="str">
        <f>IFERROR(INDEX(DL_Edu,MATCH($CA247,DL_KEY,0)),"M")</f>
        <v>L</v>
      </c>
      <c r="AF247" s="34" t="inlineStr">
        <is>
          <t>M</t>
        </is>
      </c>
      <c r="AG247" s="35" t="inlineStr">
        <is>
          <t>M</t>
        </is>
      </c>
      <c r="AH247" s="35" t="inlineStr">
        <is>
          <t>M</t>
        </is>
      </c>
      <c r="AI247" s="35" t="inlineStr">
        <is>
          <t>M</t>
        </is>
      </c>
      <c r="AJ247" s="35" t="inlineStr">
        <is>
          <t>M</t>
        </is>
      </c>
      <c r="AK247" s="35" t="inlineStr">
        <is>
          <t>M</t>
        </is>
      </c>
      <c r="AL247" s="35" t="inlineStr">
        <is>
          <t>M</t>
        </is>
      </c>
      <c r="AM247" s="36" t="n">
        <v>0.583</v>
      </c>
      <c r="AN247" s="37" t="n">
        <v>0.16</v>
      </c>
      <c r="AO247" s="37" t="n">
        <v>0.09</v>
      </c>
      <c r="AP247" s="37" t="n">
        <v>0</v>
      </c>
      <c r="AQ247" s="37" t="n">
        <v>0.063</v>
      </c>
      <c r="AR247" s="37" t="n">
        <v>0.06</v>
      </c>
      <c r="AS247" s="37" t="n">
        <v>0.04</v>
      </c>
      <c r="AT247" s="38" t="inlineStr">
        <is>
          <t>2–5</t>
        </is>
      </c>
      <c r="AU247" s="38" t="inlineStr">
        <is>
          <t>Graduate; relevant certification preferred</t>
        </is>
      </c>
      <c r="AV247" s="38" t="inlineStr">
        <is>
          <t>None · guides 1–3 juniors informally</t>
        </is>
      </c>
      <c r="AW247" s="38" t="inlineStr">
        <is>
          <t>P2 · SFIA 3 Apply</t>
        </is>
      </c>
      <c r="AX24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47" s="39" t="inlineStr">
        <is>
          <t>A3</t>
        </is>
      </c>
      <c r="AZ247" s="40" t="inlineStr">
        <is>
          <t>Band A · Practitioner · Senior Associate</t>
        </is>
      </c>
      <c r="BA247" s="40" t="inlineStr">
        <is>
          <t>Model A3 from the six ratings, the market-derived weights and rules R1–R13 · then No change · already below the manager</t>
        </is>
      </c>
      <c r="BB247" s="41" t="inlineStr">
        <is>
          <t>A3</t>
        </is>
      </c>
      <c r="BC247" s="40" t="inlineStr">
        <is>
          <t>The six ratings on the market-average weights of Band A · all tracks score 2.77 → A3 · Hay, Mercer IPE and public plans · experience 17.4 yrs vs the A3 market range 2–5</t>
        </is>
      </c>
      <c r="BD247" s="42">
        <f>IF(SUM(BM247,BN247,BO247,BP247,BQ247,BR247,BS247)=0,0,(BM247*BT247+BN247*BU247+BO247*BV247+BP247*BW247+BQ247*BX247+BR247*BY247+BS247*BZ247)/SUM(BM247,BN247,BO247,BP247,BQ247,BR247,BS247))</f>
        <v>0</v>
      </c>
      <c r="BE247" s="41" t="str">
        <f>IF(LEFT(AY247,1)="X",AY247,IF(OR(AY247="B+",AY247="C+"),INDEX(LAD_PC,MAX(1,MIN(14,MATCH(AY247,LAD_PC,0)+IF(BD247&gt;=0.5,1,IF(BD247&lt;=-0.5,-1,0))))),INDEX(LAD_STD,MAX(1,MIN(12,MATCH(AY247,LAD_STD,0)+IF(BD247&gt;=0.5,1,IF(BD247&lt;=-0.5,-1,0)))))))</f>
        <v>A3</v>
      </c>
      <c r="BF247" s="43" t="n"/>
      <c r="BG247" s="41" t="str">
        <f>IF(BF247&lt;&gt;"",BF247,BE247)</f>
        <v>A3</v>
      </c>
      <c r="BH247" s="40" t="str">
        <f>IFERROR(CHOOSE(INDEX(B_RANK,MATCH(BG247,B_LVL,0)),"Band A","Band B","B+ · Player-Coach","Band C","C+ · Player-Coach","Band D","Band E"),"Band X · Consultant")</f>
        <v>Band A</v>
      </c>
      <c r="BI247" s="40" t="str">
        <f>IF(BG247=AY247,"• Same",IF(INDEX(B_VAL,MATCH(BG247,B_LVL,0))&gt;INDEX(B_VAL,MATCH(AY247,B_LVL,0)),"▲ Up","▼ Down"))</f>
        <v>• Same</v>
      </c>
      <c r="BJ247" s="40" t="str">
        <f>IF(OR($M247="",$M247="—",$M247="Not in this file"),"",IFERROR(INDEX($BG$7:$BG$592,MATCH($M247,$D$7:$D$592,0)),""))</f>
        <v>B2</v>
      </c>
      <c r="BK247" s="40" t="str">
        <f>IFERROR(IF(BJ247="","—",IF(OR(LEFT(BG247,1)="X",LEFT(BJ247,1)="X"),"—",IF(AND(LEFT(BG247,1)="E",LEFT(BJ247,1)="E"),"Exception · Band E",IF(AND(INDEX(B_VAL,MATCH(BJ247,B_LVL,0))&gt;=7,INDEX(B_RANK,MATCH(BG247,B_LVL,0))&gt;=INDEX(B_RANK,MATCH(BJ247,B_LVL,0))),"⚠ Same band as a head manager",IF(INDEX(B_VAL,MATCH(BG247,B_LVL,0))&gt;=INDEX(B_VAL,MATCH(BJ247,B_LVL,0)),"⚠ At or above the manager's level","OK"))))),"—")</f>
        <v>OK</v>
      </c>
      <c r="BL247" s="43" t="n"/>
      <c r="BM247" s="44">
        <f>IFERROR(INDEX(LMH_PTS,MATCH(Y247,LMH_KEY,0)),0)</f>
        <v>9</v>
      </c>
      <c r="BN247" s="38">
        <f>IFERROR(INDEX(LMH_PTS,MATCH(Z247,LMH_KEY,0)),0)</f>
        <v>3</v>
      </c>
      <c r="BO247" s="38">
        <f>IFERROR(INDEX(LMH_PTS,MATCH(AA247,LMH_KEY,0)),0)</f>
        <v>3</v>
      </c>
      <c r="BP247" s="38">
        <f>IFERROR(INDEX(LMH_PTS,MATCH(AB247,LMH_KEY,0)),0)</f>
        <v>1</v>
      </c>
      <c r="BQ247" s="38">
        <f>IFERROR(INDEX(LMH_PTS,MATCH(AC247,LMH_KEY,0)),0)</f>
        <v>1</v>
      </c>
      <c r="BR247" s="38">
        <f>IFERROR(INDEX(LMH_PTS,MATCH(AD247,LMH_KEY,0)),0)</f>
        <v>1</v>
      </c>
      <c r="BS247" s="38">
        <f>IFERROR(INDEX(LMH_PTS,MATCH(AE247,LMH_KEY,0)),0)</f>
        <v>1</v>
      </c>
      <c r="BT247" s="38">
        <f>IFERROR(INDEX(LMH_STEP,MATCH(AF247,LMH_KEY,0)),0)</f>
        <v>0</v>
      </c>
      <c r="BU247" s="38">
        <f>IFERROR(INDEX(LMH_STEP,MATCH(AG247,LMH_KEY,0)),0)</f>
        <v>0</v>
      </c>
      <c r="BV247" s="38">
        <f>IFERROR(INDEX(LMH_STEP,MATCH(AH247,LMH_KEY,0)),0)</f>
        <v>0</v>
      </c>
      <c r="BW247" s="38">
        <f>IFERROR(INDEX(LMH_STEP,MATCH(AI247,LMH_KEY,0)),0)</f>
        <v>0</v>
      </c>
      <c r="BX247" s="38">
        <f>IFERROR(INDEX(LMH_STEP,MATCH(AJ247,LMH_KEY,0)),0)</f>
        <v>0</v>
      </c>
      <c r="BY247" s="38">
        <f>IFERROR(INDEX(LMH_STEP,MATCH(AK247,LMH_KEY,0)),0)</f>
        <v>0</v>
      </c>
      <c r="BZ247" s="38">
        <f>IFERROR(INDEX(LMH_STEP,MATCH(AL247,LMH_KEY,0)),0)</f>
        <v>0</v>
      </c>
      <c r="CA247" s="38" t="inlineStr">
        <is>
          <t>Consume|India Content|Senior Data Analyst|A3|A</t>
        </is>
      </c>
    </row>
    <row r="248" ht="110" customHeight="1">
      <c r="A248" s="28" t="inlineStr">
        <is>
          <t>Consume</t>
        </is>
      </c>
      <c r="B248" s="29" t="inlineStr">
        <is>
          <t>India Content</t>
        </is>
      </c>
      <c r="C248" s="29" t="n">
        <v>4</v>
      </c>
      <c r="D248" s="29" t="inlineStr">
        <is>
          <t>IRIS0091</t>
        </is>
      </c>
      <c r="E248" s="29" t="inlineStr">
        <is>
          <t>Neelam Kadam</t>
        </is>
      </c>
      <c r="F248" s="29" t="inlineStr">
        <is>
          <t>Data Analyst</t>
        </is>
      </c>
      <c r="G248" s="29" t="inlineStr">
        <is>
          <t>Senior Data Analyst</t>
        </is>
      </c>
      <c r="H248" s="29" t="inlineStr">
        <is>
          <t>Data &amp; Analytics</t>
        </is>
      </c>
      <c r="I248" s="29" t="inlineStr">
        <is>
          <t>Financial Data Processing</t>
        </is>
      </c>
      <c r="J248" s="29" t="inlineStr">
        <is>
          <t>IC</t>
        </is>
      </c>
      <c r="K248" s="29" t="inlineStr">
        <is>
          <t>RC-040</t>
        </is>
      </c>
      <c r="L248" s="29" t="inlineStr">
        <is>
          <t>Gopal Krishna Sahu</t>
        </is>
      </c>
      <c r="M248" s="29" t="inlineStr">
        <is>
          <t>IRIS0007</t>
        </is>
      </c>
      <c r="N248" s="29" t="n">
        <v>19.4</v>
      </c>
      <c r="O248" s="29" t="n">
        <v>19.4</v>
      </c>
      <c r="P248" s="29" t="inlineStr">
        <is>
          <t>B.Com</t>
        </is>
      </c>
      <c r="Q248" s="29" t="inlineStr">
        <is>
          <t>L3 – Professional / Associate</t>
        </is>
      </c>
      <c r="R248" s="29" t="inlineStr">
        <is>
          <t>A3</t>
        </is>
      </c>
      <c r="S248" s="30" t="inlineStr">
        <is>
          <t>19 of 20</t>
        </is>
      </c>
      <c r="T248" s="31"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t>
        </is>
      </c>
      <c r="U248" s="31" t="inlineStr">
        <is>
          <t>Received · manager annual, quarterly, self · 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t>
        </is>
      </c>
      <c r="V248" s="31" t="inlineStr">
        <is>
          <t>Latest rating: 2 · Potential: Medium · 9-box: Trusted Professional · Readiness: Performance first</t>
        </is>
      </c>
      <c r="W248" s="31" t="inlineStr">
        <is>
          <t>C L · Au L · Ac L · L L · BI M · Exp H · 19.4 yrs vs 2–4 yrs · Edu M · B.Com</t>
        </is>
      </c>
      <c r="X248" s="33" t="inlineStr">
        <is>
          <t>Open ▸</t>
        </is>
      </c>
      <c r="Y248" s="34" t="str">
        <f>IFERROR(INDEX(DL_C,MATCH($CA248,DL_KEY,0)),"M")</f>
        <v>H</v>
      </c>
      <c r="Z248" s="35" t="str">
        <f>IFERROR(INDEX(DL_Au,MATCH($CA248,DL_KEY,0)),"M")</f>
        <v>M</v>
      </c>
      <c r="AA248" s="35" t="str">
        <f>IFERROR(INDEX(DL_Ac,MATCH($CA248,DL_KEY,0)),"M")</f>
        <v>M</v>
      </c>
      <c r="AB248" s="35" t="str">
        <f>IFERROR(INDEX(DL_L,MATCH($CA248,DL_KEY,0)),"M")</f>
        <v>L</v>
      </c>
      <c r="AC248" s="35" t="str">
        <f>IFERROR(INDEX(DL_BI,MATCH($CA248,DL_KEY,0)),"M")</f>
        <v>L</v>
      </c>
      <c r="AD248" s="35" t="str">
        <f>IFERROR(INDEX(DL_Exp,MATCH($CA248,DL_KEY,0)),"M")</f>
        <v>L</v>
      </c>
      <c r="AE248" s="35" t="str">
        <f>IFERROR(INDEX(DL_Edu,MATCH($CA248,DL_KEY,0)),"M")</f>
        <v>L</v>
      </c>
      <c r="AF248" s="34" t="inlineStr">
        <is>
          <t>M</t>
        </is>
      </c>
      <c r="AG248" s="35" t="inlineStr">
        <is>
          <t>M</t>
        </is>
      </c>
      <c r="AH248" s="35" t="inlineStr">
        <is>
          <t>M</t>
        </is>
      </c>
      <c r="AI248" s="35" t="inlineStr">
        <is>
          <t>M</t>
        </is>
      </c>
      <c r="AJ248" s="35" t="inlineStr">
        <is>
          <t>M</t>
        </is>
      </c>
      <c r="AK248" s="35" t="inlineStr">
        <is>
          <t>M</t>
        </is>
      </c>
      <c r="AL248" s="35" t="inlineStr">
        <is>
          <t>M</t>
        </is>
      </c>
      <c r="AM248" s="36" t="n">
        <v>0.583</v>
      </c>
      <c r="AN248" s="37" t="n">
        <v>0.16</v>
      </c>
      <c r="AO248" s="37" t="n">
        <v>0.09</v>
      </c>
      <c r="AP248" s="37" t="n">
        <v>0</v>
      </c>
      <c r="AQ248" s="37" t="n">
        <v>0.063</v>
      </c>
      <c r="AR248" s="37" t="n">
        <v>0.06</v>
      </c>
      <c r="AS248" s="37" t="n">
        <v>0.04</v>
      </c>
      <c r="AT248" s="38" t="inlineStr">
        <is>
          <t>2–5</t>
        </is>
      </c>
      <c r="AU248" s="38" t="inlineStr">
        <is>
          <t>Graduate; relevant certification preferred</t>
        </is>
      </c>
      <c r="AV248" s="38" t="inlineStr">
        <is>
          <t>None · guides 1–3 juniors informally</t>
        </is>
      </c>
      <c r="AW248" s="38" t="inlineStr">
        <is>
          <t>P2 · SFIA 3 Apply</t>
        </is>
      </c>
      <c r="AX24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48" s="39" t="inlineStr">
        <is>
          <t>A3</t>
        </is>
      </c>
      <c r="AZ248" s="40" t="inlineStr">
        <is>
          <t>Band A · Practitioner · Senior Associate</t>
        </is>
      </c>
      <c r="BA248" s="40" t="inlineStr">
        <is>
          <t>Model A3 from the six ratings, the market-derived weights and rules R1–R13 · then No change · already below the manager</t>
        </is>
      </c>
      <c r="BB248" s="41" t="inlineStr">
        <is>
          <t>A3</t>
        </is>
      </c>
      <c r="BC248" s="40" t="inlineStr">
        <is>
          <t>The six ratings on the market-average weights of Band A · all tracks score 2.78 → A3 · Hay, Mercer IPE and public plans · experience 19.4 yrs vs the A3 market range 2–5</t>
        </is>
      </c>
      <c r="BD248" s="42">
        <f>IF(SUM(BM248,BN248,BO248,BP248,BQ248,BR248,BS248)=0,0,(BM248*BT248+BN248*BU248+BO248*BV248+BP248*BW248+BQ248*BX248+BR248*BY248+BS248*BZ248)/SUM(BM248,BN248,BO248,BP248,BQ248,BR248,BS248))</f>
        <v>0</v>
      </c>
      <c r="BE248" s="41" t="str">
        <f>IF(LEFT(AY248,1)="X",AY248,IF(OR(AY248="B+",AY248="C+"),INDEX(LAD_PC,MAX(1,MIN(14,MATCH(AY248,LAD_PC,0)+IF(BD248&gt;=0.5,1,IF(BD248&lt;=-0.5,-1,0))))),INDEX(LAD_STD,MAX(1,MIN(12,MATCH(AY248,LAD_STD,0)+IF(BD248&gt;=0.5,1,IF(BD248&lt;=-0.5,-1,0)))))))</f>
        <v>A3</v>
      </c>
      <c r="BF248" s="43" t="n"/>
      <c r="BG248" s="41" t="str">
        <f>IF(BF248&lt;&gt;"",BF248,BE248)</f>
        <v>A3</v>
      </c>
      <c r="BH248" s="40" t="str">
        <f>IFERROR(CHOOSE(INDEX(B_RANK,MATCH(BG248,B_LVL,0)),"Band A","Band B","B+ · Player-Coach","Band C","C+ · Player-Coach","Band D","Band E"),"Band X · Consultant")</f>
        <v>Band A</v>
      </c>
      <c r="BI248" s="40" t="str">
        <f>IF(BG248=AY248,"• Same",IF(INDEX(B_VAL,MATCH(BG248,B_LVL,0))&gt;INDEX(B_VAL,MATCH(AY248,B_LVL,0)),"▲ Up","▼ Down"))</f>
        <v>• Same</v>
      </c>
      <c r="BJ248" s="40" t="str">
        <f>IF(OR($M248="",$M248="—",$M248="Not in this file"),"",IFERROR(INDEX($BG$7:$BG$592,MATCH($M248,$D$7:$D$592,0)),""))</f>
        <v>B2</v>
      </c>
      <c r="BK248" s="40" t="str">
        <f>IFERROR(IF(BJ248="","—",IF(OR(LEFT(BG248,1)="X",LEFT(BJ248,1)="X"),"—",IF(AND(LEFT(BG248,1)="E",LEFT(BJ248,1)="E"),"Exception · Band E",IF(AND(INDEX(B_VAL,MATCH(BJ248,B_LVL,0))&gt;=7,INDEX(B_RANK,MATCH(BG248,B_LVL,0))&gt;=INDEX(B_RANK,MATCH(BJ248,B_LVL,0))),"⚠ Same band as a head manager",IF(INDEX(B_VAL,MATCH(BG248,B_LVL,0))&gt;=INDEX(B_VAL,MATCH(BJ248,B_LVL,0)),"⚠ At or above the manager's level","OK"))))),"—")</f>
        <v>OK</v>
      </c>
      <c r="BL248" s="43" t="n"/>
      <c r="BM248" s="44">
        <f>IFERROR(INDEX(LMH_PTS,MATCH(Y248,LMH_KEY,0)),0)</f>
        <v>9</v>
      </c>
      <c r="BN248" s="38">
        <f>IFERROR(INDEX(LMH_PTS,MATCH(Z248,LMH_KEY,0)),0)</f>
        <v>3</v>
      </c>
      <c r="BO248" s="38">
        <f>IFERROR(INDEX(LMH_PTS,MATCH(AA248,LMH_KEY,0)),0)</f>
        <v>3</v>
      </c>
      <c r="BP248" s="38">
        <f>IFERROR(INDEX(LMH_PTS,MATCH(AB248,LMH_KEY,0)),0)</f>
        <v>1</v>
      </c>
      <c r="BQ248" s="38">
        <f>IFERROR(INDEX(LMH_PTS,MATCH(AC248,LMH_KEY,0)),0)</f>
        <v>1</v>
      </c>
      <c r="BR248" s="38">
        <f>IFERROR(INDEX(LMH_PTS,MATCH(AD248,LMH_KEY,0)),0)</f>
        <v>1</v>
      </c>
      <c r="BS248" s="38">
        <f>IFERROR(INDEX(LMH_PTS,MATCH(AE248,LMH_KEY,0)),0)</f>
        <v>1</v>
      </c>
      <c r="BT248" s="38">
        <f>IFERROR(INDEX(LMH_STEP,MATCH(AF248,LMH_KEY,0)),0)</f>
        <v>0</v>
      </c>
      <c r="BU248" s="38">
        <f>IFERROR(INDEX(LMH_STEP,MATCH(AG248,LMH_KEY,0)),0)</f>
        <v>0</v>
      </c>
      <c r="BV248" s="38">
        <f>IFERROR(INDEX(LMH_STEP,MATCH(AH248,LMH_KEY,0)),0)</f>
        <v>0</v>
      </c>
      <c r="BW248" s="38">
        <f>IFERROR(INDEX(LMH_STEP,MATCH(AI248,LMH_KEY,0)),0)</f>
        <v>0</v>
      </c>
      <c r="BX248" s="38">
        <f>IFERROR(INDEX(LMH_STEP,MATCH(AJ248,LMH_KEY,0)),0)</f>
        <v>0</v>
      </c>
      <c r="BY248" s="38">
        <f>IFERROR(INDEX(LMH_STEP,MATCH(AK248,LMH_KEY,0)),0)</f>
        <v>0</v>
      </c>
      <c r="BZ248" s="38">
        <f>IFERROR(INDEX(LMH_STEP,MATCH(AL248,LMH_KEY,0)),0)</f>
        <v>0</v>
      </c>
      <c r="CA248" s="38" t="inlineStr">
        <is>
          <t>Consume|India Content|Senior Data Analyst|A3|A</t>
        </is>
      </c>
    </row>
    <row r="249" ht="110" customHeight="1">
      <c r="A249" s="28" t="inlineStr">
        <is>
          <t>Consume</t>
        </is>
      </c>
      <c r="B249" s="29" t="inlineStr">
        <is>
          <t>India Content</t>
        </is>
      </c>
      <c r="C249" s="29" t="n">
        <v>4</v>
      </c>
      <c r="D249" s="29" t="inlineStr">
        <is>
          <t>IRIS0065</t>
        </is>
      </c>
      <c r="E249" s="29" t="inlineStr">
        <is>
          <t>Nishikant Mhatre</t>
        </is>
      </c>
      <c r="F249" s="29" t="inlineStr">
        <is>
          <t>Data Analyst</t>
        </is>
      </c>
      <c r="G249" s="29" t="inlineStr">
        <is>
          <t>Senior Data Analyst</t>
        </is>
      </c>
      <c r="H249" s="29" t="inlineStr">
        <is>
          <t>Data &amp; Analytics</t>
        </is>
      </c>
      <c r="I249" s="29" t="inlineStr">
        <is>
          <t>Financial Data Processing</t>
        </is>
      </c>
      <c r="J249" s="29" t="inlineStr">
        <is>
          <t>IC</t>
        </is>
      </c>
      <c r="K249" s="29" t="inlineStr">
        <is>
          <t>RC-040</t>
        </is>
      </c>
      <c r="L249" s="29" t="inlineStr">
        <is>
          <t>Gopal Krishna Sahu</t>
        </is>
      </c>
      <c r="M249" s="29" t="inlineStr">
        <is>
          <t>IRIS0007</t>
        </is>
      </c>
      <c r="N249" s="29" t="n">
        <v>30.7</v>
      </c>
      <c r="O249" s="29" t="n">
        <v>19.7</v>
      </c>
      <c r="P249" s="29" t="inlineStr">
        <is>
          <t>B.Com</t>
        </is>
      </c>
      <c r="Q249" s="29" t="inlineStr">
        <is>
          <t>L3 – Professional / Associate</t>
        </is>
      </c>
      <c r="R249" s="29" t="inlineStr">
        <is>
          <t>A3</t>
        </is>
      </c>
      <c r="S249" s="30" t="inlineStr">
        <is>
          <t>20 of 20</t>
        </is>
      </c>
      <c r="T249" s="31"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t>
        </is>
      </c>
      <c r="U249" s="31" t="inlineStr">
        <is>
          <t>Received · manager annual, quarterly, self · 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t>
        </is>
      </c>
      <c r="V249" s="31" t="inlineStr">
        <is>
          <t>Latest rating: 3 · Potential: Medium · 9-box: Trusted Professional · Readiness: Develop in role</t>
        </is>
      </c>
      <c r="W249" s="31" t="inlineStr">
        <is>
          <t>C L · Au L · Ac L · L L · BI M · Exp H · 30.7 yrs vs 2–4 yrs · Edu M · B.Com</t>
        </is>
      </c>
      <c r="X249" s="33" t="inlineStr">
        <is>
          <t>Open ▸</t>
        </is>
      </c>
      <c r="Y249" s="34" t="str">
        <f>IFERROR(INDEX(DL_C,MATCH($CA249,DL_KEY,0)),"M")</f>
        <v>H</v>
      </c>
      <c r="Z249" s="35" t="str">
        <f>IFERROR(INDEX(DL_Au,MATCH($CA249,DL_KEY,0)),"M")</f>
        <v>M</v>
      </c>
      <c r="AA249" s="35" t="str">
        <f>IFERROR(INDEX(DL_Ac,MATCH($CA249,DL_KEY,0)),"M")</f>
        <v>M</v>
      </c>
      <c r="AB249" s="35" t="str">
        <f>IFERROR(INDEX(DL_L,MATCH($CA249,DL_KEY,0)),"M")</f>
        <v>L</v>
      </c>
      <c r="AC249" s="35" t="str">
        <f>IFERROR(INDEX(DL_BI,MATCH($CA249,DL_KEY,0)),"M")</f>
        <v>L</v>
      </c>
      <c r="AD249" s="35" t="str">
        <f>IFERROR(INDEX(DL_Exp,MATCH($CA249,DL_KEY,0)),"M")</f>
        <v>L</v>
      </c>
      <c r="AE249" s="35" t="str">
        <f>IFERROR(INDEX(DL_Edu,MATCH($CA249,DL_KEY,0)),"M")</f>
        <v>L</v>
      </c>
      <c r="AF249" s="34" t="inlineStr">
        <is>
          <t>M</t>
        </is>
      </c>
      <c r="AG249" s="35" t="inlineStr">
        <is>
          <t>M</t>
        </is>
      </c>
      <c r="AH249" s="35" t="inlineStr">
        <is>
          <t>M</t>
        </is>
      </c>
      <c r="AI249" s="35" t="inlineStr">
        <is>
          <t>M</t>
        </is>
      </c>
      <c r="AJ249" s="35" t="inlineStr">
        <is>
          <t>M</t>
        </is>
      </c>
      <c r="AK249" s="35" t="inlineStr">
        <is>
          <t>M</t>
        </is>
      </c>
      <c r="AL249" s="35" t="inlineStr">
        <is>
          <t>M</t>
        </is>
      </c>
      <c r="AM249" s="36" t="n">
        <v>0.583</v>
      </c>
      <c r="AN249" s="37" t="n">
        <v>0.16</v>
      </c>
      <c r="AO249" s="37" t="n">
        <v>0.09</v>
      </c>
      <c r="AP249" s="37" t="n">
        <v>0</v>
      </c>
      <c r="AQ249" s="37" t="n">
        <v>0.063</v>
      </c>
      <c r="AR249" s="37" t="n">
        <v>0.06</v>
      </c>
      <c r="AS249" s="37" t="n">
        <v>0.04</v>
      </c>
      <c r="AT249" s="38" t="inlineStr">
        <is>
          <t>2–5</t>
        </is>
      </c>
      <c r="AU249" s="38" t="inlineStr">
        <is>
          <t>Graduate; relevant certification preferred</t>
        </is>
      </c>
      <c r="AV249" s="38" t="inlineStr">
        <is>
          <t>None · guides 1–3 juniors informally</t>
        </is>
      </c>
      <c r="AW249" s="38" t="inlineStr">
        <is>
          <t>P2 · SFIA 3 Apply</t>
        </is>
      </c>
      <c r="AX24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49" s="39" t="inlineStr">
        <is>
          <t>A3</t>
        </is>
      </c>
      <c r="AZ249" s="40" t="inlineStr">
        <is>
          <t>Band A · Practitioner · Senior Associate</t>
        </is>
      </c>
      <c r="BA249" s="40" t="inlineStr">
        <is>
          <t>Model A3 from the six ratings, the market-derived weights and rules R1–R13 · then No change · already below the manager</t>
        </is>
      </c>
      <c r="BB249" s="41" t="inlineStr">
        <is>
          <t>A3</t>
        </is>
      </c>
      <c r="BC249" s="40" t="inlineStr">
        <is>
          <t>The six ratings on the market-average weights of Band A · all tracks score 3.04 → A3 · Hay, Mercer IPE and public plans · experience 30.7 yrs vs the A3 market range 2–5</t>
        </is>
      </c>
      <c r="BD249" s="42">
        <f>IF(SUM(BM249,BN249,BO249,BP249,BQ249,BR249,BS249)=0,0,(BM249*BT249+BN249*BU249+BO249*BV249+BP249*BW249+BQ249*BX249+BR249*BY249+BS249*BZ249)/SUM(BM249,BN249,BO249,BP249,BQ249,BR249,BS249))</f>
        <v>0</v>
      </c>
      <c r="BE249" s="41" t="str">
        <f>IF(LEFT(AY249,1)="X",AY249,IF(OR(AY249="B+",AY249="C+"),INDEX(LAD_PC,MAX(1,MIN(14,MATCH(AY249,LAD_PC,0)+IF(BD249&gt;=0.5,1,IF(BD249&lt;=-0.5,-1,0))))),INDEX(LAD_STD,MAX(1,MIN(12,MATCH(AY249,LAD_STD,0)+IF(BD249&gt;=0.5,1,IF(BD249&lt;=-0.5,-1,0)))))))</f>
        <v>A3</v>
      </c>
      <c r="BF249" s="43" t="n"/>
      <c r="BG249" s="41" t="str">
        <f>IF(BF249&lt;&gt;"",BF249,BE249)</f>
        <v>A3</v>
      </c>
      <c r="BH249" s="40" t="str">
        <f>IFERROR(CHOOSE(INDEX(B_RANK,MATCH(BG249,B_LVL,0)),"Band A","Band B","B+ · Player-Coach","Band C","C+ · Player-Coach","Band D","Band E"),"Band X · Consultant")</f>
        <v>Band A</v>
      </c>
      <c r="BI249" s="40" t="str">
        <f>IF(BG249=AY249,"• Same",IF(INDEX(B_VAL,MATCH(BG249,B_LVL,0))&gt;INDEX(B_VAL,MATCH(AY249,B_LVL,0)),"▲ Up","▼ Down"))</f>
        <v>• Same</v>
      </c>
      <c r="BJ249" s="40" t="str">
        <f>IF(OR($M249="",$M249="—",$M249="Not in this file"),"",IFERROR(INDEX($BG$7:$BG$592,MATCH($M249,$D$7:$D$592,0)),""))</f>
        <v>B2</v>
      </c>
      <c r="BK249" s="40" t="str">
        <f>IFERROR(IF(BJ249="","—",IF(OR(LEFT(BG249,1)="X",LEFT(BJ249,1)="X"),"—",IF(AND(LEFT(BG249,1)="E",LEFT(BJ249,1)="E"),"Exception · Band E",IF(AND(INDEX(B_VAL,MATCH(BJ249,B_LVL,0))&gt;=7,INDEX(B_RANK,MATCH(BG249,B_LVL,0))&gt;=INDEX(B_RANK,MATCH(BJ249,B_LVL,0))),"⚠ Same band as a head manager",IF(INDEX(B_VAL,MATCH(BG249,B_LVL,0))&gt;=INDEX(B_VAL,MATCH(BJ249,B_LVL,0)),"⚠ At or above the manager's level","OK"))))),"—")</f>
        <v>OK</v>
      </c>
      <c r="BL249" s="43" t="n"/>
      <c r="BM249" s="44">
        <f>IFERROR(INDEX(LMH_PTS,MATCH(Y249,LMH_KEY,0)),0)</f>
        <v>9</v>
      </c>
      <c r="BN249" s="38">
        <f>IFERROR(INDEX(LMH_PTS,MATCH(Z249,LMH_KEY,0)),0)</f>
        <v>3</v>
      </c>
      <c r="BO249" s="38">
        <f>IFERROR(INDEX(LMH_PTS,MATCH(AA249,LMH_KEY,0)),0)</f>
        <v>3</v>
      </c>
      <c r="BP249" s="38">
        <f>IFERROR(INDEX(LMH_PTS,MATCH(AB249,LMH_KEY,0)),0)</f>
        <v>1</v>
      </c>
      <c r="BQ249" s="38">
        <f>IFERROR(INDEX(LMH_PTS,MATCH(AC249,LMH_KEY,0)),0)</f>
        <v>1</v>
      </c>
      <c r="BR249" s="38">
        <f>IFERROR(INDEX(LMH_PTS,MATCH(AD249,LMH_KEY,0)),0)</f>
        <v>1</v>
      </c>
      <c r="BS249" s="38">
        <f>IFERROR(INDEX(LMH_PTS,MATCH(AE249,LMH_KEY,0)),0)</f>
        <v>1</v>
      </c>
      <c r="BT249" s="38">
        <f>IFERROR(INDEX(LMH_STEP,MATCH(AF249,LMH_KEY,0)),0)</f>
        <v>0</v>
      </c>
      <c r="BU249" s="38">
        <f>IFERROR(INDEX(LMH_STEP,MATCH(AG249,LMH_KEY,0)),0)</f>
        <v>0</v>
      </c>
      <c r="BV249" s="38">
        <f>IFERROR(INDEX(LMH_STEP,MATCH(AH249,LMH_KEY,0)),0)</f>
        <v>0</v>
      </c>
      <c r="BW249" s="38">
        <f>IFERROR(INDEX(LMH_STEP,MATCH(AI249,LMH_KEY,0)),0)</f>
        <v>0</v>
      </c>
      <c r="BX249" s="38">
        <f>IFERROR(INDEX(LMH_STEP,MATCH(AJ249,LMH_KEY,0)),0)</f>
        <v>0</v>
      </c>
      <c r="BY249" s="38">
        <f>IFERROR(INDEX(LMH_STEP,MATCH(AK249,LMH_KEY,0)),0)</f>
        <v>0</v>
      </c>
      <c r="BZ249" s="38">
        <f>IFERROR(INDEX(LMH_STEP,MATCH(AL249,LMH_KEY,0)),0)</f>
        <v>0</v>
      </c>
      <c r="CA249" s="38" t="inlineStr">
        <is>
          <t>Consume|India Content|Senior Data Analyst|A3|A</t>
        </is>
      </c>
    </row>
    <row r="250" ht="110" customHeight="1">
      <c r="A250" s="28" t="inlineStr">
        <is>
          <t>Consume</t>
        </is>
      </c>
      <c r="B250" s="29" t="inlineStr">
        <is>
          <t>India Content</t>
        </is>
      </c>
      <c r="C250" s="29" t="n">
        <v>4</v>
      </c>
      <c r="D250" s="29" t="inlineStr">
        <is>
          <t>IRIS0292</t>
        </is>
      </c>
      <c r="E250" s="29" t="inlineStr">
        <is>
          <t>Palanikumar Mooppanar</t>
        </is>
      </c>
      <c r="F250" s="29" t="inlineStr">
        <is>
          <t>Data Analyst</t>
        </is>
      </c>
      <c r="G250" s="29" t="inlineStr">
        <is>
          <t>Senior Data Analyst</t>
        </is>
      </c>
      <c r="H250" s="29" t="inlineStr">
        <is>
          <t>Data &amp; Analytics</t>
        </is>
      </c>
      <c r="I250" s="29" t="inlineStr">
        <is>
          <t>Financial Data Processing</t>
        </is>
      </c>
      <c r="J250" s="29" t="inlineStr">
        <is>
          <t>IC</t>
        </is>
      </c>
      <c r="K250" s="29" t="inlineStr">
        <is>
          <t>RC-040</t>
        </is>
      </c>
      <c r="L250" s="29" t="inlineStr">
        <is>
          <t>Gopal Krishna Sahu</t>
        </is>
      </c>
      <c r="M250" s="29" t="inlineStr">
        <is>
          <t>IRIS0007</t>
        </is>
      </c>
      <c r="N250" s="29" t="n">
        <v>18.5</v>
      </c>
      <c r="O250" s="29" t="n">
        <v>17</v>
      </c>
      <c r="P250" s="29" t="inlineStr">
        <is>
          <t>B.Com</t>
        </is>
      </c>
      <c r="Q250" s="29" t="inlineStr">
        <is>
          <t>L3 – Professional / Associate</t>
        </is>
      </c>
      <c r="R250" s="29" t="inlineStr">
        <is>
          <t>A3</t>
        </is>
      </c>
      <c r="S250" s="30" t="inlineStr">
        <is>
          <t>20 of 20</t>
        </is>
      </c>
      <c r="T250" s="31" t="inlineStr">
        <is>
          <t>Complexity: Evidence reads like A2: Maintains mutual fund scheme master and NFO scheme data in Access/SQL; validates, resolves errors → matches the start
Autonomy: Evidence reads like A2: Checks and corrects data on own updates; nothing wider described → matches the start
Accountability: Evidence reads like A2: Accuracy and timely delivery of scheme master …</t>
        </is>
      </c>
      <c r="U250" s="31" t="inlineStr">
        <is>
          <t>Received · manager annual, quarterly, self · 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t>
        </is>
      </c>
      <c r="V250" s="31" t="inlineStr">
        <is>
          <t>Latest rating: 4 · Potential: High · 9-box: Future Leader · Readiness: Ready now</t>
        </is>
      </c>
      <c r="W250" s="31" t="inlineStr">
        <is>
          <t>C L · Au L · Ac L · L L · BI M · Exp H · 18.5 yrs vs 2–4 yrs · Edu M · B.Com</t>
        </is>
      </c>
      <c r="X250" s="33" t="inlineStr">
        <is>
          <t>Open ▸</t>
        </is>
      </c>
      <c r="Y250" s="34" t="str">
        <f>IFERROR(INDEX(DL_C,MATCH($CA250,DL_KEY,0)),"M")</f>
        <v>H</v>
      </c>
      <c r="Z250" s="35" t="str">
        <f>IFERROR(INDEX(DL_Au,MATCH($CA250,DL_KEY,0)),"M")</f>
        <v>M</v>
      </c>
      <c r="AA250" s="35" t="str">
        <f>IFERROR(INDEX(DL_Ac,MATCH($CA250,DL_KEY,0)),"M")</f>
        <v>M</v>
      </c>
      <c r="AB250" s="35" t="str">
        <f>IFERROR(INDEX(DL_L,MATCH($CA250,DL_KEY,0)),"M")</f>
        <v>L</v>
      </c>
      <c r="AC250" s="35" t="str">
        <f>IFERROR(INDEX(DL_BI,MATCH($CA250,DL_KEY,0)),"M")</f>
        <v>L</v>
      </c>
      <c r="AD250" s="35" t="str">
        <f>IFERROR(INDEX(DL_Exp,MATCH($CA250,DL_KEY,0)),"M")</f>
        <v>L</v>
      </c>
      <c r="AE250" s="35" t="str">
        <f>IFERROR(INDEX(DL_Edu,MATCH($CA250,DL_KEY,0)),"M")</f>
        <v>L</v>
      </c>
      <c r="AF250" s="34" t="inlineStr">
        <is>
          <t>M</t>
        </is>
      </c>
      <c r="AG250" s="35" t="inlineStr">
        <is>
          <t>M</t>
        </is>
      </c>
      <c r="AH250" s="35" t="inlineStr">
        <is>
          <t>M</t>
        </is>
      </c>
      <c r="AI250" s="35" t="inlineStr">
        <is>
          <t>M</t>
        </is>
      </c>
      <c r="AJ250" s="35" t="inlineStr">
        <is>
          <t>M</t>
        </is>
      </c>
      <c r="AK250" s="35" t="inlineStr">
        <is>
          <t>M</t>
        </is>
      </c>
      <c r="AL250" s="35" t="inlineStr">
        <is>
          <t>M</t>
        </is>
      </c>
      <c r="AM250" s="36" t="n">
        <v>0.583</v>
      </c>
      <c r="AN250" s="37" t="n">
        <v>0.16</v>
      </c>
      <c r="AO250" s="37" t="n">
        <v>0.09</v>
      </c>
      <c r="AP250" s="37" t="n">
        <v>0</v>
      </c>
      <c r="AQ250" s="37" t="n">
        <v>0.063</v>
      </c>
      <c r="AR250" s="37" t="n">
        <v>0.06</v>
      </c>
      <c r="AS250" s="37" t="n">
        <v>0.04</v>
      </c>
      <c r="AT250" s="38" t="inlineStr">
        <is>
          <t>2–5</t>
        </is>
      </c>
      <c r="AU250" s="38" t="inlineStr">
        <is>
          <t>Graduate; relevant certification preferred</t>
        </is>
      </c>
      <c r="AV250" s="38" t="inlineStr">
        <is>
          <t>None · guides 1–3 juniors informally</t>
        </is>
      </c>
      <c r="AW250" s="38" t="inlineStr">
        <is>
          <t>P2 · SFIA 3 Apply</t>
        </is>
      </c>
      <c r="AX25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50" s="39" t="inlineStr">
        <is>
          <t>A3</t>
        </is>
      </c>
      <c r="AZ250" s="40" t="inlineStr">
        <is>
          <t>Band A · Practitioner · Senior Associate</t>
        </is>
      </c>
      <c r="BA250" s="40" t="inlineStr">
        <is>
          <t>Model A3 from the six ratings, the market-derived weights and rules R1–R13 · then No change · already below the manager</t>
        </is>
      </c>
      <c r="BB250" s="41" t="inlineStr">
        <is>
          <t>A3</t>
        </is>
      </c>
      <c r="BC250" s="40" t="inlineStr">
        <is>
          <t>The six ratings on the market-average weights of Band A · all tracks score 2.78 → A3 · Hay, Mercer IPE and public plans · experience 18.5 yrs vs the A3 market range 2–5</t>
        </is>
      </c>
      <c r="BD250" s="42">
        <f>IF(SUM(BM250,BN250,BO250,BP250,BQ250,BR250,BS250)=0,0,(BM250*BT250+BN250*BU250+BO250*BV250+BP250*BW250+BQ250*BX250+BR250*BY250+BS250*BZ250)/SUM(BM250,BN250,BO250,BP250,BQ250,BR250,BS250))</f>
        <v>0</v>
      </c>
      <c r="BE250" s="41" t="str">
        <f>IF(LEFT(AY250,1)="X",AY250,IF(OR(AY250="B+",AY250="C+"),INDEX(LAD_PC,MAX(1,MIN(14,MATCH(AY250,LAD_PC,0)+IF(BD250&gt;=0.5,1,IF(BD250&lt;=-0.5,-1,0))))),INDEX(LAD_STD,MAX(1,MIN(12,MATCH(AY250,LAD_STD,0)+IF(BD250&gt;=0.5,1,IF(BD250&lt;=-0.5,-1,0)))))))</f>
        <v>A3</v>
      </c>
      <c r="BF250" s="43" t="n"/>
      <c r="BG250" s="41" t="str">
        <f>IF(BF250&lt;&gt;"",BF250,BE250)</f>
        <v>A3</v>
      </c>
      <c r="BH250" s="40" t="str">
        <f>IFERROR(CHOOSE(INDEX(B_RANK,MATCH(BG250,B_LVL,0)),"Band A","Band B","B+ · Player-Coach","Band C","C+ · Player-Coach","Band D","Band E"),"Band X · Consultant")</f>
        <v>Band A</v>
      </c>
      <c r="BI250" s="40" t="str">
        <f>IF(BG250=AY250,"• Same",IF(INDEX(B_VAL,MATCH(BG250,B_LVL,0))&gt;INDEX(B_VAL,MATCH(AY250,B_LVL,0)),"▲ Up","▼ Down"))</f>
        <v>• Same</v>
      </c>
      <c r="BJ250" s="40" t="str">
        <f>IF(OR($M250="",$M250="—",$M250="Not in this file"),"",IFERROR(INDEX($BG$7:$BG$592,MATCH($M250,$D$7:$D$592,0)),""))</f>
        <v>B2</v>
      </c>
      <c r="BK250" s="40" t="str">
        <f>IFERROR(IF(BJ250="","—",IF(OR(LEFT(BG250,1)="X",LEFT(BJ250,1)="X"),"—",IF(AND(LEFT(BG250,1)="E",LEFT(BJ250,1)="E"),"Exception · Band E",IF(AND(INDEX(B_VAL,MATCH(BJ250,B_LVL,0))&gt;=7,INDEX(B_RANK,MATCH(BG250,B_LVL,0))&gt;=INDEX(B_RANK,MATCH(BJ250,B_LVL,0))),"⚠ Same band as a head manager",IF(INDEX(B_VAL,MATCH(BG250,B_LVL,0))&gt;=INDEX(B_VAL,MATCH(BJ250,B_LVL,0)),"⚠ At or above the manager's level","OK"))))),"—")</f>
        <v>OK</v>
      </c>
      <c r="BL250" s="43" t="n"/>
      <c r="BM250" s="44">
        <f>IFERROR(INDEX(LMH_PTS,MATCH(Y250,LMH_KEY,0)),0)</f>
        <v>9</v>
      </c>
      <c r="BN250" s="38">
        <f>IFERROR(INDEX(LMH_PTS,MATCH(Z250,LMH_KEY,0)),0)</f>
        <v>3</v>
      </c>
      <c r="BO250" s="38">
        <f>IFERROR(INDEX(LMH_PTS,MATCH(AA250,LMH_KEY,0)),0)</f>
        <v>3</v>
      </c>
      <c r="BP250" s="38">
        <f>IFERROR(INDEX(LMH_PTS,MATCH(AB250,LMH_KEY,0)),0)</f>
        <v>1</v>
      </c>
      <c r="BQ250" s="38">
        <f>IFERROR(INDEX(LMH_PTS,MATCH(AC250,LMH_KEY,0)),0)</f>
        <v>1</v>
      </c>
      <c r="BR250" s="38">
        <f>IFERROR(INDEX(LMH_PTS,MATCH(AD250,LMH_KEY,0)),0)</f>
        <v>1</v>
      </c>
      <c r="BS250" s="38">
        <f>IFERROR(INDEX(LMH_PTS,MATCH(AE250,LMH_KEY,0)),0)</f>
        <v>1</v>
      </c>
      <c r="BT250" s="38">
        <f>IFERROR(INDEX(LMH_STEP,MATCH(AF250,LMH_KEY,0)),0)</f>
        <v>0</v>
      </c>
      <c r="BU250" s="38">
        <f>IFERROR(INDEX(LMH_STEP,MATCH(AG250,LMH_KEY,0)),0)</f>
        <v>0</v>
      </c>
      <c r="BV250" s="38">
        <f>IFERROR(INDEX(LMH_STEP,MATCH(AH250,LMH_KEY,0)),0)</f>
        <v>0</v>
      </c>
      <c r="BW250" s="38">
        <f>IFERROR(INDEX(LMH_STEP,MATCH(AI250,LMH_KEY,0)),0)</f>
        <v>0</v>
      </c>
      <c r="BX250" s="38">
        <f>IFERROR(INDEX(LMH_STEP,MATCH(AJ250,LMH_KEY,0)),0)</f>
        <v>0</v>
      </c>
      <c r="BY250" s="38">
        <f>IFERROR(INDEX(LMH_STEP,MATCH(AK250,LMH_KEY,0)),0)</f>
        <v>0</v>
      </c>
      <c r="BZ250" s="38">
        <f>IFERROR(INDEX(LMH_STEP,MATCH(AL250,LMH_KEY,0)),0)</f>
        <v>0</v>
      </c>
      <c r="CA250" s="38" t="inlineStr">
        <is>
          <t>Consume|India Content|Senior Data Analyst|A3|A</t>
        </is>
      </c>
    </row>
    <row r="251" ht="110" customHeight="1">
      <c r="A251" s="28" t="inlineStr">
        <is>
          <t>Consume</t>
        </is>
      </c>
      <c r="B251" s="29" t="inlineStr">
        <is>
          <t>India Content</t>
        </is>
      </c>
      <c r="C251" s="29" t="n">
        <v>4</v>
      </c>
      <c r="D251" s="29" t="inlineStr">
        <is>
          <t>IRIS0009</t>
        </is>
      </c>
      <c r="E251" s="29" t="inlineStr">
        <is>
          <t>Prashant Shelar</t>
        </is>
      </c>
      <c r="F251" s="29" t="inlineStr">
        <is>
          <t>Data Analyst</t>
        </is>
      </c>
      <c r="G251" s="29" t="inlineStr">
        <is>
          <t>Senior Data Analyst</t>
        </is>
      </c>
      <c r="H251" s="29" t="inlineStr">
        <is>
          <t>Data &amp; Analytics</t>
        </is>
      </c>
      <c r="I251" s="29" t="inlineStr">
        <is>
          <t>Financial Data Processing</t>
        </is>
      </c>
      <c r="J251" s="29" t="inlineStr">
        <is>
          <t>IC</t>
        </is>
      </c>
      <c r="K251" s="29" t="inlineStr">
        <is>
          <t>RC-040</t>
        </is>
      </c>
      <c r="L251" s="29" t="inlineStr">
        <is>
          <t>Gopal Krishna Sahu</t>
        </is>
      </c>
      <c r="M251" s="29" t="inlineStr">
        <is>
          <t>IRIS0007</t>
        </is>
      </c>
      <c r="N251" s="29" t="n">
        <v>22.5</v>
      </c>
      <c r="O251" s="29" t="n">
        <v>22.1</v>
      </c>
      <c r="P251" s="29" t="inlineStr">
        <is>
          <t>MBA</t>
        </is>
      </c>
      <c r="Q251" s="29" t="inlineStr">
        <is>
          <t>L3 – Professional / Associate</t>
        </is>
      </c>
      <c r="R251" s="29" t="inlineStr">
        <is>
          <t>A3</t>
        </is>
      </c>
      <c r="S251" s="30" t="inlineStr">
        <is>
          <t>20 of 20</t>
        </is>
      </c>
      <c r="T251" s="31" t="inlineStr">
        <is>
          <t>Complexity: Evidence reads like A2: Daily data updates from BSE/NSE websites; bond and mutual fund data; client delivery → matches the start
Autonomy: Evidence reads like A2: Tries to solve problems first, otherwise asks a senior → matches the start
Accountability: Evidence reads like A2: Own data updates and client delivery on time → matches the …</t>
        </is>
      </c>
      <c r="U251" s="31" t="inlineStr">
        <is>
          <t>Received · manager annual, quarterly, self · 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t>
        </is>
      </c>
      <c r="V251" s="31" t="inlineStr">
        <is>
          <t>Latest rating: 1 · Potential: Low · 9-box: Misplaced Talent / Enigma · Readiness: Performance first</t>
        </is>
      </c>
      <c r="W251" s="31" t="inlineStr">
        <is>
          <t>C L · Au L · Ac L · L L · BI M · Exp H · 22.5 yrs vs 2–4 yrs · Edu H · MBA</t>
        </is>
      </c>
      <c r="X251" s="33" t="inlineStr">
        <is>
          <t>Open ▸</t>
        </is>
      </c>
      <c r="Y251" s="34" t="str">
        <f>IFERROR(INDEX(DL_C,MATCH($CA251,DL_KEY,0)),"M")</f>
        <v>H</v>
      </c>
      <c r="Z251" s="35" t="str">
        <f>IFERROR(INDEX(DL_Au,MATCH($CA251,DL_KEY,0)),"M")</f>
        <v>M</v>
      </c>
      <c r="AA251" s="35" t="str">
        <f>IFERROR(INDEX(DL_Ac,MATCH($CA251,DL_KEY,0)),"M")</f>
        <v>M</v>
      </c>
      <c r="AB251" s="35" t="str">
        <f>IFERROR(INDEX(DL_L,MATCH($CA251,DL_KEY,0)),"M")</f>
        <v>L</v>
      </c>
      <c r="AC251" s="35" t="str">
        <f>IFERROR(INDEX(DL_BI,MATCH($CA251,DL_KEY,0)),"M")</f>
        <v>L</v>
      </c>
      <c r="AD251" s="35" t="str">
        <f>IFERROR(INDEX(DL_Exp,MATCH($CA251,DL_KEY,0)),"M")</f>
        <v>L</v>
      </c>
      <c r="AE251" s="35" t="str">
        <f>IFERROR(INDEX(DL_Edu,MATCH($CA251,DL_KEY,0)),"M")</f>
        <v>L</v>
      </c>
      <c r="AF251" s="34" t="inlineStr">
        <is>
          <t>M</t>
        </is>
      </c>
      <c r="AG251" s="35" t="inlineStr">
        <is>
          <t>M</t>
        </is>
      </c>
      <c r="AH251" s="35" t="inlineStr">
        <is>
          <t>M</t>
        </is>
      </c>
      <c r="AI251" s="35" t="inlineStr">
        <is>
          <t>M</t>
        </is>
      </c>
      <c r="AJ251" s="35" t="inlineStr">
        <is>
          <t>M</t>
        </is>
      </c>
      <c r="AK251" s="35" t="inlineStr">
        <is>
          <t>M</t>
        </is>
      </c>
      <c r="AL251" s="35" t="inlineStr">
        <is>
          <t>M</t>
        </is>
      </c>
      <c r="AM251" s="36" t="n">
        <v>0.583</v>
      </c>
      <c r="AN251" s="37" t="n">
        <v>0.16</v>
      </c>
      <c r="AO251" s="37" t="n">
        <v>0.09</v>
      </c>
      <c r="AP251" s="37" t="n">
        <v>0</v>
      </c>
      <c r="AQ251" s="37" t="n">
        <v>0.063</v>
      </c>
      <c r="AR251" s="37" t="n">
        <v>0.06</v>
      </c>
      <c r="AS251" s="37" t="n">
        <v>0.04</v>
      </c>
      <c r="AT251" s="38" t="inlineStr">
        <is>
          <t>2–5</t>
        </is>
      </c>
      <c r="AU251" s="38" t="inlineStr">
        <is>
          <t>Graduate; relevant certification preferred</t>
        </is>
      </c>
      <c r="AV251" s="38" t="inlineStr">
        <is>
          <t>None · guides 1–3 juniors informally</t>
        </is>
      </c>
      <c r="AW251" s="38" t="inlineStr">
        <is>
          <t>P2 · SFIA 3 Apply</t>
        </is>
      </c>
      <c r="AX25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51" s="39" t="inlineStr">
        <is>
          <t>A3</t>
        </is>
      </c>
      <c r="AZ251" s="40" t="inlineStr">
        <is>
          <t>Band A · Practitioner · Senior Associate</t>
        </is>
      </c>
      <c r="BA251" s="40" t="inlineStr">
        <is>
          <t>Model A3 from the six ratings, the market-derived weights and rules R1–R13 · then No change · already below the manager</t>
        </is>
      </c>
      <c r="BB251" s="41" t="inlineStr">
        <is>
          <t>A3</t>
        </is>
      </c>
      <c r="BC251" s="40" t="inlineStr">
        <is>
          <t>The six ratings on the market-average weights of Band A · all tracks score 2.94 → A3 · Hay, Mercer IPE and public plans · experience 22.5 yrs vs the A3 market range 2–5</t>
        </is>
      </c>
      <c r="BD251" s="42">
        <f>IF(SUM(BM251,BN251,BO251,BP251,BQ251,BR251,BS251)=0,0,(BM251*BT251+BN251*BU251+BO251*BV251+BP251*BW251+BQ251*BX251+BR251*BY251+BS251*BZ251)/SUM(BM251,BN251,BO251,BP251,BQ251,BR251,BS251))</f>
        <v>0</v>
      </c>
      <c r="BE251" s="41" t="str">
        <f>IF(LEFT(AY251,1)="X",AY251,IF(OR(AY251="B+",AY251="C+"),INDEX(LAD_PC,MAX(1,MIN(14,MATCH(AY251,LAD_PC,0)+IF(BD251&gt;=0.5,1,IF(BD251&lt;=-0.5,-1,0))))),INDEX(LAD_STD,MAX(1,MIN(12,MATCH(AY251,LAD_STD,0)+IF(BD251&gt;=0.5,1,IF(BD251&lt;=-0.5,-1,0)))))))</f>
        <v>A3</v>
      </c>
      <c r="BF251" s="43" t="n"/>
      <c r="BG251" s="41" t="str">
        <f>IF(BF251&lt;&gt;"",BF251,BE251)</f>
        <v>A3</v>
      </c>
      <c r="BH251" s="40" t="str">
        <f>IFERROR(CHOOSE(INDEX(B_RANK,MATCH(BG251,B_LVL,0)),"Band A","Band B","B+ · Player-Coach","Band C","C+ · Player-Coach","Band D","Band E"),"Band X · Consultant")</f>
        <v>Band A</v>
      </c>
      <c r="BI251" s="40" t="str">
        <f>IF(BG251=AY251,"• Same",IF(INDEX(B_VAL,MATCH(BG251,B_LVL,0))&gt;INDEX(B_VAL,MATCH(AY251,B_LVL,0)),"▲ Up","▼ Down"))</f>
        <v>• Same</v>
      </c>
      <c r="BJ251" s="40" t="str">
        <f>IF(OR($M251="",$M251="—",$M251="Not in this file"),"",IFERROR(INDEX($BG$7:$BG$592,MATCH($M251,$D$7:$D$592,0)),""))</f>
        <v>B2</v>
      </c>
      <c r="BK251" s="40" t="str">
        <f>IFERROR(IF(BJ251="","—",IF(OR(LEFT(BG251,1)="X",LEFT(BJ251,1)="X"),"—",IF(AND(LEFT(BG251,1)="E",LEFT(BJ251,1)="E"),"Exception · Band E",IF(AND(INDEX(B_VAL,MATCH(BJ251,B_LVL,0))&gt;=7,INDEX(B_RANK,MATCH(BG251,B_LVL,0))&gt;=INDEX(B_RANK,MATCH(BJ251,B_LVL,0))),"⚠ Same band as a head manager",IF(INDEX(B_VAL,MATCH(BG251,B_LVL,0))&gt;=INDEX(B_VAL,MATCH(BJ251,B_LVL,0)),"⚠ At or above the manager's level","OK"))))),"—")</f>
        <v>OK</v>
      </c>
      <c r="BL251" s="43" t="n"/>
      <c r="BM251" s="44">
        <f>IFERROR(INDEX(LMH_PTS,MATCH(Y251,LMH_KEY,0)),0)</f>
        <v>9</v>
      </c>
      <c r="BN251" s="38">
        <f>IFERROR(INDEX(LMH_PTS,MATCH(Z251,LMH_KEY,0)),0)</f>
        <v>3</v>
      </c>
      <c r="BO251" s="38">
        <f>IFERROR(INDEX(LMH_PTS,MATCH(AA251,LMH_KEY,0)),0)</f>
        <v>3</v>
      </c>
      <c r="BP251" s="38">
        <f>IFERROR(INDEX(LMH_PTS,MATCH(AB251,LMH_KEY,0)),0)</f>
        <v>1</v>
      </c>
      <c r="BQ251" s="38">
        <f>IFERROR(INDEX(LMH_PTS,MATCH(AC251,LMH_KEY,0)),0)</f>
        <v>1</v>
      </c>
      <c r="BR251" s="38">
        <f>IFERROR(INDEX(LMH_PTS,MATCH(AD251,LMH_KEY,0)),0)</f>
        <v>1</v>
      </c>
      <c r="BS251" s="38">
        <f>IFERROR(INDEX(LMH_PTS,MATCH(AE251,LMH_KEY,0)),0)</f>
        <v>1</v>
      </c>
      <c r="BT251" s="38">
        <f>IFERROR(INDEX(LMH_STEP,MATCH(AF251,LMH_KEY,0)),0)</f>
        <v>0</v>
      </c>
      <c r="BU251" s="38">
        <f>IFERROR(INDEX(LMH_STEP,MATCH(AG251,LMH_KEY,0)),0)</f>
        <v>0</v>
      </c>
      <c r="BV251" s="38">
        <f>IFERROR(INDEX(LMH_STEP,MATCH(AH251,LMH_KEY,0)),0)</f>
        <v>0</v>
      </c>
      <c r="BW251" s="38">
        <f>IFERROR(INDEX(LMH_STEP,MATCH(AI251,LMH_KEY,0)),0)</f>
        <v>0</v>
      </c>
      <c r="BX251" s="38">
        <f>IFERROR(INDEX(LMH_STEP,MATCH(AJ251,LMH_KEY,0)),0)</f>
        <v>0</v>
      </c>
      <c r="BY251" s="38">
        <f>IFERROR(INDEX(LMH_STEP,MATCH(AK251,LMH_KEY,0)),0)</f>
        <v>0</v>
      </c>
      <c r="BZ251" s="38">
        <f>IFERROR(INDEX(LMH_STEP,MATCH(AL251,LMH_KEY,0)),0)</f>
        <v>0</v>
      </c>
      <c r="CA251" s="38" t="inlineStr">
        <is>
          <t>Consume|India Content|Senior Data Analyst|A3|A</t>
        </is>
      </c>
    </row>
    <row r="252" ht="110" customHeight="1">
      <c r="A252" s="28" t="inlineStr">
        <is>
          <t>Consume</t>
        </is>
      </c>
      <c r="B252" s="29" t="inlineStr">
        <is>
          <t>India Content</t>
        </is>
      </c>
      <c r="C252" s="29" t="n">
        <v>4</v>
      </c>
      <c r="D252" s="29" t="inlineStr">
        <is>
          <t>IRIS0030</t>
        </is>
      </c>
      <c r="E252" s="29" t="inlineStr">
        <is>
          <t>Swapnil Katrat</t>
        </is>
      </c>
      <c r="F252" s="29" t="inlineStr">
        <is>
          <t>Data Analyst</t>
        </is>
      </c>
      <c r="G252" s="29" t="inlineStr">
        <is>
          <t>Senior Data Analyst</t>
        </is>
      </c>
      <c r="H252" s="29" t="inlineStr">
        <is>
          <t>Data &amp; Analytics</t>
        </is>
      </c>
      <c r="I252" s="29" t="inlineStr">
        <is>
          <t>Financial Data Processing</t>
        </is>
      </c>
      <c r="J252" s="29" t="inlineStr">
        <is>
          <t>IC</t>
        </is>
      </c>
      <c r="K252" s="29" t="inlineStr">
        <is>
          <t>RC-040</t>
        </is>
      </c>
      <c r="L252" s="29" t="inlineStr">
        <is>
          <t>Gopal Krishna Sahu</t>
        </is>
      </c>
      <c r="M252" s="29" t="inlineStr">
        <is>
          <t>IRIS0007</t>
        </is>
      </c>
      <c r="N252" s="29" t="n">
        <v>21.1</v>
      </c>
      <c r="O252" s="29" t="n">
        <v>21.1</v>
      </c>
      <c r="P252" s="29" t="inlineStr">
        <is>
          <t>B.Com</t>
        </is>
      </c>
      <c r="Q252" s="29" t="inlineStr">
        <is>
          <t>L3 – Professional / Associate</t>
        </is>
      </c>
      <c r="R252" s="29" t="inlineStr">
        <is>
          <t>A3</t>
        </is>
      </c>
      <c r="S252" s="30" t="inlineStr">
        <is>
          <t>7 of 20</t>
        </is>
      </c>
      <c r="T252" s="31" t="inlineStr">
        <is>
          <t>Complexity: Evidence reads like A2: Updates EOD market data, IPO entries, portfolios, benchmarks and indices → matches the start
Autonomy: Evidence reads like A2: Only decision named is sending a revised mail → matches the start
Accountability: Evidence reads like A2: Client delivery of own updated data → matches the start
Leadership: Evidence reads like …</t>
        </is>
      </c>
      <c r="U252" s="31" t="inlineStr">
        <is>
          <t>Received · manager annual, quarterly, self · 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t>
        </is>
      </c>
      <c r="V252" s="31" t="inlineStr">
        <is>
          <t>Latest rating: 3 · Potential: Medium · 9-box: Trusted Professional · Readiness: Develop in role</t>
        </is>
      </c>
      <c r="W252" s="31" t="inlineStr">
        <is>
          <t>C L · Au L · Ac L · L L · BI M · Exp H · 21.1 yrs vs 2–4 yrs · Edu M · B.Com</t>
        </is>
      </c>
      <c r="X252" s="33" t="inlineStr">
        <is>
          <t>Open ▸</t>
        </is>
      </c>
      <c r="Y252" s="34" t="str">
        <f>IFERROR(INDEX(DL_C,MATCH($CA252,DL_KEY,0)),"M")</f>
        <v>H</v>
      </c>
      <c r="Z252" s="35" t="str">
        <f>IFERROR(INDEX(DL_Au,MATCH($CA252,DL_KEY,0)),"M")</f>
        <v>M</v>
      </c>
      <c r="AA252" s="35" t="str">
        <f>IFERROR(INDEX(DL_Ac,MATCH($CA252,DL_KEY,0)),"M")</f>
        <v>M</v>
      </c>
      <c r="AB252" s="35" t="str">
        <f>IFERROR(INDEX(DL_L,MATCH($CA252,DL_KEY,0)),"M")</f>
        <v>L</v>
      </c>
      <c r="AC252" s="35" t="str">
        <f>IFERROR(INDEX(DL_BI,MATCH($CA252,DL_KEY,0)),"M")</f>
        <v>L</v>
      </c>
      <c r="AD252" s="35" t="str">
        <f>IFERROR(INDEX(DL_Exp,MATCH($CA252,DL_KEY,0)),"M")</f>
        <v>L</v>
      </c>
      <c r="AE252" s="35" t="str">
        <f>IFERROR(INDEX(DL_Edu,MATCH($CA252,DL_KEY,0)),"M")</f>
        <v>L</v>
      </c>
      <c r="AF252" s="34" t="inlineStr">
        <is>
          <t>M</t>
        </is>
      </c>
      <c r="AG252" s="35" t="inlineStr">
        <is>
          <t>M</t>
        </is>
      </c>
      <c r="AH252" s="35" t="inlineStr">
        <is>
          <t>M</t>
        </is>
      </c>
      <c r="AI252" s="35" t="inlineStr">
        <is>
          <t>M</t>
        </is>
      </c>
      <c r="AJ252" s="35" t="inlineStr">
        <is>
          <t>M</t>
        </is>
      </c>
      <c r="AK252" s="35" t="inlineStr">
        <is>
          <t>M</t>
        </is>
      </c>
      <c r="AL252" s="35" t="inlineStr">
        <is>
          <t>M</t>
        </is>
      </c>
      <c r="AM252" s="36" t="n">
        <v>0.583</v>
      </c>
      <c r="AN252" s="37" t="n">
        <v>0.16</v>
      </c>
      <c r="AO252" s="37" t="n">
        <v>0.09</v>
      </c>
      <c r="AP252" s="37" t="n">
        <v>0</v>
      </c>
      <c r="AQ252" s="37" t="n">
        <v>0.063</v>
      </c>
      <c r="AR252" s="37" t="n">
        <v>0.06</v>
      </c>
      <c r="AS252" s="37" t="n">
        <v>0.04</v>
      </c>
      <c r="AT252" s="38" t="inlineStr">
        <is>
          <t>2–5</t>
        </is>
      </c>
      <c r="AU252" s="38" t="inlineStr">
        <is>
          <t>Graduate; relevant certification preferred</t>
        </is>
      </c>
      <c r="AV252" s="38" t="inlineStr">
        <is>
          <t>None · guides 1–3 juniors informally</t>
        </is>
      </c>
      <c r="AW252" s="38" t="inlineStr">
        <is>
          <t>P2 · SFIA 3 Apply</t>
        </is>
      </c>
      <c r="AX25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52" s="39" t="inlineStr">
        <is>
          <t>A3</t>
        </is>
      </c>
      <c r="AZ252" s="40" t="inlineStr">
        <is>
          <t>Band A · Practitioner · Senior Associate</t>
        </is>
      </c>
      <c r="BA252" s="40" t="inlineStr">
        <is>
          <t>Model A3 from the six ratings, the market-derived weights and rules R1–R13 · then No change · already below the manager</t>
        </is>
      </c>
      <c r="BB252" s="41" t="inlineStr">
        <is>
          <t>A3</t>
        </is>
      </c>
      <c r="BC252" s="40" t="inlineStr">
        <is>
          <t>The six ratings on the market-average weights of Band A · all tracks score 2.83 → A3 · Hay, Mercer IPE and public plans · experience 21.1 yrs vs the A3 market range 2–5</t>
        </is>
      </c>
      <c r="BD252" s="42">
        <f>IF(SUM(BM252,BN252,BO252,BP252,BQ252,BR252,BS252)=0,0,(BM252*BT252+BN252*BU252+BO252*BV252+BP252*BW252+BQ252*BX252+BR252*BY252+BS252*BZ252)/SUM(BM252,BN252,BO252,BP252,BQ252,BR252,BS252))</f>
        <v>0</v>
      </c>
      <c r="BE252" s="41" t="str">
        <f>IF(LEFT(AY252,1)="X",AY252,IF(OR(AY252="B+",AY252="C+"),INDEX(LAD_PC,MAX(1,MIN(14,MATCH(AY252,LAD_PC,0)+IF(BD252&gt;=0.5,1,IF(BD252&lt;=-0.5,-1,0))))),INDEX(LAD_STD,MAX(1,MIN(12,MATCH(AY252,LAD_STD,0)+IF(BD252&gt;=0.5,1,IF(BD252&lt;=-0.5,-1,0)))))))</f>
        <v>A3</v>
      </c>
      <c r="BF252" s="43" t="n"/>
      <c r="BG252" s="41" t="str">
        <f>IF(BF252&lt;&gt;"",BF252,BE252)</f>
        <v>A3</v>
      </c>
      <c r="BH252" s="40" t="str">
        <f>IFERROR(CHOOSE(INDEX(B_RANK,MATCH(BG252,B_LVL,0)),"Band A","Band B","B+ · Player-Coach","Band C","C+ · Player-Coach","Band D","Band E"),"Band X · Consultant")</f>
        <v>Band A</v>
      </c>
      <c r="BI252" s="40" t="str">
        <f>IF(BG252=AY252,"• Same",IF(INDEX(B_VAL,MATCH(BG252,B_LVL,0))&gt;INDEX(B_VAL,MATCH(AY252,B_LVL,0)),"▲ Up","▼ Down"))</f>
        <v>• Same</v>
      </c>
      <c r="BJ252" s="40" t="str">
        <f>IF(OR($M252="",$M252="—",$M252="Not in this file"),"",IFERROR(INDEX($BG$7:$BG$592,MATCH($M252,$D$7:$D$592,0)),""))</f>
        <v>B2</v>
      </c>
      <c r="BK252" s="40" t="str">
        <f>IFERROR(IF(BJ252="","—",IF(OR(LEFT(BG252,1)="X",LEFT(BJ252,1)="X"),"—",IF(AND(LEFT(BG252,1)="E",LEFT(BJ252,1)="E"),"Exception · Band E",IF(AND(INDEX(B_VAL,MATCH(BJ252,B_LVL,0))&gt;=7,INDEX(B_RANK,MATCH(BG252,B_LVL,0))&gt;=INDEX(B_RANK,MATCH(BJ252,B_LVL,0))),"⚠ Same band as a head manager",IF(INDEX(B_VAL,MATCH(BG252,B_LVL,0))&gt;=INDEX(B_VAL,MATCH(BJ252,B_LVL,0)),"⚠ At or above the manager's level","OK"))))),"—")</f>
        <v>OK</v>
      </c>
      <c r="BL252" s="43" t="n"/>
      <c r="BM252" s="44">
        <f>IFERROR(INDEX(LMH_PTS,MATCH(Y252,LMH_KEY,0)),0)</f>
        <v>9</v>
      </c>
      <c r="BN252" s="38">
        <f>IFERROR(INDEX(LMH_PTS,MATCH(Z252,LMH_KEY,0)),0)</f>
        <v>3</v>
      </c>
      <c r="BO252" s="38">
        <f>IFERROR(INDEX(LMH_PTS,MATCH(AA252,LMH_KEY,0)),0)</f>
        <v>3</v>
      </c>
      <c r="BP252" s="38">
        <f>IFERROR(INDEX(LMH_PTS,MATCH(AB252,LMH_KEY,0)),0)</f>
        <v>1</v>
      </c>
      <c r="BQ252" s="38">
        <f>IFERROR(INDEX(LMH_PTS,MATCH(AC252,LMH_KEY,0)),0)</f>
        <v>1</v>
      </c>
      <c r="BR252" s="38">
        <f>IFERROR(INDEX(LMH_PTS,MATCH(AD252,LMH_KEY,0)),0)</f>
        <v>1</v>
      </c>
      <c r="BS252" s="38">
        <f>IFERROR(INDEX(LMH_PTS,MATCH(AE252,LMH_KEY,0)),0)</f>
        <v>1</v>
      </c>
      <c r="BT252" s="38">
        <f>IFERROR(INDEX(LMH_STEP,MATCH(AF252,LMH_KEY,0)),0)</f>
        <v>0</v>
      </c>
      <c r="BU252" s="38">
        <f>IFERROR(INDEX(LMH_STEP,MATCH(AG252,LMH_KEY,0)),0)</f>
        <v>0</v>
      </c>
      <c r="BV252" s="38">
        <f>IFERROR(INDEX(LMH_STEP,MATCH(AH252,LMH_KEY,0)),0)</f>
        <v>0</v>
      </c>
      <c r="BW252" s="38">
        <f>IFERROR(INDEX(LMH_STEP,MATCH(AI252,LMH_KEY,0)),0)</f>
        <v>0</v>
      </c>
      <c r="BX252" s="38">
        <f>IFERROR(INDEX(LMH_STEP,MATCH(AJ252,LMH_KEY,0)),0)</f>
        <v>0</v>
      </c>
      <c r="BY252" s="38">
        <f>IFERROR(INDEX(LMH_STEP,MATCH(AK252,LMH_KEY,0)),0)</f>
        <v>0</v>
      </c>
      <c r="BZ252" s="38">
        <f>IFERROR(INDEX(LMH_STEP,MATCH(AL252,LMH_KEY,0)),0)</f>
        <v>0</v>
      </c>
      <c r="CA252" s="38" t="inlineStr">
        <is>
          <t>Consume|India Content|Senior Data Analyst|A3|A</t>
        </is>
      </c>
    </row>
    <row r="253" ht="110" customHeight="1">
      <c r="A253" s="28" t="inlineStr">
        <is>
          <t>iFile</t>
        </is>
      </c>
      <c r="B253" s="29" t="inlineStr">
        <is>
          <t>Marketing</t>
        </is>
      </c>
      <c r="C253" s="29" t="n">
        <v>3</v>
      </c>
      <c r="D253" s="29" t="inlineStr">
        <is>
          <t>IRIS2523</t>
        </is>
      </c>
      <c r="E253" s="29" t="inlineStr">
        <is>
          <t>Abhilash Menon</t>
        </is>
      </c>
      <c r="F253" s="29" t="inlineStr">
        <is>
          <t>Product Marketing Manager</t>
        </is>
      </c>
      <c r="G253" s="29" t="inlineStr">
        <is>
          <t>Team Lead – Product Marketing</t>
        </is>
      </c>
      <c r="H253" s="29" t="inlineStr">
        <is>
          <t>Marketing &amp; Communications</t>
        </is>
      </c>
      <c r="I253" s="29" t="inlineStr">
        <is>
          <t>Product Marketing</t>
        </is>
      </c>
      <c r="J253" s="29" t="inlineStr">
        <is>
          <t>People Manager</t>
        </is>
      </c>
      <c r="K253" s="29" t="inlineStr">
        <is>
          <t>RC-123</t>
        </is>
      </c>
      <c r="L253" s="29" t="inlineStr">
        <is>
          <t>Arup Ganguly</t>
        </is>
      </c>
      <c r="M253" s="29" t="inlineStr">
        <is>
          <t>IRIS0242</t>
        </is>
      </c>
      <c r="N253" s="29" t="n">
        <v>8.4</v>
      </c>
      <c r="O253" s="29" t="n">
        <v>0.4</v>
      </c>
      <c r="P253" s="29" t="inlineStr">
        <is>
          <t>BA</t>
        </is>
      </c>
      <c r="Q253" s="29" t="inlineStr">
        <is>
          <t>L5 – Manager</t>
        </is>
      </c>
      <c r="R253" s="29" t="inlineStr">
        <is>
          <t>B1</t>
        </is>
      </c>
      <c r="S253" s="30" t="inlineStr">
        <is>
          <t>19 of 20</t>
        </is>
      </c>
      <c r="T253" s="31" t="inlineStr">
        <is>
          <t>Complexity: Evidence reads like B1: Runs end-to-end marketing for the iFILE suite plus corporate communications, launches and events → moved down 0.5
Autonomy: Evidence reads like B1: Decides launch plan, GTM strategy, social media and brand communication for iFILE → moved down 0.5
Accountability: Evidence reads like B1: Accountable for iFILE lead …</t>
        </is>
      </c>
      <c r="U253" s="31" t="inlineStr">
        <is>
          <t>Received · manager annual, quarterly, self · 1. Deliver committed marketing/content calendar with &gt;=90% on-time publishing
2. Meet campaign KPIs · leads/MQLs/engagement at &gt;=90% of targets
3. Grow owned channel metric · traffic / followers / engagement by &gt;=15%
4. Support sales with collateral/assets within agreed turnaround · 100% on time
5. Track and report …</t>
        </is>
      </c>
      <c r="V253" s="31" t="inlineStr">
        <is>
          <t>Latest rating: Not rated · manager · 9-box: Not placed · manager · Readiness: No rating data</t>
        </is>
      </c>
      <c r="W253" s="31" t="inlineStr">
        <is>
          <t>C M · Au M · Ac M · L M · BI M · Exp H · 8.4 yrs vs 4–7 yrs · Edu M · BA</t>
        </is>
      </c>
      <c r="X253" s="33" t="inlineStr">
        <is>
          <t>Open ▸</t>
        </is>
      </c>
      <c r="Y253" s="34" t="str">
        <f>IFERROR(INDEX(DL_C,MATCH($CA253,DL_KEY,0)),"M")</f>
        <v>H</v>
      </c>
      <c r="Z253" s="35" t="str">
        <f>IFERROR(INDEX(DL_Au,MATCH($CA253,DL_KEY,0)),"M")</f>
        <v>M</v>
      </c>
      <c r="AA253" s="35" t="str">
        <f>IFERROR(INDEX(DL_Ac,MATCH($CA253,DL_KEY,0)),"M")</f>
        <v>L</v>
      </c>
      <c r="AB253" s="35" t="str">
        <f>IFERROR(INDEX(DL_L,MATCH($CA253,DL_KEY,0)),"M")</f>
        <v>M</v>
      </c>
      <c r="AC253" s="35" t="str">
        <f>IFERROR(INDEX(DL_BI,MATCH($CA253,DL_KEY,0)),"M")</f>
        <v>M</v>
      </c>
      <c r="AD253" s="35" t="str">
        <f>IFERROR(INDEX(DL_Exp,MATCH($CA253,DL_KEY,0)),"M")</f>
        <v>L</v>
      </c>
      <c r="AE253" s="35" t="str">
        <f>IFERROR(INDEX(DL_Edu,MATCH($CA253,DL_KEY,0)),"M")</f>
        <v>L</v>
      </c>
      <c r="AF253" s="34" t="inlineStr">
        <is>
          <t>M</t>
        </is>
      </c>
      <c r="AG253" s="35" t="inlineStr">
        <is>
          <t>M</t>
        </is>
      </c>
      <c r="AH253" s="35" t="inlineStr">
        <is>
          <t>M</t>
        </is>
      </c>
      <c r="AI253" s="35" t="inlineStr">
        <is>
          <t>M</t>
        </is>
      </c>
      <c r="AJ253" s="35" t="inlineStr">
        <is>
          <t>M</t>
        </is>
      </c>
      <c r="AK253" s="35" t="inlineStr">
        <is>
          <t>M</t>
        </is>
      </c>
      <c r="AL253" s="35" t="inlineStr">
        <is>
          <t>M</t>
        </is>
      </c>
      <c r="AM253" s="36" t="n">
        <v>0.37</v>
      </c>
      <c r="AN253" s="37" t="n">
        <v>0.183</v>
      </c>
      <c r="AO253" s="37" t="n">
        <v>0.113</v>
      </c>
      <c r="AP253" s="37" t="n">
        <v>0.15</v>
      </c>
      <c r="AQ253" s="37" t="n">
        <v>0.08699999999999999</v>
      </c>
      <c r="AR253" s="37" t="n">
        <v>0.06</v>
      </c>
      <c r="AS253" s="37" t="n">
        <v>0.04</v>
      </c>
      <c r="AT253" s="38" t="inlineStr">
        <is>
          <t>4–8</t>
        </is>
      </c>
      <c r="AU253" s="38" t="inlineStr">
        <is>
          <t>Graduate + relevant qualification or certification preferred</t>
        </is>
      </c>
      <c r="AV253" s="38" t="inlineStr">
        <is>
          <t>IC: none · Team Lead: 3–5</t>
        </is>
      </c>
      <c r="AW253" s="38" t="inlineStr">
        <is>
          <t>P3 / M2 · SFIA 4 Enable</t>
        </is>
      </c>
      <c r="AX25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53" s="39" t="inlineStr">
        <is>
          <t>B1</t>
        </is>
      </c>
      <c r="AZ253" s="40" t="inlineStr">
        <is>
          <t>Band B · Specialist / Manager · Team Lead / Asst Manager</t>
        </is>
      </c>
      <c r="BA253" s="40" t="inlineStr">
        <is>
          <t>Model B1 from the six ratings, the market-derived weights and rules R1–R13 · then No change · already below the manager</t>
        </is>
      </c>
      <c r="BB253" s="41" t="inlineStr">
        <is>
          <t>B1</t>
        </is>
      </c>
      <c r="BC253" s="40" t="inlineStr">
        <is>
          <t>The six ratings on the market-average weights of Band B · People Manager score 4.43 → B1 · Hay, Mercer IPE and public plans · experience 8.4 yrs vs the B1 market range 4–8</t>
        </is>
      </c>
      <c r="BD253" s="42">
        <f>IF(SUM(BM253,BN253,BO253,BP253,BQ253,BR253,BS253)=0,0,(BM253*BT253+BN253*BU253+BO253*BV253+BP253*BW253+BQ253*BX253+BR253*BY253+BS253*BZ253)/SUM(BM253,BN253,BO253,BP253,BQ253,BR253,BS253))</f>
        <v>0</v>
      </c>
      <c r="BE253" s="41" t="str">
        <f>IF(LEFT(AY253,1)="X",AY253,IF(OR(AY253="B+",AY253="C+"),INDEX(LAD_PC,MAX(1,MIN(14,MATCH(AY253,LAD_PC,0)+IF(BD253&gt;=0.5,1,IF(BD253&lt;=-0.5,-1,0))))),INDEX(LAD_STD,MAX(1,MIN(12,MATCH(AY253,LAD_STD,0)+IF(BD253&gt;=0.5,1,IF(BD253&lt;=-0.5,-1,0)))))))</f>
        <v>B1</v>
      </c>
      <c r="BF253" s="43" t="n"/>
      <c r="BG253" s="41" t="str">
        <f>IF(BF253&lt;&gt;"",BF253,BE253)</f>
        <v>B1</v>
      </c>
      <c r="BH253" s="40" t="str">
        <f>IFERROR(CHOOSE(INDEX(B_RANK,MATCH(BG253,B_LVL,0)),"Band A","Band B","B+ · Player-Coach","Band C","C+ · Player-Coach","Band D","Band E"),"Band X · Consultant")</f>
        <v>Band B</v>
      </c>
      <c r="BI253" s="40" t="str">
        <f>IF(BG253=AY253,"• Same",IF(INDEX(B_VAL,MATCH(BG253,B_LVL,0))&gt;INDEX(B_VAL,MATCH(AY253,B_LVL,0)),"▲ Up","▼ Down"))</f>
        <v>• Same</v>
      </c>
      <c r="BJ253" s="40" t="str">
        <f>IF(OR($M253="",$M253="—",$M253="Not in this file"),"",IFERROR(INDEX($BG$7:$BG$592,MATCH($M253,$D$7:$D$592,0)),""))</f>
        <v>C2</v>
      </c>
      <c r="BK253" s="40" t="str">
        <f>IFERROR(IF(BJ253="","—",IF(OR(LEFT(BG253,1)="X",LEFT(BJ253,1)="X"),"—",IF(AND(LEFT(BG253,1)="E",LEFT(BJ253,1)="E"),"Exception · Band E",IF(AND(INDEX(B_VAL,MATCH(BJ253,B_LVL,0))&gt;=7,INDEX(B_RANK,MATCH(BG253,B_LVL,0))&gt;=INDEX(B_RANK,MATCH(BJ253,B_LVL,0))),"⚠ Same band as a head manager",IF(INDEX(B_VAL,MATCH(BG253,B_LVL,0))&gt;=INDEX(B_VAL,MATCH(BJ253,B_LVL,0)),"⚠ At or above the manager's level","OK"))))),"—")</f>
        <v>OK</v>
      </c>
      <c r="BL253" s="43" t="n"/>
      <c r="BM253" s="44">
        <f>IFERROR(INDEX(LMH_PTS,MATCH(Y253,LMH_KEY,0)),0)</f>
        <v>9</v>
      </c>
      <c r="BN253" s="38">
        <f>IFERROR(INDEX(LMH_PTS,MATCH(Z253,LMH_KEY,0)),0)</f>
        <v>3</v>
      </c>
      <c r="BO253" s="38">
        <f>IFERROR(INDEX(LMH_PTS,MATCH(AA253,LMH_KEY,0)),0)</f>
        <v>1</v>
      </c>
      <c r="BP253" s="38">
        <f>IFERROR(INDEX(LMH_PTS,MATCH(AB253,LMH_KEY,0)),0)</f>
        <v>3</v>
      </c>
      <c r="BQ253" s="38">
        <f>IFERROR(INDEX(LMH_PTS,MATCH(AC253,LMH_KEY,0)),0)</f>
        <v>3</v>
      </c>
      <c r="BR253" s="38">
        <f>IFERROR(INDEX(LMH_PTS,MATCH(AD253,LMH_KEY,0)),0)</f>
        <v>1</v>
      </c>
      <c r="BS253" s="38">
        <f>IFERROR(INDEX(LMH_PTS,MATCH(AE253,LMH_KEY,0)),0)</f>
        <v>1</v>
      </c>
      <c r="BT253" s="38">
        <f>IFERROR(INDEX(LMH_STEP,MATCH(AF253,LMH_KEY,0)),0)</f>
        <v>0</v>
      </c>
      <c r="BU253" s="38">
        <f>IFERROR(INDEX(LMH_STEP,MATCH(AG253,LMH_KEY,0)),0)</f>
        <v>0</v>
      </c>
      <c r="BV253" s="38">
        <f>IFERROR(INDEX(LMH_STEP,MATCH(AH253,LMH_KEY,0)),0)</f>
        <v>0</v>
      </c>
      <c r="BW253" s="38">
        <f>IFERROR(INDEX(LMH_STEP,MATCH(AI253,LMH_KEY,0)),0)</f>
        <v>0</v>
      </c>
      <c r="BX253" s="38">
        <f>IFERROR(INDEX(LMH_STEP,MATCH(AJ253,LMH_KEY,0)),0)</f>
        <v>0</v>
      </c>
      <c r="BY253" s="38">
        <f>IFERROR(INDEX(LMH_STEP,MATCH(AK253,LMH_KEY,0)),0)</f>
        <v>0</v>
      </c>
      <c r="BZ253" s="38">
        <f>IFERROR(INDEX(LMH_STEP,MATCH(AL253,LMH_KEY,0)),0)</f>
        <v>0</v>
      </c>
      <c r="CA253" s="38" t="inlineStr">
        <is>
          <t>iFile|Marketing|Team Lead – Product Marketing|B1|B-M</t>
        </is>
      </c>
    </row>
    <row r="254" ht="110" customHeight="1">
      <c r="A254" s="28" t="inlineStr">
        <is>
          <t>Corporate</t>
        </is>
      </c>
      <c r="B254" s="29" t="inlineStr">
        <is>
          <t>Marketing</t>
        </is>
      </c>
      <c r="C254" s="29" t="n">
        <v>4</v>
      </c>
      <c r="D254" s="29" t="inlineStr">
        <is>
          <t>IRIS2200</t>
        </is>
      </c>
      <c r="E254" s="29" t="inlineStr">
        <is>
          <t>Barsha Gloria Gomes</t>
        </is>
      </c>
      <c r="F254" s="29" t="inlineStr">
        <is>
          <t>Manager-Content</t>
        </is>
      </c>
      <c r="G254" s="29" t="inlineStr">
        <is>
          <t>Senior Content Marketing Specialist</t>
        </is>
      </c>
      <c r="H254" s="29" t="inlineStr">
        <is>
          <t>Marketing &amp; Communications</t>
        </is>
      </c>
      <c r="I254" s="29" t="inlineStr">
        <is>
          <t>Content Marketing</t>
        </is>
      </c>
      <c r="J254" s="29" t="inlineStr">
        <is>
          <t>IC</t>
        </is>
      </c>
      <c r="K254" s="29" t="inlineStr">
        <is>
          <t>RC-113</t>
        </is>
      </c>
      <c r="L254" s="29" t="inlineStr">
        <is>
          <t>Abhilash Menon</t>
        </is>
      </c>
      <c r="M254" s="29" t="inlineStr">
        <is>
          <t>IRIS2523</t>
        </is>
      </c>
      <c r="N254" s="29" t="n">
        <v>9.9</v>
      </c>
      <c r="O254" s="29" t="n">
        <v>2.9</v>
      </c>
      <c r="P254" s="29" t="inlineStr">
        <is>
          <t>MA</t>
        </is>
      </c>
      <c r="Q254" s="29" t="inlineStr">
        <is>
          <t>L5 – Manager</t>
        </is>
      </c>
      <c r="R254" s="29" t="inlineStr">
        <is>
          <t>B2</t>
        </is>
      </c>
      <c r="S254" s="30" t="inlineStr">
        <is>
          <t>18 of 20</t>
        </is>
      </c>
      <c r="T254" s="31" t="inlineStr">
        <is>
          <t>Complexity: Evidence reads like B1: Plans and writes all content on regulatory subject matter: web, blogs, briefs, case studies, positioning → moved down 0.5
Autonomy: Evidence reads like A3: Decides content planning, editorial priorities and messaging; content still goes through SME/stakeholder sign-off → moved down 1
Accountability: Evidence reads like …</t>
        </is>
      </c>
      <c r="U254" s="31" t="inlineStr">
        <is>
          <t>Received · manager annual, quarterly, self · 1. Deliver committed marketing/content calendar with &gt;=90% on-time publishing
2. Meet campaign KPIs · leads/MQLs/engagement at &gt;=90% of targets
3. Grow owned channel metric · traffic / followers / engagement by &gt;=15%
4. Keep creative/content rework cycles to &lt;=2 per deliverable on average
5. Support sales with …</t>
        </is>
      </c>
      <c r="V254" s="31" t="inlineStr">
        <is>
          <t>Latest rating: 3 · Potential: Medium · 9-box: Core Contributor · Readiness: Develop in role</t>
        </is>
      </c>
      <c r="W254" s="31" t="inlineStr">
        <is>
          <t>C H · Au H · Ac H · L M · BI H · Exp H · 9.9 yrs vs 2–4 yrs · Edu H · MA</t>
        </is>
      </c>
      <c r="X254" s="33" t="inlineStr">
        <is>
          <t>Open ▸</t>
        </is>
      </c>
      <c r="Y254" s="34" t="str">
        <f>IFERROR(INDEX(DL_C,MATCH($CA254,DL_KEY,0)),"M")</f>
        <v>H</v>
      </c>
      <c r="Z254" s="35" t="str">
        <f>IFERROR(INDEX(DL_Au,MATCH($CA254,DL_KEY,0)),"M")</f>
        <v>M</v>
      </c>
      <c r="AA254" s="35" t="str">
        <f>IFERROR(INDEX(DL_Ac,MATCH($CA254,DL_KEY,0)),"M")</f>
        <v>L</v>
      </c>
      <c r="AB254" s="35" t="str">
        <f>IFERROR(INDEX(DL_L,MATCH($CA254,DL_KEY,0)),"M")</f>
        <v>L</v>
      </c>
      <c r="AC254" s="35" t="str">
        <f>IFERROR(INDEX(DL_BI,MATCH($CA254,DL_KEY,0)),"M")</f>
        <v>M</v>
      </c>
      <c r="AD254" s="35" t="str">
        <f>IFERROR(INDEX(DL_Exp,MATCH($CA254,DL_KEY,0)),"M")</f>
        <v>L</v>
      </c>
      <c r="AE254" s="35" t="str">
        <f>IFERROR(INDEX(DL_Edu,MATCH($CA254,DL_KEY,0)),"M")</f>
        <v>L</v>
      </c>
      <c r="AF254" s="34" t="inlineStr">
        <is>
          <t>M</t>
        </is>
      </c>
      <c r="AG254" s="35" t="inlineStr">
        <is>
          <t>M</t>
        </is>
      </c>
      <c r="AH254" s="35" t="inlineStr">
        <is>
          <t>M</t>
        </is>
      </c>
      <c r="AI254" s="35" t="inlineStr">
        <is>
          <t>M</t>
        </is>
      </c>
      <c r="AJ254" s="35" t="inlineStr">
        <is>
          <t>M</t>
        </is>
      </c>
      <c r="AK254" s="35" t="inlineStr">
        <is>
          <t>M</t>
        </is>
      </c>
      <c r="AL254" s="35" t="inlineStr">
        <is>
          <t>M</t>
        </is>
      </c>
      <c r="AM254" s="36" t="n">
        <v>0.583</v>
      </c>
      <c r="AN254" s="37" t="n">
        <v>0.16</v>
      </c>
      <c r="AO254" s="37" t="n">
        <v>0.09</v>
      </c>
      <c r="AP254" s="37" t="n">
        <v>0</v>
      </c>
      <c r="AQ254" s="37" t="n">
        <v>0.063</v>
      </c>
      <c r="AR254" s="37" t="n">
        <v>0.06</v>
      </c>
      <c r="AS254" s="37" t="n">
        <v>0.04</v>
      </c>
      <c r="AT254" s="38" t="inlineStr">
        <is>
          <t>2–5</t>
        </is>
      </c>
      <c r="AU254" s="38" t="inlineStr">
        <is>
          <t>Graduate; relevant certification preferred</t>
        </is>
      </c>
      <c r="AV254" s="38" t="inlineStr">
        <is>
          <t>None · guides 1–3 juniors informally</t>
        </is>
      </c>
      <c r="AW254" s="38" t="inlineStr">
        <is>
          <t>P2 · SFIA 3 Apply</t>
        </is>
      </c>
      <c r="AX25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54" s="39" t="inlineStr">
        <is>
          <t>A3</t>
        </is>
      </c>
      <c r="AZ254" s="40" t="inlineStr">
        <is>
          <t>Band A · Practitioner · Senior Associate</t>
        </is>
      </c>
      <c r="BA254" s="40" t="inlineStr">
        <is>
          <t>Model B2 from the six ratings, the market-derived weights and rules R1–R13 · then Level rule: manager B1; a reportee sits at least one level below · B2 → A3 · move down · pay and title protected for one cycle</t>
        </is>
      </c>
      <c r="BB254" s="41" t="inlineStr">
        <is>
          <t>B2</t>
        </is>
      </c>
      <c r="BC254" s="40" t="inlineStr">
        <is>
          <t>The six ratings on the market-average weights of Band A · all tracks score 4.65 → B2 · Hay, Mercer IPE and public plans · experience 9.9 yrs vs the B2 market range 6–10</t>
        </is>
      </c>
      <c r="BD254" s="42">
        <f>IF(SUM(BM254,BN254,BO254,BP254,BQ254,BR254,BS254)=0,0,(BM254*BT254+BN254*BU254+BO254*BV254+BP254*BW254+BQ254*BX254+BR254*BY254+BS254*BZ254)/SUM(BM254,BN254,BO254,BP254,BQ254,BR254,BS254))</f>
        <v>0</v>
      </c>
      <c r="BE254" s="41" t="str">
        <f>IF(LEFT(AY254,1)="X",AY254,IF(OR(AY254="B+",AY254="C+"),INDEX(LAD_PC,MAX(1,MIN(14,MATCH(AY254,LAD_PC,0)+IF(BD254&gt;=0.5,1,IF(BD254&lt;=-0.5,-1,0))))),INDEX(LAD_STD,MAX(1,MIN(12,MATCH(AY254,LAD_STD,0)+IF(BD254&gt;=0.5,1,IF(BD254&lt;=-0.5,-1,0)))))))</f>
        <v>A3</v>
      </c>
      <c r="BF254" s="43" t="n"/>
      <c r="BG254" s="41" t="str">
        <f>IF(BF254&lt;&gt;"",BF254,BE254)</f>
        <v>A3</v>
      </c>
      <c r="BH254" s="40" t="str">
        <f>IFERROR(CHOOSE(INDEX(B_RANK,MATCH(BG254,B_LVL,0)),"Band A","Band B","B+ · Player-Coach","Band C","C+ · Player-Coach","Band D","Band E"),"Band X · Consultant")</f>
        <v>Band A</v>
      </c>
      <c r="BI254" s="40" t="str">
        <f>IF(BG254=AY254,"• Same",IF(INDEX(B_VAL,MATCH(BG254,B_LVL,0))&gt;INDEX(B_VAL,MATCH(AY254,B_LVL,0)),"▲ Up","▼ Down"))</f>
        <v>• Same</v>
      </c>
      <c r="BJ254" s="40" t="str">
        <f>IF(OR($M254="",$M254="—",$M254="Not in this file"),"",IFERROR(INDEX($BG$7:$BG$592,MATCH($M254,$D$7:$D$592,0)),""))</f>
        <v>B1</v>
      </c>
      <c r="BK254" s="40" t="str">
        <f>IFERROR(IF(BJ254="","—",IF(OR(LEFT(BG254,1)="X",LEFT(BJ254,1)="X"),"—",IF(AND(LEFT(BG254,1)="E",LEFT(BJ254,1)="E"),"Exception · Band E",IF(AND(INDEX(B_VAL,MATCH(BJ254,B_LVL,0))&gt;=7,INDEX(B_RANK,MATCH(BG254,B_LVL,0))&gt;=INDEX(B_RANK,MATCH(BJ254,B_LVL,0))),"⚠ Same band as a head manager",IF(INDEX(B_VAL,MATCH(BG254,B_LVL,0))&gt;=INDEX(B_VAL,MATCH(BJ254,B_LVL,0)),"⚠ At or above the manager's level","OK"))))),"—")</f>
        <v>OK</v>
      </c>
      <c r="BL254" s="43" t="n"/>
      <c r="BM254" s="44">
        <f>IFERROR(INDEX(LMH_PTS,MATCH(Y254,LMH_KEY,0)),0)</f>
        <v>9</v>
      </c>
      <c r="BN254" s="38">
        <f>IFERROR(INDEX(LMH_PTS,MATCH(Z254,LMH_KEY,0)),0)</f>
        <v>3</v>
      </c>
      <c r="BO254" s="38">
        <f>IFERROR(INDEX(LMH_PTS,MATCH(AA254,LMH_KEY,0)),0)</f>
        <v>1</v>
      </c>
      <c r="BP254" s="38">
        <f>IFERROR(INDEX(LMH_PTS,MATCH(AB254,LMH_KEY,0)),0)</f>
        <v>1</v>
      </c>
      <c r="BQ254" s="38">
        <f>IFERROR(INDEX(LMH_PTS,MATCH(AC254,LMH_KEY,0)),0)</f>
        <v>3</v>
      </c>
      <c r="BR254" s="38">
        <f>IFERROR(INDEX(LMH_PTS,MATCH(AD254,LMH_KEY,0)),0)</f>
        <v>1</v>
      </c>
      <c r="BS254" s="38">
        <f>IFERROR(INDEX(LMH_PTS,MATCH(AE254,LMH_KEY,0)),0)</f>
        <v>1</v>
      </c>
      <c r="BT254" s="38">
        <f>IFERROR(INDEX(LMH_STEP,MATCH(AF254,LMH_KEY,0)),0)</f>
        <v>0</v>
      </c>
      <c r="BU254" s="38">
        <f>IFERROR(INDEX(LMH_STEP,MATCH(AG254,LMH_KEY,0)),0)</f>
        <v>0</v>
      </c>
      <c r="BV254" s="38">
        <f>IFERROR(INDEX(LMH_STEP,MATCH(AH254,LMH_KEY,0)),0)</f>
        <v>0</v>
      </c>
      <c r="BW254" s="38">
        <f>IFERROR(INDEX(LMH_STEP,MATCH(AI254,LMH_KEY,0)),0)</f>
        <v>0</v>
      </c>
      <c r="BX254" s="38">
        <f>IFERROR(INDEX(LMH_STEP,MATCH(AJ254,LMH_KEY,0)),0)</f>
        <v>0</v>
      </c>
      <c r="BY254" s="38">
        <f>IFERROR(INDEX(LMH_STEP,MATCH(AK254,LMH_KEY,0)),0)</f>
        <v>0</v>
      </c>
      <c r="BZ254" s="38">
        <f>IFERROR(INDEX(LMH_STEP,MATCH(AL254,LMH_KEY,0)),0)</f>
        <v>0</v>
      </c>
      <c r="CA254" s="38" t="inlineStr">
        <is>
          <t>Corporate|Marketing|Senior Content Marketing Specialist|A3|A</t>
        </is>
      </c>
    </row>
    <row r="255" ht="110" customHeight="1">
      <c r="A255" s="28" t="inlineStr">
        <is>
          <t>Corporate</t>
        </is>
      </c>
      <c r="B255" s="29" t="inlineStr">
        <is>
          <t>Marketing</t>
        </is>
      </c>
      <c r="C255" s="29" t="n">
        <v>4</v>
      </c>
      <c r="D255" s="29" t="inlineStr">
        <is>
          <t>IRIS2307</t>
        </is>
      </c>
      <c r="E255" s="29" t="inlineStr">
        <is>
          <t>Abhishek Sharma</t>
        </is>
      </c>
      <c r="F255" s="29" t="inlineStr">
        <is>
          <t>Senior Designer</t>
        </is>
      </c>
      <c r="G255" s="29" t="inlineStr">
        <is>
          <t>Senior Designer</t>
        </is>
      </c>
      <c r="H255" s="29" t="inlineStr">
        <is>
          <t>Design &amp; Creative</t>
        </is>
      </c>
      <c r="I255" s="29" t="inlineStr">
        <is>
          <t>Brand, Graphic &amp; Video Design</t>
        </is>
      </c>
      <c r="J255" s="29" t="inlineStr">
        <is>
          <t>IC</t>
        </is>
      </c>
      <c r="K255" s="29" t="inlineStr">
        <is>
          <t>RC-052</t>
        </is>
      </c>
      <c r="L255" s="29" t="inlineStr">
        <is>
          <t>Abhilash Menon</t>
        </is>
      </c>
      <c r="M255" s="29" t="inlineStr">
        <is>
          <t>IRIS2523</t>
        </is>
      </c>
      <c r="N255" s="29" t="n">
        <v>6</v>
      </c>
      <c r="O255" s="29" t="n">
        <v>2</v>
      </c>
      <c r="P255" s="29" t="inlineStr">
        <is>
          <t>HSC</t>
        </is>
      </c>
      <c r="Q255" s="29" t="inlineStr">
        <is>
          <t>L4 – Senior</t>
        </is>
      </c>
      <c r="R255" s="29" t="inlineStr">
        <is>
          <t>A3</t>
        </is>
      </c>
      <c r="S255" s="30" t="inlineStr">
        <is>
          <t>20 of 20</t>
        </is>
      </c>
      <c r="T255" s="31" t="inlineStr">
        <is>
          <t>Complexity: Evidence reads like A3: Varied design: RFP presentations, sales kits, website UI/UX, video editing, event and corporate branding → matches the start
Autonomy: Evidence reads like A3: Decides design elements and core ideation for assets → matches the start
Accountability: Evidence reads like A3: Accountable for all design output and brand …</t>
        </is>
      </c>
      <c r="U255" s="31" t="inlineStr">
        <is>
          <t>Received · manager annual, quarterly, self · 1. Deliver committed marketing/content calendar with &gt;=90% on-time publishing
2. Meet campaign KPIs · leads/MQLs/engagement at &gt;=90% of targets
3. Grow owned channel metric · traffic / followers / engagement by &gt;=15%
4. Keep creative/content rework cycles to &lt;=2 per deliverable on average
5. Support sales with …</t>
        </is>
      </c>
      <c r="V255" s="31" t="inlineStr">
        <is>
          <t>Latest rating: 3 · Potential: Medium · 9-box: Reliable Specialist · Readiness: Develop in role</t>
        </is>
      </c>
      <c r="W255" s="31" t="inlineStr">
        <is>
          <t>C M · Au M · Ac M · L L · BI M · Exp H · 6 yrs vs 2–4 yrs · Edu L · HSC</t>
        </is>
      </c>
      <c r="X255" s="33" t="inlineStr">
        <is>
          <t>Open ▸</t>
        </is>
      </c>
      <c r="Y255" s="34" t="str">
        <f>IFERROR(INDEX(DL_C,MATCH($CA255,DL_KEY,0)),"M")</f>
        <v>H</v>
      </c>
      <c r="Z255" s="35" t="str">
        <f>IFERROR(INDEX(DL_Au,MATCH($CA255,DL_KEY,0)),"M")</f>
        <v>M</v>
      </c>
      <c r="AA255" s="35" t="str">
        <f>IFERROR(INDEX(DL_Ac,MATCH($CA255,DL_KEY,0)),"M")</f>
        <v>L</v>
      </c>
      <c r="AB255" s="35" t="str">
        <f>IFERROR(INDEX(DL_L,MATCH($CA255,DL_KEY,0)),"M")</f>
        <v>L</v>
      </c>
      <c r="AC255" s="35" t="str">
        <f>IFERROR(INDEX(DL_BI,MATCH($CA255,DL_KEY,0)),"M")</f>
        <v>M</v>
      </c>
      <c r="AD255" s="35" t="str">
        <f>IFERROR(INDEX(DL_Exp,MATCH($CA255,DL_KEY,0)),"M")</f>
        <v>L</v>
      </c>
      <c r="AE255" s="35" t="str">
        <f>IFERROR(INDEX(DL_Edu,MATCH($CA255,DL_KEY,0)),"M")</f>
        <v>L</v>
      </c>
      <c r="AF255" s="34" t="inlineStr">
        <is>
          <t>M</t>
        </is>
      </c>
      <c r="AG255" s="35" t="inlineStr">
        <is>
          <t>M</t>
        </is>
      </c>
      <c r="AH255" s="35" t="inlineStr">
        <is>
          <t>M</t>
        </is>
      </c>
      <c r="AI255" s="35" t="inlineStr">
        <is>
          <t>M</t>
        </is>
      </c>
      <c r="AJ255" s="35" t="inlineStr">
        <is>
          <t>M</t>
        </is>
      </c>
      <c r="AK255" s="35" t="inlineStr">
        <is>
          <t>M</t>
        </is>
      </c>
      <c r="AL255" s="35" t="inlineStr">
        <is>
          <t>M</t>
        </is>
      </c>
      <c r="AM255" s="36" t="n">
        <v>0.583</v>
      </c>
      <c r="AN255" s="37" t="n">
        <v>0.16</v>
      </c>
      <c r="AO255" s="37" t="n">
        <v>0.09</v>
      </c>
      <c r="AP255" s="37" t="n">
        <v>0</v>
      </c>
      <c r="AQ255" s="37" t="n">
        <v>0.063</v>
      </c>
      <c r="AR255" s="37" t="n">
        <v>0.06</v>
      </c>
      <c r="AS255" s="37" t="n">
        <v>0.04</v>
      </c>
      <c r="AT255" s="38" t="inlineStr">
        <is>
          <t>2–5</t>
        </is>
      </c>
      <c r="AU255" s="38" t="inlineStr">
        <is>
          <t>Graduate; relevant certification preferred</t>
        </is>
      </c>
      <c r="AV255" s="38" t="inlineStr">
        <is>
          <t>None · guides 1–3 juniors informally</t>
        </is>
      </c>
      <c r="AW255" s="38" t="inlineStr">
        <is>
          <t>P2 · SFIA 3 Apply</t>
        </is>
      </c>
      <c r="AX25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55" s="39" t="inlineStr">
        <is>
          <t>A3</t>
        </is>
      </c>
      <c r="AZ255" s="40" t="inlineStr">
        <is>
          <t>Band A · Practitioner · Senior Associate</t>
        </is>
      </c>
      <c r="BA255" s="40" t="inlineStr">
        <is>
          <t>Model A3 from the six ratings, the market-derived weights and rules R1–R13 · then No change · already below the manager</t>
        </is>
      </c>
      <c r="BB255" s="41" t="inlineStr">
        <is>
          <t>A3</t>
        </is>
      </c>
      <c r="BC255" s="40" t="inlineStr">
        <is>
          <t>The six ratings on the market-average weights of Band A · all tracks score 3.13 → A3 · Hay, Mercer IPE and public plans · experience 6 yrs vs the A3 market range 2–5</t>
        </is>
      </c>
      <c r="BD255" s="42">
        <f>IF(SUM(BM255,BN255,BO255,BP255,BQ255,BR255,BS255)=0,0,(BM255*BT255+BN255*BU255+BO255*BV255+BP255*BW255+BQ255*BX255+BR255*BY255+BS255*BZ255)/SUM(BM255,BN255,BO255,BP255,BQ255,BR255,BS255))</f>
        <v>0</v>
      </c>
      <c r="BE255" s="41" t="str">
        <f>IF(LEFT(AY255,1)="X",AY255,IF(OR(AY255="B+",AY255="C+"),INDEX(LAD_PC,MAX(1,MIN(14,MATCH(AY255,LAD_PC,0)+IF(BD255&gt;=0.5,1,IF(BD255&lt;=-0.5,-1,0))))),INDEX(LAD_STD,MAX(1,MIN(12,MATCH(AY255,LAD_STD,0)+IF(BD255&gt;=0.5,1,IF(BD255&lt;=-0.5,-1,0)))))))</f>
        <v>A3</v>
      </c>
      <c r="BF255" s="43" t="n"/>
      <c r="BG255" s="41" t="str">
        <f>IF(BF255&lt;&gt;"",BF255,BE255)</f>
        <v>A3</v>
      </c>
      <c r="BH255" s="40" t="str">
        <f>IFERROR(CHOOSE(INDEX(B_RANK,MATCH(BG255,B_LVL,0)),"Band A","Band B","B+ · Player-Coach","Band C","C+ · Player-Coach","Band D","Band E"),"Band X · Consultant")</f>
        <v>Band A</v>
      </c>
      <c r="BI255" s="40" t="str">
        <f>IF(BG255=AY255,"• Same",IF(INDEX(B_VAL,MATCH(BG255,B_LVL,0))&gt;INDEX(B_VAL,MATCH(AY255,B_LVL,0)),"▲ Up","▼ Down"))</f>
        <v>• Same</v>
      </c>
      <c r="BJ255" s="40" t="str">
        <f>IF(OR($M255="",$M255="—",$M255="Not in this file"),"",IFERROR(INDEX($BG$7:$BG$592,MATCH($M255,$D$7:$D$592,0)),""))</f>
        <v>B1</v>
      </c>
      <c r="BK255" s="40" t="str">
        <f>IFERROR(IF(BJ255="","—",IF(OR(LEFT(BG255,1)="X",LEFT(BJ255,1)="X"),"—",IF(AND(LEFT(BG255,1)="E",LEFT(BJ255,1)="E"),"Exception · Band E",IF(AND(INDEX(B_VAL,MATCH(BJ255,B_LVL,0))&gt;=7,INDEX(B_RANK,MATCH(BG255,B_LVL,0))&gt;=INDEX(B_RANK,MATCH(BJ255,B_LVL,0))),"⚠ Same band as a head manager",IF(INDEX(B_VAL,MATCH(BG255,B_LVL,0))&gt;=INDEX(B_VAL,MATCH(BJ255,B_LVL,0)),"⚠ At or above the manager's level","OK"))))),"—")</f>
        <v>OK</v>
      </c>
      <c r="BL255" s="43" t="n"/>
      <c r="BM255" s="44">
        <f>IFERROR(INDEX(LMH_PTS,MATCH(Y255,LMH_KEY,0)),0)</f>
        <v>9</v>
      </c>
      <c r="BN255" s="38">
        <f>IFERROR(INDEX(LMH_PTS,MATCH(Z255,LMH_KEY,0)),0)</f>
        <v>3</v>
      </c>
      <c r="BO255" s="38">
        <f>IFERROR(INDEX(LMH_PTS,MATCH(AA255,LMH_KEY,0)),0)</f>
        <v>1</v>
      </c>
      <c r="BP255" s="38">
        <f>IFERROR(INDEX(LMH_PTS,MATCH(AB255,LMH_KEY,0)),0)</f>
        <v>1</v>
      </c>
      <c r="BQ255" s="38">
        <f>IFERROR(INDEX(LMH_PTS,MATCH(AC255,LMH_KEY,0)),0)</f>
        <v>3</v>
      </c>
      <c r="BR255" s="38">
        <f>IFERROR(INDEX(LMH_PTS,MATCH(AD255,LMH_KEY,0)),0)</f>
        <v>1</v>
      </c>
      <c r="BS255" s="38">
        <f>IFERROR(INDEX(LMH_PTS,MATCH(AE255,LMH_KEY,0)),0)</f>
        <v>1</v>
      </c>
      <c r="BT255" s="38">
        <f>IFERROR(INDEX(LMH_STEP,MATCH(AF255,LMH_KEY,0)),0)</f>
        <v>0</v>
      </c>
      <c r="BU255" s="38">
        <f>IFERROR(INDEX(LMH_STEP,MATCH(AG255,LMH_KEY,0)),0)</f>
        <v>0</v>
      </c>
      <c r="BV255" s="38">
        <f>IFERROR(INDEX(LMH_STEP,MATCH(AH255,LMH_KEY,0)),0)</f>
        <v>0</v>
      </c>
      <c r="BW255" s="38">
        <f>IFERROR(INDEX(LMH_STEP,MATCH(AI255,LMH_KEY,0)),0)</f>
        <v>0</v>
      </c>
      <c r="BX255" s="38">
        <f>IFERROR(INDEX(LMH_STEP,MATCH(AJ255,LMH_KEY,0)),0)</f>
        <v>0</v>
      </c>
      <c r="BY255" s="38">
        <f>IFERROR(INDEX(LMH_STEP,MATCH(AK255,LMH_KEY,0)),0)</f>
        <v>0</v>
      </c>
      <c r="BZ255" s="38">
        <f>IFERROR(INDEX(LMH_STEP,MATCH(AL255,LMH_KEY,0)),0)</f>
        <v>0</v>
      </c>
      <c r="CA255" s="38" t="inlineStr">
        <is>
          <t>Corporate|Marketing|Senior Designer|A3|A</t>
        </is>
      </c>
    </row>
    <row r="256" ht="110" customHeight="1">
      <c r="A256" s="28" t="inlineStr">
        <is>
          <t>Corporate</t>
        </is>
      </c>
      <c r="B256" s="29" t="inlineStr">
        <is>
          <t>Marketing</t>
        </is>
      </c>
      <c r="C256" s="29" t="n">
        <v>4</v>
      </c>
      <c r="D256" s="29" t="inlineStr">
        <is>
          <t>IRIS2190</t>
        </is>
      </c>
      <c r="E256" s="29" t="inlineStr">
        <is>
          <t>Esther Kanagaselvam D</t>
        </is>
      </c>
      <c r="F256" s="29" t="inlineStr">
        <is>
          <t>Executive Lead Generation and Database</t>
        </is>
      </c>
      <c r="G256" s="29" t="inlineStr">
        <is>
          <t>Senior Marketing Operations Associate</t>
        </is>
      </c>
      <c r="H256" s="29" t="inlineStr">
        <is>
          <t>Marketing &amp; Communications</t>
        </is>
      </c>
      <c r="I256" s="29" t="inlineStr">
        <is>
          <t>Marketing Operations &amp; Automation</t>
        </is>
      </c>
      <c r="J256" s="29" t="inlineStr">
        <is>
          <t>IC</t>
        </is>
      </c>
      <c r="K256" s="29" t="inlineStr">
        <is>
          <t>RC-122</t>
        </is>
      </c>
      <c r="L256" s="29" t="inlineStr">
        <is>
          <t>Abhilash Menon</t>
        </is>
      </c>
      <c r="M256" s="29" t="inlineStr">
        <is>
          <t>IRIS2523</t>
        </is>
      </c>
      <c r="N256" s="29" t="n">
        <v>5.5</v>
      </c>
      <c r="O256" s="29" t="n">
        <v>3</v>
      </c>
      <c r="P256" s="29" t="inlineStr">
        <is>
          <t>B.E</t>
        </is>
      </c>
      <c r="Q256" s="29" t="inlineStr">
        <is>
          <t>L5 – Lead · IC</t>
        </is>
      </c>
      <c r="R256" s="29" t="inlineStr">
        <is>
          <t>A3</t>
        </is>
      </c>
      <c r="S256" s="30" t="inlineStr">
        <is>
          <t>20 of 20</t>
        </is>
      </c>
      <c r="T256" s="31" t="inlineStr">
        <is>
          <t>Complexity: Evidence reads like A3: Configures Zoho CRM lead assignment rules, automation and UTM attribution; campaign lists and reports across units → moved up 0.5
Autonomy: Evidence reads like A3: Independently configures lead assignment rules, UTM tracking, marketing lists, data hygiene and reports → moved up 0.5
Accountability: Evidence reads like A3: …</t>
        </is>
      </c>
      <c r="U256" s="31" t="inlineStr">
        <is>
          <t>Received · manager annual, quarterly, self · 1. Generate assigned number of qualified leads / SQLs per month · meet 100% of target
2. Maintain outbound activity volume · calls/emails to agreed daily/weekly cadence
3. Achieve meeting-booked conversion of &gt;=10% from qualified outreach
4. Keep CRM data accuracy and lead handoff documentation at 100%
5. Contribute …</t>
        </is>
      </c>
      <c r="V256" s="31" t="inlineStr">
        <is>
          <t>Latest rating: 2 · Potential: Low · 9-box: Performance Risk · Readiness: Performance first</t>
        </is>
      </c>
      <c r="W256" s="31" t="inlineStr">
        <is>
          <t>C M · Au M · Ac M · L L · BI M · Exp H · 5.5 yrs vs 2–4 yrs · Edu M · B.E</t>
        </is>
      </c>
      <c r="X256" s="33" t="inlineStr">
        <is>
          <t>Open ▸</t>
        </is>
      </c>
      <c r="Y256" s="34" t="str">
        <f>IFERROR(INDEX(DL_C,MATCH($CA256,DL_KEY,0)),"M")</f>
        <v>H</v>
      </c>
      <c r="Z256" s="35" t="str">
        <f>IFERROR(INDEX(DL_Au,MATCH($CA256,DL_KEY,0)),"M")</f>
        <v>M</v>
      </c>
      <c r="AA256" s="35" t="str">
        <f>IFERROR(INDEX(DL_Ac,MATCH($CA256,DL_KEY,0)),"M")</f>
        <v>L</v>
      </c>
      <c r="AB256" s="35" t="str">
        <f>IFERROR(INDEX(DL_L,MATCH($CA256,DL_KEY,0)),"M")</f>
        <v>L</v>
      </c>
      <c r="AC256" s="35" t="str">
        <f>IFERROR(INDEX(DL_BI,MATCH($CA256,DL_KEY,0)),"M")</f>
        <v>M</v>
      </c>
      <c r="AD256" s="35" t="str">
        <f>IFERROR(INDEX(DL_Exp,MATCH($CA256,DL_KEY,0)),"M")</f>
        <v>L</v>
      </c>
      <c r="AE256" s="35" t="str">
        <f>IFERROR(INDEX(DL_Edu,MATCH($CA256,DL_KEY,0)),"M")</f>
        <v>L</v>
      </c>
      <c r="AF256" s="34" t="inlineStr">
        <is>
          <t>M</t>
        </is>
      </c>
      <c r="AG256" s="35" t="inlineStr">
        <is>
          <t>M</t>
        </is>
      </c>
      <c r="AH256" s="35" t="inlineStr">
        <is>
          <t>M</t>
        </is>
      </c>
      <c r="AI256" s="35" t="inlineStr">
        <is>
          <t>M</t>
        </is>
      </c>
      <c r="AJ256" s="35" t="inlineStr">
        <is>
          <t>M</t>
        </is>
      </c>
      <c r="AK256" s="35" t="inlineStr">
        <is>
          <t>M</t>
        </is>
      </c>
      <c r="AL256" s="35" t="inlineStr">
        <is>
          <t>M</t>
        </is>
      </c>
      <c r="AM256" s="36" t="n">
        <v>0.583</v>
      </c>
      <c r="AN256" s="37" t="n">
        <v>0.16</v>
      </c>
      <c r="AO256" s="37" t="n">
        <v>0.09</v>
      </c>
      <c r="AP256" s="37" t="n">
        <v>0</v>
      </c>
      <c r="AQ256" s="37" t="n">
        <v>0.063</v>
      </c>
      <c r="AR256" s="37" t="n">
        <v>0.06</v>
      </c>
      <c r="AS256" s="37" t="n">
        <v>0.04</v>
      </c>
      <c r="AT256" s="38" t="inlineStr">
        <is>
          <t>2–5</t>
        </is>
      </c>
      <c r="AU256" s="38" t="inlineStr">
        <is>
          <t>Graduate; relevant certification preferred</t>
        </is>
      </c>
      <c r="AV256" s="38" t="inlineStr">
        <is>
          <t>None · guides 1–3 juniors informally</t>
        </is>
      </c>
      <c r="AW256" s="38" t="inlineStr">
        <is>
          <t>P2 · SFIA 3 Apply</t>
        </is>
      </c>
      <c r="AX25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56" s="39" t="inlineStr">
        <is>
          <t>A3</t>
        </is>
      </c>
      <c r="AZ256" s="40" t="inlineStr">
        <is>
          <t>Band A · Practitioner · Senior Associate</t>
        </is>
      </c>
      <c r="BA256" s="40" t="inlineStr">
        <is>
          <t>Model A3 from the six ratings, the market-derived weights and rules R1–R13 · then No change · already below the manager</t>
        </is>
      </c>
      <c r="BB256" s="41" t="inlineStr">
        <is>
          <t>A3</t>
        </is>
      </c>
      <c r="BC256" s="40" t="inlineStr">
        <is>
          <t>The six ratings on the market-average weights of Band A · all tracks score 2.65 → A3 · Hay, Mercer IPE and public plans · experience 5.5 yrs vs the A3 market range 2–5</t>
        </is>
      </c>
      <c r="BD256" s="42">
        <f>IF(SUM(BM256,BN256,BO256,BP256,BQ256,BR256,BS256)=0,0,(BM256*BT256+BN256*BU256+BO256*BV256+BP256*BW256+BQ256*BX256+BR256*BY256+BS256*BZ256)/SUM(BM256,BN256,BO256,BP256,BQ256,BR256,BS256))</f>
        <v>0</v>
      </c>
      <c r="BE256" s="41" t="str">
        <f>IF(LEFT(AY256,1)="X",AY256,IF(OR(AY256="B+",AY256="C+"),INDEX(LAD_PC,MAX(1,MIN(14,MATCH(AY256,LAD_PC,0)+IF(BD256&gt;=0.5,1,IF(BD256&lt;=-0.5,-1,0))))),INDEX(LAD_STD,MAX(1,MIN(12,MATCH(AY256,LAD_STD,0)+IF(BD256&gt;=0.5,1,IF(BD256&lt;=-0.5,-1,0)))))))</f>
        <v>A3</v>
      </c>
      <c r="BF256" s="43" t="n"/>
      <c r="BG256" s="41" t="str">
        <f>IF(BF256&lt;&gt;"",BF256,BE256)</f>
        <v>A3</v>
      </c>
      <c r="BH256" s="40" t="str">
        <f>IFERROR(CHOOSE(INDEX(B_RANK,MATCH(BG256,B_LVL,0)),"Band A","Band B","B+ · Player-Coach","Band C","C+ · Player-Coach","Band D","Band E"),"Band X · Consultant")</f>
        <v>Band A</v>
      </c>
      <c r="BI256" s="40" t="str">
        <f>IF(BG256=AY256,"• Same",IF(INDEX(B_VAL,MATCH(BG256,B_LVL,0))&gt;INDEX(B_VAL,MATCH(AY256,B_LVL,0)),"▲ Up","▼ Down"))</f>
        <v>• Same</v>
      </c>
      <c r="BJ256" s="40" t="str">
        <f>IF(OR($M256="",$M256="—",$M256="Not in this file"),"",IFERROR(INDEX($BG$7:$BG$592,MATCH($M256,$D$7:$D$592,0)),""))</f>
        <v>B1</v>
      </c>
      <c r="BK256" s="40" t="str">
        <f>IFERROR(IF(BJ256="","—",IF(OR(LEFT(BG256,1)="X",LEFT(BJ256,1)="X"),"—",IF(AND(LEFT(BG256,1)="E",LEFT(BJ256,1)="E"),"Exception · Band E",IF(AND(INDEX(B_VAL,MATCH(BJ256,B_LVL,0))&gt;=7,INDEX(B_RANK,MATCH(BG256,B_LVL,0))&gt;=INDEX(B_RANK,MATCH(BJ256,B_LVL,0))),"⚠ Same band as a head manager",IF(INDEX(B_VAL,MATCH(BG256,B_LVL,0))&gt;=INDEX(B_VAL,MATCH(BJ256,B_LVL,0)),"⚠ At or above the manager's level","OK"))))),"—")</f>
        <v>OK</v>
      </c>
      <c r="BL256" s="43" t="n"/>
      <c r="BM256" s="44">
        <f>IFERROR(INDEX(LMH_PTS,MATCH(Y256,LMH_KEY,0)),0)</f>
        <v>9</v>
      </c>
      <c r="BN256" s="38">
        <f>IFERROR(INDEX(LMH_PTS,MATCH(Z256,LMH_KEY,0)),0)</f>
        <v>3</v>
      </c>
      <c r="BO256" s="38">
        <f>IFERROR(INDEX(LMH_PTS,MATCH(AA256,LMH_KEY,0)),0)</f>
        <v>1</v>
      </c>
      <c r="BP256" s="38">
        <f>IFERROR(INDEX(LMH_PTS,MATCH(AB256,LMH_KEY,0)),0)</f>
        <v>1</v>
      </c>
      <c r="BQ256" s="38">
        <f>IFERROR(INDEX(LMH_PTS,MATCH(AC256,LMH_KEY,0)),0)</f>
        <v>3</v>
      </c>
      <c r="BR256" s="38">
        <f>IFERROR(INDEX(LMH_PTS,MATCH(AD256,LMH_KEY,0)),0)</f>
        <v>1</v>
      </c>
      <c r="BS256" s="38">
        <f>IFERROR(INDEX(LMH_PTS,MATCH(AE256,LMH_KEY,0)),0)</f>
        <v>1</v>
      </c>
      <c r="BT256" s="38">
        <f>IFERROR(INDEX(LMH_STEP,MATCH(AF256,LMH_KEY,0)),0)</f>
        <v>0</v>
      </c>
      <c r="BU256" s="38">
        <f>IFERROR(INDEX(LMH_STEP,MATCH(AG256,LMH_KEY,0)),0)</f>
        <v>0</v>
      </c>
      <c r="BV256" s="38">
        <f>IFERROR(INDEX(LMH_STEP,MATCH(AH256,LMH_KEY,0)),0)</f>
        <v>0</v>
      </c>
      <c r="BW256" s="38">
        <f>IFERROR(INDEX(LMH_STEP,MATCH(AI256,LMH_KEY,0)),0)</f>
        <v>0</v>
      </c>
      <c r="BX256" s="38">
        <f>IFERROR(INDEX(LMH_STEP,MATCH(AJ256,LMH_KEY,0)),0)</f>
        <v>0</v>
      </c>
      <c r="BY256" s="38">
        <f>IFERROR(INDEX(LMH_STEP,MATCH(AK256,LMH_KEY,0)),0)</f>
        <v>0</v>
      </c>
      <c r="BZ256" s="38">
        <f>IFERROR(INDEX(LMH_STEP,MATCH(AL256,LMH_KEY,0)),0)</f>
        <v>0</v>
      </c>
      <c r="CA256" s="38" t="inlineStr">
        <is>
          <t>Corporate|Marketing|Senior Marketing Operations Associate|A3|A</t>
        </is>
      </c>
    </row>
    <row r="257" ht="110" customHeight="1">
      <c r="A257" s="28" t="inlineStr">
        <is>
          <t>iFile</t>
        </is>
      </c>
      <c r="B257" s="29" t="inlineStr">
        <is>
          <t>Marketing</t>
        </is>
      </c>
      <c r="C257" s="29" t="n">
        <v>4</v>
      </c>
      <c r="D257" s="29" t="inlineStr">
        <is>
          <t>IRIS2550</t>
        </is>
      </c>
      <c r="E257" s="29" t="inlineStr">
        <is>
          <t>Shashwat Dikshit</t>
        </is>
      </c>
      <c r="F257" s="29" t="inlineStr">
        <is>
          <t>Marketing Operations Specialist</t>
        </is>
      </c>
      <c r="G257" s="29" t="inlineStr">
        <is>
          <t>Senior Marketing Operations Associate</t>
        </is>
      </c>
      <c r="H257" s="29" t="inlineStr">
        <is>
          <t>Marketing &amp; Communications</t>
        </is>
      </c>
      <c r="I257" s="29" t="inlineStr">
        <is>
          <t>Marketing Operations &amp; Automation</t>
        </is>
      </c>
      <c r="J257" s="29" t="inlineStr">
        <is>
          <t>IC</t>
        </is>
      </c>
      <c r="K257" s="29" t="inlineStr">
        <is>
          <t>RC-122</t>
        </is>
      </c>
      <c r="L257" s="29" t="inlineStr">
        <is>
          <t>Abhilash Menon</t>
        </is>
      </c>
      <c r="M257" s="29" t="inlineStr">
        <is>
          <t>IRIS2523</t>
        </is>
      </c>
      <c r="N257" s="29" t="n">
        <v>4.7</v>
      </c>
      <c r="O257" s="29" t="n">
        <v>0.1</v>
      </c>
      <c r="P257" s="29" t="inlineStr">
        <is>
          <t>Masters of Science</t>
        </is>
      </c>
      <c r="Q257" s="29" t="inlineStr">
        <is>
          <t>Not in current mapping files</t>
        </is>
      </c>
      <c r="R257" s="29" t="inlineStr">
        <is>
          <t>A3</t>
        </is>
      </c>
      <c r="S257" s="30" t="inlineStr">
        <is>
          <t>19 of 20</t>
        </is>
      </c>
      <c r="T257" s="31" t="inlineStr">
        <is>
          <t>Complexity: Evidence reads like A3: Runs Google and LinkedIn paid campaigns, lead routing, website analytics, AI SEO and contact database → moved down 0.5
Autonomy: Evidence reads like A3: Independently handles analytics audits, campaign analysis and website health checks → moved down 0.5
Accountability: Evidence reads like A3: own survey / KRA answers · …</t>
        </is>
      </c>
      <c r="U257" s="32" t="inlineStr">
        <is>
          <t>KRAs not received · manager to supply</t>
        </is>
      </c>
      <c r="V257" s="31" t="inlineStr">
        <is>
          <t>Latest rating: Not rated · manager · 9-box: Not placed · manager · Readiness: No rating data</t>
        </is>
      </c>
      <c r="W257" s="31" t="inlineStr">
        <is>
          <t>C M · Au M · Ac M · L L · BI M · Exp H · 4.7 yrs vs 2–4 yrs · Edu H · Masters of Science</t>
        </is>
      </c>
      <c r="X257" s="33" t="inlineStr">
        <is>
          <t>Open ▸</t>
        </is>
      </c>
      <c r="Y257" s="34" t="str">
        <f>IFERROR(INDEX(DL_C,MATCH($CA257,DL_KEY,0)),"M")</f>
        <v>H</v>
      </c>
      <c r="Z257" s="35" t="str">
        <f>IFERROR(INDEX(DL_Au,MATCH($CA257,DL_KEY,0)),"M")</f>
        <v>M</v>
      </c>
      <c r="AA257" s="35" t="str">
        <f>IFERROR(INDEX(DL_Ac,MATCH($CA257,DL_KEY,0)),"M")</f>
        <v>L</v>
      </c>
      <c r="AB257" s="35" t="str">
        <f>IFERROR(INDEX(DL_L,MATCH($CA257,DL_KEY,0)),"M")</f>
        <v>L</v>
      </c>
      <c r="AC257" s="35" t="str">
        <f>IFERROR(INDEX(DL_BI,MATCH($CA257,DL_KEY,0)),"M")</f>
        <v>M</v>
      </c>
      <c r="AD257" s="35" t="str">
        <f>IFERROR(INDEX(DL_Exp,MATCH($CA257,DL_KEY,0)),"M")</f>
        <v>L</v>
      </c>
      <c r="AE257" s="35" t="str">
        <f>IFERROR(INDEX(DL_Edu,MATCH($CA257,DL_KEY,0)),"M")</f>
        <v>L</v>
      </c>
      <c r="AF257" s="34" t="inlineStr">
        <is>
          <t>M</t>
        </is>
      </c>
      <c r="AG257" s="35" t="inlineStr">
        <is>
          <t>M</t>
        </is>
      </c>
      <c r="AH257" s="35" t="inlineStr">
        <is>
          <t>M</t>
        </is>
      </c>
      <c r="AI257" s="35" t="inlineStr">
        <is>
          <t>M</t>
        </is>
      </c>
      <c r="AJ257" s="35" t="inlineStr">
        <is>
          <t>M</t>
        </is>
      </c>
      <c r="AK257" s="35" t="inlineStr">
        <is>
          <t>M</t>
        </is>
      </c>
      <c r="AL257" s="35" t="inlineStr">
        <is>
          <t>M</t>
        </is>
      </c>
      <c r="AM257" s="36" t="n">
        <v>0.583</v>
      </c>
      <c r="AN257" s="37" t="n">
        <v>0.16</v>
      </c>
      <c r="AO257" s="37" t="n">
        <v>0.09</v>
      </c>
      <c r="AP257" s="37" t="n">
        <v>0</v>
      </c>
      <c r="AQ257" s="37" t="n">
        <v>0.063</v>
      </c>
      <c r="AR257" s="37" t="n">
        <v>0.06</v>
      </c>
      <c r="AS257" s="37" t="n">
        <v>0.04</v>
      </c>
      <c r="AT257" s="38" t="inlineStr">
        <is>
          <t>2–5</t>
        </is>
      </c>
      <c r="AU257" s="38" t="inlineStr">
        <is>
          <t>Graduate; relevant certification preferred</t>
        </is>
      </c>
      <c r="AV257" s="38" t="inlineStr">
        <is>
          <t>None · guides 1–3 juniors informally</t>
        </is>
      </c>
      <c r="AW257" s="38" t="inlineStr">
        <is>
          <t>P2 · SFIA 3 Apply</t>
        </is>
      </c>
      <c r="AX25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57" s="39" t="inlineStr">
        <is>
          <t>A3</t>
        </is>
      </c>
      <c r="AZ257" s="40" t="inlineStr">
        <is>
          <t>Band A · Practitioner · Senior Associate</t>
        </is>
      </c>
      <c r="BA257" s="40" t="inlineStr">
        <is>
          <t>Model A3 from the six ratings, the market-derived weights and rules R1–R13 · then No change · already below the manager</t>
        </is>
      </c>
      <c r="BB257" s="41" t="inlineStr">
        <is>
          <t>B1</t>
        </is>
      </c>
      <c r="BC257" s="40" t="inlineStr">
        <is>
          <t>The six ratings on the market-average weights of Band A · all tracks score 3.55 → B1 · Hay, Mercer IPE and public plans · experience 4.7 yrs vs the B1 market range 4–8</t>
        </is>
      </c>
      <c r="BD257" s="42">
        <f>IF(SUM(BM257,BN257,BO257,BP257,BQ257,BR257,BS257)=0,0,(BM257*BT257+BN257*BU257+BO257*BV257+BP257*BW257+BQ257*BX257+BR257*BY257+BS257*BZ257)/SUM(BM257,BN257,BO257,BP257,BQ257,BR257,BS257))</f>
        <v>0</v>
      </c>
      <c r="BE257" s="41" t="str">
        <f>IF(LEFT(AY257,1)="X",AY257,IF(OR(AY257="B+",AY257="C+"),INDEX(LAD_PC,MAX(1,MIN(14,MATCH(AY257,LAD_PC,0)+IF(BD257&gt;=0.5,1,IF(BD257&lt;=-0.5,-1,0))))),INDEX(LAD_STD,MAX(1,MIN(12,MATCH(AY257,LAD_STD,0)+IF(BD257&gt;=0.5,1,IF(BD257&lt;=-0.5,-1,0)))))))</f>
        <v>A3</v>
      </c>
      <c r="BF257" s="43" t="n"/>
      <c r="BG257" s="41" t="str">
        <f>IF(BF257&lt;&gt;"",BF257,BE257)</f>
        <v>A3</v>
      </c>
      <c r="BH257" s="40" t="str">
        <f>IFERROR(CHOOSE(INDEX(B_RANK,MATCH(BG257,B_LVL,0)),"Band A","Band B","B+ · Player-Coach","Band C","C+ · Player-Coach","Band D","Band E"),"Band X · Consultant")</f>
        <v>Band A</v>
      </c>
      <c r="BI257" s="40" t="str">
        <f>IF(BG257=AY257,"• Same",IF(INDEX(B_VAL,MATCH(BG257,B_LVL,0))&gt;INDEX(B_VAL,MATCH(AY257,B_LVL,0)),"▲ Up","▼ Down"))</f>
        <v>• Same</v>
      </c>
      <c r="BJ257" s="40" t="str">
        <f>IF(OR($M257="",$M257="—",$M257="Not in this file"),"",IFERROR(INDEX($BG$7:$BG$592,MATCH($M257,$D$7:$D$592,0)),""))</f>
        <v>B1</v>
      </c>
      <c r="BK257" s="40" t="str">
        <f>IFERROR(IF(BJ257="","—",IF(OR(LEFT(BG257,1)="X",LEFT(BJ257,1)="X"),"—",IF(AND(LEFT(BG257,1)="E",LEFT(BJ257,1)="E"),"Exception · Band E",IF(AND(INDEX(B_VAL,MATCH(BJ257,B_LVL,0))&gt;=7,INDEX(B_RANK,MATCH(BG257,B_LVL,0))&gt;=INDEX(B_RANK,MATCH(BJ257,B_LVL,0))),"⚠ Same band as a head manager",IF(INDEX(B_VAL,MATCH(BG257,B_LVL,0))&gt;=INDEX(B_VAL,MATCH(BJ257,B_LVL,0)),"⚠ At or above the manager's level","OK"))))),"—")</f>
        <v>OK</v>
      </c>
      <c r="BL257" s="43" t="n"/>
      <c r="BM257" s="44">
        <f>IFERROR(INDEX(LMH_PTS,MATCH(Y257,LMH_KEY,0)),0)</f>
        <v>9</v>
      </c>
      <c r="BN257" s="38">
        <f>IFERROR(INDEX(LMH_PTS,MATCH(Z257,LMH_KEY,0)),0)</f>
        <v>3</v>
      </c>
      <c r="BO257" s="38">
        <f>IFERROR(INDEX(LMH_PTS,MATCH(AA257,LMH_KEY,0)),0)</f>
        <v>1</v>
      </c>
      <c r="BP257" s="38">
        <f>IFERROR(INDEX(LMH_PTS,MATCH(AB257,LMH_KEY,0)),0)</f>
        <v>1</v>
      </c>
      <c r="BQ257" s="38">
        <f>IFERROR(INDEX(LMH_PTS,MATCH(AC257,LMH_KEY,0)),0)</f>
        <v>3</v>
      </c>
      <c r="BR257" s="38">
        <f>IFERROR(INDEX(LMH_PTS,MATCH(AD257,LMH_KEY,0)),0)</f>
        <v>1</v>
      </c>
      <c r="BS257" s="38">
        <f>IFERROR(INDEX(LMH_PTS,MATCH(AE257,LMH_KEY,0)),0)</f>
        <v>1</v>
      </c>
      <c r="BT257" s="38">
        <f>IFERROR(INDEX(LMH_STEP,MATCH(AF257,LMH_KEY,0)),0)</f>
        <v>0</v>
      </c>
      <c r="BU257" s="38">
        <f>IFERROR(INDEX(LMH_STEP,MATCH(AG257,LMH_KEY,0)),0)</f>
        <v>0</v>
      </c>
      <c r="BV257" s="38">
        <f>IFERROR(INDEX(LMH_STEP,MATCH(AH257,LMH_KEY,0)),0)</f>
        <v>0</v>
      </c>
      <c r="BW257" s="38">
        <f>IFERROR(INDEX(LMH_STEP,MATCH(AI257,LMH_KEY,0)),0)</f>
        <v>0</v>
      </c>
      <c r="BX257" s="38">
        <f>IFERROR(INDEX(LMH_STEP,MATCH(AJ257,LMH_KEY,0)),0)</f>
        <v>0</v>
      </c>
      <c r="BY257" s="38">
        <f>IFERROR(INDEX(LMH_STEP,MATCH(AK257,LMH_KEY,0)),0)</f>
        <v>0</v>
      </c>
      <c r="BZ257" s="38">
        <f>IFERROR(INDEX(LMH_STEP,MATCH(AL257,LMH_KEY,0)),0)</f>
        <v>0</v>
      </c>
      <c r="CA257" s="38" t="inlineStr">
        <is>
          <t>iFile|Marketing|Senior Marketing Operations Associate|A3|A</t>
        </is>
      </c>
    </row>
    <row r="258" ht="110" customHeight="1">
      <c r="A258" s="28" t="inlineStr">
        <is>
          <t>iFile</t>
        </is>
      </c>
      <c r="B258" s="29" t="inlineStr">
        <is>
          <t>Sales</t>
        </is>
      </c>
      <c r="C258" s="29" t="n">
        <v>3</v>
      </c>
      <c r="D258" s="29" t="inlineStr">
        <is>
          <t>IRISC312</t>
        </is>
      </c>
      <c r="E258" s="29" t="inlineStr">
        <is>
          <t>Rajesh Nair</t>
        </is>
      </c>
      <c r="F258" s="29" t="inlineStr">
        <is>
          <t>Consultant</t>
        </is>
      </c>
      <c r="G258" s="29" t="inlineStr">
        <is>
          <t>Consultant – Enterprise Sales &amp; Account Management</t>
        </is>
      </c>
      <c r="H258" s="29" t="inlineStr">
        <is>
          <t>Sales &amp; Business Development</t>
        </is>
      </c>
      <c r="I258" s="29" t="inlineStr">
        <is>
          <t>Enterprise Sales &amp; Account Management</t>
        </is>
      </c>
      <c r="J258" s="29" t="inlineStr">
        <is>
          <t>Consultant</t>
        </is>
      </c>
      <c r="K258" s="29" t="inlineStr">
        <is>
          <t>RC-153</t>
        </is>
      </c>
      <c r="L258" s="29" t="inlineStr">
        <is>
          <t>Arup Ganguly</t>
        </is>
      </c>
      <c r="M258" s="29" t="inlineStr">
        <is>
          <t>IRIS0242</t>
        </is>
      </c>
      <c r="N258" s="29" t="n">
        <v>15.3</v>
      </c>
      <c r="O258" s="29" t="n">
        <v>1.3</v>
      </c>
      <c r="P258" s="29" t="inlineStr">
        <is>
          <t>MBA</t>
        </is>
      </c>
      <c r="Q258" s="29" t="inlineStr">
        <is>
          <t>L3 – Professional / Associate</t>
        </is>
      </c>
      <c r="R258" s="29" t="inlineStr">
        <is>
          <t>X2</t>
        </is>
      </c>
      <c r="S258" s="30" t="inlineStr">
        <is>
          <t>20 of 20</t>
        </is>
      </c>
      <c r="T258" s="32" t="inlineStr">
        <is>
          <t>Full survey answers not in the files received · How We Grow export needed · HR</t>
        </is>
      </c>
      <c r="U258" s="31" t="inlineStr">
        <is>
          <t>Received · manager annual, quarterly, self · 1. Achieve assigned annual sales / revenue quota · target: 100% of number
2. Build and maintain qualified pipeline of &gt;=3x quota coverage
3. Maintain healthy win rate · &gt;=20% on qualified opportunities
4. Keep CRM hygiene at 100% · all opportunities &amp; activities logged &amp; current
5. Drive new logo acquisition: meet …</t>
        </is>
      </c>
      <c r="V258" s="31" t="inlineStr">
        <is>
          <t>Latest rating: 3 · Potential: Medium · 9-box: Core Contributor · Readiness: n/a · consultant</t>
        </is>
      </c>
      <c r="W258" s="31" t="inlineStr">
        <is>
          <t>Consultant · outside the ladder</t>
        </is>
      </c>
      <c r="X258" s="33" t="inlineStr">
        <is>
          <t>Open ▸</t>
        </is>
      </c>
      <c r="Y258" s="34" t="n"/>
      <c r="Z258" s="35" t="n"/>
      <c r="AA258" s="35" t="n"/>
      <c r="AB258" s="35" t="n"/>
      <c r="AC258" s="35" t="n"/>
      <c r="AD258" s="35" t="n"/>
      <c r="AE258" s="35" t="n"/>
      <c r="AF258" s="34" t="n"/>
      <c r="AG258" s="35" t="n"/>
      <c r="AH258" s="35" t="n"/>
      <c r="AI258" s="35" t="n"/>
      <c r="AJ258" s="35" t="n"/>
      <c r="AK258" s="35" t="n"/>
      <c r="AL258" s="35" t="n"/>
      <c r="AM258" s="36" t="n"/>
      <c r="AN258" s="37" t="n"/>
      <c r="AO258" s="37" t="n"/>
      <c r="AP258" s="37" t="n"/>
      <c r="AQ258" s="37" t="n"/>
      <c r="AR258" s="37" t="n"/>
      <c r="AS258" s="37" t="n"/>
      <c r="AT258" s="38" t="n"/>
      <c r="AU258" s="38" t="n"/>
      <c r="AV258" s="38" t="n"/>
      <c r="AW258" s="38" t="inlineStr">
        <is>
          <t>—</t>
        </is>
      </c>
      <c r="AX25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58" s="39" t="inlineStr">
        <is>
          <t>X2</t>
        </is>
      </c>
      <c r="AZ258" s="40" t="inlineStr">
        <is>
          <t xml:space="preserve">Band X · Consultant · </t>
        </is>
      </c>
      <c r="BA258" s="40" t="inlineStr">
        <is>
          <t>Model X2 from the six ratings, the market-derived weights and rules R1–R13 · then Consultant · outside the ladder</t>
        </is>
      </c>
      <c r="BB258" s="41" t="n"/>
      <c r="BC258" s="40" t="inlineStr">
        <is>
          <t>Consultant · outside the ladder</t>
        </is>
      </c>
      <c r="BD258" s="42">
        <f>IF(SUM(BM258,BN258,BO258,BP258,BQ258,BR258,BS258)=0,0,(BM258*BT258+BN258*BU258+BO258*BV258+BP258*BW258+BQ258*BX258+BR258*BY258+BS258*BZ258)/SUM(BM258,BN258,BO258,BP258,BQ258,BR258,BS258))</f>
        <v>0</v>
      </c>
      <c r="BE258" s="41" t="str">
        <f>IF(LEFT(AY258,1)="X",AY258,IF(OR(AY258="B+",AY258="C+"),INDEX(LAD_PC,MAX(1,MIN(14,MATCH(AY258,LAD_PC,0)+IF(BD258&gt;=0.5,1,IF(BD258&lt;=-0.5,-1,0))))),INDEX(LAD_STD,MAX(1,MIN(12,MATCH(AY258,LAD_STD,0)+IF(BD258&gt;=0.5,1,IF(BD258&lt;=-0.5,-1,0)))))))</f>
        <v>X2</v>
      </c>
      <c r="BF258" s="43" t="n"/>
      <c r="BG258" s="41" t="str">
        <f>IF(BF258&lt;&gt;"",BF258,BE258)</f>
        <v>X2</v>
      </c>
      <c r="BH258" s="40" t="str">
        <f>IFERROR(CHOOSE(INDEX(B_RANK,MATCH(BG258,B_LVL,0)),"Band A","Band B","B+ · Player-Coach","Band C","C+ · Player-Coach","Band D","Band E"),"Band X · Consultant")</f>
        <v>Band X · Consultant</v>
      </c>
      <c r="BI258" s="40" t="str">
        <f>IF(BG258=AY258,"• Same",IF(INDEX(B_VAL,MATCH(BG258,B_LVL,0))&gt;INDEX(B_VAL,MATCH(AY258,B_LVL,0)),"▲ Up","▼ Down"))</f>
        <v>• Same</v>
      </c>
      <c r="BJ258" s="40" t="str">
        <f>IF(OR($M258="",$M258="—",$M258="Not in this file"),"",IFERROR(INDEX($BG$7:$BG$592,MATCH($M258,$D$7:$D$592,0)),""))</f>
        <v>C2</v>
      </c>
      <c r="BK258" s="40" t="str">
        <f>IFERROR(IF(BJ258="","—",IF(OR(LEFT(BG258,1)="X",LEFT(BJ258,1)="X"),"—",IF(AND(LEFT(BG258,1)="E",LEFT(BJ258,1)="E"),"Exception · Band E",IF(AND(INDEX(B_VAL,MATCH(BJ258,B_LVL,0))&gt;=7,INDEX(B_RANK,MATCH(BG258,B_LVL,0))&gt;=INDEX(B_RANK,MATCH(BJ258,B_LVL,0))),"⚠ Same band as a head manager",IF(INDEX(B_VAL,MATCH(BG258,B_LVL,0))&gt;=INDEX(B_VAL,MATCH(BJ258,B_LVL,0)),"⚠ At or above the manager's level","OK"))))),"—")</f>
        <v>—</v>
      </c>
      <c r="BL258" s="43" t="n"/>
      <c r="BM258" s="44">
        <f>IFERROR(INDEX(LMH_PTS,MATCH(Y258,LMH_KEY,0)),0)</f>
        <v>0</v>
      </c>
      <c r="BN258" s="38">
        <f>IFERROR(INDEX(LMH_PTS,MATCH(Z258,LMH_KEY,0)),0)</f>
        <v>0</v>
      </c>
      <c r="BO258" s="38">
        <f>IFERROR(INDEX(LMH_PTS,MATCH(AA258,LMH_KEY,0)),0)</f>
        <v>0</v>
      </c>
      <c r="BP258" s="38">
        <f>IFERROR(INDEX(LMH_PTS,MATCH(AB258,LMH_KEY,0)),0)</f>
        <v>0</v>
      </c>
      <c r="BQ258" s="38">
        <f>IFERROR(INDEX(LMH_PTS,MATCH(AC258,LMH_KEY,0)),0)</f>
        <v>0</v>
      </c>
      <c r="BR258" s="38">
        <f>IFERROR(INDEX(LMH_PTS,MATCH(AD258,LMH_KEY,0)),0)</f>
        <v>0</v>
      </c>
      <c r="BS258" s="38">
        <f>IFERROR(INDEX(LMH_PTS,MATCH(AE258,LMH_KEY,0)),0)</f>
        <v>0</v>
      </c>
      <c r="BT258" s="38">
        <f>IFERROR(INDEX(LMH_STEP,MATCH(AF258,LMH_KEY,0)),0)</f>
        <v>0</v>
      </c>
      <c r="BU258" s="38">
        <f>IFERROR(INDEX(LMH_STEP,MATCH(AG258,LMH_KEY,0)),0)</f>
        <v>0</v>
      </c>
      <c r="BV258" s="38">
        <f>IFERROR(INDEX(LMH_STEP,MATCH(AH258,LMH_KEY,0)),0)</f>
        <v>0</v>
      </c>
      <c r="BW258" s="38">
        <f>IFERROR(INDEX(LMH_STEP,MATCH(AI258,LMH_KEY,0)),0)</f>
        <v>0</v>
      </c>
      <c r="BX258" s="38">
        <f>IFERROR(INDEX(LMH_STEP,MATCH(AJ258,LMH_KEY,0)),0)</f>
        <v>0</v>
      </c>
      <c r="BY258" s="38">
        <f>IFERROR(INDEX(LMH_STEP,MATCH(AK258,LMH_KEY,0)),0)</f>
        <v>0</v>
      </c>
      <c r="BZ258" s="38">
        <f>IFERROR(INDEX(LMH_STEP,MATCH(AL258,LMH_KEY,0)),0)</f>
        <v>0</v>
      </c>
      <c r="CA258" s="38" t="inlineStr">
        <is>
          <t>iFile|Sales|Consultant – Enterprise Sales &amp; Account Management|X2|X</t>
        </is>
      </c>
    </row>
    <row r="259" ht="110" customHeight="1">
      <c r="A259" s="28" t="inlineStr">
        <is>
          <t>iFile</t>
        </is>
      </c>
      <c r="B259" s="29" t="inlineStr">
        <is>
          <t>Technology</t>
        </is>
      </c>
      <c r="C259" s="29" t="n">
        <v>2</v>
      </c>
      <c r="D259" s="29" t="inlineStr">
        <is>
          <t>IRISC223</t>
        </is>
      </c>
      <c r="E259" s="29" t="inlineStr">
        <is>
          <t>Pradip Dey</t>
        </is>
      </c>
      <c r="F259" s="29" t="inlineStr">
        <is>
          <t>Head Delivery</t>
        </is>
      </c>
      <c r="G259" s="29" t="inlineStr">
        <is>
          <t>Head – Delivery</t>
        </is>
      </c>
      <c r="H259" s="29" t="inlineStr">
        <is>
          <t>Executive Leadership</t>
        </is>
      </c>
      <c r="I259" s="29" t="inlineStr">
        <is>
          <t>Business Head</t>
        </is>
      </c>
      <c r="J259" s="29" t="inlineStr">
        <is>
          <t>People Manager</t>
        </is>
      </c>
      <c r="K259" s="29" t="inlineStr">
        <is>
          <t>RC-EL-BH-C2</t>
        </is>
      </c>
      <c r="L259" s="29" t="inlineStr">
        <is>
          <t>Shailesh Gupta</t>
        </is>
      </c>
      <c r="M259" s="29" t="inlineStr">
        <is>
          <t>IRIS0012</t>
        </is>
      </c>
      <c r="N259" s="29" t="n">
        <v>24.6</v>
      </c>
      <c r="O259" s="29" t="n">
        <v>4.6</v>
      </c>
      <c r="P259" s="29" t="inlineStr">
        <is>
          <t>MCA</t>
        </is>
      </c>
      <c r="Q259" s="29" t="inlineStr">
        <is>
          <t>L7 – Head / Sr Director</t>
        </is>
      </c>
      <c r="R259" s="29" t="inlineStr">
        <is>
          <t>C2</t>
        </is>
      </c>
      <c r="S259" s="30" t="inlineStr">
        <is>
          <t>0 of 20</t>
        </is>
      </c>
      <c r="T259" s="31"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t>
        </is>
      </c>
      <c r="U259" s="32" t="inlineStr">
        <is>
          <t>KRAs not received · manager to supply</t>
        </is>
      </c>
      <c r="V259" s="31" t="inlineStr">
        <is>
          <t>Latest rating: Not rated · manager · 9-box: Not placed · manager · Readiness: No rating data</t>
        </is>
      </c>
      <c r="W259" s="31" t="inlineStr">
        <is>
          <t>C M · Au M · Ac M · L M · BI M · Exp H · 24.6 yrs vs 12–17 yrs · Edu M · MCA</t>
        </is>
      </c>
      <c r="X259" s="33" t="inlineStr">
        <is>
          <t>Open ▸</t>
        </is>
      </c>
      <c r="Y259" s="34" t="str">
        <f>IFERROR(INDEX(DL_C,MATCH($CA259,DL_KEY,0)),"M")</f>
        <v>H</v>
      </c>
      <c r="Z259" s="35" t="str">
        <f>IFERROR(INDEX(DL_Au,MATCH($CA259,DL_KEY,0)),"M")</f>
        <v>M</v>
      </c>
      <c r="AA259" s="35" t="str">
        <f>IFERROR(INDEX(DL_Ac,MATCH($CA259,DL_KEY,0)),"M")</f>
        <v>M</v>
      </c>
      <c r="AB259" s="35" t="str">
        <f>IFERROR(INDEX(DL_L,MATCH($CA259,DL_KEY,0)),"M")</f>
        <v>M</v>
      </c>
      <c r="AC259" s="35" t="str">
        <f>IFERROR(INDEX(DL_BI,MATCH($CA259,DL_KEY,0)),"M")</f>
        <v>L</v>
      </c>
      <c r="AD259" s="35" t="str">
        <f>IFERROR(INDEX(DL_Exp,MATCH($CA259,DL_KEY,0)),"M")</f>
        <v>L</v>
      </c>
      <c r="AE259" s="35" t="str">
        <f>IFERROR(INDEX(DL_Edu,MATCH($CA259,DL_KEY,0)),"M")</f>
        <v>L</v>
      </c>
      <c r="AF259" s="34" t="inlineStr">
        <is>
          <t>M</t>
        </is>
      </c>
      <c r="AG259" s="35" t="inlineStr">
        <is>
          <t>M</t>
        </is>
      </c>
      <c r="AH259" s="35" t="inlineStr">
        <is>
          <t>M</t>
        </is>
      </c>
      <c r="AI259" s="35" t="inlineStr">
        <is>
          <t>M</t>
        </is>
      </c>
      <c r="AJ259" s="35" t="inlineStr">
        <is>
          <t>M</t>
        </is>
      </c>
      <c r="AK259" s="35" t="inlineStr">
        <is>
          <t>M</t>
        </is>
      </c>
      <c r="AL259" s="35" t="inlineStr">
        <is>
          <t>M</t>
        </is>
      </c>
      <c r="AM259" s="36" t="n">
        <v>0.433</v>
      </c>
      <c r="AN259" s="37" t="n">
        <v>0.18</v>
      </c>
      <c r="AO259" s="37" t="n">
        <v>0.107</v>
      </c>
      <c r="AP259" s="37" t="n">
        <v>0.15</v>
      </c>
      <c r="AQ259" s="37" t="n">
        <v>0.08</v>
      </c>
      <c r="AR259" s="37" t="n">
        <v>0.04</v>
      </c>
      <c r="AS259" s="37" t="n">
        <v>0.01</v>
      </c>
      <c r="AT259" s="38" t="inlineStr">
        <is>
          <t>12–17 yrs</t>
        </is>
      </c>
      <c r="AU259" s="38" t="inlineStr">
        <is>
          <t>Postgraduate / professional qualification preferred</t>
        </is>
      </c>
      <c r="AV259" s="38" t="inlineStr">
        <is>
          <t>5–8 managers / associate heads</t>
        </is>
      </c>
      <c r="AW259" s="38" t="inlineStr">
        <is>
          <t>P7 / M6 · SFIA 6 Initiate, influence</t>
        </is>
      </c>
      <c r="AX25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59" s="39" t="inlineStr">
        <is>
          <t>C2</t>
        </is>
      </c>
      <c r="AZ259" s="40" t="inlineStr">
        <is>
          <t>Band C · Principal / Head · Head of Function</t>
        </is>
      </c>
      <c r="BA259" s="40" t="inlineStr">
        <is>
          <t>Model C2 from the six ratings, the market-derived weights and rules R1–R13 · then No change · already below the manager</t>
        </is>
      </c>
      <c r="BB259" s="41" t="inlineStr">
        <is>
          <t>C2</t>
        </is>
      </c>
      <c r="BC259" s="40" t="inlineStr">
        <is>
          <t>The six ratings on the market-average weights of Band C · Head / manager score 8.18 → C2 · Hay, Mercer IPE and public plans · experience 24.6 yrs vs the C2 market range 12–17 yrs</t>
        </is>
      </c>
      <c r="BD259" s="42">
        <f>IF(SUM(BM259,BN259,BO259,BP259,BQ259,BR259,BS259)=0,0,(BM259*BT259+BN259*BU259+BO259*BV259+BP259*BW259+BQ259*BX259+BR259*BY259+BS259*BZ259)/SUM(BM259,BN259,BO259,BP259,BQ259,BR259,BS259))</f>
        <v>0</v>
      </c>
      <c r="BE259" s="41" t="str">
        <f>IF(LEFT(AY259,1)="X",AY259,IF(OR(AY259="B+",AY259="C+"),INDEX(LAD_PC,MAX(1,MIN(14,MATCH(AY259,LAD_PC,0)+IF(BD259&gt;=0.5,1,IF(BD259&lt;=-0.5,-1,0))))),INDEX(LAD_STD,MAX(1,MIN(12,MATCH(AY259,LAD_STD,0)+IF(BD259&gt;=0.5,1,IF(BD259&lt;=-0.5,-1,0)))))))</f>
        <v>C2</v>
      </c>
      <c r="BF259" s="43" t="n"/>
      <c r="BG259" s="41" t="str">
        <f>IF(BF259&lt;&gt;"",BF259,BE259)</f>
        <v>C2</v>
      </c>
      <c r="BH259" s="40" t="str">
        <f>IFERROR(CHOOSE(INDEX(B_RANK,MATCH(BG259,B_LVL,0)),"Band A","Band B","B+ · Player-Coach","Band C","C+ · Player-Coach","Band D","Band E"),"Band X · Consultant")</f>
        <v>Band C</v>
      </c>
      <c r="BI259" s="40" t="str">
        <f>IF(BG259=AY259,"• Same",IF(INDEX(B_VAL,MATCH(BG259,B_LVL,0))&gt;INDEX(B_VAL,MATCH(AY259,B_LVL,0)),"▲ Up","▼ Down"))</f>
        <v>• Same</v>
      </c>
      <c r="BJ259" s="40" t="str">
        <f>IF(OR($M259="",$M259="—",$M259="Not in this file"),"",IFERROR(INDEX($BG$7:$BG$592,MATCH($M259,$D$7:$D$592,0)),""))</f>
        <v>D2</v>
      </c>
      <c r="BK259" s="40" t="str">
        <f>IFERROR(IF(BJ259="","—",IF(OR(LEFT(BG259,1)="X",LEFT(BJ259,1)="X"),"—",IF(AND(LEFT(BG259,1)="E",LEFT(BJ259,1)="E"),"Exception · Band E",IF(AND(INDEX(B_VAL,MATCH(BJ259,B_LVL,0))&gt;=7,INDEX(B_RANK,MATCH(BG259,B_LVL,0))&gt;=INDEX(B_RANK,MATCH(BJ259,B_LVL,0))),"⚠ Same band as a head manager",IF(INDEX(B_VAL,MATCH(BG259,B_LVL,0))&gt;=INDEX(B_VAL,MATCH(BJ259,B_LVL,0)),"⚠ At or above the manager's level","OK"))))),"—")</f>
        <v>OK</v>
      </c>
      <c r="BL259" s="43" t="n"/>
      <c r="BM259" s="44">
        <f>IFERROR(INDEX(LMH_PTS,MATCH(Y259,LMH_KEY,0)),0)</f>
        <v>9</v>
      </c>
      <c r="BN259" s="38">
        <f>IFERROR(INDEX(LMH_PTS,MATCH(Z259,LMH_KEY,0)),0)</f>
        <v>3</v>
      </c>
      <c r="BO259" s="38">
        <f>IFERROR(INDEX(LMH_PTS,MATCH(AA259,LMH_KEY,0)),0)</f>
        <v>3</v>
      </c>
      <c r="BP259" s="38">
        <f>IFERROR(INDEX(LMH_PTS,MATCH(AB259,LMH_KEY,0)),0)</f>
        <v>3</v>
      </c>
      <c r="BQ259" s="38">
        <f>IFERROR(INDEX(LMH_PTS,MATCH(AC259,LMH_KEY,0)),0)</f>
        <v>1</v>
      </c>
      <c r="BR259" s="38">
        <f>IFERROR(INDEX(LMH_PTS,MATCH(AD259,LMH_KEY,0)),0)</f>
        <v>1</v>
      </c>
      <c r="BS259" s="38">
        <f>IFERROR(INDEX(LMH_PTS,MATCH(AE259,LMH_KEY,0)),0)</f>
        <v>1</v>
      </c>
      <c r="BT259" s="38">
        <f>IFERROR(INDEX(LMH_STEP,MATCH(AF259,LMH_KEY,0)),0)</f>
        <v>0</v>
      </c>
      <c r="BU259" s="38">
        <f>IFERROR(INDEX(LMH_STEP,MATCH(AG259,LMH_KEY,0)),0)</f>
        <v>0</v>
      </c>
      <c r="BV259" s="38">
        <f>IFERROR(INDEX(LMH_STEP,MATCH(AH259,LMH_KEY,0)),0)</f>
        <v>0</v>
      </c>
      <c r="BW259" s="38">
        <f>IFERROR(INDEX(LMH_STEP,MATCH(AI259,LMH_KEY,0)),0)</f>
        <v>0</v>
      </c>
      <c r="BX259" s="38">
        <f>IFERROR(INDEX(LMH_STEP,MATCH(AJ259,LMH_KEY,0)),0)</f>
        <v>0</v>
      </c>
      <c r="BY259" s="38">
        <f>IFERROR(INDEX(LMH_STEP,MATCH(AK259,LMH_KEY,0)),0)</f>
        <v>0</v>
      </c>
      <c r="BZ259" s="38">
        <f>IFERROR(INDEX(LMH_STEP,MATCH(AL259,LMH_KEY,0)),0)</f>
        <v>0</v>
      </c>
      <c r="CA259" s="38" t="inlineStr">
        <is>
          <t>iFile|Technology|Head – Delivery|C2|C-M</t>
        </is>
      </c>
    </row>
    <row r="260" ht="110" customHeight="1">
      <c r="A260" s="28" t="inlineStr">
        <is>
          <t>iFile</t>
        </is>
      </c>
      <c r="B260" s="29" t="inlineStr">
        <is>
          <t>Sales</t>
        </is>
      </c>
      <c r="C260" s="29" t="n">
        <v>3</v>
      </c>
      <c r="D260" s="29" t="inlineStr">
        <is>
          <t>IRIS2428</t>
        </is>
      </c>
      <c r="E260" s="29" t="inlineStr">
        <is>
          <t>Ajay Singh Chauhan</t>
        </is>
      </c>
      <c r="F260" s="29" t="inlineStr">
        <is>
          <t>Vice President Sales</t>
        </is>
      </c>
      <c r="G260" s="29" t="inlineStr">
        <is>
          <t>Principal – Enterprise Sales</t>
        </is>
      </c>
      <c r="H260" s="29" t="inlineStr">
        <is>
          <t>Sales &amp; Business Development</t>
        </is>
      </c>
      <c r="I260" s="29" t="inlineStr">
        <is>
          <t>Sales Leadership</t>
        </is>
      </c>
      <c r="J260" s="29" t="inlineStr">
        <is>
          <t>IC</t>
        </is>
      </c>
      <c r="K260" s="29" t="inlineStr">
        <is>
          <t>RC-170</t>
        </is>
      </c>
      <c r="L260" s="29" t="inlineStr">
        <is>
          <t>Pradip Dey</t>
        </is>
      </c>
      <c r="M260" s="29" t="inlineStr">
        <is>
          <t>IRISC223</t>
        </is>
      </c>
      <c r="N260" s="29" t="n">
        <v>16.1</v>
      </c>
      <c r="O260" s="29" t="n">
        <v>1.1</v>
      </c>
      <c r="P260" s="29" t="inlineStr">
        <is>
          <t>PGDBA</t>
        </is>
      </c>
      <c r="Q260" s="29" t="inlineStr">
        <is>
          <t>L8 – Vice President</t>
        </is>
      </c>
      <c r="R260" s="29" t="inlineStr">
        <is>
          <t>C1</t>
        </is>
      </c>
      <c r="S260" s="30" t="inlineStr">
        <is>
          <t>0 of 20</t>
        </is>
      </c>
      <c r="T260" s="31" t="inlineStr">
        <is>
          <t>Complexity: Evidence reads like B2: KRA only: prepare and roll out sales/GTM plan, build partner ecosystem, RFP submissions → moved down 0.5
Autonomy: Evidence reads like B1: No survey; KRA implies closing partnership agreements and shaping the GTM plan collaboratively → moved down 0.5
Accountability: Evidence reads like B2: KRA targets: one new client by …</t>
        </is>
      </c>
      <c r="U260" s="31" t="inlineStr">
        <is>
          <t>Received · manager annual, quarterly · 1. Sales/GTM plan
Prepare, collaborate and roll out overall plan for the organization
Spearhead/Contribute to acquire at least 1 new client by Dec 2026
Build strong netwrok/pipeline to get at least 2 new clients by Jun, 2027
2. Partner EcoSystem Development
Build strong partner ecosystem and close 8-12 partnership …</t>
        </is>
      </c>
      <c r="V260" s="31" t="inlineStr">
        <is>
          <t>Latest rating: 4 · Potential: High · 9-box: Trusted Professional · Readiness: Ready now</t>
        </is>
      </c>
      <c r="W260" s="31" t="inlineStr">
        <is>
          <t>C H · Au H · Ac H · L H · BI H · Exp H · 16.1 yrs vs 8–12 yrs · Edu M · PGDBA</t>
        </is>
      </c>
      <c r="X260" s="33" t="inlineStr">
        <is>
          <t>Open ▸</t>
        </is>
      </c>
      <c r="Y260" s="34" t="str">
        <f>IFERROR(INDEX(DL_C,MATCH($CA260,DL_KEY,0)),"M")</f>
        <v>H</v>
      </c>
      <c r="Z260" s="35" t="str">
        <f>IFERROR(INDEX(DL_Au,MATCH($CA260,DL_KEY,0)),"M")</f>
        <v>M</v>
      </c>
      <c r="AA260" s="35" t="str">
        <f>IFERROR(INDEX(DL_Ac,MATCH($CA260,DL_KEY,0)),"M")</f>
        <v>L</v>
      </c>
      <c r="AB260" s="35" t="str">
        <f>IFERROR(INDEX(DL_L,MATCH($CA260,DL_KEY,0)),"M")</f>
        <v>L</v>
      </c>
      <c r="AC260" s="35" t="str">
        <f>IFERROR(INDEX(DL_BI,MATCH($CA260,DL_KEY,0)),"M")</f>
        <v>M</v>
      </c>
      <c r="AD260" s="35" t="str">
        <f>IFERROR(INDEX(DL_Exp,MATCH($CA260,DL_KEY,0)),"M")</f>
        <v>L</v>
      </c>
      <c r="AE260" s="35" t="str">
        <f>IFERROR(INDEX(DL_Edu,MATCH($CA260,DL_KEY,0)),"M")</f>
        <v>L</v>
      </c>
      <c r="AF260" s="34" t="inlineStr">
        <is>
          <t>M</t>
        </is>
      </c>
      <c r="AG260" s="35" t="inlineStr">
        <is>
          <t>M</t>
        </is>
      </c>
      <c r="AH260" s="35" t="inlineStr">
        <is>
          <t>M</t>
        </is>
      </c>
      <c r="AI260" s="35" t="inlineStr">
        <is>
          <t>M</t>
        </is>
      </c>
      <c r="AJ260" s="35" t="inlineStr">
        <is>
          <t>M</t>
        </is>
      </c>
      <c r="AK260" s="35" t="inlineStr">
        <is>
          <t>M</t>
        </is>
      </c>
      <c r="AL260" s="35" t="inlineStr">
        <is>
          <t>M</t>
        </is>
      </c>
      <c r="AM260" s="36" t="n">
        <v>0.513</v>
      </c>
      <c r="AN260" s="37" t="n">
        <v>0.173</v>
      </c>
      <c r="AO260" s="37" t="n">
        <v>0.09699999999999999</v>
      </c>
      <c r="AP260" s="37" t="n">
        <v>0.05</v>
      </c>
      <c r="AQ260" s="37" t="n">
        <v>0.07000000000000001</v>
      </c>
      <c r="AR260" s="37" t="n">
        <v>0.06</v>
      </c>
      <c r="AS260" s="37" t="n">
        <v>0.04</v>
      </c>
      <c r="AT260" s="38" t="inlineStr">
        <is>
          <t>8–13</t>
        </is>
      </c>
      <c r="AU260" s="38" t="inlineStr">
        <is>
          <t>Postgraduate or professional qualification preferred</t>
        </is>
      </c>
      <c r="AV260" s="38" t="inlineStr">
        <is>
          <t>IC: none · People: 5–8 incl. team leads</t>
        </is>
      </c>
      <c r="AW260" s="38" t="inlineStr">
        <is>
          <t>P5 / M4 · SFIA 5 Ensure, advise</t>
        </is>
      </c>
      <c r="AX26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60" s="39" t="inlineStr">
        <is>
          <t>B3</t>
        </is>
      </c>
      <c r="AZ260" s="40" t="inlineStr">
        <is>
          <t>Band B · Specialist / Manager · Lead Specialist</t>
        </is>
      </c>
      <c r="BA260" s="40" t="inlineStr">
        <is>
          <t>Model C1 from the six ratings, the market-derived weights and rules R1–R13 · then Band rule: manager C2 is a head in Band C · Principal / Head; a reportee sits in a lower band · C1 → B3 · move down · pay and title protected for one cycle</t>
        </is>
      </c>
      <c r="BB260" s="41" t="inlineStr">
        <is>
          <t>D1</t>
        </is>
      </c>
      <c r="BC260" s="40" t="inlineStr">
        <is>
          <t>The six ratings on the market-average weights of Band B · Specialist / POD Lead score 9.49 → D1 · Hay, Mercer IPE and public plans · experience 16.1 yrs vs the D1 market range 15–20 yrs</t>
        </is>
      </c>
      <c r="BD260" s="42">
        <f>IF(SUM(BM260,BN260,BO260,BP260,BQ260,BR260,BS260)=0,0,(BM260*BT260+BN260*BU260+BO260*BV260+BP260*BW260+BQ260*BX260+BR260*BY260+BS260*BZ260)/SUM(BM260,BN260,BO260,BP260,BQ260,BR260,BS260))</f>
        <v>0</v>
      </c>
      <c r="BE260" s="41" t="str">
        <f>IF(LEFT(AY260,1)="X",AY260,IF(OR(AY260="B+",AY260="C+"),INDEX(LAD_PC,MAX(1,MIN(14,MATCH(AY260,LAD_PC,0)+IF(BD260&gt;=0.5,1,IF(BD260&lt;=-0.5,-1,0))))),INDEX(LAD_STD,MAX(1,MIN(12,MATCH(AY260,LAD_STD,0)+IF(BD260&gt;=0.5,1,IF(BD260&lt;=-0.5,-1,0)))))))</f>
        <v>B3</v>
      </c>
      <c r="BF260" s="43" t="n"/>
      <c r="BG260" s="41" t="str">
        <f>IF(BF260&lt;&gt;"",BF260,BE260)</f>
        <v>B3</v>
      </c>
      <c r="BH260" s="40" t="str">
        <f>IFERROR(CHOOSE(INDEX(B_RANK,MATCH(BG260,B_LVL,0)),"Band A","Band B","B+ · Player-Coach","Band C","C+ · Player-Coach","Band D","Band E"),"Band X · Consultant")</f>
        <v>Band B</v>
      </c>
      <c r="BI260" s="40" t="str">
        <f>IF(BG260=AY260,"• Same",IF(INDEX(B_VAL,MATCH(BG260,B_LVL,0))&gt;INDEX(B_VAL,MATCH(AY260,B_LVL,0)),"▲ Up","▼ Down"))</f>
        <v>• Same</v>
      </c>
      <c r="BJ260" s="40" t="str">
        <f>IF(OR($M260="",$M260="—",$M260="Not in this file"),"",IFERROR(INDEX($BG$7:$BG$592,MATCH($M260,$D$7:$D$592,0)),""))</f>
        <v>C2</v>
      </c>
      <c r="BK260" s="40" t="str">
        <f>IFERROR(IF(BJ260="","—",IF(OR(LEFT(BG260,1)="X",LEFT(BJ260,1)="X"),"—",IF(AND(LEFT(BG260,1)="E",LEFT(BJ260,1)="E"),"Exception · Band E",IF(AND(INDEX(B_VAL,MATCH(BJ260,B_LVL,0))&gt;=7,INDEX(B_RANK,MATCH(BG260,B_LVL,0))&gt;=INDEX(B_RANK,MATCH(BJ260,B_LVL,0))),"⚠ Same band as a head manager",IF(INDEX(B_VAL,MATCH(BG260,B_LVL,0))&gt;=INDEX(B_VAL,MATCH(BJ260,B_LVL,0)),"⚠ At or above the manager's level","OK"))))),"—")</f>
        <v>OK</v>
      </c>
      <c r="BL260" s="43" t="n"/>
      <c r="BM260" s="44">
        <f>IFERROR(INDEX(LMH_PTS,MATCH(Y260,LMH_KEY,0)),0)</f>
        <v>9</v>
      </c>
      <c r="BN260" s="38">
        <f>IFERROR(INDEX(LMH_PTS,MATCH(Z260,LMH_KEY,0)),0)</f>
        <v>3</v>
      </c>
      <c r="BO260" s="38">
        <f>IFERROR(INDEX(LMH_PTS,MATCH(AA260,LMH_KEY,0)),0)</f>
        <v>1</v>
      </c>
      <c r="BP260" s="38">
        <f>IFERROR(INDEX(LMH_PTS,MATCH(AB260,LMH_KEY,0)),0)</f>
        <v>1</v>
      </c>
      <c r="BQ260" s="38">
        <f>IFERROR(INDEX(LMH_PTS,MATCH(AC260,LMH_KEY,0)),0)</f>
        <v>3</v>
      </c>
      <c r="BR260" s="38">
        <f>IFERROR(INDEX(LMH_PTS,MATCH(AD260,LMH_KEY,0)),0)</f>
        <v>1</v>
      </c>
      <c r="BS260" s="38">
        <f>IFERROR(INDEX(LMH_PTS,MATCH(AE260,LMH_KEY,0)),0)</f>
        <v>1</v>
      </c>
      <c r="BT260" s="38">
        <f>IFERROR(INDEX(LMH_STEP,MATCH(AF260,LMH_KEY,0)),0)</f>
        <v>0</v>
      </c>
      <c r="BU260" s="38">
        <f>IFERROR(INDEX(LMH_STEP,MATCH(AG260,LMH_KEY,0)),0)</f>
        <v>0</v>
      </c>
      <c r="BV260" s="38">
        <f>IFERROR(INDEX(LMH_STEP,MATCH(AH260,LMH_KEY,0)),0)</f>
        <v>0</v>
      </c>
      <c r="BW260" s="38">
        <f>IFERROR(INDEX(LMH_STEP,MATCH(AI260,LMH_KEY,0)),0)</f>
        <v>0</v>
      </c>
      <c r="BX260" s="38">
        <f>IFERROR(INDEX(LMH_STEP,MATCH(AJ260,LMH_KEY,0)),0)</f>
        <v>0</v>
      </c>
      <c r="BY260" s="38">
        <f>IFERROR(INDEX(LMH_STEP,MATCH(AK260,LMH_KEY,0)),0)</f>
        <v>0</v>
      </c>
      <c r="BZ260" s="38">
        <f>IFERROR(INDEX(LMH_STEP,MATCH(AL260,LMH_KEY,0)),0)</f>
        <v>0</v>
      </c>
      <c r="CA260" s="38" t="inlineStr">
        <is>
          <t>iFile|Sales|Principal – Enterprise Sales|B3|B-IC</t>
        </is>
      </c>
    </row>
    <row r="261" ht="110" customHeight="1">
      <c r="A261" s="28" t="inlineStr">
        <is>
          <t>iFile</t>
        </is>
      </c>
      <c r="B261" s="29" t="inlineStr">
        <is>
          <t>Technology</t>
        </is>
      </c>
      <c r="C261" s="29" t="n">
        <v>3</v>
      </c>
      <c r="D261" s="29" t="inlineStr">
        <is>
          <t>IRIS1690</t>
        </is>
      </c>
      <c r="E261" s="29" t="inlineStr">
        <is>
          <t>Sharanagouda Patil</t>
        </is>
      </c>
      <c r="F261" s="29" t="inlineStr">
        <is>
          <t>Technical Architect</t>
        </is>
      </c>
      <c r="G261" s="29" t="inlineStr">
        <is>
          <t>Technical Architect</t>
        </is>
      </c>
      <c r="H261" s="29" t="inlineStr">
        <is>
          <t>Engineering &amp; Architecture</t>
        </is>
      </c>
      <c r="I261" s="29" t="inlineStr">
        <is>
          <t>Solution &amp; Technical Architecture</t>
        </is>
      </c>
      <c r="J261" s="29" t="inlineStr">
        <is>
          <t>IC</t>
        </is>
      </c>
      <c r="K261" s="29" t="inlineStr">
        <is>
          <t>RC-057</t>
        </is>
      </c>
      <c r="L261" s="29" t="inlineStr">
        <is>
          <t>Pradip Dey</t>
        </is>
      </c>
      <c r="M261" s="29" t="inlineStr">
        <is>
          <t>IRISC223</t>
        </is>
      </c>
      <c r="N261" s="29" t="n">
        <v>19</v>
      </c>
      <c r="O261" s="29" t="n">
        <v>8.800000000000001</v>
      </c>
      <c r="P261" s="29" t="inlineStr">
        <is>
          <t>MCA</t>
        </is>
      </c>
      <c r="Q261" s="29" t="inlineStr">
        <is>
          <t>L3 – Professional / Associate</t>
        </is>
      </c>
      <c r="R261" s="29" t="inlineStr">
        <is>
          <t>C1</t>
        </is>
      </c>
      <c r="S261" s="30" t="inlineStr">
        <is>
          <t>20 of 20</t>
        </is>
      </c>
      <c r="T261" s="31" t="inlineStr">
        <is>
          <t>Complexity: Evidence reads like B1: Application development needing XBRL knowledge, client-specific requirements, legacy modernisation; no design detail given → moved down 0.5
Autonomy: Evidence reads like B1: States only 'Technical' decisions; manages a 9-person team, so calls apply to them → moved down 0.5
Accountability: Evidence reads like B1: …</t>
        </is>
      </c>
      <c r="U261" s="31" t="inlineStr">
        <is>
          <t>Received · manager annual, quarterly · 1. SBC project completion
Provide technical leadership and ensure SBC project work is getting completed without major escalations
Train team for tech upgrade, compliance check rule engine development using Python without calling LLM APIs, API based data submission etc. 
2. Webform product 
Bring in necessary …</t>
        </is>
      </c>
      <c r="V261" s="31" t="inlineStr">
        <is>
          <t>Latest rating: 4 · Potential: High · 9-box: High Impact / Growth Talent · Readiness: Ready now</t>
        </is>
      </c>
      <c r="W261" s="31" t="inlineStr">
        <is>
          <t>C M · Au M · Ac M · L M · BI M · Exp H · 19 yrs vs 8–12 yrs · Edu M · MCA</t>
        </is>
      </c>
      <c r="X261" s="33" t="inlineStr">
        <is>
          <t>Open ▸</t>
        </is>
      </c>
      <c r="Y261" s="34" t="str">
        <f>IFERROR(INDEX(DL_C,MATCH($CA261,DL_KEY,0)),"M")</f>
        <v>H</v>
      </c>
      <c r="Z261" s="35" t="str">
        <f>IFERROR(INDEX(DL_Au,MATCH($CA261,DL_KEY,0)),"M")</f>
        <v>M</v>
      </c>
      <c r="AA261" s="35" t="str">
        <f>IFERROR(INDEX(DL_Ac,MATCH($CA261,DL_KEY,0)),"M")</f>
        <v>L</v>
      </c>
      <c r="AB261" s="35" t="str">
        <f>IFERROR(INDEX(DL_L,MATCH($CA261,DL_KEY,0)),"M")</f>
        <v>L</v>
      </c>
      <c r="AC261" s="35" t="str">
        <f>IFERROR(INDEX(DL_BI,MATCH($CA261,DL_KEY,0)),"M")</f>
        <v>L</v>
      </c>
      <c r="AD261" s="35" t="str">
        <f>IFERROR(INDEX(DL_Exp,MATCH($CA261,DL_KEY,0)),"M")</f>
        <v>L</v>
      </c>
      <c r="AE261" s="35" t="str">
        <f>IFERROR(INDEX(DL_Edu,MATCH($CA261,DL_KEY,0)),"M")</f>
        <v>L</v>
      </c>
      <c r="AF261" s="34" t="inlineStr">
        <is>
          <t>M</t>
        </is>
      </c>
      <c r="AG261" s="35" t="inlineStr">
        <is>
          <t>M</t>
        </is>
      </c>
      <c r="AH261" s="35" t="inlineStr">
        <is>
          <t>M</t>
        </is>
      </c>
      <c r="AI261" s="35" t="inlineStr">
        <is>
          <t>M</t>
        </is>
      </c>
      <c r="AJ261" s="35" t="inlineStr">
        <is>
          <t>M</t>
        </is>
      </c>
      <c r="AK261" s="35" t="inlineStr">
        <is>
          <t>M</t>
        </is>
      </c>
      <c r="AL261" s="35" t="inlineStr">
        <is>
          <t>M</t>
        </is>
      </c>
      <c r="AM261" s="36" t="n">
        <v>0.513</v>
      </c>
      <c r="AN261" s="37" t="n">
        <v>0.173</v>
      </c>
      <c r="AO261" s="37" t="n">
        <v>0.09699999999999999</v>
      </c>
      <c r="AP261" s="37" t="n">
        <v>0.05</v>
      </c>
      <c r="AQ261" s="37" t="n">
        <v>0.07000000000000001</v>
      </c>
      <c r="AR261" s="37" t="n">
        <v>0.06</v>
      </c>
      <c r="AS261" s="37" t="n">
        <v>0.04</v>
      </c>
      <c r="AT261" s="38" t="inlineStr">
        <is>
          <t>8–13</t>
        </is>
      </c>
      <c r="AU261" s="38" t="inlineStr">
        <is>
          <t>Postgraduate or professional qualification preferred</t>
        </is>
      </c>
      <c r="AV261" s="38" t="inlineStr">
        <is>
          <t>IC: none · People: 5–8 incl. team leads</t>
        </is>
      </c>
      <c r="AW261" s="38" t="inlineStr">
        <is>
          <t>P5 / M4 · SFIA 5 Ensure, advise</t>
        </is>
      </c>
      <c r="AX26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61" s="39" t="inlineStr">
        <is>
          <t>B3</t>
        </is>
      </c>
      <c r="AZ261" s="40" t="inlineStr">
        <is>
          <t>Band B · Specialist / Manager · Lead Specialist</t>
        </is>
      </c>
      <c r="BA261" s="40" t="inlineStr">
        <is>
          <t>Model C1 from the six ratings, the market-derived weights and rules R1–R13 · then Band rule: manager C2 is a head in Band C · Principal / Head; a reportee sits in a lower band · C1 → B3 · move down · pay and title protected for one cycle</t>
        </is>
      </c>
      <c r="BB261" s="41" t="inlineStr">
        <is>
          <t>C1</t>
        </is>
      </c>
      <c r="BC261" s="40" t="inlineStr">
        <is>
          <t>The six ratings on the market-average weights of Band B · Specialist / POD Lead score 6.75 → C1 · Hay, Mercer IPE and public plans · experience 19 yrs vs the C1 market range 12–17</t>
        </is>
      </c>
      <c r="BD261" s="42">
        <f>IF(SUM(BM261,BN261,BO261,BP261,BQ261,BR261,BS261)=0,0,(BM261*BT261+BN261*BU261+BO261*BV261+BP261*BW261+BQ261*BX261+BR261*BY261+BS261*BZ261)/SUM(BM261,BN261,BO261,BP261,BQ261,BR261,BS261))</f>
        <v>0</v>
      </c>
      <c r="BE261" s="41" t="str">
        <f>IF(LEFT(AY261,1)="X",AY261,IF(OR(AY261="B+",AY261="C+"),INDEX(LAD_PC,MAX(1,MIN(14,MATCH(AY261,LAD_PC,0)+IF(BD261&gt;=0.5,1,IF(BD261&lt;=-0.5,-1,0))))),INDEX(LAD_STD,MAX(1,MIN(12,MATCH(AY261,LAD_STD,0)+IF(BD261&gt;=0.5,1,IF(BD261&lt;=-0.5,-1,0)))))))</f>
        <v>B3</v>
      </c>
      <c r="BF261" s="43" t="n"/>
      <c r="BG261" s="41" t="str">
        <f>IF(BF261&lt;&gt;"",BF261,BE261)</f>
        <v>B3</v>
      </c>
      <c r="BH261" s="40" t="str">
        <f>IFERROR(CHOOSE(INDEX(B_RANK,MATCH(BG261,B_LVL,0)),"Band A","Band B","B+ · Player-Coach","Band C","C+ · Player-Coach","Band D","Band E"),"Band X · Consultant")</f>
        <v>Band B</v>
      </c>
      <c r="BI261" s="40" t="str">
        <f>IF(BG261=AY261,"• Same",IF(INDEX(B_VAL,MATCH(BG261,B_LVL,0))&gt;INDEX(B_VAL,MATCH(AY261,B_LVL,0)),"▲ Up","▼ Down"))</f>
        <v>• Same</v>
      </c>
      <c r="BJ261" s="40" t="str">
        <f>IF(OR($M261="",$M261="—",$M261="Not in this file"),"",IFERROR(INDEX($BG$7:$BG$592,MATCH($M261,$D$7:$D$592,0)),""))</f>
        <v>C2</v>
      </c>
      <c r="BK261" s="40" t="str">
        <f>IFERROR(IF(BJ261="","—",IF(OR(LEFT(BG261,1)="X",LEFT(BJ261,1)="X"),"—",IF(AND(LEFT(BG261,1)="E",LEFT(BJ261,1)="E"),"Exception · Band E",IF(AND(INDEX(B_VAL,MATCH(BJ261,B_LVL,0))&gt;=7,INDEX(B_RANK,MATCH(BG261,B_LVL,0))&gt;=INDEX(B_RANK,MATCH(BJ261,B_LVL,0))),"⚠ Same band as a head manager",IF(INDEX(B_VAL,MATCH(BG261,B_LVL,0))&gt;=INDEX(B_VAL,MATCH(BJ261,B_LVL,0)),"⚠ At or above the manager's level","OK"))))),"—")</f>
        <v>OK</v>
      </c>
      <c r="BL261" s="43" t="n"/>
      <c r="BM261" s="44">
        <f>IFERROR(INDEX(LMH_PTS,MATCH(Y261,LMH_KEY,0)),0)</f>
        <v>9</v>
      </c>
      <c r="BN261" s="38">
        <f>IFERROR(INDEX(LMH_PTS,MATCH(Z261,LMH_KEY,0)),0)</f>
        <v>3</v>
      </c>
      <c r="BO261" s="38">
        <f>IFERROR(INDEX(LMH_PTS,MATCH(AA261,LMH_KEY,0)),0)</f>
        <v>1</v>
      </c>
      <c r="BP261" s="38">
        <f>IFERROR(INDEX(LMH_PTS,MATCH(AB261,LMH_KEY,0)),0)</f>
        <v>1</v>
      </c>
      <c r="BQ261" s="38">
        <f>IFERROR(INDEX(LMH_PTS,MATCH(AC261,LMH_KEY,0)),0)</f>
        <v>1</v>
      </c>
      <c r="BR261" s="38">
        <f>IFERROR(INDEX(LMH_PTS,MATCH(AD261,LMH_KEY,0)),0)</f>
        <v>1</v>
      </c>
      <c r="BS261" s="38">
        <f>IFERROR(INDEX(LMH_PTS,MATCH(AE261,LMH_KEY,0)),0)</f>
        <v>1</v>
      </c>
      <c r="BT261" s="38">
        <f>IFERROR(INDEX(LMH_STEP,MATCH(AF261,LMH_KEY,0)),0)</f>
        <v>0</v>
      </c>
      <c r="BU261" s="38">
        <f>IFERROR(INDEX(LMH_STEP,MATCH(AG261,LMH_KEY,0)),0)</f>
        <v>0</v>
      </c>
      <c r="BV261" s="38">
        <f>IFERROR(INDEX(LMH_STEP,MATCH(AH261,LMH_KEY,0)),0)</f>
        <v>0</v>
      </c>
      <c r="BW261" s="38">
        <f>IFERROR(INDEX(LMH_STEP,MATCH(AI261,LMH_KEY,0)),0)</f>
        <v>0</v>
      </c>
      <c r="BX261" s="38">
        <f>IFERROR(INDEX(LMH_STEP,MATCH(AJ261,LMH_KEY,0)),0)</f>
        <v>0</v>
      </c>
      <c r="BY261" s="38">
        <f>IFERROR(INDEX(LMH_STEP,MATCH(AK261,LMH_KEY,0)),0)</f>
        <v>0</v>
      </c>
      <c r="BZ261" s="38">
        <f>IFERROR(INDEX(LMH_STEP,MATCH(AL261,LMH_KEY,0)),0)</f>
        <v>0</v>
      </c>
      <c r="CA261" s="38" t="inlineStr">
        <is>
          <t>iFile|Technology|Technical Architect|B3|B-IC</t>
        </is>
      </c>
    </row>
    <row r="262" ht="110" customHeight="1">
      <c r="A262" s="28" t="inlineStr">
        <is>
          <t>iFile</t>
        </is>
      </c>
      <c r="B262" s="29" t="inlineStr">
        <is>
          <t>Technology</t>
        </is>
      </c>
      <c r="C262" s="29" t="n">
        <v>4</v>
      </c>
      <c r="D262" s="29" t="inlineStr">
        <is>
          <t>IRIS0103</t>
        </is>
      </c>
      <c r="E262" s="29" t="inlineStr">
        <is>
          <t>Alwina Shaikh</t>
        </is>
      </c>
      <c r="F262" s="29" t="inlineStr">
        <is>
          <t>Lead Software Engineer</t>
        </is>
      </c>
      <c r="G262" s="29" t="inlineStr">
        <is>
          <t>Lead Software Engineer – POD Lead</t>
        </is>
      </c>
      <c r="H262" s="29" t="inlineStr">
        <is>
          <t>Engineering &amp; Development</t>
        </is>
      </c>
      <c r="I262" s="29" t="inlineStr">
        <is>
          <t>Full-Stack Development</t>
        </is>
      </c>
      <c r="J262" s="29" t="inlineStr">
        <is>
          <t>POD Lead</t>
        </is>
      </c>
      <c r="K262" s="29" t="inlineStr">
        <is>
          <t>RC-089</t>
        </is>
      </c>
      <c r="L262" s="29" t="inlineStr">
        <is>
          <t>Sharanagouda Patil</t>
        </is>
      </c>
      <c r="M262" s="29" t="inlineStr">
        <is>
          <t>IRIS1690</t>
        </is>
      </c>
      <c r="N262" s="29" t="n">
        <v>19.2</v>
      </c>
      <c r="O262" s="29" t="n">
        <v>19.2</v>
      </c>
      <c r="P262" s="29" t="inlineStr">
        <is>
          <t>PGDM</t>
        </is>
      </c>
      <c r="Q262" s="29" t="inlineStr">
        <is>
          <t>L5 – Lead · IC</t>
        </is>
      </c>
      <c r="R262" s="29" t="inlineStr">
        <is>
          <t>B3</t>
        </is>
      </c>
      <c r="S262" s="30" t="inlineStr">
        <is>
          <t>20 of 20</t>
        </is>
      </c>
      <c r="T262" s="31" t="inlineStr">
        <is>
          <t>Complexity: Evidence reads like A3: Does everything needed for a feature in Node.js / Angular; little detail given → moved down 0.5
Autonomy: Evidence reads like A3: Decides release to QA; shares timelines → moved down 0.5
Accountability: Evidence reads like A3: Accountable for 'deliverables' of features end to end; delays hit timeline → moved down …</t>
        </is>
      </c>
      <c r="U262" s="31" t="inlineStr">
        <is>
          <t>Received · quarterly · KRAs not received · manager to supply</t>
        </is>
      </c>
      <c r="V262" s="31" t="inlineStr">
        <is>
          <t>Latest rating: 4 · Potential: Medium · 9-box: Trusted Professional · Readiness: Ready in 6–12 months</t>
        </is>
      </c>
      <c r="W262" s="31" t="inlineStr">
        <is>
          <t>C M · Au M · Ac M · L M · BI M · Exp H · 19.2 yrs vs 6–9 yrs · Edu H · PGDM</t>
        </is>
      </c>
      <c r="X262" s="33" t="inlineStr">
        <is>
          <t>Open ▸</t>
        </is>
      </c>
      <c r="Y262" s="34" t="str">
        <f>IFERROR(INDEX(DL_C,MATCH($CA262,DL_KEY,0)),"M")</f>
        <v>H</v>
      </c>
      <c r="Z262" s="35" t="str">
        <f>IFERROR(INDEX(DL_Au,MATCH($CA262,DL_KEY,0)),"M")</f>
        <v>M</v>
      </c>
      <c r="AA262" s="35" t="str">
        <f>IFERROR(INDEX(DL_Ac,MATCH($CA262,DL_KEY,0)),"M")</f>
        <v>L</v>
      </c>
      <c r="AB262" s="35" t="str">
        <f>IFERROR(INDEX(DL_L,MATCH($CA262,DL_KEY,0)),"M")</f>
        <v>L</v>
      </c>
      <c r="AC262" s="35" t="str">
        <f>IFERROR(INDEX(DL_BI,MATCH($CA262,DL_KEY,0)),"M")</f>
        <v>L</v>
      </c>
      <c r="AD262" s="35" t="str">
        <f>IFERROR(INDEX(DL_Exp,MATCH($CA262,DL_KEY,0)),"M")</f>
        <v>L</v>
      </c>
      <c r="AE262" s="35" t="str">
        <f>IFERROR(INDEX(DL_Edu,MATCH($CA262,DL_KEY,0)),"M")</f>
        <v>L</v>
      </c>
      <c r="AF262" s="34" t="inlineStr">
        <is>
          <t>M</t>
        </is>
      </c>
      <c r="AG262" s="35" t="inlineStr">
        <is>
          <t>M</t>
        </is>
      </c>
      <c r="AH262" s="35" t="inlineStr">
        <is>
          <t>M</t>
        </is>
      </c>
      <c r="AI262" s="35" t="inlineStr">
        <is>
          <t>M</t>
        </is>
      </c>
      <c r="AJ262" s="35" t="inlineStr">
        <is>
          <t>M</t>
        </is>
      </c>
      <c r="AK262" s="35" t="inlineStr">
        <is>
          <t>M</t>
        </is>
      </c>
      <c r="AL262" s="35" t="inlineStr">
        <is>
          <t>M</t>
        </is>
      </c>
      <c r="AM262" s="36" t="n">
        <v>0.513</v>
      </c>
      <c r="AN262" s="37" t="n">
        <v>0.173</v>
      </c>
      <c r="AO262" s="37" t="n">
        <v>0.09699999999999999</v>
      </c>
      <c r="AP262" s="37" t="n">
        <v>0.05</v>
      </c>
      <c r="AQ262" s="37" t="n">
        <v>0.07000000000000001</v>
      </c>
      <c r="AR262" s="37" t="n">
        <v>0.06</v>
      </c>
      <c r="AS262" s="37" t="n">
        <v>0.04</v>
      </c>
      <c r="AT262" s="38" t="inlineStr">
        <is>
          <t>6–10</t>
        </is>
      </c>
      <c r="AU262" s="38" t="inlineStr">
        <is>
          <t>Graduate or postgraduate; professional qualification preferred</t>
        </is>
      </c>
      <c r="AV262" s="38" t="inlineStr">
        <is>
          <t>IC: none · People: 6–8 knowledge work, 8–12 standardised delivery</t>
        </is>
      </c>
      <c r="AW262" s="38" t="inlineStr">
        <is>
          <t>P4 / M3 · SFIA 4–5</t>
        </is>
      </c>
      <c r="AX26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62" s="39" t="inlineStr">
        <is>
          <t>B2</t>
        </is>
      </c>
      <c r="AZ262" s="40" t="inlineStr">
        <is>
          <t>Band B · Specialist / Manager · Manager</t>
        </is>
      </c>
      <c r="BA262" s="40" t="inlineStr">
        <is>
          <t>Model B3 from the six ratings, the market-derived weights and rules R1–R13 · then Level rule: manager B3; a reportee sits at least one level below · B3 → B2 · move down · pay and title protected for one cycle</t>
        </is>
      </c>
      <c r="BB262" s="41" t="inlineStr">
        <is>
          <t>B3</t>
        </is>
      </c>
      <c r="BC262" s="40" t="inlineStr">
        <is>
          <t>The six ratings on the market-average weights of Band B · Specialist / POD Lead score 5.68 → B3 · Hay, Mercer IPE and public plans · experience 19.2 yrs vs the B3 market range 8–13</t>
        </is>
      </c>
      <c r="BD262" s="42">
        <f>IF(SUM(BM262,BN262,BO262,BP262,BQ262,BR262,BS262)=0,0,(BM262*BT262+BN262*BU262+BO262*BV262+BP262*BW262+BQ262*BX262+BR262*BY262+BS262*BZ262)/SUM(BM262,BN262,BO262,BP262,BQ262,BR262,BS262))</f>
        <v>0</v>
      </c>
      <c r="BE262" s="41" t="str">
        <f>IF(LEFT(AY262,1)="X",AY262,IF(OR(AY262="B+",AY262="C+"),INDEX(LAD_PC,MAX(1,MIN(14,MATCH(AY262,LAD_PC,0)+IF(BD262&gt;=0.5,1,IF(BD262&lt;=-0.5,-1,0))))),INDEX(LAD_STD,MAX(1,MIN(12,MATCH(AY262,LAD_STD,0)+IF(BD262&gt;=0.5,1,IF(BD262&lt;=-0.5,-1,0)))))))</f>
        <v>B2</v>
      </c>
      <c r="BF262" s="43" t="n"/>
      <c r="BG262" s="41" t="str">
        <f>IF(BF262&lt;&gt;"",BF262,BE262)</f>
        <v>B2</v>
      </c>
      <c r="BH262" s="40" t="str">
        <f>IFERROR(CHOOSE(INDEX(B_RANK,MATCH(BG262,B_LVL,0)),"Band A","Band B","B+ · Player-Coach","Band C","C+ · Player-Coach","Band D","Band E"),"Band X · Consultant")</f>
        <v>Band B</v>
      </c>
      <c r="BI262" s="40" t="str">
        <f>IF(BG262=AY262,"• Same",IF(INDEX(B_VAL,MATCH(BG262,B_LVL,0))&gt;INDEX(B_VAL,MATCH(AY262,B_LVL,0)),"▲ Up","▼ Down"))</f>
        <v>• Same</v>
      </c>
      <c r="BJ262" s="40" t="str">
        <f>IF(OR($M262="",$M262="—",$M262="Not in this file"),"",IFERROR(INDEX($BG$7:$BG$592,MATCH($M262,$D$7:$D$592,0)),""))</f>
        <v>B3</v>
      </c>
      <c r="BK262" s="40" t="str">
        <f>IFERROR(IF(BJ262="","—",IF(OR(LEFT(BG262,1)="X",LEFT(BJ262,1)="X"),"—",IF(AND(LEFT(BG262,1)="E",LEFT(BJ262,1)="E"),"Exception · Band E",IF(AND(INDEX(B_VAL,MATCH(BJ262,B_LVL,0))&gt;=7,INDEX(B_RANK,MATCH(BG262,B_LVL,0))&gt;=INDEX(B_RANK,MATCH(BJ262,B_LVL,0))),"⚠ Same band as a head manager",IF(INDEX(B_VAL,MATCH(BG262,B_LVL,0))&gt;=INDEX(B_VAL,MATCH(BJ262,B_LVL,0)),"⚠ At or above the manager's level","OK"))))),"—")</f>
        <v>OK</v>
      </c>
      <c r="BL262" s="43" t="n"/>
      <c r="BM262" s="44">
        <f>IFERROR(INDEX(LMH_PTS,MATCH(Y262,LMH_KEY,0)),0)</f>
        <v>9</v>
      </c>
      <c r="BN262" s="38">
        <f>IFERROR(INDEX(LMH_PTS,MATCH(Z262,LMH_KEY,0)),0)</f>
        <v>3</v>
      </c>
      <c r="BO262" s="38">
        <f>IFERROR(INDEX(LMH_PTS,MATCH(AA262,LMH_KEY,0)),0)</f>
        <v>1</v>
      </c>
      <c r="BP262" s="38">
        <f>IFERROR(INDEX(LMH_PTS,MATCH(AB262,LMH_KEY,0)),0)</f>
        <v>1</v>
      </c>
      <c r="BQ262" s="38">
        <f>IFERROR(INDEX(LMH_PTS,MATCH(AC262,LMH_KEY,0)),0)</f>
        <v>1</v>
      </c>
      <c r="BR262" s="38">
        <f>IFERROR(INDEX(LMH_PTS,MATCH(AD262,LMH_KEY,0)),0)</f>
        <v>1</v>
      </c>
      <c r="BS262" s="38">
        <f>IFERROR(INDEX(LMH_PTS,MATCH(AE262,LMH_KEY,0)),0)</f>
        <v>1</v>
      </c>
      <c r="BT262" s="38">
        <f>IFERROR(INDEX(LMH_STEP,MATCH(AF262,LMH_KEY,0)),0)</f>
        <v>0</v>
      </c>
      <c r="BU262" s="38">
        <f>IFERROR(INDEX(LMH_STEP,MATCH(AG262,LMH_KEY,0)),0)</f>
        <v>0</v>
      </c>
      <c r="BV262" s="38">
        <f>IFERROR(INDEX(LMH_STEP,MATCH(AH262,LMH_KEY,0)),0)</f>
        <v>0</v>
      </c>
      <c r="BW262" s="38">
        <f>IFERROR(INDEX(LMH_STEP,MATCH(AI262,LMH_KEY,0)),0)</f>
        <v>0</v>
      </c>
      <c r="BX262" s="38">
        <f>IFERROR(INDEX(LMH_STEP,MATCH(AJ262,LMH_KEY,0)),0)</f>
        <v>0</v>
      </c>
      <c r="BY262" s="38">
        <f>IFERROR(INDEX(LMH_STEP,MATCH(AK262,LMH_KEY,0)),0)</f>
        <v>0</v>
      </c>
      <c r="BZ262" s="38">
        <f>IFERROR(INDEX(LMH_STEP,MATCH(AL262,LMH_KEY,0)),0)</f>
        <v>0</v>
      </c>
      <c r="CA262" s="38" t="inlineStr">
        <is>
          <t>iFile|Technology|Lead Software Engineer – POD Lead|B2|B-IC</t>
        </is>
      </c>
    </row>
    <row r="263" ht="110" customHeight="1">
      <c r="A263" s="28" t="inlineStr">
        <is>
          <t>iFile</t>
        </is>
      </c>
      <c r="B263" s="29" t="inlineStr">
        <is>
          <t>Technology</t>
        </is>
      </c>
      <c r="C263" s="29" t="n">
        <v>5</v>
      </c>
      <c r="D263" s="29" t="inlineStr">
        <is>
          <t>IRIS2537</t>
        </is>
      </c>
      <c r="E263" s="29" t="inlineStr">
        <is>
          <t>Shritesh Aher</t>
        </is>
      </c>
      <c r="F263" s="29" t="inlineStr">
        <is>
          <t>Software Engineer</t>
        </is>
      </c>
      <c r="G263" s="29" t="inlineStr">
        <is>
          <t>Senior UI Developer</t>
        </is>
      </c>
      <c r="H263" s="29" t="inlineStr">
        <is>
          <t>Engineering &amp; Development</t>
        </is>
      </c>
      <c r="I263" s="29" t="inlineStr">
        <is>
          <t>Front-End / UI Development</t>
        </is>
      </c>
      <c r="J263" s="29" t="inlineStr">
        <is>
          <t>IC</t>
        </is>
      </c>
      <c r="K263" s="29" t="inlineStr">
        <is>
          <t>RC-081</t>
        </is>
      </c>
      <c r="L263" s="29" t="inlineStr">
        <is>
          <t>Alwina Shaikh</t>
        </is>
      </c>
      <c r="M263" s="29" t="inlineStr">
        <is>
          <t>IRIS0103</t>
        </is>
      </c>
      <c r="N263" s="29" t="n">
        <v>3.9</v>
      </c>
      <c r="O263" s="29" t="n">
        <v>0.3</v>
      </c>
      <c r="P263" s="29" t="inlineStr">
        <is>
          <t>B.E</t>
        </is>
      </c>
      <c r="Q263" s="29" t="inlineStr">
        <is>
          <t>Not in current mapping files</t>
        </is>
      </c>
      <c r="R263" s="29" t="inlineStr">
        <is>
          <t>A3</t>
        </is>
      </c>
      <c r="S263" s="30" t="inlineStr">
        <is>
          <t>20 of 20</t>
        </is>
      </c>
      <c r="T263" s="31" t="inlineStr">
        <is>
          <t>Complexity: Evidence reads like A2: Delivers 'a module feature'; no specific work, technology or problem described → matches the start
Autonomy: Evidence reads like A2: Decides handling of edge cases → matches the start
Accountability: Evidence reads like A2: Accountable for own feature not breaking the existing flow → matches the start
Leadership: Evidence …</t>
        </is>
      </c>
      <c r="U263" s="32" t="inlineStr">
        <is>
          <t>KRAs not received · manager to supply</t>
        </is>
      </c>
      <c r="V263" s="31" t="inlineStr">
        <is>
          <t>Latest rating: Not rated · manager · 9-box: Not placed · manager · Readiness: No rating data</t>
        </is>
      </c>
      <c r="W263" s="31" t="inlineStr">
        <is>
          <t>C L · Au L · Ac L · L L · BI L · Exp M · 3.9 yrs vs 2–4 yrs · Edu M · B.E</t>
        </is>
      </c>
      <c r="X263" s="33" t="inlineStr">
        <is>
          <t>Open ▸</t>
        </is>
      </c>
      <c r="Y263" s="34" t="str">
        <f>IFERROR(INDEX(DL_C,MATCH($CA263,DL_KEY,0)),"M")</f>
        <v>H</v>
      </c>
      <c r="Z263" s="35" t="str">
        <f>IFERROR(INDEX(DL_Au,MATCH($CA263,DL_KEY,0)),"M")</f>
        <v>M</v>
      </c>
      <c r="AA263" s="35" t="str">
        <f>IFERROR(INDEX(DL_Ac,MATCH($CA263,DL_KEY,0)),"M")</f>
        <v>L</v>
      </c>
      <c r="AB263" s="35" t="str">
        <f>IFERROR(INDEX(DL_L,MATCH($CA263,DL_KEY,0)),"M")</f>
        <v>L</v>
      </c>
      <c r="AC263" s="35" t="str">
        <f>IFERROR(INDEX(DL_BI,MATCH($CA263,DL_KEY,0)),"M")</f>
        <v>L</v>
      </c>
      <c r="AD263" s="35" t="str">
        <f>IFERROR(INDEX(DL_Exp,MATCH($CA263,DL_KEY,0)),"M")</f>
        <v>L</v>
      </c>
      <c r="AE263" s="35" t="str">
        <f>IFERROR(INDEX(DL_Edu,MATCH($CA263,DL_KEY,0)),"M")</f>
        <v>L</v>
      </c>
      <c r="AF263" s="34" t="inlineStr">
        <is>
          <t>M</t>
        </is>
      </c>
      <c r="AG263" s="35" t="inlineStr">
        <is>
          <t>M</t>
        </is>
      </c>
      <c r="AH263" s="35" t="inlineStr">
        <is>
          <t>M</t>
        </is>
      </c>
      <c r="AI263" s="35" t="inlineStr">
        <is>
          <t>M</t>
        </is>
      </c>
      <c r="AJ263" s="35" t="inlineStr">
        <is>
          <t>M</t>
        </is>
      </c>
      <c r="AK263" s="35" t="inlineStr">
        <is>
          <t>M</t>
        </is>
      </c>
      <c r="AL263" s="35" t="inlineStr">
        <is>
          <t>M</t>
        </is>
      </c>
      <c r="AM263" s="36" t="n">
        <v>0.583</v>
      </c>
      <c r="AN263" s="37" t="n">
        <v>0.16</v>
      </c>
      <c r="AO263" s="37" t="n">
        <v>0.09</v>
      </c>
      <c r="AP263" s="37" t="n">
        <v>0</v>
      </c>
      <c r="AQ263" s="37" t="n">
        <v>0.063</v>
      </c>
      <c r="AR263" s="37" t="n">
        <v>0.06</v>
      </c>
      <c r="AS263" s="37" t="n">
        <v>0.04</v>
      </c>
      <c r="AT263" s="38" t="inlineStr">
        <is>
          <t>2–5</t>
        </is>
      </c>
      <c r="AU263" s="38" t="inlineStr">
        <is>
          <t>Graduate; relevant certification preferred</t>
        </is>
      </c>
      <c r="AV263" s="38" t="inlineStr">
        <is>
          <t>None · guides 1–3 juniors informally</t>
        </is>
      </c>
      <c r="AW263" s="38" t="inlineStr">
        <is>
          <t>P2 · SFIA 3 Apply</t>
        </is>
      </c>
      <c r="AX26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63" s="39" t="inlineStr">
        <is>
          <t>A3</t>
        </is>
      </c>
      <c r="AZ263" s="40" t="inlineStr">
        <is>
          <t>Band A · Practitioner · Senior Associate</t>
        </is>
      </c>
      <c r="BA263" s="40" t="inlineStr">
        <is>
          <t>Model A3 from the six ratings, the market-derived weights and rules R1–R13 · then No change · already below the manager</t>
        </is>
      </c>
      <c r="BB263" s="41" t="inlineStr">
        <is>
          <t>A2</t>
        </is>
      </c>
      <c r="BC263" s="40" t="inlineStr">
        <is>
          <t>The six ratings on the market-average weights of Band A · all tracks score 2.15 → A2 · Hay, Mercer IPE and public plans · experience 3.9 yrs vs the A2 market range 0–3</t>
        </is>
      </c>
      <c r="BD263" s="42">
        <f>IF(SUM(BM263,BN263,BO263,BP263,BQ263,BR263,BS263)=0,0,(BM263*BT263+BN263*BU263+BO263*BV263+BP263*BW263+BQ263*BX263+BR263*BY263+BS263*BZ263)/SUM(BM263,BN263,BO263,BP263,BQ263,BR263,BS263))</f>
        <v>0</v>
      </c>
      <c r="BE263" s="41" t="str">
        <f>IF(LEFT(AY263,1)="X",AY263,IF(OR(AY263="B+",AY263="C+"),INDEX(LAD_PC,MAX(1,MIN(14,MATCH(AY263,LAD_PC,0)+IF(BD263&gt;=0.5,1,IF(BD263&lt;=-0.5,-1,0))))),INDEX(LAD_STD,MAX(1,MIN(12,MATCH(AY263,LAD_STD,0)+IF(BD263&gt;=0.5,1,IF(BD263&lt;=-0.5,-1,0)))))))</f>
        <v>A3</v>
      </c>
      <c r="BF263" s="43" t="n"/>
      <c r="BG263" s="41" t="str">
        <f>IF(BF263&lt;&gt;"",BF263,BE263)</f>
        <v>A3</v>
      </c>
      <c r="BH263" s="40" t="str">
        <f>IFERROR(CHOOSE(INDEX(B_RANK,MATCH(BG263,B_LVL,0)),"Band A","Band B","B+ · Player-Coach","Band C","C+ · Player-Coach","Band D","Band E"),"Band X · Consultant")</f>
        <v>Band A</v>
      </c>
      <c r="BI263" s="40" t="str">
        <f>IF(BG263=AY263,"• Same",IF(INDEX(B_VAL,MATCH(BG263,B_LVL,0))&gt;INDEX(B_VAL,MATCH(AY263,B_LVL,0)),"▲ Up","▼ Down"))</f>
        <v>• Same</v>
      </c>
      <c r="BJ263" s="40" t="str">
        <f>IF(OR($M263="",$M263="—",$M263="Not in this file"),"",IFERROR(INDEX($BG$7:$BG$592,MATCH($M263,$D$7:$D$592,0)),""))</f>
        <v>B2</v>
      </c>
      <c r="BK263" s="40" t="str">
        <f>IFERROR(IF(BJ263="","—",IF(OR(LEFT(BG263,1)="X",LEFT(BJ263,1)="X"),"—",IF(AND(LEFT(BG263,1)="E",LEFT(BJ263,1)="E"),"Exception · Band E",IF(AND(INDEX(B_VAL,MATCH(BJ263,B_LVL,0))&gt;=7,INDEX(B_RANK,MATCH(BG263,B_LVL,0))&gt;=INDEX(B_RANK,MATCH(BJ263,B_LVL,0))),"⚠ Same band as a head manager",IF(INDEX(B_VAL,MATCH(BG263,B_LVL,0))&gt;=INDEX(B_VAL,MATCH(BJ263,B_LVL,0)),"⚠ At or above the manager's level","OK"))))),"—")</f>
        <v>OK</v>
      </c>
      <c r="BL263" s="43" t="n"/>
      <c r="BM263" s="44">
        <f>IFERROR(INDEX(LMH_PTS,MATCH(Y263,LMH_KEY,0)),0)</f>
        <v>9</v>
      </c>
      <c r="BN263" s="38">
        <f>IFERROR(INDEX(LMH_PTS,MATCH(Z263,LMH_KEY,0)),0)</f>
        <v>3</v>
      </c>
      <c r="BO263" s="38">
        <f>IFERROR(INDEX(LMH_PTS,MATCH(AA263,LMH_KEY,0)),0)</f>
        <v>1</v>
      </c>
      <c r="BP263" s="38">
        <f>IFERROR(INDEX(LMH_PTS,MATCH(AB263,LMH_KEY,0)),0)</f>
        <v>1</v>
      </c>
      <c r="BQ263" s="38">
        <f>IFERROR(INDEX(LMH_PTS,MATCH(AC263,LMH_KEY,0)),0)</f>
        <v>1</v>
      </c>
      <c r="BR263" s="38">
        <f>IFERROR(INDEX(LMH_PTS,MATCH(AD263,LMH_KEY,0)),0)</f>
        <v>1</v>
      </c>
      <c r="BS263" s="38">
        <f>IFERROR(INDEX(LMH_PTS,MATCH(AE263,LMH_KEY,0)),0)</f>
        <v>1</v>
      </c>
      <c r="BT263" s="38">
        <f>IFERROR(INDEX(LMH_STEP,MATCH(AF263,LMH_KEY,0)),0)</f>
        <v>0</v>
      </c>
      <c r="BU263" s="38">
        <f>IFERROR(INDEX(LMH_STEP,MATCH(AG263,LMH_KEY,0)),0)</f>
        <v>0</v>
      </c>
      <c r="BV263" s="38">
        <f>IFERROR(INDEX(LMH_STEP,MATCH(AH263,LMH_KEY,0)),0)</f>
        <v>0</v>
      </c>
      <c r="BW263" s="38">
        <f>IFERROR(INDEX(LMH_STEP,MATCH(AI263,LMH_KEY,0)),0)</f>
        <v>0</v>
      </c>
      <c r="BX263" s="38">
        <f>IFERROR(INDEX(LMH_STEP,MATCH(AJ263,LMH_KEY,0)),0)</f>
        <v>0</v>
      </c>
      <c r="BY263" s="38">
        <f>IFERROR(INDEX(LMH_STEP,MATCH(AK263,LMH_KEY,0)),0)</f>
        <v>0</v>
      </c>
      <c r="BZ263" s="38">
        <f>IFERROR(INDEX(LMH_STEP,MATCH(AL263,LMH_KEY,0)),0)</f>
        <v>0</v>
      </c>
      <c r="CA263" s="38" t="inlineStr">
        <is>
          <t>iFile|Technology|Senior UI Developer|A3|A</t>
        </is>
      </c>
    </row>
    <row r="264" ht="110" customHeight="1">
      <c r="A264" s="28" t="inlineStr">
        <is>
          <t>iFile</t>
        </is>
      </c>
      <c r="B264" s="29" t="inlineStr">
        <is>
          <t>Technology</t>
        </is>
      </c>
      <c r="C264" s="29" t="n">
        <v>5</v>
      </c>
      <c r="D264" s="29" t="inlineStr">
        <is>
          <t>IRIS2441</t>
        </is>
      </c>
      <c r="E264" s="29" t="inlineStr">
        <is>
          <t>Mayuresh Raghunath Mahale</t>
        </is>
      </c>
      <c r="F264" s="29" t="inlineStr">
        <is>
          <t>Trainee Software Engineer</t>
        </is>
      </c>
      <c r="G264" s="29" t="inlineStr">
        <is>
          <t>Trainee Software Engineer</t>
        </is>
      </c>
      <c r="H264" s="29" t="inlineStr">
        <is>
          <t>Engineering &amp; Development</t>
        </is>
      </c>
      <c r="I264" s="29" t="inlineStr">
        <is>
          <t>Full-Stack Development</t>
        </is>
      </c>
      <c r="J264" s="29" t="inlineStr">
        <is>
          <t>IC</t>
        </is>
      </c>
      <c r="K264" s="29" t="inlineStr">
        <is>
          <t>RC-083</t>
        </is>
      </c>
      <c r="L264" s="29" t="inlineStr">
        <is>
          <t>Alwina Shaikh</t>
        </is>
      </c>
      <c r="M264" s="29" t="inlineStr">
        <is>
          <t>IRIS0103</t>
        </is>
      </c>
      <c r="N264" s="29" t="n">
        <v>0.9</v>
      </c>
      <c r="O264" s="29" t="n">
        <v>0.9</v>
      </c>
      <c r="P264" s="29" t="inlineStr">
        <is>
          <t>B.E</t>
        </is>
      </c>
      <c r="Q264" s="29" t="inlineStr">
        <is>
          <t>L2 – Trainee</t>
        </is>
      </c>
      <c r="R264" s="29" t="inlineStr">
        <is>
          <t>A1</t>
        </is>
      </c>
      <c r="S264" s="30" t="inlineStr">
        <is>
          <t>20 of 20</t>
        </is>
      </c>
      <c r="T264" s="32" t="inlineStr">
        <is>
          <t>Full survey answers not in the files received · How We Grow export needed · HR</t>
        </is>
      </c>
      <c r="U264" s="31" t="inlineStr">
        <is>
          <t>Received · quarterly · KRAs not received · manager to supply</t>
        </is>
      </c>
      <c r="V264" s="31" t="inlineStr">
        <is>
          <t>Latest rating: 3 · Potential: Medium · 9-box: Trusted Professional · Readiness: Develop in role</t>
        </is>
      </c>
      <c r="W264" s="31" t="inlineStr">
        <is>
          <t>C — · Au — · Ac — · L — · BI — · Exp H · 0.9 yrs vs 0 yrs · fresher / intern · Edu M · B.E</t>
        </is>
      </c>
      <c r="X264" s="33" t="inlineStr">
        <is>
          <t>Open ▸</t>
        </is>
      </c>
      <c r="Y264" s="34" t="str">
        <f>IFERROR(INDEX(DL_C,MATCH($CA264,DL_KEY,0)),"M")</f>
        <v>H</v>
      </c>
      <c r="Z264" s="35" t="str">
        <f>IFERROR(INDEX(DL_Au,MATCH($CA264,DL_KEY,0)),"M")</f>
        <v>M</v>
      </c>
      <c r="AA264" s="35" t="str">
        <f>IFERROR(INDEX(DL_Ac,MATCH($CA264,DL_KEY,0)),"M")</f>
        <v>L</v>
      </c>
      <c r="AB264" s="35" t="str">
        <f>IFERROR(INDEX(DL_L,MATCH($CA264,DL_KEY,0)),"M")</f>
        <v>L</v>
      </c>
      <c r="AC264" s="35" t="str">
        <f>IFERROR(INDEX(DL_BI,MATCH($CA264,DL_KEY,0)),"M")</f>
        <v>L</v>
      </c>
      <c r="AD264" s="35" t="str">
        <f>IFERROR(INDEX(DL_Exp,MATCH($CA264,DL_KEY,0)),"M")</f>
        <v>L</v>
      </c>
      <c r="AE264" s="35" t="str">
        <f>IFERROR(INDEX(DL_Edu,MATCH($CA264,DL_KEY,0)),"M")</f>
        <v>L</v>
      </c>
      <c r="AF264" s="34" t="inlineStr">
        <is>
          <t>M</t>
        </is>
      </c>
      <c r="AG264" s="35" t="inlineStr">
        <is>
          <t>M</t>
        </is>
      </c>
      <c r="AH264" s="35" t="inlineStr">
        <is>
          <t>M</t>
        </is>
      </c>
      <c r="AI264" s="35" t="inlineStr">
        <is>
          <t>M</t>
        </is>
      </c>
      <c r="AJ264" s="35" t="inlineStr">
        <is>
          <t>M</t>
        </is>
      </c>
      <c r="AK264" s="35" t="inlineStr">
        <is>
          <t>M</t>
        </is>
      </c>
      <c r="AL264" s="35" t="inlineStr">
        <is>
          <t>M</t>
        </is>
      </c>
      <c r="AM264" s="36" t="n">
        <v>0.583</v>
      </c>
      <c r="AN264" s="37" t="n">
        <v>0.16</v>
      </c>
      <c r="AO264" s="37" t="n">
        <v>0.09</v>
      </c>
      <c r="AP264" s="37" t="n">
        <v>0</v>
      </c>
      <c r="AQ264" s="37" t="n">
        <v>0.063</v>
      </c>
      <c r="AR264" s="37" t="n">
        <v>0.06</v>
      </c>
      <c r="AS264" s="37" t="n">
        <v>0.04</v>
      </c>
      <c r="AT264" s="38" t="inlineStr">
        <is>
          <t>0 yrs · fresher / intern</t>
        </is>
      </c>
      <c r="AU264" s="38" t="inlineStr">
        <is>
          <t>Pursuing or completed graduation / diploma</t>
        </is>
      </c>
      <c r="AV264" s="38" t="inlineStr">
        <is>
          <t>No direct reports</t>
        </is>
      </c>
      <c r="AW264" s="38" t="inlineStr">
        <is>
          <t>Entry / P1 · intern · SFIA 1 Follow</t>
        </is>
      </c>
      <c r="AX26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64" s="39" t="inlineStr">
        <is>
          <t>A1</t>
        </is>
      </c>
      <c r="AZ264" s="40" t="inlineStr">
        <is>
          <t>Band A · Practitioner · Intern / Trainee</t>
        </is>
      </c>
      <c r="BA264" s="40" t="inlineStr">
        <is>
          <t>Model A1 from the six ratings, the market-derived weights and rules R1–R13 · then No change · already below the manager</t>
        </is>
      </c>
      <c r="BB264" s="41" t="inlineStr">
        <is>
          <t>A1</t>
        </is>
      </c>
      <c r="BC264" s="40" t="inlineStr">
        <is>
          <t>Placed by a category rule — no full set of ratings · benchmark follows the HR proposed level</t>
        </is>
      </c>
      <c r="BD264" s="42">
        <f>IF(SUM(BM264,BN264,BO264,BP264,BQ264,BR264,BS264)=0,0,(BM264*BT264+BN264*BU264+BO264*BV264+BP264*BW264+BQ264*BX264+BR264*BY264+BS264*BZ264)/SUM(BM264,BN264,BO264,BP264,BQ264,BR264,BS264))</f>
        <v>0</v>
      </c>
      <c r="BE264" s="41" t="str">
        <f>IF(LEFT(AY264,1)="X",AY264,IF(OR(AY264="B+",AY264="C+"),INDEX(LAD_PC,MAX(1,MIN(14,MATCH(AY264,LAD_PC,0)+IF(BD264&gt;=0.5,1,IF(BD264&lt;=-0.5,-1,0))))),INDEX(LAD_STD,MAX(1,MIN(12,MATCH(AY264,LAD_STD,0)+IF(BD264&gt;=0.5,1,IF(BD264&lt;=-0.5,-1,0)))))))</f>
        <v>A1</v>
      </c>
      <c r="BF264" s="43" t="n"/>
      <c r="BG264" s="41" t="str">
        <f>IF(BF264&lt;&gt;"",BF264,BE264)</f>
        <v>A1</v>
      </c>
      <c r="BH264" s="40" t="str">
        <f>IFERROR(CHOOSE(INDEX(B_RANK,MATCH(BG264,B_LVL,0)),"Band A","Band B","B+ · Player-Coach","Band C","C+ · Player-Coach","Band D","Band E"),"Band X · Consultant")</f>
        <v>Band A</v>
      </c>
      <c r="BI264" s="40" t="str">
        <f>IF(BG264=AY264,"• Same",IF(INDEX(B_VAL,MATCH(BG264,B_LVL,0))&gt;INDEX(B_VAL,MATCH(AY264,B_LVL,0)),"▲ Up","▼ Down"))</f>
        <v>• Same</v>
      </c>
      <c r="BJ264" s="40" t="str">
        <f>IF(OR($M264="",$M264="—",$M264="Not in this file"),"",IFERROR(INDEX($BG$7:$BG$592,MATCH($M264,$D$7:$D$592,0)),""))</f>
        <v>B2</v>
      </c>
      <c r="BK264" s="40" t="str">
        <f>IFERROR(IF(BJ264="","—",IF(OR(LEFT(BG264,1)="X",LEFT(BJ264,1)="X"),"—",IF(AND(LEFT(BG264,1)="E",LEFT(BJ264,1)="E"),"Exception · Band E",IF(AND(INDEX(B_VAL,MATCH(BJ264,B_LVL,0))&gt;=7,INDEX(B_RANK,MATCH(BG264,B_LVL,0))&gt;=INDEX(B_RANK,MATCH(BJ264,B_LVL,0))),"⚠ Same band as a head manager",IF(INDEX(B_VAL,MATCH(BG264,B_LVL,0))&gt;=INDEX(B_VAL,MATCH(BJ264,B_LVL,0)),"⚠ At or above the manager's level","OK"))))),"—")</f>
        <v>OK</v>
      </c>
      <c r="BL264" s="43" t="n"/>
      <c r="BM264" s="44">
        <f>IFERROR(INDEX(LMH_PTS,MATCH(Y264,LMH_KEY,0)),0)</f>
        <v>9</v>
      </c>
      <c r="BN264" s="38">
        <f>IFERROR(INDEX(LMH_PTS,MATCH(Z264,LMH_KEY,0)),0)</f>
        <v>3</v>
      </c>
      <c r="BO264" s="38">
        <f>IFERROR(INDEX(LMH_PTS,MATCH(AA264,LMH_KEY,0)),0)</f>
        <v>1</v>
      </c>
      <c r="BP264" s="38">
        <f>IFERROR(INDEX(LMH_PTS,MATCH(AB264,LMH_KEY,0)),0)</f>
        <v>1</v>
      </c>
      <c r="BQ264" s="38">
        <f>IFERROR(INDEX(LMH_PTS,MATCH(AC264,LMH_KEY,0)),0)</f>
        <v>1</v>
      </c>
      <c r="BR264" s="38">
        <f>IFERROR(INDEX(LMH_PTS,MATCH(AD264,LMH_KEY,0)),0)</f>
        <v>1</v>
      </c>
      <c r="BS264" s="38">
        <f>IFERROR(INDEX(LMH_PTS,MATCH(AE264,LMH_KEY,0)),0)</f>
        <v>1</v>
      </c>
      <c r="BT264" s="38">
        <f>IFERROR(INDEX(LMH_STEP,MATCH(AF264,LMH_KEY,0)),0)</f>
        <v>0</v>
      </c>
      <c r="BU264" s="38">
        <f>IFERROR(INDEX(LMH_STEP,MATCH(AG264,LMH_KEY,0)),0)</f>
        <v>0</v>
      </c>
      <c r="BV264" s="38">
        <f>IFERROR(INDEX(LMH_STEP,MATCH(AH264,LMH_KEY,0)),0)</f>
        <v>0</v>
      </c>
      <c r="BW264" s="38">
        <f>IFERROR(INDEX(LMH_STEP,MATCH(AI264,LMH_KEY,0)),0)</f>
        <v>0</v>
      </c>
      <c r="BX264" s="38">
        <f>IFERROR(INDEX(LMH_STEP,MATCH(AJ264,LMH_KEY,0)),0)</f>
        <v>0</v>
      </c>
      <c r="BY264" s="38">
        <f>IFERROR(INDEX(LMH_STEP,MATCH(AK264,LMH_KEY,0)),0)</f>
        <v>0</v>
      </c>
      <c r="BZ264" s="38">
        <f>IFERROR(INDEX(LMH_STEP,MATCH(AL264,LMH_KEY,0)),0)</f>
        <v>0</v>
      </c>
      <c r="CA264" s="38" t="inlineStr">
        <is>
          <t>iFile|Technology|Trainee Software Engineer|A1|A</t>
        </is>
      </c>
    </row>
    <row r="265" ht="110" customHeight="1">
      <c r="A265" s="28" t="inlineStr">
        <is>
          <t>iFile</t>
        </is>
      </c>
      <c r="B265" s="29" t="inlineStr">
        <is>
          <t>Technology</t>
        </is>
      </c>
      <c r="C265" s="29" t="n">
        <v>4</v>
      </c>
      <c r="D265" s="29" t="inlineStr">
        <is>
          <t>IRIS1476</t>
        </is>
      </c>
      <c r="E265" s="29" t="inlineStr">
        <is>
          <t>Himanshu Pawar</t>
        </is>
      </c>
      <c r="F265" s="29" t="inlineStr">
        <is>
          <t>Lead Software Engineer</t>
        </is>
      </c>
      <c r="G265" s="29" t="inlineStr">
        <is>
          <t>Lead Software Engineer</t>
        </is>
      </c>
      <c r="H265" s="29" t="inlineStr">
        <is>
          <t>Engineering &amp; Development</t>
        </is>
      </c>
      <c r="I265" s="29" t="inlineStr">
        <is>
          <t>Backend Development</t>
        </is>
      </c>
      <c r="J265" s="29" t="inlineStr">
        <is>
          <t>IC</t>
        </is>
      </c>
      <c r="K265" s="29" t="inlineStr">
        <is>
          <t>RC-069</t>
        </is>
      </c>
      <c r="L265" s="29" t="inlineStr">
        <is>
          <t>Sharanagouda Patil</t>
        </is>
      </c>
      <c r="M265" s="29" t="inlineStr">
        <is>
          <t>IRIS1690</t>
        </is>
      </c>
      <c r="N265" s="29" t="n">
        <v>14.1</v>
      </c>
      <c r="O265" s="29" t="n">
        <v>12.1</v>
      </c>
      <c r="P265" s="29" t="inlineStr">
        <is>
          <t>B.E</t>
        </is>
      </c>
      <c r="Q265" s="29" t="inlineStr">
        <is>
          <t>L5 – Lead · IC</t>
        </is>
      </c>
      <c r="R265" s="29" t="inlineStr">
        <is>
          <t>B2</t>
        </is>
      </c>
      <c r="S265" s="30" t="inlineStr">
        <is>
          <t>20 of 20</t>
        </is>
      </c>
      <c r="T265" s="31" t="inlineStr">
        <is>
          <t>Business Impact: No survey or manager-mapping signal on criticality: kept at the start point.</t>
        </is>
      </c>
      <c r="U265" s="31" t="inlineStr">
        <is>
          <t>Received · quarterly · KRAs not received · manager to supply</t>
        </is>
      </c>
      <c r="V265" s="31" t="inlineStr">
        <is>
          <t>Latest rating: 3 · Potential: Medium · 9-box: Trusted Professional · Readiness: Develop in role</t>
        </is>
      </c>
      <c r="W265" s="31" t="inlineStr">
        <is>
          <t>C M · Au M · Ac M · L M · BI M · Exp H · 14.1 yrs vs 6–9 yrs · Edu M · B.E</t>
        </is>
      </c>
      <c r="X265" s="33" t="inlineStr">
        <is>
          <t>Open ▸</t>
        </is>
      </c>
      <c r="Y265" s="34" t="str">
        <f>IFERROR(INDEX(DL_C,MATCH($CA265,DL_KEY,0)),"M")</f>
        <v>H</v>
      </c>
      <c r="Z265" s="35" t="str">
        <f>IFERROR(INDEX(DL_Au,MATCH($CA265,DL_KEY,0)),"M")</f>
        <v>M</v>
      </c>
      <c r="AA265" s="35" t="str">
        <f>IFERROR(INDEX(DL_Ac,MATCH($CA265,DL_KEY,0)),"M")</f>
        <v>L</v>
      </c>
      <c r="AB265" s="35" t="str">
        <f>IFERROR(INDEX(DL_L,MATCH($CA265,DL_KEY,0)),"M")</f>
        <v>L</v>
      </c>
      <c r="AC265" s="35" t="str">
        <f>IFERROR(INDEX(DL_BI,MATCH($CA265,DL_KEY,0)),"M")</f>
        <v>L</v>
      </c>
      <c r="AD265" s="35" t="str">
        <f>IFERROR(INDEX(DL_Exp,MATCH($CA265,DL_KEY,0)),"M")</f>
        <v>L</v>
      </c>
      <c r="AE265" s="35" t="str">
        <f>IFERROR(INDEX(DL_Edu,MATCH($CA265,DL_KEY,0)),"M")</f>
        <v>L</v>
      </c>
      <c r="AF265" s="34" t="inlineStr">
        <is>
          <t>M</t>
        </is>
      </c>
      <c r="AG265" s="35" t="inlineStr">
        <is>
          <t>M</t>
        </is>
      </c>
      <c r="AH265" s="35" t="inlineStr">
        <is>
          <t>M</t>
        </is>
      </c>
      <c r="AI265" s="35" t="inlineStr">
        <is>
          <t>M</t>
        </is>
      </c>
      <c r="AJ265" s="35" t="inlineStr">
        <is>
          <t>M</t>
        </is>
      </c>
      <c r="AK265" s="35" t="inlineStr">
        <is>
          <t>M</t>
        </is>
      </c>
      <c r="AL265" s="35" t="inlineStr">
        <is>
          <t>M</t>
        </is>
      </c>
      <c r="AM265" s="36" t="n">
        <v>0.513</v>
      </c>
      <c r="AN265" s="37" t="n">
        <v>0.173</v>
      </c>
      <c r="AO265" s="37" t="n">
        <v>0.09699999999999999</v>
      </c>
      <c r="AP265" s="37" t="n">
        <v>0.05</v>
      </c>
      <c r="AQ265" s="37" t="n">
        <v>0.07000000000000001</v>
      </c>
      <c r="AR265" s="37" t="n">
        <v>0.06</v>
      </c>
      <c r="AS265" s="37" t="n">
        <v>0.04</v>
      </c>
      <c r="AT265" s="38" t="inlineStr">
        <is>
          <t>6–10</t>
        </is>
      </c>
      <c r="AU265" s="38" t="inlineStr">
        <is>
          <t>Graduate or postgraduate; professional qualification preferred</t>
        </is>
      </c>
      <c r="AV265" s="38" t="inlineStr">
        <is>
          <t>IC: none · People: 6–8 knowledge work, 8–12 standardised delivery</t>
        </is>
      </c>
      <c r="AW265" s="38" t="inlineStr">
        <is>
          <t>P4 / M3 · SFIA 4–5</t>
        </is>
      </c>
      <c r="AX26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65" s="39" t="inlineStr">
        <is>
          <t>B2</t>
        </is>
      </c>
      <c r="AZ265" s="40" t="inlineStr">
        <is>
          <t>Band B · Specialist / Manager · Senior Specialist</t>
        </is>
      </c>
      <c r="BA265" s="40" t="inlineStr">
        <is>
          <t>Model B2 from the six ratings, the market-derived weights and rules R1–R13 · then No change · already below the manager</t>
        </is>
      </c>
      <c r="BB265" s="41" t="inlineStr">
        <is>
          <t>B2</t>
        </is>
      </c>
      <c r="BC265" s="40" t="inlineStr">
        <is>
          <t>The six ratings on the market-average weights of Band B · Specialist / POD Lead score 5.36 → B2 · Hay, Mercer IPE and public plans · experience 14.1 yrs vs the B2 market range 6–10</t>
        </is>
      </c>
      <c r="BD265" s="42">
        <f>IF(SUM(BM265,BN265,BO265,BP265,BQ265,BR265,BS265)=0,0,(BM265*BT265+BN265*BU265+BO265*BV265+BP265*BW265+BQ265*BX265+BR265*BY265+BS265*BZ265)/SUM(BM265,BN265,BO265,BP265,BQ265,BR265,BS265))</f>
        <v>0</v>
      </c>
      <c r="BE265" s="41" t="str">
        <f>IF(LEFT(AY265,1)="X",AY265,IF(OR(AY265="B+",AY265="C+"),INDEX(LAD_PC,MAX(1,MIN(14,MATCH(AY265,LAD_PC,0)+IF(BD265&gt;=0.5,1,IF(BD265&lt;=-0.5,-1,0))))),INDEX(LAD_STD,MAX(1,MIN(12,MATCH(AY265,LAD_STD,0)+IF(BD265&gt;=0.5,1,IF(BD265&lt;=-0.5,-1,0)))))))</f>
        <v>B2</v>
      </c>
      <c r="BF265" s="43" t="n"/>
      <c r="BG265" s="41" t="str">
        <f>IF(BF265&lt;&gt;"",BF265,BE265)</f>
        <v>B2</v>
      </c>
      <c r="BH265" s="40" t="str">
        <f>IFERROR(CHOOSE(INDEX(B_RANK,MATCH(BG265,B_LVL,0)),"Band A","Band B","B+ · Player-Coach","Band C","C+ · Player-Coach","Band D","Band E"),"Band X · Consultant")</f>
        <v>Band B</v>
      </c>
      <c r="BI265" s="40" t="str">
        <f>IF(BG265=AY265,"• Same",IF(INDEX(B_VAL,MATCH(BG265,B_LVL,0))&gt;INDEX(B_VAL,MATCH(AY265,B_LVL,0)),"▲ Up","▼ Down"))</f>
        <v>• Same</v>
      </c>
      <c r="BJ265" s="40" t="str">
        <f>IF(OR($M265="",$M265="—",$M265="Not in this file"),"",IFERROR(INDEX($BG$7:$BG$592,MATCH($M265,$D$7:$D$592,0)),""))</f>
        <v>B3</v>
      </c>
      <c r="BK265" s="40" t="str">
        <f>IFERROR(IF(BJ265="","—",IF(OR(LEFT(BG265,1)="X",LEFT(BJ265,1)="X"),"—",IF(AND(LEFT(BG265,1)="E",LEFT(BJ265,1)="E"),"Exception · Band E",IF(AND(INDEX(B_VAL,MATCH(BJ265,B_LVL,0))&gt;=7,INDEX(B_RANK,MATCH(BG265,B_LVL,0))&gt;=INDEX(B_RANK,MATCH(BJ265,B_LVL,0))),"⚠ Same band as a head manager",IF(INDEX(B_VAL,MATCH(BG265,B_LVL,0))&gt;=INDEX(B_VAL,MATCH(BJ265,B_LVL,0)),"⚠ At or above the manager's level","OK"))))),"—")</f>
        <v>OK</v>
      </c>
      <c r="BL265" s="43" t="n"/>
      <c r="BM265" s="44">
        <f>IFERROR(INDEX(LMH_PTS,MATCH(Y265,LMH_KEY,0)),0)</f>
        <v>9</v>
      </c>
      <c r="BN265" s="38">
        <f>IFERROR(INDEX(LMH_PTS,MATCH(Z265,LMH_KEY,0)),0)</f>
        <v>3</v>
      </c>
      <c r="BO265" s="38">
        <f>IFERROR(INDEX(LMH_PTS,MATCH(AA265,LMH_KEY,0)),0)</f>
        <v>1</v>
      </c>
      <c r="BP265" s="38">
        <f>IFERROR(INDEX(LMH_PTS,MATCH(AB265,LMH_KEY,0)),0)</f>
        <v>1</v>
      </c>
      <c r="BQ265" s="38">
        <f>IFERROR(INDEX(LMH_PTS,MATCH(AC265,LMH_KEY,0)),0)</f>
        <v>1</v>
      </c>
      <c r="BR265" s="38">
        <f>IFERROR(INDEX(LMH_PTS,MATCH(AD265,LMH_KEY,0)),0)</f>
        <v>1</v>
      </c>
      <c r="BS265" s="38">
        <f>IFERROR(INDEX(LMH_PTS,MATCH(AE265,LMH_KEY,0)),0)</f>
        <v>1</v>
      </c>
      <c r="BT265" s="38">
        <f>IFERROR(INDEX(LMH_STEP,MATCH(AF265,LMH_KEY,0)),0)</f>
        <v>0</v>
      </c>
      <c r="BU265" s="38">
        <f>IFERROR(INDEX(LMH_STEP,MATCH(AG265,LMH_KEY,0)),0)</f>
        <v>0</v>
      </c>
      <c r="BV265" s="38">
        <f>IFERROR(INDEX(LMH_STEP,MATCH(AH265,LMH_KEY,0)),0)</f>
        <v>0</v>
      </c>
      <c r="BW265" s="38">
        <f>IFERROR(INDEX(LMH_STEP,MATCH(AI265,LMH_KEY,0)),0)</f>
        <v>0</v>
      </c>
      <c r="BX265" s="38">
        <f>IFERROR(INDEX(LMH_STEP,MATCH(AJ265,LMH_KEY,0)),0)</f>
        <v>0</v>
      </c>
      <c r="BY265" s="38">
        <f>IFERROR(INDEX(LMH_STEP,MATCH(AK265,LMH_KEY,0)),0)</f>
        <v>0</v>
      </c>
      <c r="BZ265" s="38">
        <f>IFERROR(INDEX(LMH_STEP,MATCH(AL265,LMH_KEY,0)),0)</f>
        <v>0</v>
      </c>
      <c r="CA265" s="38" t="inlineStr">
        <is>
          <t>iFile|Technology|Lead Software Engineer|B2|B-IC</t>
        </is>
      </c>
    </row>
    <row r="266" ht="110" customHeight="1">
      <c r="A266" s="28" t="inlineStr">
        <is>
          <t>iFile</t>
        </is>
      </c>
      <c r="B266" s="29" t="inlineStr">
        <is>
          <t>Technology</t>
        </is>
      </c>
      <c r="C266" s="29" t="n">
        <v>4</v>
      </c>
      <c r="D266" s="29" t="inlineStr">
        <is>
          <t>IRIS1627</t>
        </is>
      </c>
      <c r="E266" s="29" t="inlineStr">
        <is>
          <t>Manish Chouhan</t>
        </is>
      </c>
      <c r="F266" s="29" t="inlineStr">
        <is>
          <t>Senior Software Engineer</t>
        </is>
      </c>
      <c r="G266" s="29" t="inlineStr">
        <is>
          <t>Senior Technical Specialist – POD Lead</t>
        </is>
      </c>
      <c r="H266" s="29" t="inlineStr">
        <is>
          <t>Engineering &amp; Development</t>
        </is>
      </c>
      <c r="I266" s="29" t="inlineStr">
        <is>
          <t>Backend Development</t>
        </is>
      </c>
      <c r="J266" s="29" t="inlineStr">
        <is>
          <t>POD Lead</t>
        </is>
      </c>
      <c r="K266" s="29" t="inlineStr">
        <is>
          <t>RC-068</t>
        </is>
      </c>
      <c r="L266" s="29" t="inlineStr">
        <is>
          <t>Sharanagouda Patil</t>
        </is>
      </c>
      <c r="M266" s="29" t="inlineStr">
        <is>
          <t>IRIS1690</t>
        </is>
      </c>
      <c r="N266" s="29" t="n">
        <v>11.6</v>
      </c>
      <c r="O266" s="29" t="n">
        <v>9.6</v>
      </c>
      <c r="P266" s="29" t="inlineStr">
        <is>
          <t>M.Tech</t>
        </is>
      </c>
      <c r="Q266" s="29" t="inlineStr">
        <is>
          <t>L4 – Senior</t>
        </is>
      </c>
      <c r="R266" s="29" t="inlineStr">
        <is>
          <t>B1</t>
        </is>
      </c>
      <c r="S266" s="30" t="inlineStr">
        <is>
          <t>19 of 20</t>
        </is>
      </c>
      <c r="T266" s="31" t="inlineStr">
        <is>
          <t>Complexity: Evidence reads like B2: Resolves technical problems and makes design decisions across 7-9 iFile tools, GST Utility, SBC portal → moved up 1
Autonomy: Evidence reads like B1: Decides implementation approach, iFile design, support process and timelines for the tools team → moved up 0.5
Accountability: Evidence reads like B1: Delivery and support …</t>
        </is>
      </c>
      <c r="U266" s="31" t="inlineStr">
        <is>
          <t>Received · quarterly · KRAs not received · manager to supply</t>
        </is>
      </c>
      <c r="V266" s="31" t="inlineStr">
        <is>
          <t>Latest rating: 3 · Potential: Medium · 9-box: Trusted Professional · Readiness: Develop in role</t>
        </is>
      </c>
      <c r="W266" s="31" t="inlineStr">
        <is>
          <t>C M · Au M · Ac M · L M · BI M · Exp H · 11.6 yrs vs 4–7 yrs · Edu H · M.Tech</t>
        </is>
      </c>
      <c r="X266" s="33" t="inlineStr">
        <is>
          <t>Open ▸</t>
        </is>
      </c>
      <c r="Y266" s="34" t="str">
        <f>IFERROR(INDEX(DL_C,MATCH($CA266,DL_KEY,0)),"M")</f>
        <v>H</v>
      </c>
      <c r="Z266" s="35" t="str">
        <f>IFERROR(INDEX(DL_Au,MATCH($CA266,DL_KEY,0)),"M")</f>
        <v>M</v>
      </c>
      <c r="AA266" s="35" t="str">
        <f>IFERROR(INDEX(DL_Ac,MATCH($CA266,DL_KEY,0)),"M")</f>
        <v>L</v>
      </c>
      <c r="AB266" s="35" t="str">
        <f>IFERROR(INDEX(DL_L,MATCH($CA266,DL_KEY,0)),"M")</f>
        <v>L</v>
      </c>
      <c r="AC266" s="35" t="str">
        <f>IFERROR(INDEX(DL_BI,MATCH($CA266,DL_KEY,0)),"M")</f>
        <v>L</v>
      </c>
      <c r="AD266" s="35" t="str">
        <f>IFERROR(INDEX(DL_Exp,MATCH($CA266,DL_KEY,0)),"M")</f>
        <v>L</v>
      </c>
      <c r="AE266" s="35" t="str">
        <f>IFERROR(INDEX(DL_Edu,MATCH($CA266,DL_KEY,0)),"M")</f>
        <v>L</v>
      </c>
      <c r="AF266" s="34" t="inlineStr">
        <is>
          <t>M</t>
        </is>
      </c>
      <c r="AG266" s="35" t="inlineStr">
        <is>
          <t>M</t>
        </is>
      </c>
      <c r="AH266" s="35" t="inlineStr">
        <is>
          <t>M</t>
        </is>
      </c>
      <c r="AI266" s="35" t="inlineStr">
        <is>
          <t>M</t>
        </is>
      </c>
      <c r="AJ266" s="35" t="inlineStr">
        <is>
          <t>M</t>
        </is>
      </c>
      <c r="AK266" s="35" t="inlineStr">
        <is>
          <t>M</t>
        </is>
      </c>
      <c r="AL266" s="35" t="inlineStr">
        <is>
          <t>M</t>
        </is>
      </c>
      <c r="AM266" s="36" t="n">
        <v>0.513</v>
      </c>
      <c r="AN266" s="37" t="n">
        <v>0.173</v>
      </c>
      <c r="AO266" s="37" t="n">
        <v>0.09699999999999999</v>
      </c>
      <c r="AP266" s="37" t="n">
        <v>0.05</v>
      </c>
      <c r="AQ266" s="37" t="n">
        <v>0.07000000000000001</v>
      </c>
      <c r="AR266" s="37" t="n">
        <v>0.06</v>
      </c>
      <c r="AS266" s="37" t="n">
        <v>0.04</v>
      </c>
      <c r="AT266" s="38" t="inlineStr">
        <is>
          <t>4–8</t>
        </is>
      </c>
      <c r="AU266" s="38" t="inlineStr">
        <is>
          <t>Graduate + relevant qualification or certification preferred</t>
        </is>
      </c>
      <c r="AV266" s="38" t="inlineStr">
        <is>
          <t>IC: none · Team Lead: 3–5</t>
        </is>
      </c>
      <c r="AW266" s="38" t="inlineStr">
        <is>
          <t>P3 / M2 · SFIA 4 Enable</t>
        </is>
      </c>
      <c r="AX26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66" s="39" t="inlineStr">
        <is>
          <t>B1</t>
        </is>
      </c>
      <c r="AZ266" s="40" t="inlineStr">
        <is>
          <t>Band B · Specialist / Manager · Team Lead / Asst Manager</t>
        </is>
      </c>
      <c r="BA266" s="40" t="inlineStr">
        <is>
          <t>Model B1 from the six ratings, the market-derived weights and rules R1–R13 · then No change · already below the manager</t>
        </is>
      </c>
      <c r="BB266" s="41" t="inlineStr">
        <is>
          <t>B1</t>
        </is>
      </c>
      <c r="BC266" s="40" t="inlineStr">
        <is>
          <t>The six ratings on the market-average weights of Band B · Specialist / POD Lead score 4.26 → B1 · Hay, Mercer IPE and public plans · experience 11.6 yrs vs the B1 market range 4–8</t>
        </is>
      </c>
      <c r="BD266" s="42">
        <f>IF(SUM(BM266,BN266,BO266,BP266,BQ266,BR266,BS266)=0,0,(BM266*BT266+BN266*BU266+BO266*BV266+BP266*BW266+BQ266*BX266+BR266*BY266+BS266*BZ266)/SUM(BM266,BN266,BO266,BP266,BQ266,BR266,BS266))</f>
        <v>0</v>
      </c>
      <c r="BE266" s="41" t="str">
        <f>IF(LEFT(AY266,1)="X",AY266,IF(OR(AY266="B+",AY266="C+"),INDEX(LAD_PC,MAX(1,MIN(14,MATCH(AY266,LAD_PC,0)+IF(BD266&gt;=0.5,1,IF(BD266&lt;=-0.5,-1,0))))),INDEX(LAD_STD,MAX(1,MIN(12,MATCH(AY266,LAD_STD,0)+IF(BD266&gt;=0.5,1,IF(BD266&lt;=-0.5,-1,0)))))))</f>
        <v>B1</v>
      </c>
      <c r="BF266" s="43" t="n"/>
      <c r="BG266" s="41" t="str">
        <f>IF(BF266&lt;&gt;"",BF266,BE266)</f>
        <v>B1</v>
      </c>
      <c r="BH266" s="40" t="str">
        <f>IFERROR(CHOOSE(INDEX(B_RANK,MATCH(BG266,B_LVL,0)),"Band A","Band B","B+ · Player-Coach","Band C","C+ · Player-Coach","Band D","Band E"),"Band X · Consultant")</f>
        <v>Band B</v>
      </c>
      <c r="BI266" s="40" t="str">
        <f>IF(BG266=AY266,"• Same",IF(INDEX(B_VAL,MATCH(BG266,B_LVL,0))&gt;INDEX(B_VAL,MATCH(AY266,B_LVL,0)),"▲ Up","▼ Down"))</f>
        <v>• Same</v>
      </c>
      <c r="BJ266" s="40" t="str">
        <f>IF(OR($M266="",$M266="—",$M266="Not in this file"),"",IFERROR(INDEX($BG$7:$BG$592,MATCH($M266,$D$7:$D$592,0)),""))</f>
        <v>B3</v>
      </c>
      <c r="BK266" s="40" t="str">
        <f>IFERROR(IF(BJ266="","—",IF(OR(LEFT(BG266,1)="X",LEFT(BJ266,1)="X"),"—",IF(AND(LEFT(BG266,1)="E",LEFT(BJ266,1)="E"),"Exception · Band E",IF(AND(INDEX(B_VAL,MATCH(BJ266,B_LVL,0))&gt;=7,INDEX(B_RANK,MATCH(BG266,B_LVL,0))&gt;=INDEX(B_RANK,MATCH(BJ266,B_LVL,0))),"⚠ Same band as a head manager",IF(INDEX(B_VAL,MATCH(BG266,B_LVL,0))&gt;=INDEX(B_VAL,MATCH(BJ266,B_LVL,0)),"⚠ At or above the manager's level","OK"))))),"—")</f>
        <v>OK</v>
      </c>
      <c r="BL266" s="43" t="n"/>
      <c r="BM266" s="44">
        <f>IFERROR(INDEX(LMH_PTS,MATCH(Y266,LMH_KEY,0)),0)</f>
        <v>9</v>
      </c>
      <c r="BN266" s="38">
        <f>IFERROR(INDEX(LMH_PTS,MATCH(Z266,LMH_KEY,0)),0)</f>
        <v>3</v>
      </c>
      <c r="BO266" s="38">
        <f>IFERROR(INDEX(LMH_PTS,MATCH(AA266,LMH_KEY,0)),0)</f>
        <v>1</v>
      </c>
      <c r="BP266" s="38">
        <f>IFERROR(INDEX(LMH_PTS,MATCH(AB266,LMH_KEY,0)),0)</f>
        <v>1</v>
      </c>
      <c r="BQ266" s="38">
        <f>IFERROR(INDEX(LMH_PTS,MATCH(AC266,LMH_KEY,0)),0)</f>
        <v>1</v>
      </c>
      <c r="BR266" s="38">
        <f>IFERROR(INDEX(LMH_PTS,MATCH(AD266,LMH_KEY,0)),0)</f>
        <v>1</v>
      </c>
      <c r="BS266" s="38">
        <f>IFERROR(INDEX(LMH_PTS,MATCH(AE266,LMH_KEY,0)),0)</f>
        <v>1</v>
      </c>
      <c r="BT266" s="38">
        <f>IFERROR(INDEX(LMH_STEP,MATCH(AF266,LMH_KEY,0)),0)</f>
        <v>0</v>
      </c>
      <c r="BU266" s="38">
        <f>IFERROR(INDEX(LMH_STEP,MATCH(AG266,LMH_KEY,0)),0)</f>
        <v>0</v>
      </c>
      <c r="BV266" s="38">
        <f>IFERROR(INDEX(LMH_STEP,MATCH(AH266,LMH_KEY,0)),0)</f>
        <v>0</v>
      </c>
      <c r="BW266" s="38">
        <f>IFERROR(INDEX(LMH_STEP,MATCH(AI266,LMH_KEY,0)),0)</f>
        <v>0</v>
      </c>
      <c r="BX266" s="38">
        <f>IFERROR(INDEX(LMH_STEP,MATCH(AJ266,LMH_KEY,0)),0)</f>
        <v>0</v>
      </c>
      <c r="BY266" s="38">
        <f>IFERROR(INDEX(LMH_STEP,MATCH(AK266,LMH_KEY,0)),0)</f>
        <v>0</v>
      </c>
      <c r="BZ266" s="38">
        <f>IFERROR(INDEX(LMH_STEP,MATCH(AL266,LMH_KEY,0)),0)</f>
        <v>0</v>
      </c>
      <c r="CA266" s="38" t="inlineStr">
        <is>
          <t>iFile|Technology|Senior Technical Specialist – POD Lead|B1|B-IC</t>
        </is>
      </c>
    </row>
    <row r="267" ht="110" customHeight="1">
      <c r="A267" s="28" t="inlineStr">
        <is>
          <t>iFile</t>
        </is>
      </c>
      <c r="B267" s="29" t="inlineStr">
        <is>
          <t>Technology</t>
        </is>
      </c>
      <c r="C267" s="29" t="n">
        <v>5</v>
      </c>
      <c r="D267" s="29" t="inlineStr">
        <is>
          <t>IRIS2073</t>
        </is>
      </c>
      <c r="E267" s="29" t="inlineStr">
        <is>
          <t>Hemalatha Visamsetti</t>
        </is>
      </c>
      <c r="F267" s="29" t="inlineStr">
        <is>
          <t>Senior Software Engineer</t>
        </is>
      </c>
      <c r="G267" s="29" t="inlineStr">
        <is>
          <t>Senior Software Engineer</t>
        </is>
      </c>
      <c r="H267" s="29" t="inlineStr">
        <is>
          <t>Engineering &amp; Development</t>
        </is>
      </c>
      <c r="I267" s="29" t="inlineStr">
        <is>
          <t>Backend Development</t>
        </is>
      </c>
      <c r="J267" s="29" t="inlineStr">
        <is>
          <t>IC</t>
        </is>
      </c>
      <c r="K267" s="29" t="inlineStr">
        <is>
          <t>RC-067</t>
        </is>
      </c>
      <c r="L267" s="29" t="inlineStr">
        <is>
          <t>Manish Chouhan</t>
        </is>
      </c>
      <c r="M267" s="29" t="inlineStr">
        <is>
          <t>IRIS1627</t>
        </is>
      </c>
      <c r="N267" s="29" t="n">
        <v>8.1</v>
      </c>
      <c r="O267" s="29" t="n">
        <v>3.9</v>
      </c>
      <c r="P267" s="29" t="inlineStr">
        <is>
          <t>MCA</t>
        </is>
      </c>
      <c r="Q267" s="29" t="inlineStr">
        <is>
          <t>L4 – Senior</t>
        </is>
      </c>
      <c r="R267" s="29" t="inlineStr">
        <is>
          <t>A3</t>
        </is>
      </c>
      <c r="S267" s="30" t="inlineStr">
        <is>
          <t>20 of 20</t>
        </is>
      </c>
      <c r="T267" s="31" t="inlineStr">
        <is>
          <t>Complexity: Evidence reads like A3:.NET and VSTO development, production support and owning critical features → matches the start
Autonomy: Evidence reads like A2: Only independent decision cited is support for technical tools → moved down 0.5
Accountability: Evidence reads like A3: Quality of delivered solutions; KRA covers production support for four …</t>
        </is>
      </c>
      <c r="U267" s="31" t="inlineStr">
        <is>
          <t>Received · manager annual, quarterly · 1. Ensure reliable production support and maintenance for Kuwait CMA, ADX, DFM, and SCA applications by maintaining 95% SLA compliance, timely issue resolution, and improved application stability throughout the year.
2. Deliver continuous enhancement and development of the Taxonomy Viewer solution by completing …</t>
        </is>
      </c>
      <c r="V267" s="31" t="inlineStr">
        <is>
          <t>Latest rating: 4 · Potential: Medium · 9-box: Trusted Professional · Readiness: Ready in 6–12 months</t>
        </is>
      </c>
      <c r="W267" s="31" t="inlineStr">
        <is>
          <t>C M · Au M · Ac M · L L · BI M · Exp H · 8.1 yrs vs 2–4 yrs · Edu H · MCA</t>
        </is>
      </c>
      <c r="X267" s="33" t="inlineStr">
        <is>
          <t>Open ▸</t>
        </is>
      </c>
      <c r="Y267" s="34" t="str">
        <f>IFERROR(INDEX(DL_C,MATCH($CA267,DL_KEY,0)),"M")</f>
        <v>H</v>
      </c>
      <c r="Z267" s="35" t="str">
        <f>IFERROR(INDEX(DL_Au,MATCH($CA267,DL_KEY,0)),"M")</f>
        <v>M</v>
      </c>
      <c r="AA267" s="35" t="str">
        <f>IFERROR(INDEX(DL_Ac,MATCH($CA267,DL_KEY,0)),"M")</f>
        <v>L</v>
      </c>
      <c r="AB267" s="35" t="str">
        <f>IFERROR(INDEX(DL_L,MATCH($CA267,DL_KEY,0)),"M")</f>
        <v>L</v>
      </c>
      <c r="AC267" s="35" t="str">
        <f>IFERROR(INDEX(DL_BI,MATCH($CA267,DL_KEY,0)),"M")</f>
        <v>L</v>
      </c>
      <c r="AD267" s="35" t="str">
        <f>IFERROR(INDEX(DL_Exp,MATCH($CA267,DL_KEY,0)),"M")</f>
        <v>L</v>
      </c>
      <c r="AE267" s="35" t="str">
        <f>IFERROR(INDEX(DL_Edu,MATCH($CA267,DL_KEY,0)),"M")</f>
        <v>L</v>
      </c>
      <c r="AF267" s="34" t="inlineStr">
        <is>
          <t>M</t>
        </is>
      </c>
      <c r="AG267" s="35" t="inlineStr">
        <is>
          <t>M</t>
        </is>
      </c>
      <c r="AH267" s="35" t="inlineStr">
        <is>
          <t>M</t>
        </is>
      </c>
      <c r="AI267" s="35" t="inlineStr">
        <is>
          <t>M</t>
        </is>
      </c>
      <c r="AJ267" s="35" t="inlineStr">
        <is>
          <t>M</t>
        </is>
      </c>
      <c r="AK267" s="35" t="inlineStr">
        <is>
          <t>M</t>
        </is>
      </c>
      <c r="AL267" s="35" t="inlineStr">
        <is>
          <t>M</t>
        </is>
      </c>
      <c r="AM267" s="36" t="n">
        <v>0.583</v>
      </c>
      <c r="AN267" s="37" t="n">
        <v>0.16</v>
      </c>
      <c r="AO267" s="37" t="n">
        <v>0.09</v>
      </c>
      <c r="AP267" s="37" t="n">
        <v>0</v>
      </c>
      <c r="AQ267" s="37" t="n">
        <v>0.063</v>
      </c>
      <c r="AR267" s="37" t="n">
        <v>0.06</v>
      </c>
      <c r="AS267" s="37" t="n">
        <v>0.04</v>
      </c>
      <c r="AT267" s="38" t="inlineStr">
        <is>
          <t>2–5</t>
        </is>
      </c>
      <c r="AU267" s="38" t="inlineStr">
        <is>
          <t>Graduate; relevant certification preferred</t>
        </is>
      </c>
      <c r="AV267" s="38" t="inlineStr">
        <is>
          <t>None · guides 1–3 juniors informally</t>
        </is>
      </c>
      <c r="AW267" s="38" t="inlineStr">
        <is>
          <t>P2 · SFIA 3 Apply</t>
        </is>
      </c>
      <c r="AX26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67" s="39" t="inlineStr">
        <is>
          <t>A3</t>
        </is>
      </c>
      <c r="AZ267" s="40" t="inlineStr">
        <is>
          <t>Band A · Practitioner · Senior Associate</t>
        </is>
      </c>
      <c r="BA267" s="40" t="inlineStr">
        <is>
          <t>Model A3 from the six ratings, the market-derived weights and rules R1–R13 · then No change · already below the manager</t>
        </is>
      </c>
      <c r="BB267" s="41" t="inlineStr">
        <is>
          <t>A3</t>
        </is>
      </c>
      <c r="BC267" s="40" t="inlineStr">
        <is>
          <t>The six ratings on the market-average weights of Band A · all tracks score 3.17 → A3 · Hay, Mercer IPE and public plans · experience 8.1 yrs vs the A3 market range 2–5</t>
        </is>
      </c>
      <c r="BD267" s="42">
        <f>IF(SUM(BM267,BN267,BO267,BP267,BQ267,BR267,BS267)=0,0,(BM267*BT267+BN267*BU267+BO267*BV267+BP267*BW267+BQ267*BX267+BR267*BY267+BS267*BZ267)/SUM(BM267,BN267,BO267,BP267,BQ267,BR267,BS267))</f>
        <v>0</v>
      </c>
      <c r="BE267" s="41" t="str">
        <f>IF(LEFT(AY267,1)="X",AY267,IF(OR(AY267="B+",AY267="C+"),INDEX(LAD_PC,MAX(1,MIN(14,MATCH(AY267,LAD_PC,0)+IF(BD267&gt;=0.5,1,IF(BD267&lt;=-0.5,-1,0))))),INDEX(LAD_STD,MAX(1,MIN(12,MATCH(AY267,LAD_STD,0)+IF(BD267&gt;=0.5,1,IF(BD267&lt;=-0.5,-1,0)))))))</f>
        <v>A3</v>
      </c>
      <c r="BF267" s="43" t="n"/>
      <c r="BG267" s="41" t="str">
        <f>IF(BF267&lt;&gt;"",BF267,BE267)</f>
        <v>A3</v>
      </c>
      <c r="BH267" s="40" t="str">
        <f>IFERROR(CHOOSE(INDEX(B_RANK,MATCH(BG267,B_LVL,0)),"Band A","Band B","B+ · Player-Coach","Band C","C+ · Player-Coach","Band D","Band E"),"Band X · Consultant")</f>
        <v>Band A</v>
      </c>
      <c r="BI267" s="40" t="str">
        <f>IF(BG267=AY267,"• Same",IF(INDEX(B_VAL,MATCH(BG267,B_LVL,0))&gt;INDEX(B_VAL,MATCH(AY267,B_LVL,0)),"▲ Up","▼ Down"))</f>
        <v>• Same</v>
      </c>
      <c r="BJ267" s="40" t="str">
        <f>IF(OR($M267="",$M267="—",$M267="Not in this file"),"",IFERROR(INDEX($BG$7:$BG$592,MATCH($M267,$D$7:$D$592,0)),""))</f>
        <v>B1</v>
      </c>
      <c r="BK267" s="40" t="str">
        <f>IFERROR(IF(BJ267="","—",IF(OR(LEFT(BG267,1)="X",LEFT(BJ267,1)="X"),"—",IF(AND(LEFT(BG267,1)="E",LEFT(BJ267,1)="E"),"Exception · Band E",IF(AND(INDEX(B_VAL,MATCH(BJ267,B_LVL,0))&gt;=7,INDEX(B_RANK,MATCH(BG267,B_LVL,0))&gt;=INDEX(B_RANK,MATCH(BJ267,B_LVL,0))),"⚠ Same band as a head manager",IF(INDEX(B_VAL,MATCH(BG267,B_LVL,0))&gt;=INDEX(B_VAL,MATCH(BJ267,B_LVL,0)),"⚠ At or above the manager's level","OK"))))),"—")</f>
        <v>OK</v>
      </c>
      <c r="BL267" s="43" t="n"/>
      <c r="BM267" s="44">
        <f>IFERROR(INDEX(LMH_PTS,MATCH(Y267,LMH_KEY,0)),0)</f>
        <v>9</v>
      </c>
      <c r="BN267" s="38">
        <f>IFERROR(INDEX(LMH_PTS,MATCH(Z267,LMH_KEY,0)),0)</f>
        <v>3</v>
      </c>
      <c r="BO267" s="38">
        <f>IFERROR(INDEX(LMH_PTS,MATCH(AA267,LMH_KEY,0)),0)</f>
        <v>1</v>
      </c>
      <c r="BP267" s="38">
        <f>IFERROR(INDEX(LMH_PTS,MATCH(AB267,LMH_KEY,0)),0)</f>
        <v>1</v>
      </c>
      <c r="BQ267" s="38">
        <f>IFERROR(INDEX(LMH_PTS,MATCH(AC267,LMH_KEY,0)),0)</f>
        <v>1</v>
      </c>
      <c r="BR267" s="38">
        <f>IFERROR(INDEX(LMH_PTS,MATCH(AD267,LMH_KEY,0)),0)</f>
        <v>1</v>
      </c>
      <c r="BS267" s="38">
        <f>IFERROR(INDEX(LMH_PTS,MATCH(AE267,LMH_KEY,0)),0)</f>
        <v>1</v>
      </c>
      <c r="BT267" s="38">
        <f>IFERROR(INDEX(LMH_STEP,MATCH(AF267,LMH_KEY,0)),0)</f>
        <v>0</v>
      </c>
      <c r="BU267" s="38">
        <f>IFERROR(INDEX(LMH_STEP,MATCH(AG267,LMH_KEY,0)),0)</f>
        <v>0</v>
      </c>
      <c r="BV267" s="38">
        <f>IFERROR(INDEX(LMH_STEP,MATCH(AH267,LMH_KEY,0)),0)</f>
        <v>0</v>
      </c>
      <c r="BW267" s="38">
        <f>IFERROR(INDEX(LMH_STEP,MATCH(AI267,LMH_KEY,0)),0)</f>
        <v>0</v>
      </c>
      <c r="BX267" s="38">
        <f>IFERROR(INDEX(LMH_STEP,MATCH(AJ267,LMH_KEY,0)),0)</f>
        <v>0</v>
      </c>
      <c r="BY267" s="38">
        <f>IFERROR(INDEX(LMH_STEP,MATCH(AK267,LMH_KEY,0)),0)</f>
        <v>0</v>
      </c>
      <c r="BZ267" s="38">
        <f>IFERROR(INDEX(LMH_STEP,MATCH(AL267,LMH_KEY,0)),0)</f>
        <v>0</v>
      </c>
      <c r="CA267" s="38" t="inlineStr">
        <is>
          <t>iFile|Technology|Senior Software Engineer|A3|A</t>
        </is>
      </c>
    </row>
    <row r="268" ht="110" customHeight="1">
      <c r="A268" s="28" t="inlineStr">
        <is>
          <t>iFile</t>
        </is>
      </c>
      <c r="B268" s="29" t="inlineStr">
        <is>
          <t>Technology</t>
        </is>
      </c>
      <c r="C268" s="29" t="n">
        <v>5</v>
      </c>
      <c r="D268" s="29" t="inlineStr">
        <is>
          <t>IRIS2026</t>
        </is>
      </c>
      <c r="E268" s="29" t="inlineStr">
        <is>
          <t>Shubhangi Vaidya</t>
        </is>
      </c>
      <c r="F268" s="29" t="inlineStr">
        <is>
          <t>Software Engineer</t>
        </is>
      </c>
      <c r="G268" s="29" t="inlineStr">
        <is>
          <t>Senior Software Engineer</t>
        </is>
      </c>
      <c r="H268" s="29" t="inlineStr">
        <is>
          <t>Engineering &amp; Development</t>
        </is>
      </c>
      <c r="I268" s="29" t="inlineStr">
        <is>
          <t>Backend Development</t>
        </is>
      </c>
      <c r="J268" s="29" t="inlineStr">
        <is>
          <t>IC</t>
        </is>
      </c>
      <c r="K268" s="29" t="inlineStr">
        <is>
          <t>RC-067</t>
        </is>
      </c>
      <c r="L268" s="29" t="inlineStr">
        <is>
          <t>Manish Chouhan</t>
        </is>
      </c>
      <c r="M268" s="29" t="inlineStr">
        <is>
          <t>IRIS1627</t>
        </is>
      </c>
      <c r="N268" s="29" t="n">
        <v>5.6</v>
      </c>
      <c r="O268" s="29" t="n">
        <v>4.3</v>
      </c>
      <c r="P268" s="29" t="inlineStr">
        <is>
          <t>MCA</t>
        </is>
      </c>
      <c r="Q268" s="29" t="inlineStr">
        <is>
          <t>L3 – Professional / Associate</t>
        </is>
      </c>
      <c r="R268" s="29" t="inlineStr">
        <is>
          <t>A3</t>
        </is>
      </c>
      <c r="S268" s="30" t="inlineStr">
        <is>
          <t>20 of 20</t>
        </is>
      </c>
      <c r="T268" s="31" t="inlineStr">
        <is>
          <t>Complexity: Evidence reads like A2: Development and fixes for client support issues; KRA says XBRL knowledge not yet independent → matches the start
Autonomy: Evidence reads like A2: Decides bug fixes → matches the start
Accountability: Evidence reads like A2: Accountable for timelines and functionality working; says errors mean rework → matches the …</t>
        </is>
      </c>
      <c r="U268" s="31" t="inlineStr">
        <is>
          <t>Received · manager annual, quarterly · 1. Ensure stable production support and maintenance for regulatory applications · CBJ iFile, CMA Oman, SSM, Tadawul, JCM, etc. by maintaining 95% SLA compliance and high application availability throughout the year.
2. Deliver approved application enhancements and strategic development initiatives, including SBC …</t>
        </is>
      </c>
      <c r="V268" s="31" t="inlineStr">
        <is>
          <t>Latest rating: 4 · Potential: Medium · 9-box: Trusted Professional · Readiness: Ready in 6–12 months</t>
        </is>
      </c>
      <c r="W268" s="31" t="inlineStr">
        <is>
          <t>C L · Au L · Ac L · L L · BI L · Exp H · 5.6 yrs vs 2–4 yrs · Edu H · MCA</t>
        </is>
      </c>
      <c r="X268" s="33" t="inlineStr">
        <is>
          <t>Open ▸</t>
        </is>
      </c>
      <c r="Y268" s="34" t="str">
        <f>IFERROR(INDEX(DL_C,MATCH($CA268,DL_KEY,0)),"M")</f>
        <v>H</v>
      </c>
      <c r="Z268" s="35" t="str">
        <f>IFERROR(INDEX(DL_Au,MATCH($CA268,DL_KEY,0)),"M")</f>
        <v>M</v>
      </c>
      <c r="AA268" s="35" t="str">
        <f>IFERROR(INDEX(DL_Ac,MATCH($CA268,DL_KEY,0)),"M")</f>
        <v>L</v>
      </c>
      <c r="AB268" s="35" t="str">
        <f>IFERROR(INDEX(DL_L,MATCH($CA268,DL_KEY,0)),"M")</f>
        <v>L</v>
      </c>
      <c r="AC268" s="35" t="str">
        <f>IFERROR(INDEX(DL_BI,MATCH($CA268,DL_KEY,0)),"M")</f>
        <v>L</v>
      </c>
      <c r="AD268" s="35" t="str">
        <f>IFERROR(INDEX(DL_Exp,MATCH($CA268,DL_KEY,0)),"M")</f>
        <v>L</v>
      </c>
      <c r="AE268" s="35" t="str">
        <f>IFERROR(INDEX(DL_Edu,MATCH($CA268,DL_KEY,0)),"M")</f>
        <v>L</v>
      </c>
      <c r="AF268" s="34" t="inlineStr">
        <is>
          <t>M</t>
        </is>
      </c>
      <c r="AG268" s="35" t="inlineStr">
        <is>
          <t>M</t>
        </is>
      </c>
      <c r="AH268" s="35" t="inlineStr">
        <is>
          <t>M</t>
        </is>
      </c>
      <c r="AI268" s="35" t="inlineStr">
        <is>
          <t>M</t>
        </is>
      </c>
      <c r="AJ268" s="35" t="inlineStr">
        <is>
          <t>M</t>
        </is>
      </c>
      <c r="AK268" s="35" t="inlineStr">
        <is>
          <t>M</t>
        </is>
      </c>
      <c r="AL268" s="35" t="inlineStr">
        <is>
          <t>M</t>
        </is>
      </c>
      <c r="AM268" s="36" t="n">
        <v>0.583</v>
      </c>
      <c r="AN268" s="37" t="n">
        <v>0.16</v>
      </c>
      <c r="AO268" s="37" t="n">
        <v>0.09</v>
      </c>
      <c r="AP268" s="37" t="n">
        <v>0</v>
      </c>
      <c r="AQ268" s="37" t="n">
        <v>0.063</v>
      </c>
      <c r="AR268" s="37" t="n">
        <v>0.06</v>
      </c>
      <c r="AS268" s="37" t="n">
        <v>0.04</v>
      </c>
      <c r="AT268" s="38" t="inlineStr">
        <is>
          <t>2–5</t>
        </is>
      </c>
      <c r="AU268" s="38" t="inlineStr">
        <is>
          <t>Graduate; relevant certification preferred</t>
        </is>
      </c>
      <c r="AV268" s="38" t="inlineStr">
        <is>
          <t>None · guides 1–3 juniors informally</t>
        </is>
      </c>
      <c r="AW268" s="38" t="inlineStr">
        <is>
          <t>P2 · SFIA 3 Apply</t>
        </is>
      </c>
      <c r="AX26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68" s="39" t="inlineStr">
        <is>
          <t>A3</t>
        </is>
      </c>
      <c r="AZ268" s="40" t="inlineStr">
        <is>
          <t>Band A · Practitioner · Senior Associate</t>
        </is>
      </c>
      <c r="BA268" s="40" t="inlineStr">
        <is>
          <t>Model A3 from the six ratings, the market-derived weights and rules R1–R13 · then No change · already below the manager</t>
        </is>
      </c>
      <c r="BB268" s="41" t="inlineStr">
        <is>
          <t>A2</t>
        </is>
      </c>
      <c r="BC268" s="40" t="inlineStr">
        <is>
          <t>The six ratings on the market-average weights of Band A · all tracks score 2.25 → A2 · Hay, Mercer IPE and public plans · experience 5.6 yrs vs the A2 market range 0–3</t>
        </is>
      </c>
      <c r="BD268" s="42">
        <f>IF(SUM(BM268,BN268,BO268,BP268,BQ268,BR268,BS268)=0,0,(BM268*BT268+BN268*BU268+BO268*BV268+BP268*BW268+BQ268*BX268+BR268*BY268+BS268*BZ268)/SUM(BM268,BN268,BO268,BP268,BQ268,BR268,BS268))</f>
        <v>0</v>
      </c>
      <c r="BE268" s="41" t="str">
        <f>IF(LEFT(AY268,1)="X",AY268,IF(OR(AY268="B+",AY268="C+"),INDEX(LAD_PC,MAX(1,MIN(14,MATCH(AY268,LAD_PC,0)+IF(BD268&gt;=0.5,1,IF(BD268&lt;=-0.5,-1,0))))),INDEX(LAD_STD,MAX(1,MIN(12,MATCH(AY268,LAD_STD,0)+IF(BD268&gt;=0.5,1,IF(BD268&lt;=-0.5,-1,0)))))))</f>
        <v>A3</v>
      </c>
      <c r="BF268" s="43" t="n"/>
      <c r="BG268" s="41" t="str">
        <f>IF(BF268&lt;&gt;"",BF268,BE268)</f>
        <v>A3</v>
      </c>
      <c r="BH268" s="40" t="str">
        <f>IFERROR(CHOOSE(INDEX(B_RANK,MATCH(BG268,B_LVL,0)),"Band A","Band B","B+ · Player-Coach","Band C","C+ · Player-Coach","Band D","Band E"),"Band X · Consultant")</f>
        <v>Band A</v>
      </c>
      <c r="BI268" s="40" t="str">
        <f>IF(BG268=AY268,"• Same",IF(INDEX(B_VAL,MATCH(BG268,B_LVL,0))&gt;INDEX(B_VAL,MATCH(AY268,B_LVL,0)),"▲ Up","▼ Down"))</f>
        <v>• Same</v>
      </c>
      <c r="BJ268" s="40" t="str">
        <f>IF(OR($M268="",$M268="—",$M268="Not in this file"),"",IFERROR(INDEX($BG$7:$BG$592,MATCH($M268,$D$7:$D$592,0)),""))</f>
        <v>B1</v>
      </c>
      <c r="BK268" s="40" t="str">
        <f>IFERROR(IF(BJ268="","—",IF(OR(LEFT(BG268,1)="X",LEFT(BJ268,1)="X"),"—",IF(AND(LEFT(BG268,1)="E",LEFT(BJ268,1)="E"),"Exception · Band E",IF(AND(INDEX(B_VAL,MATCH(BJ268,B_LVL,0))&gt;=7,INDEX(B_RANK,MATCH(BG268,B_LVL,0))&gt;=INDEX(B_RANK,MATCH(BJ268,B_LVL,0))),"⚠ Same band as a head manager",IF(INDEX(B_VAL,MATCH(BG268,B_LVL,0))&gt;=INDEX(B_VAL,MATCH(BJ268,B_LVL,0)),"⚠ At or above the manager's level","OK"))))),"—")</f>
        <v>OK</v>
      </c>
      <c r="BL268" s="43" t="n"/>
      <c r="BM268" s="44">
        <f>IFERROR(INDEX(LMH_PTS,MATCH(Y268,LMH_KEY,0)),0)</f>
        <v>9</v>
      </c>
      <c r="BN268" s="38">
        <f>IFERROR(INDEX(LMH_PTS,MATCH(Z268,LMH_KEY,0)),0)</f>
        <v>3</v>
      </c>
      <c r="BO268" s="38">
        <f>IFERROR(INDEX(LMH_PTS,MATCH(AA268,LMH_KEY,0)),0)</f>
        <v>1</v>
      </c>
      <c r="BP268" s="38">
        <f>IFERROR(INDEX(LMH_PTS,MATCH(AB268,LMH_KEY,0)),0)</f>
        <v>1</v>
      </c>
      <c r="BQ268" s="38">
        <f>IFERROR(INDEX(LMH_PTS,MATCH(AC268,LMH_KEY,0)),0)</f>
        <v>1</v>
      </c>
      <c r="BR268" s="38">
        <f>IFERROR(INDEX(LMH_PTS,MATCH(AD268,LMH_KEY,0)),0)</f>
        <v>1</v>
      </c>
      <c r="BS268" s="38">
        <f>IFERROR(INDEX(LMH_PTS,MATCH(AE268,LMH_KEY,0)),0)</f>
        <v>1</v>
      </c>
      <c r="BT268" s="38">
        <f>IFERROR(INDEX(LMH_STEP,MATCH(AF268,LMH_KEY,0)),0)</f>
        <v>0</v>
      </c>
      <c r="BU268" s="38">
        <f>IFERROR(INDEX(LMH_STEP,MATCH(AG268,LMH_KEY,0)),0)</f>
        <v>0</v>
      </c>
      <c r="BV268" s="38">
        <f>IFERROR(INDEX(LMH_STEP,MATCH(AH268,LMH_KEY,0)),0)</f>
        <v>0</v>
      </c>
      <c r="BW268" s="38">
        <f>IFERROR(INDEX(LMH_STEP,MATCH(AI268,LMH_KEY,0)),0)</f>
        <v>0</v>
      </c>
      <c r="BX268" s="38">
        <f>IFERROR(INDEX(LMH_STEP,MATCH(AJ268,LMH_KEY,0)),0)</f>
        <v>0</v>
      </c>
      <c r="BY268" s="38">
        <f>IFERROR(INDEX(LMH_STEP,MATCH(AK268,LMH_KEY,0)),0)</f>
        <v>0</v>
      </c>
      <c r="BZ268" s="38">
        <f>IFERROR(INDEX(LMH_STEP,MATCH(AL268,LMH_KEY,0)),0)</f>
        <v>0</v>
      </c>
      <c r="CA268" s="38" t="inlineStr">
        <is>
          <t>iFile|Technology|Senior Software Engineer|A3|A</t>
        </is>
      </c>
    </row>
    <row r="269" ht="110" customHeight="1">
      <c r="A269" s="28" t="inlineStr">
        <is>
          <t>iFile</t>
        </is>
      </c>
      <c r="B269" s="29" t="inlineStr">
        <is>
          <t>Technology</t>
        </is>
      </c>
      <c r="C269" s="29" t="n">
        <v>4</v>
      </c>
      <c r="D269" s="29" t="inlineStr">
        <is>
          <t>IRIS1550</t>
        </is>
      </c>
      <c r="E269" s="29" t="inlineStr">
        <is>
          <t>Paresh Patil</t>
        </is>
      </c>
      <c r="F269" s="29" t="inlineStr">
        <is>
          <t>Senior Software Engineer</t>
        </is>
      </c>
      <c r="G269" s="29" t="inlineStr">
        <is>
          <t>Technical Specialist – POD Lead</t>
        </is>
      </c>
      <c r="H269" s="29" t="inlineStr">
        <is>
          <t>Engineering &amp; Development</t>
        </is>
      </c>
      <c r="I269" s="29" t="inlineStr">
        <is>
          <t>Full-Stack Development</t>
        </is>
      </c>
      <c r="J269" s="29" t="inlineStr">
        <is>
          <t>POD Lead</t>
        </is>
      </c>
      <c r="K269" s="29" t="inlineStr">
        <is>
          <t>RC-086</t>
        </is>
      </c>
      <c r="L269" s="29" t="inlineStr">
        <is>
          <t>Sharanagouda Patil</t>
        </is>
      </c>
      <c r="M269" s="29" t="inlineStr">
        <is>
          <t>IRIS1690</t>
        </is>
      </c>
      <c r="N269" s="29" t="n">
        <v>11.2</v>
      </c>
      <c r="O269" s="29" t="n">
        <v>11.2</v>
      </c>
      <c r="P269" s="29" t="inlineStr">
        <is>
          <t>B.E</t>
        </is>
      </c>
      <c r="Q269" s="29" t="inlineStr">
        <is>
          <t>L4 – Senior</t>
        </is>
      </c>
      <c r="R269" s="29" t="inlineStr">
        <is>
          <t>B1</t>
        </is>
      </c>
      <c r="S269" s="30" t="inlineStr">
        <is>
          <t>20 of 20</t>
        </is>
      </c>
      <c r="T269" s="31" t="inlineStr">
        <is>
          <t>Complexity: Evidence reads like A3: Develops and supports regulator software across application, database, IIS and integration layers; XBRL validation → matches the start
Autonomy: Evidence reads like A3: Diagnoses issues, picks implementation approach, changes application/database code and optimises without checking → matches the start
Accountability: …</t>
        </is>
      </c>
      <c r="U269" s="31" t="inlineStr">
        <is>
          <t>Received · quarterly · KRAs not received · manager to supply</t>
        </is>
      </c>
      <c r="V269" s="31" t="inlineStr">
        <is>
          <t>Latest rating: 4 · Potential: High · 9-box: High Impact / Growth Talent · Readiness: Ready now</t>
        </is>
      </c>
      <c r="W269" s="31" t="inlineStr">
        <is>
          <t>C L · Au L · Ac M · L L · BI M · Exp H · 11.2 yrs vs 4–7 yrs · Edu M · B.E</t>
        </is>
      </c>
      <c r="X269" s="33" t="inlineStr">
        <is>
          <t>Open ▸</t>
        </is>
      </c>
      <c r="Y269" s="34" t="str">
        <f>IFERROR(INDEX(DL_C,MATCH($CA269,DL_KEY,0)),"M")</f>
        <v>H</v>
      </c>
      <c r="Z269" s="35" t="str">
        <f>IFERROR(INDEX(DL_Au,MATCH($CA269,DL_KEY,0)),"M")</f>
        <v>M</v>
      </c>
      <c r="AA269" s="35" t="str">
        <f>IFERROR(INDEX(DL_Ac,MATCH($CA269,DL_KEY,0)),"M")</f>
        <v>L</v>
      </c>
      <c r="AB269" s="35" t="str">
        <f>IFERROR(INDEX(DL_L,MATCH($CA269,DL_KEY,0)),"M")</f>
        <v>L</v>
      </c>
      <c r="AC269" s="35" t="str">
        <f>IFERROR(INDEX(DL_BI,MATCH($CA269,DL_KEY,0)),"M")</f>
        <v>L</v>
      </c>
      <c r="AD269" s="35" t="str">
        <f>IFERROR(INDEX(DL_Exp,MATCH($CA269,DL_KEY,0)),"M")</f>
        <v>L</v>
      </c>
      <c r="AE269" s="35" t="str">
        <f>IFERROR(INDEX(DL_Edu,MATCH($CA269,DL_KEY,0)),"M")</f>
        <v>L</v>
      </c>
      <c r="AF269" s="34" t="inlineStr">
        <is>
          <t>M</t>
        </is>
      </c>
      <c r="AG269" s="35" t="inlineStr">
        <is>
          <t>M</t>
        </is>
      </c>
      <c r="AH269" s="35" t="inlineStr">
        <is>
          <t>M</t>
        </is>
      </c>
      <c r="AI269" s="35" t="inlineStr">
        <is>
          <t>M</t>
        </is>
      </c>
      <c r="AJ269" s="35" t="inlineStr">
        <is>
          <t>M</t>
        </is>
      </c>
      <c r="AK269" s="35" t="inlineStr">
        <is>
          <t>M</t>
        </is>
      </c>
      <c r="AL269" s="35" t="inlineStr">
        <is>
          <t>M</t>
        </is>
      </c>
      <c r="AM269" s="36" t="n">
        <v>0.513</v>
      </c>
      <c r="AN269" s="37" t="n">
        <v>0.173</v>
      </c>
      <c r="AO269" s="37" t="n">
        <v>0.09699999999999999</v>
      </c>
      <c r="AP269" s="37" t="n">
        <v>0.05</v>
      </c>
      <c r="AQ269" s="37" t="n">
        <v>0.07000000000000001</v>
      </c>
      <c r="AR269" s="37" t="n">
        <v>0.06</v>
      </c>
      <c r="AS269" s="37" t="n">
        <v>0.04</v>
      </c>
      <c r="AT269" s="38" t="inlineStr">
        <is>
          <t>4–8</t>
        </is>
      </c>
      <c r="AU269" s="38" t="inlineStr">
        <is>
          <t>Graduate + relevant qualification or certification preferred</t>
        </is>
      </c>
      <c r="AV269" s="38" t="inlineStr">
        <is>
          <t>IC: none · Team Lead: 3–5</t>
        </is>
      </c>
      <c r="AW269" s="38" t="inlineStr">
        <is>
          <t>P3 / M2 · SFIA 4 Enable</t>
        </is>
      </c>
      <c r="AX26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69" s="39" t="inlineStr">
        <is>
          <t>B1</t>
        </is>
      </c>
      <c r="AZ269" s="40" t="inlineStr">
        <is>
          <t>Band B · Specialist / Manager · Team Lead / Asst Manager</t>
        </is>
      </c>
      <c r="BA269" s="40" t="inlineStr">
        <is>
          <t>Model B1 from the six ratings, the market-derived weights and rules R1–R13 · then No change · already below the manager</t>
        </is>
      </c>
      <c r="BB269" s="41" t="inlineStr">
        <is>
          <t>A3</t>
        </is>
      </c>
      <c r="BC269" s="40" t="inlineStr">
        <is>
          <t>The six ratings on the market-average weights of Band B · Specialist / POD Lead score 3.43 → A3 · Hay, Mercer IPE and public plans · experience 11.2 yrs vs the A3 market range 2–5</t>
        </is>
      </c>
      <c r="BD269" s="42">
        <f>IF(SUM(BM269,BN269,BO269,BP269,BQ269,BR269,BS269)=0,0,(BM269*BT269+BN269*BU269+BO269*BV269+BP269*BW269+BQ269*BX269+BR269*BY269+BS269*BZ269)/SUM(BM269,BN269,BO269,BP269,BQ269,BR269,BS269))</f>
        <v>0</v>
      </c>
      <c r="BE269" s="41" t="str">
        <f>IF(LEFT(AY269,1)="X",AY269,IF(OR(AY269="B+",AY269="C+"),INDEX(LAD_PC,MAX(1,MIN(14,MATCH(AY269,LAD_PC,0)+IF(BD269&gt;=0.5,1,IF(BD269&lt;=-0.5,-1,0))))),INDEX(LAD_STD,MAX(1,MIN(12,MATCH(AY269,LAD_STD,0)+IF(BD269&gt;=0.5,1,IF(BD269&lt;=-0.5,-1,0)))))))</f>
        <v>B1</v>
      </c>
      <c r="BF269" s="43" t="n"/>
      <c r="BG269" s="41" t="str">
        <f>IF(BF269&lt;&gt;"",BF269,BE269)</f>
        <v>B1</v>
      </c>
      <c r="BH269" s="40" t="str">
        <f>IFERROR(CHOOSE(INDEX(B_RANK,MATCH(BG269,B_LVL,0)),"Band A","Band B","B+ · Player-Coach","Band C","C+ · Player-Coach","Band D","Band E"),"Band X · Consultant")</f>
        <v>Band B</v>
      </c>
      <c r="BI269" s="40" t="str">
        <f>IF(BG269=AY269,"• Same",IF(INDEX(B_VAL,MATCH(BG269,B_LVL,0))&gt;INDEX(B_VAL,MATCH(AY269,B_LVL,0)),"▲ Up","▼ Down"))</f>
        <v>• Same</v>
      </c>
      <c r="BJ269" s="40" t="str">
        <f>IF(OR($M269="",$M269="—",$M269="Not in this file"),"",IFERROR(INDEX($BG$7:$BG$592,MATCH($M269,$D$7:$D$592,0)),""))</f>
        <v>B3</v>
      </c>
      <c r="BK269" s="40" t="str">
        <f>IFERROR(IF(BJ269="","—",IF(OR(LEFT(BG269,1)="X",LEFT(BJ269,1)="X"),"—",IF(AND(LEFT(BG269,1)="E",LEFT(BJ269,1)="E"),"Exception · Band E",IF(AND(INDEX(B_VAL,MATCH(BJ269,B_LVL,0))&gt;=7,INDEX(B_RANK,MATCH(BG269,B_LVL,0))&gt;=INDEX(B_RANK,MATCH(BJ269,B_LVL,0))),"⚠ Same band as a head manager",IF(INDEX(B_VAL,MATCH(BG269,B_LVL,0))&gt;=INDEX(B_VAL,MATCH(BJ269,B_LVL,0)),"⚠ At or above the manager's level","OK"))))),"—")</f>
        <v>OK</v>
      </c>
      <c r="BL269" s="43" t="n"/>
      <c r="BM269" s="44">
        <f>IFERROR(INDEX(LMH_PTS,MATCH(Y269,LMH_KEY,0)),0)</f>
        <v>9</v>
      </c>
      <c r="BN269" s="38">
        <f>IFERROR(INDEX(LMH_PTS,MATCH(Z269,LMH_KEY,0)),0)</f>
        <v>3</v>
      </c>
      <c r="BO269" s="38">
        <f>IFERROR(INDEX(LMH_PTS,MATCH(AA269,LMH_KEY,0)),0)</f>
        <v>1</v>
      </c>
      <c r="BP269" s="38">
        <f>IFERROR(INDEX(LMH_PTS,MATCH(AB269,LMH_KEY,0)),0)</f>
        <v>1</v>
      </c>
      <c r="BQ269" s="38">
        <f>IFERROR(INDEX(LMH_PTS,MATCH(AC269,LMH_KEY,0)),0)</f>
        <v>1</v>
      </c>
      <c r="BR269" s="38">
        <f>IFERROR(INDEX(LMH_PTS,MATCH(AD269,LMH_KEY,0)),0)</f>
        <v>1</v>
      </c>
      <c r="BS269" s="38">
        <f>IFERROR(INDEX(LMH_PTS,MATCH(AE269,LMH_KEY,0)),0)</f>
        <v>1</v>
      </c>
      <c r="BT269" s="38">
        <f>IFERROR(INDEX(LMH_STEP,MATCH(AF269,LMH_KEY,0)),0)</f>
        <v>0</v>
      </c>
      <c r="BU269" s="38">
        <f>IFERROR(INDEX(LMH_STEP,MATCH(AG269,LMH_KEY,0)),0)</f>
        <v>0</v>
      </c>
      <c r="BV269" s="38">
        <f>IFERROR(INDEX(LMH_STEP,MATCH(AH269,LMH_KEY,0)),0)</f>
        <v>0</v>
      </c>
      <c r="BW269" s="38">
        <f>IFERROR(INDEX(LMH_STEP,MATCH(AI269,LMH_KEY,0)),0)</f>
        <v>0</v>
      </c>
      <c r="BX269" s="38">
        <f>IFERROR(INDEX(LMH_STEP,MATCH(AJ269,LMH_KEY,0)),0)</f>
        <v>0</v>
      </c>
      <c r="BY269" s="38">
        <f>IFERROR(INDEX(LMH_STEP,MATCH(AK269,LMH_KEY,0)),0)</f>
        <v>0</v>
      </c>
      <c r="BZ269" s="38">
        <f>IFERROR(INDEX(LMH_STEP,MATCH(AL269,LMH_KEY,0)),0)</f>
        <v>0</v>
      </c>
      <c r="CA269" s="38" t="inlineStr">
        <is>
          <t>iFile|Technology|Technical Specialist – POD Lead|B1|B-IC</t>
        </is>
      </c>
    </row>
    <row r="270" ht="110" customHeight="1">
      <c r="A270" s="28" t="inlineStr">
        <is>
          <t>iFile</t>
        </is>
      </c>
      <c r="B270" s="29" t="inlineStr">
        <is>
          <t>Technology</t>
        </is>
      </c>
      <c r="C270" s="29" t="n">
        <v>5</v>
      </c>
      <c r="D270" s="29" t="inlineStr">
        <is>
          <t>IRIS2185</t>
        </is>
      </c>
      <c r="E270" s="29" t="inlineStr">
        <is>
          <t>Devkumar Nishad</t>
        </is>
      </c>
      <c r="F270" s="29" t="inlineStr">
        <is>
          <t>Junior Software Engineer</t>
        </is>
      </c>
      <c r="G270" s="29" t="inlineStr">
        <is>
          <t>Senior Software Engineer</t>
        </is>
      </c>
      <c r="H270" s="29" t="inlineStr">
        <is>
          <t>Engineering &amp; Development</t>
        </is>
      </c>
      <c r="I270" s="29" t="inlineStr">
        <is>
          <t>Full-Stack Development</t>
        </is>
      </c>
      <c r="J270" s="29" t="inlineStr">
        <is>
          <t>IC</t>
        </is>
      </c>
      <c r="K270" s="29" t="inlineStr">
        <is>
          <t>RC-085</t>
        </is>
      </c>
      <c r="L270" s="29" t="inlineStr">
        <is>
          <t>Paresh Patil</t>
        </is>
      </c>
      <c r="M270" s="29" t="inlineStr">
        <is>
          <t>IRIS1550</t>
        </is>
      </c>
      <c r="N270" s="29" t="n">
        <v>3</v>
      </c>
      <c r="O270" s="29" t="n">
        <v>3</v>
      </c>
      <c r="P270" s="29" t="inlineStr">
        <is>
          <t>PG-DAC</t>
        </is>
      </c>
      <c r="Q270" s="29" t="inlineStr">
        <is>
          <t>L3 – Professional / Associate</t>
        </is>
      </c>
      <c r="R270" s="29" t="inlineStr">
        <is>
          <t>A3</t>
        </is>
      </c>
      <c r="S270" s="30" t="inlineStr">
        <is>
          <t>20 of 20</t>
        </is>
      </c>
      <c r="T270" s="31" t="inlineStr">
        <is>
          <t>Complexity: Evidence reads like A3: Webform customisation across IFSCA, GTA, MBRS, RMA projects; impact testing of new features on existing ones → moved up 0.5
Autonomy: Evidence reads like A3: Decides how to customise new features; discusses requirements and dependencies beforehand → moved up 0.5
Accountability: Evidence reads like A3: End-to-end feature …</t>
        </is>
      </c>
      <c r="U270" s="31" t="inlineStr">
        <is>
          <t>Received · quarterly · KRAs not received · manager to supply</t>
        </is>
      </c>
      <c r="V270" s="31" t="inlineStr">
        <is>
          <t>Latest rating: 4 · Potential: Medium · 9-box: Trusted Professional · Readiness: Ready in 6–12 months</t>
        </is>
      </c>
      <c r="W270" s="31" t="inlineStr">
        <is>
          <t>C M · Au M · Ac M · L L · BI M · Exp M · 3 yrs vs 2–4 yrs · Edu H · PG-DAC</t>
        </is>
      </c>
      <c r="X270" s="33" t="inlineStr">
        <is>
          <t>Open ▸</t>
        </is>
      </c>
      <c r="Y270" s="34" t="str">
        <f>IFERROR(INDEX(DL_C,MATCH($CA270,DL_KEY,0)),"M")</f>
        <v>H</v>
      </c>
      <c r="Z270" s="35" t="str">
        <f>IFERROR(INDEX(DL_Au,MATCH($CA270,DL_KEY,0)),"M")</f>
        <v>M</v>
      </c>
      <c r="AA270" s="35" t="str">
        <f>IFERROR(INDEX(DL_Ac,MATCH($CA270,DL_KEY,0)),"M")</f>
        <v>L</v>
      </c>
      <c r="AB270" s="35" t="str">
        <f>IFERROR(INDEX(DL_L,MATCH($CA270,DL_KEY,0)),"M")</f>
        <v>L</v>
      </c>
      <c r="AC270" s="35" t="str">
        <f>IFERROR(INDEX(DL_BI,MATCH($CA270,DL_KEY,0)),"M")</f>
        <v>L</v>
      </c>
      <c r="AD270" s="35" t="str">
        <f>IFERROR(INDEX(DL_Exp,MATCH($CA270,DL_KEY,0)),"M")</f>
        <v>L</v>
      </c>
      <c r="AE270" s="35" t="str">
        <f>IFERROR(INDEX(DL_Edu,MATCH($CA270,DL_KEY,0)),"M")</f>
        <v>L</v>
      </c>
      <c r="AF270" s="34" t="inlineStr">
        <is>
          <t>M</t>
        </is>
      </c>
      <c r="AG270" s="35" t="inlineStr">
        <is>
          <t>M</t>
        </is>
      </c>
      <c r="AH270" s="35" t="inlineStr">
        <is>
          <t>M</t>
        </is>
      </c>
      <c r="AI270" s="35" t="inlineStr">
        <is>
          <t>M</t>
        </is>
      </c>
      <c r="AJ270" s="35" t="inlineStr">
        <is>
          <t>M</t>
        </is>
      </c>
      <c r="AK270" s="35" t="inlineStr">
        <is>
          <t>M</t>
        </is>
      </c>
      <c r="AL270" s="35" t="inlineStr">
        <is>
          <t>M</t>
        </is>
      </c>
      <c r="AM270" s="36" t="n">
        <v>0.583</v>
      </c>
      <c r="AN270" s="37" t="n">
        <v>0.16</v>
      </c>
      <c r="AO270" s="37" t="n">
        <v>0.09</v>
      </c>
      <c r="AP270" s="37" t="n">
        <v>0</v>
      </c>
      <c r="AQ270" s="37" t="n">
        <v>0.063</v>
      </c>
      <c r="AR270" s="37" t="n">
        <v>0.06</v>
      </c>
      <c r="AS270" s="37" t="n">
        <v>0.04</v>
      </c>
      <c r="AT270" s="38" t="inlineStr">
        <is>
          <t>2–5</t>
        </is>
      </c>
      <c r="AU270" s="38" t="inlineStr">
        <is>
          <t>Graduate; relevant certification preferred</t>
        </is>
      </c>
      <c r="AV270" s="38" t="inlineStr">
        <is>
          <t>None · guides 1–3 juniors informally</t>
        </is>
      </c>
      <c r="AW270" s="38" t="inlineStr">
        <is>
          <t>P2 · SFIA 3 Apply</t>
        </is>
      </c>
      <c r="AX27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70" s="39" t="inlineStr">
        <is>
          <t>A3</t>
        </is>
      </c>
      <c r="AZ270" s="40" t="inlineStr">
        <is>
          <t>Band A · Practitioner · Senior Associate</t>
        </is>
      </c>
      <c r="BA270" s="40" t="inlineStr">
        <is>
          <t>Model A3 from the six ratings, the market-derived weights and rules R1–R13 · then No change · already below the manager</t>
        </is>
      </c>
      <c r="BB270" s="41" t="inlineStr">
        <is>
          <t>A3</t>
        </is>
      </c>
      <c r="BC270" s="40" t="inlineStr">
        <is>
          <t>The six ratings on the market-average weights of Band A · all tracks score 2.60 → A3 · Hay, Mercer IPE and public plans · experience 3 yrs vs the A3 market range 2–5</t>
        </is>
      </c>
      <c r="BD270" s="42">
        <f>IF(SUM(BM270,BN270,BO270,BP270,BQ270,BR270,BS270)=0,0,(BM270*BT270+BN270*BU270+BO270*BV270+BP270*BW270+BQ270*BX270+BR270*BY270+BS270*BZ270)/SUM(BM270,BN270,BO270,BP270,BQ270,BR270,BS270))</f>
        <v>0</v>
      </c>
      <c r="BE270" s="41" t="str">
        <f>IF(LEFT(AY270,1)="X",AY270,IF(OR(AY270="B+",AY270="C+"),INDEX(LAD_PC,MAX(1,MIN(14,MATCH(AY270,LAD_PC,0)+IF(BD270&gt;=0.5,1,IF(BD270&lt;=-0.5,-1,0))))),INDEX(LAD_STD,MAX(1,MIN(12,MATCH(AY270,LAD_STD,0)+IF(BD270&gt;=0.5,1,IF(BD270&lt;=-0.5,-1,0)))))))</f>
        <v>A3</v>
      </c>
      <c r="BF270" s="43" t="n"/>
      <c r="BG270" s="41" t="str">
        <f>IF(BF270&lt;&gt;"",BF270,BE270)</f>
        <v>A3</v>
      </c>
      <c r="BH270" s="40" t="str">
        <f>IFERROR(CHOOSE(INDEX(B_RANK,MATCH(BG270,B_LVL,0)),"Band A","Band B","B+ · Player-Coach","Band C","C+ · Player-Coach","Band D","Band E"),"Band X · Consultant")</f>
        <v>Band A</v>
      </c>
      <c r="BI270" s="40" t="str">
        <f>IF(BG270=AY270,"• Same",IF(INDEX(B_VAL,MATCH(BG270,B_LVL,0))&gt;INDEX(B_VAL,MATCH(AY270,B_LVL,0)),"▲ Up","▼ Down"))</f>
        <v>• Same</v>
      </c>
      <c r="BJ270" s="40" t="str">
        <f>IF(OR($M270="",$M270="—",$M270="Not in this file"),"",IFERROR(INDEX($BG$7:$BG$592,MATCH($M270,$D$7:$D$592,0)),""))</f>
        <v>B1</v>
      </c>
      <c r="BK270" s="40" t="str">
        <f>IFERROR(IF(BJ270="","—",IF(OR(LEFT(BG270,1)="X",LEFT(BJ270,1)="X"),"—",IF(AND(LEFT(BG270,1)="E",LEFT(BJ270,1)="E"),"Exception · Band E",IF(AND(INDEX(B_VAL,MATCH(BJ270,B_LVL,0))&gt;=7,INDEX(B_RANK,MATCH(BG270,B_LVL,0))&gt;=INDEX(B_RANK,MATCH(BJ270,B_LVL,0))),"⚠ Same band as a head manager",IF(INDEX(B_VAL,MATCH(BG270,B_LVL,0))&gt;=INDEX(B_VAL,MATCH(BJ270,B_LVL,0)),"⚠ At or above the manager's level","OK"))))),"—")</f>
        <v>OK</v>
      </c>
      <c r="BL270" s="43" t="n"/>
      <c r="BM270" s="44">
        <f>IFERROR(INDEX(LMH_PTS,MATCH(Y270,LMH_KEY,0)),0)</f>
        <v>9</v>
      </c>
      <c r="BN270" s="38">
        <f>IFERROR(INDEX(LMH_PTS,MATCH(Z270,LMH_KEY,0)),0)</f>
        <v>3</v>
      </c>
      <c r="BO270" s="38">
        <f>IFERROR(INDEX(LMH_PTS,MATCH(AA270,LMH_KEY,0)),0)</f>
        <v>1</v>
      </c>
      <c r="BP270" s="38">
        <f>IFERROR(INDEX(LMH_PTS,MATCH(AB270,LMH_KEY,0)),0)</f>
        <v>1</v>
      </c>
      <c r="BQ270" s="38">
        <f>IFERROR(INDEX(LMH_PTS,MATCH(AC270,LMH_KEY,0)),0)</f>
        <v>1</v>
      </c>
      <c r="BR270" s="38">
        <f>IFERROR(INDEX(LMH_PTS,MATCH(AD270,LMH_KEY,0)),0)</f>
        <v>1</v>
      </c>
      <c r="BS270" s="38">
        <f>IFERROR(INDEX(LMH_PTS,MATCH(AE270,LMH_KEY,0)),0)</f>
        <v>1</v>
      </c>
      <c r="BT270" s="38">
        <f>IFERROR(INDEX(LMH_STEP,MATCH(AF270,LMH_KEY,0)),0)</f>
        <v>0</v>
      </c>
      <c r="BU270" s="38">
        <f>IFERROR(INDEX(LMH_STEP,MATCH(AG270,LMH_KEY,0)),0)</f>
        <v>0</v>
      </c>
      <c r="BV270" s="38">
        <f>IFERROR(INDEX(LMH_STEP,MATCH(AH270,LMH_KEY,0)),0)</f>
        <v>0</v>
      </c>
      <c r="BW270" s="38">
        <f>IFERROR(INDEX(LMH_STEP,MATCH(AI270,LMH_KEY,0)),0)</f>
        <v>0</v>
      </c>
      <c r="BX270" s="38">
        <f>IFERROR(INDEX(LMH_STEP,MATCH(AJ270,LMH_KEY,0)),0)</f>
        <v>0</v>
      </c>
      <c r="BY270" s="38">
        <f>IFERROR(INDEX(LMH_STEP,MATCH(AK270,LMH_KEY,0)),0)</f>
        <v>0</v>
      </c>
      <c r="BZ270" s="38">
        <f>IFERROR(INDEX(LMH_STEP,MATCH(AL270,LMH_KEY,0)),0)</f>
        <v>0</v>
      </c>
      <c r="CA270" s="38" t="inlineStr">
        <is>
          <t>iFile|Technology|Senior Software Engineer|A3|A</t>
        </is>
      </c>
    </row>
    <row r="271" ht="110" customHeight="1">
      <c r="A271" s="28" t="inlineStr">
        <is>
          <t>iFile</t>
        </is>
      </c>
      <c r="B271" s="29" t="inlineStr">
        <is>
          <t>Technology</t>
        </is>
      </c>
      <c r="C271" s="29" t="n">
        <v>5</v>
      </c>
      <c r="D271" s="29" t="inlineStr">
        <is>
          <t>IRIS2525</t>
        </is>
      </c>
      <c r="E271" s="29" t="inlineStr">
        <is>
          <t>Rajeev Gupta</t>
        </is>
      </c>
      <c r="F271" s="29" t="inlineStr">
        <is>
          <t>Software Engineer</t>
        </is>
      </c>
      <c r="G271" s="29" t="inlineStr">
        <is>
          <t>UI Developer</t>
        </is>
      </c>
      <c r="H271" s="29" t="inlineStr">
        <is>
          <t>Engineering &amp; Development</t>
        </is>
      </c>
      <c r="I271" s="29" t="inlineStr">
        <is>
          <t>Front-End / UI Development</t>
        </is>
      </c>
      <c r="J271" s="29" t="inlineStr">
        <is>
          <t>IC</t>
        </is>
      </c>
      <c r="K271" s="29" t="inlineStr">
        <is>
          <t>RC-080</t>
        </is>
      </c>
      <c r="L271" s="29" t="inlineStr">
        <is>
          <t>Paresh Patil</t>
        </is>
      </c>
      <c r="M271" s="29" t="inlineStr">
        <is>
          <t>IRIS1550</t>
        </is>
      </c>
      <c r="N271" s="29" t="n">
        <v>1.7</v>
      </c>
      <c r="O271" s="29" t="n">
        <v>0.4</v>
      </c>
      <c r="P271" s="29" t="inlineStr">
        <is>
          <t>B.Tech</t>
        </is>
      </c>
      <c r="Q271" s="29" t="inlineStr">
        <is>
          <t>L3 – Professional / Associate</t>
        </is>
      </c>
      <c r="R271" s="29" t="inlineStr">
        <is>
          <t>A2</t>
        </is>
      </c>
      <c r="S271" s="30" t="inlineStr">
        <is>
          <t>20 of 20</t>
        </is>
      </c>
      <c r="T271" s="31" t="inlineStr">
        <is>
          <t>Complexity: Evidence reads like A2: Develops new features per client requirement; no specific module, problem or technique described → matches the start
Autonomy: Evidence reads like A2: 'Strategy then implement': chooses own approach; nothing more specific → matches the start
Accountability: Evidence reads like A2: Accountable for delivering own work …</t>
        </is>
      </c>
      <c r="U271" s="31" t="inlineStr">
        <is>
          <t>Received · quarterly · KRAs not received · manager to supply</t>
        </is>
      </c>
      <c r="V271" s="31" t="inlineStr">
        <is>
          <t>Latest rating: 3 · Potential: Medium · 9-box: Trusted Professional · Readiness: Develop in role</t>
        </is>
      </c>
      <c r="W271" s="31" t="inlineStr">
        <is>
          <t>C M · Au M · Ac M · L M · BI M · Exp M · 1.7 yrs vs 0–2 yrs · Edu M · B.Tech</t>
        </is>
      </c>
      <c r="X271" s="33" t="inlineStr">
        <is>
          <t>Open ▸</t>
        </is>
      </c>
      <c r="Y271" s="34" t="str">
        <f>IFERROR(INDEX(DL_C,MATCH($CA271,DL_KEY,0)),"M")</f>
        <v>H</v>
      </c>
      <c r="Z271" s="35" t="str">
        <f>IFERROR(INDEX(DL_Au,MATCH($CA271,DL_KEY,0)),"M")</f>
        <v>M</v>
      </c>
      <c r="AA271" s="35" t="str">
        <f>IFERROR(INDEX(DL_Ac,MATCH($CA271,DL_KEY,0)),"M")</f>
        <v>L</v>
      </c>
      <c r="AB271" s="35" t="str">
        <f>IFERROR(INDEX(DL_L,MATCH($CA271,DL_KEY,0)),"M")</f>
        <v>L</v>
      </c>
      <c r="AC271" s="35" t="str">
        <f>IFERROR(INDEX(DL_BI,MATCH($CA271,DL_KEY,0)),"M")</f>
        <v>L</v>
      </c>
      <c r="AD271" s="35" t="str">
        <f>IFERROR(INDEX(DL_Exp,MATCH($CA271,DL_KEY,0)),"M")</f>
        <v>L</v>
      </c>
      <c r="AE271" s="35" t="str">
        <f>IFERROR(INDEX(DL_Edu,MATCH($CA271,DL_KEY,0)),"M")</f>
        <v>L</v>
      </c>
      <c r="AF271" s="34" t="inlineStr">
        <is>
          <t>M</t>
        </is>
      </c>
      <c r="AG271" s="35" t="inlineStr">
        <is>
          <t>M</t>
        </is>
      </c>
      <c r="AH271" s="35" t="inlineStr">
        <is>
          <t>M</t>
        </is>
      </c>
      <c r="AI271" s="35" t="inlineStr">
        <is>
          <t>M</t>
        </is>
      </c>
      <c r="AJ271" s="35" t="inlineStr">
        <is>
          <t>M</t>
        </is>
      </c>
      <c r="AK271" s="35" t="inlineStr">
        <is>
          <t>M</t>
        </is>
      </c>
      <c r="AL271" s="35" t="inlineStr">
        <is>
          <t>M</t>
        </is>
      </c>
      <c r="AM271" s="36" t="n">
        <v>0.583</v>
      </c>
      <c r="AN271" s="37" t="n">
        <v>0.16</v>
      </c>
      <c r="AO271" s="37" t="n">
        <v>0.09</v>
      </c>
      <c r="AP271" s="37" t="n">
        <v>0</v>
      </c>
      <c r="AQ271" s="37" t="n">
        <v>0.063</v>
      </c>
      <c r="AR271" s="37" t="n">
        <v>0.06</v>
      </c>
      <c r="AS271" s="37" t="n">
        <v>0.04</v>
      </c>
      <c r="AT271" s="38" t="inlineStr">
        <is>
          <t>0–3</t>
        </is>
      </c>
      <c r="AU271" s="38" t="inlineStr">
        <is>
          <t>Graduate · or diploma with experience</t>
        </is>
      </c>
      <c r="AV271" s="38" t="inlineStr">
        <is>
          <t>No direct reports</t>
        </is>
      </c>
      <c r="AW271" s="38" t="inlineStr">
        <is>
          <t>P1–P2 · SFIA 2 Assist</t>
        </is>
      </c>
      <c r="AX27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71" s="39" t="inlineStr">
        <is>
          <t>A2</t>
        </is>
      </c>
      <c r="AZ271" s="40" t="inlineStr">
        <is>
          <t>Band A · Practitioner · Associate</t>
        </is>
      </c>
      <c r="BA271" s="40" t="inlineStr">
        <is>
          <t>Model A2 from the six ratings, the market-derived weights and rules R1–R13 · then No change · already below the manager</t>
        </is>
      </c>
      <c r="BB271" s="41" t="inlineStr">
        <is>
          <t>A2</t>
        </is>
      </c>
      <c r="BC271" s="40" t="inlineStr">
        <is>
          <t>The six ratings on the market-average weights of Band A · all tracks score 2.05 → A2 · Hay, Mercer IPE and public plans · experience 1.7 yrs vs the A2 market range 0–3</t>
        </is>
      </c>
      <c r="BD271" s="42">
        <f>IF(SUM(BM271,BN271,BO271,BP271,BQ271,BR271,BS271)=0,0,(BM271*BT271+BN271*BU271+BO271*BV271+BP271*BW271+BQ271*BX271+BR271*BY271+BS271*BZ271)/SUM(BM271,BN271,BO271,BP271,BQ271,BR271,BS271))</f>
        <v>0</v>
      </c>
      <c r="BE271" s="41" t="str">
        <f>IF(LEFT(AY271,1)="X",AY271,IF(OR(AY271="B+",AY271="C+"),INDEX(LAD_PC,MAX(1,MIN(14,MATCH(AY271,LAD_PC,0)+IF(BD271&gt;=0.5,1,IF(BD271&lt;=-0.5,-1,0))))),INDEX(LAD_STD,MAX(1,MIN(12,MATCH(AY271,LAD_STD,0)+IF(BD271&gt;=0.5,1,IF(BD271&lt;=-0.5,-1,0)))))))</f>
        <v>A2</v>
      </c>
      <c r="BF271" s="43" t="n"/>
      <c r="BG271" s="41" t="str">
        <f>IF(BF271&lt;&gt;"",BF271,BE271)</f>
        <v>A2</v>
      </c>
      <c r="BH271" s="40" t="str">
        <f>IFERROR(CHOOSE(INDEX(B_RANK,MATCH(BG271,B_LVL,0)),"Band A","Band B","B+ · Player-Coach","Band C","C+ · Player-Coach","Band D","Band E"),"Band X · Consultant")</f>
        <v>Band A</v>
      </c>
      <c r="BI271" s="40" t="str">
        <f>IF(BG271=AY271,"• Same",IF(INDEX(B_VAL,MATCH(BG271,B_LVL,0))&gt;INDEX(B_VAL,MATCH(AY271,B_LVL,0)),"▲ Up","▼ Down"))</f>
        <v>• Same</v>
      </c>
      <c r="BJ271" s="40" t="str">
        <f>IF(OR($M271="",$M271="—",$M271="Not in this file"),"",IFERROR(INDEX($BG$7:$BG$592,MATCH($M271,$D$7:$D$592,0)),""))</f>
        <v>B1</v>
      </c>
      <c r="BK271" s="40" t="str">
        <f>IFERROR(IF(BJ271="","—",IF(OR(LEFT(BG271,1)="X",LEFT(BJ271,1)="X"),"—",IF(AND(LEFT(BG271,1)="E",LEFT(BJ271,1)="E"),"Exception · Band E",IF(AND(INDEX(B_VAL,MATCH(BJ271,B_LVL,0))&gt;=7,INDEX(B_RANK,MATCH(BG271,B_LVL,0))&gt;=INDEX(B_RANK,MATCH(BJ271,B_LVL,0))),"⚠ Same band as a head manager",IF(INDEX(B_VAL,MATCH(BG271,B_LVL,0))&gt;=INDEX(B_VAL,MATCH(BJ271,B_LVL,0)),"⚠ At or above the manager's level","OK"))))),"—")</f>
        <v>OK</v>
      </c>
      <c r="BL271" s="43" t="n"/>
      <c r="BM271" s="44">
        <f>IFERROR(INDEX(LMH_PTS,MATCH(Y271,LMH_KEY,0)),0)</f>
        <v>9</v>
      </c>
      <c r="BN271" s="38">
        <f>IFERROR(INDEX(LMH_PTS,MATCH(Z271,LMH_KEY,0)),0)</f>
        <v>3</v>
      </c>
      <c r="BO271" s="38">
        <f>IFERROR(INDEX(LMH_PTS,MATCH(AA271,LMH_KEY,0)),0)</f>
        <v>1</v>
      </c>
      <c r="BP271" s="38">
        <f>IFERROR(INDEX(LMH_PTS,MATCH(AB271,LMH_KEY,0)),0)</f>
        <v>1</v>
      </c>
      <c r="BQ271" s="38">
        <f>IFERROR(INDEX(LMH_PTS,MATCH(AC271,LMH_KEY,0)),0)</f>
        <v>1</v>
      </c>
      <c r="BR271" s="38">
        <f>IFERROR(INDEX(LMH_PTS,MATCH(AD271,LMH_KEY,0)),0)</f>
        <v>1</v>
      </c>
      <c r="BS271" s="38">
        <f>IFERROR(INDEX(LMH_PTS,MATCH(AE271,LMH_KEY,0)),0)</f>
        <v>1</v>
      </c>
      <c r="BT271" s="38">
        <f>IFERROR(INDEX(LMH_STEP,MATCH(AF271,LMH_KEY,0)),0)</f>
        <v>0</v>
      </c>
      <c r="BU271" s="38">
        <f>IFERROR(INDEX(LMH_STEP,MATCH(AG271,LMH_KEY,0)),0)</f>
        <v>0</v>
      </c>
      <c r="BV271" s="38">
        <f>IFERROR(INDEX(LMH_STEP,MATCH(AH271,LMH_KEY,0)),0)</f>
        <v>0</v>
      </c>
      <c r="BW271" s="38">
        <f>IFERROR(INDEX(LMH_STEP,MATCH(AI271,LMH_KEY,0)),0)</f>
        <v>0</v>
      </c>
      <c r="BX271" s="38">
        <f>IFERROR(INDEX(LMH_STEP,MATCH(AJ271,LMH_KEY,0)),0)</f>
        <v>0</v>
      </c>
      <c r="BY271" s="38">
        <f>IFERROR(INDEX(LMH_STEP,MATCH(AK271,LMH_KEY,0)),0)</f>
        <v>0</v>
      </c>
      <c r="BZ271" s="38">
        <f>IFERROR(INDEX(LMH_STEP,MATCH(AL271,LMH_KEY,0)),0)</f>
        <v>0</v>
      </c>
      <c r="CA271" s="38" t="inlineStr">
        <is>
          <t>iFile|Technology|UI Developer|A2|A</t>
        </is>
      </c>
    </row>
    <row r="272" ht="110" customHeight="1">
      <c r="A272" s="28" t="inlineStr">
        <is>
          <t>iFile</t>
        </is>
      </c>
      <c r="B272" s="29" t="inlineStr">
        <is>
          <t>Technology</t>
        </is>
      </c>
      <c r="C272" s="29" t="n">
        <v>4</v>
      </c>
      <c r="D272" s="29" t="inlineStr">
        <is>
          <t>IRIS1470</t>
        </is>
      </c>
      <c r="E272" s="29" t="inlineStr">
        <is>
          <t>Rajneesh Patel</t>
        </is>
      </c>
      <c r="F272" s="29" t="inlineStr">
        <is>
          <t>Senior Software Engineer</t>
        </is>
      </c>
      <c r="G272" s="29" t="inlineStr">
        <is>
          <t>Technical Specialist – POD Lead</t>
        </is>
      </c>
      <c r="H272" s="29" t="inlineStr">
        <is>
          <t>Engineering &amp; Development</t>
        </is>
      </c>
      <c r="I272" s="29" t="inlineStr">
        <is>
          <t>Full-Stack Development</t>
        </is>
      </c>
      <c r="J272" s="29" t="inlineStr">
        <is>
          <t>POD Lead</t>
        </is>
      </c>
      <c r="K272" s="29" t="inlineStr">
        <is>
          <t>RC-086</t>
        </is>
      </c>
      <c r="L272" s="29" t="inlineStr">
        <is>
          <t>Sharanagouda Patil</t>
        </is>
      </c>
      <c r="M272" s="29" t="inlineStr">
        <is>
          <t>IRIS1690</t>
        </is>
      </c>
      <c r="N272" s="29" t="n">
        <v>18.6</v>
      </c>
      <c r="O272" s="29" t="n">
        <v>12.1</v>
      </c>
      <c r="P272" s="29" t="inlineStr">
        <is>
          <t>MCA</t>
        </is>
      </c>
      <c r="Q272" s="29" t="inlineStr">
        <is>
          <t>L4 – Senior</t>
        </is>
      </c>
      <c r="R272" s="29" t="inlineStr">
        <is>
          <t>B1</t>
        </is>
      </c>
      <c r="S272" s="30" t="inlineStr">
        <is>
          <t>20 of 20</t>
        </is>
      </c>
      <c r="T272" s="31" t="inlineStr">
        <is>
          <t>Complexity: Evidence reads like B1: Diagnoses production errors and manages environments, certificates, gateways and SSO for QAWAEM e-filing platform → moved up 0.5
Autonomy: Evidence reads like B1: Sets technical approach and directs team on upgrades/CRs; production changes need client approval → moved up 0.5
Accountability: Evidence reads like B1: …</t>
        </is>
      </c>
      <c r="U272" s="31" t="inlineStr">
        <is>
          <t>Received · manager annual, quarterly · 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t>
        </is>
      </c>
      <c r="V272" s="31" t="inlineStr">
        <is>
          <t>Latest rating: Not rated · manager · 9-box: Not placed · manager · Readiness: No rating data</t>
        </is>
      </c>
      <c r="W272" s="31" t="inlineStr">
        <is>
          <t>C M · Au M · Ac M · L M · BI M · Exp H · 18.6 yrs vs 4–7 yrs · Edu H · MCA</t>
        </is>
      </c>
      <c r="X272" s="33" t="inlineStr">
        <is>
          <t>Open ▸</t>
        </is>
      </c>
      <c r="Y272" s="34" t="str">
        <f>IFERROR(INDEX(DL_C,MATCH($CA272,DL_KEY,0)),"M")</f>
        <v>H</v>
      </c>
      <c r="Z272" s="35" t="str">
        <f>IFERROR(INDEX(DL_Au,MATCH($CA272,DL_KEY,0)),"M")</f>
        <v>M</v>
      </c>
      <c r="AA272" s="35" t="str">
        <f>IFERROR(INDEX(DL_Ac,MATCH($CA272,DL_KEY,0)),"M")</f>
        <v>L</v>
      </c>
      <c r="AB272" s="35" t="str">
        <f>IFERROR(INDEX(DL_L,MATCH($CA272,DL_KEY,0)),"M")</f>
        <v>L</v>
      </c>
      <c r="AC272" s="35" t="str">
        <f>IFERROR(INDEX(DL_BI,MATCH($CA272,DL_KEY,0)),"M")</f>
        <v>L</v>
      </c>
      <c r="AD272" s="35" t="str">
        <f>IFERROR(INDEX(DL_Exp,MATCH($CA272,DL_KEY,0)),"M")</f>
        <v>L</v>
      </c>
      <c r="AE272" s="35" t="str">
        <f>IFERROR(INDEX(DL_Edu,MATCH($CA272,DL_KEY,0)),"M")</f>
        <v>L</v>
      </c>
      <c r="AF272" s="34" t="inlineStr">
        <is>
          <t>M</t>
        </is>
      </c>
      <c r="AG272" s="35" t="inlineStr">
        <is>
          <t>M</t>
        </is>
      </c>
      <c r="AH272" s="35" t="inlineStr">
        <is>
          <t>M</t>
        </is>
      </c>
      <c r="AI272" s="35" t="inlineStr">
        <is>
          <t>M</t>
        </is>
      </c>
      <c r="AJ272" s="35" t="inlineStr">
        <is>
          <t>M</t>
        </is>
      </c>
      <c r="AK272" s="35" t="inlineStr">
        <is>
          <t>M</t>
        </is>
      </c>
      <c r="AL272" s="35" t="inlineStr">
        <is>
          <t>M</t>
        </is>
      </c>
      <c r="AM272" s="36" t="n">
        <v>0.513</v>
      </c>
      <c r="AN272" s="37" t="n">
        <v>0.173</v>
      </c>
      <c r="AO272" s="37" t="n">
        <v>0.09699999999999999</v>
      </c>
      <c r="AP272" s="37" t="n">
        <v>0.05</v>
      </c>
      <c r="AQ272" s="37" t="n">
        <v>0.07000000000000001</v>
      </c>
      <c r="AR272" s="37" t="n">
        <v>0.06</v>
      </c>
      <c r="AS272" s="37" t="n">
        <v>0.04</v>
      </c>
      <c r="AT272" s="38" t="inlineStr">
        <is>
          <t>4–8</t>
        </is>
      </c>
      <c r="AU272" s="38" t="inlineStr">
        <is>
          <t>Graduate + relevant qualification or certification preferred</t>
        </is>
      </c>
      <c r="AV272" s="38" t="inlineStr">
        <is>
          <t>IC: none · Team Lead: 3–5</t>
        </is>
      </c>
      <c r="AW272" s="38" t="inlineStr">
        <is>
          <t>P3 / M2 · SFIA 4 Enable</t>
        </is>
      </c>
      <c r="AX27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72" s="39" t="inlineStr">
        <is>
          <t>B1</t>
        </is>
      </c>
      <c r="AZ272" s="40" t="inlineStr">
        <is>
          <t>Band B · Specialist / Manager · Team Lead / Asst Manager</t>
        </is>
      </c>
      <c r="BA272" s="40" t="inlineStr">
        <is>
          <t>Model B1 from the six ratings, the market-derived weights and rules R1–R13 · then No change · already below the manager</t>
        </is>
      </c>
      <c r="BB272" s="41" t="inlineStr">
        <is>
          <t>B1</t>
        </is>
      </c>
      <c r="BC272" s="40" t="inlineStr">
        <is>
          <t>The six ratings on the market-average weights of Band B · Specialist / POD Lead score 4.26 → B1 · Hay, Mercer IPE and public plans · experience 18.6 yrs vs the B1 market range 4–8</t>
        </is>
      </c>
      <c r="BD272" s="42">
        <f>IF(SUM(BM272,BN272,BO272,BP272,BQ272,BR272,BS272)=0,0,(BM272*BT272+BN272*BU272+BO272*BV272+BP272*BW272+BQ272*BX272+BR272*BY272+BS272*BZ272)/SUM(BM272,BN272,BO272,BP272,BQ272,BR272,BS272))</f>
        <v>0</v>
      </c>
      <c r="BE272" s="41" t="str">
        <f>IF(LEFT(AY272,1)="X",AY272,IF(OR(AY272="B+",AY272="C+"),INDEX(LAD_PC,MAX(1,MIN(14,MATCH(AY272,LAD_PC,0)+IF(BD272&gt;=0.5,1,IF(BD272&lt;=-0.5,-1,0))))),INDEX(LAD_STD,MAX(1,MIN(12,MATCH(AY272,LAD_STD,0)+IF(BD272&gt;=0.5,1,IF(BD272&lt;=-0.5,-1,0)))))))</f>
        <v>B1</v>
      </c>
      <c r="BF272" s="43" t="n"/>
      <c r="BG272" s="41" t="str">
        <f>IF(BF272&lt;&gt;"",BF272,BE272)</f>
        <v>B1</v>
      </c>
      <c r="BH272" s="40" t="str">
        <f>IFERROR(CHOOSE(INDEX(B_RANK,MATCH(BG272,B_LVL,0)),"Band A","Band B","B+ · Player-Coach","Band C","C+ · Player-Coach","Band D","Band E"),"Band X · Consultant")</f>
        <v>Band B</v>
      </c>
      <c r="BI272" s="40" t="str">
        <f>IF(BG272=AY272,"• Same",IF(INDEX(B_VAL,MATCH(BG272,B_LVL,0))&gt;INDEX(B_VAL,MATCH(AY272,B_LVL,0)),"▲ Up","▼ Down"))</f>
        <v>• Same</v>
      </c>
      <c r="BJ272" s="40" t="str">
        <f>IF(OR($M272="",$M272="—",$M272="Not in this file"),"",IFERROR(INDEX($BG$7:$BG$592,MATCH($M272,$D$7:$D$592,0)),""))</f>
        <v>B3</v>
      </c>
      <c r="BK272" s="40" t="str">
        <f>IFERROR(IF(BJ272="","—",IF(OR(LEFT(BG272,1)="X",LEFT(BJ272,1)="X"),"—",IF(AND(LEFT(BG272,1)="E",LEFT(BJ272,1)="E"),"Exception · Band E",IF(AND(INDEX(B_VAL,MATCH(BJ272,B_LVL,0))&gt;=7,INDEX(B_RANK,MATCH(BG272,B_LVL,0))&gt;=INDEX(B_RANK,MATCH(BJ272,B_LVL,0))),"⚠ Same band as a head manager",IF(INDEX(B_VAL,MATCH(BG272,B_LVL,0))&gt;=INDEX(B_VAL,MATCH(BJ272,B_LVL,0)),"⚠ At or above the manager's level","OK"))))),"—")</f>
        <v>OK</v>
      </c>
      <c r="BL272" s="43" t="n"/>
      <c r="BM272" s="44">
        <f>IFERROR(INDEX(LMH_PTS,MATCH(Y272,LMH_KEY,0)),0)</f>
        <v>9</v>
      </c>
      <c r="BN272" s="38">
        <f>IFERROR(INDEX(LMH_PTS,MATCH(Z272,LMH_KEY,0)),0)</f>
        <v>3</v>
      </c>
      <c r="BO272" s="38">
        <f>IFERROR(INDEX(LMH_PTS,MATCH(AA272,LMH_KEY,0)),0)</f>
        <v>1</v>
      </c>
      <c r="BP272" s="38">
        <f>IFERROR(INDEX(LMH_PTS,MATCH(AB272,LMH_KEY,0)),0)</f>
        <v>1</v>
      </c>
      <c r="BQ272" s="38">
        <f>IFERROR(INDEX(LMH_PTS,MATCH(AC272,LMH_KEY,0)),0)</f>
        <v>1</v>
      </c>
      <c r="BR272" s="38">
        <f>IFERROR(INDEX(LMH_PTS,MATCH(AD272,LMH_KEY,0)),0)</f>
        <v>1</v>
      </c>
      <c r="BS272" s="38">
        <f>IFERROR(INDEX(LMH_PTS,MATCH(AE272,LMH_KEY,0)),0)</f>
        <v>1</v>
      </c>
      <c r="BT272" s="38">
        <f>IFERROR(INDEX(LMH_STEP,MATCH(AF272,LMH_KEY,0)),0)</f>
        <v>0</v>
      </c>
      <c r="BU272" s="38">
        <f>IFERROR(INDEX(LMH_STEP,MATCH(AG272,LMH_KEY,0)),0)</f>
        <v>0</v>
      </c>
      <c r="BV272" s="38">
        <f>IFERROR(INDEX(LMH_STEP,MATCH(AH272,LMH_KEY,0)),0)</f>
        <v>0</v>
      </c>
      <c r="BW272" s="38">
        <f>IFERROR(INDEX(LMH_STEP,MATCH(AI272,LMH_KEY,0)),0)</f>
        <v>0</v>
      </c>
      <c r="BX272" s="38">
        <f>IFERROR(INDEX(LMH_STEP,MATCH(AJ272,LMH_KEY,0)),0)</f>
        <v>0</v>
      </c>
      <c r="BY272" s="38">
        <f>IFERROR(INDEX(LMH_STEP,MATCH(AK272,LMH_KEY,0)),0)</f>
        <v>0</v>
      </c>
      <c r="BZ272" s="38">
        <f>IFERROR(INDEX(LMH_STEP,MATCH(AL272,LMH_KEY,0)),0)</f>
        <v>0</v>
      </c>
      <c r="CA272" s="38" t="inlineStr">
        <is>
          <t>iFile|Technology|Technical Specialist – POD Lead|B1|B-IC</t>
        </is>
      </c>
    </row>
    <row r="273" ht="110" customHeight="1">
      <c r="A273" s="28" t="inlineStr">
        <is>
          <t>iFile</t>
        </is>
      </c>
      <c r="B273" s="29" t="inlineStr">
        <is>
          <t>Technology</t>
        </is>
      </c>
      <c r="C273" s="29" t="n">
        <v>5</v>
      </c>
      <c r="D273" s="29" t="inlineStr">
        <is>
          <t>IRIS2429</t>
        </is>
      </c>
      <c r="E273" s="29" t="inlineStr">
        <is>
          <t>Subham Chakrabertty</t>
        </is>
      </c>
      <c r="F273" s="29" t="inlineStr">
        <is>
          <t>Trainee Software Engineer</t>
        </is>
      </c>
      <c r="G273" s="29" t="inlineStr">
        <is>
          <t>Software Engineer</t>
        </is>
      </c>
      <c r="H273" s="29" t="inlineStr">
        <is>
          <t>Engineering &amp; Development</t>
        </is>
      </c>
      <c r="I273" s="29" t="inlineStr">
        <is>
          <t>Backend Development</t>
        </is>
      </c>
      <c r="J273" s="29" t="inlineStr">
        <is>
          <t>IC</t>
        </is>
      </c>
      <c r="K273" s="29" t="inlineStr">
        <is>
          <t>RC-066</t>
        </is>
      </c>
      <c r="L273" s="29" t="inlineStr">
        <is>
          <t>Rajneesh Patel</t>
        </is>
      </c>
      <c r="M273" s="29" t="inlineStr">
        <is>
          <t>IRIS1470</t>
        </is>
      </c>
      <c r="N273" s="29" t="n">
        <v>1.1</v>
      </c>
      <c r="O273" s="29" t="n">
        <v>1.1</v>
      </c>
      <c r="P273" s="29" t="inlineStr">
        <is>
          <t>MCA</t>
        </is>
      </c>
      <c r="Q273" s="29" t="inlineStr">
        <is>
          <t>L2 – Trainee</t>
        </is>
      </c>
      <c r="R273" s="29" t="inlineStr">
        <is>
          <t>A2</t>
        </is>
      </c>
      <c r="S273" s="30" t="inlineStr">
        <is>
          <t>20 of 20</t>
        </is>
      </c>
      <c r="T273" s="31" t="inlineStr">
        <is>
          <t>Business Impact: No survey or manager-mapping signal on criticality: kept at the start point.</t>
        </is>
      </c>
      <c r="U273" s="31" t="inlineStr">
        <is>
          <t>Received · quarterly · KRAs not received · manager to supply</t>
        </is>
      </c>
      <c r="V273" s="31" t="inlineStr">
        <is>
          <t>Latest rating: 4 · Potential: Medium · 9-box: Trusted Professional · Readiness: Ready in 6–12 months</t>
        </is>
      </c>
      <c r="W273" s="31" t="inlineStr">
        <is>
          <t>C M · Au M · Ac M · L L · BI M · Exp M · 1.1 yrs vs 0–2 yrs · Edu H · MCA</t>
        </is>
      </c>
      <c r="X273" s="33" t="inlineStr">
        <is>
          <t>Open ▸</t>
        </is>
      </c>
      <c r="Y273" s="34" t="str">
        <f>IFERROR(INDEX(DL_C,MATCH($CA273,DL_KEY,0)),"M")</f>
        <v>H</v>
      </c>
      <c r="Z273" s="35" t="str">
        <f>IFERROR(INDEX(DL_Au,MATCH($CA273,DL_KEY,0)),"M")</f>
        <v>M</v>
      </c>
      <c r="AA273" s="35" t="str">
        <f>IFERROR(INDEX(DL_Ac,MATCH($CA273,DL_KEY,0)),"M")</f>
        <v>L</v>
      </c>
      <c r="AB273" s="35" t="str">
        <f>IFERROR(INDEX(DL_L,MATCH($CA273,DL_KEY,0)),"M")</f>
        <v>L</v>
      </c>
      <c r="AC273" s="35" t="str">
        <f>IFERROR(INDEX(DL_BI,MATCH($CA273,DL_KEY,0)),"M")</f>
        <v>L</v>
      </c>
      <c r="AD273" s="35" t="str">
        <f>IFERROR(INDEX(DL_Exp,MATCH($CA273,DL_KEY,0)),"M")</f>
        <v>L</v>
      </c>
      <c r="AE273" s="35" t="str">
        <f>IFERROR(INDEX(DL_Edu,MATCH($CA273,DL_KEY,0)),"M")</f>
        <v>L</v>
      </c>
      <c r="AF273" s="34" t="inlineStr">
        <is>
          <t>M</t>
        </is>
      </c>
      <c r="AG273" s="35" t="inlineStr">
        <is>
          <t>M</t>
        </is>
      </c>
      <c r="AH273" s="35" t="inlineStr">
        <is>
          <t>M</t>
        </is>
      </c>
      <c r="AI273" s="35" t="inlineStr">
        <is>
          <t>M</t>
        </is>
      </c>
      <c r="AJ273" s="35" t="inlineStr">
        <is>
          <t>M</t>
        </is>
      </c>
      <c r="AK273" s="35" t="inlineStr">
        <is>
          <t>M</t>
        </is>
      </c>
      <c r="AL273" s="35" t="inlineStr">
        <is>
          <t>M</t>
        </is>
      </c>
      <c r="AM273" s="36" t="n">
        <v>0.583</v>
      </c>
      <c r="AN273" s="37" t="n">
        <v>0.16</v>
      </c>
      <c r="AO273" s="37" t="n">
        <v>0.09</v>
      </c>
      <c r="AP273" s="37" t="n">
        <v>0</v>
      </c>
      <c r="AQ273" s="37" t="n">
        <v>0.063</v>
      </c>
      <c r="AR273" s="37" t="n">
        <v>0.06</v>
      </c>
      <c r="AS273" s="37" t="n">
        <v>0.04</v>
      </c>
      <c r="AT273" s="38" t="inlineStr">
        <is>
          <t>0–3</t>
        </is>
      </c>
      <c r="AU273" s="38" t="inlineStr">
        <is>
          <t>Graduate · or diploma with experience</t>
        </is>
      </c>
      <c r="AV273" s="38" t="inlineStr">
        <is>
          <t>No direct reports</t>
        </is>
      </c>
      <c r="AW273" s="38" t="inlineStr">
        <is>
          <t>P1–P2 · SFIA 2 Assist</t>
        </is>
      </c>
      <c r="AX27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73" s="39" t="inlineStr">
        <is>
          <t>A2</t>
        </is>
      </c>
      <c r="AZ273" s="40" t="inlineStr">
        <is>
          <t>Band A · Practitioner · Associate</t>
        </is>
      </c>
      <c r="BA273" s="40" t="inlineStr">
        <is>
          <t>Model A2 from the six ratings, the market-derived weights and rules R1–R13 · then No change · already below the manager</t>
        </is>
      </c>
      <c r="BB273" s="41" t="inlineStr">
        <is>
          <t>A2</t>
        </is>
      </c>
      <c r="BC273" s="40" t="inlineStr">
        <is>
          <t>The six ratings on the market-average weights of Band A · all tracks score 1.89 → A2 · Hay, Mercer IPE and public plans · experience 1.1 yrs vs the A2 market range 0–3</t>
        </is>
      </c>
      <c r="BD273" s="42">
        <f>IF(SUM(BM273,BN273,BO273,BP273,BQ273,BR273,BS273)=0,0,(BM273*BT273+BN273*BU273+BO273*BV273+BP273*BW273+BQ273*BX273+BR273*BY273+BS273*BZ273)/SUM(BM273,BN273,BO273,BP273,BQ273,BR273,BS273))</f>
        <v>0</v>
      </c>
      <c r="BE273" s="41" t="str">
        <f>IF(LEFT(AY273,1)="X",AY273,IF(OR(AY273="B+",AY273="C+"),INDEX(LAD_PC,MAX(1,MIN(14,MATCH(AY273,LAD_PC,0)+IF(BD273&gt;=0.5,1,IF(BD273&lt;=-0.5,-1,0))))),INDEX(LAD_STD,MAX(1,MIN(12,MATCH(AY273,LAD_STD,0)+IF(BD273&gt;=0.5,1,IF(BD273&lt;=-0.5,-1,0)))))))</f>
        <v>A2</v>
      </c>
      <c r="BF273" s="43" t="n"/>
      <c r="BG273" s="41" t="str">
        <f>IF(BF273&lt;&gt;"",BF273,BE273)</f>
        <v>A2</v>
      </c>
      <c r="BH273" s="40" t="str">
        <f>IFERROR(CHOOSE(INDEX(B_RANK,MATCH(BG273,B_LVL,0)),"Band A","Band B","B+ · Player-Coach","Band C","C+ · Player-Coach","Band D","Band E"),"Band X · Consultant")</f>
        <v>Band A</v>
      </c>
      <c r="BI273" s="40" t="str">
        <f>IF(BG273=AY273,"• Same",IF(INDEX(B_VAL,MATCH(BG273,B_LVL,0))&gt;INDEX(B_VAL,MATCH(AY273,B_LVL,0)),"▲ Up","▼ Down"))</f>
        <v>• Same</v>
      </c>
      <c r="BJ273" s="40" t="str">
        <f>IF(OR($M273="",$M273="—",$M273="Not in this file"),"",IFERROR(INDEX($BG$7:$BG$592,MATCH($M273,$D$7:$D$592,0)),""))</f>
        <v>B1</v>
      </c>
      <c r="BK273" s="40" t="str">
        <f>IFERROR(IF(BJ273="","—",IF(OR(LEFT(BG273,1)="X",LEFT(BJ273,1)="X"),"—",IF(AND(LEFT(BG273,1)="E",LEFT(BJ273,1)="E"),"Exception · Band E",IF(AND(INDEX(B_VAL,MATCH(BJ273,B_LVL,0))&gt;=7,INDEX(B_RANK,MATCH(BG273,B_LVL,0))&gt;=INDEX(B_RANK,MATCH(BJ273,B_LVL,0))),"⚠ Same band as a head manager",IF(INDEX(B_VAL,MATCH(BG273,B_LVL,0))&gt;=INDEX(B_VAL,MATCH(BJ273,B_LVL,0)),"⚠ At or above the manager's level","OK"))))),"—")</f>
        <v>OK</v>
      </c>
      <c r="BL273" s="43" t="n"/>
      <c r="BM273" s="44">
        <f>IFERROR(INDEX(LMH_PTS,MATCH(Y273,LMH_KEY,0)),0)</f>
        <v>9</v>
      </c>
      <c r="BN273" s="38">
        <f>IFERROR(INDEX(LMH_PTS,MATCH(Z273,LMH_KEY,0)),0)</f>
        <v>3</v>
      </c>
      <c r="BO273" s="38">
        <f>IFERROR(INDEX(LMH_PTS,MATCH(AA273,LMH_KEY,0)),0)</f>
        <v>1</v>
      </c>
      <c r="BP273" s="38">
        <f>IFERROR(INDEX(LMH_PTS,MATCH(AB273,LMH_KEY,0)),0)</f>
        <v>1</v>
      </c>
      <c r="BQ273" s="38">
        <f>IFERROR(INDEX(LMH_PTS,MATCH(AC273,LMH_KEY,0)),0)</f>
        <v>1</v>
      </c>
      <c r="BR273" s="38">
        <f>IFERROR(INDEX(LMH_PTS,MATCH(AD273,LMH_KEY,0)),0)</f>
        <v>1</v>
      </c>
      <c r="BS273" s="38">
        <f>IFERROR(INDEX(LMH_PTS,MATCH(AE273,LMH_KEY,0)),0)</f>
        <v>1</v>
      </c>
      <c r="BT273" s="38">
        <f>IFERROR(INDEX(LMH_STEP,MATCH(AF273,LMH_KEY,0)),0)</f>
        <v>0</v>
      </c>
      <c r="BU273" s="38">
        <f>IFERROR(INDEX(LMH_STEP,MATCH(AG273,LMH_KEY,0)),0)</f>
        <v>0</v>
      </c>
      <c r="BV273" s="38">
        <f>IFERROR(INDEX(LMH_STEP,MATCH(AH273,LMH_KEY,0)),0)</f>
        <v>0</v>
      </c>
      <c r="BW273" s="38">
        <f>IFERROR(INDEX(LMH_STEP,MATCH(AI273,LMH_KEY,0)),0)</f>
        <v>0</v>
      </c>
      <c r="BX273" s="38">
        <f>IFERROR(INDEX(LMH_STEP,MATCH(AJ273,LMH_KEY,0)),0)</f>
        <v>0</v>
      </c>
      <c r="BY273" s="38">
        <f>IFERROR(INDEX(LMH_STEP,MATCH(AK273,LMH_KEY,0)),0)</f>
        <v>0</v>
      </c>
      <c r="BZ273" s="38">
        <f>IFERROR(INDEX(LMH_STEP,MATCH(AL273,LMH_KEY,0)),0)</f>
        <v>0</v>
      </c>
      <c r="CA273" s="38" t="inlineStr">
        <is>
          <t>iFile|Technology|Software Engineer|A2|A</t>
        </is>
      </c>
    </row>
    <row r="274" ht="110" customHeight="1">
      <c r="A274" s="28" t="inlineStr">
        <is>
          <t>iFile</t>
        </is>
      </c>
      <c r="B274" s="29" t="inlineStr">
        <is>
          <t>Technology</t>
        </is>
      </c>
      <c r="C274" s="29" t="n">
        <v>4</v>
      </c>
      <c r="D274" s="29" t="inlineStr">
        <is>
          <t>IRIS2256</t>
        </is>
      </c>
      <c r="E274" s="29" t="inlineStr">
        <is>
          <t>Prajwal Chitode</t>
        </is>
      </c>
      <c r="F274" s="29" t="inlineStr">
        <is>
          <t>Software Engineer</t>
        </is>
      </c>
      <c r="G274" s="29" t="inlineStr">
        <is>
          <t>Senior Software Engineer</t>
        </is>
      </c>
      <c r="H274" s="29" t="inlineStr">
        <is>
          <t>Engineering &amp; Development</t>
        </is>
      </c>
      <c r="I274" s="29" t="inlineStr">
        <is>
          <t>Full-Stack Development</t>
        </is>
      </c>
      <c r="J274" s="29" t="inlineStr">
        <is>
          <t>IC</t>
        </is>
      </c>
      <c r="K274" s="29" t="inlineStr">
        <is>
          <t>RC-085</t>
        </is>
      </c>
      <c r="L274" s="29" t="inlineStr">
        <is>
          <t>Sharanagouda Patil</t>
        </is>
      </c>
      <c r="M274" s="29" t="inlineStr">
        <is>
          <t>IRIS1690</t>
        </is>
      </c>
      <c r="N274" s="29" t="n">
        <v>2.3</v>
      </c>
      <c r="O274" s="29" t="n">
        <v>2.3</v>
      </c>
      <c r="P274" s="29" t="inlineStr">
        <is>
          <t>B.E</t>
        </is>
      </c>
      <c r="Q274" s="29" t="inlineStr">
        <is>
          <t>L2 – Trainee</t>
        </is>
      </c>
      <c r="R274" s="29" t="inlineStr">
        <is>
          <t>A3</t>
        </is>
      </c>
      <c r="S274" s="30" t="inlineStr">
        <is>
          <t>19 of 20</t>
        </is>
      </c>
      <c r="T274" s="31" t="inlineStr">
        <is>
          <t>Complexity: Evidence reads like A3: Builds, tests, optimises and deploys the Angular frontend of the SBC upgrade project → moved up 0.5
Autonomy: Evidence reads like A2: Decides code clean-up, optimisation and fixes for self-discovered bugs → matches the start
Accountability: Evidence reads like A3: Accountable for the frontend of the SBC Upgrade Project → …</t>
        </is>
      </c>
      <c r="U274" s="31" t="inlineStr">
        <is>
          <t>Received · quarterly · KRAs not received · manager to supply</t>
        </is>
      </c>
      <c r="V274" s="31" t="inlineStr">
        <is>
          <t>Latest rating: 3 · Potential: Medium · 9-box: Trusted Professional · Readiness: Develop in role</t>
        </is>
      </c>
      <c r="W274" s="31" t="inlineStr">
        <is>
          <t>C M · Au L · Ac M · L L · BI M · Exp M · 2.3 yrs vs 2–4 yrs · Edu M · B.E</t>
        </is>
      </c>
      <c r="X274" s="33" t="inlineStr">
        <is>
          <t>Open ▸</t>
        </is>
      </c>
      <c r="Y274" s="34" t="str">
        <f>IFERROR(INDEX(DL_C,MATCH($CA274,DL_KEY,0)),"M")</f>
        <v>H</v>
      </c>
      <c r="Z274" s="35" t="str">
        <f>IFERROR(INDEX(DL_Au,MATCH($CA274,DL_KEY,0)),"M")</f>
        <v>M</v>
      </c>
      <c r="AA274" s="35" t="str">
        <f>IFERROR(INDEX(DL_Ac,MATCH($CA274,DL_KEY,0)),"M")</f>
        <v>L</v>
      </c>
      <c r="AB274" s="35" t="str">
        <f>IFERROR(INDEX(DL_L,MATCH($CA274,DL_KEY,0)),"M")</f>
        <v>L</v>
      </c>
      <c r="AC274" s="35" t="str">
        <f>IFERROR(INDEX(DL_BI,MATCH($CA274,DL_KEY,0)),"M")</f>
        <v>L</v>
      </c>
      <c r="AD274" s="35" t="str">
        <f>IFERROR(INDEX(DL_Exp,MATCH($CA274,DL_KEY,0)),"M")</f>
        <v>L</v>
      </c>
      <c r="AE274" s="35" t="str">
        <f>IFERROR(INDEX(DL_Edu,MATCH($CA274,DL_KEY,0)),"M")</f>
        <v>L</v>
      </c>
      <c r="AF274" s="34" t="inlineStr">
        <is>
          <t>M</t>
        </is>
      </c>
      <c r="AG274" s="35" t="inlineStr">
        <is>
          <t>M</t>
        </is>
      </c>
      <c r="AH274" s="35" t="inlineStr">
        <is>
          <t>M</t>
        </is>
      </c>
      <c r="AI274" s="35" t="inlineStr">
        <is>
          <t>M</t>
        </is>
      </c>
      <c r="AJ274" s="35" t="inlineStr">
        <is>
          <t>M</t>
        </is>
      </c>
      <c r="AK274" s="35" t="inlineStr">
        <is>
          <t>M</t>
        </is>
      </c>
      <c r="AL274" s="35" t="inlineStr">
        <is>
          <t>M</t>
        </is>
      </c>
      <c r="AM274" s="36" t="n">
        <v>0.583</v>
      </c>
      <c r="AN274" s="37" t="n">
        <v>0.16</v>
      </c>
      <c r="AO274" s="37" t="n">
        <v>0.09</v>
      </c>
      <c r="AP274" s="37" t="n">
        <v>0</v>
      </c>
      <c r="AQ274" s="37" t="n">
        <v>0.063</v>
      </c>
      <c r="AR274" s="37" t="n">
        <v>0.06</v>
      </c>
      <c r="AS274" s="37" t="n">
        <v>0.04</v>
      </c>
      <c r="AT274" s="38" t="inlineStr">
        <is>
          <t>2–5</t>
        </is>
      </c>
      <c r="AU274" s="38" t="inlineStr">
        <is>
          <t>Graduate; relevant certification preferred</t>
        </is>
      </c>
      <c r="AV274" s="38" t="inlineStr">
        <is>
          <t>None · guides 1–3 juniors informally</t>
        </is>
      </c>
      <c r="AW274" s="38" t="inlineStr">
        <is>
          <t>P2 · SFIA 3 Apply</t>
        </is>
      </c>
      <c r="AX27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74" s="39" t="inlineStr">
        <is>
          <t>A3</t>
        </is>
      </c>
      <c r="AZ274" s="40" t="inlineStr">
        <is>
          <t>Band A · Practitioner · Senior Associate</t>
        </is>
      </c>
      <c r="BA274" s="40" t="inlineStr">
        <is>
          <t>Model A3 from the six ratings, the market-derived weights and rules R1–R13 · then No change · already below the manager</t>
        </is>
      </c>
      <c r="BB274" s="41" t="inlineStr">
        <is>
          <t>A2</t>
        </is>
      </c>
      <c r="BC274" s="40" t="inlineStr">
        <is>
          <t>The six ratings on the market-average weights of Band A · all tracks score 2.42 → A2 · Hay, Mercer IPE and public plans · experience 2.3 yrs vs the A2 market range 0–3</t>
        </is>
      </c>
      <c r="BD274" s="42">
        <f>IF(SUM(BM274,BN274,BO274,BP274,BQ274,BR274,BS274)=0,0,(BM274*BT274+BN274*BU274+BO274*BV274+BP274*BW274+BQ274*BX274+BR274*BY274+BS274*BZ274)/SUM(BM274,BN274,BO274,BP274,BQ274,BR274,BS274))</f>
        <v>0</v>
      </c>
      <c r="BE274" s="41" t="str">
        <f>IF(LEFT(AY274,1)="X",AY274,IF(OR(AY274="B+",AY274="C+"),INDEX(LAD_PC,MAX(1,MIN(14,MATCH(AY274,LAD_PC,0)+IF(BD274&gt;=0.5,1,IF(BD274&lt;=-0.5,-1,0))))),INDEX(LAD_STD,MAX(1,MIN(12,MATCH(AY274,LAD_STD,0)+IF(BD274&gt;=0.5,1,IF(BD274&lt;=-0.5,-1,0)))))))</f>
        <v>A3</v>
      </c>
      <c r="BF274" s="43" t="n"/>
      <c r="BG274" s="41" t="str">
        <f>IF(BF274&lt;&gt;"",BF274,BE274)</f>
        <v>A3</v>
      </c>
      <c r="BH274" s="40" t="str">
        <f>IFERROR(CHOOSE(INDEX(B_RANK,MATCH(BG274,B_LVL,0)),"Band A","Band B","B+ · Player-Coach","Band C","C+ · Player-Coach","Band D","Band E"),"Band X · Consultant")</f>
        <v>Band A</v>
      </c>
      <c r="BI274" s="40" t="str">
        <f>IF(BG274=AY274,"• Same",IF(INDEX(B_VAL,MATCH(BG274,B_LVL,0))&gt;INDEX(B_VAL,MATCH(AY274,B_LVL,0)),"▲ Up","▼ Down"))</f>
        <v>• Same</v>
      </c>
      <c r="BJ274" s="40" t="str">
        <f>IF(OR($M274="",$M274="—",$M274="Not in this file"),"",IFERROR(INDEX($BG$7:$BG$592,MATCH($M274,$D$7:$D$592,0)),""))</f>
        <v>B3</v>
      </c>
      <c r="BK274" s="40" t="str">
        <f>IFERROR(IF(BJ274="","—",IF(OR(LEFT(BG274,1)="X",LEFT(BJ274,1)="X"),"—",IF(AND(LEFT(BG274,1)="E",LEFT(BJ274,1)="E"),"Exception · Band E",IF(AND(INDEX(B_VAL,MATCH(BJ274,B_LVL,0))&gt;=7,INDEX(B_RANK,MATCH(BG274,B_LVL,0))&gt;=INDEX(B_RANK,MATCH(BJ274,B_LVL,0))),"⚠ Same band as a head manager",IF(INDEX(B_VAL,MATCH(BG274,B_LVL,0))&gt;=INDEX(B_VAL,MATCH(BJ274,B_LVL,0)),"⚠ At or above the manager's level","OK"))))),"—")</f>
        <v>OK</v>
      </c>
      <c r="BL274" s="43" t="n"/>
      <c r="BM274" s="44">
        <f>IFERROR(INDEX(LMH_PTS,MATCH(Y274,LMH_KEY,0)),0)</f>
        <v>9</v>
      </c>
      <c r="BN274" s="38">
        <f>IFERROR(INDEX(LMH_PTS,MATCH(Z274,LMH_KEY,0)),0)</f>
        <v>3</v>
      </c>
      <c r="BO274" s="38">
        <f>IFERROR(INDEX(LMH_PTS,MATCH(AA274,LMH_KEY,0)),0)</f>
        <v>1</v>
      </c>
      <c r="BP274" s="38">
        <f>IFERROR(INDEX(LMH_PTS,MATCH(AB274,LMH_KEY,0)),0)</f>
        <v>1</v>
      </c>
      <c r="BQ274" s="38">
        <f>IFERROR(INDEX(LMH_PTS,MATCH(AC274,LMH_KEY,0)),0)</f>
        <v>1</v>
      </c>
      <c r="BR274" s="38">
        <f>IFERROR(INDEX(LMH_PTS,MATCH(AD274,LMH_KEY,0)),0)</f>
        <v>1</v>
      </c>
      <c r="BS274" s="38">
        <f>IFERROR(INDEX(LMH_PTS,MATCH(AE274,LMH_KEY,0)),0)</f>
        <v>1</v>
      </c>
      <c r="BT274" s="38">
        <f>IFERROR(INDEX(LMH_STEP,MATCH(AF274,LMH_KEY,0)),0)</f>
        <v>0</v>
      </c>
      <c r="BU274" s="38">
        <f>IFERROR(INDEX(LMH_STEP,MATCH(AG274,LMH_KEY,0)),0)</f>
        <v>0</v>
      </c>
      <c r="BV274" s="38">
        <f>IFERROR(INDEX(LMH_STEP,MATCH(AH274,LMH_KEY,0)),0)</f>
        <v>0</v>
      </c>
      <c r="BW274" s="38">
        <f>IFERROR(INDEX(LMH_STEP,MATCH(AI274,LMH_KEY,0)),0)</f>
        <v>0</v>
      </c>
      <c r="BX274" s="38">
        <f>IFERROR(INDEX(LMH_STEP,MATCH(AJ274,LMH_KEY,0)),0)</f>
        <v>0</v>
      </c>
      <c r="BY274" s="38">
        <f>IFERROR(INDEX(LMH_STEP,MATCH(AK274,LMH_KEY,0)),0)</f>
        <v>0</v>
      </c>
      <c r="BZ274" s="38">
        <f>IFERROR(INDEX(LMH_STEP,MATCH(AL274,LMH_KEY,0)),0)</f>
        <v>0</v>
      </c>
      <c r="CA274" s="38" t="inlineStr">
        <is>
          <t>iFile|Technology|Senior Software Engineer|A3|A</t>
        </is>
      </c>
    </row>
    <row r="275" ht="110" customHeight="1">
      <c r="A275" s="28" t="inlineStr">
        <is>
          <t>iFile</t>
        </is>
      </c>
      <c r="B275" s="29" t="inlineStr">
        <is>
          <t>Technology</t>
        </is>
      </c>
      <c r="C275" s="29" t="n">
        <v>4</v>
      </c>
      <c r="D275" s="29" t="inlineStr">
        <is>
          <t>IRIS2451</t>
        </is>
      </c>
      <c r="E275" s="29" t="inlineStr">
        <is>
          <t>Anurag Gupta</t>
        </is>
      </c>
      <c r="F275" s="29" t="inlineStr">
        <is>
          <t>Trainee Software Engineer</t>
        </is>
      </c>
      <c r="G275" s="29" t="inlineStr">
        <is>
          <t>UI Developer</t>
        </is>
      </c>
      <c r="H275" s="29" t="inlineStr">
        <is>
          <t>Engineering &amp; Development</t>
        </is>
      </c>
      <c r="I275" s="29" t="inlineStr">
        <is>
          <t>Front-End / UI Development</t>
        </is>
      </c>
      <c r="J275" s="29" t="inlineStr">
        <is>
          <t>IC</t>
        </is>
      </c>
      <c r="K275" s="29" t="inlineStr">
        <is>
          <t>RC-080</t>
        </is>
      </c>
      <c r="L275" s="29" t="inlineStr">
        <is>
          <t>Sharanagouda Patil</t>
        </is>
      </c>
      <c r="M275" s="29" t="inlineStr">
        <is>
          <t>IRIS1690</t>
        </is>
      </c>
      <c r="N275" s="29" t="n">
        <v>2</v>
      </c>
      <c r="O275" s="29" t="n">
        <v>0.8</v>
      </c>
      <c r="P275" s="29" t="inlineStr">
        <is>
          <t>B.Sc</t>
        </is>
      </c>
      <c r="Q275" s="29" t="inlineStr">
        <is>
          <t>L2 – Trainee</t>
        </is>
      </c>
      <c r="R275" s="29" t="inlineStr">
        <is>
          <t>A2</t>
        </is>
      </c>
      <c r="S275" s="30" t="inlineStr">
        <is>
          <t>20 of 20</t>
        </is>
      </c>
      <c r="T275" s="31" t="inlineStr">
        <is>
          <t>Business Impact: No survey or manager-mapping signal on criticality: kept at the start point.</t>
        </is>
      </c>
      <c r="U275" s="31" t="inlineStr">
        <is>
          <t>Received · quarterly · KRAs not received · manager to supply</t>
        </is>
      </c>
      <c r="V275" s="31" t="inlineStr">
        <is>
          <t>Latest rating: 3 · Potential: Medium · 9-box: Trusted Professional · Readiness: Develop in role</t>
        </is>
      </c>
      <c r="W275" s="31" t="inlineStr">
        <is>
          <t>C M · Au M · Ac M · L L · BI M · Exp M · 2 yrs vs 0–2 yrs · Edu M · B.Sc</t>
        </is>
      </c>
      <c r="X275" s="33" t="inlineStr">
        <is>
          <t>Open ▸</t>
        </is>
      </c>
      <c r="Y275" s="34" t="str">
        <f>IFERROR(INDEX(DL_C,MATCH($CA275,DL_KEY,0)),"M")</f>
        <v>H</v>
      </c>
      <c r="Z275" s="35" t="str">
        <f>IFERROR(INDEX(DL_Au,MATCH($CA275,DL_KEY,0)),"M")</f>
        <v>M</v>
      </c>
      <c r="AA275" s="35" t="str">
        <f>IFERROR(INDEX(DL_Ac,MATCH($CA275,DL_KEY,0)),"M")</f>
        <v>L</v>
      </c>
      <c r="AB275" s="35" t="str">
        <f>IFERROR(INDEX(DL_L,MATCH($CA275,DL_KEY,0)),"M")</f>
        <v>L</v>
      </c>
      <c r="AC275" s="35" t="str">
        <f>IFERROR(INDEX(DL_BI,MATCH($CA275,DL_KEY,0)),"M")</f>
        <v>L</v>
      </c>
      <c r="AD275" s="35" t="str">
        <f>IFERROR(INDEX(DL_Exp,MATCH($CA275,DL_KEY,0)),"M")</f>
        <v>L</v>
      </c>
      <c r="AE275" s="35" t="str">
        <f>IFERROR(INDEX(DL_Edu,MATCH($CA275,DL_KEY,0)),"M")</f>
        <v>L</v>
      </c>
      <c r="AF275" s="34" t="inlineStr">
        <is>
          <t>M</t>
        </is>
      </c>
      <c r="AG275" s="35" t="inlineStr">
        <is>
          <t>M</t>
        </is>
      </c>
      <c r="AH275" s="35" t="inlineStr">
        <is>
          <t>M</t>
        </is>
      </c>
      <c r="AI275" s="35" t="inlineStr">
        <is>
          <t>M</t>
        </is>
      </c>
      <c r="AJ275" s="35" t="inlineStr">
        <is>
          <t>M</t>
        </is>
      </c>
      <c r="AK275" s="35" t="inlineStr">
        <is>
          <t>M</t>
        </is>
      </c>
      <c r="AL275" s="35" t="inlineStr">
        <is>
          <t>M</t>
        </is>
      </c>
      <c r="AM275" s="36" t="n">
        <v>0.583</v>
      </c>
      <c r="AN275" s="37" t="n">
        <v>0.16</v>
      </c>
      <c r="AO275" s="37" t="n">
        <v>0.09</v>
      </c>
      <c r="AP275" s="37" t="n">
        <v>0</v>
      </c>
      <c r="AQ275" s="37" t="n">
        <v>0.063</v>
      </c>
      <c r="AR275" s="37" t="n">
        <v>0.06</v>
      </c>
      <c r="AS275" s="37" t="n">
        <v>0.04</v>
      </c>
      <c r="AT275" s="38" t="inlineStr">
        <is>
          <t>0–3</t>
        </is>
      </c>
      <c r="AU275" s="38" t="inlineStr">
        <is>
          <t>Graduate · or diploma with experience</t>
        </is>
      </c>
      <c r="AV275" s="38" t="inlineStr">
        <is>
          <t>No direct reports</t>
        </is>
      </c>
      <c r="AW275" s="38" t="inlineStr">
        <is>
          <t>P1–P2 · SFIA 2 Assist</t>
        </is>
      </c>
      <c r="AX27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75" s="39" t="inlineStr">
        <is>
          <t>A2</t>
        </is>
      </c>
      <c r="AZ275" s="40" t="inlineStr">
        <is>
          <t>Band A · Practitioner · Associate</t>
        </is>
      </c>
      <c r="BA275" s="40" t="inlineStr">
        <is>
          <t>Model A2 from the six ratings, the market-derived weights and rules R1–R13 · then No change · already below the manager</t>
        </is>
      </c>
      <c r="BB275" s="41" t="inlineStr">
        <is>
          <t>A2</t>
        </is>
      </c>
      <c r="BC275" s="40" t="inlineStr">
        <is>
          <t>The six ratings on the market-average weights of Band A · all tracks score 1.89 → A2 · Hay, Mercer IPE and public plans · experience 2 yrs vs the A2 market range 0–3</t>
        </is>
      </c>
      <c r="BD275" s="42">
        <f>IF(SUM(BM275,BN275,BO275,BP275,BQ275,BR275,BS275)=0,0,(BM275*BT275+BN275*BU275+BO275*BV275+BP275*BW275+BQ275*BX275+BR275*BY275+BS275*BZ275)/SUM(BM275,BN275,BO275,BP275,BQ275,BR275,BS275))</f>
        <v>0</v>
      </c>
      <c r="BE275" s="41" t="str">
        <f>IF(LEFT(AY275,1)="X",AY275,IF(OR(AY275="B+",AY275="C+"),INDEX(LAD_PC,MAX(1,MIN(14,MATCH(AY275,LAD_PC,0)+IF(BD275&gt;=0.5,1,IF(BD275&lt;=-0.5,-1,0))))),INDEX(LAD_STD,MAX(1,MIN(12,MATCH(AY275,LAD_STD,0)+IF(BD275&gt;=0.5,1,IF(BD275&lt;=-0.5,-1,0)))))))</f>
        <v>A2</v>
      </c>
      <c r="BF275" s="43" t="n"/>
      <c r="BG275" s="41" t="str">
        <f>IF(BF275&lt;&gt;"",BF275,BE275)</f>
        <v>A2</v>
      </c>
      <c r="BH275" s="40" t="str">
        <f>IFERROR(CHOOSE(INDEX(B_RANK,MATCH(BG275,B_LVL,0)),"Band A","Band B","B+ · Player-Coach","Band C","C+ · Player-Coach","Band D","Band E"),"Band X · Consultant")</f>
        <v>Band A</v>
      </c>
      <c r="BI275" s="40" t="str">
        <f>IF(BG275=AY275,"• Same",IF(INDEX(B_VAL,MATCH(BG275,B_LVL,0))&gt;INDEX(B_VAL,MATCH(AY275,B_LVL,0)),"▲ Up","▼ Down"))</f>
        <v>• Same</v>
      </c>
      <c r="BJ275" s="40" t="str">
        <f>IF(OR($M275="",$M275="—",$M275="Not in this file"),"",IFERROR(INDEX($BG$7:$BG$592,MATCH($M275,$D$7:$D$592,0)),""))</f>
        <v>B3</v>
      </c>
      <c r="BK275" s="40" t="str">
        <f>IFERROR(IF(BJ275="","—",IF(OR(LEFT(BG275,1)="X",LEFT(BJ275,1)="X"),"—",IF(AND(LEFT(BG275,1)="E",LEFT(BJ275,1)="E"),"Exception · Band E",IF(AND(INDEX(B_VAL,MATCH(BJ275,B_LVL,0))&gt;=7,INDEX(B_RANK,MATCH(BG275,B_LVL,0))&gt;=INDEX(B_RANK,MATCH(BJ275,B_LVL,0))),"⚠ Same band as a head manager",IF(INDEX(B_VAL,MATCH(BG275,B_LVL,0))&gt;=INDEX(B_VAL,MATCH(BJ275,B_LVL,0)),"⚠ At or above the manager's level","OK"))))),"—")</f>
        <v>OK</v>
      </c>
      <c r="BL275" s="43" t="n"/>
      <c r="BM275" s="44">
        <f>IFERROR(INDEX(LMH_PTS,MATCH(Y275,LMH_KEY,0)),0)</f>
        <v>9</v>
      </c>
      <c r="BN275" s="38">
        <f>IFERROR(INDEX(LMH_PTS,MATCH(Z275,LMH_KEY,0)),0)</f>
        <v>3</v>
      </c>
      <c r="BO275" s="38">
        <f>IFERROR(INDEX(LMH_PTS,MATCH(AA275,LMH_KEY,0)),0)</f>
        <v>1</v>
      </c>
      <c r="BP275" s="38">
        <f>IFERROR(INDEX(LMH_PTS,MATCH(AB275,LMH_KEY,0)),0)</f>
        <v>1</v>
      </c>
      <c r="BQ275" s="38">
        <f>IFERROR(INDEX(LMH_PTS,MATCH(AC275,LMH_KEY,0)),0)</f>
        <v>1</v>
      </c>
      <c r="BR275" s="38">
        <f>IFERROR(INDEX(LMH_PTS,MATCH(AD275,LMH_KEY,0)),0)</f>
        <v>1</v>
      </c>
      <c r="BS275" s="38">
        <f>IFERROR(INDEX(LMH_PTS,MATCH(AE275,LMH_KEY,0)),0)</f>
        <v>1</v>
      </c>
      <c r="BT275" s="38">
        <f>IFERROR(INDEX(LMH_STEP,MATCH(AF275,LMH_KEY,0)),0)</f>
        <v>0</v>
      </c>
      <c r="BU275" s="38">
        <f>IFERROR(INDEX(LMH_STEP,MATCH(AG275,LMH_KEY,0)),0)</f>
        <v>0</v>
      </c>
      <c r="BV275" s="38">
        <f>IFERROR(INDEX(LMH_STEP,MATCH(AH275,LMH_KEY,0)),0)</f>
        <v>0</v>
      </c>
      <c r="BW275" s="38">
        <f>IFERROR(INDEX(LMH_STEP,MATCH(AI275,LMH_KEY,0)),0)</f>
        <v>0</v>
      </c>
      <c r="BX275" s="38">
        <f>IFERROR(INDEX(LMH_STEP,MATCH(AJ275,LMH_KEY,0)),0)</f>
        <v>0</v>
      </c>
      <c r="BY275" s="38">
        <f>IFERROR(INDEX(LMH_STEP,MATCH(AK275,LMH_KEY,0)),0)</f>
        <v>0</v>
      </c>
      <c r="BZ275" s="38">
        <f>IFERROR(INDEX(LMH_STEP,MATCH(AL275,LMH_KEY,0)),0)</f>
        <v>0</v>
      </c>
      <c r="CA275" s="38" t="inlineStr">
        <is>
          <t>iFile|Technology|UI Developer|A2|A</t>
        </is>
      </c>
    </row>
    <row r="276" ht="110" customHeight="1">
      <c r="A276" s="28" t="inlineStr">
        <is>
          <t>iFile</t>
        </is>
      </c>
      <c r="B276" s="29" t="inlineStr">
        <is>
          <t>Technology</t>
        </is>
      </c>
      <c r="C276" s="29" t="n">
        <v>4</v>
      </c>
      <c r="D276" s="29" t="inlineStr">
        <is>
          <t>IRIS2314</t>
        </is>
      </c>
      <c r="E276" s="29" t="inlineStr">
        <is>
          <t>Shubham Nimse</t>
        </is>
      </c>
      <c r="F276" s="29" t="inlineStr">
        <is>
          <t>Trainee Software Engineer</t>
        </is>
      </c>
      <c r="G276" s="29" t="inlineStr">
        <is>
          <t>Software Engineer</t>
        </is>
      </c>
      <c r="H276" s="29" t="inlineStr">
        <is>
          <t>Engineering &amp; Development</t>
        </is>
      </c>
      <c r="I276" s="29" t="inlineStr">
        <is>
          <t>Full-Stack Development</t>
        </is>
      </c>
      <c r="J276" s="29" t="inlineStr">
        <is>
          <t>IC</t>
        </is>
      </c>
      <c r="K276" s="29" t="inlineStr">
        <is>
          <t>RC-084</t>
        </is>
      </c>
      <c r="L276" s="29" t="inlineStr">
        <is>
          <t>Sharanagouda Patil</t>
        </is>
      </c>
      <c r="M276" s="29" t="inlineStr">
        <is>
          <t>IRIS1690</t>
        </is>
      </c>
      <c r="N276" s="29" t="n">
        <v>2.5</v>
      </c>
      <c r="O276" s="29" t="n">
        <v>2</v>
      </c>
      <c r="P276" s="29" t="inlineStr">
        <is>
          <t>B.E</t>
        </is>
      </c>
      <c r="Q276" s="29" t="inlineStr">
        <is>
          <t>L2 – Trainee</t>
        </is>
      </c>
      <c r="R276" s="29" t="inlineStr">
        <is>
          <t>A2</t>
        </is>
      </c>
      <c r="S276" s="30" t="inlineStr">
        <is>
          <t>19 of 20</t>
        </is>
      </c>
      <c r="T276" s="31" t="inlineStr">
        <is>
          <t>Complexity: Evidence reads like A2: New features, bug fixes, deployment, documentation and testing on assigned returns → moved up 0.5
Autonomy: Evidence reads like A2: Decides the development approach for own work → moved up 0.5
Accountability: Evidence reads like A3: Whole lifecycle of assigned returns from development to production go-live and later bugs …</t>
        </is>
      </c>
      <c r="U276" s="31" t="inlineStr">
        <is>
          <t>Received · quarterly · KRAs not received · manager to supply</t>
        </is>
      </c>
      <c r="V276" s="31" t="inlineStr">
        <is>
          <t>Latest rating: 4 · Potential: High · 9-box: Trusted Professional · Readiness: Ready now</t>
        </is>
      </c>
      <c r="W276" s="31" t="inlineStr">
        <is>
          <t>C M · Au M · Ac M · L M · BI M · Exp H · 2.5 yrs vs 0–2 yrs · Edu M · B.E</t>
        </is>
      </c>
      <c r="X276" s="33" t="inlineStr">
        <is>
          <t>Open ▸</t>
        </is>
      </c>
      <c r="Y276" s="34" t="str">
        <f>IFERROR(INDEX(DL_C,MATCH($CA276,DL_KEY,0)),"M")</f>
        <v>H</v>
      </c>
      <c r="Z276" s="35" t="str">
        <f>IFERROR(INDEX(DL_Au,MATCH($CA276,DL_KEY,0)),"M")</f>
        <v>M</v>
      </c>
      <c r="AA276" s="35" t="str">
        <f>IFERROR(INDEX(DL_Ac,MATCH($CA276,DL_KEY,0)),"M")</f>
        <v>L</v>
      </c>
      <c r="AB276" s="35" t="str">
        <f>IFERROR(INDEX(DL_L,MATCH($CA276,DL_KEY,0)),"M")</f>
        <v>L</v>
      </c>
      <c r="AC276" s="35" t="str">
        <f>IFERROR(INDEX(DL_BI,MATCH($CA276,DL_KEY,0)),"M")</f>
        <v>L</v>
      </c>
      <c r="AD276" s="35" t="str">
        <f>IFERROR(INDEX(DL_Exp,MATCH($CA276,DL_KEY,0)),"M")</f>
        <v>L</v>
      </c>
      <c r="AE276" s="35" t="str">
        <f>IFERROR(INDEX(DL_Edu,MATCH($CA276,DL_KEY,0)),"M")</f>
        <v>L</v>
      </c>
      <c r="AF276" s="34" t="inlineStr">
        <is>
          <t>M</t>
        </is>
      </c>
      <c r="AG276" s="35" t="inlineStr">
        <is>
          <t>M</t>
        </is>
      </c>
      <c r="AH276" s="35" t="inlineStr">
        <is>
          <t>M</t>
        </is>
      </c>
      <c r="AI276" s="35" t="inlineStr">
        <is>
          <t>M</t>
        </is>
      </c>
      <c r="AJ276" s="35" t="inlineStr">
        <is>
          <t>M</t>
        </is>
      </c>
      <c r="AK276" s="35" t="inlineStr">
        <is>
          <t>M</t>
        </is>
      </c>
      <c r="AL276" s="35" t="inlineStr">
        <is>
          <t>M</t>
        </is>
      </c>
      <c r="AM276" s="36" t="n">
        <v>0.583</v>
      </c>
      <c r="AN276" s="37" t="n">
        <v>0.16</v>
      </c>
      <c r="AO276" s="37" t="n">
        <v>0.09</v>
      </c>
      <c r="AP276" s="37" t="n">
        <v>0</v>
      </c>
      <c r="AQ276" s="37" t="n">
        <v>0.063</v>
      </c>
      <c r="AR276" s="37" t="n">
        <v>0.06</v>
      </c>
      <c r="AS276" s="37" t="n">
        <v>0.04</v>
      </c>
      <c r="AT276" s="38" t="inlineStr">
        <is>
          <t>0–3</t>
        </is>
      </c>
      <c r="AU276" s="38" t="inlineStr">
        <is>
          <t>Graduate · or diploma with experience</t>
        </is>
      </c>
      <c r="AV276" s="38" t="inlineStr">
        <is>
          <t>No direct reports</t>
        </is>
      </c>
      <c r="AW276" s="38" t="inlineStr">
        <is>
          <t>P1–P2 · SFIA 2 Assist</t>
        </is>
      </c>
      <c r="AX27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76" s="39" t="inlineStr">
        <is>
          <t>A2</t>
        </is>
      </c>
      <c r="AZ276" s="40" t="inlineStr">
        <is>
          <t>Band A · Practitioner · Associate</t>
        </is>
      </c>
      <c r="BA276" s="40" t="inlineStr">
        <is>
          <t>Model A2 from the six ratings, the market-derived weights and rules R1–R13 · then No change · already below the manager</t>
        </is>
      </c>
      <c r="BB276" s="41" t="inlineStr">
        <is>
          <t>A2</t>
        </is>
      </c>
      <c r="BC276" s="40" t="inlineStr">
        <is>
          <t>The six ratings on the market-average weights of Band A · all tracks score 1.73 → A2 · Hay, Mercer IPE and public plans · experience 2.5 yrs vs the A2 market range 0–3</t>
        </is>
      </c>
      <c r="BD276" s="42">
        <f>IF(SUM(BM276,BN276,BO276,BP276,BQ276,BR276,BS276)=0,0,(BM276*BT276+BN276*BU276+BO276*BV276+BP276*BW276+BQ276*BX276+BR276*BY276+BS276*BZ276)/SUM(BM276,BN276,BO276,BP276,BQ276,BR276,BS276))</f>
        <v>0</v>
      </c>
      <c r="BE276" s="41" t="str">
        <f>IF(LEFT(AY276,1)="X",AY276,IF(OR(AY276="B+",AY276="C+"),INDEX(LAD_PC,MAX(1,MIN(14,MATCH(AY276,LAD_PC,0)+IF(BD276&gt;=0.5,1,IF(BD276&lt;=-0.5,-1,0))))),INDEX(LAD_STD,MAX(1,MIN(12,MATCH(AY276,LAD_STD,0)+IF(BD276&gt;=0.5,1,IF(BD276&lt;=-0.5,-1,0)))))))</f>
        <v>A2</v>
      </c>
      <c r="BF276" s="43" t="n"/>
      <c r="BG276" s="41" t="str">
        <f>IF(BF276&lt;&gt;"",BF276,BE276)</f>
        <v>A2</v>
      </c>
      <c r="BH276" s="40" t="str">
        <f>IFERROR(CHOOSE(INDEX(B_RANK,MATCH(BG276,B_LVL,0)),"Band A","Band B","B+ · Player-Coach","Band C","C+ · Player-Coach","Band D","Band E"),"Band X · Consultant")</f>
        <v>Band A</v>
      </c>
      <c r="BI276" s="40" t="str">
        <f>IF(BG276=AY276,"• Same",IF(INDEX(B_VAL,MATCH(BG276,B_LVL,0))&gt;INDEX(B_VAL,MATCH(AY276,B_LVL,0)),"▲ Up","▼ Down"))</f>
        <v>• Same</v>
      </c>
      <c r="BJ276" s="40" t="str">
        <f>IF(OR($M276="",$M276="—",$M276="Not in this file"),"",IFERROR(INDEX($BG$7:$BG$592,MATCH($M276,$D$7:$D$592,0)),""))</f>
        <v>B3</v>
      </c>
      <c r="BK276" s="40" t="str">
        <f>IFERROR(IF(BJ276="","—",IF(OR(LEFT(BG276,1)="X",LEFT(BJ276,1)="X"),"—",IF(AND(LEFT(BG276,1)="E",LEFT(BJ276,1)="E"),"Exception · Band E",IF(AND(INDEX(B_VAL,MATCH(BJ276,B_LVL,0))&gt;=7,INDEX(B_RANK,MATCH(BG276,B_LVL,0))&gt;=INDEX(B_RANK,MATCH(BJ276,B_LVL,0))),"⚠ Same band as a head manager",IF(INDEX(B_VAL,MATCH(BG276,B_LVL,0))&gt;=INDEX(B_VAL,MATCH(BJ276,B_LVL,0)),"⚠ At or above the manager's level","OK"))))),"—")</f>
        <v>OK</v>
      </c>
      <c r="BL276" s="43" t="n"/>
      <c r="BM276" s="44">
        <f>IFERROR(INDEX(LMH_PTS,MATCH(Y276,LMH_KEY,0)),0)</f>
        <v>9</v>
      </c>
      <c r="BN276" s="38">
        <f>IFERROR(INDEX(LMH_PTS,MATCH(Z276,LMH_KEY,0)),0)</f>
        <v>3</v>
      </c>
      <c r="BO276" s="38">
        <f>IFERROR(INDEX(LMH_PTS,MATCH(AA276,LMH_KEY,0)),0)</f>
        <v>1</v>
      </c>
      <c r="BP276" s="38">
        <f>IFERROR(INDEX(LMH_PTS,MATCH(AB276,LMH_KEY,0)),0)</f>
        <v>1</v>
      </c>
      <c r="BQ276" s="38">
        <f>IFERROR(INDEX(LMH_PTS,MATCH(AC276,LMH_KEY,0)),0)</f>
        <v>1</v>
      </c>
      <c r="BR276" s="38">
        <f>IFERROR(INDEX(LMH_PTS,MATCH(AD276,LMH_KEY,0)),0)</f>
        <v>1</v>
      </c>
      <c r="BS276" s="38">
        <f>IFERROR(INDEX(LMH_PTS,MATCH(AE276,LMH_KEY,0)),0)</f>
        <v>1</v>
      </c>
      <c r="BT276" s="38">
        <f>IFERROR(INDEX(LMH_STEP,MATCH(AF276,LMH_KEY,0)),0)</f>
        <v>0</v>
      </c>
      <c r="BU276" s="38">
        <f>IFERROR(INDEX(LMH_STEP,MATCH(AG276,LMH_KEY,0)),0)</f>
        <v>0</v>
      </c>
      <c r="BV276" s="38">
        <f>IFERROR(INDEX(LMH_STEP,MATCH(AH276,LMH_KEY,0)),0)</f>
        <v>0</v>
      </c>
      <c r="BW276" s="38">
        <f>IFERROR(INDEX(LMH_STEP,MATCH(AI276,LMH_KEY,0)),0)</f>
        <v>0</v>
      </c>
      <c r="BX276" s="38">
        <f>IFERROR(INDEX(LMH_STEP,MATCH(AJ276,LMH_KEY,0)),0)</f>
        <v>0</v>
      </c>
      <c r="BY276" s="38">
        <f>IFERROR(INDEX(LMH_STEP,MATCH(AK276,LMH_KEY,0)),0)</f>
        <v>0</v>
      </c>
      <c r="BZ276" s="38">
        <f>IFERROR(INDEX(LMH_STEP,MATCH(AL276,LMH_KEY,0)),0)</f>
        <v>0</v>
      </c>
      <c r="CA276" s="38" t="inlineStr">
        <is>
          <t>iFile|Technology|Software Engineer|A2|A</t>
        </is>
      </c>
    </row>
    <row r="277" ht="110" customHeight="1">
      <c r="A277" s="28" t="inlineStr">
        <is>
          <t>iFile</t>
        </is>
      </c>
      <c r="B277" s="29" t="inlineStr">
        <is>
          <t>Technology</t>
        </is>
      </c>
      <c r="C277" s="29" t="n">
        <v>4</v>
      </c>
      <c r="D277" s="29" t="inlineStr">
        <is>
          <t>INTN0289</t>
        </is>
      </c>
      <c r="E277" s="29" t="inlineStr">
        <is>
          <t>Pradnya Shindhe</t>
        </is>
      </c>
      <c r="F277" s="29" t="inlineStr">
        <is>
          <t>Intern</t>
        </is>
      </c>
      <c r="G277" s="29" t="inlineStr">
        <is>
          <t>Intern – Front-End / UI Development</t>
        </is>
      </c>
      <c r="H277" s="29" t="inlineStr">
        <is>
          <t>Engineering &amp; Development</t>
        </is>
      </c>
      <c r="I277" s="29" t="inlineStr">
        <is>
          <t>Front-End / UI Development</t>
        </is>
      </c>
      <c r="J277" s="29" t="inlineStr">
        <is>
          <t>IC</t>
        </is>
      </c>
      <c r="K277" s="29" t="inlineStr">
        <is>
          <t>RC-079</t>
        </is>
      </c>
      <c r="L277" s="29" t="inlineStr">
        <is>
          <t>Sharanagouda Patil</t>
        </is>
      </c>
      <c r="M277" s="29" t="inlineStr">
        <is>
          <t>IRIS1690</t>
        </is>
      </c>
      <c r="N277" s="29" t="n">
        <v>0.7</v>
      </c>
      <c r="O277" s="29" t="n">
        <v>0.7</v>
      </c>
      <c r="P277" s="29" t="inlineStr">
        <is>
          <t>BCA</t>
        </is>
      </c>
      <c r="Q277" s="29" t="inlineStr">
        <is>
          <t>L1 – Intern</t>
        </is>
      </c>
      <c r="R277" s="29" t="inlineStr">
        <is>
          <t>A1</t>
        </is>
      </c>
      <c r="S277" s="30" t="inlineStr">
        <is>
          <t>20 of 20</t>
        </is>
      </c>
      <c r="T277" s="32" t="inlineStr">
        <is>
          <t>Full survey answers not in the files received · How We Grow export needed · HR</t>
        </is>
      </c>
      <c r="U277" s="31" t="inlineStr">
        <is>
          <t>Received · quarterly · KRAs not received · manager to supply</t>
        </is>
      </c>
      <c r="V277" s="31" t="inlineStr">
        <is>
          <t>Latest rating: 3 · 9-box: Trusted Professional · Readiness: Develop in role</t>
        </is>
      </c>
      <c r="W277" s="31" t="inlineStr">
        <is>
          <t>C — · Au — · Ac — · L — · BI — · Exp H · 0.7 yrs vs 0 yrs · fresher / intern · Edu M · BCA</t>
        </is>
      </c>
      <c r="X277" s="33" t="inlineStr">
        <is>
          <t>Open ▸</t>
        </is>
      </c>
      <c r="Y277" s="34" t="str">
        <f>IFERROR(INDEX(DL_C,MATCH($CA277,DL_KEY,0)),"M")</f>
        <v>H</v>
      </c>
      <c r="Z277" s="35" t="str">
        <f>IFERROR(INDEX(DL_Au,MATCH($CA277,DL_KEY,0)),"M")</f>
        <v>M</v>
      </c>
      <c r="AA277" s="35" t="str">
        <f>IFERROR(INDEX(DL_Ac,MATCH($CA277,DL_KEY,0)),"M")</f>
        <v>L</v>
      </c>
      <c r="AB277" s="35" t="str">
        <f>IFERROR(INDEX(DL_L,MATCH($CA277,DL_KEY,0)),"M")</f>
        <v>L</v>
      </c>
      <c r="AC277" s="35" t="str">
        <f>IFERROR(INDEX(DL_BI,MATCH($CA277,DL_KEY,0)),"M")</f>
        <v>L</v>
      </c>
      <c r="AD277" s="35" t="str">
        <f>IFERROR(INDEX(DL_Exp,MATCH($CA277,DL_KEY,0)),"M")</f>
        <v>L</v>
      </c>
      <c r="AE277" s="35" t="str">
        <f>IFERROR(INDEX(DL_Edu,MATCH($CA277,DL_KEY,0)),"M")</f>
        <v>L</v>
      </c>
      <c r="AF277" s="34" t="inlineStr">
        <is>
          <t>M</t>
        </is>
      </c>
      <c r="AG277" s="35" t="inlineStr">
        <is>
          <t>M</t>
        </is>
      </c>
      <c r="AH277" s="35" t="inlineStr">
        <is>
          <t>M</t>
        </is>
      </c>
      <c r="AI277" s="35" t="inlineStr">
        <is>
          <t>M</t>
        </is>
      </c>
      <c r="AJ277" s="35" t="inlineStr">
        <is>
          <t>M</t>
        </is>
      </c>
      <c r="AK277" s="35" t="inlineStr">
        <is>
          <t>M</t>
        </is>
      </c>
      <c r="AL277" s="35" t="inlineStr">
        <is>
          <t>M</t>
        </is>
      </c>
      <c r="AM277" s="36" t="n">
        <v>0.583</v>
      </c>
      <c r="AN277" s="37" t="n">
        <v>0.16</v>
      </c>
      <c r="AO277" s="37" t="n">
        <v>0.09</v>
      </c>
      <c r="AP277" s="37" t="n">
        <v>0</v>
      </c>
      <c r="AQ277" s="37" t="n">
        <v>0.063</v>
      </c>
      <c r="AR277" s="37" t="n">
        <v>0.06</v>
      </c>
      <c r="AS277" s="37" t="n">
        <v>0.04</v>
      </c>
      <c r="AT277" s="38" t="inlineStr">
        <is>
          <t>0 yrs · fresher / intern</t>
        </is>
      </c>
      <c r="AU277" s="38" t="inlineStr">
        <is>
          <t>Pursuing or completed graduation / diploma</t>
        </is>
      </c>
      <c r="AV277" s="38" t="inlineStr">
        <is>
          <t>No direct reports</t>
        </is>
      </c>
      <c r="AW277" s="38" t="inlineStr">
        <is>
          <t>Entry / P1 · intern · SFIA 1 Follow</t>
        </is>
      </c>
      <c r="AX27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77" s="39" t="inlineStr">
        <is>
          <t>A1</t>
        </is>
      </c>
      <c r="AZ277" s="40" t="inlineStr">
        <is>
          <t>Band A · Practitioner · Intern / Trainee</t>
        </is>
      </c>
      <c r="BA277" s="40" t="inlineStr">
        <is>
          <t>Model A1 from the six ratings, the market-derived weights and rules R1–R13 · then No change · already below the manager</t>
        </is>
      </c>
      <c r="BB277" s="41" t="inlineStr">
        <is>
          <t>A1</t>
        </is>
      </c>
      <c r="BC277" s="40" t="inlineStr">
        <is>
          <t>Placed by a category rule — no full set of ratings · benchmark follows the HR proposed level</t>
        </is>
      </c>
      <c r="BD277" s="42">
        <f>IF(SUM(BM277,BN277,BO277,BP277,BQ277,BR277,BS277)=0,0,(BM277*BT277+BN277*BU277+BO277*BV277+BP277*BW277+BQ277*BX277+BR277*BY277+BS277*BZ277)/SUM(BM277,BN277,BO277,BP277,BQ277,BR277,BS277))</f>
        <v>0</v>
      </c>
      <c r="BE277" s="41" t="str">
        <f>IF(LEFT(AY277,1)="X",AY277,IF(OR(AY277="B+",AY277="C+"),INDEX(LAD_PC,MAX(1,MIN(14,MATCH(AY277,LAD_PC,0)+IF(BD277&gt;=0.5,1,IF(BD277&lt;=-0.5,-1,0))))),INDEX(LAD_STD,MAX(1,MIN(12,MATCH(AY277,LAD_STD,0)+IF(BD277&gt;=0.5,1,IF(BD277&lt;=-0.5,-1,0)))))))</f>
        <v>A1</v>
      </c>
      <c r="BF277" s="43" t="n"/>
      <c r="BG277" s="41" t="str">
        <f>IF(BF277&lt;&gt;"",BF277,BE277)</f>
        <v>A1</v>
      </c>
      <c r="BH277" s="40" t="str">
        <f>IFERROR(CHOOSE(INDEX(B_RANK,MATCH(BG277,B_LVL,0)),"Band A","Band B","B+ · Player-Coach","Band C","C+ · Player-Coach","Band D","Band E"),"Band X · Consultant")</f>
        <v>Band A</v>
      </c>
      <c r="BI277" s="40" t="str">
        <f>IF(BG277=AY277,"• Same",IF(INDEX(B_VAL,MATCH(BG277,B_LVL,0))&gt;INDEX(B_VAL,MATCH(AY277,B_LVL,0)),"▲ Up","▼ Down"))</f>
        <v>• Same</v>
      </c>
      <c r="BJ277" s="40" t="str">
        <f>IF(OR($M277="",$M277="—",$M277="Not in this file"),"",IFERROR(INDEX($BG$7:$BG$592,MATCH($M277,$D$7:$D$592,0)),""))</f>
        <v>B3</v>
      </c>
      <c r="BK277" s="40" t="str">
        <f>IFERROR(IF(BJ277="","—",IF(OR(LEFT(BG277,1)="X",LEFT(BJ277,1)="X"),"—",IF(AND(LEFT(BG277,1)="E",LEFT(BJ277,1)="E"),"Exception · Band E",IF(AND(INDEX(B_VAL,MATCH(BJ277,B_LVL,0))&gt;=7,INDEX(B_RANK,MATCH(BG277,B_LVL,0))&gt;=INDEX(B_RANK,MATCH(BJ277,B_LVL,0))),"⚠ Same band as a head manager",IF(INDEX(B_VAL,MATCH(BG277,B_LVL,0))&gt;=INDEX(B_VAL,MATCH(BJ277,B_LVL,0)),"⚠ At or above the manager's level","OK"))))),"—")</f>
        <v>OK</v>
      </c>
      <c r="BL277" s="43" t="n"/>
      <c r="BM277" s="44">
        <f>IFERROR(INDEX(LMH_PTS,MATCH(Y277,LMH_KEY,0)),0)</f>
        <v>9</v>
      </c>
      <c r="BN277" s="38">
        <f>IFERROR(INDEX(LMH_PTS,MATCH(Z277,LMH_KEY,0)),0)</f>
        <v>3</v>
      </c>
      <c r="BO277" s="38">
        <f>IFERROR(INDEX(LMH_PTS,MATCH(AA277,LMH_KEY,0)),0)</f>
        <v>1</v>
      </c>
      <c r="BP277" s="38">
        <f>IFERROR(INDEX(LMH_PTS,MATCH(AB277,LMH_KEY,0)),0)</f>
        <v>1</v>
      </c>
      <c r="BQ277" s="38">
        <f>IFERROR(INDEX(LMH_PTS,MATCH(AC277,LMH_KEY,0)),0)</f>
        <v>1</v>
      </c>
      <c r="BR277" s="38">
        <f>IFERROR(INDEX(LMH_PTS,MATCH(AD277,LMH_KEY,0)),0)</f>
        <v>1</v>
      </c>
      <c r="BS277" s="38">
        <f>IFERROR(INDEX(LMH_PTS,MATCH(AE277,LMH_KEY,0)),0)</f>
        <v>1</v>
      </c>
      <c r="BT277" s="38">
        <f>IFERROR(INDEX(LMH_STEP,MATCH(AF277,LMH_KEY,0)),0)</f>
        <v>0</v>
      </c>
      <c r="BU277" s="38">
        <f>IFERROR(INDEX(LMH_STEP,MATCH(AG277,LMH_KEY,0)),0)</f>
        <v>0</v>
      </c>
      <c r="BV277" s="38">
        <f>IFERROR(INDEX(LMH_STEP,MATCH(AH277,LMH_KEY,0)),0)</f>
        <v>0</v>
      </c>
      <c r="BW277" s="38">
        <f>IFERROR(INDEX(LMH_STEP,MATCH(AI277,LMH_KEY,0)),0)</f>
        <v>0</v>
      </c>
      <c r="BX277" s="38">
        <f>IFERROR(INDEX(LMH_STEP,MATCH(AJ277,LMH_KEY,0)),0)</f>
        <v>0</v>
      </c>
      <c r="BY277" s="38">
        <f>IFERROR(INDEX(LMH_STEP,MATCH(AK277,LMH_KEY,0)),0)</f>
        <v>0</v>
      </c>
      <c r="BZ277" s="38">
        <f>IFERROR(INDEX(LMH_STEP,MATCH(AL277,LMH_KEY,0)),0)</f>
        <v>0</v>
      </c>
      <c r="CA277" s="38" t="inlineStr">
        <is>
          <t>iFile|Technology|Intern – Front-End / UI Development|A1|A</t>
        </is>
      </c>
    </row>
    <row r="278" ht="110" customHeight="1">
      <c r="A278" s="28" t="inlineStr">
        <is>
          <t>iFile</t>
        </is>
      </c>
      <c r="B278" s="29" t="inlineStr">
        <is>
          <t>Technology</t>
        </is>
      </c>
      <c r="C278" s="29" t="n">
        <v>3</v>
      </c>
      <c r="D278" s="29" t="inlineStr">
        <is>
          <t>IRIS0211</t>
        </is>
      </c>
      <c r="E278" s="29" t="inlineStr">
        <is>
          <t>Brij Kishor Singh</t>
        </is>
      </c>
      <c r="F278" s="29" t="inlineStr">
        <is>
          <t>Technical Architect</t>
        </is>
      </c>
      <c r="G278" s="29" t="inlineStr">
        <is>
          <t>Practice Lead – Solution &amp; Technical Architecture · Player-Coach</t>
        </is>
      </c>
      <c r="H278" s="29" t="inlineStr">
        <is>
          <t>Engineering &amp; Architecture</t>
        </is>
      </c>
      <c r="I278" s="29" t="inlineStr">
        <is>
          <t>Solution &amp; Technical Architecture</t>
        </is>
      </c>
      <c r="J278" s="29" t="inlineStr">
        <is>
          <t>Player-Coach</t>
        </is>
      </c>
      <c r="K278" s="29" t="inlineStr">
        <is>
          <t>RC-056</t>
        </is>
      </c>
      <c r="L278" s="29" t="inlineStr">
        <is>
          <t>Pradip Dey</t>
        </is>
      </c>
      <c r="M278" s="29" t="inlineStr">
        <is>
          <t>IRISC223</t>
        </is>
      </c>
      <c r="N278" s="29" t="n">
        <v>18.2</v>
      </c>
      <c r="O278" s="29" t="n">
        <v>18.2</v>
      </c>
      <c r="P278" s="29" t="inlineStr">
        <is>
          <t>MCA</t>
        </is>
      </c>
      <c r="Q278" s="29" t="inlineStr">
        <is>
          <t>L3 – Professional / Associate</t>
        </is>
      </c>
      <c r="R278" s="29" t="inlineStr">
        <is>
          <t>B+</t>
        </is>
      </c>
      <c r="S278" s="30" t="inlineStr">
        <is>
          <t>20 of 20</t>
        </is>
      </c>
      <c r="T278" s="31" t="inlineStr">
        <is>
          <t>Complexity: Evidence reads like B3: Designs solution architecture and integrations for client implementations in Bhutan, Jordan, Malaysia; assesses change-request impact → moved down 0.5
Autonomy: Evidence reads like B2: Decides architecture patterns, integration methods and technology options; gives CR effort estimates to clients → moved down …</t>
        </is>
      </c>
      <c r="U278" s="31" t="inlineStr">
        <is>
          <t>Received · manager annual, quarterly · 1. Account/Project Management
Ensure constant touch with clients and rapport building, especially SSM, RMA, IFSCA
Ensure project activities and implementation getting completed as per plan and within budget 
Ensure team members are continuosly getting opportunities to excel and able to contribute at a higher level …</t>
        </is>
      </c>
      <c r="V278" s="31" t="inlineStr">
        <is>
          <t>Latest rating: 4 · Potential: High · 9-box: Trusted Professional · Readiness: Ready now</t>
        </is>
      </c>
      <c r="W278" s="31" t="inlineStr">
        <is>
          <t>C M · Au M · Ac M · L L · BI M · Exp H · 18.2 yrs vs 9–14 yrs · Edu M · MCA</t>
        </is>
      </c>
      <c r="X278" s="33" t="inlineStr">
        <is>
          <t>Open ▸</t>
        </is>
      </c>
      <c r="Y278" s="34" t="str">
        <f>IFERROR(INDEX(DL_C,MATCH($CA278,DL_KEY,0)),"M")</f>
        <v>H</v>
      </c>
      <c r="Z278" s="35" t="str">
        <f>IFERROR(INDEX(DL_Au,MATCH($CA278,DL_KEY,0)),"M")</f>
        <v>M</v>
      </c>
      <c r="AA278" s="35" t="str">
        <f>IFERROR(INDEX(DL_Ac,MATCH($CA278,DL_KEY,0)),"M")</f>
        <v>L</v>
      </c>
      <c r="AB278" s="35" t="str">
        <f>IFERROR(INDEX(DL_L,MATCH($CA278,DL_KEY,0)),"M")</f>
        <v>M</v>
      </c>
      <c r="AC278" s="35" t="str">
        <f>IFERROR(INDEX(DL_BI,MATCH($CA278,DL_KEY,0)),"M")</f>
        <v>L</v>
      </c>
      <c r="AD278" s="35" t="str">
        <f>IFERROR(INDEX(DL_Exp,MATCH($CA278,DL_KEY,0)),"M")</f>
        <v>L</v>
      </c>
      <c r="AE278" s="35" t="str">
        <f>IFERROR(INDEX(DL_Edu,MATCH($CA278,DL_KEY,0)),"M")</f>
        <v>L</v>
      </c>
      <c r="AF278" s="34" t="inlineStr">
        <is>
          <t>M</t>
        </is>
      </c>
      <c r="AG278" s="35" t="inlineStr">
        <is>
          <t>M</t>
        </is>
      </c>
      <c r="AH278" s="35" t="inlineStr">
        <is>
          <t>M</t>
        </is>
      </c>
      <c r="AI278" s="35" t="inlineStr">
        <is>
          <t>M</t>
        </is>
      </c>
      <c r="AJ278" s="35" t="inlineStr">
        <is>
          <t>M</t>
        </is>
      </c>
      <c r="AK278" s="35" t="inlineStr">
        <is>
          <t>M</t>
        </is>
      </c>
      <c r="AL278" s="35" t="inlineStr">
        <is>
          <t>M</t>
        </is>
      </c>
      <c r="AM278" s="36" t="n">
        <v>0.44</v>
      </c>
      <c r="AN278" s="37" t="n">
        <v>0.177</v>
      </c>
      <c r="AO278" s="37" t="n">
        <v>0.103</v>
      </c>
      <c r="AP278" s="37" t="n">
        <v>0.1</v>
      </c>
      <c r="AQ278" s="37" t="n">
        <v>0.077</v>
      </c>
      <c r="AR278" s="37" t="n">
        <v>0.06</v>
      </c>
      <c r="AS278" s="37" t="n">
        <v>0.04</v>
      </c>
      <c r="AT278" s="38" t="inlineStr">
        <is>
          <t>9–14</t>
        </is>
      </c>
      <c r="AU278" s="38" t="inlineStr">
        <is>
          <t>Postgraduate or professional qualification preferred</t>
        </is>
      </c>
      <c r="AV278" s="38" t="inlineStr">
        <is>
          <t>3–6 direct reports with ≥ 40% of time on own delivery · McKinsey player/coach 3–5; Google Tech Lead Manager</t>
        </is>
      </c>
      <c r="AW278" s="38" t="inlineStr">
        <is>
          <t>P5–P6 / M4–M5 · SFIA 5 Ensure, advise</t>
        </is>
      </c>
      <c r="AX27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78" s="39" t="inlineStr">
        <is>
          <t>B+</t>
        </is>
      </c>
      <c r="AZ278" s="40" t="inlineStr">
        <is>
          <t>B+ · Player-Coach · Practice Lead · Player-Coach</t>
        </is>
      </c>
      <c r="BA278" s="40" t="inlineStr">
        <is>
          <t>Model B+ from the six ratings, the market-derived weights and rules R1–R13 · then No change · already below the manager</t>
        </is>
      </c>
      <c r="BB278" s="41" t="inlineStr">
        <is>
          <t>C1</t>
        </is>
      </c>
      <c r="BC278" s="40" t="inlineStr">
        <is>
          <t>The six ratings on the market-average weights of B+ · Player-Coach score 6.51 → C1 · Hay, Mercer IPE and public plans · experience 18.2 yrs vs the C1 market range 12–17</t>
        </is>
      </c>
      <c r="BD278" s="42">
        <f>IF(SUM(BM278,BN278,BO278,BP278,BQ278,BR278,BS278)=0,0,(BM278*BT278+BN278*BU278+BO278*BV278+BP278*BW278+BQ278*BX278+BR278*BY278+BS278*BZ278)/SUM(BM278,BN278,BO278,BP278,BQ278,BR278,BS278))</f>
        <v>0</v>
      </c>
      <c r="BE278" s="41" t="str">
        <f>IF(LEFT(AY278,1)="X",AY278,IF(OR(AY278="B+",AY278="C+"),INDEX(LAD_PC,MAX(1,MIN(14,MATCH(AY278,LAD_PC,0)+IF(BD278&gt;=0.5,1,IF(BD278&lt;=-0.5,-1,0))))),INDEX(LAD_STD,MAX(1,MIN(12,MATCH(AY278,LAD_STD,0)+IF(BD278&gt;=0.5,1,IF(BD278&lt;=-0.5,-1,0)))))))</f>
        <v>B+</v>
      </c>
      <c r="BF278" s="43" t="n"/>
      <c r="BG278" s="41" t="str">
        <f>IF(BF278&lt;&gt;"",BF278,BE278)</f>
        <v>B+</v>
      </c>
      <c r="BH278" s="40" t="str">
        <f>IFERROR(CHOOSE(INDEX(B_RANK,MATCH(BG278,B_LVL,0)),"Band A","Band B","B+ · Player-Coach","Band C","C+ · Player-Coach","Band D","Band E"),"Band X · Consultant")</f>
        <v>B+ · Player-Coach</v>
      </c>
      <c r="BI278" s="40" t="str">
        <f>IF(BG278=AY278,"• Same",IF(INDEX(B_VAL,MATCH(BG278,B_LVL,0))&gt;INDEX(B_VAL,MATCH(AY278,B_LVL,0)),"▲ Up","▼ Down"))</f>
        <v>• Same</v>
      </c>
      <c r="BJ278" s="40" t="str">
        <f>IF(OR($M278="",$M278="—",$M278="Not in this file"),"",IFERROR(INDEX($BG$7:$BG$592,MATCH($M278,$D$7:$D$592,0)),""))</f>
        <v>C2</v>
      </c>
      <c r="BK278" s="40" t="str">
        <f>IFERROR(IF(BJ278="","—",IF(OR(LEFT(BG278,1)="X",LEFT(BJ278,1)="X"),"—",IF(AND(LEFT(BG278,1)="E",LEFT(BJ278,1)="E"),"Exception · Band E",IF(AND(INDEX(B_VAL,MATCH(BJ278,B_LVL,0))&gt;=7,INDEX(B_RANK,MATCH(BG278,B_LVL,0))&gt;=INDEX(B_RANK,MATCH(BJ278,B_LVL,0))),"⚠ Same band as a head manager",IF(INDEX(B_VAL,MATCH(BG278,B_LVL,0))&gt;=INDEX(B_VAL,MATCH(BJ278,B_LVL,0)),"⚠ At or above the manager's level","OK"))))),"—")</f>
        <v>OK</v>
      </c>
      <c r="BL278" s="43" t="n"/>
      <c r="BM278" s="44">
        <f>IFERROR(INDEX(LMH_PTS,MATCH(Y278,LMH_KEY,0)),0)</f>
        <v>9</v>
      </c>
      <c r="BN278" s="38">
        <f>IFERROR(INDEX(LMH_PTS,MATCH(Z278,LMH_KEY,0)),0)</f>
        <v>3</v>
      </c>
      <c r="BO278" s="38">
        <f>IFERROR(INDEX(LMH_PTS,MATCH(AA278,LMH_KEY,0)),0)</f>
        <v>1</v>
      </c>
      <c r="BP278" s="38">
        <f>IFERROR(INDEX(LMH_PTS,MATCH(AB278,LMH_KEY,0)),0)</f>
        <v>3</v>
      </c>
      <c r="BQ278" s="38">
        <f>IFERROR(INDEX(LMH_PTS,MATCH(AC278,LMH_KEY,0)),0)</f>
        <v>1</v>
      </c>
      <c r="BR278" s="38">
        <f>IFERROR(INDEX(LMH_PTS,MATCH(AD278,LMH_KEY,0)),0)</f>
        <v>1</v>
      </c>
      <c r="BS278" s="38">
        <f>IFERROR(INDEX(LMH_PTS,MATCH(AE278,LMH_KEY,0)),0)</f>
        <v>1</v>
      </c>
      <c r="BT278" s="38">
        <f>IFERROR(INDEX(LMH_STEP,MATCH(AF278,LMH_KEY,0)),0)</f>
        <v>0</v>
      </c>
      <c r="BU278" s="38">
        <f>IFERROR(INDEX(LMH_STEP,MATCH(AG278,LMH_KEY,0)),0)</f>
        <v>0</v>
      </c>
      <c r="BV278" s="38">
        <f>IFERROR(INDEX(LMH_STEP,MATCH(AH278,LMH_KEY,0)),0)</f>
        <v>0</v>
      </c>
      <c r="BW278" s="38">
        <f>IFERROR(INDEX(LMH_STEP,MATCH(AI278,LMH_KEY,0)),0)</f>
        <v>0</v>
      </c>
      <c r="BX278" s="38">
        <f>IFERROR(INDEX(LMH_STEP,MATCH(AJ278,LMH_KEY,0)),0)</f>
        <v>0</v>
      </c>
      <c r="BY278" s="38">
        <f>IFERROR(INDEX(LMH_STEP,MATCH(AK278,LMH_KEY,0)),0)</f>
        <v>0</v>
      </c>
      <c r="BZ278" s="38">
        <f>IFERROR(INDEX(LMH_STEP,MATCH(AL278,LMH_KEY,0)),0)</f>
        <v>0</v>
      </c>
      <c r="CA278" s="38" t="inlineStr">
        <is>
          <t>iFile|Technology|Practice Lead – Solution &amp; Technical Architecture · Player-Coach|B+|B+</t>
        </is>
      </c>
    </row>
    <row r="279" ht="110" customHeight="1">
      <c r="A279" s="28" t="inlineStr">
        <is>
          <t>iFile</t>
        </is>
      </c>
      <c r="B279" s="29" t="inlineStr">
        <is>
          <t>Technology</t>
        </is>
      </c>
      <c r="C279" s="29" t="n">
        <v>4</v>
      </c>
      <c r="D279" s="29" t="inlineStr">
        <is>
          <t>IRIS2019</t>
        </is>
      </c>
      <c r="E279" s="29" t="inlineStr">
        <is>
          <t>Anup Salve</t>
        </is>
      </c>
      <c r="F279" s="29" t="inlineStr">
        <is>
          <t>Lead Software Engineer</t>
        </is>
      </c>
      <c r="G279" s="29" t="inlineStr">
        <is>
          <t>Senior Technical Specialist – POD Lead</t>
        </is>
      </c>
      <c r="H279" s="29" t="inlineStr">
        <is>
          <t>Engineering &amp; Development</t>
        </is>
      </c>
      <c r="I279" s="29" t="inlineStr">
        <is>
          <t>Full-Stack Development</t>
        </is>
      </c>
      <c r="J279" s="29" t="inlineStr">
        <is>
          <t>POD Lead</t>
        </is>
      </c>
      <c r="K279" s="29" t="inlineStr">
        <is>
          <t>RC-087</t>
        </is>
      </c>
      <c r="L279" s="29" t="inlineStr">
        <is>
          <t>Brij Kishor Singh</t>
        </is>
      </c>
      <c r="M279" s="29" t="inlineStr">
        <is>
          <t>IRIS0211</t>
        </is>
      </c>
      <c r="N279" s="29" t="n">
        <v>12.3</v>
      </c>
      <c r="O279" s="29" t="n">
        <v>4.3</v>
      </c>
      <c r="P279" s="29" t="inlineStr">
        <is>
          <t>B.E</t>
        </is>
      </c>
      <c r="Q279" s="29" t="inlineStr">
        <is>
          <t>L5 – Lead · IC</t>
        </is>
      </c>
      <c r="R279" s="29" t="inlineStr">
        <is>
          <t>B2</t>
        </is>
      </c>
      <c r="S279" s="30" t="inlineStr">
        <is>
          <t>20 of 20</t>
        </is>
      </c>
      <c r="T279" s="31" t="inlineStr">
        <is>
          <t>Complexity: Evidence reads like B1: Designs application architecture; payment and SSO/SAML integrations; root-cause analysis across application, database and configuration → moved down 1
Autonomy: Evidence reads like B1: Reviews and merges team's code; gives clients ETAs, but informs seniors → moved down 1
Accountability: Evidence reads like B1: own survey …</t>
        </is>
      </c>
      <c r="U279" s="31" t="inlineStr">
        <is>
          <t>Received · manager annual, quarterly, self · 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t>
        </is>
      </c>
      <c r="V279" s="31" t="inlineStr">
        <is>
          <t>Latest rating: 4 · Potential: Medium · 9-box: Core Contributor · Readiness: Ready in 6–12 months</t>
        </is>
      </c>
      <c r="W279" s="31" t="inlineStr">
        <is>
          <t>C M · Au M · Ac M · L M · BI M · Exp H · 12.3 yrs vs 6–9 yrs · Edu M · B.E</t>
        </is>
      </c>
      <c r="X279" s="33" t="inlineStr">
        <is>
          <t>Open ▸</t>
        </is>
      </c>
      <c r="Y279" s="34" t="str">
        <f>IFERROR(INDEX(DL_C,MATCH($CA279,DL_KEY,0)),"M")</f>
        <v>H</v>
      </c>
      <c r="Z279" s="35" t="str">
        <f>IFERROR(INDEX(DL_Au,MATCH($CA279,DL_KEY,0)),"M")</f>
        <v>M</v>
      </c>
      <c r="AA279" s="35" t="str">
        <f>IFERROR(INDEX(DL_Ac,MATCH($CA279,DL_KEY,0)),"M")</f>
        <v>L</v>
      </c>
      <c r="AB279" s="35" t="str">
        <f>IFERROR(INDEX(DL_L,MATCH($CA279,DL_KEY,0)),"M")</f>
        <v>L</v>
      </c>
      <c r="AC279" s="35" t="str">
        <f>IFERROR(INDEX(DL_BI,MATCH($CA279,DL_KEY,0)),"M")</f>
        <v>L</v>
      </c>
      <c r="AD279" s="35" t="str">
        <f>IFERROR(INDEX(DL_Exp,MATCH($CA279,DL_KEY,0)),"M")</f>
        <v>L</v>
      </c>
      <c r="AE279" s="35" t="str">
        <f>IFERROR(INDEX(DL_Edu,MATCH($CA279,DL_KEY,0)),"M")</f>
        <v>L</v>
      </c>
      <c r="AF279" s="34" t="inlineStr">
        <is>
          <t>M</t>
        </is>
      </c>
      <c r="AG279" s="35" t="inlineStr">
        <is>
          <t>M</t>
        </is>
      </c>
      <c r="AH279" s="35" t="inlineStr">
        <is>
          <t>M</t>
        </is>
      </c>
      <c r="AI279" s="35" t="inlineStr">
        <is>
          <t>M</t>
        </is>
      </c>
      <c r="AJ279" s="35" t="inlineStr">
        <is>
          <t>M</t>
        </is>
      </c>
      <c r="AK279" s="35" t="inlineStr">
        <is>
          <t>M</t>
        </is>
      </c>
      <c r="AL279" s="35" t="inlineStr">
        <is>
          <t>M</t>
        </is>
      </c>
      <c r="AM279" s="36" t="n">
        <v>0.513</v>
      </c>
      <c r="AN279" s="37" t="n">
        <v>0.173</v>
      </c>
      <c r="AO279" s="37" t="n">
        <v>0.09699999999999999</v>
      </c>
      <c r="AP279" s="37" t="n">
        <v>0.05</v>
      </c>
      <c r="AQ279" s="37" t="n">
        <v>0.07000000000000001</v>
      </c>
      <c r="AR279" s="37" t="n">
        <v>0.06</v>
      </c>
      <c r="AS279" s="37" t="n">
        <v>0.04</v>
      </c>
      <c r="AT279" s="38" t="inlineStr">
        <is>
          <t>6–10</t>
        </is>
      </c>
      <c r="AU279" s="38" t="inlineStr">
        <is>
          <t>Graduate or postgraduate; professional qualification preferred</t>
        </is>
      </c>
      <c r="AV279" s="38" t="inlineStr">
        <is>
          <t>IC: none · People: 6–8 knowledge work, 8–12 standardised delivery</t>
        </is>
      </c>
      <c r="AW279" s="38" t="inlineStr">
        <is>
          <t>P4 / M3 · SFIA 4–5</t>
        </is>
      </c>
      <c r="AX27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79" s="39" t="inlineStr">
        <is>
          <t>B2</t>
        </is>
      </c>
      <c r="AZ279" s="40" t="inlineStr">
        <is>
          <t>Band B · Specialist / Manager · Manager</t>
        </is>
      </c>
      <c r="BA279" s="40" t="inlineStr">
        <is>
          <t>Model B2 from the six ratings, the market-derived weights and rules R1–R13 · then No change · already below the manager</t>
        </is>
      </c>
      <c r="BB279" s="41" t="inlineStr">
        <is>
          <t>B2</t>
        </is>
      </c>
      <c r="BC279" s="40" t="inlineStr">
        <is>
          <t>The six ratings on the market-average weights of Band B · Specialist / POD Lead score 5.09 → B2 · Hay, Mercer IPE and public plans · experience 12.3 yrs vs the B2 market range 6–10</t>
        </is>
      </c>
      <c r="BD279" s="42">
        <f>IF(SUM(BM279,BN279,BO279,BP279,BQ279,BR279,BS279)=0,0,(BM279*BT279+BN279*BU279+BO279*BV279+BP279*BW279+BQ279*BX279+BR279*BY279+BS279*BZ279)/SUM(BM279,BN279,BO279,BP279,BQ279,BR279,BS279))</f>
        <v>0</v>
      </c>
      <c r="BE279" s="41" t="str">
        <f>IF(LEFT(AY279,1)="X",AY279,IF(OR(AY279="B+",AY279="C+"),INDEX(LAD_PC,MAX(1,MIN(14,MATCH(AY279,LAD_PC,0)+IF(BD279&gt;=0.5,1,IF(BD279&lt;=-0.5,-1,0))))),INDEX(LAD_STD,MAX(1,MIN(12,MATCH(AY279,LAD_STD,0)+IF(BD279&gt;=0.5,1,IF(BD279&lt;=-0.5,-1,0)))))))</f>
        <v>B2</v>
      </c>
      <c r="BF279" s="43" t="n"/>
      <c r="BG279" s="41" t="str">
        <f>IF(BF279&lt;&gt;"",BF279,BE279)</f>
        <v>B2</v>
      </c>
      <c r="BH279" s="40" t="str">
        <f>IFERROR(CHOOSE(INDEX(B_RANK,MATCH(BG279,B_LVL,0)),"Band A","Band B","B+ · Player-Coach","Band C","C+ · Player-Coach","Band D","Band E"),"Band X · Consultant")</f>
        <v>Band B</v>
      </c>
      <c r="BI279" s="40" t="str">
        <f>IF(BG279=AY279,"• Same",IF(INDEX(B_VAL,MATCH(BG279,B_LVL,0))&gt;INDEX(B_VAL,MATCH(AY279,B_LVL,0)),"▲ Up","▼ Down"))</f>
        <v>• Same</v>
      </c>
      <c r="BJ279" s="40" t="str">
        <f>IF(OR($M279="",$M279="—",$M279="Not in this file"),"",IFERROR(INDEX($BG$7:$BG$592,MATCH($M279,$D$7:$D$592,0)),""))</f>
        <v>B+</v>
      </c>
      <c r="BK279" s="40" t="str">
        <f>IFERROR(IF(BJ279="","—",IF(OR(LEFT(BG279,1)="X",LEFT(BJ279,1)="X"),"—",IF(AND(LEFT(BG279,1)="E",LEFT(BJ279,1)="E"),"Exception · Band E",IF(AND(INDEX(B_VAL,MATCH(BJ279,B_LVL,0))&gt;=7,INDEX(B_RANK,MATCH(BG279,B_LVL,0))&gt;=INDEX(B_RANK,MATCH(BJ279,B_LVL,0))),"⚠ Same band as a head manager",IF(INDEX(B_VAL,MATCH(BG279,B_LVL,0))&gt;=INDEX(B_VAL,MATCH(BJ279,B_LVL,0)),"⚠ At or above the manager's level","OK"))))),"—")</f>
        <v>OK</v>
      </c>
      <c r="BL279" s="43" t="n"/>
      <c r="BM279" s="44">
        <f>IFERROR(INDEX(LMH_PTS,MATCH(Y279,LMH_KEY,0)),0)</f>
        <v>9</v>
      </c>
      <c r="BN279" s="38">
        <f>IFERROR(INDEX(LMH_PTS,MATCH(Z279,LMH_KEY,0)),0)</f>
        <v>3</v>
      </c>
      <c r="BO279" s="38">
        <f>IFERROR(INDEX(LMH_PTS,MATCH(AA279,LMH_KEY,0)),0)</f>
        <v>1</v>
      </c>
      <c r="BP279" s="38">
        <f>IFERROR(INDEX(LMH_PTS,MATCH(AB279,LMH_KEY,0)),0)</f>
        <v>1</v>
      </c>
      <c r="BQ279" s="38">
        <f>IFERROR(INDEX(LMH_PTS,MATCH(AC279,LMH_KEY,0)),0)</f>
        <v>1</v>
      </c>
      <c r="BR279" s="38">
        <f>IFERROR(INDEX(LMH_PTS,MATCH(AD279,LMH_KEY,0)),0)</f>
        <v>1</v>
      </c>
      <c r="BS279" s="38">
        <f>IFERROR(INDEX(LMH_PTS,MATCH(AE279,LMH_KEY,0)),0)</f>
        <v>1</v>
      </c>
      <c r="BT279" s="38">
        <f>IFERROR(INDEX(LMH_STEP,MATCH(AF279,LMH_KEY,0)),0)</f>
        <v>0</v>
      </c>
      <c r="BU279" s="38">
        <f>IFERROR(INDEX(LMH_STEP,MATCH(AG279,LMH_KEY,0)),0)</f>
        <v>0</v>
      </c>
      <c r="BV279" s="38">
        <f>IFERROR(INDEX(LMH_STEP,MATCH(AH279,LMH_KEY,0)),0)</f>
        <v>0</v>
      </c>
      <c r="BW279" s="38">
        <f>IFERROR(INDEX(LMH_STEP,MATCH(AI279,LMH_KEY,0)),0)</f>
        <v>0</v>
      </c>
      <c r="BX279" s="38">
        <f>IFERROR(INDEX(LMH_STEP,MATCH(AJ279,LMH_KEY,0)),0)</f>
        <v>0</v>
      </c>
      <c r="BY279" s="38">
        <f>IFERROR(INDEX(LMH_STEP,MATCH(AK279,LMH_KEY,0)),0)</f>
        <v>0</v>
      </c>
      <c r="BZ279" s="38">
        <f>IFERROR(INDEX(LMH_STEP,MATCH(AL279,LMH_KEY,0)),0)</f>
        <v>0</v>
      </c>
      <c r="CA279" s="38" t="inlineStr">
        <is>
          <t>iFile|Technology|Senior Technical Specialist – POD Lead|B2|B-IC</t>
        </is>
      </c>
    </row>
    <row r="280" ht="110" customHeight="1">
      <c r="A280" s="28" t="inlineStr">
        <is>
          <t>iFile</t>
        </is>
      </c>
      <c r="B280" s="29" t="inlineStr">
        <is>
          <t>Quality Assurance</t>
        </is>
      </c>
      <c r="C280" s="29" t="n">
        <v>5</v>
      </c>
      <c r="D280" s="29" t="inlineStr">
        <is>
          <t>IRIS2508</t>
        </is>
      </c>
      <c r="E280" s="29" t="inlineStr">
        <is>
          <t>Ayush Saurkar</t>
        </is>
      </c>
      <c r="F280" s="29" t="inlineStr">
        <is>
          <t>QA Engineer</t>
        </is>
      </c>
      <c r="G280" s="29" t="inlineStr">
        <is>
          <t>Senior QA Engineer</t>
        </is>
      </c>
      <c r="H280" s="29" t="inlineStr">
        <is>
          <t>Quality Assurance</t>
        </is>
      </c>
      <c r="I280" s="29" t="inlineStr">
        <is>
          <t>Functional &amp; Domain Testing</t>
        </is>
      </c>
      <c r="J280" s="29" t="inlineStr">
        <is>
          <t>IC</t>
        </is>
      </c>
      <c r="K280" s="29" t="inlineStr">
        <is>
          <t>RC-141</t>
        </is>
      </c>
      <c r="L280" s="29" t="inlineStr">
        <is>
          <t>Anup Salve</t>
        </is>
      </c>
      <c r="M280" s="29" t="inlineStr">
        <is>
          <t>IRIS2019</t>
        </is>
      </c>
      <c r="N280" s="29" t="n">
        <v>2.7</v>
      </c>
      <c r="O280" s="29" t="n">
        <v>0.5</v>
      </c>
      <c r="P280" s="29" t="inlineStr">
        <is>
          <t>B.Tech</t>
        </is>
      </c>
      <c r="Q280" s="29" t="inlineStr">
        <is>
          <t>L3 – Professional / Associate</t>
        </is>
      </c>
      <c r="R280" s="29" t="inlineStr">
        <is>
          <t>A3</t>
        </is>
      </c>
      <c r="S280" s="30" t="inlineStr">
        <is>
          <t>19 of 20</t>
        </is>
      </c>
      <c r="T280" s="31" t="inlineStr">
        <is>
          <t>Complexity: Evidence reads like A2: Test case preparation, testing and retesting; smoke testing tracked in QuickScrum and Jira → matches the start
Autonomy: Evidence reads like A2: Only decides to investigate an issue → matches the start
Accountability: Evidence reads like A2: Own test case preparation and testing → matches the start
Leadership: Evidence …</t>
        </is>
      </c>
      <c r="U280" s="31" t="inlineStr">
        <is>
          <t>Received · manager annual, quarterly, self · 1. Achieve &gt;=95% test case execution coverage for each assigned release
2. Keep defect detection effectiveness &gt;=90% · defects caught pre-production
3. Automate &gt;=20% of repetitive/regression test cases over the year
4. Maintain test documentation &amp; defect logs with 100% traceability to requirements
5. Reduce average …</t>
        </is>
      </c>
      <c r="V280" s="31" t="inlineStr">
        <is>
          <t>Latest rating: 2 · Potential: Medium · 9-box: Emerging Talent · Readiness: Performance first</t>
        </is>
      </c>
      <c r="W280" s="31" t="inlineStr">
        <is>
          <t>C L · Au L · Ac L · L L · BI L · Exp M · 2.7 yrs vs 2–4 yrs · Edu M · B.Tech</t>
        </is>
      </c>
      <c r="X280" s="33" t="inlineStr">
        <is>
          <t>Open ▸</t>
        </is>
      </c>
      <c r="Y280" s="34" t="str">
        <f>IFERROR(INDEX(DL_C,MATCH($CA280,DL_KEY,0)),"M")</f>
        <v>H</v>
      </c>
      <c r="Z280" s="35" t="str">
        <f>IFERROR(INDEX(DL_Au,MATCH($CA280,DL_KEY,0)),"M")</f>
        <v>M</v>
      </c>
      <c r="AA280" s="35" t="str">
        <f>IFERROR(INDEX(DL_Ac,MATCH($CA280,DL_KEY,0)),"M")</f>
        <v>L</v>
      </c>
      <c r="AB280" s="35" t="str">
        <f>IFERROR(INDEX(DL_L,MATCH($CA280,DL_KEY,0)),"M")</f>
        <v>L</v>
      </c>
      <c r="AC280" s="35" t="str">
        <f>IFERROR(INDEX(DL_BI,MATCH($CA280,DL_KEY,0)),"M")</f>
        <v>L</v>
      </c>
      <c r="AD280" s="35" t="str">
        <f>IFERROR(INDEX(DL_Exp,MATCH($CA280,DL_KEY,0)),"M")</f>
        <v>L</v>
      </c>
      <c r="AE280" s="35" t="str">
        <f>IFERROR(INDEX(DL_Edu,MATCH($CA280,DL_KEY,0)),"M")</f>
        <v>L</v>
      </c>
      <c r="AF280" s="34" t="inlineStr">
        <is>
          <t>M</t>
        </is>
      </c>
      <c r="AG280" s="35" t="inlineStr">
        <is>
          <t>M</t>
        </is>
      </c>
      <c r="AH280" s="35" t="inlineStr">
        <is>
          <t>M</t>
        </is>
      </c>
      <c r="AI280" s="35" t="inlineStr">
        <is>
          <t>M</t>
        </is>
      </c>
      <c r="AJ280" s="35" t="inlineStr">
        <is>
          <t>M</t>
        </is>
      </c>
      <c r="AK280" s="35" t="inlineStr">
        <is>
          <t>M</t>
        </is>
      </c>
      <c r="AL280" s="35" t="inlineStr">
        <is>
          <t>M</t>
        </is>
      </c>
      <c r="AM280" s="36" t="n">
        <v>0.583</v>
      </c>
      <c r="AN280" s="37" t="n">
        <v>0.16</v>
      </c>
      <c r="AO280" s="37" t="n">
        <v>0.09</v>
      </c>
      <c r="AP280" s="37" t="n">
        <v>0</v>
      </c>
      <c r="AQ280" s="37" t="n">
        <v>0.063</v>
      </c>
      <c r="AR280" s="37" t="n">
        <v>0.06</v>
      </c>
      <c r="AS280" s="37" t="n">
        <v>0.04</v>
      </c>
      <c r="AT280" s="38" t="inlineStr">
        <is>
          <t>2–5</t>
        </is>
      </c>
      <c r="AU280" s="38" t="inlineStr">
        <is>
          <t>Graduate; relevant certification preferred</t>
        </is>
      </c>
      <c r="AV280" s="38" t="inlineStr">
        <is>
          <t>None · guides 1–3 juniors informally</t>
        </is>
      </c>
      <c r="AW280" s="38" t="inlineStr">
        <is>
          <t>P2 · SFIA 3 Apply</t>
        </is>
      </c>
      <c r="AX28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80" s="39" t="inlineStr">
        <is>
          <t>A3</t>
        </is>
      </c>
      <c r="AZ280" s="40" t="inlineStr">
        <is>
          <t>Band A · Practitioner · Senior Associate</t>
        </is>
      </c>
      <c r="BA280" s="40" t="inlineStr">
        <is>
          <t>Model A3 from the six ratings, the market-derived weights and rules R1–R13 · then No change · already below the manager</t>
        </is>
      </c>
      <c r="BB280" s="41" t="inlineStr">
        <is>
          <t>A2</t>
        </is>
      </c>
      <c r="BC280" s="40" t="inlineStr">
        <is>
          <t>The six ratings on the market-average weights of Band A · all tracks score 2.10 → A2 · Hay, Mercer IPE and public plans · experience 2.7 yrs vs the A2 market range 0–3</t>
        </is>
      </c>
      <c r="BD280" s="42">
        <f>IF(SUM(BM280,BN280,BO280,BP280,BQ280,BR280,BS280)=0,0,(BM280*BT280+BN280*BU280+BO280*BV280+BP280*BW280+BQ280*BX280+BR280*BY280+BS280*BZ280)/SUM(BM280,BN280,BO280,BP280,BQ280,BR280,BS280))</f>
        <v>0</v>
      </c>
      <c r="BE280" s="41" t="str">
        <f>IF(LEFT(AY280,1)="X",AY280,IF(OR(AY280="B+",AY280="C+"),INDEX(LAD_PC,MAX(1,MIN(14,MATCH(AY280,LAD_PC,0)+IF(BD280&gt;=0.5,1,IF(BD280&lt;=-0.5,-1,0))))),INDEX(LAD_STD,MAX(1,MIN(12,MATCH(AY280,LAD_STD,0)+IF(BD280&gt;=0.5,1,IF(BD280&lt;=-0.5,-1,0)))))))</f>
        <v>A3</v>
      </c>
      <c r="BF280" s="43" t="n"/>
      <c r="BG280" s="41" t="str">
        <f>IF(BF280&lt;&gt;"",BF280,BE280)</f>
        <v>A3</v>
      </c>
      <c r="BH280" s="40" t="str">
        <f>IFERROR(CHOOSE(INDEX(B_RANK,MATCH(BG280,B_LVL,0)),"Band A","Band B","B+ · Player-Coach","Band C","C+ · Player-Coach","Band D","Band E"),"Band X · Consultant")</f>
        <v>Band A</v>
      </c>
      <c r="BI280" s="40" t="str">
        <f>IF(BG280=AY280,"• Same",IF(INDEX(B_VAL,MATCH(BG280,B_LVL,0))&gt;INDEX(B_VAL,MATCH(AY280,B_LVL,0)),"▲ Up","▼ Down"))</f>
        <v>• Same</v>
      </c>
      <c r="BJ280" s="40" t="str">
        <f>IF(OR($M280="",$M280="—",$M280="Not in this file"),"",IFERROR(INDEX($BG$7:$BG$592,MATCH($M280,$D$7:$D$592,0)),""))</f>
        <v>B2</v>
      </c>
      <c r="BK280" s="40" t="str">
        <f>IFERROR(IF(BJ280="","—",IF(OR(LEFT(BG280,1)="X",LEFT(BJ280,1)="X"),"—",IF(AND(LEFT(BG280,1)="E",LEFT(BJ280,1)="E"),"Exception · Band E",IF(AND(INDEX(B_VAL,MATCH(BJ280,B_LVL,0))&gt;=7,INDEX(B_RANK,MATCH(BG280,B_LVL,0))&gt;=INDEX(B_RANK,MATCH(BJ280,B_LVL,0))),"⚠ Same band as a head manager",IF(INDEX(B_VAL,MATCH(BG280,B_LVL,0))&gt;=INDEX(B_VAL,MATCH(BJ280,B_LVL,0)),"⚠ At or above the manager's level","OK"))))),"—")</f>
        <v>OK</v>
      </c>
      <c r="BL280" s="43" t="n"/>
      <c r="BM280" s="44">
        <f>IFERROR(INDEX(LMH_PTS,MATCH(Y280,LMH_KEY,0)),0)</f>
        <v>9</v>
      </c>
      <c r="BN280" s="38">
        <f>IFERROR(INDEX(LMH_PTS,MATCH(Z280,LMH_KEY,0)),0)</f>
        <v>3</v>
      </c>
      <c r="BO280" s="38">
        <f>IFERROR(INDEX(LMH_PTS,MATCH(AA280,LMH_KEY,0)),0)</f>
        <v>1</v>
      </c>
      <c r="BP280" s="38">
        <f>IFERROR(INDEX(LMH_PTS,MATCH(AB280,LMH_KEY,0)),0)</f>
        <v>1</v>
      </c>
      <c r="BQ280" s="38">
        <f>IFERROR(INDEX(LMH_PTS,MATCH(AC280,LMH_KEY,0)),0)</f>
        <v>1</v>
      </c>
      <c r="BR280" s="38">
        <f>IFERROR(INDEX(LMH_PTS,MATCH(AD280,LMH_KEY,0)),0)</f>
        <v>1</v>
      </c>
      <c r="BS280" s="38">
        <f>IFERROR(INDEX(LMH_PTS,MATCH(AE280,LMH_KEY,0)),0)</f>
        <v>1</v>
      </c>
      <c r="BT280" s="38">
        <f>IFERROR(INDEX(LMH_STEP,MATCH(AF280,LMH_KEY,0)),0)</f>
        <v>0</v>
      </c>
      <c r="BU280" s="38">
        <f>IFERROR(INDEX(LMH_STEP,MATCH(AG280,LMH_KEY,0)),0)</f>
        <v>0</v>
      </c>
      <c r="BV280" s="38">
        <f>IFERROR(INDEX(LMH_STEP,MATCH(AH280,LMH_KEY,0)),0)</f>
        <v>0</v>
      </c>
      <c r="BW280" s="38">
        <f>IFERROR(INDEX(LMH_STEP,MATCH(AI280,LMH_KEY,0)),0)</f>
        <v>0</v>
      </c>
      <c r="BX280" s="38">
        <f>IFERROR(INDEX(LMH_STEP,MATCH(AJ280,LMH_KEY,0)),0)</f>
        <v>0</v>
      </c>
      <c r="BY280" s="38">
        <f>IFERROR(INDEX(LMH_STEP,MATCH(AK280,LMH_KEY,0)),0)</f>
        <v>0</v>
      </c>
      <c r="BZ280" s="38">
        <f>IFERROR(INDEX(LMH_STEP,MATCH(AL280,LMH_KEY,0)),0)</f>
        <v>0</v>
      </c>
      <c r="CA280" s="38" t="inlineStr">
        <is>
          <t>iFile|Quality Assurance|Senior QA Engineer|A3|A</t>
        </is>
      </c>
    </row>
    <row r="281" ht="110" customHeight="1">
      <c r="A281" s="28" t="inlineStr">
        <is>
          <t>iFile</t>
        </is>
      </c>
      <c r="B281" s="29" t="inlineStr">
        <is>
          <t>Technology</t>
        </is>
      </c>
      <c r="C281" s="29" t="n">
        <v>5</v>
      </c>
      <c r="D281" s="29" t="inlineStr">
        <is>
          <t>IRIS2524</t>
        </is>
      </c>
      <c r="E281" s="29" t="inlineStr">
        <is>
          <t>Chetna Vijay Nile</t>
        </is>
      </c>
      <c r="F281" s="29" t="inlineStr">
        <is>
          <t>Software Engineer</t>
        </is>
      </c>
      <c r="G281" s="29" t="inlineStr">
        <is>
          <t>Software Engineer</t>
        </is>
      </c>
      <c r="H281" s="29" t="inlineStr">
        <is>
          <t>Engineering &amp; Development</t>
        </is>
      </c>
      <c r="I281" s="29" t="inlineStr">
        <is>
          <t>Full-Stack Development</t>
        </is>
      </c>
      <c r="J281" s="29" t="inlineStr">
        <is>
          <t>IC</t>
        </is>
      </c>
      <c r="K281" s="29" t="inlineStr">
        <is>
          <t>RC-084</t>
        </is>
      </c>
      <c r="L281" s="29" t="inlineStr">
        <is>
          <t>Anup Salve</t>
        </is>
      </c>
      <c r="M281" s="29" t="inlineStr">
        <is>
          <t>IRIS2019</t>
        </is>
      </c>
      <c r="N281" s="29" t="n">
        <v>0.4</v>
      </c>
      <c r="O281" s="29" t="n">
        <v>0.4</v>
      </c>
      <c r="P281" s="29" t="inlineStr">
        <is>
          <t>PGDM</t>
        </is>
      </c>
      <c r="Q281" s="29" t="inlineStr">
        <is>
          <t>L3 – Professional / Associate</t>
        </is>
      </c>
      <c r="R281" s="29" t="inlineStr">
        <is>
          <t>A2</t>
        </is>
      </c>
      <c r="S281" s="30" t="inlineStr">
        <is>
          <t>19 of 20</t>
        </is>
      </c>
      <c r="T281" s="31" t="inlineStr">
        <is>
          <t>Business Impact: No survey or manager-mapping signal on criticality: kept at the start point.</t>
        </is>
      </c>
      <c r="U281" s="31" t="inlineStr">
        <is>
          <t>Received · manager annual, quarterly, self · 1. Deliver committed sprint stories with &gt;=90% sprint commitment adherence across the year
2. Maintain code quality: defect leakage to QA/UAT &lt;=5% of delivered stories
3. Improve unit-test / automated coverage on owned modules by &gt;=15 percentage points
4. Contribute to &gt;=2 reusable components / technical improvements …</t>
        </is>
      </c>
      <c r="V281" s="31" t="inlineStr">
        <is>
          <t>Latest rating: 2 · Potential: Low · 9-box: Emerging Talent · Readiness: Performance first</t>
        </is>
      </c>
      <c r="W281" s="31" t="inlineStr">
        <is>
          <t>C M · Au M · Ac M · L L · BI M · Exp M · 0.4 yrs vs 0–2 yrs · Edu H · PGDM</t>
        </is>
      </c>
      <c r="X281" s="33" t="inlineStr">
        <is>
          <t>Open ▸</t>
        </is>
      </c>
      <c r="Y281" s="34" t="str">
        <f>IFERROR(INDEX(DL_C,MATCH($CA281,DL_KEY,0)),"M")</f>
        <v>H</v>
      </c>
      <c r="Z281" s="35" t="str">
        <f>IFERROR(INDEX(DL_Au,MATCH($CA281,DL_KEY,0)),"M")</f>
        <v>M</v>
      </c>
      <c r="AA281" s="35" t="str">
        <f>IFERROR(INDEX(DL_Ac,MATCH($CA281,DL_KEY,0)),"M")</f>
        <v>L</v>
      </c>
      <c r="AB281" s="35" t="str">
        <f>IFERROR(INDEX(DL_L,MATCH($CA281,DL_KEY,0)),"M")</f>
        <v>L</v>
      </c>
      <c r="AC281" s="35" t="str">
        <f>IFERROR(INDEX(DL_BI,MATCH($CA281,DL_KEY,0)),"M")</f>
        <v>L</v>
      </c>
      <c r="AD281" s="35" t="str">
        <f>IFERROR(INDEX(DL_Exp,MATCH($CA281,DL_KEY,0)),"M")</f>
        <v>L</v>
      </c>
      <c r="AE281" s="35" t="str">
        <f>IFERROR(INDEX(DL_Edu,MATCH($CA281,DL_KEY,0)),"M")</f>
        <v>L</v>
      </c>
      <c r="AF281" s="34" t="inlineStr">
        <is>
          <t>M</t>
        </is>
      </c>
      <c r="AG281" s="35" t="inlineStr">
        <is>
          <t>M</t>
        </is>
      </c>
      <c r="AH281" s="35" t="inlineStr">
        <is>
          <t>M</t>
        </is>
      </c>
      <c r="AI281" s="35" t="inlineStr">
        <is>
          <t>M</t>
        </is>
      </c>
      <c r="AJ281" s="35" t="inlineStr">
        <is>
          <t>M</t>
        </is>
      </c>
      <c r="AK281" s="35" t="inlineStr">
        <is>
          <t>M</t>
        </is>
      </c>
      <c r="AL281" s="35" t="inlineStr">
        <is>
          <t>M</t>
        </is>
      </c>
      <c r="AM281" s="36" t="n">
        <v>0.583</v>
      </c>
      <c r="AN281" s="37" t="n">
        <v>0.16</v>
      </c>
      <c r="AO281" s="37" t="n">
        <v>0.09</v>
      </c>
      <c r="AP281" s="37" t="n">
        <v>0</v>
      </c>
      <c r="AQ281" s="37" t="n">
        <v>0.063</v>
      </c>
      <c r="AR281" s="37" t="n">
        <v>0.06</v>
      </c>
      <c r="AS281" s="37" t="n">
        <v>0.04</v>
      </c>
      <c r="AT281" s="38" t="inlineStr">
        <is>
          <t>0–3</t>
        </is>
      </c>
      <c r="AU281" s="38" t="inlineStr">
        <is>
          <t>Graduate · or diploma with experience</t>
        </is>
      </c>
      <c r="AV281" s="38" t="inlineStr">
        <is>
          <t>No direct reports</t>
        </is>
      </c>
      <c r="AW281" s="38" t="inlineStr">
        <is>
          <t>P1–P2 · SFIA 2 Assist</t>
        </is>
      </c>
      <c r="AX28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81" s="39" t="inlineStr">
        <is>
          <t>A2</t>
        </is>
      </c>
      <c r="AZ281" s="40" t="inlineStr">
        <is>
          <t>Band A · Practitioner · Associate</t>
        </is>
      </c>
      <c r="BA281" s="40" t="inlineStr">
        <is>
          <t>Model A2 from the six ratings, the market-derived weights and rules R1–R13 · then No change · already below the manager</t>
        </is>
      </c>
      <c r="BB281" s="41" t="inlineStr">
        <is>
          <t>A2</t>
        </is>
      </c>
      <c r="BC281" s="40" t="inlineStr">
        <is>
          <t>The six ratings on the market-average weights of Band A · all tracks score 2.32 → A2 · Hay, Mercer IPE and public plans · experience 0.4 yrs vs the A2 market range 0–3</t>
        </is>
      </c>
      <c r="BD281" s="42">
        <f>IF(SUM(BM281,BN281,BO281,BP281,BQ281,BR281,BS281)=0,0,(BM281*BT281+BN281*BU281+BO281*BV281+BP281*BW281+BQ281*BX281+BR281*BY281+BS281*BZ281)/SUM(BM281,BN281,BO281,BP281,BQ281,BR281,BS281))</f>
        <v>0</v>
      </c>
      <c r="BE281" s="41" t="str">
        <f>IF(LEFT(AY281,1)="X",AY281,IF(OR(AY281="B+",AY281="C+"),INDEX(LAD_PC,MAX(1,MIN(14,MATCH(AY281,LAD_PC,0)+IF(BD281&gt;=0.5,1,IF(BD281&lt;=-0.5,-1,0))))),INDEX(LAD_STD,MAX(1,MIN(12,MATCH(AY281,LAD_STD,0)+IF(BD281&gt;=0.5,1,IF(BD281&lt;=-0.5,-1,0)))))))</f>
        <v>A2</v>
      </c>
      <c r="BF281" s="43" t="n"/>
      <c r="BG281" s="41" t="str">
        <f>IF(BF281&lt;&gt;"",BF281,BE281)</f>
        <v>A2</v>
      </c>
      <c r="BH281" s="40" t="str">
        <f>IFERROR(CHOOSE(INDEX(B_RANK,MATCH(BG281,B_LVL,0)),"Band A","Band B","B+ · Player-Coach","Band C","C+ · Player-Coach","Band D","Band E"),"Band X · Consultant")</f>
        <v>Band A</v>
      </c>
      <c r="BI281" s="40" t="str">
        <f>IF(BG281=AY281,"• Same",IF(INDEX(B_VAL,MATCH(BG281,B_LVL,0))&gt;INDEX(B_VAL,MATCH(AY281,B_LVL,0)),"▲ Up","▼ Down"))</f>
        <v>• Same</v>
      </c>
      <c r="BJ281" s="40" t="str">
        <f>IF(OR($M281="",$M281="—",$M281="Not in this file"),"",IFERROR(INDEX($BG$7:$BG$592,MATCH($M281,$D$7:$D$592,0)),""))</f>
        <v>B2</v>
      </c>
      <c r="BK281" s="40" t="str">
        <f>IFERROR(IF(BJ281="","—",IF(OR(LEFT(BG281,1)="X",LEFT(BJ281,1)="X"),"—",IF(AND(LEFT(BG281,1)="E",LEFT(BJ281,1)="E"),"Exception · Band E",IF(AND(INDEX(B_VAL,MATCH(BJ281,B_LVL,0))&gt;=7,INDEX(B_RANK,MATCH(BG281,B_LVL,0))&gt;=INDEX(B_RANK,MATCH(BJ281,B_LVL,0))),"⚠ Same band as a head manager",IF(INDEX(B_VAL,MATCH(BG281,B_LVL,0))&gt;=INDEX(B_VAL,MATCH(BJ281,B_LVL,0)),"⚠ At or above the manager's level","OK"))))),"—")</f>
        <v>OK</v>
      </c>
      <c r="BL281" s="43" t="n"/>
      <c r="BM281" s="44">
        <f>IFERROR(INDEX(LMH_PTS,MATCH(Y281,LMH_KEY,0)),0)</f>
        <v>9</v>
      </c>
      <c r="BN281" s="38">
        <f>IFERROR(INDEX(LMH_PTS,MATCH(Z281,LMH_KEY,0)),0)</f>
        <v>3</v>
      </c>
      <c r="BO281" s="38">
        <f>IFERROR(INDEX(LMH_PTS,MATCH(AA281,LMH_KEY,0)),0)</f>
        <v>1</v>
      </c>
      <c r="BP281" s="38">
        <f>IFERROR(INDEX(LMH_PTS,MATCH(AB281,LMH_KEY,0)),0)</f>
        <v>1</v>
      </c>
      <c r="BQ281" s="38">
        <f>IFERROR(INDEX(LMH_PTS,MATCH(AC281,LMH_KEY,0)),0)</f>
        <v>1</v>
      </c>
      <c r="BR281" s="38">
        <f>IFERROR(INDEX(LMH_PTS,MATCH(AD281,LMH_KEY,0)),0)</f>
        <v>1</v>
      </c>
      <c r="BS281" s="38">
        <f>IFERROR(INDEX(LMH_PTS,MATCH(AE281,LMH_KEY,0)),0)</f>
        <v>1</v>
      </c>
      <c r="BT281" s="38">
        <f>IFERROR(INDEX(LMH_STEP,MATCH(AF281,LMH_KEY,0)),0)</f>
        <v>0</v>
      </c>
      <c r="BU281" s="38">
        <f>IFERROR(INDEX(LMH_STEP,MATCH(AG281,LMH_KEY,0)),0)</f>
        <v>0</v>
      </c>
      <c r="BV281" s="38">
        <f>IFERROR(INDEX(LMH_STEP,MATCH(AH281,LMH_KEY,0)),0)</f>
        <v>0</v>
      </c>
      <c r="BW281" s="38">
        <f>IFERROR(INDEX(LMH_STEP,MATCH(AI281,LMH_KEY,0)),0)</f>
        <v>0</v>
      </c>
      <c r="BX281" s="38">
        <f>IFERROR(INDEX(LMH_STEP,MATCH(AJ281,LMH_KEY,0)),0)</f>
        <v>0</v>
      </c>
      <c r="BY281" s="38">
        <f>IFERROR(INDEX(LMH_STEP,MATCH(AK281,LMH_KEY,0)),0)</f>
        <v>0</v>
      </c>
      <c r="BZ281" s="38">
        <f>IFERROR(INDEX(LMH_STEP,MATCH(AL281,LMH_KEY,0)),0)</f>
        <v>0</v>
      </c>
      <c r="CA281" s="38" t="inlineStr">
        <is>
          <t>iFile|Technology|Software Engineer|A2|A</t>
        </is>
      </c>
    </row>
    <row r="282" ht="110" customHeight="1">
      <c r="A282" s="28" t="inlineStr">
        <is>
          <t>iFile</t>
        </is>
      </c>
      <c r="B282" s="29" t="inlineStr">
        <is>
          <t>Quality Assurance</t>
        </is>
      </c>
      <c r="C282" s="29" t="n">
        <v>5</v>
      </c>
      <c r="D282" s="29" t="inlineStr">
        <is>
          <t>IRIS2562</t>
        </is>
      </c>
      <c r="E282" s="29" t="inlineStr">
        <is>
          <t>Sanskruti Varade</t>
        </is>
      </c>
      <c r="F282" s="29" t="inlineStr">
        <is>
          <t>QA Engineer</t>
        </is>
      </c>
      <c r="G282" s="29" t="inlineStr">
        <is>
          <t>QA Engineer</t>
        </is>
      </c>
      <c r="H282" s="29" t="inlineStr">
        <is>
          <t>Quality Assurance</t>
        </is>
      </c>
      <c r="I282" s="29" t="inlineStr">
        <is>
          <t>Functional &amp; Domain Testing</t>
        </is>
      </c>
      <c r="J282" s="29" t="inlineStr">
        <is>
          <t>IC</t>
        </is>
      </c>
      <c r="K282" s="29" t="inlineStr">
        <is>
          <t>RC-140</t>
        </is>
      </c>
      <c r="L282" s="29" t="inlineStr">
        <is>
          <t>Anup Salve</t>
        </is>
      </c>
      <c r="M282" s="29" t="inlineStr">
        <is>
          <t>IRIS2019</t>
        </is>
      </c>
      <c r="N282" s="29" t="inlineStr">
        <is>
          <t>Not provided · HRIS</t>
        </is>
      </c>
      <c r="O282" s="29" t="n">
        <v>0</v>
      </c>
      <c r="P282" s="29" t="inlineStr">
        <is>
          <t>B.Sc</t>
        </is>
      </c>
      <c r="Q282" s="29" t="inlineStr">
        <is>
          <t>Not in current mapping files</t>
        </is>
      </c>
      <c r="R282" s="29" t="inlineStr">
        <is>
          <t>A2</t>
        </is>
      </c>
      <c r="S282" s="30" t="inlineStr">
        <is>
          <t>20 of 20</t>
        </is>
      </c>
      <c r="T282" s="31" t="inlineStr">
        <is>
          <t>Business Impact: No survey or manager-mapping signal on criticality: kept at the start point.</t>
        </is>
      </c>
      <c r="U282" s="32" t="inlineStr">
        <is>
          <t>KRAs not received · manager to supply</t>
        </is>
      </c>
      <c r="V282" s="31" t="inlineStr">
        <is>
          <t>Latest rating: Not rated · manager · 9-box: Not placed · manager · Readiness: No rating data</t>
        </is>
      </c>
      <c r="W282" s="31" t="inlineStr">
        <is>
          <t>C M · Au M · Ac M · L L · BI M · Exp — · not on file · Edu M · B.Sc</t>
        </is>
      </c>
      <c r="X282" s="33" t="inlineStr">
        <is>
          <t>Open ▸</t>
        </is>
      </c>
      <c r="Y282" s="34" t="str">
        <f>IFERROR(INDEX(DL_C,MATCH($CA282,DL_KEY,0)),"M")</f>
        <v>H</v>
      </c>
      <c r="Z282" s="35" t="str">
        <f>IFERROR(INDEX(DL_Au,MATCH($CA282,DL_KEY,0)),"M")</f>
        <v>M</v>
      </c>
      <c r="AA282" s="35" t="str">
        <f>IFERROR(INDEX(DL_Ac,MATCH($CA282,DL_KEY,0)),"M")</f>
        <v>L</v>
      </c>
      <c r="AB282" s="35" t="str">
        <f>IFERROR(INDEX(DL_L,MATCH($CA282,DL_KEY,0)),"M")</f>
        <v>L</v>
      </c>
      <c r="AC282" s="35" t="str">
        <f>IFERROR(INDEX(DL_BI,MATCH($CA282,DL_KEY,0)),"M")</f>
        <v>L</v>
      </c>
      <c r="AD282" s="35" t="str">
        <f>IFERROR(INDEX(DL_Exp,MATCH($CA282,DL_KEY,0)),"M")</f>
        <v>L</v>
      </c>
      <c r="AE282" s="35" t="str">
        <f>IFERROR(INDEX(DL_Edu,MATCH($CA282,DL_KEY,0)),"M")</f>
        <v>L</v>
      </c>
      <c r="AF282" s="34" t="inlineStr">
        <is>
          <t>M</t>
        </is>
      </c>
      <c r="AG282" s="35" t="inlineStr">
        <is>
          <t>M</t>
        </is>
      </c>
      <c r="AH282" s="35" t="inlineStr">
        <is>
          <t>M</t>
        </is>
      </c>
      <c r="AI282" s="35" t="inlineStr">
        <is>
          <t>M</t>
        </is>
      </c>
      <c r="AJ282" s="35" t="inlineStr">
        <is>
          <t>M</t>
        </is>
      </c>
      <c r="AK282" s="35" t="inlineStr">
        <is>
          <t>M</t>
        </is>
      </c>
      <c r="AL282" s="35" t="inlineStr">
        <is>
          <t>M</t>
        </is>
      </c>
      <c r="AM282" s="36" t="n">
        <v>0.583</v>
      </c>
      <c r="AN282" s="37" t="n">
        <v>0.16</v>
      </c>
      <c r="AO282" s="37" t="n">
        <v>0.09</v>
      </c>
      <c r="AP282" s="37" t="n">
        <v>0</v>
      </c>
      <c r="AQ282" s="37" t="n">
        <v>0.063</v>
      </c>
      <c r="AR282" s="37" t="n">
        <v>0.06</v>
      </c>
      <c r="AS282" s="37" t="n">
        <v>0.04</v>
      </c>
      <c r="AT282" s="38" t="inlineStr">
        <is>
          <t>0–3</t>
        </is>
      </c>
      <c r="AU282" s="38" t="inlineStr">
        <is>
          <t>Graduate · or diploma with experience</t>
        </is>
      </c>
      <c r="AV282" s="38" t="inlineStr">
        <is>
          <t>No direct reports</t>
        </is>
      </c>
      <c r="AW282" s="38" t="inlineStr">
        <is>
          <t>P1–P2 · SFIA 2 Assist</t>
        </is>
      </c>
      <c r="AX28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82" s="39" t="inlineStr">
        <is>
          <t>A2</t>
        </is>
      </c>
      <c r="AZ282" s="40" t="inlineStr">
        <is>
          <t>Band A · Practitioner · Associate</t>
        </is>
      </c>
      <c r="BA282" s="40" t="inlineStr">
        <is>
          <t>Model A2 from the six ratings, the market-derived weights and rules R1–R13 · then No change · already below the manager</t>
        </is>
      </c>
      <c r="BB282" s="41" t="inlineStr">
        <is>
          <t>A2</t>
        </is>
      </c>
      <c r="BC282" s="40" t="inlineStr">
        <is>
          <t>The six ratings on the market-average weights of Band A · all tracks score 2.08 → A2 · Hay, Mercer IPE and public plans · experience Not provided · HRIS yrs vs the A2 market range 0–3</t>
        </is>
      </c>
      <c r="BD282" s="42">
        <f>IF(SUM(BM282,BN282,BO282,BP282,BQ282,BR282,BS282)=0,0,(BM282*BT282+BN282*BU282+BO282*BV282+BP282*BW282+BQ282*BX282+BR282*BY282+BS282*BZ282)/SUM(BM282,BN282,BO282,BP282,BQ282,BR282,BS282))</f>
        <v>0</v>
      </c>
      <c r="BE282" s="41" t="str">
        <f>IF(LEFT(AY282,1)="X",AY282,IF(OR(AY282="B+",AY282="C+"),INDEX(LAD_PC,MAX(1,MIN(14,MATCH(AY282,LAD_PC,0)+IF(BD282&gt;=0.5,1,IF(BD282&lt;=-0.5,-1,0))))),INDEX(LAD_STD,MAX(1,MIN(12,MATCH(AY282,LAD_STD,0)+IF(BD282&gt;=0.5,1,IF(BD282&lt;=-0.5,-1,0)))))))</f>
        <v>A2</v>
      </c>
      <c r="BF282" s="43" t="n"/>
      <c r="BG282" s="41" t="str">
        <f>IF(BF282&lt;&gt;"",BF282,BE282)</f>
        <v>A2</v>
      </c>
      <c r="BH282" s="40" t="str">
        <f>IFERROR(CHOOSE(INDEX(B_RANK,MATCH(BG282,B_LVL,0)),"Band A","Band B","B+ · Player-Coach","Band C","C+ · Player-Coach","Band D","Band E"),"Band X · Consultant")</f>
        <v>Band A</v>
      </c>
      <c r="BI282" s="40" t="str">
        <f>IF(BG282=AY282,"• Same",IF(INDEX(B_VAL,MATCH(BG282,B_LVL,0))&gt;INDEX(B_VAL,MATCH(AY282,B_LVL,0)),"▲ Up","▼ Down"))</f>
        <v>• Same</v>
      </c>
      <c r="BJ282" s="40" t="str">
        <f>IF(OR($M282="",$M282="—",$M282="Not in this file"),"",IFERROR(INDEX($BG$7:$BG$592,MATCH($M282,$D$7:$D$592,0)),""))</f>
        <v>B2</v>
      </c>
      <c r="BK282" s="40" t="str">
        <f>IFERROR(IF(BJ282="","—",IF(OR(LEFT(BG282,1)="X",LEFT(BJ282,1)="X"),"—",IF(AND(LEFT(BG282,1)="E",LEFT(BJ282,1)="E"),"Exception · Band E",IF(AND(INDEX(B_VAL,MATCH(BJ282,B_LVL,0))&gt;=7,INDEX(B_RANK,MATCH(BG282,B_LVL,0))&gt;=INDEX(B_RANK,MATCH(BJ282,B_LVL,0))),"⚠ Same band as a head manager",IF(INDEX(B_VAL,MATCH(BG282,B_LVL,0))&gt;=INDEX(B_VAL,MATCH(BJ282,B_LVL,0)),"⚠ At or above the manager's level","OK"))))),"—")</f>
        <v>OK</v>
      </c>
      <c r="BL282" s="43" t="n"/>
      <c r="BM282" s="44">
        <f>IFERROR(INDEX(LMH_PTS,MATCH(Y282,LMH_KEY,0)),0)</f>
        <v>9</v>
      </c>
      <c r="BN282" s="38">
        <f>IFERROR(INDEX(LMH_PTS,MATCH(Z282,LMH_KEY,0)),0)</f>
        <v>3</v>
      </c>
      <c r="BO282" s="38">
        <f>IFERROR(INDEX(LMH_PTS,MATCH(AA282,LMH_KEY,0)),0)</f>
        <v>1</v>
      </c>
      <c r="BP282" s="38">
        <f>IFERROR(INDEX(LMH_PTS,MATCH(AB282,LMH_KEY,0)),0)</f>
        <v>1</v>
      </c>
      <c r="BQ282" s="38">
        <f>IFERROR(INDEX(LMH_PTS,MATCH(AC282,LMH_KEY,0)),0)</f>
        <v>1</v>
      </c>
      <c r="BR282" s="38">
        <f>IFERROR(INDEX(LMH_PTS,MATCH(AD282,LMH_KEY,0)),0)</f>
        <v>1</v>
      </c>
      <c r="BS282" s="38">
        <f>IFERROR(INDEX(LMH_PTS,MATCH(AE282,LMH_KEY,0)),0)</f>
        <v>1</v>
      </c>
      <c r="BT282" s="38">
        <f>IFERROR(INDEX(LMH_STEP,MATCH(AF282,LMH_KEY,0)),0)</f>
        <v>0</v>
      </c>
      <c r="BU282" s="38">
        <f>IFERROR(INDEX(LMH_STEP,MATCH(AG282,LMH_KEY,0)),0)</f>
        <v>0</v>
      </c>
      <c r="BV282" s="38">
        <f>IFERROR(INDEX(LMH_STEP,MATCH(AH282,LMH_KEY,0)),0)</f>
        <v>0</v>
      </c>
      <c r="BW282" s="38">
        <f>IFERROR(INDEX(LMH_STEP,MATCH(AI282,LMH_KEY,0)),0)</f>
        <v>0</v>
      </c>
      <c r="BX282" s="38">
        <f>IFERROR(INDEX(LMH_STEP,MATCH(AJ282,LMH_KEY,0)),0)</f>
        <v>0</v>
      </c>
      <c r="BY282" s="38">
        <f>IFERROR(INDEX(LMH_STEP,MATCH(AK282,LMH_KEY,0)),0)</f>
        <v>0</v>
      </c>
      <c r="BZ282" s="38">
        <f>IFERROR(INDEX(LMH_STEP,MATCH(AL282,LMH_KEY,0)),0)</f>
        <v>0</v>
      </c>
      <c r="CA282" s="38" t="inlineStr">
        <is>
          <t>iFile|Quality Assurance|QA Engineer|A2|A</t>
        </is>
      </c>
    </row>
    <row r="283" ht="110" customHeight="1">
      <c r="A283" s="28" t="inlineStr">
        <is>
          <t>iFile</t>
        </is>
      </c>
      <c r="B283" s="29" t="inlineStr">
        <is>
          <t>Technology</t>
        </is>
      </c>
      <c r="C283" s="29" t="n">
        <v>4</v>
      </c>
      <c r="D283" s="29" t="inlineStr">
        <is>
          <t>IRIS1860</t>
        </is>
      </c>
      <c r="E283" s="29" t="inlineStr">
        <is>
          <t>Pradnya Mhatre</t>
        </is>
      </c>
      <c r="F283" s="29" t="inlineStr">
        <is>
          <t>Senior Software Engineer</t>
        </is>
      </c>
      <c r="G283" s="29" t="inlineStr">
        <is>
          <t>Technical Specialist – POD Lead</t>
        </is>
      </c>
      <c r="H283" s="29" t="inlineStr">
        <is>
          <t>Engineering &amp; Development</t>
        </is>
      </c>
      <c r="I283" s="29" t="inlineStr">
        <is>
          <t>Backend Development</t>
        </is>
      </c>
      <c r="J283" s="29" t="inlineStr">
        <is>
          <t>POD Lead</t>
        </is>
      </c>
      <c r="K283" s="29" t="inlineStr">
        <is>
          <t>RC-068</t>
        </is>
      </c>
      <c r="L283" s="29" t="inlineStr">
        <is>
          <t>Brij Kishor Singh</t>
        </is>
      </c>
      <c r="M283" s="29" t="inlineStr">
        <is>
          <t>IRIS0211</t>
        </is>
      </c>
      <c r="N283" s="29" t="n">
        <v>12.2</v>
      </c>
      <c r="O283" s="29" t="n">
        <v>6.2</v>
      </c>
      <c r="P283" s="29" t="inlineStr">
        <is>
          <t>MSc</t>
        </is>
      </c>
      <c r="Q283" s="29" t="inlineStr">
        <is>
          <t>L4 – Senior</t>
        </is>
      </c>
      <c r="R283" s="29" t="inlineStr">
        <is>
          <t>B1</t>
        </is>
      </c>
      <c r="S283" s="30" t="inlineStr">
        <is>
          <t>20 of 20</t>
        </is>
      </c>
      <c r="T283" s="31" t="inlineStr">
        <is>
          <t>Complexity: Evidence reads like A3: Gathers client requirements, develops Java features, tests, checks logs and supports the client → matches the start
Autonomy: Evidence reads like A2: Decides only how to write code for a given requirement → moved down 0.5
Accountability: Evidence reads like A3: Client requirement through to delivered feature; client issue …</t>
        </is>
      </c>
      <c r="U283" s="31" t="inlineStr">
        <is>
          <t>Received · manager annual, quarterly, self · 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t>
        </is>
      </c>
      <c r="V283" s="31" t="inlineStr">
        <is>
          <t>Latest rating: 3 · Potential: Medium · 9-box: Core Contributor · Readiness: Develop in role</t>
        </is>
      </c>
      <c r="W283" s="31" t="inlineStr">
        <is>
          <t>C L · Au L · Ac M · L L · BI M · Exp H · 12.2 yrs vs 4–7 yrs · Edu H · MSc</t>
        </is>
      </c>
      <c r="X283" s="33" t="inlineStr">
        <is>
          <t>Open ▸</t>
        </is>
      </c>
      <c r="Y283" s="34" t="str">
        <f>IFERROR(INDEX(DL_C,MATCH($CA283,DL_KEY,0)),"M")</f>
        <v>H</v>
      </c>
      <c r="Z283" s="35" t="str">
        <f>IFERROR(INDEX(DL_Au,MATCH($CA283,DL_KEY,0)),"M")</f>
        <v>M</v>
      </c>
      <c r="AA283" s="35" t="str">
        <f>IFERROR(INDEX(DL_Ac,MATCH($CA283,DL_KEY,0)),"M")</f>
        <v>L</v>
      </c>
      <c r="AB283" s="35" t="str">
        <f>IFERROR(INDEX(DL_L,MATCH($CA283,DL_KEY,0)),"M")</f>
        <v>L</v>
      </c>
      <c r="AC283" s="35" t="str">
        <f>IFERROR(INDEX(DL_BI,MATCH($CA283,DL_KEY,0)),"M")</f>
        <v>L</v>
      </c>
      <c r="AD283" s="35" t="str">
        <f>IFERROR(INDEX(DL_Exp,MATCH($CA283,DL_KEY,0)),"M")</f>
        <v>L</v>
      </c>
      <c r="AE283" s="35" t="str">
        <f>IFERROR(INDEX(DL_Edu,MATCH($CA283,DL_KEY,0)),"M")</f>
        <v>L</v>
      </c>
      <c r="AF283" s="34" t="inlineStr">
        <is>
          <t>M</t>
        </is>
      </c>
      <c r="AG283" s="35" t="inlineStr">
        <is>
          <t>M</t>
        </is>
      </c>
      <c r="AH283" s="35" t="inlineStr">
        <is>
          <t>M</t>
        </is>
      </c>
      <c r="AI283" s="35" t="inlineStr">
        <is>
          <t>M</t>
        </is>
      </c>
      <c r="AJ283" s="35" t="inlineStr">
        <is>
          <t>M</t>
        </is>
      </c>
      <c r="AK283" s="35" t="inlineStr">
        <is>
          <t>M</t>
        </is>
      </c>
      <c r="AL283" s="35" t="inlineStr">
        <is>
          <t>M</t>
        </is>
      </c>
      <c r="AM283" s="36" t="n">
        <v>0.513</v>
      </c>
      <c r="AN283" s="37" t="n">
        <v>0.173</v>
      </c>
      <c r="AO283" s="37" t="n">
        <v>0.09699999999999999</v>
      </c>
      <c r="AP283" s="37" t="n">
        <v>0.05</v>
      </c>
      <c r="AQ283" s="37" t="n">
        <v>0.07000000000000001</v>
      </c>
      <c r="AR283" s="37" t="n">
        <v>0.06</v>
      </c>
      <c r="AS283" s="37" t="n">
        <v>0.04</v>
      </c>
      <c r="AT283" s="38" t="inlineStr">
        <is>
          <t>4–8</t>
        </is>
      </c>
      <c r="AU283" s="38" t="inlineStr">
        <is>
          <t>Graduate + relevant qualification or certification preferred</t>
        </is>
      </c>
      <c r="AV283" s="38" t="inlineStr">
        <is>
          <t>IC: none · Team Lead: 3–5</t>
        </is>
      </c>
      <c r="AW283" s="38" t="inlineStr">
        <is>
          <t>P3 / M2 · SFIA 4 Enable</t>
        </is>
      </c>
      <c r="AX28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83" s="39" t="inlineStr">
        <is>
          <t>B1</t>
        </is>
      </c>
      <c r="AZ283" s="40" t="inlineStr">
        <is>
          <t>Band B · Specialist / Manager · Team Lead / Asst Manager</t>
        </is>
      </c>
      <c r="BA283" s="40" t="inlineStr">
        <is>
          <t>Model B1 from the six ratings, the market-derived weights and rules R1–R13 · then No change · already below the manager</t>
        </is>
      </c>
      <c r="BB283" s="41" t="inlineStr">
        <is>
          <t>A3</t>
        </is>
      </c>
      <c r="BC283" s="40" t="inlineStr">
        <is>
          <t>The six ratings on the market-average weights of Band B · Specialist / POD Lead score 3.45 → A3 · Hay, Mercer IPE and public plans · experience 12.2 yrs vs the A3 market range 2–5</t>
        </is>
      </c>
      <c r="BD283" s="42">
        <f>IF(SUM(BM283,BN283,BO283,BP283,BQ283,BR283,BS283)=0,0,(BM283*BT283+BN283*BU283+BO283*BV283+BP283*BW283+BQ283*BX283+BR283*BY283+BS283*BZ283)/SUM(BM283,BN283,BO283,BP283,BQ283,BR283,BS283))</f>
        <v>0</v>
      </c>
      <c r="BE283" s="41" t="str">
        <f>IF(LEFT(AY283,1)="X",AY283,IF(OR(AY283="B+",AY283="C+"),INDEX(LAD_PC,MAX(1,MIN(14,MATCH(AY283,LAD_PC,0)+IF(BD283&gt;=0.5,1,IF(BD283&lt;=-0.5,-1,0))))),INDEX(LAD_STD,MAX(1,MIN(12,MATCH(AY283,LAD_STD,0)+IF(BD283&gt;=0.5,1,IF(BD283&lt;=-0.5,-1,0)))))))</f>
        <v>B1</v>
      </c>
      <c r="BF283" s="43" t="n"/>
      <c r="BG283" s="41" t="str">
        <f>IF(BF283&lt;&gt;"",BF283,BE283)</f>
        <v>B1</v>
      </c>
      <c r="BH283" s="40" t="str">
        <f>IFERROR(CHOOSE(INDEX(B_RANK,MATCH(BG283,B_LVL,0)),"Band A","Band B","B+ · Player-Coach","Band C","C+ · Player-Coach","Band D","Band E"),"Band X · Consultant")</f>
        <v>Band B</v>
      </c>
      <c r="BI283" s="40" t="str">
        <f>IF(BG283=AY283,"• Same",IF(INDEX(B_VAL,MATCH(BG283,B_LVL,0))&gt;INDEX(B_VAL,MATCH(AY283,B_LVL,0)),"▲ Up","▼ Down"))</f>
        <v>• Same</v>
      </c>
      <c r="BJ283" s="40" t="str">
        <f>IF(OR($M283="",$M283="—",$M283="Not in this file"),"",IFERROR(INDEX($BG$7:$BG$592,MATCH($M283,$D$7:$D$592,0)),""))</f>
        <v>B+</v>
      </c>
      <c r="BK283" s="40" t="str">
        <f>IFERROR(IF(BJ283="","—",IF(OR(LEFT(BG283,1)="X",LEFT(BJ283,1)="X"),"—",IF(AND(LEFT(BG283,1)="E",LEFT(BJ283,1)="E"),"Exception · Band E",IF(AND(INDEX(B_VAL,MATCH(BJ283,B_LVL,0))&gt;=7,INDEX(B_RANK,MATCH(BG283,B_LVL,0))&gt;=INDEX(B_RANK,MATCH(BJ283,B_LVL,0))),"⚠ Same band as a head manager",IF(INDEX(B_VAL,MATCH(BG283,B_LVL,0))&gt;=INDEX(B_VAL,MATCH(BJ283,B_LVL,0)),"⚠ At or above the manager's level","OK"))))),"—")</f>
        <v>OK</v>
      </c>
      <c r="BL283" s="43" t="n"/>
      <c r="BM283" s="44">
        <f>IFERROR(INDEX(LMH_PTS,MATCH(Y283,LMH_KEY,0)),0)</f>
        <v>9</v>
      </c>
      <c r="BN283" s="38">
        <f>IFERROR(INDEX(LMH_PTS,MATCH(Z283,LMH_KEY,0)),0)</f>
        <v>3</v>
      </c>
      <c r="BO283" s="38">
        <f>IFERROR(INDEX(LMH_PTS,MATCH(AA283,LMH_KEY,0)),0)</f>
        <v>1</v>
      </c>
      <c r="BP283" s="38">
        <f>IFERROR(INDEX(LMH_PTS,MATCH(AB283,LMH_KEY,0)),0)</f>
        <v>1</v>
      </c>
      <c r="BQ283" s="38">
        <f>IFERROR(INDEX(LMH_PTS,MATCH(AC283,LMH_KEY,0)),0)</f>
        <v>1</v>
      </c>
      <c r="BR283" s="38">
        <f>IFERROR(INDEX(LMH_PTS,MATCH(AD283,LMH_KEY,0)),0)</f>
        <v>1</v>
      </c>
      <c r="BS283" s="38">
        <f>IFERROR(INDEX(LMH_PTS,MATCH(AE283,LMH_KEY,0)),0)</f>
        <v>1</v>
      </c>
      <c r="BT283" s="38">
        <f>IFERROR(INDEX(LMH_STEP,MATCH(AF283,LMH_KEY,0)),0)</f>
        <v>0</v>
      </c>
      <c r="BU283" s="38">
        <f>IFERROR(INDEX(LMH_STEP,MATCH(AG283,LMH_KEY,0)),0)</f>
        <v>0</v>
      </c>
      <c r="BV283" s="38">
        <f>IFERROR(INDEX(LMH_STEP,MATCH(AH283,LMH_KEY,0)),0)</f>
        <v>0</v>
      </c>
      <c r="BW283" s="38">
        <f>IFERROR(INDEX(LMH_STEP,MATCH(AI283,LMH_KEY,0)),0)</f>
        <v>0</v>
      </c>
      <c r="BX283" s="38">
        <f>IFERROR(INDEX(LMH_STEP,MATCH(AJ283,LMH_KEY,0)),0)</f>
        <v>0</v>
      </c>
      <c r="BY283" s="38">
        <f>IFERROR(INDEX(LMH_STEP,MATCH(AK283,LMH_KEY,0)),0)</f>
        <v>0</v>
      </c>
      <c r="BZ283" s="38">
        <f>IFERROR(INDEX(LMH_STEP,MATCH(AL283,LMH_KEY,0)),0)</f>
        <v>0</v>
      </c>
      <c r="CA283" s="38" t="inlineStr">
        <is>
          <t>iFile|Technology|Technical Specialist – POD Lead|B1|B-IC</t>
        </is>
      </c>
    </row>
    <row r="284" ht="110" customHeight="1">
      <c r="A284" s="28" t="inlineStr">
        <is>
          <t>iFile</t>
        </is>
      </c>
      <c r="B284" s="29" t="inlineStr">
        <is>
          <t>Technology</t>
        </is>
      </c>
      <c r="C284" s="29" t="n">
        <v>5</v>
      </c>
      <c r="D284" s="29" t="inlineStr">
        <is>
          <t>IRIS2532</t>
        </is>
      </c>
      <c r="E284" s="29" t="inlineStr">
        <is>
          <t>Abhishek Patil</t>
        </is>
      </c>
      <c r="F284" s="29" t="inlineStr">
        <is>
          <t>Software Engineer</t>
        </is>
      </c>
      <c r="G284" s="29" t="inlineStr">
        <is>
          <t>Senior Software Engineer</t>
        </is>
      </c>
      <c r="H284" s="29" t="inlineStr">
        <is>
          <t>Engineering &amp; Development</t>
        </is>
      </c>
      <c r="I284" s="29" t="inlineStr">
        <is>
          <t>Full-Stack Development</t>
        </is>
      </c>
      <c r="J284" s="29" t="inlineStr">
        <is>
          <t>IC</t>
        </is>
      </c>
      <c r="K284" s="29" t="inlineStr">
        <is>
          <t>RC-085</t>
        </is>
      </c>
      <c r="L284" s="29" t="inlineStr">
        <is>
          <t>Pradnya Mhatre</t>
        </is>
      </c>
      <c r="M284" s="29" t="inlineStr">
        <is>
          <t>IRIS1860</t>
        </is>
      </c>
      <c r="N284" s="29" t="n">
        <v>3.9</v>
      </c>
      <c r="O284" s="29" t="n">
        <v>0.3</v>
      </c>
      <c r="P284" s="29" t="inlineStr">
        <is>
          <t>BCA</t>
        </is>
      </c>
      <c r="Q284" s="29" t="inlineStr">
        <is>
          <t>L3 – Professional / Associate</t>
        </is>
      </c>
      <c r="R284" s="29" t="inlineStr">
        <is>
          <t>A3</t>
        </is>
      </c>
      <c r="S284" s="30" t="inlineStr">
        <is>
          <t>20 of 20</t>
        </is>
      </c>
      <c r="T284" s="31" t="inlineStr">
        <is>
          <t>Complexity: Evidence reads like A3: REST APIs, DB schemas, migration scripts, validation logic; root cause analysis and production support → moved up 0.5
Autonomy: Evidence reads like A3: Decides code implementation and query optimisation; judges code fix versus data fix → moved up 0.5
Accountability: Evidence reads like A3: API correctness and data …</t>
        </is>
      </c>
      <c r="U284" s="31" t="inlineStr">
        <is>
          <t>Received · manager annual, quarterly, self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284" s="31" t="inlineStr">
        <is>
          <t>Latest rating: Not rated · manager · 9-box: Not placed · manager · Readiness: No rating data</t>
        </is>
      </c>
      <c r="W284" s="31" t="inlineStr">
        <is>
          <t>C M · Au M · Ac M · L L · BI M · Exp M · 3.9 yrs vs 2–4 yrs · Edu M · BCA</t>
        </is>
      </c>
      <c r="X284" s="33" t="inlineStr">
        <is>
          <t>Open ▸</t>
        </is>
      </c>
      <c r="Y284" s="34" t="str">
        <f>IFERROR(INDEX(DL_C,MATCH($CA284,DL_KEY,0)),"M")</f>
        <v>H</v>
      </c>
      <c r="Z284" s="35" t="str">
        <f>IFERROR(INDEX(DL_Au,MATCH($CA284,DL_KEY,0)),"M")</f>
        <v>M</v>
      </c>
      <c r="AA284" s="35" t="str">
        <f>IFERROR(INDEX(DL_Ac,MATCH($CA284,DL_KEY,0)),"M")</f>
        <v>L</v>
      </c>
      <c r="AB284" s="35" t="str">
        <f>IFERROR(INDEX(DL_L,MATCH($CA284,DL_KEY,0)),"M")</f>
        <v>L</v>
      </c>
      <c r="AC284" s="35" t="str">
        <f>IFERROR(INDEX(DL_BI,MATCH($CA284,DL_KEY,0)),"M")</f>
        <v>L</v>
      </c>
      <c r="AD284" s="35" t="str">
        <f>IFERROR(INDEX(DL_Exp,MATCH($CA284,DL_KEY,0)),"M")</f>
        <v>L</v>
      </c>
      <c r="AE284" s="35" t="str">
        <f>IFERROR(INDEX(DL_Edu,MATCH($CA284,DL_KEY,0)),"M")</f>
        <v>L</v>
      </c>
      <c r="AF284" s="34" t="inlineStr">
        <is>
          <t>M</t>
        </is>
      </c>
      <c r="AG284" s="35" t="inlineStr">
        <is>
          <t>M</t>
        </is>
      </c>
      <c r="AH284" s="35" t="inlineStr">
        <is>
          <t>M</t>
        </is>
      </c>
      <c r="AI284" s="35" t="inlineStr">
        <is>
          <t>M</t>
        </is>
      </c>
      <c r="AJ284" s="35" t="inlineStr">
        <is>
          <t>M</t>
        </is>
      </c>
      <c r="AK284" s="35" t="inlineStr">
        <is>
          <t>M</t>
        </is>
      </c>
      <c r="AL284" s="35" t="inlineStr">
        <is>
          <t>M</t>
        </is>
      </c>
      <c r="AM284" s="36" t="n">
        <v>0.583</v>
      </c>
      <c r="AN284" s="37" t="n">
        <v>0.16</v>
      </c>
      <c r="AO284" s="37" t="n">
        <v>0.09</v>
      </c>
      <c r="AP284" s="37" t="n">
        <v>0</v>
      </c>
      <c r="AQ284" s="37" t="n">
        <v>0.063</v>
      </c>
      <c r="AR284" s="37" t="n">
        <v>0.06</v>
      </c>
      <c r="AS284" s="37" t="n">
        <v>0.04</v>
      </c>
      <c r="AT284" s="38" t="inlineStr">
        <is>
          <t>2–5</t>
        </is>
      </c>
      <c r="AU284" s="38" t="inlineStr">
        <is>
          <t>Graduate; relevant certification preferred</t>
        </is>
      </c>
      <c r="AV284" s="38" t="inlineStr">
        <is>
          <t>None · guides 1–3 juniors informally</t>
        </is>
      </c>
      <c r="AW284" s="38" t="inlineStr">
        <is>
          <t>P2 · SFIA 3 Apply</t>
        </is>
      </c>
      <c r="AX28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84" s="39" t="inlineStr">
        <is>
          <t>A3</t>
        </is>
      </c>
      <c r="AZ284" s="40" t="inlineStr">
        <is>
          <t>Band A · Practitioner · Senior Associate</t>
        </is>
      </c>
      <c r="BA284" s="40" t="inlineStr">
        <is>
          <t>Model A3 from the six ratings, the market-derived weights and rules R1–R13 · then No change · already below the manager</t>
        </is>
      </c>
      <c r="BB284" s="41" t="inlineStr">
        <is>
          <t>A3</t>
        </is>
      </c>
      <c r="BC284" s="40" t="inlineStr">
        <is>
          <t>The six ratings on the market-average weights of Band A · all tracks score 2.60 → A3 · Hay, Mercer IPE and public plans · experience 3.9 yrs vs the A3 market range 2–5</t>
        </is>
      </c>
      <c r="BD284" s="42">
        <f>IF(SUM(BM284,BN284,BO284,BP284,BQ284,BR284,BS284)=0,0,(BM284*BT284+BN284*BU284+BO284*BV284+BP284*BW284+BQ284*BX284+BR284*BY284+BS284*BZ284)/SUM(BM284,BN284,BO284,BP284,BQ284,BR284,BS284))</f>
        <v>0</v>
      </c>
      <c r="BE284" s="41" t="str">
        <f>IF(LEFT(AY284,1)="X",AY284,IF(OR(AY284="B+",AY284="C+"),INDEX(LAD_PC,MAX(1,MIN(14,MATCH(AY284,LAD_PC,0)+IF(BD284&gt;=0.5,1,IF(BD284&lt;=-0.5,-1,0))))),INDEX(LAD_STD,MAX(1,MIN(12,MATCH(AY284,LAD_STD,0)+IF(BD284&gt;=0.5,1,IF(BD284&lt;=-0.5,-1,0)))))))</f>
        <v>A3</v>
      </c>
      <c r="BF284" s="43" t="n"/>
      <c r="BG284" s="41" t="str">
        <f>IF(BF284&lt;&gt;"",BF284,BE284)</f>
        <v>A3</v>
      </c>
      <c r="BH284" s="40" t="str">
        <f>IFERROR(CHOOSE(INDEX(B_RANK,MATCH(BG284,B_LVL,0)),"Band A","Band B","B+ · Player-Coach","Band C","C+ · Player-Coach","Band D","Band E"),"Band X · Consultant")</f>
        <v>Band A</v>
      </c>
      <c r="BI284" s="40" t="str">
        <f>IF(BG284=AY284,"• Same",IF(INDEX(B_VAL,MATCH(BG284,B_LVL,0))&gt;INDEX(B_VAL,MATCH(AY284,B_LVL,0)),"▲ Up","▼ Down"))</f>
        <v>• Same</v>
      </c>
      <c r="BJ284" s="40" t="str">
        <f>IF(OR($M284="",$M284="—",$M284="Not in this file"),"",IFERROR(INDEX($BG$7:$BG$592,MATCH($M284,$D$7:$D$592,0)),""))</f>
        <v>B1</v>
      </c>
      <c r="BK284" s="40" t="str">
        <f>IFERROR(IF(BJ284="","—",IF(OR(LEFT(BG284,1)="X",LEFT(BJ284,1)="X"),"—",IF(AND(LEFT(BG284,1)="E",LEFT(BJ284,1)="E"),"Exception · Band E",IF(AND(INDEX(B_VAL,MATCH(BJ284,B_LVL,0))&gt;=7,INDEX(B_RANK,MATCH(BG284,B_LVL,0))&gt;=INDEX(B_RANK,MATCH(BJ284,B_LVL,0))),"⚠ Same band as a head manager",IF(INDEX(B_VAL,MATCH(BG284,B_LVL,0))&gt;=INDEX(B_VAL,MATCH(BJ284,B_LVL,0)),"⚠ At or above the manager's level","OK"))))),"—")</f>
        <v>OK</v>
      </c>
      <c r="BL284" s="43" t="n"/>
      <c r="BM284" s="44">
        <f>IFERROR(INDEX(LMH_PTS,MATCH(Y284,LMH_KEY,0)),0)</f>
        <v>9</v>
      </c>
      <c r="BN284" s="38">
        <f>IFERROR(INDEX(LMH_PTS,MATCH(Z284,LMH_KEY,0)),0)</f>
        <v>3</v>
      </c>
      <c r="BO284" s="38">
        <f>IFERROR(INDEX(LMH_PTS,MATCH(AA284,LMH_KEY,0)),0)</f>
        <v>1</v>
      </c>
      <c r="BP284" s="38">
        <f>IFERROR(INDEX(LMH_PTS,MATCH(AB284,LMH_KEY,0)),0)</f>
        <v>1</v>
      </c>
      <c r="BQ284" s="38">
        <f>IFERROR(INDEX(LMH_PTS,MATCH(AC284,LMH_KEY,0)),0)</f>
        <v>1</v>
      </c>
      <c r="BR284" s="38">
        <f>IFERROR(INDEX(LMH_PTS,MATCH(AD284,LMH_KEY,0)),0)</f>
        <v>1</v>
      </c>
      <c r="BS284" s="38">
        <f>IFERROR(INDEX(LMH_PTS,MATCH(AE284,LMH_KEY,0)),0)</f>
        <v>1</v>
      </c>
      <c r="BT284" s="38">
        <f>IFERROR(INDEX(LMH_STEP,MATCH(AF284,LMH_KEY,0)),0)</f>
        <v>0</v>
      </c>
      <c r="BU284" s="38">
        <f>IFERROR(INDEX(LMH_STEP,MATCH(AG284,LMH_KEY,0)),0)</f>
        <v>0</v>
      </c>
      <c r="BV284" s="38">
        <f>IFERROR(INDEX(LMH_STEP,MATCH(AH284,LMH_KEY,0)),0)</f>
        <v>0</v>
      </c>
      <c r="BW284" s="38">
        <f>IFERROR(INDEX(LMH_STEP,MATCH(AI284,LMH_KEY,0)),0)</f>
        <v>0</v>
      </c>
      <c r="BX284" s="38">
        <f>IFERROR(INDEX(LMH_STEP,MATCH(AJ284,LMH_KEY,0)),0)</f>
        <v>0</v>
      </c>
      <c r="BY284" s="38">
        <f>IFERROR(INDEX(LMH_STEP,MATCH(AK284,LMH_KEY,0)),0)</f>
        <v>0</v>
      </c>
      <c r="BZ284" s="38">
        <f>IFERROR(INDEX(LMH_STEP,MATCH(AL284,LMH_KEY,0)),0)</f>
        <v>0</v>
      </c>
      <c r="CA284" s="38" t="inlineStr">
        <is>
          <t>iFile|Technology|Senior Software Engineer|A3|A</t>
        </is>
      </c>
    </row>
    <row r="285" ht="110" customHeight="1">
      <c r="A285" s="28" t="inlineStr">
        <is>
          <t>iFile</t>
        </is>
      </c>
      <c r="B285" s="29" t="inlineStr">
        <is>
          <t>Technology</t>
        </is>
      </c>
      <c r="C285" s="29" t="n">
        <v>5</v>
      </c>
      <c r="D285" s="29" t="inlineStr">
        <is>
          <t>IRIS2446</t>
        </is>
      </c>
      <c r="E285" s="29" t="inlineStr">
        <is>
          <t>Kunal Sanjay Prasad</t>
        </is>
      </c>
      <c r="F285" s="29" t="inlineStr">
        <is>
          <t>Software Engineer</t>
        </is>
      </c>
      <c r="G285" s="29" t="inlineStr">
        <is>
          <t>Senior Software Engineer</t>
        </is>
      </c>
      <c r="H285" s="29" t="inlineStr">
        <is>
          <t>Engineering &amp; Development</t>
        </is>
      </c>
      <c r="I285" s="29" t="inlineStr">
        <is>
          <t>Backend Development</t>
        </is>
      </c>
      <c r="J285" s="29" t="inlineStr">
        <is>
          <t>IC</t>
        </is>
      </c>
      <c r="K285" s="29" t="inlineStr">
        <is>
          <t>RC-067</t>
        </is>
      </c>
      <c r="L285" s="29" t="inlineStr">
        <is>
          <t>Pradnya Mhatre</t>
        </is>
      </c>
      <c r="M285" s="29" t="inlineStr">
        <is>
          <t>IRIS1860</t>
        </is>
      </c>
      <c r="N285" s="29" t="n">
        <v>3.4</v>
      </c>
      <c r="O285" s="29" t="n">
        <v>0.8</v>
      </c>
      <c r="P285" s="29" t="inlineStr">
        <is>
          <t>B.Sc</t>
        </is>
      </c>
      <c r="Q285" s="29" t="inlineStr">
        <is>
          <t>L3 – Professional / Associate</t>
        </is>
      </c>
      <c r="R285" s="29" t="inlineStr">
        <is>
          <t>A3</t>
        </is>
      </c>
      <c r="S285" s="30" t="inlineStr">
        <is>
          <t>20 of 20</t>
        </is>
      </c>
      <c r="T285" s="31" t="inlineStr">
        <is>
          <t>Complexity: Evidence reads like A2: Java/Spring Boot enhancements and bug fixes; KRA covers rendering and batch-service development, still learning MBRS → matches the start
Autonomy: Evidence reads like A2: Decides troubleshooting, query optimisation and testing on own tasks → matches the start
Accountability: Evidence reads like A2: Accountable for …</t>
        </is>
      </c>
      <c r="U285" s="31" t="inlineStr">
        <is>
          <t>Received · manager annual, quarterly, self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285" s="31" t="inlineStr">
        <is>
          <t>Latest rating: 2 · Potential: Low · 9-box: Emerging Talent · Readiness: Performance first</t>
        </is>
      </c>
      <c r="W285" s="31" t="inlineStr">
        <is>
          <t>C L · Au L · Ac L · L L · BI L · Exp M · 3.4 yrs vs 2–4 yrs · Edu M · B.Sc</t>
        </is>
      </c>
      <c r="X285" s="33" t="inlineStr">
        <is>
          <t>Open ▸</t>
        </is>
      </c>
      <c r="Y285" s="34" t="str">
        <f>IFERROR(INDEX(DL_C,MATCH($CA285,DL_KEY,0)),"M")</f>
        <v>H</v>
      </c>
      <c r="Z285" s="35" t="str">
        <f>IFERROR(INDEX(DL_Au,MATCH($CA285,DL_KEY,0)),"M")</f>
        <v>M</v>
      </c>
      <c r="AA285" s="35" t="str">
        <f>IFERROR(INDEX(DL_Ac,MATCH($CA285,DL_KEY,0)),"M")</f>
        <v>L</v>
      </c>
      <c r="AB285" s="35" t="str">
        <f>IFERROR(INDEX(DL_L,MATCH($CA285,DL_KEY,0)),"M")</f>
        <v>L</v>
      </c>
      <c r="AC285" s="35" t="str">
        <f>IFERROR(INDEX(DL_BI,MATCH($CA285,DL_KEY,0)),"M")</f>
        <v>L</v>
      </c>
      <c r="AD285" s="35" t="str">
        <f>IFERROR(INDEX(DL_Exp,MATCH($CA285,DL_KEY,0)),"M")</f>
        <v>L</v>
      </c>
      <c r="AE285" s="35" t="str">
        <f>IFERROR(INDEX(DL_Edu,MATCH($CA285,DL_KEY,0)),"M")</f>
        <v>L</v>
      </c>
      <c r="AF285" s="34" t="inlineStr">
        <is>
          <t>M</t>
        </is>
      </c>
      <c r="AG285" s="35" t="inlineStr">
        <is>
          <t>M</t>
        </is>
      </c>
      <c r="AH285" s="35" t="inlineStr">
        <is>
          <t>M</t>
        </is>
      </c>
      <c r="AI285" s="35" t="inlineStr">
        <is>
          <t>M</t>
        </is>
      </c>
      <c r="AJ285" s="35" t="inlineStr">
        <is>
          <t>M</t>
        </is>
      </c>
      <c r="AK285" s="35" t="inlineStr">
        <is>
          <t>M</t>
        </is>
      </c>
      <c r="AL285" s="35" t="inlineStr">
        <is>
          <t>M</t>
        </is>
      </c>
      <c r="AM285" s="36" t="n">
        <v>0.583</v>
      </c>
      <c r="AN285" s="37" t="n">
        <v>0.16</v>
      </c>
      <c r="AO285" s="37" t="n">
        <v>0.09</v>
      </c>
      <c r="AP285" s="37" t="n">
        <v>0</v>
      </c>
      <c r="AQ285" s="37" t="n">
        <v>0.063</v>
      </c>
      <c r="AR285" s="37" t="n">
        <v>0.06</v>
      </c>
      <c r="AS285" s="37" t="n">
        <v>0.04</v>
      </c>
      <c r="AT285" s="38" t="inlineStr">
        <is>
          <t>2–5</t>
        </is>
      </c>
      <c r="AU285" s="38" t="inlineStr">
        <is>
          <t>Graduate; relevant certification preferred</t>
        </is>
      </c>
      <c r="AV285" s="38" t="inlineStr">
        <is>
          <t>None · guides 1–3 juniors informally</t>
        </is>
      </c>
      <c r="AW285" s="38" t="inlineStr">
        <is>
          <t>P2 · SFIA 3 Apply</t>
        </is>
      </c>
      <c r="AX28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85" s="39" t="inlineStr">
        <is>
          <t>A3</t>
        </is>
      </c>
      <c r="AZ285" s="40" t="inlineStr">
        <is>
          <t>Band A · Practitioner · Senior Associate</t>
        </is>
      </c>
      <c r="BA285" s="40" t="inlineStr">
        <is>
          <t>Model A3 from the six ratings, the market-derived weights and rules R1–R13 · then No change · already below the manager</t>
        </is>
      </c>
      <c r="BB285" s="41" t="inlineStr">
        <is>
          <t>A2</t>
        </is>
      </c>
      <c r="BC285" s="40" t="inlineStr">
        <is>
          <t>The six ratings on the market-average weights of Band A · all tracks score 2.10 → A2 · Hay, Mercer IPE and public plans · experience 3.4 yrs vs the A2 market range 0–3</t>
        </is>
      </c>
      <c r="BD285" s="42">
        <f>IF(SUM(BM285,BN285,BO285,BP285,BQ285,BR285,BS285)=0,0,(BM285*BT285+BN285*BU285+BO285*BV285+BP285*BW285+BQ285*BX285+BR285*BY285+BS285*BZ285)/SUM(BM285,BN285,BO285,BP285,BQ285,BR285,BS285))</f>
        <v>0</v>
      </c>
      <c r="BE285" s="41" t="str">
        <f>IF(LEFT(AY285,1)="X",AY285,IF(OR(AY285="B+",AY285="C+"),INDEX(LAD_PC,MAX(1,MIN(14,MATCH(AY285,LAD_PC,0)+IF(BD285&gt;=0.5,1,IF(BD285&lt;=-0.5,-1,0))))),INDEX(LAD_STD,MAX(1,MIN(12,MATCH(AY285,LAD_STD,0)+IF(BD285&gt;=0.5,1,IF(BD285&lt;=-0.5,-1,0)))))))</f>
        <v>A3</v>
      </c>
      <c r="BF285" s="43" t="n"/>
      <c r="BG285" s="41" t="str">
        <f>IF(BF285&lt;&gt;"",BF285,BE285)</f>
        <v>A3</v>
      </c>
      <c r="BH285" s="40" t="str">
        <f>IFERROR(CHOOSE(INDEX(B_RANK,MATCH(BG285,B_LVL,0)),"Band A","Band B","B+ · Player-Coach","Band C","C+ · Player-Coach","Band D","Band E"),"Band X · Consultant")</f>
        <v>Band A</v>
      </c>
      <c r="BI285" s="40" t="str">
        <f>IF(BG285=AY285,"• Same",IF(INDEX(B_VAL,MATCH(BG285,B_LVL,0))&gt;INDEX(B_VAL,MATCH(AY285,B_LVL,0)),"▲ Up","▼ Down"))</f>
        <v>• Same</v>
      </c>
      <c r="BJ285" s="40" t="str">
        <f>IF(OR($M285="",$M285="—",$M285="Not in this file"),"",IFERROR(INDEX($BG$7:$BG$592,MATCH($M285,$D$7:$D$592,0)),""))</f>
        <v>B1</v>
      </c>
      <c r="BK285" s="40" t="str">
        <f>IFERROR(IF(BJ285="","—",IF(OR(LEFT(BG285,1)="X",LEFT(BJ285,1)="X"),"—",IF(AND(LEFT(BG285,1)="E",LEFT(BJ285,1)="E"),"Exception · Band E",IF(AND(INDEX(B_VAL,MATCH(BJ285,B_LVL,0))&gt;=7,INDEX(B_RANK,MATCH(BG285,B_LVL,0))&gt;=INDEX(B_RANK,MATCH(BJ285,B_LVL,0))),"⚠ Same band as a head manager",IF(INDEX(B_VAL,MATCH(BG285,B_LVL,0))&gt;=INDEX(B_VAL,MATCH(BJ285,B_LVL,0)),"⚠ At or above the manager's level","OK"))))),"—")</f>
        <v>OK</v>
      </c>
      <c r="BL285" s="43" t="n"/>
      <c r="BM285" s="44">
        <f>IFERROR(INDEX(LMH_PTS,MATCH(Y285,LMH_KEY,0)),0)</f>
        <v>9</v>
      </c>
      <c r="BN285" s="38">
        <f>IFERROR(INDEX(LMH_PTS,MATCH(Z285,LMH_KEY,0)),0)</f>
        <v>3</v>
      </c>
      <c r="BO285" s="38">
        <f>IFERROR(INDEX(LMH_PTS,MATCH(AA285,LMH_KEY,0)),0)</f>
        <v>1</v>
      </c>
      <c r="BP285" s="38">
        <f>IFERROR(INDEX(LMH_PTS,MATCH(AB285,LMH_KEY,0)),0)</f>
        <v>1</v>
      </c>
      <c r="BQ285" s="38">
        <f>IFERROR(INDEX(LMH_PTS,MATCH(AC285,LMH_KEY,0)),0)</f>
        <v>1</v>
      </c>
      <c r="BR285" s="38">
        <f>IFERROR(INDEX(LMH_PTS,MATCH(AD285,LMH_KEY,0)),0)</f>
        <v>1</v>
      </c>
      <c r="BS285" s="38">
        <f>IFERROR(INDEX(LMH_PTS,MATCH(AE285,LMH_KEY,0)),0)</f>
        <v>1</v>
      </c>
      <c r="BT285" s="38">
        <f>IFERROR(INDEX(LMH_STEP,MATCH(AF285,LMH_KEY,0)),0)</f>
        <v>0</v>
      </c>
      <c r="BU285" s="38">
        <f>IFERROR(INDEX(LMH_STEP,MATCH(AG285,LMH_KEY,0)),0)</f>
        <v>0</v>
      </c>
      <c r="BV285" s="38">
        <f>IFERROR(INDEX(LMH_STEP,MATCH(AH285,LMH_KEY,0)),0)</f>
        <v>0</v>
      </c>
      <c r="BW285" s="38">
        <f>IFERROR(INDEX(LMH_STEP,MATCH(AI285,LMH_KEY,0)),0)</f>
        <v>0</v>
      </c>
      <c r="BX285" s="38">
        <f>IFERROR(INDEX(LMH_STEP,MATCH(AJ285,LMH_KEY,0)),0)</f>
        <v>0</v>
      </c>
      <c r="BY285" s="38">
        <f>IFERROR(INDEX(LMH_STEP,MATCH(AK285,LMH_KEY,0)),0)</f>
        <v>0</v>
      </c>
      <c r="BZ285" s="38">
        <f>IFERROR(INDEX(LMH_STEP,MATCH(AL285,LMH_KEY,0)),0)</f>
        <v>0</v>
      </c>
      <c r="CA285" s="38" t="inlineStr">
        <is>
          <t>iFile|Technology|Senior Software Engineer|A3|A</t>
        </is>
      </c>
    </row>
    <row r="286" ht="110" customHeight="1">
      <c r="A286" s="28" t="inlineStr">
        <is>
          <t>iFile</t>
        </is>
      </c>
      <c r="B286" s="29" t="inlineStr">
        <is>
          <t>Technology</t>
        </is>
      </c>
      <c r="C286" s="29" t="n">
        <v>5</v>
      </c>
      <c r="D286" s="29" t="inlineStr">
        <is>
          <t>IRIS2438</t>
        </is>
      </c>
      <c r="E286" s="29" t="inlineStr">
        <is>
          <t>Pranay Usatkar</t>
        </is>
      </c>
      <c r="F286" s="29" t="inlineStr">
        <is>
          <t>Software Engineer</t>
        </is>
      </c>
      <c r="G286" s="29" t="inlineStr">
        <is>
          <t>Senior Software Engineer</t>
        </is>
      </c>
      <c r="H286" s="29" t="inlineStr">
        <is>
          <t>Engineering &amp; Development</t>
        </is>
      </c>
      <c r="I286" s="29" t="inlineStr">
        <is>
          <t>Backend Development</t>
        </is>
      </c>
      <c r="J286" s="29" t="inlineStr">
        <is>
          <t>IC</t>
        </is>
      </c>
      <c r="K286" s="29" t="inlineStr">
        <is>
          <t>RC-067</t>
        </is>
      </c>
      <c r="L286" s="29" t="inlineStr">
        <is>
          <t>Pradnya Mhatre</t>
        </is>
      </c>
      <c r="M286" s="29" t="inlineStr">
        <is>
          <t>IRIS1860</t>
        </is>
      </c>
      <c r="N286" s="29" t="n">
        <v>4.1</v>
      </c>
      <c r="O286" s="29" t="n">
        <v>0.9</v>
      </c>
      <c r="P286" s="29" t="inlineStr">
        <is>
          <t>B.E</t>
        </is>
      </c>
      <c r="Q286" s="29" t="inlineStr">
        <is>
          <t>L3 – Professional / Associate</t>
        </is>
      </c>
      <c r="R286" s="29" t="inlineStr">
        <is>
          <t>A3</t>
        </is>
      </c>
      <c r="S286" s="30" t="inlineStr">
        <is>
          <t>10 of 20</t>
        </is>
      </c>
      <c r="T286" s="31" t="inlineStr">
        <is>
          <t>Complexity: Evidence reads like A2: Resolves customer tickets and rendering issues, codes enhancements in Java, JSP and SQL → matches the start
Autonomy: Evidence reads like A2: Only independent decision cited is reproducing the scenario locally → matches the start
Accountability: Evidence reads like A2: Accountable for 'ticket activities' → matches the …</t>
        </is>
      </c>
      <c r="U286" s="31" t="inlineStr">
        <is>
          <t>Received · manager annual, quarterly, self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286" s="31" t="inlineStr">
        <is>
          <t>Latest rating: 2 · Potential: Low · 9-box: Emerging Talent · Readiness: Performance first</t>
        </is>
      </c>
      <c r="W286" s="31" t="inlineStr">
        <is>
          <t>C L · Au L · Ac L · L L · BI L · Exp H · 4.1 yrs vs 2–4 yrs · Edu M · B.E</t>
        </is>
      </c>
      <c r="X286" s="33" t="inlineStr">
        <is>
          <t>Open ▸</t>
        </is>
      </c>
      <c r="Y286" s="34" t="str">
        <f>IFERROR(INDEX(DL_C,MATCH($CA286,DL_KEY,0)),"M")</f>
        <v>H</v>
      </c>
      <c r="Z286" s="35" t="str">
        <f>IFERROR(INDEX(DL_Au,MATCH($CA286,DL_KEY,0)),"M")</f>
        <v>M</v>
      </c>
      <c r="AA286" s="35" t="str">
        <f>IFERROR(INDEX(DL_Ac,MATCH($CA286,DL_KEY,0)),"M")</f>
        <v>L</v>
      </c>
      <c r="AB286" s="35" t="str">
        <f>IFERROR(INDEX(DL_L,MATCH($CA286,DL_KEY,0)),"M")</f>
        <v>L</v>
      </c>
      <c r="AC286" s="35" t="str">
        <f>IFERROR(INDEX(DL_BI,MATCH($CA286,DL_KEY,0)),"M")</f>
        <v>L</v>
      </c>
      <c r="AD286" s="35" t="str">
        <f>IFERROR(INDEX(DL_Exp,MATCH($CA286,DL_KEY,0)),"M")</f>
        <v>L</v>
      </c>
      <c r="AE286" s="35" t="str">
        <f>IFERROR(INDEX(DL_Edu,MATCH($CA286,DL_KEY,0)),"M")</f>
        <v>L</v>
      </c>
      <c r="AF286" s="34" t="inlineStr">
        <is>
          <t>M</t>
        </is>
      </c>
      <c r="AG286" s="35" t="inlineStr">
        <is>
          <t>M</t>
        </is>
      </c>
      <c r="AH286" s="35" t="inlineStr">
        <is>
          <t>M</t>
        </is>
      </c>
      <c r="AI286" s="35" t="inlineStr">
        <is>
          <t>M</t>
        </is>
      </c>
      <c r="AJ286" s="35" t="inlineStr">
        <is>
          <t>M</t>
        </is>
      </c>
      <c r="AK286" s="35" t="inlineStr">
        <is>
          <t>M</t>
        </is>
      </c>
      <c r="AL286" s="35" t="inlineStr">
        <is>
          <t>M</t>
        </is>
      </c>
      <c r="AM286" s="36" t="n">
        <v>0.583</v>
      </c>
      <c r="AN286" s="37" t="n">
        <v>0.16</v>
      </c>
      <c r="AO286" s="37" t="n">
        <v>0.09</v>
      </c>
      <c r="AP286" s="37" t="n">
        <v>0</v>
      </c>
      <c r="AQ286" s="37" t="n">
        <v>0.063</v>
      </c>
      <c r="AR286" s="37" t="n">
        <v>0.06</v>
      </c>
      <c r="AS286" s="37" t="n">
        <v>0.04</v>
      </c>
      <c r="AT286" s="38" t="inlineStr">
        <is>
          <t>2–5</t>
        </is>
      </c>
      <c r="AU286" s="38" t="inlineStr">
        <is>
          <t>Graduate; relevant certification preferred</t>
        </is>
      </c>
      <c r="AV286" s="38" t="inlineStr">
        <is>
          <t>None · guides 1–3 juniors informally</t>
        </is>
      </c>
      <c r="AW286" s="38" t="inlineStr">
        <is>
          <t>P2 · SFIA 3 Apply</t>
        </is>
      </c>
      <c r="AX28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86" s="39" t="inlineStr">
        <is>
          <t>A3</t>
        </is>
      </c>
      <c r="AZ286" s="40" t="inlineStr">
        <is>
          <t>Band A · Practitioner · Senior Associate</t>
        </is>
      </c>
      <c r="BA286" s="40" t="inlineStr">
        <is>
          <t>Model A3 from the six ratings, the market-derived weights and rules R1–R13 · then No change · already below the manager</t>
        </is>
      </c>
      <c r="BB286" s="41" t="inlineStr">
        <is>
          <t>A2</t>
        </is>
      </c>
      <c r="BC286" s="40" t="inlineStr">
        <is>
          <t>The six ratings on the market-average weights of Band A · all tracks score 2.15 → A2 · Hay, Mercer IPE and public plans · experience 4.1 yrs vs the A2 market range 0–3</t>
        </is>
      </c>
      <c r="BD286" s="42">
        <f>IF(SUM(BM286,BN286,BO286,BP286,BQ286,BR286,BS286)=0,0,(BM286*BT286+BN286*BU286+BO286*BV286+BP286*BW286+BQ286*BX286+BR286*BY286+BS286*BZ286)/SUM(BM286,BN286,BO286,BP286,BQ286,BR286,BS286))</f>
        <v>0</v>
      </c>
      <c r="BE286" s="41" t="str">
        <f>IF(LEFT(AY286,1)="X",AY286,IF(OR(AY286="B+",AY286="C+"),INDEX(LAD_PC,MAX(1,MIN(14,MATCH(AY286,LAD_PC,0)+IF(BD286&gt;=0.5,1,IF(BD286&lt;=-0.5,-1,0))))),INDEX(LAD_STD,MAX(1,MIN(12,MATCH(AY286,LAD_STD,0)+IF(BD286&gt;=0.5,1,IF(BD286&lt;=-0.5,-1,0)))))))</f>
        <v>A3</v>
      </c>
      <c r="BF286" s="43" t="n"/>
      <c r="BG286" s="41" t="str">
        <f>IF(BF286&lt;&gt;"",BF286,BE286)</f>
        <v>A3</v>
      </c>
      <c r="BH286" s="40" t="str">
        <f>IFERROR(CHOOSE(INDEX(B_RANK,MATCH(BG286,B_LVL,0)),"Band A","Band B","B+ · Player-Coach","Band C","C+ · Player-Coach","Band D","Band E"),"Band X · Consultant")</f>
        <v>Band A</v>
      </c>
      <c r="BI286" s="40" t="str">
        <f>IF(BG286=AY286,"• Same",IF(INDEX(B_VAL,MATCH(BG286,B_LVL,0))&gt;INDEX(B_VAL,MATCH(AY286,B_LVL,0)),"▲ Up","▼ Down"))</f>
        <v>• Same</v>
      </c>
      <c r="BJ286" s="40" t="str">
        <f>IF(OR($M286="",$M286="—",$M286="Not in this file"),"",IFERROR(INDEX($BG$7:$BG$592,MATCH($M286,$D$7:$D$592,0)),""))</f>
        <v>B1</v>
      </c>
      <c r="BK286" s="40" t="str">
        <f>IFERROR(IF(BJ286="","—",IF(OR(LEFT(BG286,1)="X",LEFT(BJ286,1)="X"),"—",IF(AND(LEFT(BG286,1)="E",LEFT(BJ286,1)="E"),"Exception · Band E",IF(AND(INDEX(B_VAL,MATCH(BJ286,B_LVL,0))&gt;=7,INDEX(B_RANK,MATCH(BG286,B_LVL,0))&gt;=INDEX(B_RANK,MATCH(BJ286,B_LVL,0))),"⚠ Same band as a head manager",IF(INDEX(B_VAL,MATCH(BG286,B_LVL,0))&gt;=INDEX(B_VAL,MATCH(BJ286,B_LVL,0)),"⚠ At or above the manager's level","OK"))))),"—")</f>
        <v>OK</v>
      </c>
      <c r="BL286" s="43" t="n"/>
      <c r="BM286" s="44">
        <f>IFERROR(INDEX(LMH_PTS,MATCH(Y286,LMH_KEY,0)),0)</f>
        <v>9</v>
      </c>
      <c r="BN286" s="38">
        <f>IFERROR(INDEX(LMH_PTS,MATCH(Z286,LMH_KEY,0)),0)</f>
        <v>3</v>
      </c>
      <c r="BO286" s="38">
        <f>IFERROR(INDEX(LMH_PTS,MATCH(AA286,LMH_KEY,0)),0)</f>
        <v>1</v>
      </c>
      <c r="BP286" s="38">
        <f>IFERROR(INDEX(LMH_PTS,MATCH(AB286,LMH_KEY,0)),0)</f>
        <v>1</v>
      </c>
      <c r="BQ286" s="38">
        <f>IFERROR(INDEX(LMH_PTS,MATCH(AC286,LMH_KEY,0)),0)</f>
        <v>1</v>
      </c>
      <c r="BR286" s="38">
        <f>IFERROR(INDEX(LMH_PTS,MATCH(AD286,LMH_KEY,0)),0)</f>
        <v>1</v>
      </c>
      <c r="BS286" s="38">
        <f>IFERROR(INDEX(LMH_PTS,MATCH(AE286,LMH_KEY,0)),0)</f>
        <v>1</v>
      </c>
      <c r="BT286" s="38">
        <f>IFERROR(INDEX(LMH_STEP,MATCH(AF286,LMH_KEY,0)),0)</f>
        <v>0</v>
      </c>
      <c r="BU286" s="38">
        <f>IFERROR(INDEX(LMH_STEP,MATCH(AG286,LMH_KEY,0)),0)</f>
        <v>0</v>
      </c>
      <c r="BV286" s="38">
        <f>IFERROR(INDEX(LMH_STEP,MATCH(AH286,LMH_KEY,0)),0)</f>
        <v>0</v>
      </c>
      <c r="BW286" s="38">
        <f>IFERROR(INDEX(LMH_STEP,MATCH(AI286,LMH_KEY,0)),0)</f>
        <v>0</v>
      </c>
      <c r="BX286" s="38">
        <f>IFERROR(INDEX(LMH_STEP,MATCH(AJ286,LMH_KEY,0)),0)</f>
        <v>0</v>
      </c>
      <c r="BY286" s="38">
        <f>IFERROR(INDEX(LMH_STEP,MATCH(AK286,LMH_KEY,0)),0)</f>
        <v>0</v>
      </c>
      <c r="BZ286" s="38">
        <f>IFERROR(INDEX(LMH_STEP,MATCH(AL286,LMH_KEY,0)),0)</f>
        <v>0</v>
      </c>
      <c r="CA286" s="38" t="inlineStr">
        <is>
          <t>iFile|Technology|Senior Software Engineer|A3|A</t>
        </is>
      </c>
    </row>
    <row r="287" ht="110" customHeight="1">
      <c r="A287" s="28" t="inlineStr">
        <is>
          <t>iFile</t>
        </is>
      </c>
      <c r="B287" s="29" t="inlineStr">
        <is>
          <t>Technology</t>
        </is>
      </c>
      <c r="C287" s="29" t="n">
        <v>4</v>
      </c>
      <c r="D287" s="29" t="inlineStr">
        <is>
          <t>IRIS1653</t>
        </is>
      </c>
      <c r="E287" s="29" t="inlineStr">
        <is>
          <t>Sarvesh Yadav</t>
        </is>
      </c>
      <c r="F287" s="29" t="inlineStr">
        <is>
          <t>Senior Software Engineer</t>
        </is>
      </c>
      <c r="G287" s="29" t="inlineStr">
        <is>
          <t>Technical Specialist</t>
        </is>
      </c>
      <c r="H287" s="29" t="inlineStr">
        <is>
          <t>Engineering &amp; Development</t>
        </is>
      </c>
      <c r="I287" s="29" t="inlineStr">
        <is>
          <t>Backend Development</t>
        </is>
      </c>
      <c r="J287" s="29" t="inlineStr">
        <is>
          <t>IC</t>
        </is>
      </c>
      <c r="K287" s="29" t="inlineStr">
        <is>
          <t>RC-068</t>
        </is>
      </c>
      <c r="L287" s="29" t="inlineStr">
        <is>
          <t>Brij Kishor Singh</t>
        </is>
      </c>
      <c r="M287" s="29" t="inlineStr">
        <is>
          <t>IRIS0211</t>
        </is>
      </c>
      <c r="N287" s="29" t="n">
        <v>14.8</v>
      </c>
      <c r="O287" s="29" t="n">
        <v>9.199999999999999</v>
      </c>
      <c r="P287" s="29" t="inlineStr">
        <is>
          <t>MCA</t>
        </is>
      </c>
      <c r="Q287" s="29" t="inlineStr">
        <is>
          <t>L4 – Senior</t>
        </is>
      </c>
      <c r="R287" s="29" t="inlineStr">
        <is>
          <t>B1</t>
        </is>
      </c>
      <c r="S287" s="30" t="inlineStr">
        <is>
          <t>17 of 20</t>
        </is>
      </c>
      <c r="T287" s="31" t="inlineStr">
        <is>
          <t>Complexity: Evidence reads like B1: Lists solution design, complex issue resolution and production issues on Java/Oracle stack; no system named → moved up 0.5
Autonomy: Evidence reads like B2: Decides task prioritisation, task allocation, technical approach and code review outcomes → moved up 0.5
Accountability: Evidence reads like B1: own survey / KRA …</t>
        </is>
      </c>
      <c r="U287" s="31" t="inlineStr">
        <is>
          <t>Received · manager annual, quarterly, self · 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t>
        </is>
      </c>
      <c r="V287" s="31" t="inlineStr">
        <is>
          <t>Latest rating: 2 · Potential: Low · 9-box: Performance Risk · Readiness: Performance first</t>
        </is>
      </c>
      <c r="W287" s="31" t="inlineStr">
        <is>
          <t>C M · Au M · Ac M · L L · BI M · Exp H · 14.8 yrs vs 4–7 yrs · Edu H · MCA</t>
        </is>
      </c>
      <c r="X287" s="33" t="inlineStr">
        <is>
          <t>Open ▸</t>
        </is>
      </c>
      <c r="Y287" s="34" t="str">
        <f>IFERROR(INDEX(DL_C,MATCH($CA287,DL_KEY,0)),"M")</f>
        <v>H</v>
      </c>
      <c r="Z287" s="35" t="str">
        <f>IFERROR(INDEX(DL_Au,MATCH($CA287,DL_KEY,0)),"M")</f>
        <v>M</v>
      </c>
      <c r="AA287" s="35" t="str">
        <f>IFERROR(INDEX(DL_Ac,MATCH($CA287,DL_KEY,0)),"M")</f>
        <v>L</v>
      </c>
      <c r="AB287" s="35" t="str">
        <f>IFERROR(INDEX(DL_L,MATCH($CA287,DL_KEY,0)),"M")</f>
        <v>L</v>
      </c>
      <c r="AC287" s="35" t="str">
        <f>IFERROR(INDEX(DL_BI,MATCH($CA287,DL_KEY,0)),"M")</f>
        <v>L</v>
      </c>
      <c r="AD287" s="35" t="str">
        <f>IFERROR(INDEX(DL_Exp,MATCH($CA287,DL_KEY,0)),"M")</f>
        <v>L</v>
      </c>
      <c r="AE287" s="35" t="str">
        <f>IFERROR(INDEX(DL_Edu,MATCH($CA287,DL_KEY,0)),"M")</f>
        <v>L</v>
      </c>
      <c r="AF287" s="34" t="inlineStr">
        <is>
          <t>M</t>
        </is>
      </c>
      <c r="AG287" s="35" t="inlineStr">
        <is>
          <t>M</t>
        </is>
      </c>
      <c r="AH287" s="35" t="inlineStr">
        <is>
          <t>M</t>
        </is>
      </c>
      <c r="AI287" s="35" t="inlineStr">
        <is>
          <t>M</t>
        </is>
      </c>
      <c r="AJ287" s="35" t="inlineStr">
        <is>
          <t>M</t>
        </is>
      </c>
      <c r="AK287" s="35" t="inlineStr">
        <is>
          <t>M</t>
        </is>
      </c>
      <c r="AL287" s="35" t="inlineStr">
        <is>
          <t>M</t>
        </is>
      </c>
      <c r="AM287" s="36" t="n">
        <v>0.513</v>
      </c>
      <c r="AN287" s="37" t="n">
        <v>0.173</v>
      </c>
      <c r="AO287" s="37" t="n">
        <v>0.09699999999999999</v>
      </c>
      <c r="AP287" s="37" t="n">
        <v>0.05</v>
      </c>
      <c r="AQ287" s="37" t="n">
        <v>0.07000000000000001</v>
      </c>
      <c r="AR287" s="37" t="n">
        <v>0.06</v>
      </c>
      <c r="AS287" s="37" t="n">
        <v>0.04</v>
      </c>
      <c r="AT287" s="38" t="inlineStr">
        <is>
          <t>4–8</t>
        </is>
      </c>
      <c r="AU287" s="38" t="inlineStr">
        <is>
          <t>Graduate + relevant qualification or certification preferred</t>
        </is>
      </c>
      <c r="AV287" s="38" t="inlineStr">
        <is>
          <t>IC: none · Team Lead: 3–5</t>
        </is>
      </c>
      <c r="AW287" s="38" t="inlineStr">
        <is>
          <t>P3 / M2 · SFIA 4 Enable</t>
        </is>
      </c>
      <c r="AX28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87" s="39" t="inlineStr">
        <is>
          <t>B1</t>
        </is>
      </c>
      <c r="AZ287" s="40" t="inlineStr">
        <is>
          <t>Band B · Specialist / Manager · Specialist</t>
        </is>
      </c>
      <c r="BA287" s="40" t="inlineStr">
        <is>
          <t>Model B1 from the six ratings, the market-derived weights and rules R1–R13 · then No change · already below the manager</t>
        </is>
      </c>
      <c r="BB287" s="41" t="inlineStr">
        <is>
          <t>B1</t>
        </is>
      </c>
      <c r="BC287" s="40" t="inlineStr">
        <is>
          <t>The six ratings on the market-average weights of Band B · Specialist / POD Lead score 3.95 → B1 · Hay, Mercer IPE and public plans · experience 14.8 yrs vs the B1 market range 4–8</t>
        </is>
      </c>
      <c r="BD287" s="42">
        <f>IF(SUM(BM287,BN287,BO287,BP287,BQ287,BR287,BS287)=0,0,(BM287*BT287+BN287*BU287+BO287*BV287+BP287*BW287+BQ287*BX287+BR287*BY287+BS287*BZ287)/SUM(BM287,BN287,BO287,BP287,BQ287,BR287,BS287))</f>
        <v>0</v>
      </c>
      <c r="BE287" s="41" t="str">
        <f>IF(LEFT(AY287,1)="X",AY287,IF(OR(AY287="B+",AY287="C+"),INDEX(LAD_PC,MAX(1,MIN(14,MATCH(AY287,LAD_PC,0)+IF(BD287&gt;=0.5,1,IF(BD287&lt;=-0.5,-1,0))))),INDEX(LAD_STD,MAX(1,MIN(12,MATCH(AY287,LAD_STD,0)+IF(BD287&gt;=0.5,1,IF(BD287&lt;=-0.5,-1,0)))))))</f>
        <v>B1</v>
      </c>
      <c r="BF287" s="43" t="n"/>
      <c r="BG287" s="41" t="str">
        <f>IF(BF287&lt;&gt;"",BF287,BE287)</f>
        <v>B1</v>
      </c>
      <c r="BH287" s="40" t="str">
        <f>IFERROR(CHOOSE(INDEX(B_RANK,MATCH(BG287,B_LVL,0)),"Band A","Band B","B+ · Player-Coach","Band C","C+ · Player-Coach","Band D","Band E"),"Band X · Consultant")</f>
        <v>Band B</v>
      </c>
      <c r="BI287" s="40" t="str">
        <f>IF(BG287=AY287,"• Same",IF(INDEX(B_VAL,MATCH(BG287,B_LVL,0))&gt;INDEX(B_VAL,MATCH(AY287,B_LVL,0)),"▲ Up","▼ Down"))</f>
        <v>• Same</v>
      </c>
      <c r="BJ287" s="40" t="str">
        <f>IF(OR($M287="",$M287="—",$M287="Not in this file"),"",IFERROR(INDEX($BG$7:$BG$592,MATCH($M287,$D$7:$D$592,0)),""))</f>
        <v>B+</v>
      </c>
      <c r="BK287" s="40" t="str">
        <f>IFERROR(IF(BJ287="","—",IF(OR(LEFT(BG287,1)="X",LEFT(BJ287,1)="X"),"—",IF(AND(LEFT(BG287,1)="E",LEFT(BJ287,1)="E"),"Exception · Band E",IF(AND(INDEX(B_VAL,MATCH(BJ287,B_LVL,0))&gt;=7,INDEX(B_RANK,MATCH(BG287,B_LVL,0))&gt;=INDEX(B_RANK,MATCH(BJ287,B_LVL,0))),"⚠ Same band as a head manager",IF(INDEX(B_VAL,MATCH(BG287,B_LVL,0))&gt;=INDEX(B_VAL,MATCH(BJ287,B_LVL,0)),"⚠ At or above the manager's level","OK"))))),"—")</f>
        <v>OK</v>
      </c>
      <c r="BL287" s="43" t="n"/>
      <c r="BM287" s="44">
        <f>IFERROR(INDEX(LMH_PTS,MATCH(Y287,LMH_KEY,0)),0)</f>
        <v>9</v>
      </c>
      <c r="BN287" s="38">
        <f>IFERROR(INDEX(LMH_PTS,MATCH(Z287,LMH_KEY,0)),0)</f>
        <v>3</v>
      </c>
      <c r="BO287" s="38">
        <f>IFERROR(INDEX(LMH_PTS,MATCH(AA287,LMH_KEY,0)),0)</f>
        <v>1</v>
      </c>
      <c r="BP287" s="38">
        <f>IFERROR(INDEX(LMH_PTS,MATCH(AB287,LMH_KEY,0)),0)</f>
        <v>1</v>
      </c>
      <c r="BQ287" s="38">
        <f>IFERROR(INDEX(LMH_PTS,MATCH(AC287,LMH_KEY,0)),0)</f>
        <v>1</v>
      </c>
      <c r="BR287" s="38">
        <f>IFERROR(INDEX(LMH_PTS,MATCH(AD287,LMH_KEY,0)),0)</f>
        <v>1</v>
      </c>
      <c r="BS287" s="38">
        <f>IFERROR(INDEX(LMH_PTS,MATCH(AE287,LMH_KEY,0)),0)</f>
        <v>1</v>
      </c>
      <c r="BT287" s="38">
        <f>IFERROR(INDEX(LMH_STEP,MATCH(AF287,LMH_KEY,0)),0)</f>
        <v>0</v>
      </c>
      <c r="BU287" s="38">
        <f>IFERROR(INDEX(LMH_STEP,MATCH(AG287,LMH_KEY,0)),0)</f>
        <v>0</v>
      </c>
      <c r="BV287" s="38">
        <f>IFERROR(INDEX(LMH_STEP,MATCH(AH287,LMH_KEY,0)),0)</f>
        <v>0</v>
      </c>
      <c r="BW287" s="38">
        <f>IFERROR(INDEX(LMH_STEP,MATCH(AI287,LMH_KEY,0)),0)</f>
        <v>0</v>
      </c>
      <c r="BX287" s="38">
        <f>IFERROR(INDEX(LMH_STEP,MATCH(AJ287,LMH_KEY,0)),0)</f>
        <v>0</v>
      </c>
      <c r="BY287" s="38">
        <f>IFERROR(INDEX(LMH_STEP,MATCH(AK287,LMH_KEY,0)),0)</f>
        <v>0</v>
      </c>
      <c r="BZ287" s="38">
        <f>IFERROR(INDEX(LMH_STEP,MATCH(AL287,LMH_KEY,0)),0)</f>
        <v>0</v>
      </c>
      <c r="CA287" s="38" t="inlineStr">
        <is>
          <t>iFile|Technology|Technical Specialist|B1|B-IC</t>
        </is>
      </c>
    </row>
    <row r="288" ht="110" customHeight="1">
      <c r="A288" s="28" t="inlineStr">
        <is>
          <t>iFile</t>
        </is>
      </c>
      <c r="B288" s="29" t="inlineStr">
        <is>
          <t>Technology</t>
        </is>
      </c>
      <c r="C288" s="29" t="n">
        <v>4</v>
      </c>
      <c r="D288" s="29" t="inlineStr">
        <is>
          <t>IRIS1667</t>
        </is>
      </c>
      <c r="E288" s="29" t="inlineStr">
        <is>
          <t>Arun Kumar</t>
        </is>
      </c>
      <c r="F288" s="29" t="inlineStr">
        <is>
          <t>Senior Software Engineer</t>
        </is>
      </c>
      <c r="G288" s="29" t="inlineStr">
        <is>
          <t>Technical Specialist</t>
        </is>
      </c>
      <c r="H288" s="29" t="inlineStr">
        <is>
          <t>Engineering &amp; Development</t>
        </is>
      </c>
      <c r="I288" s="29" t="inlineStr">
        <is>
          <t>Backend Development</t>
        </is>
      </c>
      <c r="J288" s="29" t="inlineStr">
        <is>
          <t>IC</t>
        </is>
      </c>
      <c r="K288" s="29" t="inlineStr">
        <is>
          <t>RC-067</t>
        </is>
      </c>
      <c r="L288" s="29" t="inlineStr">
        <is>
          <t>Brij Kishor Singh</t>
        </is>
      </c>
      <c r="M288" s="29" t="inlineStr">
        <is>
          <t>IRIS0211</t>
        </is>
      </c>
      <c r="N288" s="29" t="n">
        <v>12.2</v>
      </c>
      <c r="O288" s="29" t="n">
        <v>9</v>
      </c>
      <c r="P288" s="29" t="inlineStr">
        <is>
          <t>MCA</t>
        </is>
      </c>
      <c r="Q288" s="29" t="inlineStr">
        <is>
          <t>L4 – Senior</t>
        </is>
      </c>
      <c r="R288" s="29" t="inlineStr">
        <is>
          <t>A3</t>
        </is>
      </c>
      <c r="S288" s="30" t="inlineStr">
        <is>
          <t>20 of 20</t>
        </is>
      </c>
      <c r="T288" s="31" t="inlineStr">
        <is>
          <t>Business Impact: Moved +0.5: the survey / manager mapping marks it business-critical.</t>
        </is>
      </c>
      <c r="U288" s="31" t="inlineStr">
        <is>
          <t>Received · manager annual, quarterly, self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288" s="31" t="inlineStr">
        <is>
          <t>Latest rating: 4 · 9-box: Trusted Professional · Readiness: Ready in 6–12 months</t>
        </is>
      </c>
      <c r="W288" s="31" t="inlineStr">
        <is>
          <t>C M · Au M · Ac M · L L · BI M · Exp H · 12.2 yrs vs 2–4 yrs · Edu H · MCA</t>
        </is>
      </c>
      <c r="X288" s="33" t="inlineStr">
        <is>
          <t>Open ▸</t>
        </is>
      </c>
      <c r="Y288" s="34" t="str">
        <f>IFERROR(INDEX(DL_C,MATCH($CA288,DL_KEY,0)),"M")</f>
        <v>H</v>
      </c>
      <c r="Z288" s="35" t="str">
        <f>IFERROR(INDEX(DL_Au,MATCH($CA288,DL_KEY,0)),"M")</f>
        <v>M</v>
      </c>
      <c r="AA288" s="35" t="str">
        <f>IFERROR(INDEX(DL_Ac,MATCH($CA288,DL_KEY,0)),"M")</f>
        <v>L</v>
      </c>
      <c r="AB288" s="35" t="str">
        <f>IFERROR(INDEX(DL_L,MATCH($CA288,DL_KEY,0)),"M")</f>
        <v>L</v>
      </c>
      <c r="AC288" s="35" t="str">
        <f>IFERROR(INDEX(DL_BI,MATCH($CA288,DL_KEY,0)),"M")</f>
        <v>L</v>
      </c>
      <c r="AD288" s="35" t="str">
        <f>IFERROR(INDEX(DL_Exp,MATCH($CA288,DL_KEY,0)),"M")</f>
        <v>L</v>
      </c>
      <c r="AE288" s="35" t="str">
        <f>IFERROR(INDEX(DL_Edu,MATCH($CA288,DL_KEY,0)),"M")</f>
        <v>L</v>
      </c>
      <c r="AF288" s="34" t="inlineStr">
        <is>
          <t>M</t>
        </is>
      </c>
      <c r="AG288" s="35" t="inlineStr">
        <is>
          <t>M</t>
        </is>
      </c>
      <c r="AH288" s="35" t="inlineStr">
        <is>
          <t>M</t>
        </is>
      </c>
      <c r="AI288" s="35" t="inlineStr">
        <is>
          <t>M</t>
        </is>
      </c>
      <c r="AJ288" s="35" t="inlineStr">
        <is>
          <t>M</t>
        </is>
      </c>
      <c r="AK288" s="35" t="inlineStr">
        <is>
          <t>M</t>
        </is>
      </c>
      <c r="AL288" s="35" t="inlineStr">
        <is>
          <t>M</t>
        </is>
      </c>
      <c r="AM288" s="36" t="n">
        <v>0.583</v>
      </c>
      <c r="AN288" s="37" t="n">
        <v>0.16</v>
      </c>
      <c r="AO288" s="37" t="n">
        <v>0.09</v>
      </c>
      <c r="AP288" s="37" t="n">
        <v>0</v>
      </c>
      <c r="AQ288" s="37" t="n">
        <v>0.063</v>
      </c>
      <c r="AR288" s="37" t="n">
        <v>0.06</v>
      </c>
      <c r="AS288" s="37" t="n">
        <v>0.04</v>
      </c>
      <c r="AT288" s="38" t="inlineStr">
        <is>
          <t>2–5</t>
        </is>
      </c>
      <c r="AU288" s="38" t="inlineStr">
        <is>
          <t>Graduate; relevant certification preferred</t>
        </is>
      </c>
      <c r="AV288" s="38" t="inlineStr">
        <is>
          <t>None · guides 1–3 juniors informally</t>
        </is>
      </c>
      <c r="AW288" s="38" t="inlineStr">
        <is>
          <t>P2 · SFIA 3 Apply</t>
        </is>
      </c>
      <c r="AX28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88" s="39" t="inlineStr">
        <is>
          <t>A3</t>
        </is>
      </c>
      <c r="AZ288" s="40" t="inlineStr">
        <is>
          <t>Band A · Practitioner · Senior Associate</t>
        </is>
      </c>
      <c r="BA288" s="40" t="inlineStr">
        <is>
          <t>Model A3 from the six ratings, the market-derived weights and rules R1–R13 · then No change · already below the manager</t>
        </is>
      </c>
      <c r="BB288" s="41" t="inlineStr">
        <is>
          <t>A3</t>
        </is>
      </c>
      <c r="BC288" s="40" t="inlineStr">
        <is>
          <t>The six ratings on the market-average weights of Band A · all tracks score 3.48 → A3 · Hay, Mercer IPE and public plans · experience 12.2 yrs vs the A3 market range 2–5</t>
        </is>
      </c>
      <c r="BD288" s="42">
        <f>IF(SUM(BM288,BN288,BO288,BP288,BQ288,BR288,BS288)=0,0,(BM288*BT288+BN288*BU288+BO288*BV288+BP288*BW288+BQ288*BX288+BR288*BY288+BS288*BZ288)/SUM(BM288,BN288,BO288,BP288,BQ288,BR288,BS288))</f>
        <v>0</v>
      </c>
      <c r="BE288" s="41" t="str">
        <f>IF(LEFT(AY288,1)="X",AY288,IF(OR(AY288="B+",AY288="C+"),INDEX(LAD_PC,MAX(1,MIN(14,MATCH(AY288,LAD_PC,0)+IF(BD288&gt;=0.5,1,IF(BD288&lt;=-0.5,-1,0))))),INDEX(LAD_STD,MAX(1,MIN(12,MATCH(AY288,LAD_STD,0)+IF(BD288&gt;=0.5,1,IF(BD288&lt;=-0.5,-1,0)))))))</f>
        <v>A3</v>
      </c>
      <c r="BF288" s="43" t="n"/>
      <c r="BG288" s="41" t="str">
        <f>IF(BF288&lt;&gt;"",BF288,BE288)</f>
        <v>A3</v>
      </c>
      <c r="BH288" s="40" t="str">
        <f>IFERROR(CHOOSE(INDEX(B_RANK,MATCH(BG288,B_LVL,0)),"Band A","Band B","B+ · Player-Coach","Band C","C+ · Player-Coach","Band D","Band E"),"Band X · Consultant")</f>
        <v>Band A</v>
      </c>
      <c r="BI288" s="40" t="str">
        <f>IF(BG288=AY288,"• Same",IF(INDEX(B_VAL,MATCH(BG288,B_LVL,0))&gt;INDEX(B_VAL,MATCH(AY288,B_LVL,0)),"▲ Up","▼ Down"))</f>
        <v>• Same</v>
      </c>
      <c r="BJ288" s="40" t="str">
        <f>IF(OR($M288="",$M288="—",$M288="Not in this file"),"",IFERROR(INDEX($BG$7:$BG$592,MATCH($M288,$D$7:$D$592,0)),""))</f>
        <v>B+</v>
      </c>
      <c r="BK288" s="40" t="str">
        <f>IFERROR(IF(BJ288="","—",IF(OR(LEFT(BG288,1)="X",LEFT(BJ288,1)="X"),"—",IF(AND(LEFT(BG288,1)="E",LEFT(BJ288,1)="E"),"Exception · Band E",IF(AND(INDEX(B_VAL,MATCH(BJ288,B_LVL,0))&gt;=7,INDEX(B_RANK,MATCH(BG288,B_LVL,0))&gt;=INDEX(B_RANK,MATCH(BJ288,B_LVL,0))),"⚠ Same band as a head manager",IF(INDEX(B_VAL,MATCH(BG288,B_LVL,0))&gt;=INDEX(B_VAL,MATCH(BJ288,B_LVL,0)),"⚠ At or above the manager's level","OK"))))),"—")</f>
        <v>OK</v>
      </c>
      <c r="BL288" s="43" t="n"/>
      <c r="BM288" s="44">
        <f>IFERROR(INDEX(LMH_PTS,MATCH(Y288,LMH_KEY,0)),0)</f>
        <v>9</v>
      </c>
      <c r="BN288" s="38">
        <f>IFERROR(INDEX(LMH_PTS,MATCH(Z288,LMH_KEY,0)),0)</f>
        <v>3</v>
      </c>
      <c r="BO288" s="38">
        <f>IFERROR(INDEX(LMH_PTS,MATCH(AA288,LMH_KEY,0)),0)</f>
        <v>1</v>
      </c>
      <c r="BP288" s="38">
        <f>IFERROR(INDEX(LMH_PTS,MATCH(AB288,LMH_KEY,0)),0)</f>
        <v>1</v>
      </c>
      <c r="BQ288" s="38">
        <f>IFERROR(INDEX(LMH_PTS,MATCH(AC288,LMH_KEY,0)),0)</f>
        <v>1</v>
      </c>
      <c r="BR288" s="38">
        <f>IFERROR(INDEX(LMH_PTS,MATCH(AD288,LMH_KEY,0)),0)</f>
        <v>1</v>
      </c>
      <c r="BS288" s="38">
        <f>IFERROR(INDEX(LMH_PTS,MATCH(AE288,LMH_KEY,0)),0)</f>
        <v>1</v>
      </c>
      <c r="BT288" s="38">
        <f>IFERROR(INDEX(LMH_STEP,MATCH(AF288,LMH_KEY,0)),0)</f>
        <v>0</v>
      </c>
      <c r="BU288" s="38">
        <f>IFERROR(INDEX(LMH_STEP,MATCH(AG288,LMH_KEY,0)),0)</f>
        <v>0</v>
      </c>
      <c r="BV288" s="38">
        <f>IFERROR(INDEX(LMH_STEP,MATCH(AH288,LMH_KEY,0)),0)</f>
        <v>0</v>
      </c>
      <c r="BW288" s="38">
        <f>IFERROR(INDEX(LMH_STEP,MATCH(AI288,LMH_KEY,0)),0)</f>
        <v>0</v>
      </c>
      <c r="BX288" s="38">
        <f>IFERROR(INDEX(LMH_STEP,MATCH(AJ288,LMH_KEY,0)),0)</f>
        <v>0</v>
      </c>
      <c r="BY288" s="38">
        <f>IFERROR(INDEX(LMH_STEP,MATCH(AK288,LMH_KEY,0)),0)</f>
        <v>0</v>
      </c>
      <c r="BZ288" s="38">
        <f>IFERROR(INDEX(LMH_STEP,MATCH(AL288,LMH_KEY,0)),0)</f>
        <v>0</v>
      </c>
      <c r="CA288" s="38" t="inlineStr">
        <is>
          <t>iFile|Technology|Technical Specialist|A3|A</t>
        </is>
      </c>
    </row>
    <row r="289" ht="110" customHeight="1">
      <c r="A289" s="28" t="inlineStr">
        <is>
          <t>iFile</t>
        </is>
      </c>
      <c r="B289" s="29" t="inlineStr">
        <is>
          <t>Technology</t>
        </is>
      </c>
      <c r="C289" s="29" t="n">
        <v>3</v>
      </c>
      <c r="D289" s="29" t="inlineStr">
        <is>
          <t>IRIS0217</t>
        </is>
      </c>
      <c r="E289" s="29" t="inlineStr">
        <is>
          <t>Hemant Trivedi</t>
        </is>
      </c>
      <c r="F289" s="29" t="inlineStr">
        <is>
          <t>Technical Architect</t>
        </is>
      </c>
      <c r="G289" s="29" t="inlineStr">
        <is>
          <t>Practice Lead – Solution &amp; Technical Architecture · Player-Coach</t>
        </is>
      </c>
      <c r="H289" s="29" t="inlineStr">
        <is>
          <t>Engineering &amp; Architecture</t>
        </is>
      </c>
      <c r="I289" s="29" t="inlineStr">
        <is>
          <t>Solution &amp; Technical Architecture</t>
        </is>
      </c>
      <c r="J289" s="29" t="inlineStr">
        <is>
          <t>Player-Coach</t>
        </is>
      </c>
      <c r="K289" s="29" t="inlineStr">
        <is>
          <t>RC-056</t>
        </is>
      </c>
      <c r="L289" s="29" t="inlineStr">
        <is>
          <t>Pradip Dey</t>
        </is>
      </c>
      <c r="M289" s="29" t="inlineStr">
        <is>
          <t>IRISC223</t>
        </is>
      </c>
      <c r="N289" s="29" t="n">
        <v>19.1</v>
      </c>
      <c r="O289" s="29" t="n">
        <v>18.1</v>
      </c>
      <c r="P289" s="29" t="inlineStr">
        <is>
          <t>B.E</t>
        </is>
      </c>
      <c r="Q289" s="29" t="inlineStr">
        <is>
          <t>L3 – Professional / Associate</t>
        </is>
      </c>
      <c r="R289" s="29" t="inlineStr">
        <is>
          <t>B+</t>
        </is>
      </c>
      <c r="S289" s="30" t="inlineStr">
        <is>
          <t>20 of 20</t>
        </is>
      </c>
      <c r="T289" s="31" t="inlineStr">
        <is>
          <t>Complexity: Evidence reads like B1: Coding, security testing, deployment automation and impact analysis across 5 projects; design claim is generic → moved down 0.5
Autonomy: Evidence reads like A3: Decides how to complete unclear requirements and own development; no team-level calls stated → moved down 0.5
Accountability: Evidence reads like B1: Answers for …</t>
        </is>
      </c>
      <c r="U289" s="31" t="inlineStr">
        <is>
          <t>Received · manager annual, quarterly · 1. QFCRA project
Complete QFCRA Taxonomy upgrade and Tech Refresh project implementation in a timely manner
Provide technical leadership, as well as overall team building, coaching/mentoring for the entire team
2. QSE and other running implementations
As SPOC, ensure QSE accout activities are taken care of effectively …</t>
        </is>
      </c>
      <c r="V289" s="31" t="inlineStr">
        <is>
          <t>Latest rating: 4 · Potential: High · 9-box: Trusted Professional · Readiness: Ready now</t>
        </is>
      </c>
      <c r="W289" s="31" t="inlineStr">
        <is>
          <t>C M · Au M · Ac L · L L · BI M · Exp H · 19.1 yrs vs 9–14 yrs · Edu L · B.E</t>
        </is>
      </c>
      <c r="X289" s="33" t="inlineStr">
        <is>
          <t>Open ▸</t>
        </is>
      </c>
      <c r="Y289" s="34" t="str">
        <f>IFERROR(INDEX(DL_C,MATCH($CA289,DL_KEY,0)),"M")</f>
        <v>H</v>
      </c>
      <c r="Z289" s="35" t="str">
        <f>IFERROR(INDEX(DL_Au,MATCH($CA289,DL_KEY,0)),"M")</f>
        <v>M</v>
      </c>
      <c r="AA289" s="35" t="str">
        <f>IFERROR(INDEX(DL_Ac,MATCH($CA289,DL_KEY,0)),"M")</f>
        <v>L</v>
      </c>
      <c r="AB289" s="35" t="str">
        <f>IFERROR(INDEX(DL_L,MATCH($CA289,DL_KEY,0)),"M")</f>
        <v>M</v>
      </c>
      <c r="AC289" s="35" t="str">
        <f>IFERROR(INDEX(DL_BI,MATCH($CA289,DL_KEY,0)),"M")</f>
        <v>L</v>
      </c>
      <c r="AD289" s="35" t="str">
        <f>IFERROR(INDEX(DL_Exp,MATCH($CA289,DL_KEY,0)),"M")</f>
        <v>L</v>
      </c>
      <c r="AE289" s="35" t="str">
        <f>IFERROR(INDEX(DL_Edu,MATCH($CA289,DL_KEY,0)),"M")</f>
        <v>L</v>
      </c>
      <c r="AF289" s="34" t="inlineStr">
        <is>
          <t>M</t>
        </is>
      </c>
      <c r="AG289" s="35" t="inlineStr">
        <is>
          <t>M</t>
        </is>
      </c>
      <c r="AH289" s="35" t="inlineStr">
        <is>
          <t>M</t>
        </is>
      </c>
      <c r="AI289" s="35" t="inlineStr">
        <is>
          <t>M</t>
        </is>
      </c>
      <c r="AJ289" s="35" t="inlineStr">
        <is>
          <t>M</t>
        </is>
      </c>
      <c r="AK289" s="35" t="inlineStr">
        <is>
          <t>M</t>
        </is>
      </c>
      <c r="AL289" s="35" t="inlineStr">
        <is>
          <t>M</t>
        </is>
      </c>
      <c r="AM289" s="36" t="n">
        <v>0.44</v>
      </c>
      <c r="AN289" s="37" t="n">
        <v>0.177</v>
      </c>
      <c r="AO289" s="37" t="n">
        <v>0.103</v>
      </c>
      <c r="AP289" s="37" t="n">
        <v>0.1</v>
      </c>
      <c r="AQ289" s="37" t="n">
        <v>0.077</v>
      </c>
      <c r="AR289" s="37" t="n">
        <v>0.06</v>
      </c>
      <c r="AS289" s="37" t="n">
        <v>0.04</v>
      </c>
      <c r="AT289" s="38" t="inlineStr">
        <is>
          <t>9–14</t>
        </is>
      </c>
      <c r="AU289" s="38" t="inlineStr">
        <is>
          <t>Postgraduate or professional qualification preferred</t>
        </is>
      </c>
      <c r="AV289" s="38" t="inlineStr">
        <is>
          <t>3–6 direct reports with ≥ 40% of time on own delivery · McKinsey player/coach 3–5; Google Tech Lead Manager</t>
        </is>
      </c>
      <c r="AW289" s="38" t="inlineStr">
        <is>
          <t>P5–P6 / M4–M5 · SFIA 5 Ensure, advise</t>
        </is>
      </c>
      <c r="AX28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89" s="39" t="inlineStr">
        <is>
          <t>B+</t>
        </is>
      </c>
      <c r="AZ289" s="40" t="inlineStr">
        <is>
          <t>B+ · Player-Coach · Practice Lead · Player-Coach</t>
        </is>
      </c>
      <c r="BA289" s="40" t="inlineStr">
        <is>
          <t>Model B+ from the six ratings, the market-derived weights and rules R1–R13 · then No change · already below the manager</t>
        </is>
      </c>
      <c r="BB289" s="41" t="inlineStr">
        <is>
          <t>C1</t>
        </is>
      </c>
      <c r="BC289" s="40" t="inlineStr">
        <is>
          <t>The six ratings on the market-average weights of B+ · Player-Coach score 6.51 → C1 · Hay, Mercer IPE and public plans · experience 19.1 yrs vs the C1 market range 12–17</t>
        </is>
      </c>
      <c r="BD289" s="42">
        <f>IF(SUM(BM289,BN289,BO289,BP289,BQ289,BR289,BS289)=0,0,(BM289*BT289+BN289*BU289+BO289*BV289+BP289*BW289+BQ289*BX289+BR289*BY289+BS289*BZ289)/SUM(BM289,BN289,BO289,BP289,BQ289,BR289,BS289))</f>
        <v>0</v>
      </c>
      <c r="BE289" s="41" t="str">
        <f>IF(LEFT(AY289,1)="X",AY289,IF(OR(AY289="B+",AY289="C+"),INDEX(LAD_PC,MAX(1,MIN(14,MATCH(AY289,LAD_PC,0)+IF(BD289&gt;=0.5,1,IF(BD289&lt;=-0.5,-1,0))))),INDEX(LAD_STD,MAX(1,MIN(12,MATCH(AY289,LAD_STD,0)+IF(BD289&gt;=0.5,1,IF(BD289&lt;=-0.5,-1,0)))))))</f>
        <v>B+</v>
      </c>
      <c r="BF289" s="43" t="n"/>
      <c r="BG289" s="41" t="str">
        <f>IF(BF289&lt;&gt;"",BF289,BE289)</f>
        <v>B+</v>
      </c>
      <c r="BH289" s="40" t="str">
        <f>IFERROR(CHOOSE(INDEX(B_RANK,MATCH(BG289,B_LVL,0)),"Band A","Band B","B+ · Player-Coach","Band C","C+ · Player-Coach","Band D","Band E"),"Band X · Consultant")</f>
        <v>B+ · Player-Coach</v>
      </c>
      <c r="BI289" s="40" t="str">
        <f>IF(BG289=AY289,"• Same",IF(INDEX(B_VAL,MATCH(BG289,B_LVL,0))&gt;INDEX(B_VAL,MATCH(AY289,B_LVL,0)),"▲ Up","▼ Down"))</f>
        <v>• Same</v>
      </c>
      <c r="BJ289" s="40" t="str">
        <f>IF(OR($M289="",$M289="—",$M289="Not in this file"),"",IFERROR(INDEX($BG$7:$BG$592,MATCH($M289,$D$7:$D$592,0)),""))</f>
        <v>C2</v>
      </c>
      <c r="BK289" s="40" t="str">
        <f>IFERROR(IF(BJ289="","—",IF(OR(LEFT(BG289,1)="X",LEFT(BJ289,1)="X"),"—",IF(AND(LEFT(BG289,1)="E",LEFT(BJ289,1)="E"),"Exception · Band E",IF(AND(INDEX(B_VAL,MATCH(BJ289,B_LVL,0))&gt;=7,INDEX(B_RANK,MATCH(BG289,B_LVL,0))&gt;=INDEX(B_RANK,MATCH(BJ289,B_LVL,0))),"⚠ Same band as a head manager",IF(INDEX(B_VAL,MATCH(BG289,B_LVL,0))&gt;=INDEX(B_VAL,MATCH(BJ289,B_LVL,0)),"⚠ At or above the manager's level","OK"))))),"—")</f>
        <v>OK</v>
      </c>
      <c r="BL289" s="43" t="n"/>
      <c r="BM289" s="44">
        <f>IFERROR(INDEX(LMH_PTS,MATCH(Y289,LMH_KEY,0)),0)</f>
        <v>9</v>
      </c>
      <c r="BN289" s="38">
        <f>IFERROR(INDEX(LMH_PTS,MATCH(Z289,LMH_KEY,0)),0)</f>
        <v>3</v>
      </c>
      <c r="BO289" s="38">
        <f>IFERROR(INDEX(LMH_PTS,MATCH(AA289,LMH_KEY,0)),0)</f>
        <v>1</v>
      </c>
      <c r="BP289" s="38">
        <f>IFERROR(INDEX(LMH_PTS,MATCH(AB289,LMH_KEY,0)),0)</f>
        <v>3</v>
      </c>
      <c r="BQ289" s="38">
        <f>IFERROR(INDEX(LMH_PTS,MATCH(AC289,LMH_KEY,0)),0)</f>
        <v>1</v>
      </c>
      <c r="BR289" s="38">
        <f>IFERROR(INDEX(LMH_PTS,MATCH(AD289,LMH_KEY,0)),0)</f>
        <v>1</v>
      </c>
      <c r="BS289" s="38">
        <f>IFERROR(INDEX(LMH_PTS,MATCH(AE289,LMH_KEY,0)),0)</f>
        <v>1</v>
      </c>
      <c r="BT289" s="38">
        <f>IFERROR(INDEX(LMH_STEP,MATCH(AF289,LMH_KEY,0)),0)</f>
        <v>0</v>
      </c>
      <c r="BU289" s="38">
        <f>IFERROR(INDEX(LMH_STEP,MATCH(AG289,LMH_KEY,0)),0)</f>
        <v>0</v>
      </c>
      <c r="BV289" s="38">
        <f>IFERROR(INDEX(LMH_STEP,MATCH(AH289,LMH_KEY,0)),0)</f>
        <v>0</v>
      </c>
      <c r="BW289" s="38">
        <f>IFERROR(INDEX(LMH_STEP,MATCH(AI289,LMH_KEY,0)),0)</f>
        <v>0</v>
      </c>
      <c r="BX289" s="38">
        <f>IFERROR(INDEX(LMH_STEP,MATCH(AJ289,LMH_KEY,0)),0)</f>
        <v>0</v>
      </c>
      <c r="BY289" s="38">
        <f>IFERROR(INDEX(LMH_STEP,MATCH(AK289,LMH_KEY,0)),0)</f>
        <v>0</v>
      </c>
      <c r="BZ289" s="38">
        <f>IFERROR(INDEX(LMH_STEP,MATCH(AL289,LMH_KEY,0)),0)</f>
        <v>0</v>
      </c>
      <c r="CA289" s="38" t="inlineStr">
        <is>
          <t>iFile|Technology|Practice Lead – Solution &amp; Technical Architecture · Player-Coach|B+|B+</t>
        </is>
      </c>
    </row>
    <row r="290" ht="110" customHeight="1">
      <c r="A290" s="28" t="inlineStr">
        <is>
          <t>iFile</t>
        </is>
      </c>
      <c r="B290" s="29" t="inlineStr">
        <is>
          <t>Technology</t>
        </is>
      </c>
      <c r="C290" s="29" t="n">
        <v>4</v>
      </c>
      <c r="D290" s="29" t="inlineStr">
        <is>
          <t>IRIS1150</t>
        </is>
      </c>
      <c r="E290" s="29" t="inlineStr">
        <is>
          <t>Pragati Raskar</t>
        </is>
      </c>
      <c r="F290" s="29" t="inlineStr">
        <is>
          <t>Senior Software Engineer</t>
        </is>
      </c>
      <c r="G290" s="29" t="inlineStr">
        <is>
          <t>Technical Specialist – POD Lead</t>
        </is>
      </c>
      <c r="H290" s="29" t="inlineStr">
        <is>
          <t>Engineering &amp; Development</t>
        </is>
      </c>
      <c r="I290" s="29" t="inlineStr">
        <is>
          <t>Backend Development</t>
        </is>
      </c>
      <c r="J290" s="29" t="inlineStr">
        <is>
          <t>POD Lead</t>
        </is>
      </c>
      <c r="K290" s="29" t="inlineStr">
        <is>
          <t>RC-068</t>
        </is>
      </c>
      <c r="L290" s="29" t="inlineStr">
        <is>
          <t>Hemant Trivedi</t>
        </is>
      </c>
      <c r="M290" s="29" t="inlineStr">
        <is>
          <t>IRIS0217</t>
        </is>
      </c>
      <c r="N290" s="29" t="n">
        <v>16.3</v>
      </c>
      <c r="O290" s="29" t="n">
        <v>14.3</v>
      </c>
      <c r="P290" s="29" t="inlineStr">
        <is>
          <t>B.E</t>
        </is>
      </c>
      <c r="Q290" s="29" t="inlineStr">
        <is>
          <t>L4 – Senior</t>
        </is>
      </c>
      <c r="R290" s="29" t="inlineStr">
        <is>
          <t>B1</t>
        </is>
      </c>
      <c r="S290" s="30" t="inlineStr">
        <is>
          <t>20 of 20</t>
        </is>
      </c>
      <c r="T290" s="31" t="inlineStr">
        <is>
          <t>Complexity: Evidence reads like A3: Design and implementation of webform/XBRL functionality in.NET and SQL; cites technical complexity → matches the start
Autonomy: Evidence reads like A2: Decides day-to-day technical implementation only → moved down 0.5
Accountability: Evidence reads like A3: own survey / KRA answers · summarised by the rater; not quoted → …</t>
        </is>
      </c>
      <c r="U290" s="31" t="inlineStr">
        <is>
          <t>Received · manager annual, quarterly, self · 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t>
        </is>
      </c>
      <c r="V290" s="31" t="inlineStr">
        <is>
          <t>Latest rating: 4 · Potential: High · 9-box: Trusted Professional · Readiness: Ready now</t>
        </is>
      </c>
      <c r="W290" s="31" t="inlineStr">
        <is>
          <t>C L · Au L · Ac M · L M · BI M · Exp H · 16.3 yrs vs 4–7 yrs · Edu M · B.E</t>
        </is>
      </c>
      <c r="X290" s="33" t="inlineStr">
        <is>
          <t>Open ▸</t>
        </is>
      </c>
      <c r="Y290" s="34" t="str">
        <f>IFERROR(INDEX(DL_C,MATCH($CA290,DL_KEY,0)),"M")</f>
        <v>H</v>
      </c>
      <c r="Z290" s="35" t="str">
        <f>IFERROR(INDEX(DL_Au,MATCH($CA290,DL_KEY,0)),"M")</f>
        <v>M</v>
      </c>
      <c r="AA290" s="35" t="str">
        <f>IFERROR(INDEX(DL_Ac,MATCH($CA290,DL_KEY,0)),"M")</f>
        <v>L</v>
      </c>
      <c r="AB290" s="35" t="str">
        <f>IFERROR(INDEX(DL_L,MATCH($CA290,DL_KEY,0)),"M")</f>
        <v>L</v>
      </c>
      <c r="AC290" s="35" t="str">
        <f>IFERROR(INDEX(DL_BI,MATCH($CA290,DL_KEY,0)),"M")</f>
        <v>L</v>
      </c>
      <c r="AD290" s="35" t="str">
        <f>IFERROR(INDEX(DL_Exp,MATCH($CA290,DL_KEY,0)),"M")</f>
        <v>L</v>
      </c>
      <c r="AE290" s="35" t="str">
        <f>IFERROR(INDEX(DL_Edu,MATCH($CA290,DL_KEY,0)),"M")</f>
        <v>L</v>
      </c>
      <c r="AF290" s="34" t="inlineStr">
        <is>
          <t>M</t>
        </is>
      </c>
      <c r="AG290" s="35" t="inlineStr">
        <is>
          <t>M</t>
        </is>
      </c>
      <c r="AH290" s="35" t="inlineStr">
        <is>
          <t>M</t>
        </is>
      </c>
      <c r="AI290" s="35" t="inlineStr">
        <is>
          <t>M</t>
        </is>
      </c>
      <c r="AJ290" s="35" t="inlineStr">
        <is>
          <t>M</t>
        </is>
      </c>
      <c r="AK290" s="35" t="inlineStr">
        <is>
          <t>M</t>
        </is>
      </c>
      <c r="AL290" s="35" t="inlineStr">
        <is>
          <t>M</t>
        </is>
      </c>
      <c r="AM290" s="36" t="n">
        <v>0.513</v>
      </c>
      <c r="AN290" s="37" t="n">
        <v>0.173</v>
      </c>
      <c r="AO290" s="37" t="n">
        <v>0.09699999999999999</v>
      </c>
      <c r="AP290" s="37" t="n">
        <v>0.05</v>
      </c>
      <c r="AQ290" s="37" t="n">
        <v>0.07000000000000001</v>
      </c>
      <c r="AR290" s="37" t="n">
        <v>0.06</v>
      </c>
      <c r="AS290" s="37" t="n">
        <v>0.04</v>
      </c>
      <c r="AT290" s="38" t="inlineStr">
        <is>
          <t>4–8</t>
        </is>
      </c>
      <c r="AU290" s="38" t="inlineStr">
        <is>
          <t>Graduate + relevant qualification or certification preferred</t>
        </is>
      </c>
      <c r="AV290" s="38" t="inlineStr">
        <is>
          <t>IC: none · Team Lead: 3–5</t>
        </is>
      </c>
      <c r="AW290" s="38" t="inlineStr">
        <is>
          <t>P3 / M2 · SFIA 4 Enable</t>
        </is>
      </c>
      <c r="AX29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90" s="39" t="inlineStr">
        <is>
          <t>B1</t>
        </is>
      </c>
      <c r="AZ290" s="40" t="inlineStr">
        <is>
          <t>Band B · Specialist / Manager · Team Lead / Asst Manager</t>
        </is>
      </c>
      <c r="BA290" s="40" t="inlineStr">
        <is>
          <t>Model B1 from the six ratings, the market-derived weights and rules R1–R13 · then No change · already below the manager</t>
        </is>
      </c>
      <c r="BB290" s="41" t="inlineStr">
        <is>
          <t>B1</t>
        </is>
      </c>
      <c r="BC290" s="40" t="inlineStr">
        <is>
          <t>The six ratings on the market-average weights of Band B · Specialist / POD Lead score 3.63 → B1 · Hay, Mercer IPE and public plans · experience 16.3 yrs vs the B1 market range 4–8</t>
        </is>
      </c>
      <c r="BD290" s="42">
        <f>IF(SUM(BM290,BN290,BO290,BP290,BQ290,BR290,BS290)=0,0,(BM290*BT290+BN290*BU290+BO290*BV290+BP290*BW290+BQ290*BX290+BR290*BY290+BS290*BZ290)/SUM(BM290,BN290,BO290,BP290,BQ290,BR290,BS290))</f>
        <v>0</v>
      </c>
      <c r="BE290" s="41" t="str">
        <f>IF(LEFT(AY290,1)="X",AY290,IF(OR(AY290="B+",AY290="C+"),INDEX(LAD_PC,MAX(1,MIN(14,MATCH(AY290,LAD_PC,0)+IF(BD290&gt;=0.5,1,IF(BD290&lt;=-0.5,-1,0))))),INDEX(LAD_STD,MAX(1,MIN(12,MATCH(AY290,LAD_STD,0)+IF(BD290&gt;=0.5,1,IF(BD290&lt;=-0.5,-1,0)))))))</f>
        <v>B1</v>
      </c>
      <c r="BF290" s="43" t="n"/>
      <c r="BG290" s="41" t="str">
        <f>IF(BF290&lt;&gt;"",BF290,BE290)</f>
        <v>B1</v>
      </c>
      <c r="BH290" s="40" t="str">
        <f>IFERROR(CHOOSE(INDEX(B_RANK,MATCH(BG290,B_LVL,0)),"Band A","Band B","B+ · Player-Coach","Band C","C+ · Player-Coach","Band D","Band E"),"Band X · Consultant")</f>
        <v>Band B</v>
      </c>
      <c r="BI290" s="40" t="str">
        <f>IF(BG290=AY290,"• Same",IF(INDEX(B_VAL,MATCH(BG290,B_LVL,0))&gt;INDEX(B_VAL,MATCH(AY290,B_LVL,0)),"▲ Up","▼ Down"))</f>
        <v>• Same</v>
      </c>
      <c r="BJ290" s="40" t="str">
        <f>IF(OR($M290="",$M290="—",$M290="Not in this file"),"",IFERROR(INDEX($BG$7:$BG$592,MATCH($M290,$D$7:$D$592,0)),""))</f>
        <v>B+</v>
      </c>
      <c r="BK290" s="40" t="str">
        <f>IFERROR(IF(BJ290="","—",IF(OR(LEFT(BG290,1)="X",LEFT(BJ290,1)="X"),"—",IF(AND(LEFT(BG290,1)="E",LEFT(BJ290,1)="E"),"Exception · Band E",IF(AND(INDEX(B_VAL,MATCH(BJ290,B_LVL,0))&gt;=7,INDEX(B_RANK,MATCH(BG290,B_LVL,0))&gt;=INDEX(B_RANK,MATCH(BJ290,B_LVL,0))),"⚠ Same band as a head manager",IF(INDEX(B_VAL,MATCH(BG290,B_LVL,0))&gt;=INDEX(B_VAL,MATCH(BJ290,B_LVL,0)),"⚠ At or above the manager's level","OK"))))),"—")</f>
        <v>OK</v>
      </c>
      <c r="BL290" s="43" t="n"/>
      <c r="BM290" s="44">
        <f>IFERROR(INDEX(LMH_PTS,MATCH(Y290,LMH_KEY,0)),0)</f>
        <v>9</v>
      </c>
      <c r="BN290" s="38">
        <f>IFERROR(INDEX(LMH_PTS,MATCH(Z290,LMH_KEY,0)),0)</f>
        <v>3</v>
      </c>
      <c r="BO290" s="38">
        <f>IFERROR(INDEX(LMH_PTS,MATCH(AA290,LMH_KEY,0)),0)</f>
        <v>1</v>
      </c>
      <c r="BP290" s="38">
        <f>IFERROR(INDEX(LMH_PTS,MATCH(AB290,LMH_KEY,0)),0)</f>
        <v>1</v>
      </c>
      <c r="BQ290" s="38">
        <f>IFERROR(INDEX(LMH_PTS,MATCH(AC290,LMH_KEY,0)),0)</f>
        <v>1</v>
      </c>
      <c r="BR290" s="38">
        <f>IFERROR(INDEX(LMH_PTS,MATCH(AD290,LMH_KEY,0)),0)</f>
        <v>1</v>
      </c>
      <c r="BS290" s="38">
        <f>IFERROR(INDEX(LMH_PTS,MATCH(AE290,LMH_KEY,0)),0)</f>
        <v>1</v>
      </c>
      <c r="BT290" s="38">
        <f>IFERROR(INDEX(LMH_STEP,MATCH(AF290,LMH_KEY,0)),0)</f>
        <v>0</v>
      </c>
      <c r="BU290" s="38">
        <f>IFERROR(INDEX(LMH_STEP,MATCH(AG290,LMH_KEY,0)),0)</f>
        <v>0</v>
      </c>
      <c r="BV290" s="38">
        <f>IFERROR(INDEX(LMH_STEP,MATCH(AH290,LMH_KEY,0)),0)</f>
        <v>0</v>
      </c>
      <c r="BW290" s="38">
        <f>IFERROR(INDEX(LMH_STEP,MATCH(AI290,LMH_KEY,0)),0)</f>
        <v>0</v>
      </c>
      <c r="BX290" s="38">
        <f>IFERROR(INDEX(LMH_STEP,MATCH(AJ290,LMH_KEY,0)),0)</f>
        <v>0</v>
      </c>
      <c r="BY290" s="38">
        <f>IFERROR(INDEX(LMH_STEP,MATCH(AK290,LMH_KEY,0)),0)</f>
        <v>0</v>
      </c>
      <c r="BZ290" s="38">
        <f>IFERROR(INDEX(LMH_STEP,MATCH(AL290,LMH_KEY,0)),0)</f>
        <v>0</v>
      </c>
      <c r="CA290" s="38" t="inlineStr">
        <is>
          <t>iFile|Technology|Technical Specialist – POD Lead|B1|B-IC</t>
        </is>
      </c>
    </row>
    <row r="291" ht="110" customHeight="1">
      <c r="A291" s="28" t="inlineStr">
        <is>
          <t>iFile</t>
        </is>
      </c>
      <c r="B291" s="29" t="inlineStr">
        <is>
          <t>Technology</t>
        </is>
      </c>
      <c r="C291" s="29" t="n">
        <v>5</v>
      </c>
      <c r="D291" s="29" t="inlineStr">
        <is>
          <t>IRIS2186</t>
        </is>
      </c>
      <c r="E291" s="29" t="inlineStr">
        <is>
          <t>Harshal Chaudhari</t>
        </is>
      </c>
      <c r="F291" s="29" t="inlineStr">
        <is>
          <t>Junior Software Engineer</t>
        </is>
      </c>
      <c r="G291" s="29" t="inlineStr">
        <is>
          <t>Senior Software Engineer</t>
        </is>
      </c>
      <c r="H291" s="29" t="inlineStr">
        <is>
          <t>Engineering &amp; Development</t>
        </is>
      </c>
      <c r="I291" s="29" t="inlineStr">
        <is>
          <t>Backend Development</t>
        </is>
      </c>
      <c r="J291" s="29" t="inlineStr">
        <is>
          <t>IC</t>
        </is>
      </c>
      <c r="K291" s="29" t="inlineStr">
        <is>
          <t>RC-067</t>
        </is>
      </c>
      <c r="L291" s="29" t="inlineStr">
        <is>
          <t>Pragati Raskar</t>
        </is>
      </c>
      <c r="M291" s="29" t="inlineStr">
        <is>
          <t>IRIS1150</t>
        </is>
      </c>
      <c r="N291" s="29" t="n">
        <v>3</v>
      </c>
      <c r="O291" s="29" t="n">
        <v>3</v>
      </c>
      <c r="P291" s="29" t="inlineStr">
        <is>
          <t>PG-DAC</t>
        </is>
      </c>
      <c r="Q291" s="29" t="inlineStr">
        <is>
          <t>L3 – Professional / Associate</t>
        </is>
      </c>
      <c r="R291" s="29" t="inlineStr">
        <is>
          <t>A3</t>
        </is>
      </c>
      <c r="S291" s="30" t="inlineStr">
        <is>
          <t>20 of 20</t>
        </is>
      </c>
      <c r="T291" s="31" t="inlineStr">
        <is>
          <t>Complexity: Evidence reads like A2: own survey / KRA answers · summarised by the rater; not quoted → matches the start
Autonomy: Evidence reads like A2: Decides technical approach analysis on assigned work → matches the start
Accountability: Evidence reads like A2: own survey / KRA answers · summarised by the rater; not quoted → matches the …</t>
        </is>
      </c>
      <c r="U291" s="31" t="inlineStr">
        <is>
          <t>Received · manager annual, quarterly, self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291" s="31" t="inlineStr">
        <is>
          <t>Latest rating: 4 · Potential: Medium · 9-box: Emerging Talent · Readiness: Ready now</t>
        </is>
      </c>
      <c r="W291" s="31" t="inlineStr">
        <is>
          <t>C L · Au L · Ac L · L L · BI M · Exp M · 3 yrs vs 2–4 yrs · Edu H · PG-DAC</t>
        </is>
      </c>
      <c r="X291" s="33" t="inlineStr">
        <is>
          <t>Open ▸</t>
        </is>
      </c>
      <c r="Y291" s="34" t="str">
        <f>IFERROR(INDEX(DL_C,MATCH($CA291,DL_KEY,0)),"M")</f>
        <v>H</v>
      </c>
      <c r="Z291" s="35" t="str">
        <f>IFERROR(INDEX(DL_Au,MATCH($CA291,DL_KEY,0)),"M")</f>
        <v>M</v>
      </c>
      <c r="AA291" s="35" t="str">
        <f>IFERROR(INDEX(DL_Ac,MATCH($CA291,DL_KEY,0)),"M")</f>
        <v>L</v>
      </c>
      <c r="AB291" s="35" t="str">
        <f>IFERROR(INDEX(DL_L,MATCH($CA291,DL_KEY,0)),"M")</f>
        <v>L</v>
      </c>
      <c r="AC291" s="35" t="str">
        <f>IFERROR(INDEX(DL_BI,MATCH($CA291,DL_KEY,0)),"M")</f>
        <v>L</v>
      </c>
      <c r="AD291" s="35" t="str">
        <f>IFERROR(INDEX(DL_Exp,MATCH($CA291,DL_KEY,0)),"M")</f>
        <v>L</v>
      </c>
      <c r="AE291" s="35" t="str">
        <f>IFERROR(INDEX(DL_Edu,MATCH($CA291,DL_KEY,0)),"M")</f>
        <v>L</v>
      </c>
      <c r="AF291" s="34" t="inlineStr">
        <is>
          <t>M</t>
        </is>
      </c>
      <c r="AG291" s="35" t="inlineStr">
        <is>
          <t>M</t>
        </is>
      </c>
      <c r="AH291" s="35" t="inlineStr">
        <is>
          <t>M</t>
        </is>
      </c>
      <c r="AI291" s="35" t="inlineStr">
        <is>
          <t>M</t>
        </is>
      </c>
      <c r="AJ291" s="35" t="inlineStr">
        <is>
          <t>M</t>
        </is>
      </c>
      <c r="AK291" s="35" t="inlineStr">
        <is>
          <t>M</t>
        </is>
      </c>
      <c r="AL291" s="35" t="inlineStr">
        <is>
          <t>M</t>
        </is>
      </c>
      <c r="AM291" s="36" t="n">
        <v>0.583</v>
      </c>
      <c r="AN291" s="37" t="n">
        <v>0.16</v>
      </c>
      <c r="AO291" s="37" t="n">
        <v>0.09</v>
      </c>
      <c r="AP291" s="37" t="n">
        <v>0</v>
      </c>
      <c r="AQ291" s="37" t="n">
        <v>0.063</v>
      </c>
      <c r="AR291" s="37" t="n">
        <v>0.06</v>
      </c>
      <c r="AS291" s="37" t="n">
        <v>0.04</v>
      </c>
      <c r="AT291" s="38" t="inlineStr">
        <is>
          <t>2–5</t>
        </is>
      </c>
      <c r="AU291" s="38" t="inlineStr">
        <is>
          <t>Graduate; relevant certification preferred</t>
        </is>
      </c>
      <c r="AV291" s="38" t="inlineStr">
        <is>
          <t>None · guides 1–3 juniors informally</t>
        </is>
      </c>
      <c r="AW291" s="38" t="inlineStr">
        <is>
          <t>P2 · SFIA 3 Apply</t>
        </is>
      </c>
      <c r="AX29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91" s="39" t="inlineStr">
        <is>
          <t>A3</t>
        </is>
      </c>
      <c r="AZ291" s="40" t="inlineStr">
        <is>
          <t>Band A · Practitioner · Senior Associate</t>
        </is>
      </c>
      <c r="BA291" s="40" t="inlineStr">
        <is>
          <t>Model A3 from the six ratings, the market-derived weights and rules R1–R13 · then No change · already below the manager</t>
        </is>
      </c>
      <c r="BB291" s="41" t="inlineStr">
        <is>
          <t>A2</t>
        </is>
      </c>
      <c r="BC291" s="40" t="inlineStr">
        <is>
          <t>The six ratings on the market-average weights of Band A · all tracks score 2.18 → A2 · Hay, Mercer IPE and public plans · experience 3 yrs vs the A2 market range 0–3</t>
        </is>
      </c>
      <c r="BD291" s="42">
        <f>IF(SUM(BM291,BN291,BO291,BP291,BQ291,BR291,BS291)=0,0,(BM291*BT291+BN291*BU291+BO291*BV291+BP291*BW291+BQ291*BX291+BR291*BY291+BS291*BZ291)/SUM(BM291,BN291,BO291,BP291,BQ291,BR291,BS291))</f>
        <v>0</v>
      </c>
      <c r="BE291" s="41" t="str">
        <f>IF(LEFT(AY291,1)="X",AY291,IF(OR(AY291="B+",AY291="C+"),INDEX(LAD_PC,MAX(1,MIN(14,MATCH(AY291,LAD_PC,0)+IF(BD291&gt;=0.5,1,IF(BD291&lt;=-0.5,-1,0))))),INDEX(LAD_STD,MAX(1,MIN(12,MATCH(AY291,LAD_STD,0)+IF(BD291&gt;=0.5,1,IF(BD291&lt;=-0.5,-1,0)))))))</f>
        <v>A3</v>
      </c>
      <c r="BF291" s="43" t="n"/>
      <c r="BG291" s="41" t="str">
        <f>IF(BF291&lt;&gt;"",BF291,BE291)</f>
        <v>A3</v>
      </c>
      <c r="BH291" s="40" t="str">
        <f>IFERROR(CHOOSE(INDEX(B_RANK,MATCH(BG291,B_LVL,0)),"Band A","Band B","B+ · Player-Coach","Band C","C+ · Player-Coach","Band D","Band E"),"Band X · Consultant")</f>
        <v>Band A</v>
      </c>
      <c r="BI291" s="40" t="str">
        <f>IF(BG291=AY291,"• Same",IF(INDEX(B_VAL,MATCH(BG291,B_LVL,0))&gt;INDEX(B_VAL,MATCH(AY291,B_LVL,0)),"▲ Up","▼ Down"))</f>
        <v>• Same</v>
      </c>
      <c r="BJ291" s="40" t="str">
        <f>IF(OR($M291="",$M291="—",$M291="Not in this file"),"",IFERROR(INDEX($BG$7:$BG$592,MATCH($M291,$D$7:$D$592,0)),""))</f>
        <v>B1</v>
      </c>
      <c r="BK291" s="40" t="str">
        <f>IFERROR(IF(BJ291="","—",IF(OR(LEFT(BG291,1)="X",LEFT(BJ291,1)="X"),"—",IF(AND(LEFT(BG291,1)="E",LEFT(BJ291,1)="E"),"Exception · Band E",IF(AND(INDEX(B_VAL,MATCH(BJ291,B_LVL,0))&gt;=7,INDEX(B_RANK,MATCH(BG291,B_LVL,0))&gt;=INDEX(B_RANK,MATCH(BJ291,B_LVL,0))),"⚠ Same band as a head manager",IF(INDEX(B_VAL,MATCH(BG291,B_LVL,0))&gt;=INDEX(B_VAL,MATCH(BJ291,B_LVL,0)),"⚠ At or above the manager's level","OK"))))),"—")</f>
        <v>OK</v>
      </c>
      <c r="BL291" s="43" t="n"/>
      <c r="BM291" s="44">
        <f>IFERROR(INDEX(LMH_PTS,MATCH(Y291,LMH_KEY,0)),0)</f>
        <v>9</v>
      </c>
      <c r="BN291" s="38">
        <f>IFERROR(INDEX(LMH_PTS,MATCH(Z291,LMH_KEY,0)),0)</f>
        <v>3</v>
      </c>
      <c r="BO291" s="38">
        <f>IFERROR(INDEX(LMH_PTS,MATCH(AA291,LMH_KEY,0)),0)</f>
        <v>1</v>
      </c>
      <c r="BP291" s="38">
        <f>IFERROR(INDEX(LMH_PTS,MATCH(AB291,LMH_KEY,0)),0)</f>
        <v>1</v>
      </c>
      <c r="BQ291" s="38">
        <f>IFERROR(INDEX(LMH_PTS,MATCH(AC291,LMH_KEY,0)),0)</f>
        <v>1</v>
      </c>
      <c r="BR291" s="38">
        <f>IFERROR(INDEX(LMH_PTS,MATCH(AD291,LMH_KEY,0)),0)</f>
        <v>1</v>
      </c>
      <c r="BS291" s="38">
        <f>IFERROR(INDEX(LMH_PTS,MATCH(AE291,LMH_KEY,0)),0)</f>
        <v>1</v>
      </c>
      <c r="BT291" s="38">
        <f>IFERROR(INDEX(LMH_STEP,MATCH(AF291,LMH_KEY,0)),0)</f>
        <v>0</v>
      </c>
      <c r="BU291" s="38">
        <f>IFERROR(INDEX(LMH_STEP,MATCH(AG291,LMH_KEY,0)),0)</f>
        <v>0</v>
      </c>
      <c r="BV291" s="38">
        <f>IFERROR(INDEX(LMH_STEP,MATCH(AH291,LMH_KEY,0)),0)</f>
        <v>0</v>
      </c>
      <c r="BW291" s="38">
        <f>IFERROR(INDEX(LMH_STEP,MATCH(AI291,LMH_KEY,0)),0)</f>
        <v>0</v>
      </c>
      <c r="BX291" s="38">
        <f>IFERROR(INDEX(LMH_STEP,MATCH(AJ291,LMH_KEY,0)),0)</f>
        <v>0</v>
      </c>
      <c r="BY291" s="38">
        <f>IFERROR(INDEX(LMH_STEP,MATCH(AK291,LMH_KEY,0)),0)</f>
        <v>0</v>
      </c>
      <c r="BZ291" s="38">
        <f>IFERROR(INDEX(LMH_STEP,MATCH(AL291,LMH_KEY,0)),0)</f>
        <v>0</v>
      </c>
      <c r="CA291" s="38" t="inlineStr">
        <is>
          <t>iFile|Technology|Senior Software Engineer|A3|A</t>
        </is>
      </c>
    </row>
    <row r="292" ht="110" customHeight="1">
      <c r="A292" s="28" t="inlineStr">
        <is>
          <t>iFile</t>
        </is>
      </c>
      <c r="B292" s="29" t="inlineStr">
        <is>
          <t>Technology</t>
        </is>
      </c>
      <c r="C292" s="29" t="n">
        <v>5</v>
      </c>
      <c r="D292" s="29" t="inlineStr">
        <is>
          <t>IRIS1945</t>
        </is>
      </c>
      <c r="E292" s="29" t="inlineStr">
        <is>
          <t>Priyadarshini Naidu</t>
        </is>
      </c>
      <c r="F292" s="29" t="inlineStr">
        <is>
          <t>Software Engineer</t>
        </is>
      </c>
      <c r="G292" s="29" t="inlineStr">
        <is>
          <t>Senior Software Engineer</t>
        </is>
      </c>
      <c r="H292" s="29" t="inlineStr">
        <is>
          <t>Engineering &amp; Development</t>
        </is>
      </c>
      <c r="I292" s="29" t="inlineStr">
        <is>
          <t>Backend Development</t>
        </is>
      </c>
      <c r="J292" s="29" t="inlineStr">
        <is>
          <t>IC</t>
        </is>
      </c>
      <c r="K292" s="29" t="inlineStr">
        <is>
          <t>RC-067</t>
        </is>
      </c>
      <c r="L292" s="29" t="inlineStr">
        <is>
          <t>Pragati Raskar</t>
        </is>
      </c>
      <c r="M292" s="29" t="inlineStr">
        <is>
          <t>IRIS1150</t>
        </is>
      </c>
      <c r="N292" s="29" t="n">
        <v>7.1</v>
      </c>
      <c r="O292" s="29" t="n">
        <v>5.1</v>
      </c>
      <c r="P292" s="29" t="inlineStr">
        <is>
          <t>BCA</t>
        </is>
      </c>
      <c r="Q292" s="29" t="inlineStr">
        <is>
          <t>L3 – Professional / Associate</t>
        </is>
      </c>
      <c r="R292" s="29" t="inlineStr">
        <is>
          <t>A3</t>
        </is>
      </c>
      <c r="S292" s="30" t="inlineStr">
        <is>
          <t>20 of 20</t>
        </is>
      </c>
      <c r="T292" s="31" t="inlineStr">
        <is>
          <t>Complexity: Evidence reads like A2: Desktop application development, REST API integration and support fixes; work described only in general terms → matches the start
Autonomy: Evidence reads like A2: Decides the bug-fix approach → matches the start
Accountability: Evidence reads like A2: Accountable for root-causing and fixing own issues; 'client delivery …</t>
        </is>
      </c>
      <c r="U292" s="31" t="inlineStr">
        <is>
          <t>Received · manager annual, quarterly, self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292" s="31" t="inlineStr">
        <is>
          <t>Latest rating: 4 · Potential: High · 9-box: Emerging Talent · Readiness: Ready now</t>
        </is>
      </c>
      <c r="W292" s="31" t="inlineStr">
        <is>
          <t>C L · Au L · Ac L · L L · BI M · Exp H · 7.1 yrs vs 2–4 yrs · Edu M · BCA</t>
        </is>
      </c>
      <c r="X292" s="33" t="inlineStr">
        <is>
          <t>Open ▸</t>
        </is>
      </c>
      <c r="Y292" s="34" t="str">
        <f>IFERROR(INDEX(DL_C,MATCH($CA292,DL_KEY,0)),"M")</f>
        <v>H</v>
      </c>
      <c r="Z292" s="35" t="str">
        <f>IFERROR(INDEX(DL_Au,MATCH($CA292,DL_KEY,0)),"M")</f>
        <v>M</v>
      </c>
      <c r="AA292" s="35" t="str">
        <f>IFERROR(INDEX(DL_Ac,MATCH($CA292,DL_KEY,0)),"M")</f>
        <v>L</v>
      </c>
      <c r="AB292" s="35" t="str">
        <f>IFERROR(INDEX(DL_L,MATCH($CA292,DL_KEY,0)),"M")</f>
        <v>L</v>
      </c>
      <c r="AC292" s="35" t="str">
        <f>IFERROR(INDEX(DL_BI,MATCH($CA292,DL_KEY,0)),"M")</f>
        <v>L</v>
      </c>
      <c r="AD292" s="35" t="str">
        <f>IFERROR(INDEX(DL_Exp,MATCH($CA292,DL_KEY,0)),"M")</f>
        <v>L</v>
      </c>
      <c r="AE292" s="35" t="str">
        <f>IFERROR(INDEX(DL_Edu,MATCH($CA292,DL_KEY,0)),"M")</f>
        <v>L</v>
      </c>
      <c r="AF292" s="34" t="inlineStr">
        <is>
          <t>M</t>
        </is>
      </c>
      <c r="AG292" s="35" t="inlineStr">
        <is>
          <t>M</t>
        </is>
      </c>
      <c r="AH292" s="35" t="inlineStr">
        <is>
          <t>M</t>
        </is>
      </c>
      <c r="AI292" s="35" t="inlineStr">
        <is>
          <t>M</t>
        </is>
      </c>
      <c r="AJ292" s="35" t="inlineStr">
        <is>
          <t>M</t>
        </is>
      </c>
      <c r="AK292" s="35" t="inlineStr">
        <is>
          <t>M</t>
        </is>
      </c>
      <c r="AL292" s="35" t="inlineStr">
        <is>
          <t>M</t>
        </is>
      </c>
      <c r="AM292" s="36" t="n">
        <v>0.583</v>
      </c>
      <c r="AN292" s="37" t="n">
        <v>0.16</v>
      </c>
      <c r="AO292" s="37" t="n">
        <v>0.09</v>
      </c>
      <c r="AP292" s="37" t="n">
        <v>0</v>
      </c>
      <c r="AQ292" s="37" t="n">
        <v>0.063</v>
      </c>
      <c r="AR292" s="37" t="n">
        <v>0.06</v>
      </c>
      <c r="AS292" s="37" t="n">
        <v>0.04</v>
      </c>
      <c r="AT292" s="38" t="inlineStr">
        <is>
          <t>2–5</t>
        </is>
      </c>
      <c r="AU292" s="38" t="inlineStr">
        <is>
          <t>Graduate; relevant certification preferred</t>
        </is>
      </c>
      <c r="AV292" s="38" t="inlineStr">
        <is>
          <t>None · guides 1–3 juniors informally</t>
        </is>
      </c>
      <c r="AW292" s="38" t="inlineStr">
        <is>
          <t>P2 · SFIA 3 Apply</t>
        </is>
      </c>
      <c r="AX29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92" s="39" t="inlineStr">
        <is>
          <t>A3</t>
        </is>
      </c>
      <c r="AZ292" s="40" t="inlineStr">
        <is>
          <t>Band A · Practitioner · Senior Associate</t>
        </is>
      </c>
      <c r="BA292" s="40" t="inlineStr">
        <is>
          <t>Model A3 from the six ratings, the market-derived weights and rules R1–R13 · then No change · already below the manager</t>
        </is>
      </c>
      <c r="BB292" s="41" t="inlineStr">
        <is>
          <t>A2</t>
        </is>
      </c>
      <c r="BC292" s="40" t="inlineStr">
        <is>
          <t>The six ratings on the market-average weights of Band A · all tracks score 2.33 → A2 · Hay, Mercer IPE and public plans · experience 7.1 yrs vs the A2 market range 0–3</t>
        </is>
      </c>
      <c r="BD292" s="42">
        <f>IF(SUM(BM292,BN292,BO292,BP292,BQ292,BR292,BS292)=0,0,(BM292*BT292+BN292*BU292+BO292*BV292+BP292*BW292+BQ292*BX292+BR292*BY292+BS292*BZ292)/SUM(BM292,BN292,BO292,BP292,BQ292,BR292,BS292))</f>
        <v>0</v>
      </c>
      <c r="BE292" s="41" t="str">
        <f>IF(LEFT(AY292,1)="X",AY292,IF(OR(AY292="B+",AY292="C+"),INDEX(LAD_PC,MAX(1,MIN(14,MATCH(AY292,LAD_PC,0)+IF(BD292&gt;=0.5,1,IF(BD292&lt;=-0.5,-1,0))))),INDEX(LAD_STD,MAX(1,MIN(12,MATCH(AY292,LAD_STD,0)+IF(BD292&gt;=0.5,1,IF(BD292&lt;=-0.5,-1,0)))))))</f>
        <v>A3</v>
      </c>
      <c r="BF292" s="43" t="n"/>
      <c r="BG292" s="41" t="str">
        <f>IF(BF292&lt;&gt;"",BF292,BE292)</f>
        <v>A3</v>
      </c>
      <c r="BH292" s="40" t="str">
        <f>IFERROR(CHOOSE(INDEX(B_RANK,MATCH(BG292,B_LVL,0)),"Band A","Band B","B+ · Player-Coach","Band C","C+ · Player-Coach","Band D","Band E"),"Band X · Consultant")</f>
        <v>Band A</v>
      </c>
      <c r="BI292" s="40" t="str">
        <f>IF(BG292=AY292,"• Same",IF(INDEX(B_VAL,MATCH(BG292,B_LVL,0))&gt;INDEX(B_VAL,MATCH(AY292,B_LVL,0)),"▲ Up","▼ Down"))</f>
        <v>• Same</v>
      </c>
      <c r="BJ292" s="40" t="str">
        <f>IF(OR($M292="",$M292="—",$M292="Not in this file"),"",IFERROR(INDEX($BG$7:$BG$592,MATCH($M292,$D$7:$D$592,0)),""))</f>
        <v>B1</v>
      </c>
      <c r="BK292" s="40" t="str">
        <f>IFERROR(IF(BJ292="","—",IF(OR(LEFT(BG292,1)="X",LEFT(BJ292,1)="X"),"—",IF(AND(LEFT(BG292,1)="E",LEFT(BJ292,1)="E"),"Exception · Band E",IF(AND(INDEX(B_VAL,MATCH(BJ292,B_LVL,0))&gt;=7,INDEX(B_RANK,MATCH(BG292,B_LVL,0))&gt;=INDEX(B_RANK,MATCH(BJ292,B_LVL,0))),"⚠ Same band as a head manager",IF(INDEX(B_VAL,MATCH(BG292,B_LVL,0))&gt;=INDEX(B_VAL,MATCH(BJ292,B_LVL,0)),"⚠ At or above the manager's level","OK"))))),"—")</f>
        <v>OK</v>
      </c>
      <c r="BL292" s="43" t="n"/>
      <c r="BM292" s="44">
        <f>IFERROR(INDEX(LMH_PTS,MATCH(Y292,LMH_KEY,0)),0)</f>
        <v>9</v>
      </c>
      <c r="BN292" s="38">
        <f>IFERROR(INDEX(LMH_PTS,MATCH(Z292,LMH_KEY,0)),0)</f>
        <v>3</v>
      </c>
      <c r="BO292" s="38">
        <f>IFERROR(INDEX(LMH_PTS,MATCH(AA292,LMH_KEY,0)),0)</f>
        <v>1</v>
      </c>
      <c r="BP292" s="38">
        <f>IFERROR(INDEX(LMH_PTS,MATCH(AB292,LMH_KEY,0)),0)</f>
        <v>1</v>
      </c>
      <c r="BQ292" s="38">
        <f>IFERROR(INDEX(LMH_PTS,MATCH(AC292,LMH_KEY,0)),0)</f>
        <v>1</v>
      </c>
      <c r="BR292" s="38">
        <f>IFERROR(INDEX(LMH_PTS,MATCH(AD292,LMH_KEY,0)),0)</f>
        <v>1</v>
      </c>
      <c r="BS292" s="38">
        <f>IFERROR(INDEX(LMH_PTS,MATCH(AE292,LMH_KEY,0)),0)</f>
        <v>1</v>
      </c>
      <c r="BT292" s="38">
        <f>IFERROR(INDEX(LMH_STEP,MATCH(AF292,LMH_KEY,0)),0)</f>
        <v>0</v>
      </c>
      <c r="BU292" s="38">
        <f>IFERROR(INDEX(LMH_STEP,MATCH(AG292,LMH_KEY,0)),0)</f>
        <v>0</v>
      </c>
      <c r="BV292" s="38">
        <f>IFERROR(INDEX(LMH_STEP,MATCH(AH292,LMH_KEY,0)),0)</f>
        <v>0</v>
      </c>
      <c r="BW292" s="38">
        <f>IFERROR(INDEX(LMH_STEP,MATCH(AI292,LMH_KEY,0)),0)</f>
        <v>0</v>
      </c>
      <c r="BX292" s="38">
        <f>IFERROR(INDEX(LMH_STEP,MATCH(AJ292,LMH_KEY,0)),0)</f>
        <v>0</v>
      </c>
      <c r="BY292" s="38">
        <f>IFERROR(INDEX(LMH_STEP,MATCH(AK292,LMH_KEY,0)),0)</f>
        <v>0</v>
      </c>
      <c r="BZ292" s="38">
        <f>IFERROR(INDEX(LMH_STEP,MATCH(AL292,LMH_KEY,0)),0)</f>
        <v>0</v>
      </c>
      <c r="CA292" s="38" t="inlineStr">
        <is>
          <t>iFile|Technology|Senior Software Engineer|A3|A</t>
        </is>
      </c>
    </row>
    <row r="293" ht="110" customHeight="1">
      <c r="A293" s="28" t="inlineStr">
        <is>
          <t>iFile</t>
        </is>
      </c>
      <c r="B293" s="29" t="inlineStr">
        <is>
          <t>Technology</t>
        </is>
      </c>
      <c r="C293" s="29" t="n">
        <v>5</v>
      </c>
      <c r="D293" s="29" t="inlineStr">
        <is>
          <t>IRIS2030</t>
        </is>
      </c>
      <c r="E293" s="29" t="inlineStr">
        <is>
          <t>Ritesh Gadekar</t>
        </is>
      </c>
      <c r="F293" s="29" t="inlineStr">
        <is>
          <t>Software Engineer</t>
        </is>
      </c>
      <c r="G293" s="29" t="inlineStr">
        <is>
          <t>Senior Software Engineer</t>
        </is>
      </c>
      <c r="H293" s="29" t="inlineStr">
        <is>
          <t>Engineering &amp; Development</t>
        </is>
      </c>
      <c r="I293" s="29" t="inlineStr">
        <is>
          <t>Backend Development</t>
        </is>
      </c>
      <c r="J293" s="29" t="inlineStr">
        <is>
          <t>IC</t>
        </is>
      </c>
      <c r="K293" s="29" t="inlineStr">
        <is>
          <t>RC-067</t>
        </is>
      </c>
      <c r="L293" s="29" t="inlineStr">
        <is>
          <t>Pragati Raskar</t>
        </is>
      </c>
      <c r="M293" s="29" t="inlineStr">
        <is>
          <t>IRIS1150</t>
        </is>
      </c>
      <c r="N293" s="29" t="n">
        <v>4.3</v>
      </c>
      <c r="O293" s="29" t="n">
        <v>4.3</v>
      </c>
      <c r="P293" s="29" t="inlineStr">
        <is>
          <t>MSc</t>
        </is>
      </c>
      <c r="Q293" s="29" t="inlineStr">
        <is>
          <t>L3 – Professional / Associate</t>
        </is>
      </c>
      <c r="R293" s="29" t="inlineStr">
        <is>
          <t>A3</t>
        </is>
      </c>
      <c r="S293" s="30" t="inlineStr">
        <is>
          <t>20 of 20</t>
        </is>
      </c>
      <c r="T293" s="31" t="inlineStr">
        <is>
          <t>Business Impact: Moved +0.5: the survey / manager mapping marks it business-critical.</t>
        </is>
      </c>
      <c r="U293" s="31" t="inlineStr">
        <is>
          <t>Received · manager annual, quarterly, self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293" s="31" t="inlineStr">
        <is>
          <t>Latest rating: 4 · Potential: High · 9-box: Trusted Professional · Readiness: Ready now</t>
        </is>
      </c>
      <c r="W293" s="31" t="inlineStr">
        <is>
          <t>C M · Au L · Ac M · L L · BI M · Exp H · 4.3 yrs vs 2–4 yrs · Edu H · MSc</t>
        </is>
      </c>
      <c r="X293" s="33" t="inlineStr">
        <is>
          <t>Open ▸</t>
        </is>
      </c>
      <c r="Y293" s="34" t="str">
        <f>IFERROR(INDEX(DL_C,MATCH($CA293,DL_KEY,0)),"M")</f>
        <v>H</v>
      </c>
      <c r="Z293" s="35" t="str">
        <f>IFERROR(INDEX(DL_Au,MATCH($CA293,DL_KEY,0)),"M")</f>
        <v>M</v>
      </c>
      <c r="AA293" s="35" t="str">
        <f>IFERROR(INDEX(DL_Ac,MATCH($CA293,DL_KEY,0)),"M")</f>
        <v>L</v>
      </c>
      <c r="AB293" s="35" t="str">
        <f>IFERROR(INDEX(DL_L,MATCH($CA293,DL_KEY,0)),"M")</f>
        <v>L</v>
      </c>
      <c r="AC293" s="35" t="str">
        <f>IFERROR(INDEX(DL_BI,MATCH($CA293,DL_KEY,0)),"M")</f>
        <v>L</v>
      </c>
      <c r="AD293" s="35" t="str">
        <f>IFERROR(INDEX(DL_Exp,MATCH($CA293,DL_KEY,0)),"M")</f>
        <v>L</v>
      </c>
      <c r="AE293" s="35" t="str">
        <f>IFERROR(INDEX(DL_Edu,MATCH($CA293,DL_KEY,0)),"M")</f>
        <v>L</v>
      </c>
      <c r="AF293" s="34" t="inlineStr">
        <is>
          <t>M</t>
        </is>
      </c>
      <c r="AG293" s="35" t="inlineStr">
        <is>
          <t>M</t>
        </is>
      </c>
      <c r="AH293" s="35" t="inlineStr">
        <is>
          <t>M</t>
        </is>
      </c>
      <c r="AI293" s="35" t="inlineStr">
        <is>
          <t>M</t>
        </is>
      </c>
      <c r="AJ293" s="35" t="inlineStr">
        <is>
          <t>M</t>
        </is>
      </c>
      <c r="AK293" s="35" t="inlineStr">
        <is>
          <t>M</t>
        </is>
      </c>
      <c r="AL293" s="35" t="inlineStr">
        <is>
          <t>M</t>
        </is>
      </c>
      <c r="AM293" s="36" t="n">
        <v>0.583</v>
      </c>
      <c r="AN293" s="37" t="n">
        <v>0.16</v>
      </c>
      <c r="AO293" s="37" t="n">
        <v>0.09</v>
      </c>
      <c r="AP293" s="37" t="n">
        <v>0</v>
      </c>
      <c r="AQ293" s="37" t="n">
        <v>0.063</v>
      </c>
      <c r="AR293" s="37" t="n">
        <v>0.06</v>
      </c>
      <c r="AS293" s="37" t="n">
        <v>0.04</v>
      </c>
      <c r="AT293" s="38" t="inlineStr">
        <is>
          <t>2–5</t>
        </is>
      </c>
      <c r="AU293" s="38" t="inlineStr">
        <is>
          <t>Graduate; relevant certification preferred</t>
        </is>
      </c>
      <c r="AV293" s="38" t="inlineStr">
        <is>
          <t>None · guides 1–3 juniors informally</t>
        </is>
      </c>
      <c r="AW293" s="38" t="inlineStr">
        <is>
          <t>P2 · SFIA 3 Apply</t>
        </is>
      </c>
      <c r="AX29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93" s="39" t="inlineStr">
        <is>
          <t>A3</t>
        </is>
      </c>
      <c r="AZ293" s="40" t="inlineStr">
        <is>
          <t>Band A · Practitioner · Senior Associate</t>
        </is>
      </c>
      <c r="BA293" s="40" t="inlineStr">
        <is>
          <t>Model A3 from the six ratings, the market-derived weights and rules R1–R13 · then No change · already below the manager</t>
        </is>
      </c>
      <c r="BB293" s="41" t="inlineStr">
        <is>
          <t>A3</t>
        </is>
      </c>
      <c r="BC293" s="40" t="inlineStr">
        <is>
          <t>The six ratings on the market-average weights of Band A · all tracks score 2.60 → A3 · Hay, Mercer IPE and public plans · experience 4.3 yrs vs the A3 market range 2–5</t>
        </is>
      </c>
      <c r="BD293" s="42">
        <f>IF(SUM(BM293,BN293,BO293,BP293,BQ293,BR293,BS293)=0,0,(BM293*BT293+BN293*BU293+BO293*BV293+BP293*BW293+BQ293*BX293+BR293*BY293+BS293*BZ293)/SUM(BM293,BN293,BO293,BP293,BQ293,BR293,BS293))</f>
        <v>0</v>
      </c>
      <c r="BE293" s="41" t="str">
        <f>IF(LEFT(AY293,1)="X",AY293,IF(OR(AY293="B+",AY293="C+"),INDEX(LAD_PC,MAX(1,MIN(14,MATCH(AY293,LAD_PC,0)+IF(BD293&gt;=0.5,1,IF(BD293&lt;=-0.5,-1,0))))),INDEX(LAD_STD,MAX(1,MIN(12,MATCH(AY293,LAD_STD,0)+IF(BD293&gt;=0.5,1,IF(BD293&lt;=-0.5,-1,0)))))))</f>
        <v>A3</v>
      </c>
      <c r="BF293" s="43" t="n"/>
      <c r="BG293" s="41" t="str">
        <f>IF(BF293&lt;&gt;"",BF293,BE293)</f>
        <v>A3</v>
      </c>
      <c r="BH293" s="40" t="str">
        <f>IFERROR(CHOOSE(INDEX(B_RANK,MATCH(BG293,B_LVL,0)),"Band A","Band B","B+ · Player-Coach","Band C","C+ · Player-Coach","Band D","Band E"),"Band X · Consultant")</f>
        <v>Band A</v>
      </c>
      <c r="BI293" s="40" t="str">
        <f>IF(BG293=AY293,"• Same",IF(INDEX(B_VAL,MATCH(BG293,B_LVL,0))&gt;INDEX(B_VAL,MATCH(AY293,B_LVL,0)),"▲ Up","▼ Down"))</f>
        <v>• Same</v>
      </c>
      <c r="BJ293" s="40" t="str">
        <f>IF(OR($M293="",$M293="—",$M293="Not in this file"),"",IFERROR(INDEX($BG$7:$BG$592,MATCH($M293,$D$7:$D$592,0)),""))</f>
        <v>B1</v>
      </c>
      <c r="BK293" s="40" t="str">
        <f>IFERROR(IF(BJ293="","—",IF(OR(LEFT(BG293,1)="X",LEFT(BJ293,1)="X"),"—",IF(AND(LEFT(BG293,1)="E",LEFT(BJ293,1)="E"),"Exception · Band E",IF(AND(INDEX(B_VAL,MATCH(BJ293,B_LVL,0))&gt;=7,INDEX(B_RANK,MATCH(BG293,B_LVL,0))&gt;=INDEX(B_RANK,MATCH(BJ293,B_LVL,0))),"⚠ Same band as a head manager",IF(INDEX(B_VAL,MATCH(BG293,B_LVL,0))&gt;=INDEX(B_VAL,MATCH(BJ293,B_LVL,0)),"⚠ At or above the manager's level","OK"))))),"—")</f>
        <v>OK</v>
      </c>
      <c r="BL293" s="43" t="n"/>
      <c r="BM293" s="44">
        <f>IFERROR(INDEX(LMH_PTS,MATCH(Y293,LMH_KEY,0)),0)</f>
        <v>9</v>
      </c>
      <c r="BN293" s="38">
        <f>IFERROR(INDEX(LMH_PTS,MATCH(Z293,LMH_KEY,0)),0)</f>
        <v>3</v>
      </c>
      <c r="BO293" s="38">
        <f>IFERROR(INDEX(LMH_PTS,MATCH(AA293,LMH_KEY,0)),0)</f>
        <v>1</v>
      </c>
      <c r="BP293" s="38">
        <f>IFERROR(INDEX(LMH_PTS,MATCH(AB293,LMH_KEY,0)),0)</f>
        <v>1</v>
      </c>
      <c r="BQ293" s="38">
        <f>IFERROR(INDEX(LMH_PTS,MATCH(AC293,LMH_KEY,0)),0)</f>
        <v>1</v>
      </c>
      <c r="BR293" s="38">
        <f>IFERROR(INDEX(LMH_PTS,MATCH(AD293,LMH_KEY,0)),0)</f>
        <v>1</v>
      </c>
      <c r="BS293" s="38">
        <f>IFERROR(INDEX(LMH_PTS,MATCH(AE293,LMH_KEY,0)),0)</f>
        <v>1</v>
      </c>
      <c r="BT293" s="38">
        <f>IFERROR(INDEX(LMH_STEP,MATCH(AF293,LMH_KEY,0)),0)</f>
        <v>0</v>
      </c>
      <c r="BU293" s="38">
        <f>IFERROR(INDEX(LMH_STEP,MATCH(AG293,LMH_KEY,0)),0)</f>
        <v>0</v>
      </c>
      <c r="BV293" s="38">
        <f>IFERROR(INDEX(LMH_STEP,MATCH(AH293,LMH_KEY,0)),0)</f>
        <v>0</v>
      </c>
      <c r="BW293" s="38">
        <f>IFERROR(INDEX(LMH_STEP,MATCH(AI293,LMH_KEY,0)),0)</f>
        <v>0</v>
      </c>
      <c r="BX293" s="38">
        <f>IFERROR(INDEX(LMH_STEP,MATCH(AJ293,LMH_KEY,0)),0)</f>
        <v>0</v>
      </c>
      <c r="BY293" s="38">
        <f>IFERROR(INDEX(LMH_STEP,MATCH(AK293,LMH_KEY,0)),0)</f>
        <v>0</v>
      </c>
      <c r="BZ293" s="38">
        <f>IFERROR(INDEX(LMH_STEP,MATCH(AL293,LMH_KEY,0)),0)</f>
        <v>0</v>
      </c>
      <c r="CA293" s="38" t="inlineStr">
        <is>
          <t>iFile|Technology|Senior Software Engineer|A3|A</t>
        </is>
      </c>
    </row>
    <row r="294" ht="110" customHeight="1">
      <c r="A294" s="28" t="inlineStr">
        <is>
          <t>iFile</t>
        </is>
      </c>
      <c r="B294" s="29" t="inlineStr">
        <is>
          <t>Technology</t>
        </is>
      </c>
      <c r="C294" s="29" t="n">
        <v>4</v>
      </c>
      <c r="D294" s="29" t="inlineStr">
        <is>
          <t>IRIS2162</t>
        </is>
      </c>
      <c r="E294" s="29" t="inlineStr">
        <is>
          <t>Vikash Gupta</t>
        </is>
      </c>
      <c r="F294" s="29" t="inlineStr">
        <is>
          <t>Senior Software Engineer</t>
        </is>
      </c>
      <c r="G294" s="29" t="inlineStr">
        <is>
          <t>Technical Specialist</t>
        </is>
      </c>
      <c r="H294" s="29" t="inlineStr">
        <is>
          <t>Engineering &amp; Development</t>
        </is>
      </c>
      <c r="I294" s="29" t="inlineStr">
        <is>
          <t>Full-Stack Development</t>
        </is>
      </c>
      <c r="J294" s="29" t="inlineStr">
        <is>
          <t>IC</t>
        </is>
      </c>
      <c r="K294" s="29" t="inlineStr">
        <is>
          <t>RC-086</t>
        </is>
      </c>
      <c r="L294" s="29" t="inlineStr">
        <is>
          <t>Hemant Trivedi</t>
        </is>
      </c>
      <c r="M294" s="29" t="inlineStr">
        <is>
          <t>IRIS0217</t>
        </is>
      </c>
      <c r="N294" s="29" t="n">
        <v>15.2</v>
      </c>
      <c r="O294" s="29" t="n">
        <v>3.2</v>
      </c>
      <c r="P294" s="29" t="inlineStr">
        <is>
          <t>MCA</t>
        </is>
      </c>
      <c r="Q294" s="29" t="inlineStr">
        <is>
          <t>L4 – Senior</t>
        </is>
      </c>
      <c r="R294" s="29" t="inlineStr">
        <is>
          <t>B1</t>
        </is>
      </c>
      <c r="S294" s="30" t="inlineStr">
        <is>
          <t>20 of 20</t>
        </is>
      </c>
      <c r="T294" s="31" t="inlineStr">
        <is>
          <t>Business Impact: Moved +0.5: the survey / manager mapping marks it business-critical.</t>
        </is>
      </c>
      <c r="U294" s="31" t="inlineStr">
        <is>
          <t>Received · manager annual, quarterly, self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294" s="31" t="inlineStr">
        <is>
          <t>Latest rating: 4 · Potential: High · 9-box: Trusted Professional · Readiness: Ready now</t>
        </is>
      </c>
      <c r="W294" s="31" t="inlineStr">
        <is>
          <t>C L · Au L · Ac L · L L · BI M · Exp H · 15.2 yrs vs 4–7 yrs · Edu H · MCA</t>
        </is>
      </c>
      <c r="X294" s="33" t="inlineStr">
        <is>
          <t>Open ▸</t>
        </is>
      </c>
      <c r="Y294" s="34" t="str">
        <f>IFERROR(INDEX(DL_C,MATCH($CA294,DL_KEY,0)),"M")</f>
        <v>H</v>
      </c>
      <c r="Z294" s="35" t="str">
        <f>IFERROR(INDEX(DL_Au,MATCH($CA294,DL_KEY,0)),"M")</f>
        <v>M</v>
      </c>
      <c r="AA294" s="35" t="str">
        <f>IFERROR(INDEX(DL_Ac,MATCH($CA294,DL_KEY,0)),"M")</f>
        <v>L</v>
      </c>
      <c r="AB294" s="35" t="str">
        <f>IFERROR(INDEX(DL_L,MATCH($CA294,DL_KEY,0)),"M")</f>
        <v>L</v>
      </c>
      <c r="AC294" s="35" t="str">
        <f>IFERROR(INDEX(DL_BI,MATCH($CA294,DL_KEY,0)),"M")</f>
        <v>L</v>
      </c>
      <c r="AD294" s="35" t="str">
        <f>IFERROR(INDEX(DL_Exp,MATCH($CA294,DL_KEY,0)),"M")</f>
        <v>L</v>
      </c>
      <c r="AE294" s="35" t="str">
        <f>IFERROR(INDEX(DL_Edu,MATCH($CA294,DL_KEY,0)),"M")</f>
        <v>L</v>
      </c>
      <c r="AF294" s="34" t="inlineStr">
        <is>
          <t>M</t>
        </is>
      </c>
      <c r="AG294" s="35" t="inlineStr">
        <is>
          <t>M</t>
        </is>
      </c>
      <c r="AH294" s="35" t="inlineStr">
        <is>
          <t>M</t>
        </is>
      </c>
      <c r="AI294" s="35" t="inlineStr">
        <is>
          <t>M</t>
        </is>
      </c>
      <c r="AJ294" s="35" t="inlineStr">
        <is>
          <t>M</t>
        </is>
      </c>
      <c r="AK294" s="35" t="inlineStr">
        <is>
          <t>M</t>
        </is>
      </c>
      <c r="AL294" s="35" t="inlineStr">
        <is>
          <t>M</t>
        </is>
      </c>
      <c r="AM294" s="36" t="n">
        <v>0.513</v>
      </c>
      <c r="AN294" s="37" t="n">
        <v>0.173</v>
      </c>
      <c r="AO294" s="37" t="n">
        <v>0.09699999999999999</v>
      </c>
      <c r="AP294" s="37" t="n">
        <v>0.05</v>
      </c>
      <c r="AQ294" s="37" t="n">
        <v>0.07000000000000001</v>
      </c>
      <c r="AR294" s="37" t="n">
        <v>0.06</v>
      </c>
      <c r="AS294" s="37" t="n">
        <v>0.04</v>
      </c>
      <c r="AT294" s="38" t="inlineStr">
        <is>
          <t>4–8</t>
        </is>
      </c>
      <c r="AU294" s="38" t="inlineStr">
        <is>
          <t>Graduate + relevant qualification or certification preferred</t>
        </is>
      </c>
      <c r="AV294" s="38" t="inlineStr">
        <is>
          <t>IC: none · Team Lead: 3–5</t>
        </is>
      </c>
      <c r="AW294" s="38" t="inlineStr">
        <is>
          <t>P3 / M2 · SFIA 4 Enable</t>
        </is>
      </c>
      <c r="AX29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94" s="39" t="inlineStr">
        <is>
          <t>B1</t>
        </is>
      </c>
      <c r="AZ294" s="40" t="inlineStr">
        <is>
          <t>Band B · Specialist / Manager · Specialist</t>
        </is>
      </c>
      <c r="BA294" s="40" t="inlineStr">
        <is>
          <t>Model B1 from the six ratings, the market-derived weights and rules R1–R13 · then No change · already below the manager</t>
        </is>
      </c>
      <c r="BB294" s="41" t="inlineStr">
        <is>
          <t>B1</t>
        </is>
      </c>
      <c r="BC294" s="40" t="inlineStr">
        <is>
          <t>The six ratings on the market-average weights of Band B · Specialist / POD Lead score 3.53 → B1 · Hay, Mercer IPE and public plans · experience 15.2 yrs vs the B1 market range 4–8</t>
        </is>
      </c>
      <c r="BD294" s="42">
        <f>IF(SUM(BM294,BN294,BO294,BP294,BQ294,BR294,BS294)=0,0,(BM294*BT294+BN294*BU294+BO294*BV294+BP294*BW294+BQ294*BX294+BR294*BY294+BS294*BZ294)/SUM(BM294,BN294,BO294,BP294,BQ294,BR294,BS294))</f>
        <v>0</v>
      </c>
      <c r="BE294" s="41" t="str">
        <f>IF(LEFT(AY294,1)="X",AY294,IF(OR(AY294="B+",AY294="C+"),INDEX(LAD_PC,MAX(1,MIN(14,MATCH(AY294,LAD_PC,0)+IF(BD294&gt;=0.5,1,IF(BD294&lt;=-0.5,-1,0))))),INDEX(LAD_STD,MAX(1,MIN(12,MATCH(AY294,LAD_STD,0)+IF(BD294&gt;=0.5,1,IF(BD294&lt;=-0.5,-1,0)))))))</f>
        <v>B1</v>
      </c>
      <c r="BF294" s="43" t="n"/>
      <c r="BG294" s="41" t="str">
        <f>IF(BF294&lt;&gt;"",BF294,BE294)</f>
        <v>B1</v>
      </c>
      <c r="BH294" s="40" t="str">
        <f>IFERROR(CHOOSE(INDEX(B_RANK,MATCH(BG294,B_LVL,0)),"Band A","Band B","B+ · Player-Coach","Band C","C+ · Player-Coach","Band D","Band E"),"Band X · Consultant")</f>
        <v>Band B</v>
      </c>
      <c r="BI294" s="40" t="str">
        <f>IF(BG294=AY294,"• Same",IF(INDEX(B_VAL,MATCH(BG294,B_LVL,0))&gt;INDEX(B_VAL,MATCH(AY294,B_LVL,0)),"▲ Up","▼ Down"))</f>
        <v>• Same</v>
      </c>
      <c r="BJ294" s="40" t="str">
        <f>IF(OR($M294="",$M294="—",$M294="Not in this file"),"",IFERROR(INDEX($BG$7:$BG$592,MATCH($M294,$D$7:$D$592,0)),""))</f>
        <v>B+</v>
      </c>
      <c r="BK294" s="40" t="str">
        <f>IFERROR(IF(BJ294="","—",IF(OR(LEFT(BG294,1)="X",LEFT(BJ294,1)="X"),"—",IF(AND(LEFT(BG294,1)="E",LEFT(BJ294,1)="E"),"Exception · Band E",IF(AND(INDEX(B_VAL,MATCH(BJ294,B_LVL,0))&gt;=7,INDEX(B_RANK,MATCH(BG294,B_LVL,0))&gt;=INDEX(B_RANK,MATCH(BJ294,B_LVL,0))),"⚠ Same band as a head manager",IF(INDEX(B_VAL,MATCH(BG294,B_LVL,0))&gt;=INDEX(B_VAL,MATCH(BJ294,B_LVL,0)),"⚠ At or above the manager's level","OK"))))),"—")</f>
        <v>OK</v>
      </c>
      <c r="BL294" s="43" t="n"/>
      <c r="BM294" s="44">
        <f>IFERROR(INDEX(LMH_PTS,MATCH(Y294,LMH_KEY,0)),0)</f>
        <v>9</v>
      </c>
      <c r="BN294" s="38">
        <f>IFERROR(INDEX(LMH_PTS,MATCH(Z294,LMH_KEY,0)),0)</f>
        <v>3</v>
      </c>
      <c r="BO294" s="38">
        <f>IFERROR(INDEX(LMH_PTS,MATCH(AA294,LMH_KEY,0)),0)</f>
        <v>1</v>
      </c>
      <c r="BP294" s="38">
        <f>IFERROR(INDEX(LMH_PTS,MATCH(AB294,LMH_KEY,0)),0)</f>
        <v>1</v>
      </c>
      <c r="BQ294" s="38">
        <f>IFERROR(INDEX(LMH_PTS,MATCH(AC294,LMH_KEY,0)),0)</f>
        <v>1</v>
      </c>
      <c r="BR294" s="38">
        <f>IFERROR(INDEX(LMH_PTS,MATCH(AD294,LMH_KEY,0)),0)</f>
        <v>1</v>
      </c>
      <c r="BS294" s="38">
        <f>IFERROR(INDEX(LMH_PTS,MATCH(AE294,LMH_KEY,0)),0)</f>
        <v>1</v>
      </c>
      <c r="BT294" s="38">
        <f>IFERROR(INDEX(LMH_STEP,MATCH(AF294,LMH_KEY,0)),0)</f>
        <v>0</v>
      </c>
      <c r="BU294" s="38">
        <f>IFERROR(INDEX(LMH_STEP,MATCH(AG294,LMH_KEY,0)),0)</f>
        <v>0</v>
      </c>
      <c r="BV294" s="38">
        <f>IFERROR(INDEX(LMH_STEP,MATCH(AH294,LMH_KEY,0)),0)</f>
        <v>0</v>
      </c>
      <c r="BW294" s="38">
        <f>IFERROR(INDEX(LMH_STEP,MATCH(AI294,LMH_KEY,0)),0)</f>
        <v>0</v>
      </c>
      <c r="BX294" s="38">
        <f>IFERROR(INDEX(LMH_STEP,MATCH(AJ294,LMH_KEY,0)),0)</f>
        <v>0</v>
      </c>
      <c r="BY294" s="38">
        <f>IFERROR(INDEX(LMH_STEP,MATCH(AK294,LMH_KEY,0)),0)</f>
        <v>0</v>
      </c>
      <c r="BZ294" s="38">
        <f>IFERROR(INDEX(LMH_STEP,MATCH(AL294,LMH_KEY,0)),0)</f>
        <v>0</v>
      </c>
      <c r="CA294" s="38" t="inlineStr">
        <is>
          <t>iFile|Technology|Technical Specialist|B1|B-IC</t>
        </is>
      </c>
    </row>
    <row r="295" ht="110" customHeight="1">
      <c r="A295" s="28" t="inlineStr">
        <is>
          <t>iFile</t>
        </is>
      </c>
      <c r="B295" s="29" t="inlineStr">
        <is>
          <t>Technology</t>
        </is>
      </c>
      <c r="C295" s="29" t="n">
        <v>4</v>
      </c>
      <c r="D295" s="29" t="inlineStr">
        <is>
          <t>IRIS2299</t>
        </is>
      </c>
      <c r="E295" s="29" t="inlineStr">
        <is>
          <t>Mukesh Babulal Suthar</t>
        </is>
      </c>
      <c r="F295" s="29" t="inlineStr">
        <is>
          <t>Senior Software Engineer</t>
        </is>
      </c>
      <c r="G295" s="29" t="inlineStr">
        <is>
          <t>Senior Software Engineer</t>
        </is>
      </c>
      <c r="H295" s="29" t="inlineStr">
        <is>
          <t>Engineering &amp; Development</t>
        </is>
      </c>
      <c r="I295" s="29" t="inlineStr">
        <is>
          <t>Backend Development</t>
        </is>
      </c>
      <c r="J295" s="29" t="inlineStr">
        <is>
          <t>IC</t>
        </is>
      </c>
      <c r="K295" s="29" t="inlineStr">
        <is>
          <t>RC-067</t>
        </is>
      </c>
      <c r="L295" s="29" t="inlineStr">
        <is>
          <t>Hemant Trivedi</t>
        </is>
      </c>
      <c r="M295" s="29" t="inlineStr">
        <is>
          <t>IRIS0217</t>
        </is>
      </c>
      <c r="N295" s="29" t="n">
        <v>11.1</v>
      </c>
      <c r="O295" s="29" t="n">
        <v>2.1</v>
      </c>
      <c r="P295" s="29" t="inlineStr">
        <is>
          <t>B.E</t>
        </is>
      </c>
      <c r="Q295" s="29" t="inlineStr">
        <is>
          <t>L4 – Senior</t>
        </is>
      </c>
      <c r="R295" s="29" t="inlineStr">
        <is>
          <t>A3</t>
        </is>
      </c>
      <c r="S295" s="30" t="inlineStr">
        <is>
          <t>20 of 20</t>
        </is>
      </c>
      <c r="T295" s="31" t="inlineStr">
        <is>
          <t>Complexity: Evidence reads like A2: Feature development, fixes and code deployment; no harder cases described → moved down 0.5
Autonomy: Evidence reads like A2: Decides fixes and development on own tasks → moved down 0.5
Accountability: Evidence reads like A2: own survey / KRA answers · summarised by the rater; not quoted → moved down 0.5
Leadership: …</t>
        </is>
      </c>
      <c r="U295" s="31" t="inlineStr">
        <is>
          <t>Received · manager annual, quarterly, self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295" s="31" t="inlineStr">
        <is>
          <t>Latest rating: 4 · Potential: High · 9-box: Trusted Professional · Readiness: Ready now</t>
        </is>
      </c>
      <c r="W295" s="31" t="inlineStr">
        <is>
          <t>C M · Au M · Ac M · L L · BI M · Exp H · 11.1 yrs vs 2–4 yrs · Edu M · B.E</t>
        </is>
      </c>
      <c r="X295" s="33" t="inlineStr">
        <is>
          <t>Open ▸</t>
        </is>
      </c>
      <c r="Y295" s="34" t="str">
        <f>IFERROR(INDEX(DL_C,MATCH($CA295,DL_KEY,0)),"M")</f>
        <v>H</v>
      </c>
      <c r="Z295" s="35" t="str">
        <f>IFERROR(INDEX(DL_Au,MATCH($CA295,DL_KEY,0)),"M")</f>
        <v>M</v>
      </c>
      <c r="AA295" s="35" t="str">
        <f>IFERROR(INDEX(DL_Ac,MATCH($CA295,DL_KEY,0)),"M")</f>
        <v>L</v>
      </c>
      <c r="AB295" s="35" t="str">
        <f>IFERROR(INDEX(DL_L,MATCH($CA295,DL_KEY,0)),"M")</f>
        <v>L</v>
      </c>
      <c r="AC295" s="35" t="str">
        <f>IFERROR(INDEX(DL_BI,MATCH($CA295,DL_KEY,0)),"M")</f>
        <v>L</v>
      </c>
      <c r="AD295" s="35" t="str">
        <f>IFERROR(INDEX(DL_Exp,MATCH($CA295,DL_KEY,0)),"M")</f>
        <v>L</v>
      </c>
      <c r="AE295" s="35" t="str">
        <f>IFERROR(INDEX(DL_Edu,MATCH($CA295,DL_KEY,0)),"M")</f>
        <v>L</v>
      </c>
      <c r="AF295" s="34" t="inlineStr">
        <is>
          <t>M</t>
        </is>
      </c>
      <c r="AG295" s="35" t="inlineStr">
        <is>
          <t>M</t>
        </is>
      </c>
      <c r="AH295" s="35" t="inlineStr">
        <is>
          <t>M</t>
        </is>
      </c>
      <c r="AI295" s="35" t="inlineStr">
        <is>
          <t>M</t>
        </is>
      </c>
      <c r="AJ295" s="35" t="inlineStr">
        <is>
          <t>M</t>
        </is>
      </c>
      <c r="AK295" s="35" t="inlineStr">
        <is>
          <t>M</t>
        </is>
      </c>
      <c r="AL295" s="35" t="inlineStr">
        <is>
          <t>M</t>
        </is>
      </c>
      <c r="AM295" s="36" t="n">
        <v>0.583</v>
      </c>
      <c r="AN295" s="37" t="n">
        <v>0.16</v>
      </c>
      <c r="AO295" s="37" t="n">
        <v>0.09</v>
      </c>
      <c r="AP295" s="37" t="n">
        <v>0</v>
      </c>
      <c r="AQ295" s="37" t="n">
        <v>0.063</v>
      </c>
      <c r="AR295" s="37" t="n">
        <v>0.06</v>
      </c>
      <c r="AS295" s="37" t="n">
        <v>0.04</v>
      </c>
      <c r="AT295" s="38" t="inlineStr">
        <is>
          <t>2–5</t>
        </is>
      </c>
      <c r="AU295" s="38" t="inlineStr">
        <is>
          <t>Graduate; relevant certification preferred</t>
        </is>
      </c>
      <c r="AV295" s="38" t="inlineStr">
        <is>
          <t>None · guides 1–3 juniors informally</t>
        </is>
      </c>
      <c r="AW295" s="38" t="inlineStr">
        <is>
          <t>P2 · SFIA 3 Apply</t>
        </is>
      </c>
      <c r="AX29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95" s="39" t="inlineStr">
        <is>
          <t>A3</t>
        </is>
      </c>
      <c r="AZ295" s="40" t="inlineStr">
        <is>
          <t>Band A · Practitioner · Senior Associate</t>
        </is>
      </c>
      <c r="BA295" s="40" t="inlineStr">
        <is>
          <t>Model A3 from the six ratings, the market-derived weights and rules R1–R13 · then No change · already below the manager</t>
        </is>
      </c>
      <c r="BB295" s="41" t="inlineStr">
        <is>
          <t>A3</t>
        </is>
      </c>
      <c r="BC295" s="40" t="inlineStr">
        <is>
          <t>The six ratings on the market-average weights of Band A · all tracks score 2.93 → A3 · Hay, Mercer IPE and public plans · experience 11.1 yrs vs the A3 market range 2–5</t>
        </is>
      </c>
      <c r="BD295" s="42">
        <f>IF(SUM(BM295,BN295,BO295,BP295,BQ295,BR295,BS295)=0,0,(BM295*BT295+BN295*BU295+BO295*BV295+BP295*BW295+BQ295*BX295+BR295*BY295+BS295*BZ295)/SUM(BM295,BN295,BO295,BP295,BQ295,BR295,BS295))</f>
        <v>0</v>
      </c>
      <c r="BE295" s="41" t="str">
        <f>IF(LEFT(AY295,1)="X",AY295,IF(OR(AY295="B+",AY295="C+"),INDEX(LAD_PC,MAX(1,MIN(14,MATCH(AY295,LAD_PC,0)+IF(BD295&gt;=0.5,1,IF(BD295&lt;=-0.5,-1,0))))),INDEX(LAD_STD,MAX(1,MIN(12,MATCH(AY295,LAD_STD,0)+IF(BD295&gt;=0.5,1,IF(BD295&lt;=-0.5,-1,0)))))))</f>
        <v>A3</v>
      </c>
      <c r="BF295" s="43" t="n"/>
      <c r="BG295" s="41" t="str">
        <f>IF(BF295&lt;&gt;"",BF295,BE295)</f>
        <v>A3</v>
      </c>
      <c r="BH295" s="40" t="str">
        <f>IFERROR(CHOOSE(INDEX(B_RANK,MATCH(BG295,B_LVL,0)),"Band A","Band B","B+ · Player-Coach","Band C","C+ · Player-Coach","Band D","Band E"),"Band X · Consultant")</f>
        <v>Band A</v>
      </c>
      <c r="BI295" s="40" t="str">
        <f>IF(BG295=AY295,"• Same",IF(INDEX(B_VAL,MATCH(BG295,B_LVL,0))&gt;INDEX(B_VAL,MATCH(AY295,B_LVL,0)),"▲ Up","▼ Down"))</f>
        <v>• Same</v>
      </c>
      <c r="BJ295" s="40" t="str">
        <f>IF(OR($M295="",$M295="—",$M295="Not in this file"),"",IFERROR(INDEX($BG$7:$BG$592,MATCH($M295,$D$7:$D$592,0)),""))</f>
        <v>B+</v>
      </c>
      <c r="BK295" s="40" t="str">
        <f>IFERROR(IF(BJ295="","—",IF(OR(LEFT(BG295,1)="X",LEFT(BJ295,1)="X"),"—",IF(AND(LEFT(BG295,1)="E",LEFT(BJ295,1)="E"),"Exception · Band E",IF(AND(INDEX(B_VAL,MATCH(BJ295,B_LVL,0))&gt;=7,INDEX(B_RANK,MATCH(BG295,B_LVL,0))&gt;=INDEX(B_RANK,MATCH(BJ295,B_LVL,0))),"⚠ Same band as a head manager",IF(INDEX(B_VAL,MATCH(BG295,B_LVL,0))&gt;=INDEX(B_VAL,MATCH(BJ295,B_LVL,0)),"⚠ At or above the manager's level","OK"))))),"—")</f>
        <v>OK</v>
      </c>
      <c r="BL295" s="43" t="n"/>
      <c r="BM295" s="44">
        <f>IFERROR(INDEX(LMH_PTS,MATCH(Y295,LMH_KEY,0)),0)</f>
        <v>9</v>
      </c>
      <c r="BN295" s="38">
        <f>IFERROR(INDEX(LMH_PTS,MATCH(Z295,LMH_KEY,0)),0)</f>
        <v>3</v>
      </c>
      <c r="BO295" s="38">
        <f>IFERROR(INDEX(LMH_PTS,MATCH(AA295,LMH_KEY,0)),0)</f>
        <v>1</v>
      </c>
      <c r="BP295" s="38">
        <f>IFERROR(INDEX(LMH_PTS,MATCH(AB295,LMH_KEY,0)),0)</f>
        <v>1</v>
      </c>
      <c r="BQ295" s="38">
        <f>IFERROR(INDEX(LMH_PTS,MATCH(AC295,LMH_KEY,0)),0)</f>
        <v>1</v>
      </c>
      <c r="BR295" s="38">
        <f>IFERROR(INDEX(LMH_PTS,MATCH(AD295,LMH_KEY,0)),0)</f>
        <v>1</v>
      </c>
      <c r="BS295" s="38">
        <f>IFERROR(INDEX(LMH_PTS,MATCH(AE295,LMH_KEY,0)),0)</f>
        <v>1</v>
      </c>
      <c r="BT295" s="38">
        <f>IFERROR(INDEX(LMH_STEP,MATCH(AF295,LMH_KEY,0)),0)</f>
        <v>0</v>
      </c>
      <c r="BU295" s="38">
        <f>IFERROR(INDEX(LMH_STEP,MATCH(AG295,LMH_KEY,0)),0)</f>
        <v>0</v>
      </c>
      <c r="BV295" s="38">
        <f>IFERROR(INDEX(LMH_STEP,MATCH(AH295,LMH_KEY,0)),0)</f>
        <v>0</v>
      </c>
      <c r="BW295" s="38">
        <f>IFERROR(INDEX(LMH_STEP,MATCH(AI295,LMH_KEY,0)),0)</f>
        <v>0</v>
      </c>
      <c r="BX295" s="38">
        <f>IFERROR(INDEX(LMH_STEP,MATCH(AJ295,LMH_KEY,0)),0)</f>
        <v>0</v>
      </c>
      <c r="BY295" s="38">
        <f>IFERROR(INDEX(LMH_STEP,MATCH(AK295,LMH_KEY,0)),0)</f>
        <v>0</v>
      </c>
      <c r="BZ295" s="38">
        <f>IFERROR(INDEX(LMH_STEP,MATCH(AL295,LMH_KEY,0)),0)</f>
        <v>0</v>
      </c>
      <c r="CA295" s="38" t="inlineStr">
        <is>
          <t>iFile|Technology|Senior Software Engineer|A3|A</t>
        </is>
      </c>
    </row>
    <row r="296" ht="110" customHeight="1">
      <c r="A296" s="28" t="inlineStr">
        <is>
          <t>iFile</t>
        </is>
      </c>
      <c r="B296" s="29" t="inlineStr">
        <is>
          <t>Technology</t>
        </is>
      </c>
      <c r="C296" s="29" t="n">
        <v>3</v>
      </c>
      <c r="D296" s="29" t="inlineStr">
        <is>
          <t>IRIS1712</t>
        </is>
      </c>
      <c r="E296" s="29" t="inlineStr">
        <is>
          <t>Izharuddin Shaikh</t>
        </is>
      </c>
      <c r="F296" s="29" t="inlineStr">
        <is>
          <t>Program Manager</t>
        </is>
      </c>
      <c r="G296" s="29" t="inlineStr">
        <is>
          <t>Practice Lead – Project &amp; Program Delivery · Player-Coach</t>
        </is>
      </c>
      <c r="H296" s="29" t="inlineStr">
        <is>
          <t>Project &amp; Program Management</t>
        </is>
      </c>
      <c r="I296" s="29" t="inlineStr">
        <is>
          <t>Project &amp; Program Delivery</t>
        </is>
      </c>
      <c r="J296" s="29" t="inlineStr">
        <is>
          <t>Player-Coach</t>
        </is>
      </c>
      <c r="K296" s="29" t="inlineStr">
        <is>
          <t>RC-138</t>
        </is>
      </c>
      <c r="L296" s="29" t="inlineStr">
        <is>
          <t>Pradip Dey</t>
        </is>
      </c>
      <c r="M296" s="29" t="inlineStr">
        <is>
          <t>IRISC223</t>
        </is>
      </c>
      <c r="N296" s="29" t="n">
        <v>20.6</v>
      </c>
      <c r="O296" s="29" t="n">
        <v>8.5</v>
      </c>
      <c r="P296" s="29" t="inlineStr">
        <is>
          <t>MBA</t>
        </is>
      </c>
      <c r="Q296" s="29" t="inlineStr">
        <is>
          <t>L5 – Manager</t>
        </is>
      </c>
      <c r="R296" s="29" t="inlineStr">
        <is>
          <t>B+</t>
        </is>
      </c>
      <c r="S296" s="30" t="inlineStr">
        <is>
          <t>20 of 20</t>
        </is>
      </c>
      <c r="T296" s="31" t="inlineStr">
        <is>
          <t>Complexity: Evidence reads like B1: Defines product requirements, backlog priorities and solution from business needs; uses software architecture knowledge → moved down 0.5
Autonomy: Evidence reads like B2: Decides product expectations and backlog priorities; accepts delivery → moved down 0.5
Accountability: Evidence reads like B2: Solution meeting business …</t>
        </is>
      </c>
      <c r="U296" s="31" t="inlineStr">
        <is>
          <t>Received · manager annual, quarterly · 1. Product Management
Provide leadership for iFile Platform product components, especially DynaForm. 
Gain deeper level knowedge, finaize roadmap towards ensuring IRIS gains significant competitive advantage through DynaForm · including implementaiton of Drag &amp; Drop feature for quick design and able to realize many …</t>
        </is>
      </c>
      <c r="V296" s="31" t="inlineStr">
        <is>
          <t>Latest rating: 4 · Potential: High · 9-box: High Impact / Growth Talent · Readiness: Ready now</t>
        </is>
      </c>
      <c r="W296" s="31" t="inlineStr">
        <is>
          <t>C L · Au L · Ac M · L M · BI M · Exp H · 20.6 yrs vs 9–14 yrs · Edu M · MBA</t>
        </is>
      </c>
      <c r="X296" s="33" t="inlineStr">
        <is>
          <t>Open ▸</t>
        </is>
      </c>
      <c r="Y296" s="34" t="str">
        <f>IFERROR(INDEX(DL_C,MATCH($CA296,DL_KEY,0)),"M")</f>
        <v>H</v>
      </c>
      <c r="Z296" s="35" t="str">
        <f>IFERROR(INDEX(DL_Au,MATCH($CA296,DL_KEY,0)),"M")</f>
        <v>M</v>
      </c>
      <c r="AA296" s="35" t="str">
        <f>IFERROR(INDEX(DL_Ac,MATCH($CA296,DL_KEY,0)),"M")</f>
        <v>L</v>
      </c>
      <c r="AB296" s="35" t="str">
        <f>IFERROR(INDEX(DL_L,MATCH($CA296,DL_KEY,0)),"M")</f>
        <v>M</v>
      </c>
      <c r="AC296" s="35" t="str">
        <f>IFERROR(INDEX(DL_BI,MATCH($CA296,DL_KEY,0)),"M")</f>
        <v>L</v>
      </c>
      <c r="AD296" s="35" t="str">
        <f>IFERROR(INDEX(DL_Exp,MATCH($CA296,DL_KEY,0)),"M")</f>
        <v>L</v>
      </c>
      <c r="AE296" s="35" t="str">
        <f>IFERROR(INDEX(DL_Edu,MATCH($CA296,DL_KEY,0)),"M")</f>
        <v>L</v>
      </c>
      <c r="AF296" s="34" t="inlineStr">
        <is>
          <t>M</t>
        </is>
      </c>
      <c r="AG296" s="35" t="inlineStr">
        <is>
          <t>M</t>
        </is>
      </c>
      <c r="AH296" s="35" t="inlineStr">
        <is>
          <t>M</t>
        </is>
      </c>
      <c r="AI296" s="35" t="inlineStr">
        <is>
          <t>M</t>
        </is>
      </c>
      <c r="AJ296" s="35" t="inlineStr">
        <is>
          <t>M</t>
        </is>
      </c>
      <c r="AK296" s="35" t="inlineStr">
        <is>
          <t>M</t>
        </is>
      </c>
      <c r="AL296" s="35" t="inlineStr">
        <is>
          <t>M</t>
        </is>
      </c>
      <c r="AM296" s="36" t="n">
        <v>0.44</v>
      </c>
      <c r="AN296" s="37" t="n">
        <v>0.177</v>
      </c>
      <c r="AO296" s="37" t="n">
        <v>0.103</v>
      </c>
      <c r="AP296" s="37" t="n">
        <v>0.1</v>
      </c>
      <c r="AQ296" s="37" t="n">
        <v>0.077</v>
      </c>
      <c r="AR296" s="37" t="n">
        <v>0.06</v>
      </c>
      <c r="AS296" s="37" t="n">
        <v>0.04</v>
      </c>
      <c r="AT296" s="38" t="inlineStr">
        <is>
          <t>9–14</t>
        </is>
      </c>
      <c r="AU296" s="38" t="inlineStr">
        <is>
          <t>Postgraduate or professional qualification preferred</t>
        </is>
      </c>
      <c r="AV296" s="38" t="inlineStr">
        <is>
          <t>3–6 direct reports with ≥ 40% of time on own delivery · McKinsey player/coach 3–5; Google Tech Lead Manager</t>
        </is>
      </c>
      <c r="AW296" s="38" t="inlineStr">
        <is>
          <t>P5–P6 / M4–M5 · SFIA 5 Ensure, advise</t>
        </is>
      </c>
      <c r="AX29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96" s="39" t="inlineStr">
        <is>
          <t>B+</t>
        </is>
      </c>
      <c r="AZ296" s="40" t="inlineStr">
        <is>
          <t>B+ · Player-Coach · Practice Lead · Player-Coach</t>
        </is>
      </c>
      <c r="BA296" s="40" t="inlineStr">
        <is>
          <t>Model B+ from the six ratings, the market-derived weights and rules R1–R13 · then No change · already below the manager</t>
        </is>
      </c>
      <c r="BB296" s="41" t="inlineStr">
        <is>
          <t>B3</t>
        </is>
      </c>
      <c r="BC296" s="40" t="inlineStr">
        <is>
          <t>The six ratings on the market-average weights of B+ · Player-Coach score 6.27 → B3 · Hay, Mercer IPE and public plans · experience 20.6 yrs vs the B3 market range 8–13</t>
        </is>
      </c>
      <c r="BD296" s="42">
        <f>IF(SUM(BM296,BN296,BO296,BP296,BQ296,BR296,BS296)=0,0,(BM296*BT296+BN296*BU296+BO296*BV296+BP296*BW296+BQ296*BX296+BR296*BY296+BS296*BZ296)/SUM(BM296,BN296,BO296,BP296,BQ296,BR296,BS296))</f>
        <v>0</v>
      </c>
      <c r="BE296" s="41" t="str">
        <f>IF(LEFT(AY296,1)="X",AY296,IF(OR(AY296="B+",AY296="C+"),INDEX(LAD_PC,MAX(1,MIN(14,MATCH(AY296,LAD_PC,0)+IF(BD296&gt;=0.5,1,IF(BD296&lt;=-0.5,-1,0))))),INDEX(LAD_STD,MAX(1,MIN(12,MATCH(AY296,LAD_STD,0)+IF(BD296&gt;=0.5,1,IF(BD296&lt;=-0.5,-1,0)))))))</f>
        <v>B+</v>
      </c>
      <c r="BF296" s="43" t="n"/>
      <c r="BG296" s="41" t="str">
        <f>IF(BF296&lt;&gt;"",BF296,BE296)</f>
        <v>B+</v>
      </c>
      <c r="BH296" s="40" t="str">
        <f>IFERROR(CHOOSE(INDEX(B_RANK,MATCH(BG296,B_LVL,0)),"Band A","Band B","B+ · Player-Coach","Band C","C+ · Player-Coach","Band D","Band E"),"Band X · Consultant")</f>
        <v>B+ · Player-Coach</v>
      </c>
      <c r="BI296" s="40" t="str">
        <f>IF(BG296=AY296,"• Same",IF(INDEX(B_VAL,MATCH(BG296,B_LVL,0))&gt;INDEX(B_VAL,MATCH(AY296,B_LVL,0)),"▲ Up","▼ Down"))</f>
        <v>• Same</v>
      </c>
      <c r="BJ296" s="40" t="str">
        <f>IF(OR($M296="",$M296="—",$M296="Not in this file"),"",IFERROR(INDEX($BG$7:$BG$592,MATCH($M296,$D$7:$D$592,0)),""))</f>
        <v>C2</v>
      </c>
      <c r="BK296" s="40" t="str">
        <f>IFERROR(IF(BJ296="","—",IF(OR(LEFT(BG296,1)="X",LEFT(BJ296,1)="X"),"—",IF(AND(LEFT(BG296,1)="E",LEFT(BJ296,1)="E"),"Exception · Band E",IF(AND(INDEX(B_VAL,MATCH(BJ296,B_LVL,0))&gt;=7,INDEX(B_RANK,MATCH(BG296,B_LVL,0))&gt;=INDEX(B_RANK,MATCH(BJ296,B_LVL,0))),"⚠ Same band as a head manager",IF(INDEX(B_VAL,MATCH(BG296,B_LVL,0))&gt;=INDEX(B_VAL,MATCH(BJ296,B_LVL,0)),"⚠ At or above the manager's level","OK"))))),"—")</f>
        <v>OK</v>
      </c>
      <c r="BL296" s="43" t="n"/>
      <c r="BM296" s="44">
        <f>IFERROR(INDEX(LMH_PTS,MATCH(Y296,LMH_KEY,0)),0)</f>
        <v>9</v>
      </c>
      <c r="BN296" s="38">
        <f>IFERROR(INDEX(LMH_PTS,MATCH(Z296,LMH_KEY,0)),0)</f>
        <v>3</v>
      </c>
      <c r="BO296" s="38">
        <f>IFERROR(INDEX(LMH_PTS,MATCH(AA296,LMH_KEY,0)),0)</f>
        <v>1</v>
      </c>
      <c r="BP296" s="38">
        <f>IFERROR(INDEX(LMH_PTS,MATCH(AB296,LMH_KEY,0)),0)</f>
        <v>3</v>
      </c>
      <c r="BQ296" s="38">
        <f>IFERROR(INDEX(LMH_PTS,MATCH(AC296,LMH_KEY,0)),0)</f>
        <v>1</v>
      </c>
      <c r="BR296" s="38">
        <f>IFERROR(INDEX(LMH_PTS,MATCH(AD296,LMH_KEY,0)),0)</f>
        <v>1</v>
      </c>
      <c r="BS296" s="38">
        <f>IFERROR(INDEX(LMH_PTS,MATCH(AE296,LMH_KEY,0)),0)</f>
        <v>1</v>
      </c>
      <c r="BT296" s="38">
        <f>IFERROR(INDEX(LMH_STEP,MATCH(AF296,LMH_KEY,0)),0)</f>
        <v>0</v>
      </c>
      <c r="BU296" s="38">
        <f>IFERROR(INDEX(LMH_STEP,MATCH(AG296,LMH_KEY,0)),0)</f>
        <v>0</v>
      </c>
      <c r="BV296" s="38">
        <f>IFERROR(INDEX(LMH_STEP,MATCH(AH296,LMH_KEY,0)),0)</f>
        <v>0</v>
      </c>
      <c r="BW296" s="38">
        <f>IFERROR(INDEX(LMH_STEP,MATCH(AI296,LMH_KEY,0)),0)</f>
        <v>0</v>
      </c>
      <c r="BX296" s="38">
        <f>IFERROR(INDEX(LMH_STEP,MATCH(AJ296,LMH_KEY,0)),0)</f>
        <v>0</v>
      </c>
      <c r="BY296" s="38">
        <f>IFERROR(INDEX(LMH_STEP,MATCH(AK296,LMH_KEY,0)),0)</f>
        <v>0</v>
      </c>
      <c r="BZ296" s="38">
        <f>IFERROR(INDEX(LMH_STEP,MATCH(AL296,LMH_KEY,0)),0)</f>
        <v>0</v>
      </c>
      <c r="CA296" s="38" t="inlineStr">
        <is>
          <t>iFile|Technology|Practice Lead – Project &amp; Program Delivery · Player-Coach|B+|B+</t>
        </is>
      </c>
    </row>
    <row r="297" ht="110" customHeight="1">
      <c r="A297" s="28" t="inlineStr">
        <is>
          <t>iFile</t>
        </is>
      </c>
      <c r="B297" s="29" t="inlineStr">
        <is>
          <t>Technology</t>
        </is>
      </c>
      <c r="C297" s="29" t="n">
        <v>4</v>
      </c>
      <c r="D297" s="29" t="inlineStr">
        <is>
          <t>IRIS2118</t>
        </is>
      </c>
      <c r="E297" s="29" t="inlineStr">
        <is>
          <t>Kimaya Mundlye</t>
        </is>
      </c>
      <c r="F297" s="29" t="inlineStr">
        <is>
          <t>Project Lead</t>
        </is>
      </c>
      <c r="G297" s="29" t="inlineStr">
        <is>
          <t>Delivery Manager</t>
        </is>
      </c>
      <c r="H297" s="29" t="inlineStr">
        <is>
          <t>Project &amp; Program Management</t>
        </is>
      </c>
      <c r="I297" s="29" t="inlineStr">
        <is>
          <t>Project &amp; Program Delivery</t>
        </is>
      </c>
      <c r="J297" s="29" t="inlineStr">
        <is>
          <t>People Manager</t>
        </is>
      </c>
      <c r="K297" s="29" t="inlineStr">
        <is>
          <t>RC-136</t>
        </is>
      </c>
      <c r="L297" s="29" t="inlineStr">
        <is>
          <t>Izharuddin Shaikh</t>
        </is>
      </c>
      <c r="M297" s="29" t="inlineStr">
        <is>
          <t>IRIS1712</t>
        </is>
      </c>
      <c r="N297" s="29" t="n">
        <v>18.2</v>
      </c>
      <c r="O297" s="29" t="n">
        <v>3.4</v>
      </c>
      <c r="P297" s="29" t="inlineStr">
        <is>
          <t>BA</t>
        </is>
      </c>
      <c r="Q297" s="29" t="inlineStr">
        <is>
          <t>L5 – Lead · IC</t>
        </is>
      </c>
      <c r="R297" s="29" t="inlineStr">
        <is>
          <t>B2</t>
        </is>
      </c>
      <c r="S297" s="30" t="inlineStr">
        <is>
          <t>19 of 20</t>
        </is>
      </c>
      <c r="T297" s="31" t="inlineStr">
        <is>
          <t>Complexity: Evidence reads like B1: End-to-end project management of SDMX product for high-risk client; requirement and product analysis → matches the start
Autonomy: Evidence reads like B2: Decides resource allocation for the project → matches the start
Accountability: Evidence reads like B2: Accountable for all project activities, including requirement …</t>
        </is>
      </c>
      <c r="U297" s="31" t="inlineStr">
        <is>
          <t>Received · manager annual, quarterly · 1. Deliver &gt;=90% of project milestones on schedule and within agreed scope
2. Keep project budget / effort variance within +/-10% of plan
3. Maintain risk &amp; issue log with 100% items tracked to closure
4. Achieve client/stakeholder satisfaction · CSAT of &gt;=4 / 5 on delivered projects
5. Publish accurate weekly status …</t>
        </is>
      </c>
      <c r="V297" s="31" t="inlineStr">
        <is>
          <t>Latest rating: 5 · Potential: High · 9-box: Future Leader · Readiness: Ready now</t>
        </is>
      </c>
      <c r="W297" s="31" t="inlineStr">
        <is>
          <t>C L · Au M · Ac M · L M · BI M · Exp H · 18.2 yrs vs 6–9 yrs · Edu M · BA</t>
        </is>
      </c>
      <c r="X297" s="33" t="inlineStr">
        <is>
          <t>Open ▸</t>
        </is>
      </c>
      <c r="Y297" s="34" t="str">
        <f>IFERROR(INDEX(DL_C,MATCH($CA297,DL_KEY,0)),"M")</f>
        <v>H</v>
      </c>
      <c r="Z297" s="35" t="str">
        <f>IFERROR(INDEX(DL_Au,MATCH($CA297,DL_KEY,0)),"M")</f>
        <v>M</v>
      </c>
      <c r="AA297" s="35" t="str">
        <f>IFERROR(INDEX(DL_Ac,MATCH($CA297,DL_KEY,0)),"M")</f>
        <v>L</v>
      </c>
      <c r="AB297" s="35" t="str">
        <f>IFERROR(INDEX(DL_L,MATCH($CA297,DL_KEY,0)),"M")</f>
        <v>M</v>
      </c>
      <c r="AC297" s="35" t="str">
        <f>IFERROR(INDEX(DL_BI,MATCH($CA297,DL_KEY,0)),"M")</f>
        <v>L</v>
      </c>
      <c r="AD297" s="35" t="str">
        <f>IFERROR(INDEX(DL_Exp,MATCH($CA297,DL_KEY,0)),"M")</f>
        <v>L</v>
      </c>
      <c r="AE297" s="35" t="str">
        <f>IFERROR(INDEX(DL_Edu,MATCH($CA297,DL_KEY,0)),"M")</f>
        <v>L</v>
      </c>
      <c r="AF297" s="34" t="inlineStr">
        <is>
          <t>M</t>
        </is>
      </c>
      <c r="AG297" s="35" t="inlineStr">
        <is>
          <t>M</t>
        </is>
      </c>
      <c r="AH297" s="35" t="inlineStr">
        <is>
          <t>M</t>
        </is>
      </c>
      <c r="AI297" s="35" t="inlineStr">
        <is>
          <t>M</t>
        </is>
      </c>
      <c r="AJ297" s="35" t="inlineStr">
        <is>
          <t>M</t>
        </is>
      </c>
      <c r="AK297" s="35" t="inlineStr">
        <is>
          <t>M</t>
        </is>
      </c>
      <c r="AL297" s="35" t="inlineStr">
        <is>
          <t>M</t>
        </is>
      </c>
      <c r="AM297" s="36" t="n">
        <v>0.37</v>
      </c>
      <c r="AN297" s="37" t="n">
        <v>0.183</v>
      </c>
      <c r="AO297" s="37" t="n">
        <v>0.113</v>
      </c>
      <c r="AP297" s="37" t="n">
        <v>0.15</v>
      </c>
      <c r="AQ297" s="37" t="n">
        <v>0.08699999999999999</v>
      </c>
      <c r="AR297" s="37" t="n">
        <v>0.06</v>
      </c>
      <c r="AS297" s="37" t="n">
        <v>0.04</v>
      </c>
      <c r="AT297" s="38" t="inlineStr">
        <is>
          <t>6–10</t>
        </is>
      </c>
      <c r="AU297" s="38" t="inlineStr">
        <is>
          <t>Graduate or postgraduate; professional qualification preferred</t>
        </is>
      </c>
      <c r="AV297" s="38" t="inlineStr">
        <is>
          <t>IC: none · People: 6–8 knowledge work, 8–12 standardised delivery</t>
        </is>
      </c>
      <c r="AW297" s="38" t="inlineStr">
        <is>
          <t>P4 / M3 · SFIA 4–5</t>
        </is>
      </c>
      <c r="AX29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97" s="39" t="inlineStr">
        <is>
          <t>B2</t>
        </is>
      </c>
      <c r="AZ297" s="40" t="inlineStr">
        <is>
          <t>Band B · Specialist / Manager · Manager</t>
        </is>
      </c>
      <c r="BA297" s="40" t="inlineStr">
        <is>
          <t>Model B2 from the six ratings, the market-derived weights and rules R1–R13 · then No change · already below the manager</t>
        </is>
      </c>
      <c r="BB297" s="41" t="inlineStr">
        <is>
          <t>B2</t>
        </is>
      </c>
      <c r="BC297" s="40" t="inlineStr">
        <is>
          <t>The six ratings on the market-average weights of Band B · People Manager score 5.20 → B2 · Hay, Mercer IPE and public plans · experience 18.2 yrs vs the B2 market range 6–10</t>
        </is>
      </c>
      <c r="BD297" s="42">
        <f>IF(SUM(BM297,BN297,BO297,BP297,BQ297,BR297,BS297)=0,0,(BM297*BT297+BN297*BU297+BO297*BV297+BP297*BW297+BQ297*BX297+BR297*BY297+BS297*BZ297)/SUM(BM297,BN297,BO297,BP297,BQ297,BR297,BS297))</f>
        <v>0</v>
      </c>
      <c r="BE297" s="41" t="str">
        <f>IF(LEFT(AY297,1)="X",AY297,IF(OR(AY297="B+",AY297="C+"),INDEX(LAD_PC,MAX(1,MIN(14,MATCH(AY297,LAD_PC,0)+IF(BD297&gt;=0.5,1,IF(BD297&lt;=-0.5,-1,0))))),INDEX(LAD_STD,MAX(1,MIN(12,MATCH(AY297,LAD_STD,0)+IF(BD297&gt;=0.5,1,IF(BD297&lt;=-0.5,-1,0)))))))</f>
        <v>B2</v>
      </c>
      <c r="BF297" s="43" t="n"/>
      <c r="BG297" s="41" t="str">
        <f>IF(BF297&lt;&gt;"",BF297,BE297)</f>
        <v>B2</v>
      </c>
      <c r="BH297" s="40" t="str">
        <f>IFERROR(CHOOSE(INDEX(B_RANK,MATCH(BG297,B_LVL,0)),"Band A","Band B","B+ · Player-Coach","Band C","C+ · Player-Coach","Band D","Band E"),"Band X · Consultant")</f>
        <v>Band B</v>
      </c>
      <c r="BI297" s="40" t="str">
        <f>IF(BG297=AY297,"• Same",IF(INDEX(B_VAL,MATCH(BG297,B_LVL,0))&gt;INDEX(B_VAL,MATCH(AY297,B_LVL,0)),"▲ Up","▼ Down"))</f>
        <v>• Same</v>
      </c>
      <c r="BJ297" s="40" t="str">
        <f>IF(OR($M297="",$M297="—",$M297="Not in this file"),"",IFERROR(INDEX($BG$7:$BG$592,MATCH($M297,$D$7:$D$592,0)),""))</f>
        <v>B+</v>
      </c>
      <c r="BK297" s="40" t="str">
        <f>IFERROR(IF(BJ297="","—",IF(OR(LEFT(BG297,1)="X",LEFT(BJ297,1)="X"),"—",IF(AND(LEFT(BG297,1)="E",LEFT(BJ297,1)="E"),"Exception · Band E",IF(AND(INDEX(B_VAL,MATCH(BJ297,B_LVL,0))&gt;=7,INDEX(B_RANK,MATCH(BG297,B_LVL,0))&gt;=INDEX(B_RANK,MATCH(BJ297,B_LVL,0))),"⚠ Same band as a head manager",IF(INDEX(B_VAL,MATCH(BG297,B_LVL,0))&gt;=INDEX(B_VAL,MATCH(BJ297,B_LVL,0)),"⚠ At or above the manager's level","OK"))))),"—")</f>
        <v>OK</v>
      </c>
      <c r="BL297" s="43" t="n"/>
      <c r="BM297" s="44">
        <f>IFERROR(INDEX(LMH_PTS,MATCH(Y297,LMH_KEY,0)),0)</f>
        <v>9</v>
      </c>
      <c r="BN297" s="38">
        <f>IFERROR(INDEX(LMH_PTS,MATCH(Z297,LMH_KEY,0)),0)</f>
        <v>3</v>
      </c>
      <c r="BO297" s="38">
        <f>IFERROR(INDEX(LMH_PTS,MATCH(AA297,LMH_KEY,0)),0)</f>
        <v>1</v>
      </c>
      <c r="BP297" s="38">
        <f>IFERROR(INDEX(LMH_PTS,MATCH(AB297,LMH_KEY,0)),0)</f>
        <v>3</v>
      </c>
      <c r="BQ297" s="38">
        <f>IFERROR(INDEX(LMH_PTS,MATCH(AC297,LMH_KEY,0)),0)</f>
        <v>1</v>
      </c>
      <c r="BR297" s="38">
        <f>IFERROR(INDEX(LMH_PTS,MATCH(AD297,LMH_KEY,0)),0)</f>
        <v>1</v>
      </c>
      <c r="BS297" s="38">
        <f>IFERROR(INDEX(LMH_PTS,MATCH(AE297,LMH_KEY,0)),0)</f>
        <v>1</v>
      </c>
      <c r="BT297" s="38">
        <f>IFERROR(INDEX(LMH_STEP,MATCH(AF297,LMH_KEY,0)),0)</f>
        <v>0</v>
      </c>
      <c r="BU297" s="38">
        <f>IFERROR(INDEX(LMH_STEP,MATCH(AG297,LMH_KEY,0)),0)</f>
        <v>0</v>
      </c>
      <c r="BV297" s="38">
        <f>IFERROR(INDEX(LMH_STEP,MATCH(AH297,LMH_KEY,0)),0)</f>
        <v>0</v>
      </c>
      <c r="BW297" s="38">
        <f>IFERROR(INDEX(LMH_STEP,MATCH(AI297,LMH_KEY,0)),0)</f>
        <v>0</v>
      </c>
      <c r="BX297" s="38">
        <f>IFERROR(INDEX(LMH_STEP,MATCH(AJ297,LMH_KEY,0)),0)</f>
        <v>0</v>
      </c>
      <c r="BY297" s="38">
        <f>IFERROR(INDEX(LMH_STEP,MATCH(AK297,LMH_KEY,0)),0)</f>
        <v>0</v>
      </c>
      <c r="BZ297" s="38">
        <f>IFERROR(INDEX(LMH_STEP,MATCH(AL297,LMH_KEY,0)),0)</f>
        <v>0</v>
      </c>
      <c r="CA297" s="38" t="inlineStr">
        <is>
          <t>iFile|Technology|Delivery Manager|B2|B-M</t>
        </is>
      </c>
    </row>
    <row r="298" ht="110" customHeight="1">
      <c r="A298" s="28" t="inlineStr">
        <is>
          <t>iFile</t>
        </is>
      </c>
      <c r="B298" s="29" t="inlineStr">
        <is>
          <t>Technology</t>
        </is>
      </c>
      <c r="C298" s="29" t="n">
        <v>5</v>
      </c>
      <c r="D298" s="29" t="inlineStr">
        <is>
          <t>IRIS1817</t>
        </is>
      </c>
      <c r="E298" s="29" t="inlineStr">
        <is>
          <t>Arpit Pagaria</t>
        </is>
      </c>
      <c r="F298" s="29" t="inlineStr">
        <is>
          <t>Tech Lead</t>
        </is>
      </c>
      <c r="G298" s="29" t="inlineStr">
        <is>
          <t>Senior Technical Specialist – POD Lead</t>
        </is>
      </c>
      <c r="H298" s="29" t="inlineStr">
        <is>
          <t>Engineering &amp; Development</t>
        </is>
      </c>
      <c r="I298" s="29" t="inlineStr">
        <is>
          <t>Backend Development</t>
        </is>
      </c>
      <c r="J298" s="29" t="inlineStr">
        <is>
          <t>POD Lead</t>
        </is>
      </c>
      <c r="K298" s="29" t="inlineStr">
        <is>
          <t>RC-069</t>
        </is>
      </c>
      <c r="L298" s="29" t="inlineStr">
        <is>
          <t>Kimaya Mundlye</t>
        </is>
      </c>
      <c r="M298" s="29" t="inlineStr">
        <is>
          <t>IRIS2118</t>
        </is>
      </c>
      <c r="N298" s="29" t="n">
        <v>15.2</v>
      </c>
      <c r="O298" s="29" t="n">
        <v>6.9</v>
      </c>
      <c r="P298" s="29" t="inlineStr">
        <is>
          <t>B.Tech</t>
        </is>
      </c>
      <c r="Q298" s="29" t="inlineStr">
        <is>
          <t>L5 – Lead · IC</t>
        </is>
      </c>
      <c r="R298" s="29" t="inlineStr">
        <is>
          <t>B2</t>
        </is>
      </c>
      <c r="S298" s="30" t="inlineStr">
        <is>
          <t>20 of 20</t>
        </is>
      </c>
      <c r="T298" s="31" t="inlineStr">
        <is>
          <t>Complexity: Evidence reads like B1: Solution design, system architecture and code review listed generically; no specific system or problem named → moved down 0.5
Autonomy: Evidence reads like B1: Prioritises tasks, reviews code and resolves issues for the team → moved down 0.5
Accountability: Evidence reads like B1: Accountable for on-time software delivery …</t>
        </is>
      </c>
      <c r="U298" s="31" t="inlineStr">
        <is>
          <t>Received · manager annual, quarterly · 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t>
        </is>
      </c>
      <c r="V298" s="31" t="inlineStr">
        <is>
          <t>Latest rating: 5 · Potential: High · 9-box: Future Leader · Readiness: Ready now</t>
        </is>
      </c>
      <c r="W298" s="31" t="inlineStr">
        <is>
          <t>C M · Au M · Ac M · L M · BI M · Exp H · 15.2 yrs vs 4–7 yrs · Edu M · B.Tech</t>
        </is>
      </c>
      <c r="X298" s="33" t="inlineStr">
        <is>
          <t>Open ▸</t>
        </is>
      </c>
      <c r="Y298" s="34" t="str">
        <f>IFERROR(INDEX(DL_C,MATCH($CA298,DL_KEY,0)),"M")</f>
        <v>H</v>
      </c>
      <c r="Z298" s="35" t="str">
        <f>IFERROR(INDEX(DL_Au,MATCH($CA298,DL_KEY,0)),"M")</f>
        <v>M</v>
      </c>
      <c r="AA298" s="35" t="str">
        <f>IFERROR(INDEX(DL_Ac,MATCH($CA298,DL_KEY,0)),"M")</f>
        <v>L</v>
      </c>
      <c r="AB298" s="35" t="str">
        <f>IFERROR(INDEX(DL_L,MATCH($CA298,DL_KEY,0)),"M")</f>
        <v>L</v>
      </c>
      <c r="AC298" s="35" t="str">
        <f>IFERROR(INDEX(DL_BI,MATCH($CA298,DL_KEY,0)),"M")</f>
        <v>L</v>
      </c>
      <c r="AD298" s="35" t="str">
        <f>IFERROR(INDEX(DL_Exp,MATCH($CA298,DL_KEY,0)),"M")</f>
        <v>L</v>
      </c>
      <c r="AE298" s="35" t="str">
        <f>IFERROR(INDEX(DL_Edu,MATCH($CA298,DL_KEY,0)),"M")</f>
        <v>L</v>
      </c>
      <c r="AF298" s="34" t="inlineStr">
        <is>
          <t>M</t>
        </is>
      </c>
      <c r="AG298" s="35" t="inlineStr">
        <is>
          <t>M</t>
        </is>
      </c>
      <c r="AH298" s="35" t="inlineStr">
        <is>
          <t>M</t>
        </is>
      </c>
      <c r="AI298" s="35" t="inlineStr">
        <is>
          <t>M</t>
        </is>
      </c>
      <c r="AJ298" s="35" t="inlineStr">
        <is>
          <t>M</t>
        </is>
      </c>
      <c r="AK298" s="35" t="inlineStr">
        <is>
          <t>M</t>
        </is>
      </c>
      <c r="AL298" s="35" t="inlineStr">
        <is>
          <t>M</t>
        </is>
      </c>
      <c r="AM298" s="36" t="n">
        <v>0.513</v>
      </c>
      <c r="AN298" s="37" t="n">
        <v>0.173</v>
      </c>
      <c r="AO298" s="37" t="n">
        <v>0.09699999999999999</v>
      </c>
      <c r="AP298" s="37" t="n">
        <v>0.05</v>
      </c>
      <c r="AQ298" s="37" t="n">
        <v>0.07000000000000001</v>
      </c>
      <c r="AR298" s="37" t="n">
        <v>0.06</v>
      </c>
      <c r="AS298" s="37" t="n">
        <v>0.04</v>
      </c>
      <c r="AT298" s="38" t="inlineStr">
        <is>
          <t>4–8</t>
        </is>
      </c>
      <c r="AU298" s="38" t="inlineStr">
        <is>
          <t>Graduate + relevant qualification or certification preferred</t>
        </is>
      </c>
      <c r="AV298" s="38" t="inlineStr">
        <is>
          <t>IC: none · Team Lead: 3–5</t>
        </is>
      </c>
      <c r="AW298" s="38" t="inlineStr">
        <is>
          <t>P3 / M2 · SFIA 4 Enable</t>
        </is>
      </c>
      <c r="AX29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98" s="39" t="inlineStr">
        <is>
          <t>B1</t>
        </is>
      </c>
      <c r="AZ298" s="40" t="inlineStr">
        <is>
          <t>Band B · Specialist / Manager · Team Lead / Asst Manager</t>
        </is>
      </c>
      <c r="BA298" s="40" t="inlineStr">
        <is>
          <t>Model B2 from the six ratings, the market-derived weights and rules R1–R13 · then Level rule: manager B2; a reportee sits at least one level below · B2 → B1 · move down · pay and title protected for one cycle</t>
        </is>
      </c>
      <c r="BB298" s="41" t="inlineStr">
        <is>
          <t>B2</t>
        </is>
      </c>
      <c r="BC298" s="40" t="inlineStr">
        <is>
          <t>The six ratings on the market-average weights of Band B · Specialist / POD Lead score 4.74 → B2 · Hay, Mercer IPE and public plans · experience 15.2 yrs vs the B2 market range 6–10</t>
        </is>
      </c>
      <c r="BD298" s="42">
        <f>IF(SUM(BM298,BN298,BO298,BP298,BQ298,BR298,BS298)=0,0,(BM298*BT298+BN298*BU298+BO298*BV298+BP298*BW298+BQ298*BX298+BR298*BY298+BS298*BZ298)/SUM(BM298,BN298,BO298,BP298,BQ298,BR298,BS298))</f>
        <v>0</v>
      </c>
      <c r="BE298" s="41" t="str">
        <f>IF(LEFT(AY298,1)="X",AY298,IF(OR(AY298="B+",AY298="C+"),INDEX(LAD_PC,MAX(1,MIN(14,MATCH(AY298,LAD_PC,0)+IF(BD298&gt;=0.5,1,IF(BD298&lt;=-0.5,-1,0))))),INDEX(LAD_STD,MAX(1,MIN(12,MATCH(AY298,LAD_STD,0)+IF(BD298&gt;=0.5,1,IF(BD298&lt;=-0.5,-1,0)))))))</f>
        <v>B1</v>
      </c>
      <c r="BF298" s="43" t="n"/>
      <c r="BG298" s="41" t="str">
        <f>IF(BF298&lt;&gt;"",BF298,BE298)</f>
        <v>B1</v>
      </c>
      <c r="BH298" s="40" t="str">
        <f>IFERROR(CHOOSE(INDEX(B_RANK,MATCH(BG298,B_LVL,0)),"Band A","Band B","B+ · Player-Coach","Band C","C+ · Player-Coach","Band D","Band E"),"Band X · Consultant")</f>
        <v>Band B</v>
      </c>
      <c r="BI298" s="40" t="str">
        <f>IF(BG298=AY298,"• Same",IF(INDEX(B_VAL,MATCH(BG298,B_LVL,0))&gt;INDEX(B_VAL,MATCH(AY298,B_LVL,0)),"▲ Up","▼ Down"))</f>
        <v>• Same</v>
      </c>
      <c r="BJ298" s="40" t="str">
        <f>IF(OR($M298="",$M298="—",$M298="Not in this file"),"",IFERROR(INDEX($BG$7:$BG$592,MATCH($M298,$D$7:$D$592,0)),""))</f>
        <v>B2</v>
      </c>
      <c r="BK298" s="40" t="str">
        <f>IFERROR(IF(BJ298="","—",IF(OR(LEFT(BG298,1)="X",LEFT(BJ298,1)="X"),"—",IF(AND(LEFT(BG298,1)="E",LEFT(BJ298,1)="E"),"Exception · Band E",IF(AND(INDEX(B_VAL,MATCH(BJ298,B_LVL,0))&gt;=7,INDEX(B_RANK,MATCH(BG298,B_LVL,0))&gt;=INDEX(B_RANK,MATCH(BJ298,B_LVL,0))),"⚠ Same band as a head manager",IF(INDEX(B_VAL,MATCH(BG298,B_LVL,0))&gt;=INDEX(B_VAL,MATCH(BJ298,B_LVL,0)),"⚠ At or above the manager's level","OK"))))),"—")</f>
        <v>OK</v>
      </c>
      <c r="BL298" s="43" t="n"/>
      <c r="BM298" s="44">
        <f>IFERROR(INDEX(LMH_PTS,MATCH(Y298,LMH_KEY,0)),0)</f>
        <v>9</v>
      </c>
      <c r="BN298" s="38">
        <f>IFERROR(INDEX(LMH_PTS,MATCH(Z298,LMH_KEY,0)),0)</f>
        <v>3</v>
      </c>
      <c r="BO298" s="38">
        <f>IFERROR(INDEX(LMH_PTS,MATCH(AA298,LMH_KEY,0)),0)</f>
        <v>1</v>
      </c>
      <c r="BP298" s="38">
        <f>IFERROR(INDEX(LMH_PTS,MATCH(AB298,LMH_KEY,0)),0)</f>
        <v>1</v>
      </c>
      <c r="BQ298" s="38">
        <f>IFERROR(INDEX(LMH_PTS,MATCH(AC298,LMH_KEY,0)),0)</f>
        <v>1</v>
      </c>
      <c r="BR298" s="38">
        <f>IFERROR(INDEX(LMH_PTS,MATCH(AD298,LMH_KEY,0)),0)</f>
        <v>1</v>
      </c>
      <c r="BS298" s="38">
        <f>IFERROR(INDEX(LMH_PTS,MATCH(AE298,LMH_KEY,0)),0)</f>
        <v>1</v>
      </c>
      <c r="BT298" s="38">
        <f>IFERROR(INDEX(LMH_STEP,MATCH(AF298,LMH_KEY,0)),0)</f>
        <v>0</v>
      </c>
      <c r="BU298" s="38">
        <f>IFERROR(INDEX(LMH_STEP,MATCH(AG298,LMH_KEY,0)),0)</f>
        <v>0</v>
      </c>
      <c r="BV298" s="38">
        <f>IFERROR(INDEX(LMH_STEP,MATCH(AH298,LMH_KEY,0)),0)</f>
        <v>0</v>
      </c>
      <c r="BW298" s="38">
        <f>IFERROR(INDEX(LMH_STEP,MATCH(AI298,LMH_KEY,0)),0)</f>
        <v>0</v>
      </c>
      <c r="BX298" s="38">
        <f>IFERROR(INDEX(LMH_STEP,MATCH(AJ298,LMH_KEY,0)),0)</f>
        <v>0</v>
      </c>
      <c r="BY298" s="38">
        <f>IFERROR(INDEX(LMH_STEP,MATCH(AK298,LMH_KEY,0)),0)</f>
        <v>0</v>
      </c>
      <c r="BZ298" s="38">
        <f>IFERROR(INDEX(LMH_STEP,MATCH(AL298,LMH_KEY,0)),0)</f>
        <v>0</v>
      </c>
      <c r="CA298" s="38" t="inlineStr">
        <is>
          <t>iFile|Technology|Senior Technical Specialist – POD Lead|B1|B-IC</t>
        </is>
      </c>
    </row>
    <row r="299" ht="110" customHeight="1">
      <c r="A299" s="28" t="inlineStr">
        <is>
          <t>iFile</t>
        </is>
      </c>
      <c r="B299" s="29" t="inlineStr">
        <is>
          <t>Technology</t>
        </is>
      </c>
      <c r="C299" s="29" t="n">
        <v>6</v>
      </c>
      <c r="D299" s="29" t="inlineStr">
        <is>
          <t>IRIS2501</t>
        </is>
      </c>
      <c r="E299" s="29" t="inlineStr">
        <is>
          <t>Abhishek Kadam</t>
        </is>
      </c>
      <c r="F299" s="29" t="inlineStr">
        <is>
          <t>Software Engineer</t>
        </is>
      </c>
      <c r="G299" s="29" t="inlineStr">
        <is>
          <t>Senior Software Engineer</t>
        </is>
      </c>
      <c r="H299" s="29" t="inlineStr">
        <is>
          <t>Engineering &amp; Development</t>
        </is>
      </c>
      <c r="I299" s="29" t="inlineStr">
        <is>
          <t>Backend Development</t>
        </is>
      </c>
      <c r="J299" s="29" t="inlineStr">
        <is>
          <t>IC</t>
        </is>
      </c>
      <c r="K299" s="29" t="inlineStr">
        <is>
          <t>RC-067</t>
        </is>
      </c>
      <c r="L299" s="29" t="inlineStr">
        <is>
          <t>Arpit Pagaria</t>
        </is>
      </c>
      <c r="M299" s="29" t="inlineStr">
        <is>
          <t>IRIS1817</t>
        </is>
      </c>
      <c r="N299" s="29" t="n">
        <v>2.5</v>
      </c>
      <c r="O299" s="29" t="n">
        <v>0.5</v>
      </c>
      <c r="P299" s="29" t="inlineStr">
        <is>
          <t>B.Tech</t>
        </is>
      </c>
      <c r="Q299" s="29" t="inlineStr">
        <is>
          <t>L3 – Professional / Associate</t>
        </is>
      </c>
      <c r="R299" s="29" t="inlineStr">
        <is>
          <t>A3</t>
        </is>
      </c>
      <c r="S299" s="30" t="inlineStr">
        <is>
          <t>20 of 20</t>
        </is>
      </c>
      <c r="T299" s="31" t="inlineStr">
        <is>
          <t>Complexity: Evidence reads like A2: Develops and customises Java / Spring Boot backend features; fixes production issues in own modules → matches the start
Autonomy: Evidence reads like A2: Decides routine technical issues only → matches the start
Accountability: Evidence reads like A2: own survey / KRA answers · summarised by the rater; not quoted → …</t>
        </is>
      </c>
      <c r="U299" s="31" t="inlineStr">
        <is>
          <t>Received · manager annual, quarterly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299" s="31" t="inlineStr">
        <is>
          <t>Latest rating: 2 · Potential: Medium · 9-box: Emerging Talent · Readiness: Performance first</t>
        </is>
      </c>
      <c r="W299" s="31" t="inlineStr">
        <is>
          <t>C L · Au L · Ac L · L L · BI L · Exp M · 2.5 yrs vs 2–4 yrs · Edu M · B.Tech</t>
        </is>
      </c>
      <c r="X299" s="33" t="inlineStr">
        <is>
          <t>Open ▸</t>
        </is>
      </c>
      <c r="Y299" s="34" t="str">
        <f>IFERROR(INDEX(DL_C,MATCH($CA299,DL_KEY,0)),"M")</f>
        <v>H</v>
      </c>
      <c r="Z299" s="35" t="str">
        <f>IFERROR(INDEX(DL_Au,MATCH($CA299,DL_KEY,0)),"M")</f>
        <v>M</v>
      </c>
      <c r="AA299" s="35" t="str">
        <f>IFERROR(INDEX(DL_Ac,MATCH($CA299,DL_KEY,0)),"M")</f>
        <v>L</v>
      </c>
      <c r="AB299" s="35" t="str">
        <f>IFERROR(INDEX(DL_L,MATCH($CA299,DL_KEY,0)),"M")</f>
        <v>L</v>
      </c>
      <c r="AC299" s="35" t="str">
        <f>IFERROR(INDEX(DL_BI,MATCH($CA299,DL_KEY,0)),"M")</f>
        <v>L</v>
      </c>
      <c r="AD299" s="35" t="str">
        <f>IFERROR(INDEX(DL_Exp,MATCH($CA299,DL_KEY,0)),"M")</f>
        <v>L</v>
      </c>
      <c r="AE299" s="35" t="str">
        <f>IFERROR(INDEX(DL_Edu,MATCH($CA299,DL_KEY,0)),"M")</f>
        <v>L</v>
      </c>
      <c r="AF299" s="34" t="inlineStr">
        <is>
          <t>M</t>
        </is>
      </c>
      <c r="AG299" s="35" t="inlineStr">
        <is>
          <t>M</t>
        </is>
      </c>
      <c r="AH299" s="35" t="inlineStr">
        <is>
          <t>M</t>
        </is>
      </c>
      <c r="AI299" s="35" t="inlineStr">
        <is>
          <t>M</t>
        </is>
      </c>
      <c r="AJ299" s="35" t="inlineStr">
        <is>
          <t>M</t>
        </is>
      </c>
      <c r="AK299" s="35" t="inlineStr">
        <is>
          <t>M</t>
        </is>
      </c>
      <c r="AL299" s="35" t="inlineStr">
        <is>
          <t>M</t>
        </is>
      </c>
      <c r="AM299" s="36" t="n">
        <v>0.583</v>
      </c>
      <c r="AN299" s="37" t="n">
        <v>0.16</v>
      </c>
      <c r="AO299" s="37" t="n">
        <v>0.09</v>
      </c>
      <c r="AP299" s="37" t="n">
        <v>0</v>
      </c>
      <c r="AQ299" s="37" t="n">
        <v>0.063</v>
      </c>
      <c r="AR299" s="37" t="n">
        <v>0.06</v>
      </c>
      <c r="AS299" s="37" t="n">
        <v>0.04</v>
      </c>
      <c r="AT299" s="38" t="inlineStr">
        <is>
          <t>2–5</t>
        </is>
      </c>
      <c r="AU299" s="38" t="inlineStr">
        <is>
          <t>Graduate; relevant certification preferred</t>
        </is>
      </c>
      <c r="AV299" s="38" t="inlineStr">
        <is>
          <t>None · guides 1–3 juniors informally</t>
        </is>
      </c>
      <c r="AW299" s="38" t="inlineStr">
        <is>
          <t>P2 · SFIA 3 Apply</t>
        </is>
      </c>
      <c r="AX29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299" s="39" t="inlineStr">
        <is>
          <t>A3</t>
        </is>
      </c>
      <c r="AZ299" s="40" t="inlineStr">
        <is>
          <t>Band A · Practitioner · Senior Associate</t>
        </is>
      </c>
      <c r="BA299" s="40" t="inlineStr">
        <is>
          <t>Model A3 from the six ratings, the market-derived weights and rules R1–R13 · then No change · already below the manager</t>
        </is>
      </c>
      <c r="BB299" s="41" t="inlineStr">
        <is>
          <t>A2</t>
        </is>
      </c>
      <c r="BC299" s="40" t="inlineStr">
        <is>
          <t>The six ratings on the market-average weights of Band A · all tracks score 2.10 → A2 · Hay, Mercer IPE and public plans · experience 2.5 yrs vs the A2 market range 0–3</t>
        </is>
      </c>
      <c r="BD299" s="42">
        <f>IF(SUM(BM299,BN299,BO299,BP299,BQ299,BR299,BS299)=0,0,(BM299*BT299+BN299*BU299+BO299*BV299+BP299*BW299+BQ299*BX299+BR299*BY299+BS299*BZ299)/SUM(BM299,BN299,BO299,BP299,BQ299,BR299,BS299))</f>
        <v>0</v>
      </c>
      <c r="BE299" s="41" t="str">
        <f>IF(LEFT(AY299,1)="X",AY299,IF(OR(AY299="B+",AY299="C+"),INDEX(LAD_PC,MAX(1,MIN(14,MATCH(AY299,LAD_PC,0)+IF(BD299&gt;=0.5,1,IF(BD299&lt;=-0.5,-1,0))))),INDEX(LAD_STD,MAX(1,MIN(12,MATCH(AY299,LAD_STD,0)+IF(BD299&gt;=0.5,1,IF(BD299&lt;=-0.5,-1,0)))))))</f>
        <v>A3</v>
      </c>
      <c r="BF299" s="43" t="n"/>
      <c r="BG299" s="41" t="str">
        <f>IF(BF299&lt;&gt;"",BF299,BE299)</f>
        <v>A3</v>
      </c>
      <c r="BH299" s="40" t="str">
        <f>IFERROR(CHOOSE(INDEX(B_RANK,MATCH(BG299,B_LVL,0)),"Band A","Band B","B+ · Player-Coach","Band C","C+ · Player-Coach","Band D","Band E"),"Band X · Consultant")</f>
        <v>Band A</v>
      </c>
      <c r="BI299" s="40" t="str">
        <f>IF(BG299=AY299,"• Same",IF(INDEX(B_VAL,MATCH(BG299,B_LVL,0))&gt;INDEX(B_VAL,MATCH(AY299,B_LVL,0)),"▲ Up","▼ Down"))</f>
        <v>• Same</v>
      </c>
      <c r="BJ299" s="40" t="str">
        <f>IF(OR($M299="",$M299="—",$M299="Not in this file"),"",IFERROR(INDEX($BG$7:$BG$592,MATCH($M299,$D$7:$D$592,0)),""))</f>
        <v>B1</v>
      </c>
      <c r="BK299" s="40" t="str">
        <f>IFERROR(IF(BJ299="","—",IF(OR(LEFT(BG299,1)="X",LEFT(BJ299,1)="X"),"—",IF(AND(LEFT(BG299,1)="E",LEFT(BJ299,1)="E"),"Exception · Band E",IF(AND(INDEX(B_VAL,MATCH(BJ299,B_LVL,0))&gt;=7,INDEX(B_RANK,MATCH(BG299,B_LVL,0))&gt;=INDEX(B_RANK,MATCH(BJ299,B_LVL,0))),"⚠ Same band as a head manager",IF(INDEX(B_VAL,MATCH(BG299,B_LVL,0))&gt;=INDEX(B_VAL,MATCH(BJ299,B_LVL,0)),"⚠ At or above the manager's level","OK"))))),"—")</f>
        <v>OK</v>
      </c>
      <c r="BL299" s="43" t="n"/>
      <c r="BM299" s="44">
        <f>IFERROR(INDEX(LMH_PTS,MATCH(Y299,LMH_KEY,0)),0)</f>
        <v>9</v>
      </c>
      <c r="BN299" s="38">
        <f>IFERROR(INDEX(LMH_PTS,MATCH(Z299,LMH_KEY,0)),0)</f>
        <v>3</v>
      </c>
      <c r="BO299" s="38">
        <f>IFERROR(INDEX(LMH_PTS,MATCH(AA299,LMH_KEY,0)),0)</f>
        <v>1</v>
      </c>
      <c r="BP299" s="38">
        <f>IFERROR(INDEX(LMH_PTS,MATCH(AB299,LMH_KEY,0)),0)</f>
        <v>1</v>
      </c>
      <c r="BQ299" s="38">
        <f>IFERROR(INDEX(LMH_PTS,MATCH(AC299,LMH_KEY,0)),0)</f>
        <v>1</v>
      </c>
      <c r="BR299" s="38">
        <f>IFERROR(INDEX(LMH_PTS,MATCH(AD299,LMH_KEY,0)),0)</f>
        <v>1</v>
      </c>
      <c r="BS299" s="38">
        <f>IFERROR(INDEX(LMH_PTS,MATCH(AE299,LMH_KEY,0)),0)</f>
        <v>1</v>
      </c>
      <c r="BT299" s="38">
        <f>IFERROR(INDEX(LMH_STEP,MATCH(AF299,LMH_KEY,0)),0)</f>
        <v>0</v>
      </c>
      <c r="BU299" s="38">
        <f>IFERROR(INDEX(LMH_STEP,MATCH(AG299,LMH_KEY,0)),0)</f>
        <v>0</v>
      </c>
      <c r="BV299" s="38">
        <f>IFERROR(INDEX(LMH_STEP,MATCH(AH299,LMH_KEY,0)),0)</f>
        <v>0</v>
      </c>
      <c r="BW299" s="38">
        <f>IFERROR(INDEX(LMH_STEP,MATCH(AI299,LMH_KEY,0)),0)</f>
        <v>0</v>
      </c>
      <c r="BX299" s="38">
        <f>IFERROR(INDEX(LMH_STEP,MATCH(AJ299,LMH_KEY,0)),0)</f>
        <v>0</v>
      </c>
      <c r="BY299" s="38">
        <f>IFERROR(INDEX(LMH_STEP,MATCH(AK299,LMH_KEY,0)),0)</f>
        <v>0</v>
      </c>
      <c r="BZ299" s="38">
        <f>IFERROR(INDEX(LMH_STEP,MATCH(AL299,LMH_KEY,0)),0)</f>
        <v>0</v>
      </c>
      <c r="CA299" s="38" t="inlineStr">
        <is>
          <t>iFile|Technology|Senior Software Engineer|A3|A</t>
        </is>
      </c>
    </row>
    <row r="300" ht="110" customHeight="1">
      <c r="A300" s="28" t="inlineStr">
        <is>
          <t>iFile</t>
        </is>
      </c>
      <c r="B300" s="29" t="inlineStr">
        <is>
          <t>Technology</t>
        </is>
      </c>
      <c r="C300" s="29" t="n">
        <v>6</v>
      </c>
      <c r="D300" s="29" t="inlineStr">
        <is>
          <t>IRIS2074</t>
        </is>
      </c>
      <c r="E300" s="29" t="inlineStr">
        <is>
          <t>Govind Chidrawar</t>
        </is>
      </c>
      <c r="F300" s="29" t="inlineStr">
        <is>
          <t>Senior Software Engineer</t>
        </is>
      </c>
      <c r="G300" s="29" t="inlineStr">
        <is>
          <t>Senior Software Engineer</t>
        </is>
      </c>
      <c r="H300" s="29" t="inlineStr">
        <is>
          <t>Engineering &amp; Development</t>
        </is>
      </c>
      <c r="I300" s="29" t="inlineStr">
        <is>
          <t>Backend Development</t>
        </is>
      </c>
      <c r="J300" s="29" t="inlineStr">
        <is>
          <t>IC</t>
        </is>
      </c>
      <c r="K300" s="29" t="inlineStr">
        <is>
          <t>RC-067</t>
        </is>
      </c>
      <c r="L300" s="29" t="inlineStr">
        <is>
          <t>Arpit Pagaria</t>
        </is>
      </c>
      <c r="M300" s="29" t="inlineStr">
        <is>
          <t>IRIS1817</t>
        </is>
      </c>
      <c r="N300" s="29" t="n">
        <v>6.1</v>
      </c>
      <c r="O300" s="29" t="n">
        <v>3.9</v>
      </c>
      <c r="P300" s="29" t="inlineStr">
        <is>
          <t>B.E</t>
        </is>
      </c>
      <c r="Q300" s="29" t="inlineStr">
        <is>
          <t>L4 – Senior</t>
        </is>
      </c>
      <c r="R300" s="29" t="inlineStr">
        <is>
          <t>A3</t>
        </is>
      </c>
      <c r="S300" s="30" t="inlineStr">
        <is>
          <t>20 of 20</t>
        </is>
      </c>
      <c r="T300" s="31" t="inlineStr">
        <is>
          <t>Complexity: Evidence reads like A3: Designs and builds features, investigates technical issues and reviews code within agreed scope → matches the start
Autonomy: Evidence reads like A3: Decides feature design, implementation approach and code structure; resolves implementation issues alone → matches the start
Accountability: Evidence reads like A2: Design, …</t>
        </is>
      </c>
      <c r="U300" s="31" t="inlineStr">
        <is>
          <t>Received · manager annual, quarterly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300" s="31" t="inlineStr">
        <is>
          <t>Latest rating: 4 · Potential: High · 9-box: High Impact / Growth Talent · Readiness: Ready now</t>
        </is>
      </c>
      <c r="W300" s="31" t="inlineStr">
        <is>
          <t>C M · Au M · Ac M · L M · BI M · Exp H · 6.1 yrs vs 2–4 yrs · Edu M · B.E</t>
        </is>
      </c>
      <c r="X300" s="33" t="inlineStr">
        <is>
          <t>Open ▸</t>
        </is>
      </c>
      <c r="Y300" s="34" t="str">
        <f>IFERROR(INDEX(DL_C,MATCH($CA300,DL_KEY,0)),"M")</f>
        <v>H</v>
      </c>
      <c r="Z300" s="35" t="str">
        <f>IFERROR(INDEX(DL_Au,MATCH($CA300,DL_KEY,0)),"M")</f>
        <v>M</v>
      </c>
      <c r="AA300" s="35" t="str">
        <f>IFERROR(INDEX(DL_Ac,MATCH($CA300,DL_KEY,0)),"M")</f>
        <v>L</v>
      </c>
      <c r="AB300" s="35" t="str">
        <f>IFERROR(INDEX(DL_L,MATCH($CA300,DL_KEY,0)),"M")</f>
        <v>L</v>
      </c>
      <c r="AC300" s="35" t="str">
        <f>IFERROR(INDEX(DL_BI,MATCH($CA300,DL_KEY,0)),"M")</f>
        <v>L</v>
      </c>
      <c r="AD300" s="35" t="str">
        <f>IFERROR(INDEX(DL_Exp,MATCH($CA300,DL_KEY,0)),"M")</f>
        <v>L</v>
      </c>
      <c r="AE300" s="35" t="str">
        <f>IFERROR(INDEX(DL_Edu,MATCH($CA300,DL_KEY,0)),"M")</f>
        <v>L</v>
      </c>
      <c r="AF300" s="34" t="inlineStr">
        <is>
          <t>M</t>
        </is>
      </c>
      <c r="AG300" s="35" t="inlineStr">
        <is>
          <t>M</t>
        </is>
      </c>
      <c r="AH300" s="35" t="inlineStr">
        <is>
          <t>M</t>
        </is>
      </c>
      <c r="AI300" s="35" t="inlineStr">
        <is>
          <t>M</t>
        </is>
      </c>
      <c r="AJ300" s="35" t="inlineStr">
        <is>
          <t>M</t>
        </is>
      </c>
      <c r="AK300" s="35" t="inlineStr">
        <is>
          <t>M</t>
        </is>
      </c>
      <c r="AL300" s="35" t="inlineStr">
        <is>
          <t>M</t>
        </is>
      </c>
      <c r="AM300" s="36" t="n">
        <v>0.583</v>
      </c>
      <c r="AN300" s="37" t="n">
        <v>0.16</v>
      </c>
      <c r="AO300" s="37" t="n">
        <v>0.09</v>
      </c>
      <c r="AP300" s="37" t="n">
        <v>0</v>
      </c>
      <c r="AQ300" s="37" t="n">
        <v>0.063</v>
      </c>
      <c r="AR300" s="37" t="n">
        <v>0.06</v>
      </c>
      <c r="AS300" s="37" t="n">
        <v>0.04</v>
      </c>
      <c r="AT300" s="38" t="inlineStr">
        <is>
          <t>2–5</t>
        </is>
      </c>
      <c r="AU300" s="38" t="inlineStr">
        <is>
          <t>Graduate; relevant certification preferred</t>
        </is>
      </c>
      <c r="AV300" s="38" t="inlineStr">
        <is>
          <t>None · guides 1–3 juniors informally</t>
        </is>
      </c>
      <c r="AW300" s="38" t="inlineStr">
        <is>
          <t>P2 · SFIA 3 Apply</t>
        </is>
      </c>
      <c r="AX30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00" s="39" t="inlineStr">
        <is>
          <t>A3</t>
        </is>
      </c>
      <c r="AZ300" s="40" t="inlineStr">
        <is>
          <t>Band A · Practitioner · Senior Associate</t>
        </is>
      </c>
      <c r="BA300" s="40" t="inlineStr">
        <is>
          <t>Model A3 from the six ratings, the market-derived weights and rules R1–R13 · then No change · already below the manager</t>
        </is>
      </c>
      <c r="BB300" s="41" t="inlineStr">
        <is>
          <t>A3</t>
        </is>
      </c>
      <c r="BC300" s="40" t="inlineStr">
        <is>
          <t>The six ratings on the market-average weights of Band A · all tracks score 3.07 → A3 · Hay, Mercer IPE and public plans · experience 6.1 yrs vs the A3 market range 2–5</t>
        </is>
      </c>
      <c r="BD300" s="42">
        <f>IF(SUM(BM300,BN300,BO300,BP300,BQ300,BR300,BS300)=0,0,(BM300*BT300+BN300*BU300+BO300*BV300+BP300*BW300+BQ300*BX300+BR300*BY300+BS300*BZ300)/SUM(BM300,BN300,BO300,BP300,BQ300,BR300,BS300))</f>
        <v>0</v>
      </c>
      <c r="BE300" s="41" t="str">
        <f>IF(LEFT(AY300,1)="X",AY300,IF(OR(AY300="B+",AY300="C+"),INDEX(LAD_PC,MAX(1,MIN(14,MATCH(AY300,LAD_PC,0)+IF(BD300&gt;=0.5,1,IF(BD300&lt;=-0.5,-1,0))))),INDEX(LAD_STD,MAX(1,MIN(12,MATCH(AY300,LAD_STD,0)+IF(BD300&gt;=0.5,1,IF(BD300&lt;=-0.5,-1,0)))))))</f>
        <v>A3</v>
      </c>
      <c r="BF300" s="43" t="n"/>
      <c r="BG300" s="41" t="str">
        <f>IF(BF300&lt;&gt;"",BF300,BE300)</f>
        <v>A3</v>
      </c>
      <c r="BH300" s="40" t="str">
        <f>IFERROR(CHOOSE(INDEX(B_RANK,MATCH(BG300,B_LVL,0)),"Band A","Band B","B+ · Player-Coach","Band C","C+ · Player-Coach","Band D","Band E"),"Band X · Consultant")</f>
        <v>Band A</v>
      </c>
      <c r="BI300" s="40" t="str">
        <f>IF(BG300=AY300,"• Same",IF(INDEX(B_VAL,MATCH(BG300,B_LVL,0))&gt;INDEX(B_VAL,MATCH(AY300,B_LVL,0)),"▲ Up","▼ Down"))</f>
        <v>• Same</v>
      </c>
      <c r="BJ300" s="40" t="str">
        <f>IF(OR($M300="",$M300="—",$M300="Not in this file"),"",IFERROR(INDEX($BG$7:$BG$592,MATCH($M300,$D$7:$D$592,0)),""))</f>
        <v>B1</v>
      </c>
      <c r="BK300" s="40" t="str">
        <f>IFERROR(IF(BJ300="","—",IF(OR(LEFT(BG300,1)="X",LEFT(BJ300,1)="X"),"—",IF(AND(LEFT(BG300,1)="E",LEFT(BJ300,1)="E"),"Exception · Band E",IF(AND(INDEX(B_VAL,MATCH(BJ300,B_LVL,0))&gt;=7,INDEX(B_RANK,MATCH(BG300,B_LVL,0))&gt;=INDEX(B_RANK,MATCH(BJ300,B_LVL,0))),"⚠ Same band as a head manager",IF(INDEX(B_VAL,MATCH(BG300,B_LVL,0))&gt;=INDEX(B_VAL,MATCH(BJ300,B_LVL,0)),"⚠ At or above the manager's level","OK"))))),"—")</f>
        <v>OK</v>
      </c>
      <c r="BL300" s="43" t="n"/>
      <c r="BM300" s="44">
        <f>IFERROR(INDEX(LMH_PTS,MATCH(Y300,LMH_KEY,0)),0)</f>
        <v>9</v>
      </c>
      <c r="BN300" s="38">
        <f>IFERROR(INDEX(LMH_PTS,MATCH(Z300,LMH_KEY,0)),0)</f>
        <v>3</v>
      </c>
      <c r="BO300" s="38">
        <f>IFERROR(INDEX(LMH_PTS,MATCH(AA300,LMH_KEY,0)),0)</f>
        <v>1</v>
      </c>
      <c r="BP300" s="38">
        <f>IFERROR(INDEX(LMH_PTS,MATCH(AB300,LMH_KEY,0)),0)</f>
        <v>1</v>
      </c>
      <c r="BQ300" s="38">
        <f>IFERROR(INDEX(LMH_PTS,MATCH(AC300,LMH_KEY,0)),0)</f>
        <v>1</v>
      </c>
      <c r="BR300" s="38">
        <f>IFERROR(INDEX(LMH_PTS,MATCH(AD300,LMH_KEY,0)),0)</f>
        <v>1</v>
      </c>
      <c r="BS300" s="38">
        <f>IFERROR(INDEX(LMH_PTS,MATCH(AE300,LMH_KEY,0)),0)</f>
        <v>1</v>
      </c>
      <c r="BT300" s="38">
        <f>IFERROR(INDEX(LMH_STEP,MATCH(AF300,LMH_KEY,0)),0)</f>
        <v>0</v>
      </c>
      <c r="BU300" s="38">
        <f>IFERROR(INDEX(LMH_STEP,MATCH(AG300,LMH_KEY,0)),0)</f>
        <v>0</v>
      </c>
      <c r="BV300" s="38">
        <f>IFERROR(INDEX(LMH_STEP,MATCH(AH300,LMH_KEY,0)),0)</f>
        <v>0</v>
      </c>
      <c r="BW300" s="38">
        <f>IFERROR(INDEX(LMH_STEP,MATCH(AI300,LMH_KEY,0)),0)</f>
        <v>0</v>
      </c>
      <c r="BX300" s="38">
        <f>IFERROR(INDEX(LMH_STEP,MATCH(AJ300,LMH_KEY,0)),0)</f>
        <v>0</v>
      </c>
      <c r="BY300" s="38">
        <f>IFERROR(INDEX(LMH_STEP,MATCH(AK300,LMH_KEY,0)),0)</f>
        <v>0</v>
      </c>
      <c r="BZ300" s="38">
        <f>IFERROR(INDEX(LMH_STEP,MATCH(AL300,LMH_KEY,0)),0)</f>
        <v>0</v>
      </c>
      <c r="CA300" s="38" t="inlineStr">
        <is>
          <t>iFile|Technology|Senior Software Engineer|A3|A</t>
        </is>
      </c>
    </row>
    <row r="301" ht="110" customHeight="1">
      <c r="A301" s="28" t="inlineStr">
        <is>
          <t>iFile</t>
        </is>
      </c>
      <c r="B301" s="29" t="inlineStr">
        <is>
          <t>Technology</t>
        </is>
      </c>
      <c r="C301" s="29" t="n">
        <v>6</v>
      </c>
      <c r="D301" s="29" t="inlineStr">
        <is>
          <t>IRIS2058</t>
        </is>
      </c>
      <c r="E301" s="29" t="inlineStr">
        <is>
          <t>Siddharth Dhone</t>
        </is>
      </c>
      <c r="F301" s="29" t="inlineStr">
        <is>
          <t>Senior Software Engineer</t>
        </is>
      </c>
      <c r="G301" s="29" t="inlineStr">
        <is>
          <t>Senior Software Engineer</t>
        </is>
      </c>
      <c r="H301" s="29" t="inlineStr">
        <is>
          <t>Engineering &amp; Development</t>
        </is>
      </c>
      <c r="I301" s="29" t="inlineStr">
        <is>
          <t>Backend Development</t>
        </is>
      </c>
      <c r="J301" s="29" t="inlineStr">
        <is>
          <t>IC</t>
        </is>
      </c>
      <c r="K301" s="29" t="inlineStr">
        <is>
          <t>RC-067</t>
        </is>
      </c>
      <c r="L301" s="29" t="inlineStr">
        <is>
          <t>Arpit Pagaria</t>
        </is>
      </c>
      <c r="M301" s="29" t="inlineStr">
        <is>
          <t>IRIS1817</t>
        </is>
      </c>
      <c r="N301" s="29" t="n">
        <v>7.4</v>
      </c>
      <c r="O301" s="29" t="n">
        <v>4.1</v>
      </c>
      <c r="P301" s="29" t="inlineStr">
        <is>
          <t>B.E</t>
        </is>
      </c>
      <c r="Q301" s="29" t="inlineStr">
        <is>
          <t>L4 – Senior</t>
        </is>
      </c>
      <c r="R301" s="29" t="inlineStr">
        <is>
          <t>A3</t>
        </is>
      </c>
      <c r="S301" s="30" t="inlineStr">
        <is>
          <t>20 of 20</t>
        </is>
      </c>
      <c r="T301" s="31" t="inlineStr">
        <is>
          <t>Complexity: Evidence reads like A3: Develops Java 17 microservices features and builds POCs for product improvements → matches the start
Autonomy: Evidence reads like A2: Only independent decision cited is technical analysis → moved down 0.5
Accountability: Evidence reads like A2: Reliable features; product-decision and prioritisation claims are not tied to …</t>
        </is>
      </c>
      <c r="U301" s="31" t="inlineStr">
        <is>
          <t>Received · manager annual, quarterly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301" s="31" t="inlineStr">
        <is>
          <t>Latest rating: 4 · Potential: High · 9-box: High Impact / Growth Talent · Readiness: Ready now</t>
        </is>
      </c>
      <c r="W301" s="31" t="inlineStr">
        <is>
          <t>C M · Au M · Ac M · L L · BI M · Exp H · 7.4 yrs vs 2–4 yrs · Edu M · B.E</t>
        </is>
      </c>
      <c r="X301" s="33" t="inlineStr">
        <is>
          <t>Open ▸</t>
        </is>
      </c>
      <c r="Y301" s="34" t="str">
        <f>IFERROR(INDEX(DL_C,MATCH($CA301,DL_KEY,0)),"M")</f>
        <v>H</v>
      </c>
      <c r="Z301" s="35" t="str">
        <f>IFERROR(INDEX(DL_Au,MATCH($CA301,DL_KEY,0)),"M")</f>
        <v>M</v>
      </c>
      <c r="AA301" s="35" t="str">
        <f>IFERROR(INDEX(DL_Ac,MATCH($CA301,DL_KEY,0)),"M")</f>
        <v>L</v>
      </c>
      <c r="AB301" s="35" t="str">
        <f>IFERROR(INDEX(DL_L,MATCH($CA301,DL_KEY,0)),"M")</f>
        <v>L</v>
      </c>
      <c r="AC301" s="35" t="str">
        <f>IFERROR(INDEX(DL_BI,MATCH($CA301,DL_KEY,0)),"M")</f>
        <v>L</v>
      </c>
      <c r="AD301" s="35" t="str">
        <f>IFERROR(INDEX(DL_Exp,MATCH($CA301,DL_KEY,0)),"M")</f>
        <v>L</v>
      </c>
      <c r="AE301" s="35" t="str">
        <f>IFERROR(INDEX(DL_Edu,MATCH($CA301,DL_KEY,0)),"M")</f>
        <v>L</v>
      </c>
      <c r="AF301" s="34" t="inlineStr">
        <is>
          <t>M</t>
        </is>
      </c>
      <c r="AG301" s="35" t="inlineStr">
        <is>
          <t>M</t>
        </is>
      </c>
      <c r="AH301" s="35" t="inlineStr">
        <is>
          <t>M</t>
        </is>
      </c>
      <c r="AI301" s="35" t="inlineStr">
        <is>
          <t>M</t>
        </is>
      </c>
      <c r="AJ301" s="35" t="inlineStr">
        <is>
          <t>M</t>
        </is>
      </c>
      <c r="AK301" s="35" t="inlineStr">
        <is>
          <t>M</t>
        </is>
      </c>
      <c r="AL301" s="35" t="inlineStr">
        <is>
          <t>M</t>
        </is>
      </c>
      <c r="AM301" s="36" t="n">
        <v>0.583</v>
      </c>
      <c r="AN301" s="37" t="n">
        <v>0.16</v>
      </c>
      <c r="AO301" s="37" t="n">
        <v>0.09</v>
      </c>
      <c r="AP301" s="37" t="n">
        <v>0</v>
      </c>
      <c r="AQ301" s="37" t="n">
        <v>0.063</v>
      </c>
      <c r="AR301" s="37" t="n">
        <v>0.06</v>
      </c>
      <c r="AS301" s="37" t="n">
        <v>0.04</v>
      </c>
      <c r="AT301" s="38" t="inlineStr">
        <is>
          <t>2–5</t>
        </is>
      </c>
      <c r="AU301" s="38" t="inlineStr">
        <is>
          <t>Graduate; relevant certification preferred</t>
        </is>
      </c>
      <c r="AV301" s="38" t="inlineStr">
        <is>
          <t>None · guides 1–3 juniors informally</t>
        </is>
      </c>
      <c r="AW301" s="38" t="inlineStr">
        <is>
          <t>P2 · SFIA 3 Apply</t>
        </is>
      </c>
      <c r="AX30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01" s="39" t="inlineStr">
        <is>
          <t>A3</t>
        </is>
      </c>
      <c r="AZ301" s="40" t="inlineStr">
        <is>
          <t>Band A · Practitioner · Senior Associate</t>
        </is>
      </c>
      <c r="BA301" s="40" t="inlineStr">
        <is>
          <t>Model A3 from the six ratings, the market-derived weights and rules R1–R13 · then No change · already below the manager</t>
        </is>
      </c>
      <c r="BB301" s="41" t="inlineStr">
        <is>
          <t>A3</t>
        </is>
      </c>
      <c r="BC301" s="40" t="inlineStr">
        <is>
          <t>The six ratings on the market-average weights of Band A · all tracks score 3.04 → A3 · Hay, Mercer IPE and public plans · experience 7.4 yrs vs the A3 market range 2–5</t>
        </is>
      </c>
      <c r="BD301" s="42">
        <f>IF(SUM(BM301,BN301,BO301,BP301,BQ301,BR301,BS301)=0,0,(BM301*BT301+BN301*BU301+BO301*BV301+BP301*BW301+BQ301*BX301+BR301*BY301+BS301*BZ301)/SUM(BM301,BN301,BO301,BP301,BQ301,BR301,BS301))</f>
        <v>0</v>
      </c>
      <c r="BE301" s="41" t="str">
        <f>IF(LEFT(AY301,1)="X",AY301,IF(OR(AY301="B+",AY301="C+"),INDEX(LAD_PC,MAX(1,MIN(14,MATCH(AY301,LAD_PC,0)+IF(BD301&gt;=0.5,1,IF(BD301&lt;=-0.5,-1,0))))),INDEX(LAD_STD,MAX(1,MIN(12,MATCH(AY301,LAD_STD,0)+IF(BD301&gt;=0.5,1,IF(BD301&lt;=-0.5,-1,0)))))))</f>
        <v>A3</v>
      </c>
      <c r="BF301" s="43" t="n"/>
      <c r="BG301" s="41" t="str">
        <f>IF(BF301&lt;&gt;"",BF301,BE301)</f>
        <v>A3</v>
      </c>
      <c r="BH301" s="40" t="str">
        <f>IFERROR(CHOOSE(INDEX(B_RANK,MATCH(BG301,B_LVL,0)),"Band A","Band B","B+ · Player-Coach","Band C","C+ · Player-Coach","Band D","Band E"),"Band X · Consultant")</f>
        <v>Band A</v>
      </c>
      <c r="BI301" s="40" t="str">
        <f>IF(BG301=AY301,"• Same",IF(INDEX(B_VAL,MATCH(BG301,B_LVL,0))&gt;INDEX(B_VAL,MATCH(AY301,B_LVL,0)),"▲ Up","▼ Down"))</f>
        <v>• Same</v>
      </c>
      <c r="BJ301" s="40" t="str">
        <f>IF(OR($M301="",$M301="—",$M301="Not in this file"),"",IFERROR(INDEX($BG$7:$BG$592,MATCH($M301,$D$7:$D$592,0)),""))</f>
        <v>B1</v>
      </c>
      <c r="BK301" s="40" t="str">
        <f>IFERROR(IF(BJ301="","—",IF(OR(LEFT(BG301,1)="X",LEFT(BJ301,1)="X"),"—",IF(AND(LEFT(BG301,1)="E",LEFT(BJ301,1)="E"),"Exception · Band E",IF(AND(INDEX(B_VAL,MATCH(BJ301,B_LVL,0))&gt;=7,INDEX(B_RANK,MATCH(BG301,B_LVL,0))&gt;=INDEX(B_RANK,MATCH(BJ301,B_LVL,0))),"⚠ Same band as a head manager",IF(INDEX(B_VAL,MATCH(BG301,B_LVL,0))&gt;=INDEX(B_VAL,MATCH(BJ301,B_LVL,0)),"⚠ At or above the manager's level","OK"))))),"—")</f>
        <v>OK</v>
      </c>
      <c r="BL301" s="43" t="n"/>
      <c r="BM301" s="44">
        <f>IFERROR(INDEX(LMH_PTS,MATCH(Y301,LMH_KEY,0)),0)</f>
        <v>9</v>
      </c>
      <c r="BN301" s="38">
        <f>IFERROR(INDEX(LMH_PTS,MATCH(Z301,LMH_KEY,0)),0)</f>
        <v>3</v>
      </c>
      <c r="BO301" s="38">
        <f>IFERROR(INDEX(LMH_PTS,MATCH(AA301,LMH_KEY,0)),0)</f>
        <v>1</v>
      </c>
      <c r="BP301" s="38">
        <f>IFERROR(INDEX(LMH_PTS,MATCH(AB301,LMH_KEY,0)),0)</f>
        <v>1</v>
      </c>
      <c r="BQ301" s="38">
        <f>IFERROR(INDEX(LMH_PTS,MATCH(AC301,LMH_KEY,0)),0)</f>
        <v>1</v>
      </c>
      <c r="BR301" s="38">
        <f>IFERROR(INDEX(LMH_PTS,MATCH(AD301,LMH_KEY,0)),0)</f>
        <v>1</v>
      </c>
      <c r="BS301" s="38">
        <f>IFERROR(INDEX(LMH_PTS,MATCH(AE301,LMH_KEY,0)),0)</f>
        <v>1</v>
      </c>
      <c r="BT301" s="38">
        <f>IFERROR(INDEX(LMH_STEP,MATCH(AF301,LMH_KEY,0)),0)</f>
        <v>0</v>
      </c>
      <c r="BU301" s="38">
        <f>IFERROR(INDEX(LMH_STEP,MATCH(AG301,LMH_KEY,0)),0)</f>
        <v>0</v>
      </c>
      <c r="BV301" s="38">
        <f>IFERROR(INDEX(LMH_STEP,MATCH(AH301,LMH_KEY,0)),0)</f>
        <v>0</v>
      </c>
      <c r="BW301" s="38">
        <f>IFERROR(INDEX(LMH_STEP,MATCH(AI301,LMH_KEY,0)),0)</f>
        <v>0</v>
      </c>
      <c r="BX301" s="38">
        <f>IFERROR(INDEX(LMH_STEP,MATCH(AJ301,LMH_KEY,0)),0)</f>
        <v>0</v>
      </c>
      <c r="BY301" s="38">
        <f>IFERROR(INDEX(LMH_STEP,MATCH(AK301,LMH_KEY,0)),0)</f>
        <v>0</v>
      </c>
      <c r="BZ301" s="38">
        <f>IFERROR(INDEX(LMH_STEP,MATCH(AL301,LMH_KEY,0)),0)</f>
        <v>0</v>
      </c>
      <c r="CA301" s="38" t="inlineStr">
        <is>
          <t>iFile|Technology|Senior Software Engineer|A3|A</t>
        </is>
      </c>
    </row>
    <row r="302" ht="110" customHeight="1">
      <c r="A302" s="28" t="inlineStr">
        <is>
          <t>iFile</t>
        </is>
      </c>
      <c r="B302" s="29" t="inlineStr">
        <is>
          <t>Support</t>
        </is>
      </c>
      <c r="C302" s="29" t="n">
        <v>5</v>
      </c>
      <c r="D302" s="29" t="inlineStr">
        <is>
          <t>IRIS1833</t>
        </is>
      </c>
      <c r="E302" s="29" t="inlineStr">
        <is>
          <t>Shraddha Gawali</t>
        </is>
      </c>
      <c r="F302" s="29" t="inlineStr">
        <is>
          <t>Team Lead</t>
        </is>
      </c>
      <c r="G302" s="29" t="inlineStr">
        <is>
          <t>Support Specialist</t>
        </is>
      </c>
      <c r="H302" s="29" t="inlineStr">
        <is>
          <t>Customer Success &amp; Support</t>
        </is>
      </c>
      <c r="I302" s="29" t="inlineStr">
        <is>
          <t>Application &amp; Product Support</t>
        </is>
      </c>
      <c r="J302" s="29" t="inlineStr">
        <is>
          <t>IC</t>
        </is>
      </c>
      <c r="K302" s="29" t="inlineStr">
        <is>
          <t>RC-032</t>
        </is>
      </c>
      <c r="L302" s="29" t="inlineStr">
        <is>
          <t>Kimaya Mundlye</t>
        </is>
      </c>
      <c r="M302" s="29" t="inlineStr">
        <is>
          <t>IRIS2118</t>
        </is>
      </c>
      <c r="N302" s="29" t="n">
        <v>6.7</v>
      </c>
      <c r="O302" s="29" t="n">
        <v>6.7</v>
      </c>
      <c r="P302" s="29" t="inlineStr">
        <is>
          <t>B.Com</t>
        </is>
      </c>
      <c r="Q302" s="29" t="inlineStr">
        <is>
          <t>L5 – Lead · IC</t>
        </is>
      </c>
      <c r="R302" s="29" t="inlineStr">
        <is>
          <t>B1</t>
        </is>
      </c>
      <c r="S302" s="30" t="inlineStr">
        <is>
          <t>20 of 20</t>
        </is>
      </c>
      <c r="T302" s="31" t="inlineStr">
        <is>
          <t>Complexity: Evidence reads like A2: Ticket management on the IRP project using Faveo; issue analysis → moved down 0.5
Autonomy: Evidence reads like A2: No concrete decisions stated · 'ownership' only; routine ticket handling → moved down 0.5
Accountability: Evidence reads like A2: Ticket responses, including covering a colleague's tickets → moved down …</t>
        </is>
      </c>
      <c r="U302" s="31" t="inlineStr">
        <is>
          <t>Received · manager annual, quarterly, self · 1. Keep team CSAT &gt;=4.2/5 and NPS trending positive
2. Ensure &gt;=95% team SLA adherence on resolution &amp; first response
3. Drive assigned-portfolio renewal/retention to &gt;=90%
4. Reduce repeat/escalated issues across team by &gt;=15%
5. Maintain 100% documentation &amp; knowledge-base currency
6. Cross-train support team for …</t>
        </is>
      </c>
      <c r="V302" s="31" t="inlineStr">
        <is>
          <t>Latest rating: 3 · Potential: Medium · 9-box: Core Contributor · Readiness: Develop in role</t>
        </is>
      </c>
      <c r="W302" s="31" t="inlineStr">
        <is>
          <t>C M · Au M · Ac M · L L · BI M · Exp M · 6.7 yrs vs 4–7 yrs · Edu M · B.Com</t>
        </is>
      </c>
      <c r="X302" s="33" t="inlineStr">
        <is>
          <t>Open ▸</t>
        </is>
      </c>
      <c r="Y302" s="34" t="str">
        <f>IFERROR(INDEX(DL_C,MATCH($CA302,DL_KEY,0)),"M")</f>
        <v>H</v>
      </c>
      <c r="Z302" s="35" t="str">
        <f>IFERROR(INDEX(DL_Au,MATCH($CA302,DL_KEY,0)),"M")</f>
        <v>M</v>
      </c>
      <c r="AA302" s="35" t="str">
        <f>IFERROR(INDEX(DL_Ac,MATCH($CA302,DL_KEY,0)),"M")</f>
        <v>M</v>
      </c>
      <c r="AB302" s="35" t="str">
        <f>IFERROR(INDEX(DL_L,MATCH($CA302,DL_KEY,0)),"M")</f>
        <v>L</v>
      </c>
      <c r="AC302" s="35" t="str">
        <f>IFERROR(INDEX(DL_BI,MATCH($CA302,DL_KEY,0)),"M")</f>
        <v>M</v>
      </c>
      <c r="AD302" s="35" t="str">
        <f>IFERROR(INDEX(DL_Exp,MATCH($CA302,DL_KEY,0)),"M")</f>
        <v>L</v>
      </c>
      <c r="AE302" s="35" t="str">
        <f>IFERROR(INDEX(DL_Edu,MATCH($CA302,DL_KEY,0)),"M")</f>
        <v>L</v>
      </c>
      <c r="AF302" s="34" t="inlineStr">
        <is>
          <t>M</t>
        </is>
      </c>
      <c r="AG302" s="35" t="inlineStr">
        <is>
          <t>M</t>
        </is>
      </c>
      <c r="AH302" s="35" t="inlineStr">
        <is>
          <t>M</t>
        </is>
      </c>
      <c r="AI302" s="35" t="inlineStr">
        <is>
          <t>M</t>
        </is>
      </c>
      <c r="AJ302" s="35" t="inlineStr">
        <is>
          <t>M</t>
        </is>
      </c>
      <c r="AK302" s="35" t="inlineStr">
        <is>
          <t>M</t>
        </is>
      </c>
      <c r="AL302" s="35" t="inlineStr">
        <is>
          <t>M</t>
        </is>
      </c>
      <c r="AM302" s="36" t="n">
        <v>0.513</v>
      </c>
      <c r="AN302" s="37" t="n">
        <v>0.173</v>
      </c>
      <c r="AO302" s="37" t="n">
        <v>0.09699999999999999</v>
      </c>
      <c r="AP302" s="37" t="n">
        <v>0.05</v>
      </c>
      <c r="AQ302" s="37" t="n">
        <v>0.07000000000000001</v>
      </c>
      <c r="AR302" s="37" t="n">
        <v>0.06</v>
      </c>
      <c r="AS302" s="37" t="n">
        <v>0.04</v>
      </c>
      <c r="AT302" s="38" t="inlineStr">
        <is>
          <t>4–8</t>
        </is>
      </c>
      <c r="AU302" s="38" t="inlineStr">
        <is>
          <t>Graduate + relevant qualification or certification preferred</t>
        </is>
      </c>
      <c r="AV302" s="38" t="inlineStr">
        <is>
          <t>IC: none · Team Lead: 3–5</t>
        </is>
      </c>
      <c r="AW302" s="38" t="inlineStr">
        <is>
          <t>P3 / M2 · SFIA 4 Enable</t>
        </is>
      </c>
      <c r="AX30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02" s="39" t="inlineStr">
        <is>
          <t>B1</t>
        </is>
      </c>
      <c r="AZ302" s="40" t="inlineStr">
        <is>
          <t>Band B · Specialist / Manager · Specialist</t>
        </is>
      </c>
      <c r="BA302" s="40" t="inlineStr">
        <is>
          <t>Model B1 from the six ratings, the market-derived weights and rules R1–R13 · then No change · already below the manager</t>
        </is>
      </c>
      <c r="BB302" s="41" t="inlineStr">
        <is>
          <t>B1</t>
        </is>
      </c>
      <c r="BC302" s="40" t="inlineStr">
        <is>
          <t>The six ratings on the market-average weights of Band B · Specialist / POD Lead score 3.55 → B1 · Hay, Mercer IPE and public plans · experience 6.7 yrs vs the B1 market range 4–8</t>
        </is>
      </c>
      <c r="BD302" s="42">
        <f>IF(SUM(BM302,BN302,BO302,BP302,BQ302,BR302,BS302)=0,0,(BM302*BT302+BN302*BU302+BO302*BV302+BP302*BW302+BQ302*BX302+BR302*BY302+BS302*BZ302)/SUM(BM302,BN302,BO302,BP302,BQ302,BR302,BS302))</f>
        <v>0</v>
      </c>
      <c r="BE302" s="41" t="str">
        <f>IF(LEFT(AY302,1)="X",AY302,IF(OR(AY302="B+",AY302="C+"),INDEX(LAD_PC,MAX(1,MIN(14,MATCH(AY302,LAD_PC,0)+IF(BD302&gt;=0.5,1,IF(BD302&lt;=-0.5,-1,0))))),INDEX(LAD_STD,MAX(1,MIN(12,MATCH(AY302,LAD_STD,0)+IF(BD302&gt;=0.5,1,IF(BD302&lt;=-0.5,-1,0)))))))</f>
        <v>B1</v>
      </c>
      <c r="BF302" s="43" t="n"/>
      <c r="BG302" s="41" t="str">
        <f>IF(BF302&lt;&gt;"",BF302,BE302)</f>
        <v>B1</v>
      </c>
      <c r="BH302" s="40" t="str">
        <f>IFERROR(CHOOSE(INDEX(B_RANK,MATCH(BG302,B_LVL,0)),"Band A","Band B","B+ · Player-Coach","Band C","C+ · Player-Coach","Band D","Band E"),"Band X · Consultant")</f>
        <v>Band B</v>
      </c>
      <c r="BI302" s="40" t="str">
        <f>IF(BG302=AY302,"• Same",IF(INDEX(B_VAL,MATCH(BG302,B_LVL,0))&gt;INDEX(B_VAL,MATCH(AY302,B_LVL,0)),"▲ Up","▼ Down"))</f>
        <v>• Same</v>
      </c>
      <c r="BJ302" s="40" t="str">
        <f>IF(OR($M302="",$M302="—",$M302="Not in this file"),"",IFERROR(INDEX($BG$7:$BG$592,MATCH($M302,$D$7:$D$592,0)),""))</f>
        <v>B2</v>
      </c>
      <c r="BK302" s="40" t="str">
        <f>IFERROR(IF(BJ302="","—",IF(OR(LEFT(BG302,1)="X",LEFT(BJ302,1)="X"),"—",IF(AND(LEFT(BG302,1)="E",LEFT(BJ302,1)="E"),"Exception · Band E",IF(AND(INDEX(B_VAL,MATCH(BJ302,B_LVL,0))&gt;=7,INDEX(B_RANK,MATCH(BG302,B_LVL,0))&gt;=INDEX(B_RANK,MATCH(BJ302,B_LVL,0))),"⚠ Same band as a head manager",IF(INDEX(B_VAL,MATCH(BG302,B_LVL,0))&gt;=INDEX(B_VAL,MATCH(BJ302,B_LVL,0)),"⚠ At or above the manager's level","OK"))))),"—")</f>
        <v>OK</v>
      </c>
      <c r="BL302" s="43" t="n"/>
      <c r="BM302" s="44">
        <f>IFERROR(INDEX(LMH_PTS,MATCH(Y302,LMH_KEY,0)),0)</f>
        <v>9</v>
      </c>
      <c r="BN302" s="38">
        <f>IFERROR(INDEX(LMH_PTS,MATCH(Z302,LMH_KEY,0)),0)</f>
        <v>3</v>
      </c>
      <c r="BO302" s="38">
        <f>IFERROR(INDEX(LMH_PTS,MATCH(AA302,LMH_KEY,0)),0)</f>
        <v>3</v>
      </c>
      <c r="BP302" s="38">
        <f>IFERROR(INDEX(LMH_PTS,MATCH(AB302,LMH_KEY,0)),0)</f>
        <v>1</v>
      </c>
      <c r="BQ302" s="38">
        <f>IFERROR(INDEX(LMH_PTS,MATCH(AC302,LMH_KEY,0)),0)</f>
        <v>3</v>
      </c>
      <c r="BR302" s="38">
        <f>IFERROR(INDEX(LMH_PTS,MATCH(AD302,LMH_KEY,0)),0)</f>
        <v>1</v>
      </c>
      <c r="BS302" s="38">
        <f>IFERROR(INDEX(LMH_PTS,MATCH(AE302,LMH_KEY,0)),0)</f>
        <v>1</v>
      </c>
      <c r="BT302" s="38">
        <f>IFERROR(INDEX(LMH_STEP,MATCH(AF302,LMH_KEY,0)),0)</f>
        <v>0</v>
      </c>
      <c r="BU302" s="38">
        <f>IFERROR(INDEX(LMH_STEP,MATCH(AG302,LMH_KEY,0)),0)</f>
        <v>0</v>
      </c>
      <c r="BV302" s="38">
        <f>IFERROR(INDEX(LMH_STEP,MATCH(AH302,LMH_KEY,0)),0)</f>
        <v>0</v>
      </c>
      <c r="BW302" s="38">
        <f>IFERROR(INDEX(LMH_STEP,MATCH(AI302,LMH_KEY,0)),0)</f>
        <v>0</v>
      </c>
      <c r="BX302" s="38">
        <f>IFERROR(INDEX(LMH_STEP,MATCH(AJ302,LMH_KEY,0)),0)</f>
        <v>0</v>
      </c>
      <c r="BY302" s="38">
        <f>IFERROR(INDEX(LMH_STEP,MATCH(AK302,LMH_KEY,0)),0)</f>
        <v>0</v>
      </c>
      <c r="BZ302" s="38">
        <f>IFERROR(INDEX(LMH_STEP,MATCH(AL302,LMH_KEY,0)),0)</f>
        <v>0</v>
      </c>
      <c r="CA302" s="38" t="inlineStr">
        <is>
          <t>iFile|Support|Support Specialist|B1|B-IC</t>
        </is>
      </c>
    </row>
    <row r="303" ht="110" customHeight="1">
      <c r="A303" s="28" t="inlineStr">
        <is>
          <t>iFile</t>
        </is>
      </c>
      <c r="B303" s="29" t="inlineStr">
        <is>
          <t>Support</t>
        </is>
      </c>
      <c r="C303" s="29" t="n">
        <v>5</v>
      </c>
      <c r="D303" s="29" t="inlineStr">
        <is>
          <t>IRIS2046</t>
        </is>
      </c>
      <c r="E303" s="29" t="inlineStr">
        <is>
          <t>Bhagyashree Bauskar</t>
        </is>
      </c>
      <c r="F303" s="29" t="inlineStr">
        <is>
          <t>Client Solutions Executive</t>
        </is>
      </c>
      <c r="G303" s="29" t="inlineStr">
        <is>
          <t>Senior Support Executive</t>
        </is>
      </c>
      <c r="H303" s="29" t="inlineStr">
        <is>
          <t>Customer Success &amp; Support</t>
        </is>
      </c>
      <c r="I303" s="29" t="inlineStr">
        <is>
          <t>Application &amp; Product Support</t>
        </is>
      </c>
      <c r="J303" s="29" t="inlineStr">
        <is>
          <t>IC</t>
        </is>
      </c>
      <c r="K303" s="29" t="inlineStr">
        <is>
          <t>RC-031</t>
        </is>
      </c>
      <c r="L303" s="29" t="inlineStr">
        <is>
          <t>Kimaya Mundlye</t>
        </is>
      </c>
      <c r="M303" s="29" t="inlineStr">
        <is>
          <t>IRIS2118</t>
        </is>
      </c>
      <c r="N303" s="29" t="n">
        <v>6.1</v>
      </c>
      <c r="O303" s="29" t="n">
        <v>4.1</v>
      </c>
      <c r="P303" s="29" t="inlineStr">
        <is>
          <t>MBA</t>
        </is>
      </c>
      <c r="Q303" s="29" t="inlineStr">
        <is>
          <t>L3 – Professional / Associate</t>
        </is>
      </c>
      <c r="R303" s="29" t="inlineStr">
        <is>
          <t>A3</t>
        </is>
      </c>
      <c r="S303" s="30" t="inlineStr">
        <is>
          <t>20 of 20</t>
        </is>
      </c>
      <c r="T303" s="31" t="inlineStr">
        <is>
          <t>Complexity: Evidence reads like A3: Data modelling · CMS and item master creation, root-cause finding; manager cites EBR domain expertise → moved up 0.5
Autonomy: Evidence reads like A2: Decides only on resolving errors → matches the start
Accountability: Evidence reads like A2: CR returns and domain queries; errors mean rework and client delay → matches …</t>
        </is>
      </c>
      <c r="U303" s="31" t="inlineStr">
        <is>
          <t>Received · manager annual, quarterly · 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t>
        </is>
      </c>
      <c r="V303" s="31" t="inlineStr">
        <is>
          <t>Latest rating: 5 · Potential: High · 9-box: High Impact / Growth Talent · Readiness: Ready now</t>
        </is>
      </c>
      <c r="W303" s="31" t="inlineStr">
        <is>
          <t>C M · Au L · Ac L · L L · BI L · Exp H · 6.1 yrs vs 2–4 yrs · Edu H · MBA</t>
        </is>
      </c>
      <c r="X303" s="33" t="inlineStr">
        <is>
          <t>Open ▸</t>
        </is>
      </c>
      <c r="Y303" s="34" t="str">
        <f>IFERROR(INDEX(DL_C,MATCH($CA303,DL_KEY,0)),"M")</f>
        <v>H</v>
      </c>
      <c r="Z303" s="35" t="str">
        <f>IFERROR(INDEX(DL_Au,MATCH($CA303,DL_KEY,0)),"M")</f>
        <v>M</v>
      </c>
      <c r="AA303" s="35" t="str">
        <f>IFERROR(INDEX(DL_Ac,MATCH($CA303,DL_KEY,0)),"M")</f>
        <v>M</v>
      </c>
      <c r="AB303" s="35" t="str">
        <f>IFERROR(INDEX(DL_L,MATCH($CA303,DL_KEY,0)),"M")</f>
        <v>L</v>
      </c>
      <c r="AC303" s="35" t="str">
        <f>IFERROR(INDEX(DL_BI,MATCH($CA303,DL_KEY,0)),"M")</f>
        <v>M</v>
      </c>
      <c r="AD303" s="35" t="str">
        <f>IFERROR(INDEX(DL_Exp,MATCH($CA303,DL_KEY,0)),"M")</f>
        <v>L</v>
      </c>
      <c r="AE303" s="35" t="str">
        <f>IFERROR(INDEX(DL_Edu,MATCH($CA303,DL_KEY,0)),"M")</f>
        <v>L</v>
      </c>
      <c r="AF303" s="34" t="inlineStr">
        <is>
          <t>M</t>
        </is>
      </c>
      <c r="AG303" s="35" t="inlineStr">
        <is>
          <t>M</t>
        </is>
      </c>
      <c r="AH303" s="35" t="inlineStr">
        <is>
          <t>M</t>
        </is>
      </c>
      <c r="AI303" s="35" t="inlineStr">
        <is>
          <t>M</t>
        </is>
      </c>
      <c r="AJ303" s="35" t="inlineStr">
        <is>
          <t>M</t>
        </is>
      </c>
      <c r="AK303" s="35" t="inlineStr">
        <is>
          <t>M</t>
        </is>
      </c>
      <c r="AL303" s="35" t="inlineStr">
        <is>
          <t>M</t>
        </is>
      </c>
      <c r="AM303" s="36" t="n">
        <v>0.583</v>
      </c>
      <c r="AN303" s="37" t="n">
        <v>0.16</v>
      </c>
      <c r="AO303" s="37" t="n">
        <v>0.09</v>
      </c>
      <c r="AP303" s="37" t="n">
        <v>0</v>
      </c>
      <c r="AQ303" s="37" t="n">
        <v>0.063</v>
      </c>
      <c r="AR303" s="37" t="n">
        <v>0.06</v>
      </c>
      <c r="AS303" s="37" t="n">
        <v>0.04</v>
      </c>
      <c r="AT303" s="38" t="inlineStr">
        <is>
          <t>2–5</t>
        </is>
      </c>
      <c r="AU303" s="38" t="inlineStr">
        <is>
          <t>Graduate; relevant certification preferred</t>
        </is>
      </c>
      <c r="AV303" s="38" t="inlineStr">
        <is>
          <t>None · guides 1–3 juniors informally</t>
        </is>
      </c>
      <c r="AW303" s="38" t="inlineStr">
        <is>
          <t>P2 · SFIA 3 Apply</t>
        </is>
      </c>
      <c r="AX30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03" s="39" t="inlineStr">
        <is>
          <t>A3</t>
        </is>
      </c>
      <c r="AZ303" s="40" t="inlineStr">
        <is>
          <t>Band A · Practitioner · Senior Associate</t>
        </is>
      </c>
      <c r="BA303" s="40" t="inlineStr">
        <is>
          <t>Model A3 from the six ratings, the market-derived weights and rules R1–R13 · then No change · already below the manager</t>
        </is>
      </c>
      <c r="BB303" s="41" t="inlineStr">
        <is>
          <t>A3</t>
        </is>
      </c>
      <c r="BC303" s="40" t="inlineStr">
        <is>
          <t>The six ratings on the market-average weights of Band A · all tracks score 2.59 → A3 · Hay, Mercer IPE and public plans · experience 6.1 yrs vs the A3 market range 2–5</t>
        </is>
      </c>
      <c r="BD303" s="42">
        <f>IF(SUM(BM303,BN303,BO303,BP303,BQ303,BR303,BS303)=0,0,(BM303*BT303+BN303*BU303+BO303*BV303+BP303*BW303+BQ303*BX303+BR303*BY303+BS303*BZ303)/SUM(BM303,BN303,BO303,BP303,BQ303,BR303,BS303))</f>
        <v>0</v>
      </c>
      <c r="BE303" s="41" t="str">
        <f>IF(LEFT(AY303,1)="X",AY303,IF(OR(AY303="B+",AY303="C+"),INDEX(LAD_PC,MAX(1,MIN(14,MATCH(AY303,LAD_PC,0)+IF(BD303&gt;=0.5,1,IF(BD303&lt;=-0.5,-1,0))))),INDEX(LAD_STD,MAX(1,MIN(12,MATCH(AY303,LAD_STD,0)+IF(BD303&gt;=0.5,1,IF(BD303&lt;=-0.5,-1,0)))))))</f>
        <v>A3</v>
      </c>
      <c r="BF303" s="43" t="n"/>
      <c r="BG303" s="41" t="str">
        <f>IF(BF303&lt;&gt;"",BF303,BE303)</f>
        <v>A3</v>
      </c>
      <c r="BH303" s="40" t="str">
        <f>IFERROR(CHOOSE(INDEX(B_RANK,MATCH(BG303,B_LVL,0)),"Band A","Band B","B+ · Player-Coach","Band C","C+ · Player-Coach","Band D","Band E"),"Band X · Consultant")</f>
        <v>Band A</v>
      </c>
      <c r="BI303" s="40" t="str">
        <f>IF(BG303=AY303,"• Same",IF(INDEX(B_VAL,MATCH(BG303,B_LVL,0))&gt;INDEX(B_VAL,MATCH(AY303,B_LVL,0)),"▲ Up","▼ Down"))</f>
        <v>• Same</v>
      </c>
      <c r="BJ303" s="40" t="str">
        <f>IF(OR($M303="",$M303="—",$M303="Not in this file"),"",IFERROR(INDEX($BG$7:$BG$592,MATCH($M303,$D$7:$D$592,0)),""))</f>
        <v>B2</v>
      </c>
      <c r="BK303" s="40" t="str">
        <f>IFERROR(IF(BJ303="","—",IF(OR(LEFT(BG303,1)="X",LEFT(BJ303,1)="X"),"—",IF(AND(LEFT(BG303,1)="E",LEFT(BJ303,1)="E"),"Exception · Band E",IF(AND(INDEX(B_VAL,MATCH(BJ303,B_LVL,0))&gt;=7,INDEX(B_RANK,MATCH(BG303,B_LVL,0))&gt;=INDEX(B_RANK,MATCH(BJ303,B_LVL,0))),"⚠ Same band as a head manager",IF(INDEX(B_VAL,MATCH(BG303,B_LVL,0))&gt;=INDEX(B_VAL,MATCH(BJ303,B_LVL,0)),"⚠ At or above the manager's level","OK"))))),"—")</f>
        <v>OK</v>
      </c>
      <c r="BL303" s="43" t="n"/>
      <c r="BM303" s="44">
        <f>IFERROR(INDEX(LMH_PTS,MATCH(Y303,LMH_KEY,0)),0)</f>
        <v>9</v>
      </c>
      <c r="BN303" s="38">
        <f>IFERROR(INDEX(LMH_PTS,MATCH(Z303,LMH_KEY,0)),0)</f>
        <v>3</v>
      </c>
      <c r="BO303" s="38">
        <f>IFERROR(INDEX(LMH_PTS,MATCH(AA303,LMH_KEY,0)),0)</f>
        <v>3</v>
      </c>
      <c r="BP303" s="38">
        <f>IFERROR(INDEX(LMH_PTS,MATCH(AB303,LMH_KEY,0)),0)</f>
        <v>1</v>
      </c>
      <c r="BQ303" s="38">
        <f>IFERROR(INDEX(LMH_PTS,MATCH(AC303,LMH_KEY,0)),0)</f>
        <v>3</v>
      </c>
      <c r="BR303" s="38">
        <f>IFERROR(INDEX(LMH_PTS,MATCH(AD303,LMH_KEY,0)),0)</f>
        <v>1</v>
      </c>
      <c r="BS303" s="38">
        <f>IFERROR(INDEX(LMH_PTS,MATCH(AE303,LMH_KEY,0)),0)</f>
        <v>1</v>
      </c>
      <c r="BT303" s="38">
        <f>IFERROR(INDEX(LMH_STEP,MATCH(AF303,LMH_KEY,0)),0)</f>
        <v>0</v>
      </c>
      <c r="BU303" s="38">
        <f>IFERROR(INDEX(LMH_STEP,MATCH(AG303,LMH_KEY,0)),0)</f>
        <v>0</v>
      </c>
      <c r="BV303" s="38">
        <f>IFERROR(INDEX(LMH_STEP,MATCH(AH303,LMH_KEY,0)),0)</f>
        <v>0</v>
      </c>
      <c r="BW303" s="38">
        <f>IFERROR(INDEX(LMH_STEP,MATCH(AI303,LMH_KEY,0)),0)</f>
        <v>0</v>
      </c>
      <c r="BX303" s="38">
        <f>IFERROR(INDEX(LMH_STEP,MATCH(AJ303,LMH_KEY,0)),0)</f>
        <v>0</v>
      </c>
      <c r="BY303" s="38">
        <f>IFERROR(INDEX(LMH_STEP,MATCH(AK303,LMH_KEY,0)),0)</f>
        <v>0</v>
      </c>
      <c r="BZ303" s="38">
        <f>IFERROR(INDEX(LMH_STEP,MATCH(AL303,LMH_KEY,0)),0)</f>
        <v>0</v>
      </c>
      <c r="CA303" s="38" t="inlineStr">
        <is>
          <t>iFile|Support|Senior Support Executive|A3|A</t>
        </is>
      </c>
    </row>
    <row r="304" ht="110" customHeight="1">
      <c r="A304" s="28" t="inlineStr">
        <is>
          <t>iFile</t>
        </is>
      </c>
      <c r="B304" s="29" t="inlineStr">
        <is>
          <t>Support</t>
        </is>
      </c>
      <c r="C304" s="29" t="n">
        <v>5</v>
      </c>
      <c r="D304" s="29" t="inlineStr">
        <is>
          <t>IRIS2047</t>
        </is>
      </c>
      <c r="E304" s="29" t="inlineStr">
        <is>
          <t>Dipeeka Yewale</t>
        </is>
      </c>
      <c r="F304" s="29" t="inlineStr">
        <is>
          <t>Client Solutions Executive</t>
        </is>
      </c>
      <c r="G304" s="29" t="inlineStr">
        <is>
          <t>Senior Support Executive</t>
        </is>
      </c>
      <c r="H304" s="29" t="inlineStr">
        <is>
          <t>Customer Success &amp; Support</t>
        </is>
      </c>
      <c r="I304" s="29" t="inlineStr">
        <is>
          <t>Application &amp; Product Support</t>
        </is>
      </c>
      <c r="J304" s="29" t="inlineStr">
        <is>
          <t>IC</t>
        </is>
      </c>
      <c r="K304" s="29" t="inlineStr">
        <is>
          <t>RC-031</t>
        </is>
      </c>
      <c r="L304" s="29" t="inlineStr">
        <is>
          <t>Kimaya Mundlye</t>
        </is>
      </c>
      <c r="M304" s="29" t="inlineStr">
        <is>
          <t>IRIS2118</t>
        </is>
      </c>
      <c r="N304" s="29" t="n">
        <v>4.1</v>
      </c>
      <c r="O304" s="29" t="n">
        <v>4.1</v>
      </c>
      <c r="P304" s="29" t="inlineStr">
        <is>
          <t>B.Com</t>
        </is>
      </c>
      <c r="Q304" s="29" t="inlineStr">
        <is>
          <t>L3 – Professional / Associate</t>
        </is>
      </c>
      <c r="R304" s="29" t="inlineStr">
        <is>
          <t>A3</t>
        </is>
      </c>
      <c r="S304" s="30" t="inlineStr">
        <is>
          <t>19 of 20</t>
        </is>
      </c>
      <c r="T304" s="31" t="inlineStr">
        <is>
          <t>Complexity: Evidence reads like A2: Implements assigned CMS changes for client change requests and verifies DQ issues → matches the start
Autonomy: Evidence reads like A2: Decides only on resolving DQ issues → matches the start
Accountability: Evidence reads like A2: Assigned changes implemented accurately and tested; mistakes create rework → matches the …</t>
        </is>
      </c>
      <c r="U304" s="31" t="inlineStr">
        <is>
          <t>Received · manager annual, quarterly · 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t>
        </is>
      </c>
      <c r="V304" s="31" t="inlineStr">
        <is>
          <t>Latest rating: 3 · Potential: Medium · 9-box: Core Contributor · Readiness: Develop in role</t>
        </is>
      </c>
      <c r="W304" s="31" t="inlineStr">
        <is>
          <t>C L · Au L · Ac L · L L · BI L · Exp H · 4.1 yrs vs 2–4 yrs · Edu M · B.Com</t>
        </is>
      </c>
      <c r="X304" s="33" t="inlineStr">
        <is>
          <t>Open ▸</t>
        </is>
      </c>
      <c r="Y304" s="34" t="str">
        <f>IFERROR(INDEX(DL_C,MATCH($CA304,DL_KEY,0)),"M")</f>
        <v>H</v>
      </c>
      <c r="Z304" s="35" t="str">
        <f>IFERROR(INDEX(DL_Au,MATCH($CA304,DL_KEY,0)),"M")</f>
        <v>M</v>
      </c>
      <c r="AA304" s="35" t="str">
        <f>IFERROR(INDEX(DL_Ac,MATCH($CA304,DL_KEY,0)),"M")</f>
        <v>M</v>
      </c>
      <c r="AB304" s="35" t="str">
        <f>IFERROR(INDEX(DL_L,MATCH($CA304,DL_KEY,0)),"M")</f>
        <v>L</v>
      </c>
      <c r="AC304" s="35" t="str">
        <f>IFERROR(INDEX(DL_BI,MATCH($CA304,DL_KEY,0)),"M")</f>
        <v>M</v>
      </c>
      <c r="AD304" s="35" t="str">
        <f>IFERROR(INDEX(DL_Exp,MATCH($CA304,DL_KEY,0)),"M")</f>
        <v>L</v>
      </c>
      <c r="AE304" s="35" t="str">
        <f>IFERROR(INDEX(DL_Edu,MATCH($CA304,DL_KEY,0)),"M")</f>
        <v>L</v>
      </c>
      <c r="AF304" s="34" t="inlineStr">
        <is>
          <t>M</t>
        </is>
      </c>
      <c r="AG304" s="35" t="inlineStr">
        <is>
          <t>M</t>
        </is>
      </c>
      <c r="AH304" s="35" t="inlineStr">
        <is>
          <t>M</t>
        </is>
      </c>
      <c r="AI304" s="35" t="inlineStr">
        <is>
          <t>M</t>
        </is>
      </c>
      <c r="AJ304" s="35" t="inlineStr">
        <is>
          <t>M</t>
        </is>
      </c>
      <c r="AK304" s="35" t="inlineStr">
        <is>
          <t>M</t>
        </is>
      </c>
      <c r="AL304" s="35" t="inlineStr">
        <is>
          <t>M</t>
        </is>
      </c>
      <c r="AM304" s="36" t="n">
        <v>0.583</v>
      </c>
      <c r="AN304" s="37" t="n">
        <v>0.16</v>
      </c>
      <c r="AO304" s="37" t="n">
        <v>0.09</v>
      </c>
      <c r="AP304" s="37" t="n">
        <v>0</v>
      </c>
      <c r="AQ304" s="37" t="n">
        <v>0.063</v>
      </c>
      <c r="AR304" s="37" t="n">
        <v>0.06</v>
      </c>
      <c r="AS304" s="37" t="n">
        <v>0.04</v>
      </c>
      <c r="AT304" s="38" t="inlineStr">
        <is>
          <t>2–5</t>
        </is>
      </c>
      <c r="AU304" s="38" t="inlineStr">
        <is>
          <t>Graduate; relevant certification preferred</t>
        </is>
      </c>
      <c r="AV304" s="38" t="inlineStr">
        <is>
          <t>None · guides 1–3 juniors informally</t>
        </is>
      </c>
      <c r="AW304" s="38" t="inlineStr">
        <is>
          <t>P2 · SFIA 3 Apply</t>
        </is>
      </c>
      <c r="AX30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04" s="39" t="inlineStr">
        <is>
          <t>A3</t>
        </is>
      </c>
      <c r="AZ304" s="40" t="inlineStr">
        <is>
          <t>Band A · Practitioner · Senior Associate</t>
        </is>
      </c>
      <c r="BA304" s="40" t="inlineStr">
        <is>
          <t>Model A3 from the six ratings, the market-derived weights and rules R1–R13 · then No change · already below the manager</t>
        </is>
      </c>
      <c r="BB304" s="41" t="inlineStr">
        <is>
          <t>A2</t>
        </is>
      </c>
      <c r="BC304" s="40" t="inlineStr">
        <is>
          <t>The six ratings on the market-average weights of Band A · all tracks score 2.15 → A2 · Hay, Mercer IPE and public plans · experience 4.1 yrs vs the A2 market range 0–3</t>
        </is>
      </c>
      <c r="BD304" s="42">
        <f>IF(SUM(BM304,BN304,BO304,BP304,BQ304,BR304,BS304)=0,0,(BM304*BT304+BN304*BU304+BO304*BV304+BP304*BW304+BQ304*BX304+BR304*BY304+BS304*BZ304)/SUM(BM304,BN304,BO304,BP304,BQ304,BR304,BS304))</f>
        <v>0</v>
      </c>
      <c r="BE304" s="41" t="str">
        <f>IF(LEFT(AY304,1)="X",AY304,IF(OR(AY304="B+",AY304="C+"),INDEX(LAD_PC,MAX(1,MIN(14,MATCH(AY304,LAD_PC,0)+IF(BD304&gt;=0.5,1,IF(BD304&lt;=-0.5,-1,0))))),INDEX(LAD_STD,MAX(1,MIN(12,MATCH(AY304,LAD_STD,0)+IF(BD304&gt;=0.5,1,IF(BD304&lt;=-0.5,-1,0)))))))</f>
        <v>A3</v>
      </c>
      <c r="BF304" s="43" t="n"/>
      <c r="BG304" s="41" t="str">
        <f>IF(BF304&lt;&gt;"",BF304,BE304)</f>
        <v>A3</v>
      </c>
      <c r="BH304" s="40" t="str">
        <f>IFERROR(CHOOSE(INDEX(B_RANK,MATCH(BG304,B_LVL,0)),"Band A","Band B","B+ · Player-Coach","Band C","C+ · Player-Coach","Band D","Band E"),"Band X · Consultant")</f>
        <v>Band A</v>
      </c>
      <c r="BI304" s="40" t="str">
        <f>IF(BG304=AY304,"• Same",IF(INDEX(B_VAL,MATCH(BG304,B_LVL,0))&gt;INDEX(B_VAL,MATCH(AY304,B_LVL,0)),"▲ Up","▼ Down"))</f>
        <v>• Same</v>
      </c>
      <c r="BJ304" s="40" t="str">
        <f>IF(OR($M304="",$M304="—",$M304="Not in this file"),"",IFERROR(INDEX($BG$7:$BG$592,MATCH($M304,$D$7:$D$592,0)),""))</f>
        <v>B2</v>
      </c>
      <c r="BK304" s="40" t="str">
        <f>IFERROR(IF(BJ304="","—",IF(OR(LEFT(BG304,1)="X",LEFT(BJ304,1)="X"),"—",IF(AND(LEFT(BG304,1)="E",LEFT(BJ304,1)="E"),"Exception · Band E",IF(AND(INDEX(B_VAL,MATCH(BJ304,B_LVL,0))&gt;=7,INDEX(B_RANK,MATCH(BG304,B_LVL,0))&gt;=INDEX(B_RANK,MATCH(BJ304,B_LVL,0))),"⚠ Same band as a head manager",IF(INDEX(B_VAL,MATCH(BG304,B_LVL,0))&gt;=INDEX(B_VAL,MATCH(BJ304,B_LVL,0)),"⚠ At or above the manager's level","OK"))))),"—")</f>
        <v>OK</v>
      </c>
      <c r="BL304" s="43" t="n"/>
      <c r="BM304" s="44">
        <f>IFERROR(INDEX(LMH_PTS,MATCH(Y304,LMH_KEY,0)),0)</f>
        <v>9</v>
      </c>
      <c r="BN304" s="38">
        <f>IFERROR(INDEX(LMH_PTS,MATCH(Z304,LMH_KEY,0)),0)</f>
        <v>3</v>
      </c>
      <c r="BO304" s="38">
        <f>IFERROR(INDEX(LMH_PTS,MATCH(AA304,LMH_KEY,0)),0)</f>
        <v>3</v>
      </c>
      <c r="BP304" s="38">
        <f>IFERROR(INDEX(LMH_PTS,MATCH(AB304,LMH_KEY,0)),0)</f>
        <v>1</v>
      </c>
      <c r="BQ304" s="38">
        <f>IFERROR(INDEX(LMH_PTS,MATCH(AC304,LMH_KEY,0)),0)</f>
        <v>3</v>
      </c>
      <c r="BR304" s="38">
        <f>IFERROR(INDEX(LMH_PTS,MATCH(AD304,LMH_KEY,0)),0)</f>
        <v>1</v>
      </c>
      <c r="BS304" s="38">
        <f>IFERROR(INDEX(LMH_PTS,MATCH(AE304,LMH_KEY,0)),0)</f>
        <v>1</v>
      </c>
      <c r="BT304" s="38">
        <f>IFERROR(INDEX(LMH_STEP,MATCH(AF304,LMH_KEY,0)),0)</f>
        <v>0</v>
      </c>
      <c r="BU304" s="38">
        <f>IFERROR(INDEX(LMH_STEP,MATCH(AG304,LMH_KEY,0)),0)</f>
        <v>0</v>
      </c>
      <c r="BV304" s="38">
        <f>IFERROR(INDEX(LMH_STEP,MATCH(AH304,LMH_KEY,0)),0)</f>
        <v>0</v>
      </c>
      <c r="BW304" s="38">
        <f>IFERROR(INDEX(LMH_STEP,MATCH(AI304,LMH_KEY,0)),0)</f>
        <v>0</v>
      </c>
      <c r="BX304" s="38">
        <f>IFERROR(INDEX(LMH_STEP,MATCH(AJ304,LMH_KEY,0)),0)</f>
        <v>0</v>
      </c>
      <c r="BY304" s="38">
        <f>IFERROR(INDEX(LMH_STEP,MATCH(AK304,LMH_KEY,0)),0)</f>
        <v>0</v>
      </c>
      <c r="BZ304" s="38">
        <f>IFERROR(INDEX(LMH_STEP,MATCH(AL304,LMH_KEY,0)),0)</f>
        <v>0</v>
      </c>
      <c r="CA304" s="38" t="inlineStr">
        <is>
          <t>iFile|Support|Senior Support Executive|A3|A</t>
        </is>
      </c>
    </row>
    <row r="305" ht="110" customHeight="1">
      <c r="A305" s="28" t="inlineStr">
        <is>
          <t>iFile</t>
        </is>
      </c>
      <c r="B305" s="29" t="inlineStr">
        <is>
          <t>Support</t>
        </is>
      </c>
      <c r="C305" s="29" t="n">
        <v>5</v>
      </c>
      <c r="D305" s="29" t="inlineStr">
        <is>
          <t>IRIS1931</t>
        </is>
      </c>
      <c r="E305" s="29" t="inlineStr">
        <is>
          <t>Manohar Golbane</t>
        </is>
      </c>
      <c r="F305" s="29" t="inlineStr">
        <is>
          <t>Analyst</t>
        </is>
      </c>
      <c r="G305" s="29" t="inlineStr">
        <is>
          <t>Senior Support Executive</t>
        </is>
      </c>
      <c r="H305" s="29" t="inlineStr">
        <is>
          <t>Customer Success &amp; Support</t>
        </is>
      </c>
      <c r="I305" s="29" t="inlineStr">
        <is>
          <t>Application &amp; Product Support</t>
        </is>
      </c>
      <c r="J305" s="29" t="inlineStr">
        <is>
          <t>IC</t>
        </is>
      </c>
      <c r="K305" s="29" t="inlineStr">
        <is>
          <t>RC-031</t>
        </is>
      </c>
      <c r="L305" s="29" t="inlineStr">
        <is>
          <t>Kimaya Mundlye</t>
        </is>
      </c>
      <c r="M305" s="29" t="inlineStr">
        <is>
          <t>IRIS2118</t>
        </is>
      </c>
      <c r="N305" s="29" t="n">
        <v>13.6</v>
      </c>
      <c r="O305" s="29" t="n">
        <v>5.2</v>
      </c>
      <c r="P305" s="29" t="inlineStr">
        <is>
          <t>B.Com</t>
        </is>
      </c>
      <c r="Q305" s="29" t="inlineStr">
        <is>
          <t>L3 – Professional / Associate</t>
        </is>
      </c>
      <c r="R305" s="29" t="inlineStr">
        <is>
          <t>A3</t>
        </is>
      </c>
      <c r="S305" s="30" t="inlineStr">
        <is>
          <t>20 of 20</t>
        </is>
      </c>
      <c r="T305" s="31" t="inlineStr">
        <is>
          <t>Complexity: Evidence reads like A3: own survey / KRA answers · summarised by the rater; not quoted → moved up 0.5
Autonomy: Evidence reads like A2: Decides only on returns testing; coordinates with TCS and ReBIT teams → matches the start
Accountability: Evidence reads like A3: Tests returns before release; answerable for client-side issues after testing → …</t>
        </is>
      </c>
      <c r="U305" s="31" t="inlineStr">
        <is>
          <t>Received · manager annual, quarterly · 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t>
        </is>
      </c>
      <c r="V305" s="31" t="inlineStr">
        <is>
          <t>Latest rating: 4 · Potential: High · 9-box: High Impact / Growth Talent · Readiness: Ready now</t>
        </is>
      </c>
      <c r="W305" s="31" t="inlineStr">
        <is>
          <t>C M · Au L · Ac M · L L · BI M · Exp H · 13.6 yrs vs 2–4 yrs · Edu M · B.Com</t>
        </is>
      </c>
      <c r="X305" s="33" t="inlineStr">
        <is>
          <t>Open ▸</t>
        </is>
      </c>
      <c r="Y305" s="34" t="str">
        <f>IFERROR(INDEX(DL_C,MATCH($CA305,DL_KEY,0)),"M")</f>
        <v>H</v>
      </c>
      <c r="Z305" s="35" t="str">
        <f>IFERROR(INDEX(DL_Au,MATCH($CA305,DL_KEY,0)),"M")</f>
        <v>M</v>
      </c>
      <c r="AA305" s="35" t="str">
        <f>IFERROR(INDEX(DL_Ac,MATCH($CA305,DL_KEY,0)),"M")</f>
        <v>M</v>
      </c>
      <c r="AB305" s="35" t="str">
        <f>IFERROR(INDEX(DL_L,MATCH($CA305,DL_KEY,0)),"M")</f>
        <v>L</v>
      </c>
      <c r="AC305" s="35" t="str">
        <f>IFERROR(INDEX(DL_BI,MATCH($CA305,DL_KEY,0)),"M")</f>
        <v>M</v>
      </c>
      <c r="AD305" s="35" t="str">
        <f>IFERROR(INDEX(DL_Exp,MATCH($CA305,DL_KEY,0)),"M")</f>
        <v>L</v>
      </c>
      <c r="AE305" s="35" t="str">
        <f>IFERROR(INDEX(DL_Edu,MATCH($CA305,DL_KEY,0)),"M")</f>
        <v>L</v>
      </c>
      <c r="AF305" s="34" t="inlineStr">
        <is>
          <t>M</t>
        </is>
      </c>
      <c r="AG305" s="35" t="inlineStr">
        <is>
          <t>M</t>
        </is>
      </c>
      <c r="AH305" s="35" t="inlineStr">
        <is>
          <t>M</t>
        </is>
      </c>
      <c r="AI305" s="35" t="inlineStr">
        <is>
          <t>M</t>
        </is>
      </c>
      <c r="AJ305" s="35" t="inlineStr">
        <is>
          <t>M</t>
        </is>
      </c>
      <c r="AK305" s="35" t="inlineStr">
        <is>
          <t>M</t>
        </is>
      </c>
      <c r="AL305" s="35" t="inlineStr">
        <is>
          <t>M</t>
        </is>
      </c>
      <c r="AM305" s="36" t="n">
        <v>0.583</v>
      </c>
      <c r="AN305" s="37" t="n">
        <v>0.16</v>
      </c>
      <c r="AO305" s="37" t="n">
        <v>0.09</v>
      </c>
      <c r="AP305" s="37" t="n">
        <v>0</v>
      </c>
      <c r="AQ305" s="37" t="n">
        <v>0.063</v>
      </c>
      <c r="AR305" s="37" t="n">
        <v>0.06</v>
      </c>
      <c r="AS305" s="37" t="n">
        <v>0.04</v>
      </c>
      <c r="AT305" s="38" t="inlineStr">
        <is>
          <t>2–5</t>
        </is>
      </c>
      <c r="AU305" s="38" t="inlineStr">
        <is>
          <t>Graduate; relevant certification preferred</t>
        </is>
      </c>
      <c r="AV305" s="38" t="inlineStr">
        <is>
          <t>None · guides 1–3 juniors informally</t>
        </is>
      </c>
      <c r="AW305" s="38" t="inlineStr">
        <is>
          <t>P2 · SFIA 3 Apply</t>
        </is>
      </c>
      <c r="AX30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05" s="39" t="inlineStr">
        <is>
          <t>A3</t>
        </is>
      </c>
      <c r="AZ305" s="40" t="inlineStr">
        <is>
          <t>Band A · Practitioner · Senior Associate</t>
        </is>
      </c>
      <c r="BA305" s="40" t="inlineStr">
        <is>
          <t>Model A3 from the six ratings, the market-derived weights and rules R1–R13 · then No change · already below the manager</t>
        </is>
      </c>
      <c r="BB305" s="41" t="inlineStr">
        <is>
          <t>A3</t>
        </is>
      </c>
      <c r="BC305" s="40" t="inlineStr">
        <is>
          <t>The six ratings on the market-average weights of Band A · all tracks score 2.92 → A3 · Hay, Mercer IPE and public plans · experience 13.6 yrs vs the A3 market range 2–5</t>
        </is>
      </c>
      <c r="BD305" s="42">
        <f>IF(SUM(BM305,BN305,BO305,BP305,BQ305,BR305,BS305)=0,0,(BM305*BT305+BN305*BU305+BO305*BV305+BP305*BW305+BQ305*BX305+BR305*BY305+BS305*BZ305)/SUM(BM305,BN305,BO305,BP305,BQ305,BR305,BS305))</f>
        <v>0</v>
      </c>
      <c r="BE305" s="41" t="str">
        <f>IF(LEFT(AY305,1)="X",AY305,IF(OR(AY305="B+",AY305="C+"),INDEX(LAD_PC,MAX(1,MIN(14,MATCH(AY305,LAD_PC,0)+IF(BD305&gt;=0.5,1,IF(BD305&lt;=-0.5,-1,0))))),INDEX(LAD_STD,MAX(1,MIN(12,MATCH(AY305,LAD_STD,0)+IF(BD305&gt;=0.5,1,IF(BD305&lt;=-0.5,-1,0)))))))</f>
        <v>A3</v>
      </c>
      <c r="BF305" s="43" t="n"/>
      <c r="BG305" s="41" t="str">
        <f>IF(BF305&lt;&gt;"",BF305,BE305)</f>
        <v>A3</v>
      </c>
      <c r="BH305" s="40" t="str">
        <f>IFERROR(CHOOSE(INDEX(B_RANK,MATCH(BG305,B_LVL,0)),"Band A","Band B","B+ · Player-Coach","Band C","C+ · Player-Coach","Band D","Band E"),"Band X · Consultant")</f>
        <v>Band A</v>
      </c>
      <c r="BI305" s="40" t="str">
        <f>IF(BG305=AY305,"• Same",IF(INDEX(B_VAL,MATCH(BG305,B_LVL,0))&gt;INDEX(B_VAL,MATCH(AY305,B_LVL,0)),"▲ Up","▼ Down"))</f>
        <v>• Same</v>
      </c>
      <c r="BJ305" s="40" t="str">
        <f>IF(OR($M305="",$M305="—",$M305="Not in this file"),"",IFERROR(INDEX($BG$7:$BG$592,MATCH($M305,$D$7:$D$592,0)),""))</f>
        <v>B2</v>
      </c>
      <c r="BK305" s="40" t="str">
        <f>IFERROR(IF(BJ305="","—",IF(OR(LEFT(BG305,1)="X",LEFT(BJ305,1)="X"),"—",IF(AND(LEFT(BG305,1)="E",LEFT(BJ305,1)="E"),"Exception · Band E",IF(AND(INDEX(B_VAL,MATCH(BJ305,B_LVL,0))&gt;=7,INDEX(B_RANK,MATCH(BG305,B_LVL,0))&gt;=INDEX(B_RANK,MATCH(BJ305,B_LVL,0))),"⚠ Same band as a head manager",IF(INDEX(B_VAL,MATCH(BG305,B_LVL,0))&gt;=INDEX(B_VAL,MATCH(BJ305,B_LVL,0)),"⚠ At or above the manager's level","OK"))))),"—")</f>
        <v>OK</v>
      </c>
      <c r="BL305" s="43" t="n"/>
      <c r="BM305" s="44">
        <f>IFERROR(INDEX(LMH_PTS,MATCH(Y305,LMH_KEY,0)),0)</f>
        <v>9</v>
      </c>
      <c r="BN305" s="38">
        <f>IFERROR(INDEX(LMH_PTS,MATCH(Z305,LMH_KEY,0)),0)</f>
        <v>3</v>
      </c>
      <c r="BO305" s="38">
        <f>IFERROR(INDEX(LMH_PTS,MATCH(AA305,LMH_KEY,0)),0)</f>
        <v>3</v>
      </c>
      <c r="BP305" s="38">
        <f>IFERROR(INDEX(LMH_PTS,MATCH(AB305,LMH_KEY,0)),0)</f>
        <v>1</v>
      </c>
      <c r="BQ305" s="38">
        <f>IFERROR(INDEX(LMH_PTS,MATCH(AC305,LMH_KEY,0)),0)</f>
        <v>3</v>
      </c>
      <c r="BR305" s="38">
        <f>IFERROR(INDEX(LMH_PTS,MATCH(AD305,LMH_KEY,0)),0)</f>
        <v>1</v>
      </c>
      <c r="BS305" s="38">
        <f>IFERROR(INDEX(LMH_PTS,MATCH(AE305,LMH_KEY,0)),0)</f>
        <v>1</v>
      </c>
      <c r="BT305" s="38">
        <f>IFERROR(INDEX(LMH_STEP,MATCH(AF305,LMH_KEY,0)),0)</f>
        <v>0</v>
      </c>
      <c r="BU305" s="38">
        <f>IFERROR(INDEX(LMH_STEP,MATCH(AG305,LMH_KEY,0)),0)</f>
        <v>0</v>
      </c>
      <c r="BV305" s="38">
        <f>IFERROR(INDEX(LMH_STEP,MATCH(AH305,LMH_KEY,0)),0)</f>
        <v>0</v>
      </c>
      <c r="BW305" s="38">
        <f>IFERROR(INDEX(LMH_STEP,MATCH(AI305,LMH_KEY,0)),0)</f>
        <v>0</v>
      </c>
      <c r="BX305" s="38">
        <f>IFERROR(INDEX(LMH_STEP,MATCH(AJ305,LMH_KEY,0)),0)</f>
        <v>0</v>
      </c>
      <c r="BY305" s="38">
        <f>IFERROR(INDEX(LMH_STEP,MATCH(AK305,LMH_KEY,0)),0)</f>
        <v>0</v>
      </c>
      <c r="BZ305" s="38">
        <f>IFERROR(INDEX(LMH_STEP,MATCH(AL305,LMH_KEY,0)),0)</f>
        <v>0</v>
      </c>
      <c r="CA305" s="38" t="inlineStr">
        <is>
          <t>iFile|Support|Senior Support Executive|A3|A</t>
        </is>
      </c>
    </row>
    <row r="306" ht="110" customHeight="1">
      <c r="A306" s="28" t="inlineStr">
        <is>
          <t>iFile</t>
        </is>
      </c>
      <c r="B306" s="29" t="inlineStr">
        <is>
          <t>Support</t>
        </is>
      </c>
      <c r="C306" s="29" t="n">
        <v>5</v>
      </c>
      <c r="D306" s="29" t="inlineStr">
        <is>
          <t>IRIS2203</t>
        </is>
      </c>
      <c r="E306" s="29" t="inlineStr">
        <is>
          <t>Prajakta Mandhare</t>
        </is>
      </c>
      <c r="F306" s="29" t="inlineStr">
        <is>
          <t>Client Solutions Executive</t>
        </is>
      </c>
      <c r="G306" s="29" t="inlineStr">
        <is>
          <t>Senior Support Executive</t>
        </is>
      </c>
      <c r="H306" s="29" t="inlineStr">
        <is>
          <t>Customer Success &amp; Support</t>
        </is>
      </c>
      <c r="I306" s="29" t="inlineStr">
        <is>
          <t>Application &amp; Product Support</t>
        </is>
      </c>
      <c r="J306" s="29" t="inlineStr">
        <is>
          <t>IC</t>
        </is>
      </c>
      <c r="K306" s="29" t="inlineStr">
        <is>
          <t>RC-031</t>
        </is>
      </c>
      <c r="L306" s="29" t="inlineStr">
        <is>
          <t>Kimaya Mundlye</t>
        </is>
      </c>
      <c r="M306" s="29" t="inlineStr">
        <is>
          <t>IRIS2118</t>
        </is>
      </c>
      <c r="N306" s="29" t="n">
        <v>7.1</v>
      </c>
      <c r="O306" s="29" t="n">
        <v>2.9</v>
      </c>
      <c r="P306" s="29" t="inlineStr">
        <is>
          <t>B.Com</t>
        </is>
      </c>
      <c r="Q306" s="29" t="inlineStr">
        <is>
          <t>L3 – Professional / Associate</t>
        </is>
      </c>
      <c r="R306" s="29" t="inlineStr">
        <is>
          <t>A3</t>
        </is>
      </c>
      <c r="S306" s="30" t="inlineStr">
        <is>
          <t>20 of 20</t>
        </is>
      </c>
      <c r="T306" s="31" t="inlineStr">
        <is>
          <t>Complexity: Evidence reads like A2: Creates and executes test cases; handles queries, escalating unresolved technical issues → matches the start
Autonomy: Evidence reads like A2: Resolves validation errors; escalates to technical team when basic checks fail → matches the start
Accountability: Evidence reads like A2: Correctness of own resolutions and test …</t>
        </is>
      </c>
      <c r="U306" s="31" t="inlineStr">
        <is>
          <t>Received · manager annual, quarterly · 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t>
        </is>
      </c>
      <c r="V306" s="31" t="inlineStr">
        <is>
          <t>Latest rating: 3 · Potential: High · 9-box: Emerging Talent · Readiness: Ready in 6–12 months</t>
        </is>
      </c>
      <c r="W306" s="31" t="inlineStr">
        <is>
          <t>C L · Au L · Ac L · L L · BI L · Exp H · 7.1 yrs vs 2–4 yrs · Edu M · B.Com</t>
        </is>
      </c>
      <c r="X306" s="33" t="inlineStr">
        <is>
          <t>Open ▸</t>
        </is>
      </c>
      <c r="Y306" s="34" t="str">
        <f>IFERROR(INDEX(DL_C,MATCH($CA306,DL_KEY,0)),"M")</f>
        <v>H</v>
      </c>
      <c r="Z306" s="35" t="str">
        <f>IFERROR(INDEX(DL_Au,MATCH($CA306,DL_KEY,0)),"M")</f>
        <v>M</v>
      </c>
      <c r="AA306" s="35" t="str">
        <f>IFERROR(INDEX(DL_Ac,MATCH($CA306,DL_KEY,0)),"M")</f>
        <v>M</v>
      </c>
      <c r="AB306" s="35" t="str">
        <f>IFERROR(INDEX(DL_L,MATCH($CA306,DL_KEY,0)),"M")</f>
        <v>L</v>
      </c>
      <c r="AC306" s="35" t="str">
        <f>IFERROR(INDEX(DL_BI,MATCH($CA306,DL_KEY,0)),"M")</f>
        <v>M</v>
      </c>
      <c r="AD306" s="35" t="str">
        <f>IFERROR(INDEX(DL_Exp,MATCH($CA306,DL_KEY,0)),"M")</f>
        <v>L</v>
      </c>
      <c r="AE306" s="35" t="str">
        <f>IFERROR(INDEX(DL_Edu,MATCH($CA306,DL_KEY,0)),"M")</f>
        <v>L</v>
      </c>
      <c r="AF306" s="34" t="inlineStr">
        <is>
          <t>M</t>
        </is>
      </c>
      <c r="AG306" s="35" t="inlineStr">
        <is>
          <t>M</t>
        </is>
      </c>
      <c r="AH306" s="35" t="inlineStr">
        <is>
          <t>M</t>
        </is>
      </c>
      <c r="AI306" s="35" t="inlineStr">
        <is>
          <t>M</t>
        </is>
      </c>
      <c r="AJ306" s="35" t="inlineStr">
        <is>
          <t>M</t>
        </is>
      </c>
      <c r="AK306" s="35" t="inlineStr">
        <is>
          <t>M</t>
        </is>
      </c>
      <c r="AL306" s="35" t="inlineStr">
        <is>
          <t>M</t>
        </is>
      </c>
      <c r="AM306" s="36" t="n">
        <v>0.583</v>
      </c>
      <c r="AN306" s="37" t="n">
        <v>0.16</v>
      </c>
      <c r="AO306" s="37" t="n">
        <v>0.09</v>
      </c>
      <c r="AP306" s="37" t="n">
        <v>0</v>
      </c>
      <c r="AQ306" s="37" t="n">
        <v>0.063</v>
      </c>
      <c r="AR306" s="37" t="n">
        <v>0.06</v>
      </c>
      <c r="AS306" s="37" t="n">
        <v>0.04</v>
      </c>
      <c r="AT306" s="38" t="inlineStr">
        <is>
          <t>2–5</t>
        </is>
      </c>
      <c r="AU306" s="38" t="inlineStr">
        <is>
          <t>Graduate; relevant certification preferred</t>
        </is>
      </c>
      <c r="AV306" s="38" t="inlineStr">
        <is>
          <t>None · guides 1–3 juniors informally</t>
        </is>
      </c>
      <c r="AW306" s="38" t="inlineStr">
        <is>
          <t>P2 · SFIA 3 Apply</t>
        </is>
      </c>
      <c r="AX30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06" s="39" t="inlineStr">
        <is>
          <t>A3</t>
        </is>
      </c>
      <c r="AZ306" s="40" t="inlineStr">
        <is>
          <t>Band A · Practitioner · Senior Associate</t>
        </is>
      </c>
      <c r="BA306" s="40" t="inlineStr">
        <is>
          <t>Model A3 from the six ratings, the market-derived weights and rules R1–R13 · then No change · already below the manager</t>
        </is>
      </c>
      <c r="BB306" s="41" t="inlineStr">
        <is>
          <t>A2</t>
        </is>
      </c>
      <c r="BC306" s="40" t="inlineStr">
        <is>
          <t>The six ratings on the market-average weights of Band A · all tracks score 2.30 → A2 · Hay, Mercer IPE and public plans · experience 7.1 yrs vs the A2 market range 0–3</t>
        </is>
      </c>
      <c r="BD306" s="42">
        <f>IF(SUM(BM306,BN306,BO306,BP306,BQ306,BR306,BS306)=0,0,(BM306*BT306+BN306*BU306+BO306*BV306+BP306*BW306+BQ306*BX306+BR306*BY306+BS306*BZ306)/SUM(BM306,BN306,BO306,BP306,BQ306,BR306,BS306))</f>
        <v>0</v>
      </c>
      <c r="BE306" s="41" t="str">
        <f>IF(LEFT(AY306,1)="X",AY306,IF(OR(AY306="B+",AY306="C+"),INDEX(LAD_PC,MAX(1,MIN(14,MATCH(AY306,LAD_PC,0)+IF(BD306&gt;=0.5,1,IF(BD306&lt;=-0.5,-1,0))))),INDEX(LAD_STD,MAX(1,MIN(12,MATCH(AY306,LAD_STD,0)+IF(BD306&gt;=0.5,1,IF(BD306&lt;=-0.5,-1,0)))))))</f>
        <v>A3</v>
      </c>
      <c r="BF306" s="43" t="n"/>
      <c r="BG306" s="41" t="str">
        <f>IF(BF306&lt;&gt;"",BF306,BE306)</f>
        <v>A3</v>
      </c>
      <c r="BH306" s="40" t="str">
        <f>IFERROR(CHOOSE(INDEX(B_RANK,MATCH(BG306,B_LVL,0)),"Band A","Band B","B+ · Player-Coach","Band C","C+ · Player-Coach","Band D","Band E"),"Band X · Consultant")</f>
        <v>Band A</v>
      </c>
      <c r="BI306" s="40" t="str">
        <f>IF(BG306=AY306,"• Same",IF(INDEX(B_VAL,MATCH(BG306,B_LVL,0))&gt;INDEX(B_VAL,MATCH(AY306,B_LVL,0)),"▲ Up","▼ Down"))</f>
        <v>• Same</v>
      </c>
      <c r="BJ306" s="40" t="str">
        <f>IF(OR($M306="",$M306="—",$M306="Not in this file"),"",IFERROR(INDEX($BG$7:$BG$592,MATCH($M306,$D$7:$D$592,0)),""))</f>
        <v>B2</v>
      </c>
      <c r="BK306" s="40" t="str">
        <f>IFERROR(IF(BJ306="","—",IF(OR(LEFT(BG306,1)="X",LEFT(BJ306,1)="X"),"—",IF(AND(LEFT(BG306,1)="E",LEFT(BJ306,1)="E"),"Exception · Band E",IF(AND(INDEX(B_VAL,MATCH(BJ306,B_LVL,0))&gt;=7,INDEX(B_RANK,MATCH(BG306,B_LVL,0))&gt;=INDEX(B_RANK,MATCH(BJ306,B_LVL,0))),"⚠ Same band as a head manager",IF(INDEX(B_VAL,MATCH(BG306,B_LVL,0))&gt;=INDEX(B_VAL,MATCH(BJ306,B_LVL,0)),"⚠ At or above the manager's level","OK"))))),"—")</f>
        <v>OK</v>
      </c>
      <c r="BL306" s="43" t="n"/>
      <c r="BM306" s="44">
        <f>IFERROR(INDEX(LMH_PTS,MATCH(Y306,LMH_KEY,0)),0)</f>
        <v>9</v>
      </c>
      <c r="BN306" s="38">
        <f>IFERROR(INDEX(LMH_PTS,MATCH(Z306,LMH_KEY,0)),0)</f>
        <v>3</v>
      </c>
      <c r="BO306" s="38">
        <f>IFERROR(INDEX(LMH_PTS,MATCH(AA306,LMH_KEY,0)),0)</f>
        <v>3</v>
      </c>
      <c r="BP306" s="38">
        <f>IFERROR(INDEX(LMH_PTS,MATCH(AB306,LMH_KEY,0)),0)</f>
        <v>1</v>
      </c>
      <c r="BQ306" s="38">
        <f>IFERROR(INDEX(LMH_PTS,MATCH(AC306,LMH_KEY,0)),0)</f>
        <v>3</v>
      </c>
      <c r="BR306" s="38">
        <f>IFERROR(INDEX(LMH_PTS,MATCH(AD306,LMH_KEY,0)),0)</f>
        <v>1</v>
      </c>
      <c r="BS306" s="38">
        <f>IFERROR(INDEX(LMH_PTS,MATCH(AE306,LMH_KEY,0)),0)</f>
        <v>1</v>
      </c>
      <c r="BT306" s="38">
        <f>IFERROR(INDEX(LMH_STEP,MATCH(AF306,LMH_KEY,0)),0)</f>
        <v>0</v>
      </c>
      <c r="BU306" s="38">
        <f>IFERROR(INDEX(LMH_STEP,MATCH(AG306,LMH_KEY,0)),0)</f>
        <v>0</v>
      </c>
      <c r="BV306" s="38">
        <f>IFERROR(INDEX(LMH_STEP,MATCH(AH306,LMH_KEY,0)),0)</f>
        <v>0</v>
      </c>
      <c r="BW306" s="38">
        <f>IFERROR(INDEX(LMH_STEP,MATCH(AI306,LMH_KEY,0)),0)</f>
        <v>0</v>
      </c>
      <c r="BX306" s="38">
        <f>IFERROR(INDEX(LMH_STEP,MATCH(AJ306,LMH_KEY,0)),0)</f>
        <v>0</v>
      </c>
      <c r="BY306" s="38">
        <f>IFERROR(INDEX(LMH_STEP,MATCH(AK306,LMH_KEY,0)),0)</f>
        <v>0</v>
      </c>
      <c r="BZ306" s="38">
        <f>IFERROR(INDEX(LMH_STEP,MATCH(AL306,LMH_KEY,0)),0)</f>
        <v>0</v>
      </c>
      <c r="CA306" s="38" t="inlineStr">
        <is>
          <t>iFile|Support|Senior Support Executive|A3|A</t>
        </is>
      </c>
    </row>
    <row r="307" ht="110" customHeight="1">
      <c r="A307" s="28" t="inlineStr">
        <is>
          <t>iFile</t>
        </is>
      </c>
      <c r="B307" s="29" t="inlineStr">
        <is>
          <t>Technology</t>
        </is>
      </c>
      <c r="C307" s="29" t="n">
        <v>4</v>
      </c>
      <c r="D307" s="29" t="inlineStr">
        <is>
          <t>IRIS2521</t>
        </is>
      </c>
      <c r="E307" s="29" t="inlineStr">
        <is>
          <t>Prasad Gavhane</t>
        </is>
      </c>
      <c r="F307" s="29" t="inlineStr">
        <is>
          <t>Lead Software Engineer</t>
        </is>
      </c>
      <c r="G307" s="29" t="inlineStr">
        <is>
          <t>Lead Software Engineer</t>
        </is>
      </c>
      <c r="H307" s="29" t="inlineStr">
        <is>
          <t>Engineering &amp; Development</t>
        </is>
      </c>
      <c r="I307" s="29" t="inlineStr">
        <is>
          <t>Backend Development</t>
        </is>
      </c>
      <c r="J307" s="29" t="inlineStr">
        <is>
          <t>IC</t>
        </is>
      </c>
      <c r="K307" s="29" t="inlineStr">
        <is>
          <t>RC-069</t>
        </is>
      </c>
      <c r="L307" s="29" t="inlineStr">
        <is>
          <t>Izharuddin Shaikh</t>
        </is>
      </c>
      <c r="M307" s="29" t="inlineStr">
        <is>
          <t>IRIS1712</t>
        </is>
      </c>
      <c r="N307" s="29" t="n">
        <v>11.9</v>
      </c>
      <c r="O307" s="29" t="n">
        <v>0.4</v>
      </c>
      <c r="P307" s="29" t="inlineStr">
        <is>
          <t>B.E</t>
        </is>
      </c>
      <c r="Q307" s="29" t="inlineStr">
        <is>
          <t>L5 – Lead · IC</t>
        </is>
      </c>
      <c r="R307" s="29" t="inlineStr">
        <is>
          <t>B2</t>
        </is>
      </c>
      <c r="S307" s="30" t="inlineStr">
        <is>
          <t>20 of 20</t>
        </is>
      </c>
      <c r="T307" s="31" t="inlineStr">
        <is>
          <t>Complexity: Evidence reads like B1: Overall solution design for the Risk-Based Supervision product; regulatory domain plus data and analytics → moved down 1
Autonomy: Evidence reads like B2: Decides solution design, technical approach, and how work is prioritised and assigned within team → moved down 0.5
Accountability: Evidence reads like B2: own survey / …</t>
        </is>
      </c>
      <c r="U307" s="31" t="inlineStr">
        <is>
          <t>Received · manager annual, quarterly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307" s="31" t="inlineStr">
        <is>
          <t>Latest rating: 4 · Potential: High · 9-box: Trusted Professional · Readiness: Ready now</t>
        </is>
      </c>
      <c r="W307" s="31" t="inlineStr">
        <is>
          <t>C M · Au M · Ac M · L M · BI H · Exp H · 11.9 yrs vs 6–9 yrs · Edu M · B.E</t>
        </is>
      </c>
      <c r="X307" s="33" t="inlineStr">
        <is>
          <t>Open ▸</t>
        </is>
      </c>
      <c r="Y307" s="34" t="str">
        <f>IFERROR(INDEX(DL_C,MATCH($CA307,DL_KEY,0)),"M")</f>
        <v>H</v>
      </c>
      <c r="Z307" s="35" t="str">
        <f>IFERROR(INDEX(DL_Au,MATCH($CA307,DL_KEY,0)),"M")</f>
        <v>M</v>
      </c>
      <c r="AA307" s="35" t="str">
        <f>IFERROR(INDEX(DL_Ac,MATCH($CA307,DL_KEY,0)),"M")</f>
        <v>L</v>
      </c>
      <c r="AB307" s="35" t="str">
        <f>IFERROR(INDEX(DL_L,MATCH($CA307,DL_KEY,0)),"M")</f>
        <v>L</v>
      </c>
      <c r="AC307" s="35" t="str">
        <f>IFERROR(INDEX(DL_BI,MATCH($CA307,DL_KEY,0)),"M")</f>
        <v>L</v>
      </c>
      <c r="AD307" s="35" t="str">
        <f>IFERROR(INDEX(DL_Exp,MATCH($CA307,DL_KEY,0)),"M")</f>
        <v>L</v>
      </c>
      <c r="AE307" s="35" t="str">
        <f>IFERROR(INDEX(DL_Edu,MATCH($CA307,DL_KEY,0)),"M")</f>
        <v>L</v>
      </c>
      <c r="AF307" s="34" t="inlineStr">
        <is>
          <t>M</t>
        </is>
      </c>
      <c r="AG307" s="35" t="inlineStr">
        <is>
          <t>M</t>
        </is>
      </c>
      <c r="AH307" s="35" t="inlineStr">
        <is>
          <t>M</t>
        </is>
      </c>
      <c r="AI307" s="35" t="inlineStr">
        <is>
          <t>M</t>
        </is>
      </c>
      <c r="AJ307" s="35" t="inlineStr">
        <is>
          <t>M</t>
        </is>
      </c>
      <c r="AK307" s="35" t="inlineStr">
        <is>
          <t>M</t>
        </is>
      </c>
      <c r="AL307" s="35" t="inlineStr">
        <is>
          <t>M</t>
        </is>
      </c>
      <c r="AM307" s="36" t="n">
        <v>0.513</v>
      </c>
      <c r="AN307" s="37" t="n">
        <v>0.173</v>
      </c>
      <c r="AO307" s="37" t="n">
        <v>0.09699999999999999</v>
      </c>
      <c r="AP307" s="37" t="n">
        <v>0.05</v>
      </c>
      <c r="AQ307" s="37" t="n">
        <v>0.07000000000000001</v>
      </c>
      <c r="AR307" s="37" t="n">
        <v>0.06</v>
      </c>
      <c r="AS307" s="37" t="n">
        <v>0.04</v>
      </c>
      <c r="AT307" s="38" t="inlineStr">
        <is>
          <t>6–10</t>
        </is>
      </c>
      <c r="AU307" s="38" t="inlineStr">
        <is>
          <t>Graduate or postgraduate; professional qualification preferred</t>
        </is>
      </c>
      <c r="AV307" s="38" t="inlineStr">
        <is>
          <t>IC: none · People: 6–8 knowledge work, 8–12 standardised delivery</t>
        </is>
      </c>
      <c r="AW307" s="38" t="inlineStr">
        <is>
          <t>P4 / M3 · SFIA 4–5</t>
        </is>
      </c>
      <c r="AX30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07" s="39" t="inlineStr">
        <is>
          <t>B2</t>
        </is>
      </c>
      <c r="AZ307" s="40" t="inlineStr">
        <is>
          <t>Band B · Specialist / Manager · Senior Specialist</t>
        </is>
      </c>
      <c r="BA307" s="40" t="inlineStr">
        <is>
          <t>Model B2 from the six ratings, the market-derived weights and rules R1–R13 · then No change · already below the manager</t>
        </is>
      </c>
      <c r="BB307" s="41" t="inlineStr">
        <is>
          <t>B2</t>
        </is>
      </c>
      <c r="BC307" s="40" t="inlineStr">
        <is>
          <t>The six ratings on the market-average weights of Band B · Specialist / POD Lead score 5.38 → B2 · Hay, Mercer IPE and public plans · experience 11.9 yrs vs the B2 market range 6–10</t>
        </is>
      </c>
      <c r="BD307" s="42">
        <f>IF(SUM(BM307,BN307,BO307,BP307,BQ307,BR307,BS307)=0,0,(BM307*BT307+BN307*BU307+BO307*BV307+BP307*BW307+BQ307*BX307+BR307*BY307+BS307*BZ307)/SUM(BM307,BN307,BO307,BP307,BQ307,BR307,BS307))</f>
        <v>0</v>
      </c>
      <c r="BE307" s="41" t="str">
        <f>IF(LEFT(AY307,1)="X",AY307,IF(OR(AY307="B+",AY307="C+"),INDEX(LAD_PC,MAX(1,MIN(14,MATCH(AY307,LAD_PC,0)+IF(BD307&gt;=0.5,1,IF(BD307&lt;=-0.5,-1,0))))),INDEX(LAD_STD,MAX(1,MIN(12,MATCH(AY307,LAD_STD,0)+IF(BD307&gt;=0.5,1,IF(BD307&lt;=-0.5,-1,0)))))))</f>
        <v>B2</v>
      </c>
      <c r="BF307" s="43" t="n"/>
      <c r="BG307" s="41" t="str">
        <f>IF(BF307&lt;&gt;"",BF307,BE307)</f>
        <v>B2</v>
      </c>
      <c r="BH307" s="40" t="str">
        <f>IFERROR(CHOOSE(INDEX(B_RANK,MATCH(BG307,B_LVL,0)),"Band A","Band B","B+ · Player-Coach","Band C","C+ · Player-Coach","Band D","Band E"),"Band X · Consultant")</f>
        <v>Band B</v>
      </c>
      <c r="BI307" s="40" t="str">
        <f>IF(BG307=AY307,"• Same",IF(INDEX(B_VAL,MATCH(BG307,B_LVL,0))&gt;INDEX(B_VAL,MATCH(AY307,B_LVL,0)),"▲ Up","▼ Down"))</f>
        <v>• Same</v>
      </c>
      <c r="BJ307" s="40" t="str">
        <f>IF(OR($M307="",$M307="—",$M307="Not in this file"),"",IFERROR(INDEX($BG$7:$BG$592,MATCH($M307,$D$7:$D$592,0)),""))</f>
        <v>B+</v>
      </c>
      <c r="BK307" s="40" t="str">
        <f>IFERROR(IF(BJ307="","—",IF(OR(LEFT(BG307,1)="X",LEFT(BJ307,1)="X"),"—",IF(AND(LEFT(BG307,1)="E",LEFT(BJ307,1)="E"),"Exception · Band E",IF(AND(INDEX(B_VAL,MATCH(BJ307,B_LVL,0))&gt;=7,INDEX(B_RANK,MATCH(BG307,B_LVL,0))&gt;=INDEX(B_RANK,MATCH(BJ307,B_LVL,0))),"⚠ Same band as a head manager",IF(INDEX(B_VAL,MATCH(BG307,B_LVL,0))&gt;=INDEX(B_VAL,MATCH(BJ307,B_LVL,0)),"⚠ At or above the manager's level","OK"))))),"—")</f>
        <v>OK</v>
      </c>
      <c r="BL307" s="43" t="n"/>
      <c r="BM307" s="44">
        <f>IFERROR(INDEX(LMH_PTS,MATCH(Y307,LMH_KEY,0)),0)</f>
        <v>9</v>
      </c>
      <c r="BN307" s="38">
        <f>IFERROR(INDEX(LMH_PTS,MATCH(Z307,LMH_KEY,0)),0)</f>
        <v>3</v>
      </c>
      <c r="BO307" s="38">
        <f>IFERROR(INDEX(LMH_PTS,MATCH(AA307,LMH_KEY,0)),0)</f>
        <v>1</v>
      </c>
      <c r="BP307" s="38">
        <f>IFERROR(INDEX(LMH_PTS,MATCH(AB307,LMH_KEY,0)),0)</f>
        <v>1</v>
      </c>
      <c r="BQ307" s="38">
        <f>IFERROR(INDEX(LMH_PTS,MATCH(AC307,LMH_KEY,0)),0)</f>
        <v>1</v>
      </c>
      <c r="BR307" s="38">
        <f>IFERROR(INDEX(LMH_PTS,MATCH(AD307,LMH_KEY,0)),0)</f>
        <v>1</v>
      </c>
      <c r="BS307" s="38">
        <f>IFERROR(INDEX(LMH_PTS,MATCH(AE307,LMH_KEY,0)),0)</f>
        <v>1</v>
      </c>
      <c r="BT307" s="38">
        <f>IFERROR(INDEX(LMH_STEP,MATCH(AF307,LMH_KEY,0)),0)</f>
        <v>0</v>
      </c>
      <c r="BU307" s="38">
        <f>IFERROR(INDEX(LMH_STEP,MATCH(AG307,LMH_KEY,0)),0)</f>
        <v>0</v>
      </c>
      <c r="BV307" s="38">
        <f>IFERROR(INDEX(LMH_STEP,MATCH(AH307,LMH_KEY,0)),0)</f>
        <v>0</v>
      </c>
      <c r="BW307" s="38">
        <f>IFERROR(INDEX(LMH_STEP,MATCH(AI307,LMH_KEY,0)),0)</f>
        <v>0</v>
      </c>
      <c r="BX307" s="38">
        <f>IFERROR(INDEX(LMH_STEP,MATCH(AJ307,LMH_KEY,0)),0)</f>
        <v>0</v>
      </c>
      <c r="BY307" s="38">
        <f>IFERROR(INDEX(LMH_STEP,MATCH(AK307,LMH_KEY,0)),0)</f>
        <v>0</v>
      </c>
      <c r="BZ307" s="38">
        <f>IFERROR(INDEX(LMH_STEP,MATCH(AL307,LMH_KEY,0)),0)</f>
        <v>0</v>
      </c>
      <c r="CA307" s="38" t="inlineStr">
        <is>
          <t>iFile|Technology|Lead Software Engineer|B2|B-IC</t>
        </is>
      </c>
    </row>
    <row r="308" ht="110" customHeight="1">
      <c r="A308" s="28" t="inlineStr">
        <is>
          <t>iFile</t>
        </is>
      </c>
      <c r="B308" s="29" t="inlineStr">
        <is>
          <t>Technology</t>
        </is>
      </c>
      <c r="C308" s="29" t="n">
        <v>4</v>
      </c>
      <c r="D308" s="29" t="inlineStr">
        <is>
          <t>IRIS2127</t>
        </is>
      </c>
      <c r="E308" s="29" t="inlineStr">
        <is>
          <t>Yunus Patel</t>
        </is>
      </c>
      <c r="F308" s="29" t="inlineStr">
        <is>
          <t>Project Manager</t>
        </is>
      </c>
      <c r="G308" s="29" t="inlineStr">
        <is>
          <t>Delivery Manager</t>
        </is>
      </c>
      <c r="H308" s="29" t="inlineStr">
        <is>
          <t>Project &amp; Program Management</t>
        </is>
      </c>
      <c r="I308" s="29" t="inlineStr">
        <is>
          <t>Project &amp; Program Delivery</t>
        </is>
      </c>
      <c r="J308" s="29" t="inlineStr">
        <is>
          <t>People Manager</t>
        </is>
      </c>
      <c r="K308" s="29" t="inlineStr">
        <is>
          <t>RC-136</t>
        </is>
      </c>
      <c r="L308" s="29" t="inlineStr">
        <is>
          <t>Izharuddin Shaikh</t>
        </is>
      </c>
      <c r="M308" s="29" t="inlineStr">
        <is>
          <t>IRIS1712</t>
        </is>
      </c>
      <c r="N308" s="29" t="n">
        <v>22.4</v>
      </c>
      <c r="O308" s="29" t="n">
        <v>3.4</v>
      </c>
      <c r="P308" s="29" t="inlineStr">
        <is>
          <t>B.Com</t>
        </is>
      </c>
      <c r="Q308" s="29" t="inlineStr">
        <is>
          <t>L5 – Manager</t>
        </is>
      </c>
      <c r="R308" s="29" t="inlineStr">
        <is>
          <t>B2</t>
        </is>
      </c>
      <c r="S308" s="30" t="inlineStr">
        <is>
          <t>20 of 20</t>
        </is>
      </c>
      <c r="T308" s="31" t="inlineStr">
        <is>
          <t>Complexity: Evidence reads like B1: Change-request delivery for RBI CIMS; severity assessment, root-cause analysis, client demos → moved down 0.5
Autonomy: Evidence reads like B1: Judges issue severity; decides to release CRs to UAT with open defects → moved down 0.5
Accountability: Evidence reads like B2: CR delivery for the project; client demands RCA for …</t>
        </is>
      </c>
      <c r="U308" s="31" t="inlineStr">
        <is>
          <t>Received · manager annual, quarterly · 1. Deliver &gt;=90% of project milestones on schedule and within agreed scope
2. Keep project budget / effort variance within +/-10% of plan
3. Maintain risk &amp; issue log with 100% items tracked to closure
4. Achieve client/stakeholder satisfaction · CSAT of &gt;=4 / 5 on delivered projects
5. Publish accurate weekly status …</t>
        </is>
      </c>
      <c r="V308" s="31" t="inlineStr">
        <is>
          <t>Latest rating: 4 · Potential: High · 9-box: Trusted Professional · Readiness: Ready now</t>
        </is>
      </c>
      <c r="W308" s="31" t="inlineStr">
        <is>
          <t>C M · Au M · Ac M · L M · BI M · Exp H · 22.4 yrs vs 6–9 yrs · Edu M · B.Com</t>
        </is>
      </c>
      <c r="X308" s="33" t="inlineStr">
        <is>
          <t>Open ▸</t>
        </is>
      </c>
      <c r="Y308" s="34" t="str">
        <f>IFERROR(INDEX(DL_C,MATCH($CA308,DL_KEY,0)),"M")</f>
        <v>H</v>
      </c>
      <c r="Z308" s="35" t="str">
        <f>IFERROR(INDEX(DL_Au,MATCH($CA308,DL_KEY,0)),"M")</f>
        <v>M</v>
      </c>
      <c r="AA308" s="35" t="str">
        <f>IFERROR(INDEX(DL_Ac,MATCH($CA308,DL_KEY,0)),"M")</f>
        <v>L</v>
      </c>
      <c r="AB308" s="35" t="str">
        <f>IFERROR(INDEX(DL_L,MATCH($CA308,DL_KEY,0)),"M")</f>
        <v>M</v>
      </c>
      <c r="AC308" s="35" t="str">
        <f>IFERROR(INDEX(DL_BI,MATCH($CA308,DL_KEY,0)),"M")</f>
        <v>L</v>
      </c>
      <c r="AD308" s="35" t="str">
        <f>IFERROR(INDEX(DL_Exp,MATCH($CA308,DL_KEY,0)),"M")</f>
        <v>L</v>
      </c>
      <c r="AE308" s="35" t="str">
        <f>IFERROR(INDEX(DL_Edu,MATCH($CA308,DL_KEY,0)),"M")</f>
        <v>L</v>
      </c>
      <c r="AF308" s="34" t="inlineStr">
        <is>
          <t>M</t>
        </is>
      </c>
      <c r="AG308" s="35" t="inlineStr">
        <is>
          <t>M</t>
        </is>
      </c>
      <c r="AH308" s="35" t="inlineStr">
        <is>
          <t>M</t>
        </is>
      </c>
      <c r="AI308" s="35" t="inlineStr">
        <is>
          <t>M</t>
        </is>
      </c>
      <c r="AJ308" s="35" t="inlineStr">
        <is>
          <t>M</t>
        </is>
      </c>
      <c r="AK308" s="35" t="inlineStr">
        <is>
          <t>M</t>
        </is>
      </c>
      <c r="AL308" s="35" t="inlineStr">
        <is>
          <t>M</t>
        </is>
      </c>
      <c r="AM308" s="36" t="n">
        <v>0.37</v>
      </c>
      <c r="AN308" s="37" t="n">
        <v>0.183</v>
      </c>
      <c r="AO308" s="37" t="n">
        <v>0.113</v>
      </c>
      <c r="AP308" s="37" t="n">
        <v>0.15</v>
      </c>
      <c r="AQ308" s="37" t="n">
        <v>0.08699999999999999</v>
      </c>
      <c r="AR308" s="37" t="n">
        <v>0.06</v>
      </c>
      <c r="AS308" s="37" t="n">
        <v>0.04</v>
      </c>
      <c r="AT308" s="38" t="inlineStr">
        <is>
          <t>6–10</t>
        </is>
      </c>
      <c r="AU308" s="38" t="inlineStr">
        <is>
          <t>Graduate or postgraduate; professional qualification preferred</t>
        </is>
      </c>
      <c r="AV308" s="38" t="inlineStr">
        <is>
          <t>IC: none · People: 6–8 knowledge work, 8–12 standardised delivery</t>
        </is>
      </c>
      <c r="AW308" s="38" t="inlineStr">
        <is>
          <t>P4 / M3 · SFIA 4–5</t>
        </is>
      </c>
      <c r="AX30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08" s="39" t="inlineStr">
        <is>
          <t>B2</t>
        </is>
      </c>
      <c r="AZ308" s="40" t="inlineStr">
        <is>
          <t>Band B · Specialist / Manager · Manager</t>
        </is>
      </c>
      <c r="BA308" s="40" t="inlineStr">
        <is>
          <t>Model B2 from the six ratings, the market-derived weights and rules R1–R13 · then No change · already below the manager</t>
        </is>
      </c>
      <c r="BB308" s="41" t="inlineStr">
        <is>
          <t>B2</t>
        </is>
      </c>
      <c r="BC308" s="40" t="inlineStr">
        <is>
          <t>The six ratings on the market-average weights of Band B · People Manager score 5.37 → B2 · Hay, Mercer IPE and public plans · experience 22.4 yrs vs the B2 market range 6–10</t>
        </is>
      </c>
      <c r="BD308" s="42">
        <f>IF(SUM(BM308,BN308,BO308,BP308,BQ308,BR308,BS308)=0,0,(BM308*BT308+BN308*BU308+BO308*BV308+BP308*BW308+BQ308*BX308+BR308*BY308+BS308*BZ308)/SUM(BM308,BN308,BO308,BP308,BQ308,BR308,BS308))</f>
        <v>0</v>
      </c>
      <c r="BE308" s="41" t="str">
        <f>IF(LEFT(AY308,1)="X",AY308,IF(OR(AY308="B+",AY308="C+"),INDEX(LAD_PC,MAX(1,MIN(14,MATCH(AY308,LAD_PC,0)+IF(BD308&gt;=0.5,1,IF(BD308&lt;=-0.5,-1,0))))),INDEX(LAD_STD,MAX(1,MIN(12,MATCH(AY308,LAD_STD,0)+IF(BD308&gt;=0.5,1,IF(BD308&lt;=-0.5,-1,0)))))))</f>
        <v>B2</v>
      </c>
      <c r="BF308" s="43" t="n"/>
      <c r="BG308" s="41" t="str">
        <f>IF(BF308&lt;&gt;"",BF308,BE308)</f>
        <v>B2</v>
      </c>
      <c r="BH308" s="40" t="str">
        <f>IFERROR(CHOOSE(INDEX(B_RANK,MATCH(BG308,B_LVL,0)),"Band A","Band B","B+ · Player-Coach","Band C","C+ · Player-Coach","Band D","Band E"),"Band X · Consultant")</f>
        <v>Band B</v>
      </c>
      <c r="BI308" s="40" t="str">
        <f>IF(BG308=AY308,"• Same",IF(INDEX(B_VAL,MATCH(BG308,B_LVL,0))&gt;INDEX(B_VAL,MATCH(AY308,B_LVL,0)),"▲ Up","▼ Down"))</f>
        <v>• Same</v>
      </c>
      <c r="BJ308" s="40" t="str">
        <f>IF(OR($M308="",$M308="—",$M308="Not in this file"),"",IFERROR(INDEX($BG$7:$BG$592,MATCH($M308,$D$7:$D$592,0)),""))</f>
        <v>B+</v>
      </c>
      <c r="BK308" s="40" t="str">
        <f>IFERROR(IF(BJ308="","—",IF(OR(LEFT(BG308,1)="X",LEFT(BJ308,1)="X"),"—",IF(AND(LEFT(BG308,1)="E",LEFT(BJ308,1)="E"),"Exception · Band E",IF(AND(INDEX(B_VAL,MATCH(BJ308,B_LVL,0))&gt;=7,INDEX(B_RANK,MATCH(BG308,B_LVL,0))&gt;=INDEX(B_RANK,MATCH(BJ308,B_LVL,0))),"⚠ Same band as a head manager",IF(INDEX(B_VAL,MATCH(BG308,B_LVL,0))&gt;=INDEX(B_VAL,MATCH(BJ308,B_LVL,0)),"⚠ At or above the manager's level","OK"))))),"—")</f>
        <v>OK</v>
      </c>
      <c r="BL308" s="43" t="n"/>
      <c r="BM308" s="44">
        <f>IFERROR(INDEX(LMH_PTS,MATCH(Y308,LMH_KEY,0)),0)</f>
        <v>9</v>
      </c>
      <c r="BN308" s="38">
        <f>IFERROR(INDEX(LMH_PTS,MATCH(Z308,LMH_KEY,0)),0)</f>
        <v>3</v>
      </c>
      <c r="BO308" s="38">
        <f>IFERROR(INDEX(LMH_PTS,MATCH(AA308,LMH_KEY,0)),0)</f>
        <v>1</v>
      </c>
      <c r="BP308" s="38">
        <f>IFERROR(INDEX(LMH_PTS,MATCH(AB308,LMH_KEY,0)),0)</f>
        <v>3</v>
      </c>
      <c r="BQ308" s="38">
        <f>IFERROR(INDEX(LMH_PTS,MATCH(AC308,LMH_KEY,0)),0)</f>
        <v>1</v>
      </c>
      <c r="BR308" s="38">
        <f>IFERROR(INDEX(LMH_PTS,MATCH(AD308,LMH_KEY,0)),0)</f>
        <v>1</v>
      </c>
      <c r="BS308" s="38">
        <f>IFERROR(INDEX(LMH_PTS,MATCH(AE308,LMH_KEY,0)),0)</f>
        <v>1</v>
      </c>
      <c r="BT308" s="38">
        <f>IFERROR(INDEX(LMH_STEP,MATCH(AF308,LMH_KEY,0)),0)</f>
        <v>0</v>
      </c>
      <c r="BU308" s="38">
        <f>IFERROR(INDEX(LMH_STEP,MATCH(AG308,LMH_KEY,0)),0)</f>
        <v>0</v>
      </c>
      <c r="BV308" s="38">
        <f>IFERROR(INDEX(LMH_STEP,MATCH(AH308,LMH_KEY,0)),0)</f>
        <v>0</v>
      </c>
      <c r="BW308" s="38">
        <f>IFERROR(INDEX(LMH_STEP,MATCH(AI308,LMH_KEY,0)),0)</f>
        <v>0</v>
      </c>
      <c r="BX308" s="38">
        <f>IFERROR(INDEX(LMH_STEP,MATCH(AJ308,LMH_KEY,0)),0)</f>
        <v>0</v>
      </c>
      <c r="BY308" s="38">
        <f>IFERROR(INDEX(LMH_STEP,MATCH(AK308,LMH_KEY,0)),0)</f>
        <v>0</v>
      </c>
      <c r="BZ308" s="38">
        <f>IFERROR(INDEX(LMH_STEP,MATCH(AL308,LMH_KEY,0)),0)</f>
        <v>0</v>
      </c>
      <c r="CA308" s="38" t="inlineStr">
        <is>
          <t>iFile|Technology|Delivery Manager|B2|B-M</t>
        </is>
      </c>
    </row>
    <row r="309" ht="110" customHeight="1">
      <c r="A309" s="28" t="inlineStr">
        <is>
          <t>iFile</t>
        </is>
      </c>
      <c r="B309" s="29" t="inlineStr">
        <is>
          <t>Technology</t>
        </is>
      </c>
      <c r="C309" s="29" t="n">
        <v>5</v>
      </c>
      <c r="D309" s="29" t="inlineStr">
        <is>
          <t>IRIS1474</t>
        </is>
      </c>
      <c r="E309" s="29" t="inlineStr">
        <is>
          <t>Amruta Kadam</t>
        </is>
      </c>
      <c r="F309" s="29" t="inlineStr">
        <is>
          <t>Tech Lead</t>
        </is>
      </c>
      <c r="G309" s="29" t="inlineStr">
        <is>
          <t>Engineering Manager</t>
        </is>
      </c>
      <c r="H309" s="29" t="inlineStr">
        <is>
          <t>Engineering &amp; Development</t>
        </is>
      </c>
      <c r="I309" s="29" t="inlineStr">
        <is>
          <t>Backend Development</t>
        </is>
      </c>
      <c r="J309" s="29" t="inlineStr">
        <is>
          <t>People Manager</t>
        </is>
      </c>
      <c r="K309" s="29" t="inlineStr">
        <is>
          <t>RC-070</t>
        </is>
      </c>
      <c r="L309" s="29" t="inlineStr">
        <is>
          <t>Yunus Patel</t>
        </is>
      </c>
      <c r="M309" s="29" t="inlineStr">
        <is>
          <t>IRIS2127</t>
        </is>
      </c>
      <c r="N309" s="29" t="n">
        <v>12.1</v>
      </c>
      <c r="O309" s="29" t="n">
        <v>12.1</v>
      </c>
      <c r="P309" s="29" t="inlineStr">
        <is>
          <t>B.E</t>
        </is>
      </c>
      <c r="Q309" s="29" t="inlineStr">
        <is>
          <t>L5 – Lead · IC</t>
        </is>
      </c>
      <c r="R309" s="29" t="inlineStr">
        <is>
          <t>B2</t>
        </is>
      </c>
      <c r="S309" s="30" t="inlineStr">
        <is>
          <t>20 of 20</t>
        </is>
      </c>
      <c r="T309" s="31" t="inlineStr">
        <is>
          <t>Complexity: Evidence reads like B2: Leads a complex Java migration and analyses and resolves major production issues on critical systems → matches the start
Autonomy: Evidence reads like B1: Makes the technical decisions for the application and team → moved down 0.5
Accountability: Evidence reads like B2: own survey / KRA answers · summarised by the rater; …</t>
        </is>
      </c>
      <c r="U309" s="31" t="inlineStr">
        <is>
          <t>Received · manager annual, quarterly · 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t>
        </is>
      </c>
      <c r="V309" s="31" t="inlineStr">
        <is>
          <t>Latest rating: 4 · Potential: High · 9-box: Future Leader · Readiness: Ready now</t>
        </is>
      </c>
      <c r="W309" s="31" t="inlineStr">
        <is>
          <t>C H · Au M · Ac H · L H · BI H · Exp H · 12.1 yrs vs 4–7 yrs · Edu M · B.E</t>
        </is>
      </c>
      <c r="X309" s="33" t="inlineStr">
        <is>
          <t>Open ▸</t>
        </is>
      </c>
      <c r="Y309" s="34" t="str">
        <f>IFERROR(INDEX(DL_C,MATCH($CA309,DL_KEY,0)),"M")</f>
        <v>H</v>
      </c>
      <c r="Z309" s="35" t="str">
        <f>IFERROR(INDEX(DL_Au,MATCH($CA309,DL_KEY,0)),"M")</f>
        <v>M</v>
      </c>
      <c r="AA309" s="35" t="str">
        <f>IFERROR(INDEX(DL_Ac,MATCH($CA309,DL_KEY,0)),"M")</f>
        <v>L</v>
      </c>
      <c r="AB309" s="35" t="str">
        <f>IFERROR(INDEX(DL_L,MATCH($CA309,DL_KEY,0)),"M")</f>
        <v>M</v>
      </c>
      <c r="AC309" s="35" t="str">
        <f>IFERROR(INDEX(DL_BI,MATCH($CA309,DL_KEY,0)),"M")</f>
        <v>L</v>
      </c>
      <c r="AD309" s="35" t="str">
        <f>IFERROR(INDEX(DL_Exp,MATCH($CA309,DL_KEY,0)),"M")</f>
        <v>L</v>
      </c>
      <c r="AE309" s="35" t="str">
        <f>IFERROR(INDEX(DL_Edu,MATCH($CA309,DL_KEY,0)),"M")</f>
        <v>L</v>
      </c>
      <c r="AF309" s="34" t="inlineStr">
        <is>
          <t>M</t>
        </is>
      </c>
      <c r="AG309" s="35" t="inlineStr">
        <is>
          <t>M</t>
        </is>
      </c>
      <c r="AH309" s="35" t="inlineStr">
        <is>
          <t>M</t>
        </is>
      </c>
      <c r="AI309" s="35" t="inlineStr">
        <is>
          <t>M</t>
        </is>
      </c>
      <c r="AJ309" s="35" t="inlineStr">
        <is>
          <t>M</t>
        </is>
      </c>
      <c r="AK309" s="35" t="inlineStr">
        <is>
          <t>M</t>
        </is>
      </c>
      <c r="AL309" s="35" t="inlineStr">
        <is>
          <t>M</t>
        </is>
      </c>
      <c r="AM309" s="36" t="n">
        <v>0.37</v>
      </c>
      <c r="AN309" s="37" t="n">
        <v>0.183</v>
      </c>
      <c r="AO309" s="37" t="n">
        <v>0.113</v>
      </c>
      <c r="AP309" s="37" t="n">
        <v>0.15</v>
      </c>
      <c r="AQ309" s="37" t="n">
        <v>0.08699999999999999</v>
      </c>
      <c r="AR309" s="37" t="n">
        <v>0.06</v>
      </c>
      <c r="AS309" s="37" t="n">
        <v>0.04</v>
      </c>
      <c r="AT309" s="38" t="inlineStr">
        <is>
          <t>4–8</t>
        </is>
      </c>
      <c r="AU309" s="38" t="inlineStr">
        <is>
          <t>Graduate + relevant qualification or certification preferred</t>
        </is>
      </c>
      <c r="AV309" s="38" t="inlineStr">
        <is>
          <t>IC: none · Team Lead: 3–5</t>
        </is>
      </c>
      <c r="AW309" s="38" t="inlineStr">
        <is>
          <t>P3 / M2 · SFIA 4 Enable</t>
        </is>
      </c>
      <c r="AX30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09" s="39" t="inlineStr">
        <is>
          <t>B1</t>
        </is>
      </c>
      <c r="AZ309" s="40" t="inlineStr">
        <is>
          <t>Band B · Specialist / Manager · Team Lead / Asst Manager</t>
        </is>
      </c>
      <c r="BA309" s="40" t="inlineStr">
        <is>
          <t>Model B2 from the six ratings, the market-derived weights and rules R1–R13 · then Level rule: manager B2; a reportee sits at least one level below · B2 → B1 · move down · pay and title protected for one cycle</t>
        </is>
      </c>
      <c r="BB309" s="41" t="inlineStr">
        <is>
          <t>B2</t>
        </is>
      </c>
      <c r="BC309" s="40" t="inlineStr">
        <is>
          <t>The six ratings on the market-average weights of Band B · People Manager score 5.11 → B2 · Hay, Mercer IPE and public plans · experience 12.1 yrs vs the B2 market range 6–10</t>
        </is>
      </c>
      <c r="BD309" s="42">
        <f>IF(SUM(BM309,BN309,BO309,BP309,BQ309,BR309,BS309)=0,0,(BM309*BT309+BN309*BU309+BO309*BV309+BP309*BW309+BQ309*BX309+BR309*BY309+BS309*BZ309)/SUM(BM309,BN309,BO309,BP309,BQ309,BR309,BS309))</f>
        <v>0</v>
      </c>
      <c r="BE309" s="41" t="str">
        <f>IF(LEFT(AY309,1)="X",AY309,IF(OR(AY309="B+",AY309="C+"),INDEX(LAD_PC,MAX(1,MIN(14,MATCH(AY309,LAD_PC,0)+IF(BD309&gt;=0.5,1,IF(BD309&lt;=-0.5,-1,0))))),INDEX(LAD_STD,MAX(1,MIN(12,MATCH(AY309,LAD_STD,0)+IF(BD309&gt;=0.5,1,IF(BD309&lt;=-0.5,-1,0)))))))</f>
        <v>B1</v>
      </c>
      <c r="BF309" s="43" t="n"/>
      <c r="BG309" s="41" t="str">
        <f>IF(BF309&lt;&gt;"",BF309,BE309)</f>
        <v>B1</v>
      </c>
      <c r="BH309" s="40" t="str">
        <f>IFERROR(CHOOSE(INDEX(B_RANK,MATCH(BG309,B_LVL,0)),"Band A","Band B","B+ · Player-Coach","Band C","C+ · Player-Coach","Band D","Band E"),"Band X · Consultant")</f>
        <v>Band B</v>
      </c>
      <c r="BI309" s="40" t="str">
        <f>IF(BG309=AY309,"• Same",IF(INDEX(B_VAL,MATCH(BG309,B_LVL,0))&gt;INDEX(B_VAL,MATCH(AY309,B_LVL,0)),"▲ Up","▼ Down"))</f>
        <v>• Same</v>
      </c>
      <c r="BJ309" s="40" t="str">
        <f>IF(OR($M309="",$M309="—",$M309="Not in this file"),"",IFERROR(INDEX($BG$7:$BG$592,MATCH($M309,$D$7:$D$592,0)),""))</f>
        <v>B2</v>
      </c>
      <c r="BK309" s="40" t="str">
        <f>IFERROR(IF(BJ309="","—",IF(OR(LEFT(BG309,1)="X",LEFT(BJ309,1)="X"),"—",IF(AND(LEFT(BG309,1)="E",LEFT(BJ309,1)="E"),"Exception · Band E",IF(AND(INDEX(B_VAL,MATCH(BJ309,B_LVL,0))&gt;=7,INDEX(B_RANK,MATCH(BG309,B_LVL,0))&gt;=INDEX(B_RANK,MATCH(BJ309,B_LVL,0))),"⚠ Same band as a head manager",IF(INDEX(B_VAL,MATCH(BG309,B_LVL,0))&gt;=INDEX(B_VAL,MATCH(BJ309,B_LVL,0)),"⚠ At or above the manager's level","OK"))))),"—")</f>
        <v>OK</v>
      </c>
      <c r="BL309" s="43" t="n"/>
      <c r="BM309" s="44">
        <f>IFERROR(INDEX(LMH_PTS,MATCH(Y309,LMH_KEY,0)),0)</f>
        <v>9</v>
      </c>
      <c r="BN309" s="38">
        <f>IFERROR(INDEX(LMH_PTS,MATCH(Z309,LMH_KEY,0)),0)</f>
        <v>3</v>
      </c>
      <c r="BO309" s="38">
        <f>IFERROR(INDEX(LMH_PTS,MATCH(AA309,LMH_KEY,0)),0)</f>
        <v>1</v>
      </c>
      <c r="BP309" s="38">
        <f>IFERROR(INDEX(LMH_PTS,MATCH(AB309,LMH_KEY,0)),0)</f>
        <v>3</v>
      </c>
      <c r="BQ309" s="38">
        <f>IFERROR(INDEX(LMH_PTS,MATCH(AC309,LMH_KEY,0)),0)</f>
        <v>1</v>
      </c>
      <c r="BR309" s="38">
        <f>IFERROR(INDEX(LMH_PTS,MATCH(AD309,LMH_KEY,0)),0)</f>
        <v>1</v>
      </c>
      <c r="BS309" s="38">
        <f>IFERROR(INDEX(LMH_PTS,MATCH(AE309,LMH_KEY,0)),0)</f>
        <v>1</v>
      </c>
      <c r="BT309" s="38">
        <f>IFERROR(INDEX(LMH_STEP,MATCH(AF309,LMH_KEY,0)),0)</f>
        <v>0</v>
      </c>
      <c r="BU309" s="38">
        <f>IFERROR(INDEX(LMH_STEP,MATCH(AG309,LMH_KEY,0)),0)</f>
        <v>0</v>
      </c>
      <c r="BV309" s="38">
        <f>IFERROR(INDEX(LMH_STEP,MATCH(AH309,LMH_KEY,0)),0)</f>
        <v>0</v>
      </c>
      <c r="BW309" s="38">
        <f>IFERROR(INDEX(LMH_STEP,MATCH(AI309,LMH_KEY,0)),0)</f>
        <v>0</v>
      </c>
      <c r="BX309" s="38">
        <f>IFERROR(INDEX(LMH_STEP,MATCH(AJ309,LMH_KEY,0)),0)</f>
        <v>0</v>
      </c>
      <c r="BY309" s="38">
        <f>IFERROR(INDEX(LMH_STEP,MATCH(AK309,LMH_KEY,0)),0)</f>
        <v>0</v>
      </c>
      <c r="BZ309" s="38">
        <f>IFERROR(INDEX(LMH_STEP,MATCH(AL309,LMH_KEY,0)),0)</f>
        <v>0</v>
      </c>
      <c r="CA309" s="38" t="inlineStr">
        <is>
          <t>iFile|Technology|Engineering Manager|B1|B-M</t>
        </is>
      </c>
    </row>
    <row r="310" ht="110" customHeight="1">
      <c r="A310" s="28" t="inlineStr">
        <is>
          <t>iFile</t>
        </is>
      </c>
      <c r="B310" s="29" t="inlineStr">
        <is>
          <t>Technology</t>
        </is>
      </c>
      <c r="C310" s="29" t="n">
        <v>6</v>
      </c>
      <c r="D310" s="29" t="inlineStr">
        <is>
          <t>IRIS2028</t>
        </is>
      </c>
      <c r="E310" s="29" t="inlineStr">
        <is>
          <t>Akhilesh Gore</t>
        </is>
      </c>
      <c r="F310" s="29" t="inlineStr">
        <is>
          <t>Software Engineer</t>
        </is>
      </c>
      <c r="G310" s="29" t="inlineStr">
        <is>
          <t>Senior DevOps Engineer</t>
        </is>
      </c>
      <c r="H310" s="29" t="inlineStr">
        <is>
          <t>Engineering &amp; Development</t>
        </is>
      </c>
      <c r="I310" s="29" t="inlineStr">
        <is>
          <t>DevOps &amp; Release Engineering</t>
        </is>
      </c>
      <c r="J310" s="29" t="inlineStr">
        <is>
          <t>IC</t>
        </is>
      </c>
      <c r="K310" s="29" t="inlineStr">
        <is>
          <t>RC-076</t>
        </is>
      </c>
      <c r="L310" s="29" t="inlineStr">
        <is>
          <t>Amruta Kadam</t>
        </is>
      </c>
      <c r="M310" s="29" t="inlineStr">
        <is>
          <t>IRIS1474</t>
        </is>
      </c>
      <c r="N310" s="29" t="n">
        <v>6.7</v>
      </c>
      <c r="O310" s="29" t="n">
        <v>4.3</v>
      </c>
      <c r="P310" s="29" t="inlineStr">
        <is>
          <t>B.SC</t>
        </is>
      </c>
      <c r="Q310" s="29" t="inlineStr">
        <is>
          <t>L3 – Professional / Associate</t>
        </is>
      </c>
      <c r="R310" s="29" t="inlineStr">
        <is>
          <t>A3</t>
        </is>
      </c>
      <c r="S310" s="30" t="inlineStr">
        <is>
          <t>20 of 20</t>
        </is>
      </c>
      <c r="T310" s="31" t="inlineStr">
        <is>
          <t>Complexity: Evidence reads like A2: Triages incidents, monitors system health, executes standard runbooks, escalates critical bugs → matches the start
Autonomy: Evidence reads like A2: Applies established runbook steps and known workarounds; escalates for root cause → matches the start
Accountability: Evidence reads like A3: Incident response and downtime …</t>
        </is>
      </c>
      <c r="U310" s="31" t="inlineStr">
        <is>
          <t>Received · manager annual, quarterly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310" s="31" t="inlineStr">
        <is>
          <t>Latest rating: 3 · Potential: Low · 9-box: Core Contributor · Readiness: Develop in role</t>
        </is>
      </c>
      <c r="W310" s="31" t="inlineStr">
        <is>
          <t>C L · Au L · Ac M · L L · BI M · Exp H · 6.7 yrs vs 2–4 yrs · Edu M · B.SC</t>
        </is>
      </c>
      <c r="X310" s="33" t="inlineStr">
        <is>
          <t>Open ▸</t>
        </is>
      </c>
      <c r="Y310" s="34" t="str">
        <f>IFERROR(INDEX(DL_C,MATCH($CA310,DL_KEY,0)),"M")</f>
        <v>H</v>
      </c>
      <c r="Z310" s="35" t="str">
        <f>IFERROR(INDEX(DL_Au,MATCH($CA310,DL_KEY,0)),"M")</f>
        <v>M</v>
      </c>
      <c r="AA310" s="35" t="str">
        <f>IFERROR(INDEX(DL_Ac,MATCH($CA310,DL_KEY,0)),"M")</f>
        <v>L</v>
      </c>
      <c r="AB310" s="35" t="str">
        <f>IFERROR(INDEX(DL_L,MATCH($CA310,DL_KEY,0)),"M")</f>
        <v>L</v>
      </c>
      <c r="AC310" s="35" t="str">
        <f>IFERROR(INDEX(DL_BI,MATCH($CA310,DL_KEY,0)),"M")</f>
        <v>L</v>
      </c>
      <c r="AD310" s="35" t="str">
        <f>IFERROR(INDEX(DL_Exp,MATCH($CA310,DL_KEY,0)),"M")</f>
        <v>L</v>
      </c>
      <c r="AE310" s="35" t="str">
        <f>IFERROR(INDEX(DL_Edu,MATCH($CA310,DL_KEY,0)),"M")</f>
        <v>L</v>
      </c>
      <c r="AF310" s="34" t="inlineStr">
        <is>
          <t>M</t>
        </is>
      </c>
      <c r="AG310" s="35" t="inlineStr">
        <is>
          <t>M</t>
        </is>
      </c>
      <c r="AH310" s="35" t="inlineStr">
        <is>
          <t>M</t>
        </is>
      </c>
      <c r="AI310" s="35" t="inlineStr">
        <is>
          <t>M</t>
        </is>
      </c>
      <c r="AJ310" s="35" t="inlineStr">
        <is>
          <t>M</t>
        </is>
      </c>
      <c r="AK310" s="35" t="inlineStr">
        <is>
          <t>M</t>
        </is>
      </c>
      <c r="AL310" s="35" t="inlineStr">
        <is>
          <t>M</t>
        </is>
      </c>
      <c r="AM310" s="36" t="n">
        <v>0.583</v>
      </c>
      <c r="AN310" s="37" t="n">
        <v>0.16</v>
      </c>
      <c r="AO310" s="37" t="n">
        <v>0.09</v>
      </c>
      <c r="AP310" s="37" t="n">
        <v>0</v>
      </c>
      <c r="AQ310" s="37" t="n">
        <v>0.063</v>
      </c>
      <c r="AR310" s="37" t="n">
        <v>0.06</v>
      </c>
      <c r="AS310" s="37" t="n">
        <v>0.04</v>
      </c>
      <c r="AT310" s="38" t="inlineStr">
        <is>
          <t>2–5</t>
        </is>
      </c>
      <c r="AU310" s="38" t="inlineStr">
        <is>
          <t>Graduate; relevant certification preferred</t>
        </is>
      </c>
      <c r="AV310" s="38" t="inlineStr">
        <is>
          <t>None · guides 1–3 juniors informally</t>
        </is>
      </c>
      <c r="AW310" s="38" t="inlineStr">
        <is>
          <t>P2 · SFIA 3 Apply</t>
        </is>
      </c>
      <c r="AX31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10" s="39" t="inlineStr">
        <is>
          <t>A3</t>
        </is>
      </c>
      <c r="AZ310" s="40" t="inlineStr">
        <is>
          <t>Band A · Practitioner · Senior Associate</t>
        </is>
      </c>
      <c r="BA310" s="40" t="inlineStr">
        <is>
          <t>Model A3 from the six ratings, the market-derived weights and rules R1–R13 · then No change · already below the manager</t>
        </is>
      </c>
      <c r="BB310" s="41" t="inlineStr">
        <is>
          <t>A2</t>
        </is>
      </c>
      <c r="BC310" s="40" t="inlineStr">
        <is>
          <t>The six ratings on the market-average weights of Band A · all tracks score 2.33 → A2 · Hay, Mercer IPE and public plans · experience 6.7 yrs vs the A2 market range 0–3</t>
        </is>
      </c>
      <c r="BD310" s="42">
        <f>IF(SUM(BM310,BN310,BO310,BP310,BQ310,BR310,BS310)=0,0,(BM310*BT310+BN310*BU310+BO310*BV310+BP310*BW310+BQ310*BX310+BR310*BY310+BS310*BZ310)/SUM(BM310,BN310,BO310,BP310,BQ310,BR310,BS310))</f>
        <v>0</v>
      </c>
      <c r="BE310" s="41" t="str">
        <f>IF(LEFT(AY310,1)="X",AY310,IF(OR(AY310="B+",AY310="C+"),INDEX(LAD_PC,MAX(1,MIN(14,MATCH(AY310,LAD_PC,0)+IF(BD310&gt;=0.5,1,IF(BD310&lt;=-0.5,-1,0))))),INDEX(LAD_STD,MAX(1,MIN(12,MATCH(AY310,LAD_STD,0)+IF(BD310&gt;=0.5,1,IF(BD310&lt;=-0.5,-1,0)))))))</f>
        <v>A3</v>
      </c>
      <c r="BF310" s="43" t="n"/>
      <c r="BG310" s="41" t="str">
        <f>IF(BF310&lt;&gt;"",BF310,BE310)</f>
        <v>A3</v>
      </c>
      <c r="BH310" s="40" t="str">
        <f>IFERROR(CHOOSE(INDEX(B_RANK,MATCH(BG310,B_LVL,0)),"Band A","Band B","B+ · Player-Coach","Band C","C+ · Player-Coach","Band D","Band E"),"Band X · Consultant")</f>
        <v>Band A</v>
      </c>
      <c r="BI310" s="40" t="str">
        <f>IF(BG310=AY310,"• Same",IF(INDEX(B_VAL,MATCH(BG310,B_LVL,0))&gt;INDEX(B_VAL,MATCH(AY310,B_LVL,0)),"▲ Up","▼ Down"))</f>
        <v>• Same</v>
      </c>
      <c r="BJ310" s="40" t="str">
        <f>IF(OR($M310="",$M310="—",$M310="Not in this file"),"",IFERROR(INDEX($BG$7:$BG$592,MATCH($M310,$D$7:$D$592,0)),""))</f>
        <v>B1</v>
      </c>
      <c r="BK310" s="40" t="str">
        <f>IFERROR(IF(BJ310="","—",IF(OR(LEFT(BG310,1)="X",LEFT(BJ310,1)="X"),"—",IF(AND(LEFT(BG310,1)="E",LEFT(BJ310,1)="E"),"Exception · Band E",IF(AND(INDEX(B_VAL,MATCH(BJ310,B_LVL,0))&gt;=7,INDEX(B_RANK,MATCH(BG310,B_LVL,0))&gt;=INDEX(B_RANK,MATCH(BJ310,B_LVL,0))),"⚠ Same band as a head manager",IF(INDEX(B_VAL,MATCH(BG310,B_LVL,0))&gt;=INDEX(B_VAL,MATCH(BJ310,B_LVL,0)),"⚠ At or above the manager's level","OK"))))),"—")</f>
        <v>OK</v>
      </c>
      <c r="BL310" s="43" t="n"/>
      <c r="BM310" s="44">
        <f>IFERROR(INDEX(LMH_PTS,MATCH(Y310,LMH_KEY,0)),0)</f>
        <v>9</v>
      </c>
      <c r="BN310" s="38">
        <f>IFERROR(INDEX(LMH_PTS,MATCH(Z310,LMH_KEY,0)),0)</f>
        <v>3</v>
      </c>
      <c r="BO310" s="38">
        <f>IFERROR(INDEX(LMH_PTS,MATCH(AA310,LMH_KEY,0)),0)</f>
        <v>1</v>
      </c>
      <c r="BP310" s="38">
        <f>IFERROR(INDEX(LMH_PTS,MATCH(AB310,LMH_KEY,0)),0)</f>
        <v>1</v>
      </c>
      <c r="BQ310" s="38">
        <f>IFERROR(INDEX(LMH_PTS,MATCH(AC310,LMH_KEY,0)),0)</f>
        <v>1</v>
      </c>
      <c r="BR310" s="38">
        <f>IFERROR(INDEX(LMH_PTS,MATCH(AD310,LMH_KEY,0)),0)</f>
        <v>1</v>
      </c>
      <c r="BS310" s="38">
        <f>IFERROR(INDEX(LMH_PTS,MATCH(AE310,LMH_KEY,0)),0)</f>
        <v>1</v>
      </c>
      <c r="BT310" s="38">
        <f>IFERROR(INDEX(LMH_STEP,MATCH(AF310,LMH_KEY,0)),0)</f>
        <v>0</v>
      </c>
      <c r="BU310" s="38">
        <f>IFERROR(INDEX(LMH_STEP,MATCH(AG310,LMH_KEY,0)),0)</f>
        <v>0</v>
      </c>
      <c r="BV310" s="38">
        <f>IFERROR(INDEX(LMH_STEP,MATCH(AH310,LMH_KEY,0)),0)</f>
        <v>0</v>
      </c>
      <c r="BW310" s="38">
        <f>IFERROR(INDEX(LMH_STEP,MATCH(AI310,LMH_KEY,0)),0)</f>
        <v>0</v>
      </c>
      <c r="BX310" s="38">
        <f>IFERROR(INDEX(LMH_STEP,MATCH(AJ310,LMH_KEY,0)),0)</f>
        <v>0</v>
      </c>
      <c r="BY310" s="38">
        <f>IFERROR(INDEX(LMH_STEP,MATCH(AK310,LMH_KEY,0)),0)</f>
        <v>0</v>
      </c>
      <c r="BZ310" s="38">
        <f>IFERROR(INDEX(LMH_STEP,MATCH(AL310,LMH_KEY,0)),0)</f>
        <v>0</v>
      </c>
      <c r="CA310" s="38" t="inlineStr">
        <is>
          <t>iFile|Technology|Senior DevOps Engineer|A3|A</t>
        </is>
      </c>
    </row>
    <row r="311" ht="110" customHeight="1">
      <c r="A311" s="28" t="inlineStr">
        <is>
          <t>iFile</t>
        </is>
      </c>
      <c r="B311" s="29" t="inlineStr">
        <is>
          <t>Technology</t>
        </is>
      </c>
      <c r="C311" s="29" t="n">
        <v>6</v>
      </c>
      <c r="D311" s="29" t="inlineStr">
        <is>
          <t>IRIS2089</t>
        </is>
      </c>
      <c r="E311" s="29" t="inlineStr">
        <is>
          <t>Nilesh Mohite</t>
        </is>
      </c>
      <c r="F311" s="29" t="inlineStr">
        <is>
          <t>Software Engineer</t>
        </is>
      </c>
      <c r="G311" s="29" t="inlineStr">
        <is>
          <t>Senior Software Engineer</t>
        </is>
      </c>
      <c r="H311" s="29" t="inlineStr">
        <is>
          <t>Engineering &amp; Development</t>
        </is>
      </c>
      <c r="I311" s="29" t="inlineStr">
        <is>
          <t>Backend Development</t>
        </is>
      </c>
      <c r="J311" s="29" t="inlineStr">
        <is>
          <t>IC</t>
        </is>
      </c>
      <c r="K311" s="29" t="inlineStr">
        <is>
          <t>RC-067</t>
        </is>
      </c>
      <c r="L311" s="29" t="inlineStr">
        <is>
          <t>Amruta Kadam</t>
        </is>
      </c>
      <c r="M311" s="29" t="inlineStr">
        <is>
          <t>IRIS1474</t>
        </is>
      </c>
      <c r="N311" s="29" t="n">
        <v>5.2</v>
      </c>
      <c r="O311" s="29" t="n">
        <v>3.7</v>
      </c>
      <c r="P311" s="29" t="inlineStr">
        <is>
          <t>B.E</t>
        </is>
      </c>
      <c r="Q311" s="29" t="inlineStr">
        <is>
          <t>L3 – Professional / Associate</t>
        </is>
      </c>
      <c r="R311" s="29" t="inlineStr">
        <is>
          <t>A3</t>
        </is>
      </c>
      <c r="S311" s="30" t="inlineStr">
        <is>
          <t>20 of 20</t>
        </is>
      </c>
      <c r="T311" s="31" t="inlineStr">
        <is>
          <t>Complexity: Evidence reads like A2: Builds working software; one-line answers name no specific module or problem → matches the start
Autonomy: Evidence reads like A2: Says 'make technical decisions' without any example → matches the start
Accountability: Evidence reads like A2: Responsible for own code working correctly and for fixing own bugs → matches the …</t>
        </is>
      </c>
      <c r="U311" s="31" t="inlineStr">
        <is>
          <t>Received · manager annual, quarterly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311" s="31" t="inlineStr">
        <is>
          <t>Latest rating: 4 · Potential: Medium · 9-box: High Impact / Growth Talent · Readiness: Ready in 6–12 months</t>
        </is>
      </c>
      <c r="W311" s="31" t="inlineStr">
        <is>
          <t>C L · Au L · Ac L · L L · BI L · Exp H · 5.2 yrs vs 2–4 yrs · Edu M · B.E</t>
        </is>
      </c>
      <c r="X311" s="33" t="inlineStr">
        <is>
          <t>Open ▸</t>
        </is>
      </c>
      <c r="Y311" s="34" t="str">
        <f>IFERROR(INDEX(DL_C,MATCH($CA311,DL_KEY,0)),"M")</f>
        <v>H</v>
      </c>
      <c r="Z311" s="35" t="str">
        <f>IFERROR(INDEX(DL_Au,MATCH($CA311,DL_KEY,0)),"M")</f>
        <v>M</v>
      </c>
      <c r="AA311" s="35" t="str">
        <f>IFERROR(INDEX(DL_Ac,MATCH($CA311,DL_KEY,0)),"M")</f>
        <v>L</v>
      </c>
      <c r="AB311" s="35" t="str">
        <f>IFERROR(INDEX(DL_L,MATCH($CA311,DL_KEY,0)),"M")</f>
        <v>L</v>
      </c>
      <c r="AC311" s="35" t="str">
        <f>IFERROR(INDEX(DL_BI,MATCH($CA311,DL_KEY,0)),"M")</f>
        <v>L</v>
      </c>
      <c r="AD311" s="35" t="str">
        <f>IFERROR(INDEX(DL_Exp,MATCH($CA311,DL_KEY,0)),"M")</f>
        <v>L</v>
      </c>
      <c r="AE311" s="35" t="str">
        <f>IFERROR(INDEX(DL_Edu,MATCH($CA311,DL_KEY,0)),"M")</f>
        <v>L</v>
      </c>
      <c r="AF311" s="34" t="inlineStr">
        <is>
          <t>M</t>
        </is>
      </c>
      <c r="AG311" s="35" t="inlineStr">
        <is>
          <t>M</t>
        </is>
      </c>
      <c r="AH311" s="35" t="inlineStr">
        <is>
          <t>M</t>
        </is>
      </c>
      <c r="AI311" s="35" t="inlineStr">
        <is>
          <t>M</t>
        </is>
      </c>
      <c r="AJ311" s="35" t="inlineStr">
        <is>
          <t>M</t>
        </is>
      </c>
      <c r="AK311" s="35" t="inlineStr">
        <is>
          <t>M</t>
        </is>
      </c>
      <c r="AL311" s="35" t="inlineStr">
        <is>
          <t>M</t>
        </is>
      </c>
      <c r="AM311" s="36" t="n">
        <v>0.583</v>
      </c>
      <c r="AN311" s="37" t="n">
        <v>0.16</v>
      </c>
      <c r="AO311" s="37" t="n">
        <v>0.09</v>
      </c>
      <c r="AP311" s="37" t="n">
        <v>0</v>
      </c>
      <c r="AQ311" s="37" t="n">
        <v>0.063</v>
      </c>
      <c r="AR311" s="37" t="n">
        <v>0.06</v>
      </c>
      <c r="AS311" s="37" t="n">
        <v>0.04</v>
      </c>
      <c r="AT311" s="38" t="inlineStr">
        <is>
          <t>2–5</t>
        </is>
      </c>
      <c r="AU311" s="38" t="inlineStr">
        <is>
          <t>Graduate; relevant certification preferred</t>
        </is>
      </c>
      <c r="AV311" s="38" t="inlineStr">
        <is>
          <t>None · guides 1–3 juniors informally</t>
        </is>
      </c>
      <c r="AW311" s="38" t="inlineStr">
        <is>
          <t>P2 · SFIA 3 Apply</t>
        </is>
      </c>
      <c r="AX31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11" s="39" t="inlineStr">
        <is>
          <t>A3</t>
        </is>
      </c>
      <c r="AZ311" s="40" t="inlineStr">
        <is>
          <t>Band A · Practitioner · Senior Associate</t>
        </is>
      </c>
      <c r="BA311" s="40" t="inlineStr">
        <is>
          <t>Model A3 from the six ratings, the market-derived weights and rules R1–R13 · then No change · already below the manager</t>
        </is>
      </c>
      <c r="BB311" s="41" t="inlineStr">
        <is>
          <t>A2</t>
        </is>
      </c>
      <c r="BC311" s="40" t="inlineStr">
        <is>
          <t>The six ratings on the market-average weights of Band A · all tracks score 2.20 → A2 · Hay, Mercer IPE and public plans · experience 5.2 yrs vs the A2 market range 0–3</t>
        </is>
      </c>
      <c r="BD311" s="42">
        <f>IF(SUM(BM311,BN311,BO311,BP311,BQ311,BR311,BS311)=0,0,(BM311*BT311+BN311*BU311+BO311*BV311+BP311*BW311+BQ311*BX311+BR311*BY311+BS311*BZ311)/SUM(BM311,BN311,BO311,BP311,BQ311,BR311,BS311))</f>
        <v>0</v>
      </c>
      <c r="BE311" s="41" t="str">
        <f>IF(LEFT(AY311,1)="X",AY311,IF(OR(AY311="B+",AY311="C+"),INDEX(LAD_PC,MAX(1,MIN(14,MATCH(AY311,LAD_PC,0)+IF(BD311&gt;=0.5,1,IF(BD311&lt;=-0.5,-1,0))))),INDEX(LAD_STD,MAX(1,MIN(12,MATCH(AY311,LAD_STD,0)+IF(BD311&gt;=0.5,1,IF(BD311&lt;=-0.5,-1,0)))))))</f>
        <v>A3</v>
      </c>
      <c r="BF311" s="43" t="n"/>
      <c r="BG311" s="41" t="str">
        <f>IF(BF311&lt;&gt;"",BF311,BE311)</f>
        <v>A3</v>
      </c>
      <c r="BH311" s="40" t="str">
        <f>IFERROR(CHOOSE(INDEX(B_RANK,MATCH(BG311,B_LVL,0)),"Band A","Band B","B+ · Player-Coach","Band C","C+ · Player-Coach","Band D","Band E"),"Band X · Consultant")</f>
        <v>Band A</v>
      </c>
      <c r="BI311" s="40" t="str">
        <f>IF(BG311=AY311,"• Same",IF(INDEX(B_VAL,MATCH(BG311,B_LVL,0))&gt;INDEX(B_VAL,MATCH(AY311,B_LVL,0)),"▲ Up","▼ Down"))</f>
        <v>• Same</v>
      </c>
      <c r="BJ311" s="40" t="str">
        <f>IF(OR($M311="",$M311="—",$M311="Not in this file"),"",IFERROR(INDEX($BG$7:$BG$592,MATCH($M311,$D$7:$D$592,0)),""))</f>
        <v>B1</v>
      </c>
      <c r="BK311" s="40" t="str">
        <f>IFERROR(IF(BJ311="","—",IF(OR(LEFT(BG311,1)="X",LEFT(BJ311,1)="X"),"—",IF(AND(LEFT(BG311,1)="E",LEFT(BJ311,1)="E"),"Exception · Band E",IF(AND(INDEX(B_VAL,MATCH(BJ311,B_LVL,0))&gt;=7,INDEX(B_RANK,MATCH(BG311,B_LVL,0))&gt;=INDEX(B_RANK,MATCH(BJ311,B_LVL,0))),"⚠ Same band as a head manager",IF(INDEX(B_VAL,MATCH(BG311,B_LVL,0))&gt;=INDEX(B_VAL,MATCH(BJ311,B_LVL,0)),"⚠ At or above the manager's level","OK"))))),"—")</f>
        <v>OK</v>
      </c>
      <c r="BL311" s="43" t="n"/>
      <c r="BM311" s="44">
        <f>IFERROR(INDEX(LMH_PTS,MATCH(Y311,LMH_KEY,0)),0)</f>
        <v>9</v>
      </c>
      <c r="BN311" s="38">
        <f>IFERROR(INDEX(LMH_PTS,MATCH(Z311,LMH_KEY,0)),0)</f>
        <v>3</v>
      </c>
      <c r="BO311" s="38">
        <f>IFERROR(INDEX(LMH_PTS,MATCH(AA311,LMH_KEY,0)),0)</f>
        <v>1</v>
      </c>
      <c r="BP311" s="38">
        <f>IFERROR(INDEX(LMH_PTS,MATCH(AB311,LMH_KEY,0)),0)</f>
        <v>1</v>
      </c>
      <c r="BQ311" s="38">
        <f>IFERROR(INDEX(LMH_PTS,MATCH(AC311,LMH_KEY,0)),0)</f>
        <v>1</v>
      </c>
      <c r="BR311" s="38">
        <f>IFERROR(INDEX(LMH_PTS,MATCH(AD311,LMH_KEY,0)),0)</f>
        <v>1</v>
      </c>
      <c r="BS311" s="38">
        <f>IFERROR(INDEX(LMH_PTS,MATCH(AE311,LMH_KEY,0)),0)</f>
        <v>1</v>
      </c>
      <c r="BT311" s="38">
        <f>IFERROR(INDEX(LMH_STEP,MATCH(AF311,LMH_KEY,0)),0)</f>
        <v>0</v>
      </c>
      <c r="BU311" s="38">
        <f>IFERROR(INDEX(LMH_STEP,MATCH(AG311,LMH_KEY,0)),0)</f>
        <v>0</v>
      </c>
      <c r="BV311" s="38">
        <f>IFERROR(INDEX(LMH_STEP,MATCH(AH311,LMH_KEY,0)),0)</f>
        <v>0</v>
      </c>
      <c r="BW311" s="38">
        <f>IFERROR(INDEX(LMH_STEP,MATCH(AI311,LMH_KEY,0)),0)</f>
        <v>0</v>
      </c>
      <c r="BX311" s="38">
        <f>IFERROR(INDEX(LMH_STEP,MATCH(AJ311,LMH_KEY,0)),0)</f>
        <v>0</v>
      </c>
      <c r="BY311" s="38">
        <f>IFERROR(INDEX(LMH_STEP,MATCH(AK311,LMH_KEY,0)),0)</f>
        <v>0</v>
      </c>
      <c r="BZ311" s="38">
        <f>IFERROR(INDEX(LMH_STEP,MATCH(AL311,LMH_KEY,0)),0)</f>
        <v>0</v>
      </c>
      <c r="CA311" s="38" t="inlineStr">
        <is>
          <t>iFile|Technology|Senior Software Engineer|A3|A</t>
        </is>
      </c>
    </row>
    <row r="312" ht="110" customHeight="1">
      <c r="A312" s="28" t="inlineStr">
        <is>
          <t>iFile</t>
        </is>
      </c>
      <c r="B312" s="29" t="inlineStr">
        <is>
          <t>Technology</t>
        </is>
      </c>
      <c r="C312" s="29" t="n">
        <v>6</v>
      </c>
      <c r="D312" s="29" t="inlineStr">
        <is>
          <t>IRIS2433</t>
        </is>
      </c>
      <c r="E312" s="29" t="inlineStr">
        <is>
          <t>Sadhna Sahu</t>
        </is>
      </c>
      <c r="F312" s="29" t="inlineStr">
        <is>
          <t>Software Engineer</t>
        </is>
      </c>
      <c r="G312" s="29" t="inlineStr">
        <is>
          <t>Senior Software Engineer</t>
        </is>
      </c>
      <c r="H312" s="29" t="inlineStr">
        <is>
          <t>Engineering &amp; Development</t>
        </is>
      </c>
      <c r="I312" s="29" t="inlineStr">
        <is>
          <t>Backend Development</t>
        </is>
      </c>
      <c r="J312" s="29" t="inlineStr">
        <is>
          <t>IC</t>
        </is>
      </c>
      <c r="K312" s="29" t="inlineStr">
        <is>
          <t>RC-067</t>
        </is>
      </c>
      <c r="L312" s="29" t="inlineStr">
        <is>
          <t>Amruta Kadam</t>
        </is>
      </c>
      <c r="M312" s="29" t="inlineStr">
        <is>
          <t>IRIS1474</t>
        </is>
      </c>
      <c r="N312" s="29" t="n">
        <v>2.5</v>
      </c>
      <c r="O312" s="29" t="n">
        <v>1</v>
      </c>
      <c r="P312" s="29" t="inlineStr">
        <is>
          <t>B.Tech</t>
        </is>
      </c>
      <c r="Q312" s="29" t="inlineStr">
        <is>
          <t>Not in current mapping files</t>
        </is>
      </c>
      <c r="R312" s="29" t="inlineStr">
        <is>
          <t>A3</t>
        </is>
      </c>
      <c r="S312" s="30" t="inlineStr">
        <is>
          <t>0 of 20</t>
        </is>
      </c>
      <c r="T312" s="31" t="inlineStr">
        <is>
          <t>Business Impact: No survey or manager-mapping signal on criticality: kept at the start point.</t>
        </is>
      </c>
      <c r="U312" s="32" t="inlineStr">
        <is>
          <t>KRAs not received · manager to supply</t>
        </is>
      </c>
      <c r="V312" s="31" t="inlineStr">
        <is>
          <t>Latest rating: Not rated · manager · 9-box: Not placed · manager · Readiness: No rating data</t>
        </is>
      </c>
      <c r="W312" s="31" t="inlineStr">
        <is>
          <t>C M · Au L · Ac M · L L · BI M · Exp M · 2.5 yrs vs 2–4 yrs · Edu M · B.Tech</t>
        </is>
      </c>
      <c r="X312" s="33" t="inlineStr">
        <is>
          <t>Open ▸</t>
        </is>
      </c>
      <c r="Y312" s="34" t="str">
        <f>IFERROR(INDEX(DL_C,MATCH($CA312,DL_KEY,0)),"M")</f>
        <v>H</v>
      </c>
      <c r="Z312" s="35" t="str">
        <f>IFERROR(INDEX(DL_Au,MATCH($CA312,DL_KEY,0)),"M")</f>
        <v>M</v>
      </c>
      <c r="AA312" s="35" t="str">
        <f>IFERROR(INDEX(DL_Ac,MATCH($CA312,DL_KEY,0)),"M")</f>
        <v>L</v>
      </c>
      <c r="AB312" s="35" t="str">
        <f>IFERROR(INDEX(DL_L,MATCH($CA312,DL_KEY,0)),"M")</f>
        <v>L</v>
      </c>
      <c r="AC312" s="35" t="str">
        <f>IFERROR(INDEX(DL_BI,MATCH($CA312,DL_KEY,0)),"M")</f>
        <v>L</v>
      </c>
      <c r="AD312" s="35" t="str">
        <f>IFERROR(INDEX(DL_Exp,MATCH($CA312,DL_KEY,0)),"M")</f>
        <v>L</v>
      </c>
      <c r="AE312" s="35" t="str">
        <f>IFERROR(INDEX(DL_Edu,MATCH($CA312,DL_KEY,0)),"M")</f>
        <v>L</v>
      </c>
      <c r="AF312" s="34" t="inlineStr">
        <is>
          <t>M</t>
        </is>
      </c>
      <c r="AG312" s="35" t="inlineStr">
        <is>
          <t>M</t>
        </is>
      </c>
      <c r="AH312" s="35" t="inlineStr">
        <is>
          <t>M</t>
        </is>
      </c>
      <c r="AI312" s="35" t="inlineStr">
        <is>
          <t>M</t>
        </is>
      </c>
      <c r="AJ312" s="35" t="inlineStr">
        <is>
          <t>M</t>
        </is>
      </c>
      <c r="AK312" s="35" t="inlineStr">
        <is>
          <t>M</t>
        </is>
      </c>
      <c r="AL312" s="35" t="inlineStr">
        <is>
          <t>M</t>
        </is>
      </c>
      <c r="AM312" s="36" t="n">
        <v>0.583</v>
      </c>
      <c r="AN312" s="37" t="n">
        <v>0.16</v>
      </c>
      <c r="AO312" s="37" t="n">
        <v>0.09</v>
      </c>
      <c r="AP312" s="37" t="n">
        <v>0</v>
      </c>
      <c r="AQ312" s="37" t="n">
        <v>0.063</v>
      </c>
      <c r="AR312" s="37" t="n">
        <v>0.06</v>
      </c>
      <c r="AS312" s="37" t="n">
        <v>0.04</v>
      </c>
      <c r="AT312" s="38" t="inlineStr">
        <is>
          <t>2–5</t>
        </is>
      </c>
      <c r="AU312" s="38" t="inlineStr">
        <is>
          <t>Graduate; relevant certification preferred</t>
        </is>
      </c>
      <c r="AV312" s="38" t="inlineStr">
        <is>
          <t>None · guides 1–3 juniors informally</t>
        </is>
      </c>
      <c r="AW312" s="38" t="inlineStr">
        <is>
          <t>P2 · SFIA 3 Apply</t>
        </is>
      </c>
      <c r="AX31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12" s="39" t="inlineStr">
        <is>
          <t>A3</t>
        </is>
      </c>
      <c r="AZ312" s="40" t="inlineStr">
        <is>
          <t>Band A · Practitioner · Senior Associate</t>
        </is>
      </c>
      <c r="BA312" s="40" t="inlineStr">
        <is>
          <t>Model A3 from the six ratings, the market-derived weights and rules R1–R13 · then No change · already below the manager</t>
        </is>
      </c>
      <c r="BB312" s="41" t="inlineStr">
        <is>
          <t>A2</t>
        </is>
      </c>
      <c r="BC312" s="40" t="inlineStr">
        <is>
          <t>The six ratings on the market-average weights of Band A · all tracks score 2.47 → A2 · Hay, Mercer IPE and public plans · experience 2.5 yrs vs the A2 market range 0–3</t>
        </is>
      </c>
      <c r="BD312" s="42">
        <f>IF(SUM(BM312,BN312,BO312,BP312,BQ312,BR312,BS312)=0,0,(BM312*BT312+BN312*BU312+BO312*BV312+BP312*BW312+BQ312*BX312+BR312*BY312+BS312*BZ312)/SUM(BM312,BN312,BO312,BP312,BQ312,BR312,BS312))</f>
        <v>0</v>
      </c>
      <c r="BE312" s="41" t="str">
        <f>IF(LEFT(AY312,1)="X",AY312,IF(OR(AY312="B+",AY312="C+"),INDEX(LAD_PC,MAX(1,MIN(14,MATCH(AY312,LAD_PC,0)+IF(BD312&gt;=0.5,1,IF(BD312&lt;=-0.5,-1,0))))),INDEX(LAD_STD,MAX(1,MIN(12,MATCH(AY312,LAD_STD,0)+IF(BD312&gt;=0.5,1,IF(BD312&lt;=-0.5,-1,0)))))))</f>
        <v>A3</v>
      </c>
      <c r="BF312" s="43" t="n"/>
      <c r="BG312" s="41" t="str">
        <f>IF(BF312&lt;&gt;"",BF312,BE312)</f>
        <v>A3</v>
      </c>
      <c r="BH312" s="40" t="str">
        <f>IFERROR(CHOOSE(INDEX(B_RANK,MATCH(BG312,B_LVL,0)),"Band A","Band B","B+ · Player-Coach","Band C","C+ · Player-Coach","Band D","Band E"),"Band X · Consultant")</f>
        <v>Band A</v>
      </c>
      <c r="BI312" s="40" t="str">
        <f>IF(BG312=AY312,"• Same",IF(INDEX(B_VAL,MATCH(BG312,B_LVL,0))&gt;INDEX(B_VAL,MATCH(AY312,B_LVL,0)),"▲ Up","▼ Down"))</f>
        <v>• Same</v>
      </c>
      <c r="BJ312" s="40" t="str">
        <f>IF(OR($M312="",$M312="—",$M312="Not in this file"),"",IFERROR(INDEX($BG$7:$BG$592,MATCH($M312,$D$7:$D$592,0)),""))</f>
        <v>B1</v>
      </c>
      <c r="BK312" s="40" t="str">
        <f>IFERROR(IF(BJ312="","—",IF(OR(LEFT(BG312,1)="X",LEFT(BJ312,1)="X"),"—",IF(AND(LEFT(BG312,1)="E",LEFT(BJ312,1)="E"),"Exception · Band E",IF(AND(INDEX(B_VAL,MATCH(BJ312,B_LVL,0))&gt;=7,INDEX(B_RANK,MATCH(BG312,B_LVL,0))&gt;=INDEX(B_RANK,MATCH(BJ312,B_LVL,0))),"⚠ Same band as a head manager",IF(INDEX(B_VAL,MATCH(BG312,B_LVL,0))&gt;=INDEX(B_VAL,MATCH(BJ312,B_LVL,0)),"⚠ At or above the manager's level","OK"))))),"—")</f>
        <v>OK</v>
      </c>
      <c r="BL312" s="43" t="n"/>
      <c r="BM312" s="44">
        <f>IFERROR(INDEX(LMH_PTS,MATCH(Y312,LMH_KEY,0)),0)</f>
        <v>9</v>
      </c>
      <c r="BN312" s="38">
        <f>IFERROR(INDEX(LMH_PTS,MATCH(Z312,LMH_KEY,0)),0)</f>
        <v>3</v>
      </c>
      <c r="BO312" s="38">
        <f>IFERROR(INDEX(LMH_PTS,MATCH(AA312,LMH_KEY,0)),0)</f>
        <v>1</v>
      </c>
      <c r="BP312" s="38">
        <f>IFERROR(INDEX(LMH_PTS,MATCH(AB312,LMH_KEY,0)),0)</f>
        <v>1</v>
      </c>
      <c r="BQ312" s="38">
        <f>IFERROR(INDEX(LMH_PTS,MATCH(AC312,LMH_KEY,0)),0)</f>
        <v>1</v>
      </c>
      <c r="BR312" s="38">
        <f>IFERROR(INDEX(LMH_PTS,MATCH(AD312,LMH_KEY,0)),0)</f>
        <v>1</v>
      </c>
      <c r="BS312" s="38">
        <f>IFERROR(INDEX(LMH_PTS,MATCH(AE312,LMH_KEY,0)),0)</f>
        <v>1</v>
      </c>
      <c r="BT312" s="38">
        <f>IFERROR(INDEX(LMH_STEP,MATCH(AF312,LMH_KEY,0)),0)</f>
        <v>0</v>
      </c>
      <c r="BU312" s="38">
        <f>IFERROR(INDEX(LMH_STEP,MATCH(AG312,LMH_KEY,0)),0)</f>
        <v>0</v>
      </c>
      <c r="BV312" s="38">
        <f>IFERROR(INDEX(LMH_STEP,MATCH(AH312,LMH_KEY,0)),0)</f>
        <v>0</v>
      </c>
      <c r="BW312" s="38">
        <f>IFERROR(INDEX(LMH_STEP,MATCH(AI312,LMH_KEY,0)),0)</f>
        <v>0</v>
      </c>
      <c r="BX312" s="38">
        <f>IFERROR(INDEX(LMH_STEP,MATCH(AJ312,LMH_KEY,0)),0)</f>
        <v>0</v>
      </c>
      <c r="BY312" s="38">
        <f>IFERROR(INDEX(LMH_STEP,MATCH(AK312,LMH_KEY,0)),0)</f>
        <v>0</v>
      </c>
      <c r="BZ312" s="38">
        <f>IFERROR(INDEX(LMH_STEP,MATCH(AL312,LMH_KEY,0)),0)</f>
        <v>0</v>
      </c>
      <c r="CA312" s="38" t="inlineStr">
        <is>
          <t>iFile|Technology|Senior Software Engineer|A3|A</t>
        </is>
      </c>
    </row>
    <row r="313" ht="110" customHeight="1">
      <c r="A313" s="28" t="inlineStr">
        <is>
          <t>iFile</t>
        </is>
      </c>
      <c r="B313" s="29" t="inlineStr">
        <is>
          <t>Technology</t>
        </is>
      </c>
      <c r="C313" s="29" t="n">
        <v>6</v>
      </c>
      <c r="D313" s="29" t="inlineStr">
        <is>
          <t>IRIS2476</t>
        </is>
      </c>
      <c r="E313" s="29" t="inlineStr">
        <is>
          <t>Sagar Soni</t>
        </is>
      </c>
      <c r="F313" s="29" t="inlineStr">
        <is>
          <t>Software Engineer</t>
        </is>
      </c>
      <c r="G313" s="29" t="inlineStr">
        <is>
          <t>Senior Software Engineer</t>
        </is>
      </c>
      <c r="H313" s="29" t="inlineStr">
        <is>
          <t>Engineering &amp; Development</t>
        </is>
      </c>
      <c r="I313" s="29" t="inlineStr">
        <is>
          <t>Backend Development</t>
        </is>
      </c>
      <c r="J313" s="29" t="inlineStr">
        <is>
          <t>IC</t>
        </is>
      </c>
      <c r="K313" s="29" t="inlineStr">
        <is>
          <t>RC-067</t>
        </is>
      </c>
      <c r="L313" s="29" t="inlineStr">
        <is>
          <t>Amruta Kadam</t>
        </is>
      </c>
      <c r="M313" s="29" t="inlineStr">
        <is>
          <t>IRIS1474</t>
        </is>
      </c>
      <c r="N313" s="29" t="n">
        <v>4.9</v>
      </c>
      <c r="O313" s="29" t="n">
        <v>0.6</v>
      </c>
      <c r="P313" s="29" t="inlineStr">
        <is>
          <t>B.E</t>
        </is>
      </c>
      <c r="Q313" s="29" t="inlineStr">
        <is>
          <t>L3 – Professional / Associate</t>
        </is>
      </c>
      <c r="R313" s="29" t="inlineStr">
        <is>
          <t>A3</t>
        </is>
      </c>
      <c r="S313" s="30" t="inlineStr">
        <is>
          <t>20 of 20</t>
        </is>
      </c>
      <c r="T313" s="31" t="inlineStr">
        <is>
          <t>Complexity: Evidence reads like A3: Security remediation against SAST gates on RBI iFileCIMS; judges fix versus 'Not Exploitable'; maintains CI/CD pipeline → moved up 0.5
Autonomy: Evidence reads like A2: Decides code fixes and bug calls; infrastructure changes go through formal CRs → matches the start
Accountability: Evidence reads like A3: Own code, …</t>
        </is>
      </c>
      <c r="U313" s="31" t="inlineStr">
        <is>
          <t>Received · manager annual, quarterly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313" s="31" t="inlineStr">
        <is>
          <t>Latest rating: 3 · Potential: Low · 9-box: Core Contributor · Readiness: Develop in role</t>
        </is>
      </c>
      <c r="W313" s="31" t="inlineStr">
        <is>
          <t>C M · Au L · Ac M · L L · BI M · Exp H · 4.9 yrs vs 2–4 yrs · Edu M · B.E</t>
        </is>
      </c>
      <c r="X313" s="33" t="inlineStr">
        <is>
          <t>Open ▸</t>
        </is>
      </c>
      <c r="Y313" s="34" t="str">
        <f>IFERROR(INDEX(DL_C,MATCH($CA313,DL_KEY,0)),"M")</f>
        <v>H</v>
      </c>
      <c r="Z313" s="35" t="str">
        <f>IFERROR(INDEX(DL_Au,MATCH($CA313,DL_KEY,0)),"M")</f>
        <v>M</v>
      </c>
      <c r="AA313" s="35" t="str">
        <f>IFERROR(INDEX(DL_Ac,MATCH($CA313,DL_KEY,0)),"M")</f>
        <v>L</v>
      </c>
      <c r="AB313" s="35" t="str">
        <f>IFERROR(INDEX(DL_L,MATCH($CA313,DL_KEY,0)),"M")</f>
        <v>L</v>
      </c>
      <c r="AC313" s="35" t="str">
        <f>IFERROR(INDEX(DL_BI,MATCH($CA313,DL_KEY,0)),"M")</f>
        <v>L</v>
      </c>
      <c r="AD313" s="35" t="str">
        <f>IFERROR(INDEX(DL_Exp,MATCH($CA313,DL_KEY,0)),"M")</f>
        <v>L</v>
      </c>
      <c r="AE313" s="35" t="str">
        <f>IFERROR(INDEX(DL_Edu,MATCH($CA313,DL_KEY,0)),"M")</f>
        <v>L</v>
      </c>
      <c r="AF313" s="34" t="inlineStr">
        <is>
          <t>M</t>
        </is>
      </c>
      <c r="AG313" s="35" t="inlineStr">
        <is>
          <t>M</t>
        </is>
      </c>
      <c r="AH313" s="35" t="inlineStr">
        <is>
          <t>M</t>
        </is>
      </c>
      <c r="AI313" s="35" t="inlineStr">
        <is>
          <t>M</t>
        </is>
      </c>
      <c r="AJ313" s="35" t="inlineStr">
        <is>
          <t>M</t>
        </is>
      </c>
      <c r="AK313" s="35" t="inlineStr">
        <is>
          <t>M</t>
        </is>
      </c>
      <c r="AL313" s="35" t="inlineStr">
        <is>
          <t>M</t>
        </is>
      </c>
      <c r="AM313" s="36" t="n">
        <v>0.583</v>
      </c>
      <c r="AN313" s="37" t="n">
        <v>0.16</v>
      </c>
      <c r="AO313" s="37" t="n">
        <v>0.09</v>
      </c>
      <c r="AP313" s="37" t="n">
        <v>0</v>
      </c>
      <c r="AQ313" s="37" t="n">
        <v>0.063</v>
      </c>
      <c r="AR313" s="37" t="n">
        <v>0.06</v>
      </c>
      <c r="AS313" s="37" t="n">
        <v>0.04</v>
      </c>
      <c r="AT313" s="38" t="inlineStr">
        <is>
          <t>2–5</t>
        </is>
      </c>
      <c r="AU313" s="38" t="inlineStr">
        <is>
          <t>Graduate; relevant certification preferred</t>
        </is>
      </c>
      <c r="AV313" s="38" t="inlineStr">
        <is>
          <t>None · guides 1–3 juniors informally</t>
        </is>
      </c>
      <c r="AW313" s="38" t="inlineStr">
        <is>
          <t>P2 · SFIA 3 Apply</t>
        </is>
      </c>
      <c r="AX31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13" s="39" t="inlineStr">
        <is>
          <t>A3</t>
        </is>
      </c>
      <c r="AZ313" s="40" t="inlineStr">
        <is>
          <t>Band A · Practitioner · Senior Associate</t>
        </is>
      </c>
      <c r="BA313" s="40" t="inlineStr">
        <is>
          <t>Model A3 from the six ratings, the market-derived weights and rules R1–R13 · then No change · already below the manager</t>
        </is>
      </c>
      <c r="BB313" s="41" t="inlineStr">
        <is>
          <t>A3</t>
        </is>
      </c>
      <c r="BC313" s="40" t="inlineStr">
        <is>
          <t>The six ratings on the market-average weights of Band A · all tracks score 2.57 → A3 · Hay, Mercer IPE and public plans · experience 4.9 yrs vs the A3 market range 2–5</t>
        </is>
      </c>
      <c r="BD313" s="42">
        <f>IF(SUM(BM313,BN313,BO313,BP313,BQ313,BR313,BS313)=0,0,(BM313*BT313+BN313*BU313+BO313*BV313+BP313*BW313+BQ313*BX313+BR313*BY313+BS313*BZ313)/SUM(BM313,BN313,BO313,BP313,BQ313,BR313,BS313))</f>
        <v>0</v>
      </c>
      <c r="BE313" s="41" t="str">
        <f>IF(LEFT(AY313,1)="X",AY313,IF(OR(AY313="B+",AY313="C+"),INDEX(LAD_PC,MAX(1,MIN(14,MATCH(AY313,LAD_PC,0)+IF(BD313&gt;=0.5,1,IF(BD313&lt;=-0.5,-1,0))))),INDEX(LAD_STD,MAX(1,MIN(12,MATCH(AY313,LAD_STD,0)+IF(BD313&gt;=0.5,1,IF(BD313&lt;=-0.5,-1,0)))))))</f>
        <v>A3</v>
      </c>
      <c r="BF313" s="43" t="n"/>
      <c r="BG313" s="41" t="str">
        <f>IF(BF313&lt;&gt;"",BF313,BE313)</f>
        <v>A3</v>
      </c>
      <c r="BH313" s="40" t="str">
        <f>IFERROR(CHOOSE(INDEX(B_RANK,MATCH(BG313,B_LVL,0)),"Band A","Band B","B+ · Player-Coach","Band C","C+ · Player-Coach","Band D","Band E"),"Band X · Consultant")</f>
        <v>Band A</v>
      </c>
      <c r="BI313" s="40" t="str">
        <f>IF(BG313=AY313,"• Same",IF(INDEX(B_VAL,MATCH(BG313,B_LVL,0))&gt;INDEX(B_VAL,MATCH(AY313,B_LVL,0)),"▲ Up","▼ Down"))</f>
        <v>• Same</v>
      </c>
      <c r="BJ313" s="40" t="str">
        <f>IF(OR($M313="",$M313="—",$M313="Not in this file"),"",IFERROR(INDEX($BG$7:$BG$592,MATCH($M313,$D$7:$D$592,0)),""))</f>
        <v>B1</v>
      </c>
      <c r="BK313" s="40" t="str">
        <f>IFERROR(IF(BJ313="","—",IF(OR(LEFT(BG313,1)="X",LEFT(BJ313,1)="X"),"—",IF(AND(LEFT(BG313,1)="E",LEFT(BJ313,1)="E"),"Exception · Band E",IF(AND(INDEX(B_VAL,MATCH(BJ313,B_LVL,0))&gt;=7,INDEX(B_RANK,MATCH(BG313,B_LVL,0))&gt;=INDEX(B_RANK,MATCH(BJ313,B_LVL,0))),"⚠ Same band as a head manager",IF(INDEX(B_VAL,MATCH(BG313,B_LVL,0))&gt;=INDEX(B_VAL,MATCH(BJ313,B_LVL,0)),"⚠ At or above the manager's level","OK"))))),"—")</f>
        <v>OK</v>
      </c>
      <c r="BL313" s="43" t="n"/>
      <c r="BM313" s="44">
        <f>IFERROR(INDEX(LMH_PTS,MATCH(Y313,LMH_KEY,0)),0)</f>
        <v>9</v>
      </c>
      <c r="BN313" s="38">
        <f>IFERROR(INDEX(LMH_PTS,MATCH(Z313,LMH_KEY,0)),0)</f>
        <v>3</v>
      </c>
      <c r="BO313" s="38">
        <f>IFERROR(INDEX(LMH_PTS,MATCH(AA313,LMH_KEY,0)),0)</f>
        <v>1</v>
      </c>
      <c r="BP313" s="38">
        <f>IFERROR(INDEX(LMH_PTS,MATCH(AB313,LMH_KEY,0)),0)</f>
        <v>1</v>
      </c>
      <c r="BQ313" s="38">
        <f>IFERROR(INDEX(LMH_PTS,MATCH(AC313,LMH_KEY,0)),0)</f>
        <v>1</v>
      </c>
      <c r="BR313" s="38">
        <f>IFERROR(INDEX(LMH_PTS,MATCH(AD313,LMH_KEY,0)),0)</f>
        <v>1</v>
      </c>
      <c r="BS313" s="38">
        <f>IFERROR(INDEX(LMH_PTS,MATCH(AE313,LMH_KEY,0)),0)</f>
        <v>1</v>
      </c>
      <c r="BT313" s="38">
        <f>IFERROR(INDEX(LMH_STEP,MATCH(AF313,LMH_KEY,0)),0)</f>
        <v>0</v>
      </c>
      <c r="BU313" s="38">
        <f>IFERROR(INDEX(LMH_STEP,MATCH(AG313,LMH_KEY,0)),0)</f>
        <v>0</v>
      </c>
      <c r="BV313" s="38">
        <f>IFERROR(INDEX(LMH_STEP,MATCH(AH313,LMH_KEY,0)),0)</f>
        <v>0</v>
      </c>
      <c r="BW313" s="38">
        <f>IFERROR(INDEX(LMH_STEP,MATCH(AI313,LMH_KEY,0)),0)</f>
        <v>0</v>
      </c>
      <c r="BX313" s="38">
        <f>IFERROR(INDEX(LMH_STEP,MATCH(AJ313,LMH_KEY,0)),0)</f>
        <v>0</v>
      </c>
      <c r="BY313" s="38">
        <f>IFERROR(INDEX(LMH_STEP,MATCH(AK313,LMH_KEY,0)),0)</f>
        <v>0</v>
      </c>
      <c r="BZ313" s="38">
        <f>IFERROR(INDEX(LMH_STEP,MATCH(AL313,LMH_KEY,0)),0)</f>
        <v>0</v>
      </c>
      <c r="CA313" s="38" t="inlineStr">
        <is>
          <t>iFile|Technology|Senior Software Engineer|A3|A</t>
        </is>
      </c>
    </row>
    <row r="314" ht="110" customHeight="1">
      <c r="A314" s="28" t="inlineStr">
        <is>
          <t>iFile</t>
        </is>
      </c>
      <c r="B314" s="29" t="inlineStr">
        <is>
          <t>Technology</t>
        </is>
      </c>
      <c r="C314" s="29" t="n">
        <v>6</v>
      </c>
      <c r="D314" s="29" t="inlineStr">
        <is>
          <t>IRIS2068</t>
        </is>
      </c>
      <c r="E314" s="29" t="inlineStr">
        <is>
          <t>Sonal Bagul</t>
        </is>
      </c>
      <c r="F314" s="29" t="inlineStr">
        <is>
          <t>Senior Software Engineer</t>
        </is>
      </c>
      <c r="G314" s="29" t="inlineStr">
        <is>
          <t>Senior Software Engineer</t>
        </is>
      </c>
      <c r="H314" s="29" t="inlineStr">
        <is>
          <t>Engineering &amp; Development</t>
        </is>
      </c>
      <c r="I314" s="29" t="inlineStr">
        <is>
          <t>Backend Development</t>
        </is>
      </c>
      <c r="J314" s="29" t="inlineStr">
        <is>
          <t>IC</t>
        </is>
      </c>
      <c r="K314" s="29" t="inlineStr">
        <is>
          <t>RC-067</t>
        </is>
      </c>
      <c r="L314" s="29" t="inlineStr">
        <is>
          <t>Amruta Kadam</t>
        </is>
      </c>
      <c r="M314" s="29" t="inlineStr">
        <is>
          <t>IRIS1474</t>
        </is>
      </c>
      <c r="N314" s="29" t="n">
        <v>10.3</v>
      </c>
      <c r="O314" s="29" t="n">
        <v>4</v>
      </c>
      <c r="P314" s="29" t="inlineStr">
        <is>
          <t>MCA</t>
        </is>
      </c>
      <c r="Q314" s="29" t="inlineStr">
        <is>
          <t>L4 – Senior</t>
        </is>
      </c>
      <c r="R314" s="29" t="inlineStr">
        <is>
          <t>A3</t>
        </is>
      </c>
      <c r="S314" s="30" t="inlineStr">
        <is>
          <t>20 of 20</t>
        </is>
      </c>
      <c r="T314" s="31" t="inlineStr">
        <is>
          <t>Complexity: Evidence reads like A2: Fixes client-reported defects, develops change requests and business validations, upgrades technology → moved down 0.5
Autonomy: Evidence reads like A2: Decides only how to analyse and understand an issue → moved down 0.5
Accountability: Evidence reads like A3: Client-reported issues and application support; mistakes …</t>
        </is>
      </c>
      <c r="U314" s="31" t="inlineStr">
        <is>
          <t>Received · manager annual, quarterly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314" s="31" t="inlineStr">
        <is>
          <t>Latest rating: 3 · Potential: Low · 9-box: Reliable Specialist · Readiness: Develop in role</t>
        </is>
      </c>
      <c r="W314" s="31" t="inlineStr">
        <is>
          <t>C M · Au M · Ac M · L M · BI M · Exp H · 10.3 yrs vs 2–4 yrs · Edu H · MCA</t>
        </is>
      </c>
      <c r="X314" s="33" t="inlineStr">
        <is>
          <t>Open ▸</t>
        </is>
      </c>
      <c r="Y314" s="34" t="str">
        <f>IFERROR(INDEX(DL_C,MATCH($CA314,DL_KEY,0)),"M")</f>
        <v>H</v>
      </c>
      <c r="Z314" s="35" t="str">
        <f>IFERROR(INDEX(DL_Au,MATCH($CA314,DL_KEY,0)),"M")</f>
        <v>M</v>
      </c>
      <c r="AA314" s="35" t="str">
        <f>IFERROR(INDEX(DL_Ac,MATCH($CA314,DL_KEY,0)),"M")</f>
        <v>L</v>
      </c>
      <c r="AB314" s="35" t="str">
        <f>IFERROR(INDEX(DL_L,MATCH($CA314,DL_KEY,0)),"M")</f>
        <v>L</v>
      </c>
      <c r="AC314" s="35" t="str">
        <f>IFERROR(INDEX(DL_BI,MATCH($CA314,DL_KEY,0)),"M")</f>
        <v>L</v>
      </c>
      <c r="AD314" s="35" t="str">
        <f>IFERROR(INDEX(DL_Exp,MATCH($CA314,DL_KEY,0)),"M")</f>
        <v>L</v>
      </c>
      <c r="AE314" s="35" t="str">
        <f>IFERROR(INDEX(DL_Edu,MATCH($CA314,DL_KEY,0)),"M")</f>
        <v>L</v>
      </c>
      <c r="AF314" s="34" t="inlineStr">
        <is>
          <t>M</t>
        </is>
      </c>
      <c r="AG314" s="35" t="inlineStr">
        <is>
          <t>M</t>
        </is>
      </c>
      <c r="AH314" s="35" t="inlineStr">
        <is>
          <t>M</t>
        </is>
      </c>
      <c r="AI314" s="35" t="inlineStr">
        <is>
          <t>M</t>
        </is>
      </c>
      <c r="AJ314" s="35" t="inlineStr">
        <is>
          <t>M</t>
        </is>
      </c>
      <c r="AK314" s="35" t="inlineStr">
        <is>
          <t>M</t>
        </is>
      </c>
      <c r="AL314" s="35" t="inlineStr">
        <is>
          <t>M</t>
        </is>
      </c>
      <c r="AM314" s="36" t="n">
        <v>0.583</v>
      </c>
      <c r="AN314" s="37" t="n">
        <v>0.16</v>
      </c>
      <c r="AO314" s="37" t="n">
        <v>0.09</v>
      </c>
      <c r="AP314" s="37" t="n">
        <v>0</v>
      </c>
      <c r="AQ314" s="37" t="n">
        <v>0.063</v>
      </c>
      <c r="AR314" s="37" t="n">
        <v>0.06</v>
      </c>
      <c r="AS314" s="37" t="n">
        <v>0.04</v>
      </c>
      <c r="AT314" s="38" t="inlineStr">
        <is>
          <t>2–5</t>
        </is>
      </c>
      <c r="AU314" s="38" t="inlineStr">
        <is>
          <t>Graduate; relevant certification preferred</t>
        </is>
      </c>
      <c r="AV314" s="38" t="inlineStr">
        <is>
          <t>None · guides 1–3 juniors informally</t>
        </is>
      </c>
      <c r="AW314" s="38" t="inlineStr">
        <is>
          <t>P2 · SFIA 3 Apply</t>
        </is>
      </c>
      <c r="AX31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14" s="39" t="inlineStr">
        <is>
          <t>A3</t>
        </is>
      </c>
      <c r="AZ314" s="40" t="inlineStr">
        <is>
          <t>Band A · Practitioner · Senior Associate</t>
        </is>
      </c>
      <c r="BA314" s="40" t="inlineStr">
        <is>
          <t>Model A3 from the six ratings, the market-derived weights and rules R1–R13 · then No change · already below the manager</t>
        </is>
      </c>
      <c r="BB314" s="41" t="inlineStr">
        <is>
          <t>A3</t>
        </is>
      </c>
      <c r="BC314" s="40" t="inlineStr">
        <is>
          <t>The six ratings on the market-average weights of Band A · all tracks score 2.98 → A3 · Hay, Mercer IPE and public plans · experience 10.3 yrs vs the A3 market range 2–5</t>
        </is>
      </c>
      <c r="BD314" s="42">
        <f>IF(SUM(BM314,BN314,BO314,BP314,BQ314,BR314,BS314)=0,0,(BM314*BT314+BN314*BU314+BO314*BV314+BP314*BW314+BQ314*BX314+BR314*BY314+BS314*BZ314)/SUM(BM314,BN314,BO314,BP314,BQ314,BR314,BS314))</f>
        <v>0</v>
      </c>
      <c r="BE314" s="41" t="str">
        <f>IF(LEFT(AY314,1)="X",AY314,IF(OR(AY314="B+",AY314="C+"),INDEX(LAD_PC,MAX(1,MIN(14,MATCH(AY314,LAD_PC,0)+IF(BD314&gt;=0.5,1,IF(BD314&lt;=-0.5,-1,0))))),INDEX(LAD_STD,MAX(1,MIN(12,MATCH(AY314,LAD_STD,0)+IF(BD314&gt;=0.5,1,IF(BD314&lt;=-0.5,-1,0)))))))</f>
        <v>A3</v>
      </c>
      <c r="BF314" s="43" t="n"/>
      <c r="BG314" s="41" t="str">
        <f>IF(BF314&lt;&gt;"",BF314,BE314)</f>
        <v>A3</v>
      </c>
      <c r="BH314" s="40" t="str">
        <f>IFERROR(CHOOSE(INDEX(B_RANK,MATCH(BG314,B_LVL,0)),"Band A","Band B","B+ · Player-Coach","Band C","C+ · Player-Coach","Band D","Band E"),"Band X · Consultant")</f>
        <v>Band A</v>
      </c>
      <c r="BI314" s="40" t="str">
        <f>IF(BG314=AY314,"• Same",IF(INDEX(B_VAL,MATCH(BG314,B_LVL,0))&gt;INDEX(B_VAL,MATCH(AY314,B_LVL,0)),"▲ Up","▼ Down"))</f>
        <v>• Same</v>
      </c>
      <c r="BJ314" s="40" t="str">
        <f>IF(OR($M314="",$M314="—",$M314="Not in this file"),"",IFERROR(INDEX($BG$7:$BG$592,MATCH($M314,$D$7:$D$592,0)),""))</f>
        <v>B1</v>
      </c>
      <c r="BK314" s="40" t="str">
        <f>IFERROR(IF(BJ314="","—",IF(OR(LEFT(BG314,1)="X",LEFT(BJ314,1)="X"),"—",IF(AND(LEFT(BG314,1)="E",LEFT(BJ314,1)="E"),"Exception · Band E",IF(AND(INDEX(B_VAL,MATCH(BJ314,B_LVL,0))&gt;=7,INDEX(B_RANK,MATCH(BG314,B_LVL,0))&gt;=INDEX(B_RANK,MATCH(BJ314,B_LVL,0))),"⚠ Same band as a head manager",IF(INDEX(B_VAL,MATCH(BG314,B_LVL,0))&gt;=INDEX(B_VAL,MATCH(BJ314,B_LVL,0)),"⚠ At or above the manager's level","OK"))))),"—")</f>
        <v>OK</v>
      </c>
      <c r="BL314" s="43" t="n"/>
      <c r="BM314" s="44">
        <f>IFERROR(INDEX(LMH_PTS,MATCH(Y314,LMH_KEY,0)),0)</f>
        <v>9</v>
      </c>
      <c r="BN314" s="38">
        <f>IFERROR(INDEX(LMH_PTS,MATCH(Z314,LMH_KEY,0)),0)</f>
        <v>3</v>
      </c>
      <c r="BO314" s="38">
        <f>IFERROR(INDEX(LMH_PTS,MATCH(AA314,LMH_KEY,0)),0)</f>
        <v>1</v>
      </c>
      <c r="BP314" s="38">
        <f>IFERROR(INDEX(LMH_PTS,MATCH(AB314,LMH_KEY,0)),0)</f>
        <v>1</v>
      </c>
      <c r="BQ314" s="38">
        <f>IFERROR(INDEX(LMH_PTS,MATCH(AC314,LMH_KEY,0)),0)</f>
        <v>1</v>
      </c>
      <c r="BR314" s="38">
        <f>IFERROR(INDEX(LMH_PTS,MATCH(AD314,LMH_KEY,0)),0)</f>
        <v>1</v>
      </c>
      <c r="BS314" s="38">
        <f>IFERROR(INDEX(LMH_PTS,MATCH(AE314,LMH_KEY,0)),0)</f>
        <v>1</v>
      </c>
      <c r="BT314" s="38">
        <f>IFERROR(INDEX(LMH_STEP,MATCH(AF314,LMH_KEY,0)),0)</f>
        <v>0</v>
      </c>
      <c r="BU314" s="38">
        <f>IFERROR(INDEX(LMH_STEP,MATCH(AG314,LMH_KEY,0)),0)</f>
        <v>0</v>
      </c>
      <c r="BV314" s="38">
        <f>IFERROR(INDEX(LMH_STEP,MATCH(AH314,LMH_KEY,0)),0)</f>
        <v>0</v>
      </c>
      <c r="BW314" s="38">
        <f>IFERROR(INDEX(LMH_STEP,MATCH(AI314,LMH_KEY,0)),0)</f>
        <v>0</v>
      </c>
      <c r="BX314" s="38">
        <f>IFERROR(INDEX(LMH_STEP,MATCH(AJ314,LMH_KEY,0)),0)</f>
        <v>0</v>
      </c>
      <c r="BY314" s="38">
        <f>IFERROR(INDEX(LMH_STEP,MATCH(AK314,LMH_KEY,0)),0)</f>
        <v>0</v>
      </c>
      <c r="BZ314" s="38">
        <f>IFERROR(INDEX(LMH_STEP,MATCH(AL314,LMH_KEY,0)),0)</f>
        <v>0</v>
      </c>
      <c r="CA314" s="38" t="inlineStr">
        <is>
          <t>iFile|Technology|Senior Software Engineer|A3|A</t>
        </is>
      </c>
    </row>
    <row r="315" ht="110" customHeight="1">
      <c r="A315" s="28" t="inlineStr">
        <is>
          <t>iFile</t>
        </is>
      </c>
      <c r="B315" s="29" t="inlineStr">
        <is>
          <t>Technology</t>
        </is>
      </c>
      <c r="C315" s="29" t="n">
        <v>6</v>
      </c>
      <c r="D315" s="29" t="inlineStr">
        <is>
          <t>IRIS2442</t>
        </is>
      </c>
      <c r="E315" s="29" t="inlineStr">
        <is>
          <t>Rushikesh Shrikhande</t>
        </is>
      </c>
      <c r="F315" s="29" t="inlineStr">
        <is>
          <t>Trainee Software Engineer</t>
        </is>
      </c>
      <c r="G315" s="29" t="inlineStr">
        <is>
          <t>Trainee Software Engineer</t>
        </is>
      </c>
      <c r="H315" s="29" t="inlineStr">
        <is>
          <t>Engineering &amp; Development</t>
        </is>
      </c>
      <c r="I315" s="29" t="inlineStr">
        <is>
          <t>Backend Development</t>
        </is>
      </c>
      <c r="J315" s="29" t="inlineStr">
        <is>
          <t>IC</t>
        </is>
      </c>
      <c r="K315" s="29" t="inlineStr">
        <is>
          <t>RC-065</t>
        </is>
      </c>
      <c r="L315" s="29" t="inlineStr">
        <is>
          <t>Amruta Kadam</t>
        </is>
      </c>
      <c r="M315" s="29" t="inlineStr">
        <is>
          <t>IRIS1474</t>
        </is>
      </c>
      <c r="N315" s="29" t="n">
        <v>0.9</v>
      </c>
      <c r="O315" s="29" t="n">
        <v>0.9</v>
      </c>
      <c r="P315" s="29" t="inlineStr">
        <is>
          <t>B.E</t>
        </is>
      </c>
      <c r="Q315" s="29" t="inlineStr">
        <is>
          <t>L2 – Trainee</t>
        </is>
      </c>
      <c r="R315" s="29" t="inlineStr">
        <is>
          <t>A1</t>
        </is>
      </c>
      <c r="S315" s="30" t="inlineStr">
        <is>
          <t>20 of 20</t>
        </is>
      </c>
      <c r="T315" s="32" t="inlineStr">
        <is>
          <t>Full survey answers not in the files received · How We Grow export needed · HR</t>
        </is>
      </c>
      <c r="U315" s="31" t="inlineStr">
        <is>
          <t>Received · manager annual, quarterly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315" s="31" t="inlineStr">
        <is>
          <t>Latest rating: 3 · Potential: Low · 9-box: Core Contributor · Readiness: Develop in role</t>
        </is>
      </c>
      <c r="W315" s="31" t="inlineStr">
        <is>
          <t>C — · Au — · Ac — · L — · BI — · Exp H · 0.9 yrs vs 0 yrs · fresher / intern · Edu M · B.E</t>
        </is>
      </c>
      <c r="X315" s="33" t="inlineStr">
        <is>
          <t>Open ▸</t>
        </is>
      </c>
      <c r="Y315" s="34" t="str">
        <f>IFERROR(INDEX(DL_C,MATCH($CA315,DL_KEY,0)),"M")</f>
        <v>H</v>
      </c>
      <c r="Z315" s="35" t="str">
        <f>IFERROR(INDEX(DL_Au,MATCH($CA315,DL_KEY,0)),"M")</f>
        <v>M</v>
      </c>
      <c r="AA315" s="35" t="str">
        <f>IFERROR(INDEX(DL_Ac,MATCH($CA315,DL_KEY,0)),"M")</f>
        <v>L</v>
      </c>
      <c r="AB315" s="35" t="str">
        <f>IFERROR(INDEX(DL_L,MATCH($CA315,DL_KEY,0)),"M")</f>
        <v>L</v>
      </c>
      <c r="AC315" s="35" t="str">
        <f>IFERROR(INDEX(DL_BI,MATCH($CA315,DL_KEY,0)),"M")</f>
        <v>L</v>
      </c>
      <c r="AD315" s="35" t="str">
        <f>IFERROR(INDEX(DL_Exp,MATCH($CA315,DL_KEY,0)),"M")</f>
        <v>L</v>
      </c>
      <c r="AE315" s="35" t="str">
        <f>IFERROR(INDEX(DL_Edu,MATCH($CA315,DL_KEY,0)),"M")</f>
        <v>L</v>
      </c>
      <c r="AF315" s="34" t="inlineStr">
        <is>
          <t>M</t>
        </is>
      </c>
      <c r="AG315" s="35" t="inlineStr">
        <is>
          <t>M</t>
        </is>
      </c>
      <c r="AH315" s="35" t="inlineStr">
        <is>
          <t>M</t>
        </is>
      </c>
      <c r="AI315" s="35" t="inlineStr">
        <is>
          <t>M</t>
        </is>
      </c>
      <c r="AJ315" s="35" t="inlineStr">
        <is>
          <t>M</t>
        </is>
      </c>
      <c r="AK315" s="35" t="inlineStr">
        <is>
          <t>M</t>
        </is>
      </c>
      <c r="AL315" s="35" t="inlineStr">
        <is>
          <t>M</t>
        </is>
      </c>
      <c r="AM315" s="36" t="n">
        <v>0.583</v>
      </c>
      <c r="AN315" s="37" t="n">
        <v>0.16</v>
      </c>
      <c r="AO315" s="37" t="n">
        <v>0.09</v>
      </c>
      <c r="AP315" s="37" t="n">
        <v>0</v>
      </c>
      <c r="AQ315" s="37" t="n">
        <v>0.063</v>
      </c>
      <c r="AR315" s="37" t="n">
        <v>0.06</v>
      </c>
      <c r="AS315" s="37" t="n">
        <v>0.04</v>
      </c>
      <c r="AT315" s="38" t="inlineStr">
        <is>
          <t>0 yrs · fresher / intern</t>
        </is>
      </c>
      <c r="AU315" s="38" t="inlineStr">
        <is>
          <t>Pursuing or completed graduation / diploma</t>
        </is>
      </c>
      <c r="AV315" s="38" t="inlineStr">
        <is>
          <t>No direct reports</t>
        </is>
      </c>
      <c r="AW315" s="38" t="inlineStr">
        <is>
          <t>Entry / P1 · intern · SFIA 1 Follow</t>
        </is>
      </c>
      <c r="AX31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15" s="39" t="inlineStr">
        <is>
          <t>A1</t>
        </is>
      </c>
      <c r="AZ315" s="40" t="inlineStr">
        <is>
          <t>Band A · Practitioner · Intern / Trainee</t>
        </is>
      </c>
      <c r="BA315" s="40" t="inlineStr">
        <is>
          <t>Model A1 from the six ratings, the market-derived weights and rules R1–R13 · then No change · already below the manager</t>
        </is>
      </c>
      <c r="BB315" s="41" t="inlineStr">
        <is>
          <t>A1</t>
        </is>
      </c>
      <c r="BC315" s="40" t="inlineStr">
        <is>
          <t>Placed by a category rule — no full set of ratings · benchmark follows the HR proposed level</t>
        </is>
      </c>
      <c r="BD315" s="42">
        <f>IF(SUM(BM315,BN315,BO315,BP315,BQ315,BR315,BS315)=0,0,(BM315*BT315+BN315*BU315+BO315*BV315+BP315*BW315+BQ315*BX315+BR315*BY315+BS315*BZ315)/SUM(BM315,BN315,BO315,BP315,BQ315,BR315,BS315))</f>
        <v>0</v>
      </c>
      <c r="BE315" s="41" t="str">
        <f>IF(LEFT(AY315,1)="X",AY315,IF(OR(AY315="B+",AY315="C+"),INDEX(LAD_PC,MAX(1,MIN(14,MATCH(AY315,LAD_PC,0)+IF(BD315&gt;=0.5,1,IF(BD315&lt;=-0.5,-1,0))))),INDEX(LAD_STD,MAX(1,MIN(12,MATCH(AY315,LAD_STD,0)+IF(BD315&gt;=0.5,1,IF(BD315&lt;=-0.5,-1,0)))))))</f>
        <v>A1</v>
      </c>
      <c r="BF315" s="43" t="n"/>
      <c r="BG315" s="41" t="str">
        <f>IF(BF315&lt;&gt;"",BF315,BE315)</f>
        <v>A1</v>
      </c>
      <c r="BH315" s="40" t="str">
        <f>IFERROR(CHOOSE(INDEX(B_RANK,MATCH(BG315,B_LVL,0)),"Band A","Band B","B+ · Player-Coach","Band C","C+ · Player-Coach","Band D","Band E"),"Band X · Consultant")</f>
        <v>Band A</v>
      </c>
      <c r="BI315" s="40" t="str">
        <f>IF(BG315=AY315,"• Same",IF(INDEX(B_VAL,MATCH(BG315,B_LVL,0))&gt;INDEX(B_VAL,MATCH(AY315,B_LVL,0)),"▲ Up","▼ Down"))</f>
        <v>• Same</v>
      </c>
      <c r="BJ315" s="40" t="str">
        <f>IF(OR($M315="",$M315="—",$M315="Not in this file"),"",IFERROR(INDEX($BG$7:$BG$592,MATCH($M315,$D$7:$D$592,0)),""))</f>
        <v>B1</v>
      </c>
      <c r="BK315" s="40" t="str">
        <f>IFERROR(IF(BJ315="","—",IF(OR(LEFT(BG315,1)="X",LEFT(BJ315,1)="X"),"—",IF(AND(LEFT(BG315,1)="E",LEFT(BJ315,1)="E"),"Exception · Band E",IF(AND(INDEX(B_VAL,MATCH(BJ315,B_LVL,0))&gt;=7,INDEX(B_RANK,MATCH(BG315,B_LVL,0))&gt;=INDEX(B_RANK,MATCH(BJ315,B_LVL,0))),"⚠ Same band as a head manager",IF(INDEX(B_VAL,MATCH(BG315,B_LVL,0))&gt;=INDEX(B_VAL,MATCH(BJ315,B_LVL,0)),"⚠ At or above the manager's level","OK"))))),"—")</f>
        <v>OK</v>
      </c>
      <c r="BL315" s="43" t="n"/>
      <c r="BM315" s="44">
        <f>IFERROR(INDEX(LMH_PTS,MATCH(Y315,LMH_KEY,0)),0)</f>
        <v>9</v>
      </c>
      <c r="BN315" s="38">
        <f>IFERROR(INDEX(LMH_PTS,MATCH(Z315,LMH_KEY,0)),0)</f>
        <v>3</v>
      </c>
      <c r="BO315" s="38">
        <f>IFERROR(INDEX(LMH_PTS,MATCH(AA315,LMH_KEY,0)),0)</f>
        <v>1</v>
      </c>
      <c r="BP315" s="38">
        <f>IFERROR(INDEX(LMH_PTS,MATCH(AB315,LMH_KEY,0)),0)</f>
        <v>1</v>
      </c>
      <c r="BQ315" s="38">
        <f>IFERROR(INDEX(LMH_PTS,MATCH(AC315,LMH_KEY,0)),0)</f>
        <v>1</v>
      </c>
      <c r="BR315" s="38">
        <f>IFERROR(INDEX(LMH_PTS,MATCH(AD315,LMH_KEY,0)),0)</f>
        <v>1</v>
      </c>
      <c r="BS315" s="38">
        <f>IFERROR(INDEX(LMH_PTS,MATCH(AE315,LMH_KEY,0)),0)</f>
        <v>1</v>
      </c>
      <c r="BT315" s="38">
        <f>IFERROR(INDEX(LMH_STEP,MATCH(AF315,LMH_KEY,0)),0)</f>
        <v>0</v>
      </c>
      <c r="BU315" s="38">
        <f>IFERROR(INDEX(LMH_STEP,MATCH(AG315,LMH_KEY,0)),0)</f>
        <v>0</v>
      </c>
      <c r="BV315" s="38">
        <f>IFERROR(INDEX(LMH_STEP,MATCH(AH315,LMH_KEY,0)),0)</f>
        <v>0</v>
      </c>
      <c r="BW315" s="38">
        <f>IFERROR(INDEX(LMH_STEP,MATCH(AI315,LMH_KEY,0)),0)</f>
        <v>0</v>
      </c>
      <c r="BX315" s="38">
        <f>IFERROR(INDEX(LMH_STEP,MATCH(AJ315,LMH_KEY,0)),0)</f>
        <v>0</v>
      </c>
      <c r="BY315" s="38">
        <f>IFERROR(INDEX(LMH_STEP,MATCH(AK315,LMH_KEY,0)),0)</f>
        <v>0</v>
      </c>
      <c r="BZ315" s="38">
        <f>IFERROR(INDEX(LMH_STEP,MATCH(AL315,LMH_KEY,0)),0)</f>
        <v>0</v>
      </c>
      <c r="CA315" s="38" t="inlineStr">
        <is>
          <t>iFile|Technology|Trainee Software Engineer|A1|A</t>
        </is>
      </c>
    </row>
    <row r="316" ht="110" customHeight="1">
      <c r="A316" s="28" t="inlineStr">
        <is>
          <t>iFile</t>
        </is>
      </c>
      <c r="B316" s="29" t="inlineStr">
        <is>
          <t>Technology</t>
        </is>
      </c>
      <c r="C316" s="29" t="n">
        <v>5</v>
      </c>
      <c r="D316" s="29" t="inlineStr">
        <is>
          <t>IRIS1647</t>
        </is>
      </c>
      <c r="E316" s="29" t="inlineStr">
        <is>
          <t>Bhavana Thakare</t>
        </is>
      </c>
      <c r="F316" s="29" t="inlineStr">
        <is>
          <t>Tech Lead</t>
        </is>
      </c>
      <c r="G316" s="29" t="inlineStr">
        <is>
          <t>Senior Technical Specialist – POD Lead</t>
        </is>
      </c>
      <c r="H316" s="29" t="inlineStr">
        <is>
          <t>Engineering &amp; Development</t>
        </is>
      </c>
      <c r="I316" s="29" t="inlineStr">
        <is>
          <t>Backend Development</t>
        </is>
      </c>
      <c r="J316" s="29" t="inlineStr">
        <is>
          <t>POD Lead</t>
        </is>
      </c>
      <c r="K316" s="29" t="inlineStr">
        <is>
          <t>RC-068</t>
        </is>
      </c>
      <c r="L316" s="29" t="inlineStr">
        <is>
          <t>Yunus Patel</t>
        </is>
      </c>
      <c r="M316" s="29" t="inlineStr">
        <is>
          <t>IRIS2127</t>
        </is>
      </c>
      <c r="N316" s="29" t="n">
        <v>13.3</v>
      </c>
      <c r="O316" s="29" t="n">
        <v>9.300000000000001</v>
      </c>
      <c r="P316" s="29" t="inlineStr">
        <is>
          <t>MSc</t>
        </is>
      </c>
      <c r="Q316" s="29" t="inlineStr">
        <is>
          <t>L5 – Lead · IC</t>
        </is>
      </c>
      <c r="R316" s="29" t="inlineStr">
        <is>
          <t>B1</t>
        </is>
      </c>
      <c r="S316" s="30" t="inlineStr">
        <is>
          <t>19 of 20</t>
        </is>
      </c>
      <c r="T316" s="31" t="inlineStr">
        <is>
          <t>Complexity: Evidence reads like A3: Resolves technical issues, enhancements and production support on business-critical Java/J2EE applications → moved down 1
Autonomy: Evidence reads like A3: Decides how to solve technical issues and code-level changes; not major business or production decisions → moved down 1
Accountability: Evidence reads like A3: own …</t>
        </is>
      </c>
      <c r="U316" s="31" t="inlineStr">
        <is>
          <t>Received · manager annual, quarterly · 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t>
        </is>
      </c>
      <c r="V316" s="31" t="inlineStr">
        <is>
          <t>Latest rating: 4 · Potential: Medium · 9-box: High Impact / Growth Talent · Readiness: Ready in 6–12 months</t>
        </is>
      </c>
      <c r="W316" s="31" t="inlineStr">
        <is>
          <t>C M · Au M · Ac M · L M · BI M · Exp H · 13.3 yrs vs 4–7 yrs · Edu H · MSc</t>
        </is>
      </c>
      <c r="X316" s="33" t="inlineStr">
        <is>
          <t>Open ▸</t>
        </is>
      </c>
      <c r="Y316" s="34" t="str">
        <f>IFERROR(INDEX(DL_C,MATCH($CA316,DL_KEY,0)),"M")</f>
        <v>H</v>
      </c>
      <c r="Z316" s="35" t="str">
        <f>IFERROR(INDEX(DL_Au,MATCH($CA316,DL_KEY,0)),"M")</f>
        <v>M</v>
      </c>
      <c r="AA316" s="35" t="str">
        <f>IFERROR(INDEX(DL_Ac,MATCH($CA316,DL_KEY,0)),"M")</f>
        <v>L</v>
      </c>
      <c r="AB316" s="35" t="str">
        <f>IFERROR(INDEX(DL_L,MATCH($CA316,DL_KEY,0)),"M")</f>
        <v>L</v>
      </c>
      <c r="AC316" s="35" t="str">
        <f>IFERROR(INDEX(DL_BI,MATCH($CA316,DL_KEY,0)),"M")</f>
        <v>L</v>
      </c>
      <c r="AD316" s="35" t="str">
        <f>IFERROR(INDEX(DL_Exp,MATCH($CA316,DL_KEY,0)),"M")</f>
        <v>L</v>
      </c>
      <c r="AE316" s="35" t="str">
        <f>IFERROR(INDEX(DL_Edu,MATCH($CA316,DL_KEY,0)),"M")</f>
        <v>L</v>
      </c>
      <c r="AF316" s="34" t="inlineStr">
        <is>
          <t>M</t>
        </is>
      </c>
      <c r="AG316" s="35" t="inlineStr">
        <is>
          <t>M</t>
        </is>
      </c>
      <c r="AH316" s="35" t="inlineStr">
        <is>
          <t>M</t>
        </is>
      </c>
      <c r="AI316" s="35" t="inlineStr">
        <is>
          <t>M</t>
        </is>
      </c>
      <c r="AJ316" s="35" t="inlineStr">
        <is>
          <t>M</t>
        </is>
      </c>
      <c r="AK316" s="35" t="inlineStr">
        <is>
          <t>M</t>
        </is>
      </c>
      <c r="AL316" s="35" t="inlineStr">
        <is>
          <t>M</t>
        </is>
      </c>
      <c r="AM316" s="36" t="n">
        <v>0.513</v>
      </c>
      <c r="AN316" s="37" t="n">
        <v>0.173</v>
      </c>
      <c r="AO316" s="37" t="n">
        <v>0.09699999999999999</v>
      </c>
      <c r="AP316" s="37" t="n">
        <v>0.05</v>
      </c>
      <c r="AQ316" s="37" t="n">
        <v>0.07000000000000001</v>
      </c>
      <c r="AR316" s="37" t="n">
        <v>0.06</v>
      </c>
      <c r="AS316" s="37" t="n">
        <v>0.04</v>
      </c>
      <c r="AT316" s="38" t="inlineStr">
        <is>
          <t>4–8</t>
        </is>
      </c>
      <c r="AU316" s="38" t="inlineStr">
        <is>
          <t>Graduate + relevant qualification or certification preferred</t>
        </is>
      </c>
      <c r="AV316" s="38" t="inlineStr">
        <is>
          <t>IC: none · Team Lead: 3–5</t>
        </is>
      </c>
      <c r="AW316" s="38" t="inlineStr">
        <is>
          <t>P3 / M2 · SFIA 4 Enable</t>
        </is>
      </c>
      <c r="AX31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16" s="39" t="inlineStr">
        <is>
          <t>B1</t>
        </is>
      </c>
      <c r="AZ316" s="40" t="inlineStr">
        <is>
          <t>Band B · Specialist / Manager · Team Lead / Asst Manager</t>
        </is>
      </c>
      <c r="BA316" s="40" t="inlineStr">
        <is>
          <t>Model B1 from the six ratings, the market-derived weights and rules R1–R13 · then No change · already below the manager</t>
        </is>
      </c>
      <c r="BB316" s="41" t="inlineStr">
        <is>
          <t>B1</t>
        </is>
      </c>
      <c r="BC316" s="40" t="inlineStr">
        <is>
          <t>The six ratings on the market-average weights of Band B · Specialist / POD Lead score 4.37 → B1 · Hay, Mercer IPE and public plans · experience 13.3 yrs vs the B1 market range 4–8</t>
        </is>
      </c>
      <c r="BD316" s="42">
        <f>IF(SUM(BM316,BN316,BO316,BP316,BQ316,BR316,BS316)=0,0,(BM316*BT316+BN316*BU316+BO316*BV316+BP316*BW316+BQ316*BX316+BR316*BY316+BS316*BZ316)/SUM(BM316,BN316,BO316,BP316,BQ316,BR316,BS316))</f>
        <v>0</v>
      </c>
      <c r="BE316" s="41" t="str">
        <f>IF(LEFT(AY316,1)="X",AY316,IF(OR(AY316="B+",AY316="C+"),INDEX(LAD_PC,MAX(1,MIN(14,MATCH(AY316,LAD_PC,0)+IF(BD316&gt;=0.5,1,IF(BD316&lt;=-0.5,-1,0))))),INDEX(LAD_STD,MAX(1,MIN(12,MATCH(AY316,LAD_STD,0)+IF(BD316&gt;=0.5,1,IF(BD316&lt;=-0.5,-1,0)))))))</f>
        <v>B1</v>
      </c>
      <c r="BF316" s="43" t="n"/>
      <c r="BG316" s="41" t="str">
        <f>IF(BF316&lt;&gt;"",BF316,BE316)</f>
        <v>B1</v>
      </c>
      <c r="BH316" s="40" t="str">
        <f>IFERROR(CHOOSE(INDEX(B_RANK,MATCH(BG316,B_LVL,0)),"Band A","Band B","B+ · Player-Coach","Band C","C+ · Player-Coach","Band D","Band E"),"Band X · Consultant")</f>
        <v>Band B</v>
      </c>
      <c r="BI316" s="40" t="str">
        <f>IF(BG316=AY316,"• Same",IF(INDEX(B_VAL,MATCH(BG316,B_LVL,0))&gt;INDEX(B_VAL,MATCH(AY316,B_LVL,0)),"▲ Up","▼ Down"))</f>
        <v>• Same</v>
      </c>
      <c r="BJ316" s="40" t="str">
        <f>IF(OR($M316="",$M316="—",$M316="Not in this file"),"",IFERROR(INDEX($BG$7:$BG$592,MATCH($M316,$D$7:$D$592,0)),""))</f>
        <v>B2</v>
      </c>
      <c r="BK316" s="40" t="str">
        <f>IFERROR(IF(BJ316="","—",IF(OR(LEFT(BG316,1)="X",LEFT(BJ316,1)="X"),"—",IF(AND(LEFT(BG316,1)="E",LEFT(BJ316,1)="E"),"Exception · Band E",IF(AND(INDEX(B_VAL,MATCH(BJ316,B_LVL,0))&gt;=7,INDEX(B_RANK,MATCH(BG316,B_LVL,0))&gt;=INDEX(B_RANK,MATCH(BJ316,B_LVL,0))),"⚠ Same band as a head manager",IF(INDEX(B_VAL,MATCH(BG316,B_LVL,0))&gt;=INDEX(B_VAL,MATCH(BJ316,B_LVL,0)),"⚠ At or above the manager's level","OK"))))),"—")</f>
        <v>OK</v>
      </c>
      <c r="BL316" s="43" t="n"/>
      <c r="BM316" s="44">
        <f>IFERROR(INDEX(LMH_PTS,MATCH(Y316,LMH_KEY,0)),0)</f>
        <v>9</v>
      </c>
      <c r="BN316" s="38">
        <f>IFERROR(INDEX(LMH_PTS,MATCH(Z316,LMH_KEY,0)),0)</f>
        <v>3</v>
      </c>
      <c r="BO316" s="38">
        <f>IFERROR(INDEX(LMH_PTS,MATCH(AA316,LMH_KEY,0)),0)</f>
        <v>1</v>
      </c>
      <c r="BP316" s="38">
        <f>IFERROR(INDEX(LMH_PTS,MATCH(AB316,LMH_KEY,0)),0)</f>
        <v>1</v>
      </c>
      <c r="BQ316" s="38">
        <f>IFERROR(INDEX(LMH_PTS,MATCH(AC316,LMH_KEY,0)),0)</f>
        <v>1</v>
      </c>
      <c r="BR316" s="38">
        <f>IFERROR(INDEX(LMH_PTS,MATCH(AD316,LMH_KEY,0)),0)</f>
        <v>1</v>
      </c>
      <c r="BS316" s="38">
        <f>IFERROR(INDEX(LMH_PTS,MATCH(AE316,LMH_KEY,0)),0)</f>
        <v>1</v>
      </c>
      <c r="BT316" s="38">
        <f>IFERROR(INDEX(LMH_STEP,MATCH(AF316,LMH_KEY,0)),0)</f>
        <v>0</v>
      </c>
      <c r="BU316" s="38">
        <f>IFERROR(INDEX(LMH_STEP,MATCH(AG316,LMH_KEY,0)),0)</f>
        <v>0</v>
      </c>
      <c r="BV316" s="38">
        <f>IFERROR(INDEX(LMH_STEP,MATCH(AH316,LMH_KEY,0)),0)</f>
        <v>0</v>
      </c>
      <c r="BW316" s="38">
        <f>IFERROR(INDEX(LMH_STEP,MATCH(AI316,LMH_KEY,0)),0)</f>
        <v>0</v>
      </c>
      <c r="BX316" s="38">
        <f>IFERROR(INDEX(LMH_STEP,MATCH(AJ316,LMH_KEY,0)),0)</f>
        <v>0</v>
      </c>
      <c r="BY316" s="38">
        <f>IFERROR(INDEX(LMH_STEP,MATCH(AK316,LMH_KEY,0)),0)</f>
        <v>0</v>
      </c>
      <c r="BZ316" s="38">
        <f>IFERROR(INDEX(LMH_STEP,MATCH(AL316,LMH_KEY,0)),0)</f>
        <v>0</v>
      </c>
      <c r="CA316" s="38" t="inlineStr">
        <is>
          <t>iFile|Technology|Senior Technical Specialist – POD Lead|B1|B-IC</t>
        </is>
      </c>
    </row>
    <row r="317" ht="110" customHeight="1">
      <c r="A317" s="28" t="inlineStr">
        <is>
          <t>iFile</t>
        </is>
      </c>
      <c r="B317" s="29" t="inlineStr">
        <is>
          <t>Technology</t>
        </is>
      </c>
      <c r="C317" s="29" t="n">
        <v>6</v>
      </c>
      <c r="D317" s="29" t="inlineStr">
        <is>
          <t>IRIS2004</t>
        </is>
      </c>
      <c r="E317" s="29" t="inlineStr">
        <is>
          <t>Swati Patil</t>
        </is>
      </c>
      <c r="F317" s="29" t="inlineStr">
        <is>
          <t>Software Engineer</t>
        </is>
      </c>
      <c r="G317" s="29" t="inlineStr">
        <is>
          <t>Senior Software Engineer</t>
        </is>
      </c>
      <c r="H317" s="29" t="inlineStr">
        <is>
          <t>Engineering &amp; Development</t>
        </is>
      </c>
      <c r="I317" s="29" t="inlineStr">
        <is>
          <t>Full-Stack Development</t>
        </is>
      </c>
      <c r="J317" s="29" t="inlineStr">
        <is>
          <t>IC</t>
        </is>
      </c>
      <c r="K317" s="29" t="inlineStr">
        <is>
          <t>RC-085</t>
        </is>
      </c>
      <c r="L317" s="29" t="inlineStr">
        <is>
          <t>Bhavana Thakare</t>
        </is>
      </c>
      <c r="M317" s="29" t="inlineStr">
        <is>
          <t>IRIS1647</t>
        </is>
      </c>
      <c r="N317" s="29" t="n">
        <v>4.5</v>
      </c>
      <c r="O317" s="29" t="n">
        <v>4.5</v>
      </c>
      <c r="P317" s="29" t="inlineStr">
        <is>
          <t>B.E</t>
        </is>
      </c>
      <c r="Q317" s="29" t="inlineStr">
        <is>
          <t>L3 – Professional / Associate</t>
        </is>
      </c>
      <c r="R317" s="29" t="inlineStr">
        <is>
          <t>A3</t>
        </is>
      </c>
      <c r="S317" s="30" t="inlineStr">
        <is>
          <t>20 of 20</t>
        </is>
      </c>
      <c r="T317" s="31" t="inlineStr">
        <is>
          <t>Complexity: Evidence reads like A2: Develops features, fixes issues, tests and supports production in Java/Angular; no specifics → matches the start
Autonomy: Evidence reads like A2: Decides technical implementation → matches the start
Accountability: Evidence reads like A2: Accountable for 'application quality'; manager notes she closes assigned defects → …</t>
        </is>
      </c>
      <c r="U317" s="31" t="inlineStr">
        <is>
          <t>Received · manager annual, quarterly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317" s="31" t="inlineStr">
        <is>
          <t>Latest rating: 3 · Potential: Low · 9-box: Reliable Specialist · Readiness: Develop in role</t>
        </is>
      </c>
      <c r="W317" s="31" t="inlineStr">
        <is>
          <t>C L · Au L · Ac L · L L · BI L · Exp H · 4.5 yrs vs 2–4 yrs · Edu M · B.E</t>
        </is>
      </c>
      <c r="X317" s="33" t="inlineStr">
        <is>
          <t>Open ▸</t>
        </is>
      </c>
      <c r="Y317" s="34" t="str">
        <f>IFERROR(INDEX(DL_C,MATCH($CA317,DL_KEY,0)),"M")</f>
        <v>H</v>
      </c>
      <c r="Z317" s="35" t="str">
        <f>IFERROR(INDEX(DL_Au,MATCH($CA317,DL_KEY,0)),"M")</f>
        <v>M</v>
      </c>
      <c r="AA317" s="35" t="str">
        <f>IFERROR(INDEX(DL_Ac,MATCH($CA317,DL_KEY,0)),"M")</f>
        <v>L</v>
      </c>
      <c r="AB317" s="35" t="str">
        <f>IFERROR(INDEX(DL_L,MATCH($CA317,DL_KEY,0)),"M")</f>
        <v>L</v>
      </c>
      <c r="AC317" s="35" t="str">
        <f>IFERROR(INDEX(DL_BI,MATCH($CA317,DL_KEY,0)),"M")</f>
        <v>L</v>
      </c>
      <c r="AD317" s="35" t="str">
        <f>IFERROR(INDEX(DL_Exp,MATCH($CA317,DL_KEY,0)),"M")</f>
        <v>L</v>
      </c>
      <c r="AE317" s="35" t="str">
        <f>IFERROR(INDEX(DL_Edu,MATCH($CA317,DL_KEY,0)),"M")</f>
        <v>L</v>
      </c>
      <c r="AF317" s="34" t="inlineStr">
        <is>
          <t>M</t>
        </is>
      </c>
      <c r="AG317" s="35" t="inlineStr">
        <is>
          <t>M</t>
        </is>
      </c>
      <c r="AH317" s="35" t="inlineStr">
        <is>
          <t>M</t>
        </is>
      </c>
      <c r="AI317" s="35" t="inlineStr">
        <is>
          <t>M</t>
        </is>
      </c>
      <c r="AJ317" s="35" t="inlineStr">
        <is>
          <t>M</t>
        </is>
      </c>
      <c r="AK317" s="35" t="inlineStr">
        <is>
          <t>M</t>
        </is>
      </c>
      <c r="AL317" s="35" t="inlineStr">
        <is>
          <t>M</t>
        </is>
      </c>
      <c r="AM317" s="36" t="n">
        <v>0.583</v>
      </c>
      <c r="AN317" s="37" t="n">
        <v>0.16</v>
      </c>
      <c r="AO317" s="37" t="n">
        <v>0.09</v>
      </c>
      <c r="AP317" s="37" t="n">
        <v>0</v>
      </c>
      <c r="AQ317" s="37" t="n">
        <v>0.063</v>
      </c>
      <c r="AR317" s="37" t="n">
        <v>0.06</v>
      </c>
      <c r="AS317" s="37" t="n">
        <v>0.04</v>
      </c>
      <c r="AT317" s="38" t="inlineStr">
        <is>
          <t>2–5</t>
        </is>
      </c>
      <c r="AU317" s="38" t="inlineStr">
        <is>
          <t>Graduate; relevant certification preferred</t>
        </is>
      </c>
      <c r="AV317" s="38" t="inlineStr">
        <is>
          <t>None · guides 1–3 juniors informally</t>
        </is>
      </c>
      <c r="AW317" s="38" t="inlineStr">
        <is>
          <t>P2 · SFIA 3 Apply</t>
        </is>
      </c>
      <c r="AX31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17" s="39" t="inlineStr">
        <is>
          <t>A3</t>
        </is>
      </c>
      <c r="AZ317" s="40" t="inlineStr">
        <is>
          <t>Band A · Practitioner · Senior Associate</t>
        </is>
      </c>
      <c r="BA317" s="40" t="inlineStr">
        <is>
          <t>Model A3 from the six ratings, the market-derived weights and rules R1–R13 · then No change · already below the manager</t>
        </is>
      </c>
      <c r="BB317" s="41" t="inlineStr">
        <is>
          <t>A2</t>
        </is>
      </c>
      <c r="BC317" s="40" t="inlineStr">
        <is>
          <t>The six ratings on the market-average weights of Band A · all tracks score 2.15 → A2 · Hay, Mercer IPE and public plans · experience 4.5 yrs vs the A2 market range 0–3</t>
        </is>
      </c>
      <c r="BD317" s="42">
        <f>IF(SUM(BM317,BN317,BO317,BP317,BQ317,BR317,BS317)=0,0,(BM317*BT317+BN317*BU317+BO317*BV317+BP317*BW317+BQ317*BX317+BR317*BY317+BS317*BZ317)/SUM(BM317,BN317,BO317,BP317,BQ317,BR317,BS317))</f>
        <v>0</v>
      </c>
      <c r="BE317" s="41" t="str">
        <f>IF(LEFT(AY317,1)="X",AY317,IF(OR(AY317="B+",AY317="C+"),INDEX(LAD_PC,MAX(1,MIN(14,MATCH(AY317,LAD_PC,0)+IF(BD317&gt;=0.5,1,IF(BD317&lt;=-0.5,-1,0))))),INDEX(LAD_STD,MAX(1,MIN(12,MATCH(AY317,LAD_STD,0)+IF(BD317&gt;=0.5,1,IF(BD317&lt;=-0.5,-1,0)))))))</f>
        <v>A3</v>
      </c>
      <c r="BF317" s="43" t="n"/>
      <c r="BG317" s="41" t="str">
        <f>IF(BF317&lt;&gt;"",BF317,BE317)</f>
        <v>A3</v>
      </c>
      <c r="BH317" s="40" t="str">
        <f>IFERROR(CHOOSE(INDEX(B_RANK,MATCH(BG317,B_LVL,0)),"Band A","Band B","B+ · Player-Coach","Band C","C+ · Player-Coach","Band D","Band E"),"Band X · Consultant")</f>
        <v>Band A</v>
      </c>
      <c r="BI317" s="40" t="str">
        <f>IF(BG317=AY317,"• Same",IF(INDEX(B_VAL,MATCH(BG317,B_LVL,0))&gt;INDEX(B_VAL,MATCH(AY317,B_LVL,0)),"▲ Up","▼ Down"))</f>
        <v>• Same</v>
      </c>
      <c r="BJ317" s="40" t="str">
        <f>IF(OR($M317="",$M317="—",$M317="Not in this file"),"",IFERROR(INDEX($BG$7:$BG$592,MATCH($M317,$D$7:$D$592,0)),""))</f>
        <v>B1</v>
      </c>
      <c r="BK317" s="40" t="str">
        <f>IFERROR(IF(BJ317="","—",IF(OR(LEFT(BG317,1)="X",LEFT(BJ317,1)="X"),"—",IF(AND(LEFT(BG317,1)="E",LEFT(BJ317,1)="E"),"Exception · Band E",IF(AND(INDEX(B_VAL,MATCH(BJ317,B_LVL,0))&gt;=7,INDEX(B_RANK,MATCH(BG317,B_LVL,0))&gt;=INDEX(B_RANK,MATCH(BJ317,B_LVL,0))),"⚠ Same band as a head manager",IF(INDEX(B_VAL,MATCH(BG317,B_LVL,0))&gt;=INDEX(B_VAL,MATCH(BJ317,B_LVL,0)),"⚠ At or above the manager's level","OK"))))),"—")</f>
        <v>OK</v>
      </c>
      <c r="BL317" s="43" t="n"/>
      <c r="BM317" s="44">
        <f>IFERROR(INDEX(LMH_PTS,MATCH(Y317,LMH_KEY,0)),0)</f>
        <v>9</v>
      </c>
      <c r="BN317" s="38">
        <f>IFERROR(INDEX(LMH_PTS,MATCH(Z317,LMH_KEY,0)),0)</f>
        <v>3</v>
      </c>
      <c r="BO317" s="38">
        <f>IFERROR(INDEX(LMH_PTS,MATCH(AA317,LMH_KEY,0)),0)</f>
        <v>1</v>
      </c>
      <c r="BP317" s="38">
        <f>IFERROR(INDEX(LMH_PTS,MATCH(AB317,LMH_KEY,0)),0)</f>
        <v>1</v>
      </c>
      <c r="BQ317" s="38">
        <f>IFERROR(INDEX(LMH_PTS,MATCH(AC317,LMH_KEY,0)),0)</f>
        <v>1</v>
      </c>
      <c r="BR317" s="38">
        <f>IFERROR(INDEX(LMH_PTS,MATCH(AD317,LMH_KEY,0)),0)</f>
        <v>1</v>
      </c>
      <c r="BS317" s="38">
        <f>IFERROR(INDEX(LMH_PTS,MATCH(AE317,LMH_KEY,0)),0)</f>
        <v>1</v>
      </c>
      <c r="BT317" s="38">
        <f>IFERROR(INDEX(LMH_STEP,MATCH(AF317,LMH_KEY,0)),0)</f>
        <v>0</v>
      </c>
      <c r="BU317" s="38">
        <f>IFERROR(INDEX(LMH_STEP,MATCH(AG317,LMH_KEY,0)),0)</f>
        <v>0</v>
      </c>
      <c r="BV317" s="38">
        <f>IFERROR(INDEX(LMH_STEP,MATCH(AH317,LMH_KEY,0)),0)</f>
        <v>0</v>
      </c>
      <c r="BW317" s="38">
        <f>IFERROR(INDEX(LMH_STEP,MATCH(AI317,LMH_KEY,0)),0)</f>
        <v>0</v>
      </c>
      <c r="BX317" s="38">
        <f>IFERROR(INDEX(LMH_STEP,MATCH(AJ317,LMH_KEY,0)),0)</f>
        <v>0</v>
      </c>
      <c r="BY317" s="38">
        <f>IFERROR(INDEX(LMH_STEP,MATCH(AK317,LMH_KEY,0)),0)</f>
        <v>0</v>
      </c>
      <c r="BZ317" s="38">
        <f>IFERROR(INDEX(LMH_STEP,MATCH(AL317,LMH_KEY,0)),0)</f>
        <v>0</v>
      </c>
      <c r="CA317" s="38" t="inlineStr">
        <is>
          <t>iFile|Technology|Senior Software Engineer|A3|A</t>
        </is>
      </c>
    </row>
    <row r="318" ht="110" customHeight="1">
      <c r="A318" s="28" t="inlineStr">
        <is>
          <t>iFile</t>
        </is>
      </c>
      <c r="B318" s="29" t="inlineStr">
        <is>
          <t>Technology</t>
        </is>
      </c>
      <c r="C318" s="29" t="n">
        <v>5</v>
      </c>
      <c r="D318" s="29" t="inlineStr">
        <is>
          <t>IRIS2017</t>
        </is>
      </c>
      <c r="E318" s="29" t="inlineStr">
        <is>
          <t>Jerigan Gracias</t>
        </is>
      </c>
      <c r="F318" s="29" t="inlineStr">
        <is>
          <t>Project Lead</t>
        </is>
      </c>
      <c r="G318" s="29" t="inlineStr">
        <is>
          <t>Associate Project Manager – POD Lead</t>
        </is>
      </c>
      <c r="H318" s="29" t="inlineStr">
        <is>
          <t>Project &amp; Program Management</t>
        </is>
      </c>
      <c r="I318" s="29" t="inlineStr">
        <is>
          <t>Project &amp; Program Delivery</t>
        </is>
      </c>
      <c r="J318" s="29" t="inlineStr">
        <is>
          <t>POD Lead</t>
        </is>
      </c>
      <c r="K318" s="29" t="inlineStr">
        <is>
          <t>RC-134</t>
        </is>
      </c>
      <c r="L318" s="29" t="inlineStr">
        <is>
          <t>Yunus Patel</t>
        </is>
      </c>
      <c r="M318" s="29" t="inlineStr">
        <is>
          <t>IRIS2127</t>
        </is>
      </c>
      <c r="N318" s="29" t="n">
        <v>4.4</v>
      </c>
      <c r="O318" s="29" t="n">
        <v>4.4</v>
      </c>
      <c r="P318" s="29" t="inlineStr">
        <is>
          <t>B.SC</t>
        </is>
      </c>
      <c r="Q318" s="29" t="inlineStr">
        <is>
          <t>L5 – Lead · IC</t>
        </is>
      </c>
      <c r="R318" s="29" t="inlineStr">
        <is>
          <t>B1</t>
        </is>
      </c>
      <c r="S318" s="30" t="inlineStr">
        <is>
          <t>20 of 20</t>
        </is>
      </c>
      <c r="T318" s="31"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t>
        </is>
      </c>
      <c r="U318" s="31" t="inlineStr">
        <is>
          <t>Received · manager annual, quarterly · 1. Deliver &gt;=90% of project milestones on schedule and within agreed scope
2. Keep project budget / effort variance within +/-10% of plan
3. Maintain risk &amp; issue log with 100% items tracked to closure
4. Achieve client/stakeholder satisfaction · CSAT of &gt;=4 / 5 on delivered projects
5. Publish accurate weekly status …</t>
        </is>
      </c>
      <c r="V318" s="31" t="inlineStr">
        <is>
          <t>Latest rating: 4 · Potential: Medium · 9-box: Trusted Professional · Readiness: Ready in 6–12 months</t>
        </is>
      </c>
      <c r="W318" s="31" t="inlineStr">
        <is>
          <t>C M · Au M · Ac M · L M · BI M · Exp M · 4.4 yrs vs 4–7 yrs · Edu M · B.SC</t>
        </is>
      </c>
      <c r="X318" s="33" t="inlineStr">
        <is>
          <t>Open ▸</t>
        </is>
      </c>
      <c r="Y318" s="34" t="str">
        <f>IFERROR(INDEX(DL_C,MATCH($CA318,DL_KEY,0)),"M")</f>
        <v>H</v>
      </c>
      <c r="Z318" s="35" t="str">
        <f>IFERROR(INDEX(DL_Au,MATCH($CA318,DL_KEY,0)),"M")</f>
        <v>M</v>
      </c>
      <c r="AA318" s="35" t="str">
        <f>IFERROR(INDEX(DL_Ac,MATCH($CA318,DL_KEY,0)),"M")</f>
        <v>L</v>
      </c>
      <c r="AB318" s="35" t="str">
        <f>IFERROR(INDEX(DL_L,MATCH($CA318,DL_KEY,0)),"M")</f>
        <v>L</v>
      </c>
      <c r="AC318" s="35" t="str">
        <f>IFERROR(INDEX(DL_BI,MATCH($CA318,DL_KEY,0)),"M")</f>
        <v>L</v>
      </c>
      <c r="AD318" s="35" t="str">
        <f>IFERROR(INDEX(DL_Exp,MATCH($CA318,DL_KEY,0)),"M")</f>
        <v>L</v>
      </c>
      <c r="AE318" s="35" t="str">
        <f>IFERROR(INDEX(DL_Edu,MATCH($CA318,DL_KEY,0)),"M")</f>
        <v>L</v>
      </c>
      <c r="AF318" s="34" t="inlineStr">
        <is>
          <t>M</t>
        </is>
      </c>
      <c r="AG318" s="35" t="inlineStr">
        <is>
          <t>M</t>
        </is>
      </c>
      <c r="AH318" s="35" t="inlineStr">
        <is>
          <t>M</t>
        </is>
      </c>
      <c r="AI318" s="35" t="inlineStr">
        <is>
          <t>M</t>
        </is>
      </c>
      <c r="AJ318" s="35" t="inlineStr">
        <is>
          <t>M</t>
        </is>
      </c>
      <c r="AK318" s="35" t="inlineStr">
        <is>
          <t>M</t>
        </is>
      </c>
      <c r="AL318" s="35" t="inlineStr">
        <is>
          <t>M</t>
        </is>
      </c>
      <c r="AM318" s="36" t="n">
        <v>0.513</v>
      </c>
      <c r="AN318" s="37" t="n">
        <v>0.173</v>
      </c>
      <c r="AO318" s="37" t="n">
        <v>0.09699999999999999</v>
      </c>
      <c r="AP318" s="37" t="n">
        <v>0.05</v>
      </c>
      <c r="AQ318" s="37" t="n">
        <v>0.07000000000000001</v>
      </c>
      <c r="AR318" s="37" t="n">
        <v>0.06</v>
      </c>
      <c r="AS318" s="37" t="n">
        <v>0.04</v>
      </c>
      <c r="AT318" s="38" t="inlineStr">
        <is>
          <t>4–8</t>
        </is>
      </c>
      <c r="AU318" s="38" t="inlineStr">
        <is>
          <t>Graduate + relevant qualification or certification preferred</t>
        </is>
      </c>
      <c r="AV318" s="38" t="inlineStr">
        <is>
          <t>IC: none · Team Lead: 3–5</t>
        </is>
      </c>
      <c r="AW318" s="38" t="inlineStr">
        <is>
          <t>P3 / M2 · SFIA 4 Enable</t>
        </is>
      </c>
      <c r="AX31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18" s="39" t="inlineStr">
        <is>
          <t>B1</t>
        </is>
      </c>
      <c r="AZ318" s="40" t="inlineStr">
        <is>
          <t>Band B · Specialist / Manager · Team Lead / Asst Manager</t>
        </is>
      </c>
      <c r="BA318" s="40" t="inlineStr">
        <is>
          <t>Model B1 from the six ratings, the market-derived weights and rules R1–R13 · then No change · already below the manager</t>
        </is>
      </c>
      <c r="BB318" s="41" t="inlineStr">
        <is>
          <t>B1</t>
        </is>
      </c>
      <c r="BC318" s="40" t="inlineStr">
        <is>
          <t>The six ratings on the market-average weights of Band B · Specialist / POD Lead score 3.93 → B1 · Hay, Mercer IPE and public plans · experience 4.4 yrs vs the B1 market range 4–8</t>
        </is>
      </c>
      <c r="BD318" s="42">
        <f>IF(SUM(BM318,BN318,BO318,BP318,BQ318,BR318,BS318)=0,0,(BM318*BT318+BN318*BU318+BO318*BV318+BP318*BW318+BQ318*BX318+BR318*BY318+BS318*BZ318)/SUM(BM318,BN318,BO318,BP318,BQ318,BR318,BS318))</f>
        <v>0</v>
      </c>
      <c r="BE318" s="41" t="str">
        <f>IF(LEFT(AY318,1)="X",AY318,IF(OR(AY318="B+",AY318="C+"),INDEX(LAD_PC,MAX(1,MIN(14,MATCH(AY318,LAD_PC,0)+IF(BD318&gt;=0.5,1,IF(BD318&lt;=-0.5,-1,0))))),INDEX(LAD_STD,MAX(1,MIN(12,MATCH(AY318,LAD_STD,0)+IF(BD318&gt;=0.5,1,IF(BD318&lt;=-0.5,-1,0)))))))</f>
        <v>B1</v>
      </c>
      <c r="BF318" s="43" t="n"/>
      <c r="BG318" s="41" t="str">
        <f>IF(BF318&lt;&gt;"",BF318,BE318)</f>
        <v>B1</v>
      </c>
      <c r="BH318" s="40" t="str">
        <f>IFERROR(CHOOSE(INDEX(B_RANK,MATCH(BG318,B_LVL,0)),"Band A","Band B","B+ · Player-Coach","Band C","C+ · Player-Coach","Band D","Band E"),"Band X · Consultant")</f>
        <v>Band B</v>
      </c>
      <c r="BI318" s="40" t="str">
        <f>IF(BG318=AY318,"• Same",IF(INDEX(B_VAL,MATCH(BG318,B_LVL,0))&gt;INDEX(B_VAL,MATCH(AY318,B_LVL,0)),"▲ Up","▼ Down"))</f>
        <v>• Same</v>
      </c>
      <c r="BJ318" s="40" t="str">
        <f>IF(OR($M318="",$M318="—",$M318="Not in this file"),"",IFERROR(INDEX($BG$7:$BG$592,MATCH($M318,$D$7:$D$592,0)),""))</f>
        <v>B2</v>
      </c>
      <c r="BK318" s="40" t="str">
        <f>IFERROR(IF(BJ318="","—",IF(OR(LEFT(BG318,1)="X",LEFT(BJ318,1)="X"),"—",IF(AND(LEFT(BG318,1)="E",LEFT(BJ318,1)="E"),"Exception · Band E",IF(AND(INDEX(B_VAL,MATCH(BJ318,B_LVL,0))&gt;=7,INDEX(B_RANK,MATCH(BG318,B_LVL,0))&gt;=INDEX(B_RANK,MATCH(BJ318,B_LVL,0))),"⚠ Same band as a head manager",IF(INDEX(B_VAL,MATCH(BG318,B_LVL,0))&gt;=INDEX(B_VAL,MATCH(BJ318,B_LVL,0)),"⚠ At or above the manager's level","OK"))))),"—")</f>
        <v>OK</v>
      </c>
      <c r="BL318" s="43" t="n"/>
      <c r="BM318" s="44">
        <f>IFERROR(INDEX(LMH_PTS,MATCH(Y318,LMH_KEY,0)),0)</f>
        <v>9</v>
      </c>
      <c r="BN318" s="38">
        <f>IFERROR(INDEX(LMH_PTS,MATCH(Z318,LMH_KEY,0)),0)</f>
        <v>3</v>
      </c>
      <c r="BO318" s="38">
        <f>IFERROR(INDEX(LMH_PTS,MATCH(AA318,LMH_KEY,0)),0)</f>
        <v>1</v>
      </c>
      <c r="BP318" s="38">
        <f>IFERROR(INDEX(LMH_PTS,MATCH(AB318,LMH_KEY,0)),0)</f>
        <v>1</v>
      </c>
      <c r="BQ318" s="38">
        <f>IFERROR(INDEX(LMH_PTS,MATCH(AC318,LMH_KEY,0)),0)</f>
        <v>1</v>
      </c>
      <c r="BR318" s="38">
        <f>IFERROR(INDEX(LMH_PTS,MATCH(AD318,LMH_KEY,0)),0)</f>
        <v>1</v>
      </c>
      <c r="BS318" s="38">
        <f>IFERROR(INDEX(LMH_PTS,MATCH(AE318,LMH_KEY,0)),0)</f>
        <v>1</v>
      </c>
      <c r="BT318" s="38">
        <f>IFERROR(INDEX(LMH_STEP,MATCH(AF318,LMH_KEY,0)),0)</f>
        <v>0</v>
      </c>
      <c r="BU318" s="38">
        <f>IFERROR(INDEX(LMH_STEP,MATCH(AG318,LMH_KEY,0)),0)</f>
        <v>0</v>
      </c>
      <c r="BV318" s="38">
        <f>IFERROR(INDEX(LMH_STEP,MATCH(AH318,LMH_KEY,0)),0)</f>
        <v>0</v>
      </c>
      <c r="BW318" s="38">
        <f>IFERROR(INDEX(LMH_STEP,MATCH(AI318,LMH_KEY,0)),0)</f>
        <v>0</v>
      </c>
      <c r="BX318" s="38">
        <f>IFERROR(INDEX(LMH_STEP,MATCH(AJ318,LMH_KEY,0)),0)</f>
        <v>0</v>
      </c>
      <c r="BY318" s="38">
        <f>IFERROR(INDEX(LMH_STEP,MATCH(AK318,LMH_KEY,0)),0)</f>
        <v>0</v>
      </c>
      <c r="BZ318" s="38">
        <f>IFERROR(INDEX(LMH_STEP,MATCH(AL318,LMH_KEY,0)),0)</f>
        <v>0</v>
      </c>
      <c r="CA318" s="38" t="inlineStr">
        <is>
          <t>iFile|Technology|Associate Project Manager – POD Lead|B1|B-IC</t>
        </is>
      </c>
    </row>
    <row r="319" ht="110" customHeight="1">
      <c r="A319" s="28" t="inlineStr">
        <is>
          <t>iFile</t>
        </is>
      </c>
      <c r="B319" s="29" t="inlineStr">
        <is>
          <t>Quality Assurance</t>
        </is>
      </c>
      <c r="C319" s="29" t="n">
        <v>6</v>
      </c>
      <c r="D319" s="29" t="inlineStr">
        <is>
          <t>IRIS2453</t>
        </is>
      </c>
      <c r="E319" s="29" t="inlineStr">
        <is>
          <t>Mahesh Dhokale</t>
        </is>
      </c>
      <c r="F319" s="29" t="inlineStr">
        <is>
          <t>Trainee QA Engineer</t>
        </is>
      </c>
      <c r="G319" s="29" t="inlineStr">
        <is>
          <t>Trainee QA Automation Engineer</t>
        </is>
      </c>
      <c r="H319" s="29" t="inlineStr">
        <is>
          <t>Quality Assurance</t>
        </is>
      </c>
      <c r="I319" s="29" t="inlineStr">
        <is>
          <t>Test Automation</t>
        </is>
      </c>
      <c r="J319" s="29" t="inlineStr">
        <is>
          <t>IC</t>
        </is>
      </c>
      <c r="K319" s="29" t="inlineStr">
        <is>
          <t>RC-145</t>
        </is>
      </c>
      <c r="L319" s="29" t="inlineStr">
        <is>
          <t>Jerigan Gracias</t>
        </is>
      </c>
      <c r="M319" s="29" t="inlineStr">
        <is>
          <t>IRIS2017</t>
        </is>
      </c>
      <c r="N319" s="29" t="n">
        <v>0.8</v>
      </c>
      <c r="O319" s="29" t="n">
        <v>0.8</v>
      </c>
      <c r="P319" s="29" t="inlineStr">
        <is>
          <t>MCA</t>
        </is>
      </c>
      <c r="Q319" s="29" t="inlineStr">
        <is>
          <t>L2 – Trainee</t>
        </is>
      </c>
      <c r="R319" s="29" t="inlineStr">
        <is>
          <t>A1</t>
        </is>
      </c>
      <c r="S319" s="30" t="inlineStr">
        <is>
          <t>20 of 20</t>
        </is>
      </c>
      <c r="T319" s="32" t="inlineStr">
        <is>
          <t>Full survey answers not in the files received · How We Grow export needed · HR</t>
        </is>
      </c>
      <c r="U319" s="31" t="inlineStr">
        <is>
          <t>Received · manager annual, quarterly · 1. Achieve &gt;=95% test case execution coverage for each assigned release
2. Keep defect detection effectiveness &gt;=90% · defects caught pre-production
3. Automate &gt;=20% of repetitive/regression test cases over the year
4. Maintain test documentation &amp; defect logs with 100% traceability to requirements
5. Reduce average …</t>
        </is>
      </c>
      <c r="V319" s="31" t="inlineStr">
        <is>
          <t>Latest rating: 3 · Potential: Medium · 9-box: Core Contributor · Readiness: Develop in role</t>
        </is>
      </c>
      <c r="W319" s="31" t="inlineStr">
        <is>
          <t>C — · Au — · Ac — · L — · BI — · Exp H · 0.8 yrs vs 0 yrs · fresher / intern · Edu H · MCA</t>
        </is>
      </c>
      <c r="X319" s="33" t="inlineStr">
        <is>
          <t>Open ▸</t>
        </is>
      </c>
      <c r="Y319" s="34" t="str">
        <f>IFERROR(INDEX(DL_C,MATCH($CA319,DL_KEY,0)),"M")</f>
        <v>H</v>
      </c>
      <c r="Z319" s="35" t="str">
        <f>IFERROR(INDEX(DL_Au,MATCH($CA319,DL_KEY,0)),"M")</f>
        <v>M</v>
      </c>
      <c r="AA319" s="35" t="str">
        <f>IFERROR(INDEX(DL_Ac,MATCH($CA319,DL_KEY,0)),"M")</f>
        <v>L</v>
      </c>
      <c r="AB319" s="35" t="str">
        <f>IFERROR(INDEX(DL_L,MATCH($CA319,DL_KEY,0)),"M")</f>
        <v>L</v>
      </c>
      <c r="AC319" s="35" t="str">
        <f>IFERROR(INDEX(DL_BI,MATCH($CA319,DL_KEY,0)),"M")</f>
        <v>L</v>
      </c>
      <c r="AD319" s="35" t="str">
        <f>IFERROR(INDEX(DL_Exp,MATCH($CA319,DL_KEY,0)),"M")</f>
        <v>L</v>
      </c>
      <c r="AE319" s="35" t="str">
        <f>IFERROR(INDEX(DL_Edu,MATCH($CA319,DL_KEY,0)),"M")</f>
        <v>L</v>
      </c>
      <c r="AF319" s="34" t="inlineStr">
        <is>
          <t>M</t>
        </is>
      </c>
      <c r="AG319" s="35" t="inlineStr">
        <is>
          <t>M</t>
        </is>
      </c>
      <c r="AH319" s="35" t="inlineStr">
        <is>
          <t>M</t>
        </is>
      </c>
      <c r="AI319" s="35" t="inlineStr">
        <is>
          <t>M</t>
        </is>
      </c>
      <c r="AJ319" s="35" t="inlineStr">
        <is>
          <t>M</t>
        </is>
      </c>
      <c r="AK319" s="35" t="inlineStr">
        <is>
          <t>M</t>
        </is>
      </c>
      <c r="AL319" s="35" t="inlineStr">
        <is>
          <t>M</t>
        </is>
      </c>
      <c r="AM319" s="36" t="n">
        <v>0.583</v>
      </c>
      <c r="AN319" s="37" t="n">
        <v>0.16</v>
      </c>
      <c r="AO319" s="37" t="n">
        <v>0.09</v>
      </c>
      <c r="AP319" s="37" t="n">
        <v>0</v>
      </c>
      <c r="AQ319" s="37" t="n">
        <v>0.063</v>
      </c>
      <c r="AR319" s="37" t="n">
        <v>0.06</v>
      </c>
      <c r="AS319" s="37" t="n">
        <v>0.04</v>
      </c>
      <c r="AT319" s="38" t="inlineStr">
        <is>
          <t>0 yrs · fresher / intern</t>
        </is>
      </c>
      <c r="AU319" s="38" t="inlineStr">
        <is>
          <t>Pursuing or completed graduation / diploma</t>
        </is>
      </c>
      <c r="AV319" s="38" t="inlineStr">
        <is>
          <t>No direct reports</t>
        </is>
      </c>
      <c r="AW319" s="38" t="inlineStr">
        <is>
          <t>Entry / P1 · intern · SFIA 1 Follow</t>
        </is>
      </c>
      <c r="AX31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19" s="39" t="inlineStr">
        <is>
          <t>A1</t>
        </is>
      </c>
      <c r="AZ319" s="40" t="inlineStr">
        <is>
          <t>Band A · Practitioner · Intern / Trainee</t>
        </is>
      </c>
      <c r="BA319" s="40" t="inlineStr">
        <is>
          <t>Model A1 from the six ratings, the market-derived weights and rules R1–R13 · then No change · already below the manager</t>
        </is>
      </c>
      <c r="BB319" s="41" t="inlineStr">
        <is>
          <t>A1</t>
        </is>
      </c>
      <c r="BC319" s="40" t="inlineStr">
        <is>
          <t>Placed by a category rule — no full set of ratings · benchmark follows the HR proposed level</t>
        </is>
      </c>
      <c r="BD319" s="42">
        <f>IF(SUM(BM319,BN319,BO319,BP319,BQ319,BR319,BS319)=0,0,(BM319*BT319+BN319*BU319+BO319*BV319+BP319*BW319+BQ319*BX319+BR319*BY319+BS319*BZ319)/SUM(BM319,BN319,BO319,BP319,BQ319,BR319,BS319))</f>
        <v>0</v>
      </c>
      <c r="BE319" s="41" t="str">
        <f>IF(LEFT(AY319,1)="X",AY319,IF(OR(AY319="B+",AY319="C+"),INDEX(LAD_PC,MAX(1,MIN(14,MATCH(AY319,LAD_PC,0)+IF(BD319&gt;=0.5,1,IF(BD319&lt;=-0.5,-1,0))))),INDEX(LAD_STD,MAX(1,MIN(12,MATCH(AY319,LAD_STD,0)+IF(BD319&gt;=0.5,1,IF(BD319&lt;=-0.5,-1,0)))))))</f>
        <v>A1</v>
      </c>
      <c r="BF319" s="43" t="n"/>
      <c r="BG319" s="41" t="str">
        <f>IF(BF319&lt;&gt;"",BF319,BE319)</f>
        <v>A1</v>
      </c>
      <c r="BH319" s="40" t="str">
        <f>IFERROR(CHOOSE(INDEX(B_RANK,MATCH(BG319,B_LVL,0)),"Band A","Band B","B+ · Player-Coach","Band C","C+ · Player-Coach","Band D","Band E"),"Band X · Consultant")</f>
        <v>Band A</v>
      </c>
      <c r="BI319" s="40" t="str">
        <f>IF(BG319=AY319,"• Same",IF(INDEX(B_VAL,MATCH(BG319,B_LVL,0))&gt;INDEX(B_VAL,MATCH(AY319,B_LVL,0)),"▲ Up","▼ Down"))</f>
        <v>• Same</v>
      </c>
      <c r="BJ319" s="40" t="str">
        <f>IF(OR($M319="",$M319="—",$M319="Not in this file"),"",IFERROR(INDEX($BG$7:$BG$592,MATCH($M319,$D$7:$D$592,0)),""))</f>
        <v>B1</v>
      </c>
      <c r="BK319" s="40" t="str">
        <f>IFERROR(IF(BJ319="","—",IF(OR(LEFT(BG319,1)="X",LEFT(BJ319,1)="X"),"—",IF(AND(LEFT(BG319,1)="E",LEFT(BJ319,1)="E"),"Exception · Band E",IF(AND(INDEX(B_VAL,MATCH(BJ319,B_LVL,0))&gt;=7,INDEX(B_RANK,MATCH(BG319,B_LVL,0))&gt;=INDEX(B_RANK,MATCH(BJ319,B_LVL,0))),"⚠ Same band as a head manager",IF(INDEX(B_VAL,MATCH(BG319,B_LVL,0))&gt;=INDEX(B_VAL,MATCH(BJ319,B_LVL,0)),"⚠ At or above the manager's level","OK"))))),"—")</f>
        <v>OK</v>
      </c>
      <c r="BL319" s="43" t="n"/>
      <c r="BM319" s="44">
        <f>IFERROR(INDEX(LMH_PTS,MATCH(Y319,LMH_KEY,0)),0)</f>
        <v>9</v>
      </c>
      <c r="BN319" s="38">
        <f>IFERROR(INDEX(LMH_PTS,MATCH(Z319,LMH_KEY,0)),0)</f>
        <v>3</v>
      </c>
      <c r="BO319" s="38">
        <f>IFERROR(INDEX(LMH_PTS,MATCH(AA319,LMH_KEY,0)),0)</f>
        <v>1</v>
      </c>
      <c r="BP319" s="38">
        <f>IFERROR(INDEX(LMH_PTS,MATCH(AB319,LMH_KEY,0)),0)</f>
        <v>1</v>
      </c>
      <c r="BQ319" s="38">
        <f>IFERROR(INDEX(LMH_PTS,MATCH(AC319,LMH_KEY,0)),0)</f>
        <v>1</v>
      </c>
      <c r="BR319" s="38">
        <f>IFERROR(INDEX(LMH_PTS,MATCH(AD319,LMH_KEY,0)),0)</f>
        <v>1</v>
      </c>
      <c r="BS319" s="38">
        <f>IFERROR(INDEX(LMH_PTS,MATCH(AE319,LMH_KEY,0)),0)</f>
        <v>1</v>
      </c>
      <c r="BT319" s="38">
        <f>IFERROR(INDEX(LMH_STEP,MATCH(AF319,LMH_KEY,0)),0)</f>
        <v>0</v>
      </c>
      <c r="BU319" s="38">
        <f>IFERROR(INDEX(LMH_STEP,MATCH(AG319,LMH_KEY,0)),0)</f>
        <v>0</v>
      </c>
      <c r="BV319" s="38">
        <f>IFERROR(INDEX(LMH_STEP,MATCH(AH319,LMH_KEY,0)),0)</f>
        <v>0</v>
      </c>
      <c r="BW319" s="38">
        <f>IFERROR(INDEX(LMH_STEP,MATCH(AI319,LMH_KEY,0)),0)</f>
        <v>0</v>
      </c>
      <c r="BX319" s="38">
        <f>IFERROR(INDEX(LMH_STEP,MATCH(AJ319,LMH_KEY,0)),0)</f>
        <v>0</v>
      </c>
      <c r="BY319" s="38">
        <f>IFERROR(INDEX(LMH_STEP,MATCH(AK319,LMH_KEY,0)),0)</f>
        <v>0</v>
      </c>
      <c r="BZ319" s="38">
        <f>IFERROR(INDEX(LMH_STEP,MATCH(AL319,LMH_KEY,0)),0)</f>
        <v>0</v>
      </c>
      <c r="CA319" s="38" t="inlineStr">
        <is>
          <t>iFile|Quality Assurance|Trainee QA Automation Engineer|A1|A</t>
        </is>
      </c>
    </row>
    <row r="320" ht="110" customHeight="1">
      <c r="A320" s="28" t="inlineStr">
        <is>
          <t>iFile</t>
        </is>
      </c>
      <c r="B320" s="29" t="inlineStr">
        <is>
          <t>Support</t>
        </is>
      </c>
      <c r="C320" s="29" t="n">
        <v>5</v>
      </c>
      <c r="D320" s="29" t="inlineStr">
        <is>
          <t>IRIS1728</t>
        </is>
      </c>
      <c r="E320" s="29" t="inlineStr">
        <is>
          <t>Vijay Sakpal</t>
        </is>
      </c>
      <c r="F320" s="29" t="inlineStr">
        <is>
          <t>Team Lead</t>
        </is>
      </c>
      <c r="G320" s="29" t="inlineStr">
        <is>
          <t>Support Specialist</t>
        </is>
      </c>
      <c r="H320" s="29" t="inlineStr">
        <is>
          <t>Customer Success &amp; Support</t>
        </is>
      </c>
      <c r="I320" s="29" t="inlineStr">
        <is>
          <t>Application &amp; Product Support</t>
        </is>
      </c>
      <c r="J320" s="29" t="inlineStr">
        <is>
          <t>IC</t>
        </is>
      </c>
      <c r="K320" s="29" t="inlineStr">
        <is>
          <t>RC-032</t>
        </is>
      </c>
      <c r="L320" s="29" t="inlineStr">
        <is>
          <t>Yunus Patel</t>
        </is>
      </c>
      <c r="M320" s="29" t="inlineStr">
        <is>
          <t>IRIS2127</t>
        </is>
      </c>
      <c r="N320" s="29" t="n">
        <v>14.8</v>
      </c>
      <c r="O320" s="29" t="n">
        <v>8.199999999999999</v>
      </c>
      <c r="P320" s="29" t="inlineStr">
        <is>
          <t>B.SC</t>
        </is>
      </c>
      <c r="Q320" s="29" t="inlineStr">
        <is>
          <t>L5 – Lead · IC</t>
        </is>
      </c>
      <c r="R320" s="29" t="inlineStr">
        <is>
          <t>B1</t>
        </is>
      </c>
      <c r="S320" s="30" t="inlineStr">
        <is>
          <t>20 of 20</t>
        </is>
      </c>
      <c r="T320" s="31" t="inlineStr">
        <is>
          <t>Complexity: Evidence reads like A3: Sole owner of defect-SLA tracking between developers and client; analyses and comments on defects → moved down 0.5
Autonomy: Evidence reads like A2: Follows up developers and prioritises SLA risks; escalates when SLA is threatened → moved down 1
Accountability: Evidence reads like A3: Defect SLA tracking and daily client …</t>
        </is>
      </c>
      <c r="U320" s="31" t="inlineStr">
        <is>
          <t>Received · manager annual, quarterly · 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t>
        </is>
      </c>
      <c r="V320" s="31" t="inlineStr">
        <is>
          <t>Latest rating: 3 · Potential: Low · 9-box: Reliable Specialist · Readiness: Develop in role</t>
        </is>
      </c>
      <c r="W320" s="31" t="inlineStr">
        <is>
          <t>C M · Au L · Ac M · L L · BI M · Exp H · 14.8 yrs vs 4–7 yrs · Edu M · B.SC</t>
        </is>
      </c>
      <c r="X320" s="33" t="inlineStr">
        <is>
          <t>Open ▸</t>
        </is>
      </c>
      <c r="Y320" s="34" t="str">
        <f>IFERROR(INDEX(DL_C,MATCH($CA320,DL_KEY,0)),"M")</f>
        <v>H</v>
      </c>
      <c r="Z320" s="35" t="str">
        <f>IFERROR(INDEX(DL_Au,MATCH($CA320,DL_KEY,0)),"M")</f>
        <v>M</v>
      </c>
      <c r="AA320" s="35" t="str">
        <f>IFERROR(INDEX(DL_Ac,MATCH($CA320,DL_KEY,0)),"M")</f>
        <v>M</v>
      </c>
      <c r="AB320" s="35" t="str">
        <f>IFERROR(INDEX(DL_L,MATCH($CA320,DL_KEY,0)),"M")</f>
        <v>L</v>
      </c>
      <c r="AC320" s="35" t="str">
        <f>IFERROR(INDEX(DL_BI,MATCH($CA320,DL_KEY,0)),"M")</f>
        <v>M</v>
      </c>
      <c r="AD320" s="35" t="str">
        <f>IFERROR(INDEX(DL_Exp,MATCH($CA320,DL_KEY,0)),"M")</f>
        <v>L</v>
      </c>
      <c r="AE320" s="35" t="str">
        <f>IFERROR(INDEX(DL_Edu,MATCH($CA320,DL_KEY,0)),"M")</f>
        <v>L</v>
      </c>
      <c r="AF320" s="34" t="inlineStr">
        <is>
          <t>M</t>
        </is>
      </c>
      <c r="AG320" s="35" t="inlineStr">
        <is>
          <t>M</t>
        </is>
      </c>
      <c r="AH320" s="35" t="inlineStr">
        <is>
          <t>M</t>
        </is>
      </c>
      <c r="AI320" s="35" t="inlineStr">
        <is>
          <t>M</t>
        </is>
      </c>
      <c r="AJ320" s="35" t="inlineStr">
        <is>
          <t>M</t>
        </is>
      </c>
      <c r="AK320" s="35" t="inlineStr">
        <is>
          <t>M</t>
        </is>
      </c>
      <c r="AL320" s="35" t="inlineStr">
        <is>
          <t>M</t>
        </is>
      </c>
      <c r="AM320" s="36" t="n">
        <v>0.513</v>
      </c>
      <c r="AN320" s="37" t="n">
        <v>0.173</v>
      </c>
      <c r="AO320" s="37" t="n">
        <v>0.09699999999999999</v>
      </c>
      <c r="AP320" s="37" t="n">
        <v>0.05</v>
      </c>
      <c r="AQ320" s="37" t="n">
        <v>0.07000000000000001</v>
      </c>
      <c r="AR320" s="37" t="n">
        <v>0.06</v>
      </c>
      <c r="AS320" s="37" t="n">
        <v>0.04</v>
      </c>
      <c r="AT320" s="38" t="inlineStr">
        <is>
          <t>4–8</t>
        </is>
      </c>
      <c r="AU320" s="38" t="inlineStr">
        <is>
          <t>Graduate + relevant qualification or certification preferred</t>
        </is>
      </c>
      <c r="AV320" s="38" t="inlineStr">
        <is>
          <t>IC: none · Team Lead: 3–5</t>
        </is>
      </c>
      <c r="AW320" s="38" t="inlineStr">
        <is>
          <t>P3 / M2 · SFIA 4 Enable</t>
        </is>
      </c>
      <c r="AX32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20" s="39" t="inlineStr">
        <is>
          <t>B1</t>
        </is>
      </c>
      <c r="AZ320" s="40" t="inlineStr">
        <is>
          <t>Band B · Specialist / Manager · Specialist</t>
        </is>
      </c>
      <c r="BA320" s="40" t="inlineStr">
        <is>
          <t>Model B1 from the six ratings, the market-derived weights and rules R1–R13 · then No change · already below the manager</t>
        </is>
      </c>
      <c r="BB320" s="41" t="inlineStr">
        <is>
          <t>B1</t>
        </is>
      </c>
      <c r="BC320" s="40" t="inlineStr">
        <is>
          <t>The six ratings on the market-average weights of Band B · Specialist / POD Lead score 3.79 → B1 · Hay, Mercer IPE and public plans · experience 14.8 yrs vs the B1 market range 4–8</t>
        </is>
      </c>
      <c r="BD320" s="42">
        <f>IF(SUM(BM320,BN320,BO320,BP320,BQ320,BR320,BS320)=0,0,(BM320*BT320+BN320*BU320+BO320*BV320+BP320*BW320+BQ320*BX320+BR320*BY320+BS320*BZ320)/SUM(BM320,BN320,BO320,BP320,BQ320,BR320,BS320))</f>
        <v>0</v>
      </c>
      <c r="BE320" s="41" t="str">
        <f>IF(LEFT(AY320,1)="X",AY320,IF(OR(AY320="B+",AY320="C+"),INDEX(LAD_PC,MAX(1,MIN(14,MATCH(AY320,LAD_PC,0)+IF(BD320&gt;=0.5,1,IF(BD320&lt;=-0.5,-1,0))))),INDEX(LAD_STD,MAX(1,MIN(12,MATCH(AY320,LAD_STD,0)+IF(BD320&gt;=0.5,1,IF(BD320&lt;=-0.5,-1,0)))))))</f>
        <v>B1</v>
      </c>
      <c r="BF320" s="43" t="n"/>
      <c r="BG320" s="41" t="str">
        <f>IF(BF320&lt;&gt;"",BF320,BE320)</f>
        <v>B1</v>
      </c>
      <c r="BH320" s="40" t="str">
        <f>IFERROR(CHOOSE(INDEX(B_RANK,MATCH(BG320,B_LVL,0)),"Band A","Band B","B+ · Player-Coach","Band C","C+ · Player-Coach","Band D","Band E"),"Band X · Consultant")</f>
        <v>Band B</v>
      </c>
      <c r="BI320" s="40" t="str">
        <f>IF(BG320=AY320,"• Same",IF(INDEX(B_VAL,MATCH(BG320,B_LVL,0))&gt;INDEX(B_VAL,MATCH(AY320,B_LVL,0)),"▲ Up","▼ Down"))</f>
        <v>• Same</v>
      </c>
      <c r="BJ320" s="40" t="str">
        <f>IF(OR($M320="",$M320="—",$M320="Not in this file"),"",IFERROR(INDEX($BG$7:$BG$592,MATCH($M320,$D$7:$D$592,0)),""))</f>
        <v>B2</v>
      </c>
      <c r="BK320" s="40" t="str">
        <f>IFERROR(IF(BJ320="","—",IF(OR(LEFT(BG320,1)="X",LEFT(BJ320,1)="X"),"—",IF(AND(LEFT(BG320,1)="E",LEFT(BJ320,1)="E"),"Exception · Band E",IF(AND(INDEX(B_VAL,MATCH(BJ320,B_LVL,0))&gt;=7,INDEX(B_RANK,MATCH(BG320,B_LVL,0))&gt;=INDEX(B_RANK,MATCH(BJ320,B_LVL,0))),"⚠ Same band as a head manager",IF(INDEX(B_VAL,MATCH(BG320,B_LVL,0))&gt;=INDEX(B_VAL,MATCH(BJ320,B_LVL,0)),"⚠ At or above the manager's level","OK"))))),"—")</f>
        <v>OK</v>
      </c>
      <c r="BL320" s="43" t="n"/>
      <c r="BM320" s="44">
        <f>IFERROR(INDEX(LMH_PTS,MATCH(Y320,LMH_KEY,0)),0)</f>
        <v>9</v>
      </c>
      <c r="BN320" s="38">
        <f>IFERROR(INDEX(LMH_PTS,MATCH(Z320,LMH_KEY,0)),0)</f>
        <v>3</v>
      </c>
      <c r="BO320" s="38">
        <f>IFERROR(INDEX(LMH_PTS,MATCH(AA320,LMH_KEY,0)),0)</f>
        <v>3</v>
      </c>
      <c r="BP320" s="38">
        <f>IFERROR(INDEX(LMH_PTS,MATCH(AB320,LMH_KEY,0)),0)</f>
        <v>1</v>
      </c>
      <c r="BQ320" s="38">
        <f>IFERROR(INDEX(LMH_PTS,MATCH(AC320,LMH_KEY,0)),0)</f>
        <v>3</v>
      </c>
      <c r="BR320" s="38">
        <f>IFERROR(INDEX(LMH_PTS,MATCH(AD320,LMH_KEY,0)),0)</f>
        <v>1</v>
      </c>
      <c r="BS320" s="38">
        <f>IFERROR(INDEX(LMH_PTS,MATCH(AE320,LMH_KEY,0)),0)</f>
        <v>1</v>
      </c>
      <c r="BT320" s="38">
        <f>IFERROR(INDEX(LMH_STEP,MATCH(AF320,LMH_KEY,0)),0)</f>
        <v>0</v>
      </c>
      <c r="BU320" s="38">
        <f>IFERROR(INDEX(LMH_STEP,MATCH(AG320,LMH_KEY,0)),0)</f>
        <v>0</v>
      </c>
      <c r="BV320" s="38">
        <f>IFERROR(INDEX(LMH_STEP,MATCH(AH320,LMH_KEY,0)),0)</f>
        <v>0</v>
      </c>
      <c r="BW320" s="38">
        <f>IFERROR(INDEX(LMH_STEP,MATCH(AI320,LMH_KEY,0)),0)</f>
        <v>0</v>
      </c>
      <c r="BX320" s="38">
        <f>IFERROR(INDEX(LMH_STEP,MATCH(AJ320,LMH_KEY,0)),0)</f>
        <v>0</v>
      </c>
      <c r="BY320" s="38">
        <f>IFERROR(INDEX(LMH_STEP,MATCH(AK320,LMH_KEY,0)),0)</f>
        <v>0</v>
      </c>
      <c r="BZ320" s="38">
        <f>IFERROR(INDEX(LMH_STEP,MATCH(AL320,LMH_KEY,0)),0)</f>
        <v>0</v>
      </c>
      <c r="CA320" s="38" t="inlineStr">
        <is>
          <t>iFile|Support|Support Specialist|B1|B-IC</t>
        </is>
      </c>
    </row>
    <row r="321" ht="110" customHeight="1">
      <c r="A321" s="28" t="inlineStr">
        <is>
          <t>iFile</t>
        </is>
      </c>
      <c r="B321" s="29" t="inlineStr">
        <is>
          <t>Support</t>
        </is>
      </c>
      <c r="C321" s="29" t="n">
        <v>5</v>
      </c>
      <c r="D321" s="29" t="inlineStr">
        <is>
          <t>IRIS1919</t>
        </is>
      </c>
      <c r="E321" s="29" t="inlineStr">
        <is>
          <t>Jyoti Patil</t>
        </is>
      </c>
      <c r="F321" s="29" t="inlineStr">
        <is>
          <t>Tech Support Executive</t>
        </is>
      </c>
      <c r="G321" s="29" t="inlineStr">
        <is>
          <t>Senior Support Executive</t>
        </is>
      </c>
      <c r="H321" s="29" t="inlineStr">
        <is>
          <t>Customer Success &amp; Support</t>
        </is>
      </c>
      <c r="I321" s="29" t="inlineStr">
        <is>
          <t>Application &amp; Product Support</t>
        </is>
      </c>
      <c r="J321" s="29" t="inlineStr">
        <is>
          <t>IC</t>
        </is>
      </c>
      <c r="K321" s="29" t="inlineStr">
        <is>
          <t>RC-031</t>
        </is>
      </c>
      <c r="L321" s="29" t="inlineStr">
        <is>
          <t>Yunus Patel</t>
        </is>
      </c>
      <c r="M321" s="29" t="inlineStr">
        <is>
          <t>IRIS2127</t>
        </is>
      </c>
      <c r="N321" s="29" t="n">
        <v>8.300000000000001</v>
      </c>
      <c r="O321" s="29" t="n">
        <v>5.3</v>
      </c>
      <c r="P321" s="29" t="inlineStr">
        <is>
          <t>B.E</t>
        </is>
      </c>
      <c r="Q321" s="29" t="inlineStr">
        <is>
          <t>L3 – Professional / Associate</t>
        </is>
      </c>
      <c r="R321" s="29" t="inlineStr">
        <is>
          <t>A3</t>
        </is>
      </c>
      <c r="S321" s="30" t="inlineStr">
        <is>
          <t>20 of 20</t>
        </is>
      </c>
      <c r="T321" s="31" t="inlineStr">
        <is>
          <t>Complexity: Evidence reads like A3: Designs web forms and validations for demos, gathers requirements, tests portal, writes documentation → moved up 0.5
Autonomy: Evidence reads like A2: Decides form design and layouts only → matches the start
Accountability: Evidence reads like A2: Catching validation or design defects in own forms before deployment to …</t>
        </is>
      </c>
      <c r="U321" s="31" t="inlineStr">
        <is>
          <t>Received · manager annual, quarterly · 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t>
        </is>
      </c>
      <c r="V321" s="31" t="inlineStr">
        <is>
          <t>Latest rating: 3 · Potential: Medium · 9-box: Core Contributor · Readiness: Develop in role</t>
        </is>
      </c>
      <c r="W321" s="31" t="inlineStr">
        <is>
          <t>C M · Au L · Ac L · L L · BI L · Exp H · 8.3 yrs vs 2–4 yrs · Edu M · B.E</t>
        </is>
      </c>
      <c r="X321" s="33" t="inlineStr">
        <is>
          <t>Open ▸</t>
        </is>
      </c>
      <c r="Y321" s="34" t="str">
        <f>IFERROR(INDEX(DL_C,MATCH($CA321,DL_KEY,0)),"M")</f>
        <v>H</v>
      </c>
      <c r="Z321" s="35" t="str">
        <f>IFERROR(INDEX(DL_Au,MATCH($CA321,DL_KEY,0)),"M")</f>
        <v>M</v>
      </c>
      <c r="AA321" s="35" t="str">
        <f>IFERROR(INDEX(DL_Ac,MATCH($CA321,DL_KEY,0)),"M")</f>
        <v>M</v>
      </c>
      <c r="AB321" s="35" t="str">
        <f>IFERROR(INDEX(DL_L,MATCH($CA321,DL_KEY,0)),"M")</f>
        <v>L</v>
      </c>
      <c r="AC321" s="35" t="str">
        <f>IFERROR(INDEX(DL_BI,MATCH($CA321,DL_KEY,0)),"M")</f>
        <v>M</v>
      </c>
      <c r="AD321" s="35" t="str">
        <f>IFERROR(INDEX(DL_Exp,MATCH($CA321,DL_KEY,0)),"M")</f>
        <v>L</v>
      </c>
      <c r="AE321" s="35" t="str">
        <f>IFERROR(INDEX(DL_Edu,MATCH($CA321,DL_KEY,0)),"M")</f>
        <v>L</v>
      </c>
      <c r="AF321" s="34" t="inlineStr">
        <is>
          <t>M</t>
        </is>
      </c>
      <c r="AG321" s="35" t="inlineStr">
        <is>
          <t>M</t>
        </is>
      </c>
      <c r="AH321" s="35" t="inlineStr">
        <is>
          <t>M</t>
        </is>
      </c>
      <c r="AI321" s="35" t="inlineStr">
        <is>
          <t>M</t>
        </is>
      </c>
      <c r="AJ321" s="35" t="inlineStr">
        <is>
          <t>M</t>
        </is>
      </c>
      <c r="AK321" s="35" t="inlineStr">
        <is>
          <t>M</t>
        </is>
      </c>
      <c r="AL321" s="35" t="inlineStr">
        <is>
          <t>M</t>
        </is>
      </c>
      <c r="AM321" s="36" t="n">
        <v>0.583</v>
      </c>
      <c r="AN321" s="37" t="n">
        <v>0.16</v>
      </c>
      <c r="AO321" s="37" t="n">
        <v>0.09</v>
      </c>
      <c r="AP321" s="37" t="n">
        <v>0</v>
      </c>
      <c r="AQ321" s="37" t="n">
        <v>0.063</v>
      </c>
      <c r="AR321" s="37" t="n">
        <v>0.06</v>
      </c>
      <c r="AS321" s="37" t="n">
        <v>0.04</v>
      </c>
      <c r="AT321" s="38" t="inlineStr">
        <is>
          <t>2–5</t>
        </is>
      </c>
      <c r="AU321" s="38" t="inlineStr">
        <is>
          <t>Graduate; relevant certification preferred</t>
        </is>
      </c>
      <c r="AV321" s="38" t="inlineStr">
        <is>
          <t>None · guides 1–3 juniors informally</t>
        </is>
      </c>
      <c r="AW321" s="38" t="inlineStr">
        <is>
          <t>P2 · SFIA 3 Apply</t>
        </is>
      </c>
      <c r="AX32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21" s="39" t="inlineStr">
        <is>
          <t>A3</t>
        </is>
      </c>
      <c r="AZ321" s="40" t="inlineStr">
        <is>
          <t>Band A · Practitioner · Senior Associate</t>
        </is>
      </c>
      <c r="BA321" s="40" t="inlineStr">
        <is>
          <t>Model A3 from the six ratings, the market-derived weights and rules R1–R13 · then No change · already below the manager</t>
        </is>
      </c>
      <c r="BB321" s="41" t="inlineStr">
        <is>
          <t>A3</t>
        </is>
      </c>
      <c r="BC321" s="40" t="inlineStr">
        <is>
          <t>The six ratings on the market-average weights of Band A · all tracks score 2.64 → A3 · Hay, Mercer IPE and public plans · experience 8.3 yrs vs the A3 market range 2–5</t>
        </is>
      </c>
      <c r="BD321" s="42">
        <f>IF(SUM(BM321,BN321,BO321,BP321,BQ321,BR321,BS321)=0,0,(BM321*BT321+BN321*BU321+BO321*BV321+BP321*BW321+BQ321*BX321+BR321*BY321+BS321*BZ321)/SUM(BM321,BN321,BO321,BP321,BQ321,BR321,BS321))</f>
        <v>0</v>
      </c>
      <c r="BE321" s="41" t="str">
        <f>IF(LEFT(AY321,1)="X",AY321,IF(OR(AY321="B+",AY321="C+"),INDEX(LAD_PC,MAX(1,MIN(14,MATCH(AY321,LAD_PC,0)+IF(BD321&gt;=0.5,1,IF(BD321&lt;=-0.5,-1,0))))),INDEX(LAD_STD,MAX(1,MIN(12,MATCH(AY321,LAD_STD,0)+IF(BD321&gt;=0.5,1,IF(BD321&lt;=-0.5,-1,0)))))))</f>
        <v>A3</v>
      </c>
      <c r="BF321" s="43" t="n"/>
      <c r="BG321" s="41" t="str">
        <f>IF(BF321&lt;&gt;"",BF321,BE321)</f>
        <v>A3</v>
      </c>
      <c r="BH321" s="40" t="str">
        <f>IFERROR(CHOOSE(INDEX(B_RANK,MATCH(BG321,B_LVL,0)),"Band A","Band B","B+ · Player-Coach","Band C","C+ · Player-Coach","Band D","Band E"),"Band X · Consultant")</f>
        <v>Band A</v>
      </c>
      <c r="BI321" s="40" t="str">
        <f>IF(BG321=AY321,"• Same",IF(INDEX(B_VAL,MATCH(BG321,B_LVL,0))&gt;INDEX(B_VAL,MATCH(AY321,B_LVL,0)),"▲ Up","▼ Down"))</f>
        <v>• Same</v>
      </c>
      <c r="BJ321" s="40" t="str">
        <f>IF(OR($M321="",$M321="—",$M321="Not in this file"),"",IFERROR(INDEX($BG$7:$BG$592,MATCH($M321,$D$7:$D$592,0)),""))</f>
        <v>B2</v>
      </c>
      <c r="BK321" s="40" t="str">
        <f>IFERROR(IF(BJ321="","—",IF(OR(LEFT(BG321,1)="X",LEFT(BJ321,1)="X"),"—",IF(AND(LEFT(BG321,1)="E",LEFT(BJ321,1)="E"),"Exception · Band E",IF(AND(INDEX(B_VAL,MATCH(BJ321,B_LVL,0))&gt;=7,INDEX(B_RANK,MATCH(BG321,B_LVL,0))&gt;=INDEX(B_RANK,MATCH(BJ321,B_LVL,0))),"⚠ Same band as a head manager",IF(INDEX(B_VAL,MATCH(BG321,B_LVL,0))&gt;=INDEX(B_VAL,MATCH(BJ321,B_LVL,0)),"⚠ At or above the manager's level","OK"))))),"—")</f>
        <v>OK</v>
      </c>
      <c r="BL321" s="43" t="n"/>
      <c r="BM321" s="44">
        <f>IFERROR(INDEX(LMH_PTS,MATCH(Y321,LMH_KEY,0)),0)</f>
        <v>9</v>
      </c>
      <c r="BN321" s="38">
        <f>IFERROR(INDEX(LMH_PTS,MATCH(Z321,LMH_KEY,0)),0)</f>
        <v>3</v>
      </c>
      <c r="BO321" s="38">
        <f>IFERROR(INDEX(LMH_PTS,MATCH(AA321,LMH_KEY,0)),0)</f>
        <v>3</v>
      </c>
      <c r="BP321" s="38">
        <f>IFERROR(INDEX(LMH_PTS,MATCH(AB321,LMH_KEY,0)),0)</f>
        <v>1</v>
      </c>
      <c r="BQ321" s="38">
        <f>IFERROR(INDEX(LMH_PTS,MATCH(AC321,LMH_KEY,0)),0)</f>
        <v>3</v>
      </c>
      <c r="BR321" s="38">
        <f>IFERROR(INDEX(LMH_PTS,MATCH(AD321,LMH_KEY,0)),0)</f>
        <v>1</v>
      </c>
      <c r="BS321" s="38">
        <f>IFERROR(INDEX(LMH_PTS,MATCH(AE321,LMH_KEY,0)),0)</f>
        <v>1</v>
      </c>
      <c r="BT321" s="38">
        <f>IFERROR(INDEX(LMH_STEP,MATCH(AF321,LMH_KEY,0)),0)</f>
        <v>0</v>
      </c>
      <c r="BU321" s="38">
        <f>IFERROR(INDEX(LMH_STEP,MATCH(AG321,LMH_KEY,0)),0)</f>
        <v>0</v>
      </c>
      <c r="BV321" s="38">
        <f>IFERROR(INDEX(LMH_STEP,MATCH(AH321,LMH_KEY,0)),0)</f>
        <v>0</v>
      </c>
      <c r="BW321" s="38">
        <f>IFERROR(INDEX(LMH_STEP,MATCH(AI321,LMH_KEY,0)),0)</f>
        <v>0</v>
      </c>
      <c r="BX321" s="38">
        <f>IFERROR(INDEX(LMH_STEP,MATCH(AJ321,LMH_KEY,0)),0)</f>
        <v>0</v>
      </c>
      <c r="BY321" s="38">
        <f>IFERROR(INDEX(LMH_STEP,MATCH(AK321,LMH_KEY,0)),0)</f>
        <v>0</v>
      </c>
      <c r="BZ321" s="38">
        <f>IFERROR(INDEX(LMH_STEP,MATCH(AL321,LMH_KEY,0)),0)</f>
        <v>0</v>
      </c>
      <c r="CA321" s="38" t="inlineStr">
        <is>
          <t>iFile|Support|Senior Support Executive|A3|A</t>
        </is>
      </c>
    </row>
    <row r="322" ht="110" customHeight="1">
      <c r="A322" s="28" t="inlineStr">
        <is>
          <t>iFile</t>
        </is>
      </c>
      <c r="B322" s="29" t="inlineStr">
        <is>
          <t>Technology</t>
        </is>
      </c>
      <c r="C322" s="29" t="n">
        <v>4</v>
      </c>
      <c r="D322" s="29" t="inlineStr">
        <is>
          <t>IRIS2363</t>
        </is>
      </c>
      <c r="E322" s="29" t="inlineStr">
        <is>
          <t>Aayushi Sharma</t>
        </is>
      </c>
      <c r="F322" s="29" t="inlineStr">
        <is>
          <t>Project Manager</t>
        </is>
      </c>
      <c r="G322" s="29" t="inlineStr">
        <is>
          <t>Associate Project Manager</t>
        </is>
      </c>
      <c r="H322" s="29" t="inlineStr">
        <is>
          <t>Project &amp; Program Management</t>
        </is>
      </c>
      <c r="I322" s="29" t="inlineStr">
        <is>
          <t>Project &amp; Program Delivery</t>
        </is>
      </c>
      <c r="J322" s="29" t="inlineStr">
        <is>
          <t>IC</t>
        </is>
      </c>
      <c r="K322" s="29" t="inlineStr">
        <is>
          <t>RC-134</t>
        </is>
      </c>
      <c r="L322" s="29" t="inlineStr">
        <is>
          <t>Izharuddin Shaikh</t>
        </is>
      </c>
      <c r="M322" s="29" t="inlineStr">
        <is>
          <t>IRIS1712</t>
        </is>
      </c>
      <c r="N322" s="29" t="n">
        <v>4.1</v>
      </c>
      <c r="O322" s="29" t="n">
        <v>1.5</v>
      </c>
      <c r="P322" s="29" t="inlineStr">
        <is>
          <t>MBA</t>
        </is>
      </c>
      <c r="Q322" s="29" t="inlineStr">
        <is>
          <t>L5 – Manager</t>
        </is>
      </c>
      <c r="R322" s="29" t="inlineStr">
        <is>
          <t>B1</t>
        </is>
      </c>
      <c r="S322" s="30" t="inlineStr">
        <is>
          <t>20 of 20</t>
        </is>
      </c>
      <c r="T322" s="31" t="inlineStr">
        <is>
          <t>Complexity: Evidence reads like B1: Requirement analysis, effort estimation, product feasibility, demos and POCs; DynaForms product knowledge → moved down 0.5
Autonomy: Evidence reads like B1: Confirms standard-product scope and feasibility to clients without input → moved down 0.5
Accountability: Evidence reads like B1: Project deliverables within scope …</t>
        </is>
      </c>
      <c r="U322" s="31" t="inlineStr">
        <is>
          <t>Received · manager annual, quarterly, self · 1. Deliver &gt;=90% of assigned projects on time and within budget
2. Maintain project RAID log accuracy with 100% of high risks actioned within SLA
3. Achieve &gt;=4.2/5 stakeholder satisfaction on project governance &amp; communication
4. Ensure &gt;=95% on-time, accurate milestone reporting to leadership
5. Implement at least 1 …</t>
        </is>
      </c>
      <c r="V322" s="31" t="inlineStr">
        <is>
          <t>Latest rating: 3 · Potential: Medium · 9-box: Core Contributor · Readiness: Develop in role</t>
        </is>
      </c>
      <c r="W322" s="31" t="inlineStr">
        <is>
          <t>C M · Au M · Ac M · L L · BI M · Exp M · 4.1 yrs vs 4–7 yrs · Edu H · MBA</t>
        </is>
      </c>
      <c r="X322" s="33" t="inlineStr">
        <is>
          <t>Open ▸</t>
        </is>
      </c>
      <c r="Y322" s="34" t="str">
        <f>IFERROR(INDEX(DL_C,MATCH($CA322,DL_KEY,0)),"M")</f>
        <v>H</v>
      </c>
      <c r="Z322" s="35" t="str">
        <f>IFERROR(INDEX(DL_Au,MATCH($CA322,DL_KEY,0)),"M")</f>
        <v>M</v>
      </c>
      <c r="AA322" s="35" t="str">
        <f>IFERROR(INDEX(DL_Ac,MATCH($CA322,DL_KEY,0)),"M")</f>
        <v>L</v>
      </c>
      <c r="AB322" s="35" t="str">
        <f>IFERROR(INDEX(DL_L,MATCH($CA322,DL_KEY,0)),"M")</f>
        <v>L</v>
      </c>
      <c r="AC322" s="35" t="str">
        <f>IFERROR(INDEX(DL_BI,MATCH($CA322,DL_KEY,0)),"M")</f>
        <v>L</v>
      </c>
      <c r="AD322" s="35" t="str">
        <f>IFERROR(INDEX(DL_Exp,MATCH($CA322,DL_KEY,0)),"M")</f>
        <v>L</v>
      </c>
      <c r="AE322" s="35" t="str">
        <f>IFERROR(INDEX(DL_Edu,MATCH($CA322,DL_KEY,0)),"M")</f>
        <v>L</v>
      </c>
      <c r="AF322" s="34" t="inlineStr">
        <is>
          <t>M</t>
        </is>
      </c>
      <c r="AG322" s="35" t="inlineStr">
        <is>
          <t>M</t>
        </is>
      </c>
      <c r="AH322" s="35" t="inlineStr">
        <is>
          <t>M</t>
        </is>
      </c>
      <c r="AI322" s="35" t="inlineStr">
        <is>
          <t>M</t>
        </is>
      </c>
      <c r="AJ322" s="35" t="inlineStr">
        <is>
          <t>M</t>
        </is>
      </c>
      <c r="AK322" s="35" t="inlineStr">
        <is>
          <t>M</t>
        </is>
      </c>
      <c r="AL322" s="35" t="inlineStr">
        <is>
          <t>M</t>
        </is>
      </c>
      <c r="AM322" s="36" t="n">
        <v>0.513</v>
      </c>
      <c r="AN322" s="37" t="n">
        <v>0.173</v>
      </c>
      <c r="AO322" s="37" t="n">
        <v>0.09699999999999999</v>
      </c>
      <c r="AP322" s="37" t="n">
        <v>0.05</v>
      </c>
      <c r="AQ322" s="37" t="n">
        <v>0.07000000000000001</v>
      </c>
      <c r="AR322" s="37" t="n">
        <v>0.06</v>
      </c>
      <c r="AS322" s="37" t="n">
        <v>0.04</v>
      </c>
      <c r="AT322" s="38" t="inlineStr">
        <is>
          <t>4–8</t>
        </is>
      </c>
      <c r="AU322" s="38" t="inlineStr">
        <is>
          <t>Graduate + relevant qualification or certification preferred</t>
        </is>
      </c>
      <c r="AV322" s="38" t="inlineStr">
        <is>
          <t>IC: none · Team Lead: 3–5</t>
        </is>
      </c>
      <c r="AW322" s="38" t="inlineStr">
        <is>
          <t>P3 / M2 · SFIA 4 Enable</t>
        </is>
      </c>
      <c r="AX32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22" s="39" t="inlineStr">
        <is>
          <t>B1</t>
        </is>
      </c>
      <c r="AZ322" s="40" t="inlineStr">
        <is>
          <t>Band B · Specialist / Manager · Specialist</t>
        </is>
      </c>
      <c r="BA322" s="40" t="inlineStr">
        <is>
          <t>Model B1 from the six ratings, the market-derived weights and rules R1–R13 · then No change · already below the manager</t>
        </is>
      </c>
      <c r="BB322" s="41" t="inlineStr">
        <is>
          <t>B1</t>
        </is>
      </c>
      <c r="BC322" s="40" t="inlineStr">
        <is>
          <t>The six ratings on the market-average weights of Band B · Specialist / POD Lead score 4.33 → B1 · Hay, Mercer IPE and public plans · experience 4.1 yrs vs the B1 market range 4–8</t>
        </is>
      </c>
      <c r="BD322" s="42">
        <f>IF(SUM(BM322,BN322,BO322,BP322,BQ322,BR322,BS322)=0,0,(BM322*BT322+BN322*BU322+BO322*BV322+BP322*BW322+BQ322*BX322+BR322*BY322+BS322*BZ322)/SUM(BM322,BN322,BO322,BP322,BQ322,BR322,BS322))</f>
        <v>0</v>
      </c>
      <c r="BE322" s="41" t="str">
        <f>IF(LEFT(AY322,1)="X",AY322,IF(OR(AY322="B+",AY322="C+"),INDEX(LAD_PC,MAX(1,MIN(14,MATCH(AY322,LAD_PC,0)+IF(BD322&gt;=0.5,1,IF(BD322&lt;=-0.5,-1,0))))),INDEX(LAD_STD,MAX(1,MIN(12,MATCH(AY322,LAD_STD,0)+IF(BD322&gt;=0.5,1,IF(BD322&lt;=-0.5,-1,0)))))))</f>
        <v>B1</v>
      </c>
      <c r="BF322" s="43" t="n"/>
      <c r="BG322" s="41" t="str">
        <f>IF(BF322&lt;&gt;"",BF322,BE322)</f>
        <v>B1</v>
      </c>
      <c r="BH322" s="40" t="str">
        <f>IFERROR(CHOOSE(INDEX(B_RANK,MATCH(BG322,B_LVL,0)),"Band A","Band B","B+ · Player-Coach","Band C","C+ · Player-Coach","Band D","Band E"),"Band X · Consultant")</f>
        <v>Band B</v>
      </c>
      <c r="BI322" s="40" t="str">
        <f>IF(BG322=AY322,"• Same",IF(INDEX(B_VAL,MATCH(BG322,B_LVL,0))&gt;INDEX(B_VAL,MATCH(AY322,B_LVL,0)),"▲ Up","▼ Down"))</f>
        <v>• Same</v>
      </c>
      <c r="BJ322" s="40" t="str">
        <f>IF(OR($M322="",$M322="—",$M322="Not in this file"),"",IFERROR(INDEX($BG$7:$BG$592,MATCH($M322,$D$7:$D$592,0)),""))</f>
        <v>B+</v>
      </c>
      <c r="BK322" s="40" t="str">
        <f>IFERROR(IF(BJ322="","—",IF(OR(LEFT(BG322,1)="X",LEFT(BJ322,1)="X"),"—",IF(AND(LEFT(BG322,1)="E",LEFT(BJ322,1)="E"),"Exception · Band E",IF(AND(INDEX(B_VAL,MATCH(BJ322,B_LVL,0))&gt;=7,INDEX(B_RANK,MATCH(BG322,B_LVL,0))&gt;=INDEX(B_RANK,MATCH(BJ322,B_LVL,0))),"⚠ Same band as a head manager",IF(INDEX(B_VAL,MATCH(BG322,B_LVL,0))&gt;=INDEX(B_VAL,MATCH(BJ322,B_LVL,0)),"⚠ At or above the manager's level","OK"))))),"—")</f>
        <v>OK</v>
      </c>
      <c r="BL322" s="43" t="n"/>
      <c r="BM322" s="44">
        <f>IFERROR(INDEX(LMH_PTS,MATCH(Y322,LMH_KEY,0)),0)</f>
        <v>9</v>
      </c>
      <c r="BN322" s="38">
        <f>IFERROR(INDEX(LMH_PTS,MATCH(Z322,LMH_KEY,0)),0)</f>
        <v>3</v>
      </c>
      <c r="BO322" s="38">
        <f>IFERROR(INDEX(LMH_PTS,MATCH(AA322,LMH_KEY,0)),0)</f>
        <v>1</v>
      </c>
      <c r="BP322" s="38">
        <f>IFERROR(INDEX(LMH_PTS,MATCH(AB322,LMH_KEY,0)),0)</f>
        <v>1</v>
      </c>
      <c r="BQ322" s="38">
        <f>IFERROR(INDEX(LMH_PTS,MATCH(AC322,LMH_KEY,0)),0)</f>
        <v>1</v>
      </c>
      <c r="BR322" s="38">
        <f>IFERROR(INDEX(LMH_PTS,MATCH(AD322,LMH_KEY,0)),0)</f>
        <v>1</v>
      </c>
      <c r="BS322" s="38">
        <f>IFERROR(INDEX(LMH_PTS,MATCH(AE322,LMH_KEY,0)),0)</f>
        <v>1</v>
      </c>
      <c r="BT322" s="38">
        <f>IFERROR(INDEX(LMH_STEP,MATCH(AF322,LMH_KEY,0)),0)</f>
        <v>0</v>
      </c>
      <c r="BU322" s="38">
        <f>IFERROR(INDEX(LMH_STEP,MATCH(AG322,LMH_KEY,0)),0)</f>
        <v>0</v>
      </c>
      <c r="BV322" s="38">
        <f>IFERROR(INDEX(LMH_STEP,MATCH(AH322,LMH_KEY,0)),0)</f>
        <v>0</v>
      </c>
      <c r="BW322" s="38">
        <f>IFERROR(INDEX(LMH_STEP,MATCH(AI322,LMH_KEY,0)),0)</f>
        <v>0</v>
      </c>
      <c r="BX322" s="38">
        <f>IFERROR(INDEX(LMH_STEP,MATCH(AJ322,LMH_KEY,0)),0)</f>
        <v>0</v>
      </c>
      <c r="BY322" s="38">
        <f>IFERROR(INDEX(LMH_STEP,MATCH(AK322,LMH_KEY,0)),0)</f>
        <v>0</v>
      </c>
      <c r="BZ322" s="38">
        <f>IFERROR(INDEX(LMH_STEP,MATCH(AL322,LMH_KEY,0)),0)</f>
        <v>0</v>
      </c>
      <c r="CA322" s="38" t="inlineStr">
        <is>
          <t>iFile|Technology|Associate Project Manager|B1|B-IC</t>
        </is>
      </c>
    </row>
    <row r="323" ht="110" customHeight="1">
      <c r="A323" s="28" t="inlineStr">
        <is>
          <t>iFile</t>
        </is>
      </c>
      <c r="B323" s="29" t="inlineStr">
        <is>
          <t>Technology</t>
        </is>
      </c>
      <c r="C323" s="29" t="n">
        <v>4</v>
      </c>
      <c r="D323" s="29" t="inlineStr">
        <is>
          <t>IRIS2529</t>
        </is>
      </c>
      <c r="E323" s="29" t="inlineStr">
        <is>
          <t>Yash Raj</t>
        </is>
      </c>
      <c r="F323" s="29" t="inlineStr">
        <is>
          <t>Software Engineer</t>
        </is>
      </c>
      <c r="G323" s="29" t="inlineStr">
        <is>
          <t>Senior Database Engineer</t>
        </is>
      </c>
      <c r="H323" s="29" t="inlineStr">
        <is>
          <t>Engineering &amp; Development</t>
        </is>
      </c>
      <c r="I323" s="29" t="inlineStr">
        <is>
          <t>Data Engineering &amp; Database Development</t>
        </is>
      </c>
      <c r="J323" s="29" t="inlineStr">
        <is>
          <t>IC</t>
        </is>
      </c>
      <c r="K323" s="29" t="inlineStr">
        <is>
          <t>RC-074</t>
        </is>
      </c>
      <c r="L323" s="29" t="inlineStr">
        <is>
          <t>Izharuddin Shaikh</t>
        </is>
      </c>
      <c r="M323" s="29" t="inlineStr">
        <is>
          <t>IRIS1712</t>
        </is>
      </c>
      <c r="N323" s="29" t="n">
        <v>2.7</v>
      </c>
      <c r="O323" s="29" t="n">
        <v>0.4</v>
      </c>
      <c r="P323" s="29" t="inlineStr">
        <is>
          <t>B.Tech</t>
        </is>
      </c>
      <c r="Q323" s="29" t="inlineStr">
        <is>
          <t>L3 – Professional / Associate</t>
        </is>
      </c>
      <c r="R323" s="29" t="inlineStr">
        <is>
          <t>A3</t>
        </is>
      </c>
      <c r="S323" s="30" t="inlineStr">
        <is>
          <t>19 of 20</t>
        </is>
      </c>
      <c r="T323" s="31" t="inlineStr">
        <is>
          <t>Complexity: Evidence reads like A3: Builds end-to-end ETL pipelines, data models and dashboards in Python, Apache Hop, Airflow and Superset → moved up 0.5
Autonomy: Evidence reads like A3: Independently troubleshoots pipeline failures, optimises jobs and handles data-quality issues → moved up 0.5
Accountability: Evidence reads like A3: Pipelines end to end; …</t>
        </is>
      </c>
      <c r="U323" s="31" t="inlineStr">
        <is>
          <t>Received · manager annual, quarterly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323" s="31" t="inlineStr">
        <is>
          <t>Latest rating: 3 · Potential: Medium · 9-box: Reliable Specialist · Readiness: Develop in role</t>
        </is>
      </c>
      <c r="W323" s="31" t="inlineStr">
        <is>
          <t>C M · Au M · Ac M · L L · BI M · Exp M · 2.7 yrs vs 2–4 yrs · Edu M · B.Tech</t>
        </is>
      </c>
      <c r="X323" s="33" t="inlineStr">
        <is>
          <t>Open ▸</t>
        </is>
      </c>
      <c r="Y323" s="34" t="str">
        <f>IFERROR(INDEX(DL_C,MATCH($CA323,DL_KEY,0)),"M")</f>
        <v>H</v>
      </c>
      <c r="Z323" s="35" t="str">
        <f>IFERROR(INDEX(DL_Au,MATCH($CA323,DL_KEY,0)),"M")</f>
        <v>M</v>
      </c>
      <c r="AA323" s="35" t="str">
        <f>IFERROR(INDEX(DL_Ac,MATCH($CA323,DL_KEY,0)),"M")</f>
        <v>L</v>
      </c>
      <c r="AB323" s="35" t="str">
        <f>IFERROR(INDEX(DL_L,MATCH($CA323,DL_KEY,0)),"M")</f>
        <v>L</v>
      </c>
      <c r="AC323" s="35" t="str">
        <f>IFERROR(INDEX(DL_BI,MATCH($CA323,DL_KEY,0)),"M")</f>
        <v>L</v>
      </c>
      <c r="AD323" s="35" t="str">
        <f>IFERROR(INDEX(DL_Exp,MATCH($CA323,DL_KEY,0)),"M")</f>
        <v>L</v>
      </c>
      <c r="AE323" s="35" t="str">
        <f>IFERROR(INDEX(DL_Edu,MATCH($CA323,DL_KEY,0)),"M")</f>
        <v>L</v>
      </c>
      <c r="AF323" s="34" t="inlineStr">
        <is>
          <t>M</t>
        </is>
      </c>
      <c r="AG323" s="35" t="inlineStr">
        <is>
          <t>M</t>
        </is>
      </c>
      <c r="AH323" s="35" t="inlineStr">
        <is>
          <t>M</t>
        </is>
      </c>
      <c r="AI323" s="35" t="inlineStr">
        <is>
          <t>M</t>
        </is>
      </c>
      <c r="AJ323" s="35" t="inlineStr">
        <is>
          <t>M</t>
        </is>
      </c>
      <c r="AK323" s="35" t="inlineStr">
        <is>
          <t>M</t>
        </is>
      </c>
      <c r="AL323" s="35" t="inlineStr">
        <is>
          <t>M</t>
        </is>
      </c>
      <c r="AM323" s="36" t="n">
        <v>0.583</v>
      </c>
      <c r="AN323" s="37" t="n">
        <v>0.16</v>
      </c>
      <c r="AO323" s="37" t="n">
        <v>0.09</v>
      </c>
      <c r="AP323" s="37" t="n">
        <v>0</v>
      </c>
      <c r="AQ323" s="37" t="n">
        <v>0.063</v>
      </c>
      <c r="AR323" s="37" t="n">
        <v>0.06</v>
      </c>
      <c r="AS323" s="37" t="n">
        <v>0.04</v>
      </c>
      <c r="AT323" s="38" t="inlineStr">
        <is>
          <t>2–5</t>
        </is>
      </c>
      <c r="AU323" s="38" t="inlineStr">
        <is>
          <t>Graduate; relevant certification preferred</t>
        </is>
      </c>
      <c r="AV323" s="38" t="inlineStr">
        <is>
          <t>None · guides 1–3 juniors informally</t>
        </is>
      </c>
      <c r="AW323" s="38" t="inlineStr">
        <is>
          <t>P2 · SFIA 3 Apply</t>
        </is>
      </c>
      <c r="AX32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23" s="39" t="inlineStr">
        <is>
          <t>A3</t>
        </is>
      </c>
      <c r="AZ323" s="40" t="inlineStr">
        <is>
          <t>Band A · Practitioner · Senior Associate</t>
        </is>
      </c>
      <c r="BA323" s="40" t="inlineStr">
        <is>
          <t>Model A3 from the six ratings, the market-derived weights and rules R1–R13 · then No change · already below the manager</t>
        </is>
      </c>
      <c r="BB323" s="41" t="inlineStr">
        <is>
          <t>A3</t>
        </is>
      </c>
      <c r="BC323" s="40" t="inlineStr">
        <is>
          <t>The six ratings on the market-average weights of Band A · all tracks score 2.55 → A3 · Hay, Mercer IPE and public plans · experience 2.7 yrs vs the A3 market range 2–5</t>
        </is>
      </c>
      <c r="BD323" s="42">
        <f>IF(SUM(BM323,BN323,BO323,BP323,BQ323,BR323,BS323)=0,0,(BM323*BT323+BN323*BU323+BO323*BV323+BP323*BW323+BQ323*BX323+BR323*BY323+BS323*BZ323)/SUM(BM323,BN323,BO323,BP323,BQ323,BR323,BS323))</f>
        <v>0</v>
      </c>
      <c r="BE323" s="41" t="str">
        <f>IF(LEFT(AY323,1)="X",AY323,IF(OR(AY323="B+",AY323="C+"),INDEX(LAD_PC,MAX(1,MIN(14,MATCH(AY323,LAD_PC,0)+IF(BD323&gt;=0.5,1,IF(BD323&lt;=-0.5,-1,0))))),INDEX(LAD_STD,MAX(1,MIN(12,MATCH(AY323,LAD_STD,0)+IF(BD323&gt;=0.5,1,IF(BD323&lt;=-0.5,-1,0)))))))</f>
        <v>A3</v>
      </c>
      <c r="BF323" s="43" t="n"/>
      <c r="BG323" s="41" t="str">
        <f>IF(BF323&lt;&gt;"",BF323,BE323)</f>
        <v>A3</v>
      </c>
      <c r="BH323" s="40" t="str">
        <f>IFERROR(CHOOSE(INDEX(B_RANK,MATCH(BG323,B_LVL,0)),"Band A","Band B","B+ · Player-Coach","Band C","C+ · Player-Coach","Band D","Band E"),"Band X · Consultant")</f>
        <v>Band A</v>
      </c>
      <c r="BI323" s="40" t="str">
        <f>IF(BG323=AY323,"• Same",IF(INDEX(B_VAL,MATCH(BG323,B_LVL,0))&gt;INDEX(B_VAL,MATCH(AY323,B_LVL,0)),"▲ Up","▼ Down"))</f>
        <v>• Same</v>
      </c>
      <c r="BJ323" s="40" t="str">
        <f>IF(OR($M323="",$M323="—",$M323="Not in this file"),"",IFERROR(INDEX($BG$7:$BG$592,MATCH($M323,$D$7:$D$592,0)),""))</f>
        <v>B+</v>
      </c>
      <c r="BK323" s="40" t="str">
        <f>IFERROR(IF(BJ323="","—",IF(OR(LEFT(BG323,1)="X",LEFT(BJ323,1)="X"),"—",IF(AND(LEFT(BG323,1)="E",LEFT(BJ323,1)="E"),"Exception · Band E",IF(AND(INDEX(B_VAL,MATCH(BJ323,B_LVL,0))&gt;=7,INDEX(B_RANK,MATCH(BG323,B_LVL,0))&gt;=INDEX(B_RANK,MATCH(BJ323,B_LVL,0))),"⚠ Same band as a head manager",IF(INDEX(B_VAL,MATCH(BG323,B_LVL,0))&gt;=INDEX(B_VAL,MATCH(BJ323,B_LVL,0)),"⚠ At or above the manager's level","OK"))))),"—")</f>
        <v>OK</v>
      </c>
      <c r="BL323" s="43" t="n"/>
      <c r="BM323" s="44">
        <f>IFERROR(INDEX(LMH_PTS,MATCH(Y323,LMH_KEY,0)),0)</f>
        <v>9</v>
      </c>
      <c r="BN323" s="38">
        <f>IFERROR(INDEX(LMH_PTS,MATCH(Z323,LMH_KEY,0)),0)</f>
        <v>3</v>
      </c>
      <c r="BO323" s="38">
        <f>IFERROR(INDEX(LMH_PTS,MATCH(AA323,LMH_KEY,0)),0)</f>
        <v>1</v>
      </c>
      <c r="BP323" s="38">
        <f>IFERROR(INDEX(LMH_PTS,MATCH(AB323,LMH_KEY,0)),0)</f>
        <v>1</v>
      </c>
      <c r="BQ323" s="38">
        <f>IFERROR(INDEX(LMH_PTS,MATCH(AC323,LMH_KEY,0)),0)</f>
        <v>1</v>
      </c>
      <c r="BR323" s="38">
        <f>IFERROR(INDEX(LMH_PTS,MATCH(AD323,LMH_KEY,0)),0)</f>
        <v>1</v>
      </c>
      <c r="BS323" s="38">
        <f>IFERROR(INDEX(LMH_PTS,MATCH(AE323,LMH_KEY,0)),0)</f>
        <v>1</v>
      </c>
      <c r="BT323" s="38">
        <f>IFERROR(INDEX(LMH_STEP,MATCH(AF323,LMH_KEY,0)),0)</f>
        <v>0</v>
      </c>
      <c r="BU323" s="38">
        <f>IFERROR(INDEX(LMH_STEP,MATCH(AG323,LMH_KEY,0)),0)</f>
        <v>0</v>
      </c>
      <c r="BV323" s="38">
        <f>IFERROR(INDEX(LMH_STEP,MATCH(AH323,LMH_KEY,0)),0)</f>
        <v>0</v>
      </c>
      <c r="BW323" s="38">
        <f>IFERROR(INDEX(LMH_STEP,MATCH(AI323,LMH_KEY,0)),0)</f>
        <v>0</v>
      </c>
      <c r="BX323" s="38">
        <f>IFERROR(INDEX(LMH_STEP,MATCH(AJ323,LMH_KEY,0)),0)</f>
        <v>0</v>
      </c>
      <c r="BY323" s="38">
        <f>IFERROR(INDEX(LMH_STEP,MATCH(AK323,LMH_KEY,0)),0)</f>
        <v>0</v>
      </c>
      <c r="BZ323" s="38">
        <f>IFERROR(INDEX(LMH_STEP,MATCH(AL323,LMH_KEY,0)),0)</f>
        <v>0</v>
      </c>
      <c r="CA323" s="38" t="inlineStr">
        <is>
          <t>iFile|Technology|Senior Database Engineer|A3|A</t>
        </is>
      </c>
    </row>
    <row r="324" ht="110" customHeight="1">
      <c r="A324" s="28" t="inlineStr">
        <is>
          <t>iFile</t>
        </is>
      </c>
      <c r="B324" s="29" t="inlineStr">
        <is>
          <t>Technology</t>
        </is>
      </c>
      <c r="C324" s="29" t="n">
        <v>3</v>
      </c>
      <c r="D324" s="29" t="inlineStr">
        <is>
          <t>IRIS2133</t>
        </is>
      </c>
      <c r="E324" s="29" t="inlineStr">
        <is>
          <t>Pushpendra Singh</t>
        </is>
      </c>
      <c r="F324" s="29" t="inlineStr">
        <is>
          <t>Technical Architect</t>
        </is>
      </c>
      <c r="G324" s="29" t="inlineStr">
        <is>
          <t>Practice Lead – Solution &amp; Technical Architecture · Player-Coach</t>
        </is>
      </c>
      <c r="H324" s="29" t="inlineStr">
        <is>
          <t>Engineering &amp; Architecture</t>
        </is>
      </c>
      <c r="I324" s="29" t="inlineStr">
        <is>
          <t>Solution &amp; Technical Architecture</t>
        </is>
      </c>
      <c r="J324" s="29" t="inlineStr">
        <is>
          <t>Player-Coach</t>
        </is>
      </c>
      <c r="K324" s="29" t="inlineStr">
        <is>
          <t>RC-056</t>
        </is>
      </c>
      <c r="L324" s="29" t="inlineStr">
        <is>
          <t>Pradip Dey</t>
        </is>
      </c>
      <c r="M324" s="29" t="inlineStr">
        <is>
          <t>IRISC223</t>
        </is>
      </c>
      <c r="N324" s="29" t="n">
        <v>17.3</v>
      </c>
      <c r="O324" s="29" t="n">
        <v>3.3</v>
      </c>
      <c r="P324" s="29" t="inlineStr">
        <is>
          <t>MBA</t>
        </is>
      </c>
      <c r="Q324" s="29" t="inlineStr">
        <is>
          <t>L3 – Professional / Associate</t>
        </is>
      </c>
      <c r="R324" s="29" t="inlineStr">
        <is>
          <t>B+</t>
        </is>
      </c>
      <c r="S324" s="30" t="inlineStr">
        <is>
          <t>20 of 20</t>
        </is>
      </c>
      <c r="T324" s="31" t="inlineStr">
        <is>
          <t>Complexity: Evidence reads like B2: Application and core component design, security, performance tuning, evaluating new libraries for the validator product → moved down 0.5
Autonomy: Evidence reads like B1: Decides on build failures, feature breaks and adding automation for the product → moved down 0.5
Accountability: Evidence reads like B1: own survey / …</t>
        </is>
      </c>
      <c r="U324" s="31" t="inlineStr">
        <is>
          <t>Received · manager annual, quarterly · 1. Validator
Work towards improving performance of validator product and coverage. Set target and present metrics
Ensure Validator product is ready for entry in the Europe market at the minimum
Provide ongoing support for various implementations as per defined SLA
Other ongoing activities - XII certifications, XULE …</t>
        </is>
      </c>
      <c r="V324" s="31" t="inlineStr">
        <is>
          <t>Latest rating: 4 · Potential: Medium · 9-box: Core Contributor · Readiness: Ready in 6–12 months</t>
        </is>
      </c>
      <c r="W324" s="31" t="inlineStr">
        <is>
          <t>C M · Au M · Ac L · L L · BI L · Exp H · 17.3 yrs vs 9–14 yrs · Edu M · MBA</t>
        </is>
      </c>
      <c r="X324" s="33" t="inlineStr">
        <is>
          <t>Open ▸</t>
        </is>
      </c>
      <c r="Y324" s="34" t="str">
        <f>IFERROR(INDEX(DL_C,MATCH($CA324,DL_KEY,0)),"M")</f>
        <v>H</v>
      </c>
      <c r="Z324" s="35" t="str">
        <f>IFERROR(INDEX(DL_Au,MATCH($CA324,DL_KEY,0)),"M")</f>
        <v>M</v>
      </c>
      <c r="AA324" s="35" t="str">
        <f>IFERROR(INDEX(DL_Ac,MATCH($CA324,DL_KEY,0)),"M")</f>
        <v>L</v>
      </c>
      <c r="AB324" s="35" t="str">
        <f>IFERROR(INDEX(DL_L,MATCH($CA324,DL_KEY,0)),"M")</f>
        <v>M</v>
      </c>
      <c r="AC324" s="35" t="str">
        <f>IFERROR(INDEX(DL_BI,MATCH($CA324,DL_KEY,0)),"M")</f>
        <v>L</v>
      </c>
      <c r="AD324" s="35" t="str">
        <f>IFERROR(INDEX(DL_Exp,MATCH($CA324,DL_KEY,0)),"M")</f>
        <v>L</v>
      </c>
      <c r="AE324" s="35" t="str">
        <f>IFERROR(INDEX(DL_Edu,MATCH($CA324,DL_KEY,0)),"M")</f>
        <v>L</v>
      </c>
      <c r="AF324" s="34" t="inlineStr">
        <is>
          <t>M</t>
        </is>
      </c>
      <c r="AG324" s="35" t="inlineStr">
        <is>
          <t>M</t>
        </is>
      </c>
      <c r="AH324" s="35" t="inlineStr">
        <is>
          <t>M</t>
        </is>
      </c>
      <c r="AI324" s="35" t="inlineStr">
        <is>
          <t>M</t>
        </is>
      </c>
      <c r="AJ324" s="35" t="inlineStr">
        <is>
          <t>M</t>
        </is>
      </c>
      <c r="AK324" s="35" t="inlineStr">
        <is>
          <t>M</t>
        </is>
      </c>
      <c r="AL324" s="35" t="inlineStr">
        <is>
          <t>M</t>
        </is>
      </c>
      <c r="AM324" s="36" t="n">
        <v>0.44</v>
      </c>
      <c r="AN324" s="37" t="n">
        <v>0.177</v>
      </c>
      <c r="AO324" s="37" t="n">
        <v>0.103</v>
      </c>
      <c r="AP324" s="37" t="n">
        <v>0.1</v>
      </c>
      <c r="AQ324" s="37" t="n">
        <v>0.077</v>
      </c>
      <c r="AR324" s="37" t="n">
        <v>0.06</v>
      </c>
      <c r="AS324" s="37" t="n">
        <v>0.04</v>
      </c>
      <c r="AT324" s="38" t="inlineStr">
        <is>
          <t>9–14</t>
        </is>
      </c>
      <c r="AU324" s="38" t="inlineStr">
        <is>
          <t>Postgraduate or professional qualification preferred</t>
        </is>
      </c>
      <c r="AV324" s="38" t="inlineStr">
        <is>
          <t>3–6 direct reports with ≥ 40% of time on own delivery · McKinsey player/coach 3–5; Google Tech Lead Manager</t>
        </is>
      </c>
      <c r="AW324" s="38" t="inlineStr">
        <is>
          <t>P5–P6 / M4–M5 · SFIA 5 Ensure, advise</t>
        </is>
      </c>
      <c r="AX32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24" s="39" t="inlineStr">
        <is>
          <t>B+</t>
        </is>
      </c>
      <c r="AZ324" s="40" t="inlineStr">
        <is>
          <t>B+ · Player-Coach · Practice Lead · Player-Coach</t>
        </is>
      </c>
      <c r="BA324" s="40" t="inlineStr">
        <is>
          <t>Model B+ from the six ratings, the market-derived weights and rules R1–R13 · then No change · already below the manager</t>
        </is>
      </c>
      <c r="BB324" s="41" t="inlineStr">
        <is>
          <t>B3</t>
        </is>
      </c>
      <c r="BC324" s="40" t="inlineStr">
        <is>
          <t>The six ratings on the market-average weights of B+ · Player-Coach score 6.42 → B3 · Hay, Mercer IPE and public plans · experience 17.3 yrs vs the B3 market range 8–13</t>
        </is>
      </c>
      <c r="BD324" s="42">
        <f>IF(SUM(BM324,BN324,BO324,BP324,BQ324,BR324,BS324)=0,0,(BM324*BT324+BN324*BU324+BO324*BV324+BP324*BW324+BQ324*BX324+BR324*BY324+BS324*BZ324)/SUM(BM324,BN324,BO324,BP324,BQ324,BR324,BS324))</f>
        <v>0</v>
      </c>
      <c r="BE324" s="41" t="str">
        <f>IF(LEFT(AY324,1)="X",AY324,IF(OR(AY324="B+",AY324="C+"),INDEX(LAD_PC,MAX(1,MIN(14,MATCH(AY324,LAD_PC,0)+IF(BD324&gt;=0.5,1,IF(BD324&lt;=-0.5,-1,0))))),INDEX(LAD_STD,MAX(1,MIN(12,MATCH(AY324,LAD_STD,0)+IF(BD324&gt;=0.5,1,IF(BD324&lt;=-0.5,-1,0)))))))</f>
        <v>B+</v>
      </c>
      <c r="BF324" s="43" t="n"/>
      <c r="BG324" s="41" t="str">
        <f>IF(BF324&lt;&gt;"",BF324,BE324)</f>
        <v>B+</v>
      </c>
      <c r="BH324" s="40" t="str">
        <f>IFERROR(CHOOSE(INDEX(B_RANK,MATCH(BG324,B_LVL,0)),"Band A","Band B","B+ · Player-Coach","Band C","C+ · Player-Coach","Band D","Band E"),"Band X · Consultant")</f>
        <v>B+ · Player-Coach</v>
      </c>
      <c r="BI324" s="40" t="str">
        <f>IF(BG324=AY324,"• Same",IF(INDEX(B_VAL,MATCH(BG324,B_LVL,0))&gt;INDEX(B_VAL,MATCH(AY324,B_LVL,0)),"▲ Up","▼ Down"))</f>
        <v>• Same</v>
      </c>
      <c r="BJ324" s="40" t="str">
        <f>IF(OR($M324="",$M324="—",$M324="Not in this file"),"",IFERROR(INDEX($BG$7:$BG$592,MATCH($M324,$D$7:$D$592,0)),""))</f>
        <v>C2</v>
      </c>
      <c r="BK324" s="40" t="str">
        <f>IFERROR(IF(BJ324="","—",IF(OR(LEFT(BG324,1)="X",LEFT(BJ324,1)="X"),"—",IF(AND(LEFT(BG324,1)="E",LEFT(BJ324,1)="E"),"Exception · Band E",IF(AND(INDEX(B_VAL,MATCH(BJ324,B_LVL,0))&gt;=7,INDEX(B_RANK,MATCH(BG324,B_LVL,0))&gt;=INDEX(B_RANK,MATCH(BJ324,B_LVL,0))),"⚠ Same band as a head manager",IF(INDEX(B_VAL,MATCH(BG324,B_LVL,0))&gt;=INDEX(B_VAL,MATCH(BJ324,B_LVL,0)),"⚠ At or above the manager's level","OK"))))),"—")</f>
        <v>OK</v>
      </c>
      <c r="BL324" s="43" t="n"/>
      <c r="BM324" s="44">
        <f>IFERROR(INDEX(LMH_PTS,MATCH(Y324,LMH_KEY,0)),0)</f>
        <v>9</v>
      </c>
      <c r="BN324" s="38">
        <f>IFERROR(INDEX(LMH_PTS,MATCH(Z324,LMH_KEY,0)),0)</f>
        <v>3</v>
      </c>
      <c r="BO324" s="38">
        <f>IFERROR(INDEX(LMH_PTS,MATCH(AA324,LMH_KEY,0)),0)</f>
        <v>1</v>
      </c>
      <c r="BP324" s="38">
        <f>IFERROR(INDEX(LMH_PTS,MATCH(AB324,LMH_KEY,0)),0)</f>
        <v>3</v>
      </c>
      <c r="BQ324" s="38">
        <f>IFERROR(INDEX(LMH_PTS,MATCH(AC324,LMH_KEY,0)),0)</f>
        <v>1</v>
      </c>
      <c r="BR324" s="38">
        <f>IFERROR(INDEX(LMH_PTS,MATCH(AD324,LMH_KEY,0)),0)</f>
        <v>1</v>
      </c>
      <c r="BS324" s="38">
        <f>IFERROR(INDEX(LMH_PTS,MATCH(AE324,LMH_KEY,0)),0)</f>
        <v>1</v>
      </c>
      <c r="BT324" s="38">
        <f>IFERROR(INDEX(LMH_STEP,MATCH(AF324,LMH_KEY,0)),0)</f>
        <v>0</v>
      </c>
      <c r="BU324" s="38">
        <f>IFERROR(INDEX(LMH_STEP,MATCH(AG324,LMH_KEY,0)),0)</f>
        <v>0</v>
      </c>
      <c r="BV324" s="38">
        <f>IFERROR(INDEX(LMH_STEP,MATCH(AH324,LMH_KEY,0)),0)</f>
        <v>0</v>
      </c>
      <c r="BW324" s="38">
        <f>IFERROR(INDEX(LMH_STEP,MATCH(AI324,LMH_KEY,0)),0)</f>
        <v>0</v>
      </c>
      <c r="BX324" s="38">
        <f>IFERROR(INDEX(LMH_STEP,MATCH(AJ324,LMH_KEY,0)),0)</f>
        <v>0</v>
      </c>
      <c r="BY324" s="38">
        <f>IFERROR(INDEX(LMH_STEP,MATCH(AK324,LMH_KEY,0)),0)</f>
        <v>0</v>
      </c>
      <c r="BZ324" s="38">
        <f>IFERROR(INDEX(LMH_STEP,MATCH(AL324,LMH_KEY,0)),0)</f>
        <v>0</v>
      </c>
      <c r="CA324" s="38" t="inlineStr">
        <is>
          <t>iFile|Technology|Practice Lead – Solution &amp; Technical Architecture · Player-Coach|B+|B+</t>
        </is>
      </c>
    </row>
    <row r="325" ht="110" customHeight="1">
      <c r="A325" s="28" t="inlineStr">
        <is>
          <t>iFile</t>
        </is>
      </c>
      <c r="B325" s="29" t="inlineStr">
        <is>
          <t>Technology</t>
        </is>
      </c>
      <c r="C325" s="29" t="n">
        <v>4</v>
      </c>
      <c r="D325" s="29" t="inlineStr">
        <is>
          <t>IRIS2257</t>
        </is>
      </c>
      <c r="E325" s="29" t="inlineStr">
        <is>
          <t>Rudransh Nemade</t>
        </is>
      </c>
      <c r="F325" s="29" t="inlineStr">
        <is>
          <t>Trainee Software Engineer</t>
        </is>
      </c>
      <c r="G325" s="29" t="inlineStr">
        <is>
          <t>Senior Software Engineer</t>
        </is>
      </c>
      <c r="H325" s="29" t="inlineStr">
        <is>
          <t>Engineering &amp; Development</t>
        </is>
      </c>
      <c r="I325" s="29" t="inlineStr">
        <is>
          <t>Full-Stack Development</t>
        </is>
      </c>
      <c r="J325" s="29" t="inlineStr">
        <is>
          <t>IC</t>
        </is>
      </c>
      <c r="K325" s="29" t="inlineStr">
        <is>
          <t>RC-085</t>
        </is>
      </c>
      <c r="L325" s="29" t="inlineStr">
        <is>
          <t>Pushpendra Singh</t>
        </is>
      </c>
      <c r="M325" s="29" t="inlineStr">
        <is>
          <t>IRIS2133</t>
        </is>
      </c>
      <c r="N325" s="29" t="n">
        <v>2.3</v>
      </c>
      <c r="O325" s="29" t="n">
        <v>2.3</v>
      </c>
      <c r="P325" s="29" t="inlineStr">
        <is>
          <t>B.E</t>
        </is>
      </c>
      <c r="Q325" s="29" t="inlineStr">
        <is>
          <t>L2 – Trainee</t>
        </is>
      </c>
      <c r="R325" s="29" t="inlineStr">
        <is>
          <t>A3</t>
        </is>
      </c>
      <c r="S325" s="30" t="inlineStr">
        <is>
          <t>20 of 20</t>
        </is>
      </c>
      <c r="T325" s="31" t="inlineStr">
        <is>
          <t>Complexity: Evidence reads like B1: Sole developer of CSV validator; builds engines for XBRL conformance suites, table constraints, XULE → moved up 1
Autonomy: Evidence reads like A2: Only test cases and documentation named as independent decisions → moved up 0.5
Accountability: Evidence reads like A3: own survey / KRA answers · summarised by the rater; not …</t>
        </is>
      </c>
      <c r="U325" s="31" t="inlineStr">
        <is>
          <t>Received · manager annual, quarterly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325" s="31" t="inlineStr">
        <is>
          <t>Latest rating: 4 · Potential: Medium · 9-box: Emerging Talent · Readiness: Ready in 6–12 months</t>
        </is>
      </c>
      <c r="W325" s="31" t="inlineStr">
        <is>
          <t>C L · Au L · Ac L · L L · BI L · Exp M · 2.3 yrs vs 2–4 yrs · Edu M · B.E</t>
        </is>
      </c>
      <c r="X325" s="33" t="inlineStr">
        <is>
          <t>Open ▸</t>
        </is>
      </c>
      <c r="Y325" s="34" t="str">
        <f>IFERROR(INDEX(DL_C,MATCH($CA325,DL_KEY,0)),"M")</f>
        <v>H</v>
      </c>
      <c r="Z325" s="35" t="str">
        <f>IFERROR(INDEX(DL_Au,MATCH($CA325,DL_KEY,0)),"M")</f>
        <v>M</v>
      </c>
      <c r="AA325" s="35" t="str">
        <f>IFERROR(INDEX(DL_Ac,MATCH($CA325,DL_KEY,0)),"M")</f>
        <v>L</v>
      </c>
      <c r="AB325" s="35" t="str">
        <f>IFERROR(INDEX(DL_L,MATCH($CA325,DL_KEY,0)),"M")</f>
        <v>L</v>
      </c>
      <c r="AC325" s="35" t="str">
        <f>IFERROR(INDEX(DL_BI,MATCH($CA325,DL_KEY,0)),"M")</f>
        <v>L</v>
      </c>
      <c r="AD325" s="35" t="str">
        <f>IFERROR(INDEX(DL_Exp,MATCH($CA325,DL_KEY,0)),"M")</f>
        <v>L</v>
      </c>
      <c r="AE325" s="35" t="str">
        <f>IFERROR(INDEX(DL_Edu,MATCH($CA325,DL_KEY,0)),"M")</f>
        <v>L</v>
      </c>
      <c r="AF325" s="34" t="inlineStr">
        <is>
          <t>M</t>
        </is>
      </c>
      <c r="AG325" s="35" t="inlineStr">
        <is>
          <t>M</t>
        </is>
      </c>
      <c r="AH325" s="35" t="inlineStr">
        <is>
          <t>M</t>
        </is>
      </c>
      <c r="AI325" s="35" t="inlineStr">
        <is>
          <t>M</t>
        </is>
      </c>
      <c r="AJ325" s="35" t="inlineStr">
        <is>
          <t>M</t>
        </is>
      </c>
      <c r="AK325" s="35" t="inlineStr">
        <is>
          <t>M</t>
        </is>
      </c>
      <c r="AL325" s="35" t="inlineStr">
        <is>
          <t>M</t>
        </is>
      </c>
      <c r="AM325" s="36" t="n">
        <v>0.583</v>
      </c>
      <c r="AN325" s="37" t="n">
        <v>0.16</v>
      </c>
      <c r="AO325" s="37" t="n">
        <v>0.09</v>
      </c>
      <c r="AP325" s="37" t="n">
        <v>0</v>
      </c>
      <c r="AQ325" s="37" t="n">
        <v>0.063</v>
      </c>
      <c r="AR325" s="37" t="n">
        <v>0.06</v>
      </c>
      <c r="AS325" s="37" t="n">
        <v>0.04</v>
      </c>
      <c r="AT325" s="38" t="inlineStr">
        <is>
          <t>2–5</t>
        </is>
      </c>
      <c r="AU325" s="38" t="inlineStr">
        <is>
          <t>Graduate; relevant certification preferred</t>
        </is>
      </c>
      <c r="AV325" s="38" t="inlineStr">
        <is>
          <t>None · guides 1–3 juniors informally</t>
        </is>
      </c>
      <c r="AW325" s="38" t="inlineStr">
        <is>
          <t>P2 · SFIA 3 Apply</t>
        </is>
      </c>
      <c r="AX32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25" s="39" t="inlineStr">
        <is>
          <t>A3</t>
        </is>
      </c>
      <c r="AZ325" s="40" t="inlineStr">
        <is>
          <t>Band A · Practitioner · Senior Associate</t>
        </is>
      </c>
      <c r="BA325" s="40" t="inlineStr">
        <is>
          <t>Model A3 from the six ratings, the market-derived weights and rules R1–R13 · then No change · already below the manager</t>
        </is>
      </c>
      <c r="BB325" s="41" t="inlineStr">
        <is>
          <t>A2</t>
        </is>
      </c>
      <c r="BC325" s="40" t="inlineStr">
        <is>
          <t>The six ratings on the market-average weights of Band A · all tracks score 1.97 → A2 · Hay, Mercer IPE and public plans · experience 2.3 yrs vs the A2 market range 0–3</t>
        </is>
      </c>
      <c r="BD325" s="42">
        <f>IF(SUM(BM325,BN325,BO325,BP325,BQ325,BR325,BS325)=0,0,(BM325*BT325+BN325*BU325+BO325*BV325+BP325*BW325+BQ325*BX325+BR325*BY325+BS325*BZ325)/SUM(BM325,BN325,BO325,BP325,BQ325,BR325,BS325))</f>
        <v>0</v>
      </c>
      <c r="BE325" s="41" t="str">
        <f>IF(LEFT(AY325,1)="X",AY325,IF(OR(AY325="B+",AY325="C+"),INDEX(LAD_PC,MAX(1,MIN(14,MATCH(AY325,LAD_PC,0)+IF(BD325&gt;=0.5,1,IF(BD325&lt;=-0.5,-1,0))))),INDEX(LAD_STD,MAX(1,MIN(12,MATCH(AY325,LAD_STD,0)+IF(BD325&gt;=0.5,1,IF(BD325&lt;=-0.5,-1,0)))))))</f>
        <v>A3</v>
      </c>
      <c r="BF325" s="43" t="n"/>
      <c r="BG325" s="41" t="str">
        <f>IF(BF325&lt;&gt;"",BF325,BE325)</f>
        <v>A3</v>
      </c>
      <c r="BH325" s="40" t="str">
        <f>IFERROR(CHOOSE(INDEX(B_RANK,MATCH(BG325,B_LVL,0)),"Band A","Band B","B+ · Player-Coach","Band C","C+ · Player-Coach","Band D","Band E"),"Band X · Consultant")</f>
        <v>Band A</v>
      </c>
      <c r="BI325" s="40" t="str">
        <f>IF(BG325=AY325,"• Same",IF(INDEX(B_VAL,MATCH(BG325,B_LVL,0))&gt;INDEX(B_VAL,MATCH(AY325,B_LVL,0)),"▲ Up","▼ Down"))</f>
        <v>• Same</v>
      </c>
      <c r="BJ325" s="40" t="str">
        <f>IF(OR($M325="",$M325="—",$M325="Not in this file"),"",IFERROR(INDEX($BG$7:$BG$592,MATCH($M325,$D$7:$D$592,0)),""))</f>
        <v>B+</v>
      </c>
      <c r="BK325" s="40" t="str">
        <f>IFERROR(IF(BJ325="","—",IF(OR(LEFT(BG325,1)="X",LEFT(BJ325,1)="X"),"—",IF(AND(LEFT(BG325,1)="E",LEFT(BJ325,1)="E"),"Exception · Band E",IF(AND(INDEX(B_VAL,MATCH(BJ325,B_LVL,0))&gt;=7,INDEX(B_RANK,MATCH(BG325,B_LVL,0))&gt;=INDEX(B_RANK,MATCH(BJ325,B_LVL,0))),"⚠ Same band as a head manager",IF(INDEX(B_VAL,MATCH(BG325,B_LVL,0))&gt;=INDEX(B_VAL,MATCH(BJ325,B_LVL,0)),"⚠ At or above the manager's level","OK"))))),"—")</f>
        <v>OK</v>
      </c>
      <c r="BL325" s="43" t="n"/>
      <c r="BM325" s="44">
        <f>IFERROR(INDEX(LMH_PTS,MATCH(Y325,LMH_KEY,0)),0)</f>
        <v>9</v>
      </c>
      <c r="BN325" s="38">
        <f>IFERROR(INDEX(LMH_PTS,MATCH(Z325,LMH_KEY,0)),0)</f>
        <v>3</v>
      </c>
      <c r="BO325" s="38">
        <f>IFERROR(INDEX(LMH_PTS,MATCH(AA325,LMH_KEY,0)),0)</f>
        <v>1</v>
      </c>
      <c r="BP325" s="38">
        <f>IFERROR(INDEX(LMH_PTS,MATCH(AB325,LMH_KEY,0)),0)</f>
        <v>1</v>
      </c>
      <c r="BQ325" s="38">
        <f>IFERROR(INDEX(LMH_PTS,MATCH(AC325,LMH_KEY,0)),0)</f>
        <v>1</v>
      </c>
      <c r="BR325" s="38">
        <f>IFERROR(INDEX(LMH_PTS,MATCH(AD325,LMH_KEY,0)),0)</f>
        <v>1</v>
      </c>
      <c r="BS325" s="38">
        <f>IFERROR(INDEX(LMH_PTS,MATCH(AE325,LMH_KEY,0)),0)</f>
        <v>1</v>
      </c>
      <c r="BT325" s="38">
        <f>IFERROR(INDEX(LMH_STEP,MATCH(AF325,LMH_KEY,0)),0)</f>
        <v>0</v>
      </c>
      <c r="BU325" s="38">
        <f>IFERROR(INDEX(LMH_STEP,MATCH(AG325,LMH_KEY,0)),0)</f>
        <v>0</v>
      </c>
      <c r="BV325" s="38">
        <f>IFERROR(INDEX(LMH_STEP,MATCH(AH325,LMH_KEY,0)),0)</f>
        <v>0</v>
      </c>
      <c r="BW325" s="38">
        <f>IFERROR(INDEX(LMH_STEP,MATCH(AI325,LMH_KEY,0)),0)</f>
        <v>0</v>
      </c>
      <c r="BX325" s="38">
        <f>IFERROR(INDEX(LMH_STEP,MATCH(AJ325,LMH_KEY,0)),0)</f>
        <v>0</v>
      </c>
      <c r="BY325" s="38">
        <f>IFERROR(INDEX(LMH_STEP,MATCH(AK325,LMH_KEY,0)),0)</f>
        <v>0</v>
      </c>
      <c r="BZ325" s="38">
        <f>IFERROR(INDEX(LMH_STEP,MATCH(AL325,LMH_KEY,0)),0)</f>
        <v>0</v>
      </c>
      <c r="CA325" s="38" t="inlineStr">
        <is>
          <t>iFile|Technology|Senior Software Engineer|A3|A</t>
        </is>
      </c>
    </row>
    <row r="326" ht="110" customHeight="1">
      <c r="A326" s="28" t="inlineStr">
        <is>
          <t>iFile</t>
        </is>
      </c>
      <c r="B326" s="29" t="inlineStr">
        <is>
          <t>Technology</t>
        </is>
      </c>
      <c r="C326" s="29" t="n">
        <v>4</v>
      </c>
      <c r="D326" s="29" t="inlineStr">
        <is>
          <t>IRIS2183</t>
        </is>
      </c>
      <c r="E326" s="29" t="inlineStr">
        <is>
          <t>Saikiran Rowlo</t>
        </is>
      </c>
      <c r="F326" s="29" t="inlineStr">
        <is>
          <t>Junior Software Engineer</t>
        </is>
      </c>
      <c r="G326" s="29" t="inlineStr">
        <is>
          <t>Senior Software Engineer</t>
        </is>
      </c>
      <c r="H326" s="29" t="inlineStr">
        <is>
          <t>Engineering &amp; Development</t>
        </is>
      </c>
      <c r="I326" s="29" t="inlineStr">
        <is>
          <t>Backend Development</t>
        </is>
      </c>
      <c r="J326" s="29" t="inlineStr">
        <is>
          <t>IC</t>
        </is>
      </c>
      <c r="K326" s="29" t="inlineStr">
        <is>
          <t>RC-067</t>
        </is>
      </c>
      <c r="L326" s="29" t="inlineStr">
        <is>
          <t>Pushpendra Singh</t>
        </is>
      </c>
      <c r="M326" s="29" t="inlineStr">
        <is>
          <t>IRIS2133</t>
        </is>
      </c>
      <c r="N326" s="29" t="n">
        <v>3</v>
      </c>
      <c r="O326" s="29" t="n">
        <v>3</v>
      </c>
      <c r="P326" s="29" t="inlineStr">
        <is>
          <t>B.E</t>
        </is>
      </c>
      <c r="Q326" s="29" t="inlineStr">
        <is>
          <t>L3 – Professional / Associate</t>
        </is>
      </c>
      <c r="R326" s="29" t="inlineStr">
        <is>
          <t>A3</t>
        </is>
      </c>
      <c r="S326" s="30" t="inlineStr">
        <is>
          <t>17 of 20</t>
        </is>
      </c>
      <c r="T326" s="31" t="inlineStr">
        <is>
          <t>Complexity: Evidence reads like A2: Develops and maintains one application, handles support issues, applies XBRL specification updates → matches the start
Autonomy: Evidence reads like A2: Decides on support issues only → matches the start
Accountability: Evidence reads like A3: Maintains the application's codebase and its support; must fix and redeliver …</t>
        </is>
      </c>
      <c r="U326" s="31" t="inlineStr">
        <is>
          <t>Received · manager annual, quarterly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326" s="31" t="inlineStr">
        <is>
          <t>Latest rating: 4 · Potential: Medium · 9-box: Emerging Talent · Readiness: Ready in 6–12 months</t>
        </is>
      </c>
      <c r="W326" s="31" t="inlineStr">
        <is>
          <t>C L · Au L · Ac M · L L · BI M · Exp M · 3 yrs vs 2–4 yrs · Edu M · B.E</t>
        </is>
      </c>
      <c r="X326" s="33" t="inlineStr">
        <is>
          <t>Open ▸</t>
        </is>
      </c>
      <c r="Y326" s="34" t="str">
        <f>IFERROR(INDEX(DL_C,MATCH($CA326,DL_KEY,0)),"M")</f>
        <v>H</v>
      </c>
      <c r="Z326" s="35" t="str">
        <f>IFERROR(INDEX(DL_Au,MATCH($CA326,DL_KEY,0)),"M")</f>
        <v>M</v>
      </c>
      <c r="AA326" s="35" t="str">
        <f>IFERROR(INDEX(DL_Ac,MATCH($CA326,DL_KEY,0)),"M")</f>
        <v>L</v>
      </c>
      <c r="AB326" s="35" t="str">
        <f>IFERROR(INDEX(DL_L,MATCH($CA326,DL_KEY,0)),"M")</f>
        <v>L</v>
      </c>
      <c r="AC326" s="35" t="str">
        <f>IFERROR(INDEX(DL_BI,MATCH($CA326,DL_KEY,0)),"M")</f>
        <v>L</v>
      </c>
      <c r="AD326" s="35" t="str">
        <f>IFERROR(INDEX(DL_Exp,MATCH($CA326,DL_KEY,0)),"M")</f>
        <v>L</v>
      </c>
      <c r="AE326" s="35" t="str">
        <f>IFERROR(INDEX(DL_Edu,MATCH($CA326,DL_KEY,0)),"M")</f>
        <v>L</v>
      </c>
      <c r="AF326" s="34" t="inlineStr">
        <is>
          <t>M</t>
        </is>
      </c>
      <c r="AG326" s="35" t="inlineStr">
        <is>
          <t>M</t>
        </is>
      </c>
      <c r="AH326" s="35" t="inlineStr">
        <is>
          <t>M</t>
        </is>
      </c>
      <c r="AI326" s="35" t="inlineStr">
        <is>
          <t>M</t>
        </is>
      </c>
      <c r="AJ326" s="35" t="inlineStr">
        <is>
          <t>M</t>
        </is>
      </c>
      <c r="AK326" s="35" t="inlineStr">
        <is>
          <t>M</t>
        </is>
      </c>
      <c r="AL326" s="35" t="inlineStr">
        <is>
          <t>M</t>
        </is>
      </c>
      <c r="AM326" s="36" t="n">
        <v>0.583</v>
      </c>
      <c r="AN326" s="37" t="n">
        <v>0.16</v>
      </c>
      <c r="AO326" s="37" t="n">
        <v>0.09</v>
      </c>
      <c r="AP326" s="37" t="n">
        <v>0</v>
      </c>
      <c r="AQ326" s="37" t="n">
        <v>0.063</v>
      </c>
      <c r="AR326" s="37" t="n">
        <v>0.06</v>
      </c>
      <c r="AS326" s="37" t="n">
        <v>0.04</v>
      </c>
      <c r="AT326" s="38" t="inlineStr">
        <is>
          <t>2–5</t>
        </is>
      </c>
      <c r="AU326" s="38" t="inlineStr">
        <is>
          <t>Graduate; relevant certification preferred</t>
        </is>
      </c>
      <c r="AV326" s="38" t="inlineStr">
        <is>
          <t>None · guides 1–3 juniors informally</t>
        </is>
      </c>
      <c r="AW326" s="38" t="inlineStr">
        <is>
          <t>P2 · SFIA 3 Apply</t>
        </is>
      </c>
      <c r="AX32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26" s="39" t="inlineStr">
        <is>
          <t>A3</t>
        </is>
      </c>
      <c r="AZ326" s="40" t="inlineStr">
        <is>
          <t>Band A · Practitioner · Senior Associate</t>
        </is>
      </c>
      <c r="BA326" s="40" t="inlineStr">
        <is>
          <t>Model A3 from the six ratings, the market-derived weights and rules R1–R13 · then No change · already below the manager</t>
        </is>
      </c>
      <c r="BB326" s="41" t="inlineStr">
        <is>
          <t>A2</t>
        </is>
      </c>
      <c r="BC326" s="40" t="inlineStr">
        <is>
          <t>The six ratings on the market-average weights of Band A · all tracks score 2.18 → A2 · Hay, Mercer IPE and public plans · experience 3 yrs vs the A2 market range 0–3</t>
        </is>
      </c>
      <c r="BD326" s="42">
        <f>IF(SUM(BM326,BN326,BO326,BP326,BQ326,BR326,BS326)=0,0,(BM326*BT326+BN326*BU326+BO326*BV326+BP326*BW326+BQ326*BX326+BR326*BY326+BS326*BZ326)/SUM(BM326,BN326,BO326,BP326,BQ326,BR326,BS326))</f>
        <v>0</v>
      </c>
      <c r="BE326" s="41" t="str">
        <f>IF(LEFT(AY326,1)="X",AY326,IF(OR(AY326="B+",AY326="C+"),INDEX(LAD_PC,MAX(1,MIN(14,MATCH(AY326,LAD_PC,0)+IF(BD326&gt;=0.5,1,IF(BD326&lt;=-0.5,-1,0))))),INDEX(LAD_STD,MAX(1,MIN(12,MATCH(AY326,LAD_STD,0)+IF(BD326&gt;=0.5,1,IF(BD326&lt;=-0.5,-1,0)))))))</f>
        <v>A3</v>
      </c>
      <c r="BF326" s="43" t="n"/>
      <c r="BG326" s="41" t="str">
        <f>IF(BF326&lt;&gt;"",BF326,BE326)</f>
        <v>A3</v>
      </c>
      <c r="BH326" s="40" t="str">
        <f>IFERROR(CHOOSE(INDEX(B_RANK,MATCH(BG326,B_LVL,0)),"Band A","Band B","B+ · Player-Coach","Band C","C+ · Player-Coach","Band D","Band E"),"Band X · Consultant")</f>
        <v>Band A</v>
      </c>
      <c r="BI326" s="40" t="str">
        <f>IF(BG326=AY326,"• Same",IF(INDEX(B_VAL,MATCH(BG326,B_LVL,0))&gt;INDEX(B_VAL,MATCH(AY326,B_LVL,0)),"▲ Up","▼ Down"))</f>
        <v>• Same</v>
      </c>
      <c r="BJ326" s="40" t="str">
        <f>IF(OR($M326="",$M326="—",$M326="Not in this file"),"",IFERROR(INDEX($BG$7:$BG$592,MATCH($M326,$D$7:$D$592,0)),""))</f>
        <v>B+</v>
      </c>
      <c r="BK326" s="40" t="str">
        <f>IFERROR(IF(BJ326="","—",IF(OR(LEFT(BG326,1)="X",LEFT(BJ326,1)="X"),"—",IF(AND(LEFT(BG326,1)="E",LEFT(BJ326,1)="E"),"Exception · Band E",IF(AND(INDEX(B_VAL,MATCH(BJ326,B_LVL,0))&gt;=7,INDEX(B_RANK,MATCH(BG326,B_LVL,0))&gt;=INDEX(B_RANK,MATCH(BJ326,B_LVL,0))),"⚠ Same band as a head manager",IF(INDEX(B_VAL,MATCH(BG326,B_LVL,0))&gt;=INDEX(B_VAL,MATCH(BJ326,B_LVL,0)),"⚠ At or above the manager's level","OK"))))),"—")</f>
        <v>OK</v>
      </c>
      <c r="BL326" s="43" t="n"/>
      <c r="BM326" s="44">
        <f>IFERROR(INDEX(LMH_PTS,MATCH(Y326,LMH_KEY,0)),0)</f>
        <v>9</v>
      </c>
      <c r="BN326" s="38">
        <f>IFERROR(INDEX(LMH_PTS,MATCH(Z326,LMH_KEY,0)),0)</f>
        <v>3</v>
      </c>
      <c r="BO326" s="38">
        <f>IFERROR(INDEX(LMH_PTS,MATCH(AA326,LMH_KEY,0)),0)</f>
        <v>1</v>
      </c>
      <c r="BP326" s="38">
        <f>IFERROR(INDEX(LMH_PTS,MATCH(AB326,LMH_KEY,0)),0)</f>
        <v>1</v>
      </c>
      <c r="BQ326" s="38">
        <f>IFERROR(INDEX(LMH_PTS,MATCH(AC326,LMH_KEY,0)),0)</f>
        <v>1</v>
      </c>
      <c r="BR326" s="38">
        <f>IFERROR(INDEX(LMH_PTS,MATCH(AD326,LMH_KEY,0)),0)</f>
        <v>1</v>
      </c>
      <c r="BS326" s="38">
        <f>IFERROR(INDEX(LMH_PTS,MATCH(AE326,LMH_KEY,0)),0)</f>
        <v>1</v>
      </c>
      <c r="BT326" s="38">
        <f>IFERROR(INDEX(LMH_STEP,MATCH(AF326,LMH_KEY,0)),0)</f>
        <v>0</v>
      </c>
      <c r="BU326" s="38">
        <f>IFERROR(INDEX(LMH_STEP,MATCH(AG326,LMH_KEY,0)),0)</f>
        <v>0</v>
      </c>
      <c r="BV326" s="38">
        <f>IFERROR(INDEX(LMH_STEP,MATCH(AH326,LMH_KEY,0)),0)</f>
        <v>0</v>
      </c>
      <c r="BW326" s="38">
        <f>IFERROR(INDEX(LMH_STEP,MATCH(AI326,LMH_KEY,0)),0)</f>
        <v>0</v>
      </c>
      <c r="BX326" s="38">
        <f>IFERROR(INDEX(LMH_STEP,MATCH(AJ326,LMH_KEY,0)),0)</f>
        <v>0</v>
      </c>
      <c r="BY326" s="38">
        <f>IFERROR(INDEX(LMH_STEP,MATCH(AK326,LMH_KEY,0)),0)</f>
        <v>0</v>
      </c>
      <c r="BZ326" s="38">
        <f>IFERROR(INDEX(LMH_STEP,MATCH(AL326,LMH_KEY,0)),0)</f>
        <v>0</v>
      </c>
      <c r="CA326" s="38" t="inlineStr">
        <is>
          <t>iFile|Technology|Senior Software Engineer|A3|A</t>
        </is>
      </c>
    </row>
    <row r="327" ht="110" customHeight="1">
      <c r="A327" s="28" t="inlineStr">
        <is>
          <t>iFile</t>
        </is>
      </c>
      <c r="B327" s="29" t="inlineStr">
        <is>
          <t>Technology</t>
        </is>
      </c>
      <c r="C327" s="29" t="n">
        <v>4</v>
      </c>
      <c r="D327" s="29" t="inlineStr">
        <is>
          <t>IRIS1871</t>
        </is>
      </c>
      <c r="E327" s="29" t="inlineStr">
        <is>
          <t>Sandeep Mehta</t>
        </is>
      </c>
      <c r="F327" s="29" t="inlineStr">
        <is>
          <t>Software Engineer</t>
        </is>
      </c>
      <c r="G327" s="29" t="inlineStr">
        <is>
          <t>Senior Software Engineer</t>
        </is>
      </c>
      <c r="H327" s="29" t="inlineStr">
        <is>
          <t>Engineering &amp; Development</t>
        </is>
      </c>
      <c r="I327" s="29" t="inlineStr">
        <is>
          <t>Backend Development</t>
        </is>
      </c>
      <c r="J327" s="29" t="inlineStr">
        <is>
          <t>IC</t>
        </is>
      </c>
      <c r="K327" s="29" t="inlineStr">
        <is>
          <t>RC-067</t>
        </is>
      </c>
      <c r="L327" s="29" t="inlineStr">
        <is>
          <t>Pushpendra Singh</t>
        </is>
      </c>
      <c r="M327" s="29" t="inlineStr">
        <is>
          <t>IRIS2133</t>
        </is>
      </c>
      <c r="N327" s="29" t="n">
        <v>6</v>
      </c>
      <c r="O327" s="29" t="n">
        <v>6</v>
      </c>
      <c r="P327" s="29" t="inlineStr">
        <is>
          <t>B.Tech</t>
        </is>
      </c>
      <c r="Q327" s="29" t="inlineStr">
        <is>
          <t>L3 – Professional / Associate</t>
        </is>
      </c>
      <c r="R327" s="29" t="inlineStr">
        <is>
          <t>A3</t>
        </is>
      </c>
      <c r="S327" s="30" t="inlineStr">
        <is>
          <t>20 of 20</t>
        </is>
      </c>
      <c r="T327" s="31" t="inlineStr">
        <is>
          <t>Complexity: Evidence reads like A3: Builds XBRL validation tool features: analyses the specification, plans design, tests and optimises performance → moved up 0.5
Autonomy: Evidence reads like A2: Decides the method for adding a feature → matches the start
Accountability: Evidence reads like A2: Accountable for accuracy, performance and on-time delivery of …</t>
        </is>
      </c>
      <c r="U327" s="31" t="inlineStr">
        <is>
          <t>Received · manager annual, quarterly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327" s="31" t="inlineStr">
        <is>
          <t>Latest rating: 4 · Potential: Medium · 9-box: Trusted Professional · Readiness: Ready in 6–12 months</t>
        </is>
      </c>
      <c r="W327" s="31" t="inlineStr">
        <is>
          <t>C M · Au L · Ac L · L L · BI M · Exp H · 6 yrs vs 2–4 yrs · Edu M · B.Tech</t>
        </is>
      </c>
      <c r="X327" s="33" t="inlineStr">
        <is>
          <t>Open ▸</t>
        </is>
      </c>
      <c r="Y327" s="34" t="str">
        <f>IFERROR(INDEX(DL_C,MATCH($CA327,DL_KEY,0)),"M")</f>
        <v>H</v>
      </c>
      <c r="Z327" s="35" t="str">
        <f>IFERROR(INDEX(DL_Au,MATCH($CA327,DL_KEY,0)),"M")</f>
        <v>M</v>
      </c>
      <c r="AA327" s="35" t="str">
        <f>IFERROR(INDEX(DL_Ac,MATCH($CA327,DL_KEY,0)),"M")</f>
        <v>L</v>
      </c>
      <c r="AB327" s="35" t="str">
        <f>IFERROR(INDEX(DL_L,MATCH($CA327,DL_KEY,0)),"M")</f>
        <v>L</v>
      </c>
      <c r="AC327" s="35" t="str">
        <f>IFERROR(INDEX(DL_BI,MATCH($CA327,DL_KEY,0)),"M")</f>
        <v>L</v>
      </c>
      <c r="AD327" s="35" t="str">
        <f>IFERROR(INDEX(DL_Exp,MATCH($CA327,DL_KEY,0)),"M")</f>
        <v>L</v>
      </c>
      <c r="AE327" s="35" t="str">
        <f>IFERROR(INDEX(DL_Edu,MATCH($CA327,DL_KEY,0)),"M")</f>
        <v>L</v>
      </c>
      <c r="AF327" s="34" t="inlineStr">
        <is>
          <t>M</t>
        </is>
      </c>
      <c r="AG327" s="35" t="inlineStr">
        <is>
          <t>M</t>
        </is>
      </c>
      <c r="AH327" s="35" t="inlineStr">
        <is>
          <t>M</t>
        </is>
      </c>
      <c r="AI327" s="35" t="inlineStr">
        <is>
          <t>M</t>
        </is>
      </c>
      <c r="AJ327" s="35" t="inlineStr">
        <is>
          <t>M</t>
        </is>
      </c>
      <c r="AK327" s="35" t="inlineStr">
        <is>
          <t>M</t>
        </is>
      </c>
      <c r="AL327" s="35" t="inlineStr">
        <is>
          <t>M</t>
        </is>
      </c>
      <c r="AM327" s="36" t="n">
        <v>0.583</v>
      </c>
      <c r="AN327" s="37" t="n">
        <v>0.16</v>
      </c>
      <c r="AO327" s="37" t="n">
        <v>0.09</v>
      </c>
      <c r="AP327" s="37" t="n">
        <v>0</v>
      </c>
      <c r="AQ327" s="37" t="n">
        <v>0.063</v>
      </c>
      <c r="AR327" s="37" t="n">
        <v>0.06</v>
      </c>
      <c r="AS327" s="37" t="n">
        <v>0.04</v>
      </c>
      <c r="AT327" s="38" t="inlineStr">
        <is>
          <t>2–5</t>
        </is>
      </c>
      <c r="AU327" s="38" t="inlineStr">
        <is>
          <t>Graduate; relevant certification preferred</t>
        </is>
      </c>
      <c r="AV327" s="38" t="inlineStr">
        <is>
          <t>None · guides 1–3 juniors informally</t>
        </is>
      </c>
      <c r="AW327" s="38" t="inlineStr">
        <is>
          <t>P2 · SFIA 3 Apply</t>
        </is>
      </c>
      <c r="AX32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27" s="39" t="inlineStr">
        <is>
          <t>A3</t>
        </is>
      </c>
      <c r="AZ327" s="40" t="inlineStr">
        <is>
          <t>Band A · Practitioner · Senior Associate</t>
        </is>
      </c>
      <c r="BA327" s="40" t="inlineStr">
        <is>
          <t>Model A3 from the six ratings, the market-derived weights and rules R1–R13 · then No change · already below the manager</t>
        </is>
      </c>
      <c r="BB327" s="41" t="inlineStr">
        <is>
          <t>A3</t>
        </is>
      </c>
      <c r="BC327" s="40" t="inlineStr">
        <is>
          <t>The six ratings on the market-average weights of Band A · all tracks score 2.53 → A3 · Hay, Mercer IPE and public plans · experience 6 yrs vs the A3 market range 2–5</t>
        </is>
      </c>
      <c r="BD327" s="42">
        <f>IF(SUM(BM327,BN327,BO327,BP327,BQ327,BR327,BS327)=0,0,(BM327*BT327+BN327*BU327+BO327*BV327+BP327*BW327+BQ327*BX327+BR327*BY327+BS327*BZ327)/SUM(BM327,BN327,BO327,BP327,BQ327,BR327,BS327))</f>
        <v>0</v>
      </c>
      <c r="BE327" s="41" t="str">
        <f>IF(LEFT(AY327,1)="X",AY327,IF(OR(AY327="B+",AY327="C+"),INDEX(LAD_PC,MAX(1,MIN(14,MATCH(AY327,LAD_PC,0)+IF(BD327&gt;=0.5,1,IF(BD327&lt;=-0.5,-1,0))))),INDEX(LAD_STD,MAX(1,MIN(12,MATCH(AY327,LAD_STD,0)+IF(BD327&gt;=0.5,1,IF(BD327&lt;=-0.5,-1,0)))))))</f>
        <v>A3</v>
      </c>
      <c r="BF327" s="43" t="n"/>
      <c r="BG327" s="41" t="str">
        <f>IF(BF327&lt;&gt;"",BF327,BE327)</f>
        <v>A3</v>
      </c>
      <c r="BH327" s="40" t="str">
        <f>IFERROR(CHOOSE(INDEX(B_RANK,MATCH(BG327,B_LVL,0)),"Band A","Band B","B+ · Player-Coach","Band C","C+ · Player-Coach","Band D","Band E"),"Band X · Consultant")</f>
        <v>Band A</v>
      </c>
      <c r="BI327" s="40" t="str">
        <f>IF(BG327=AY327,"• Same",IF(INDEX(B_VAL,MATCH(BG327,B_LVL,0))&gt;INDEX(B_VAL,MATCH(AY327,B_LVL,0)),"▲ Up","▼ Down"))</f>
        <v>• Same</v>
      </c>
      <c r="BJ327" s="40" t="str">
        <f>IF(OR($M327="",$M327="—",$M327="Not in this file"),"",IFERROR(INDEX($BG$7:$BG$592,MATCH($M327,$D$7:$D$592,0)),""))</f>
        <v>B+</v>
      </c>
      <c r="BK327" s="40" t="str">
        <f>IFERROR(IF(BJ327="","—",IF(OR(LEFT(BG327,1)="X",LEFT(BJ327,1)="X"),"—",IF(AND(LEFT(BG327,1)="E",LEFT(BJ327,1)="E"),"Exception · Band E",IF(AND(INDEX(B_VAL,MATCH(BJ327,B_LVL,0))&gt;=7,INDEX(B_RANK,MATCH(BG327,B_LVL,0))&gt;=INDEX(B_RANK,MATCH(BJ327,B_LVL,0))),"⚠ Same band as a head manager",IF(INDEX(B_VAL,MATCH(BG327,B_LVL,0))&gt;=INDEX(B_VAL,MATCH(BJ327,B_LVL,0)),"⚠ At or above the manager's level","OK"))))),"—")</f>
        <v>OK</v>
      </c>
      <c r="BL327" s="43" t="n"/>
      <c r="BM327" s="44">
        <f>IFERROR(INDEX(LMH_PTS,MATCH(Y327,LMH_KEY,0)),0)</f>
        <v>9</v>
      </c>
      <c r="BN327" s="38">
        <f>IFERROR(INDEX(LMH_PTS,MATCH(Z327,LMH_KEY,0)),0)</f>
        <v>3</v>
      </c>
      <c r="BO327" s="38">
        <f>IFERROR(INDEX(LMH_PTS,MATCH(AA327,LMH_KEY,0)),0)</f>
        <v>1</v>
      </c>
      <c r="BP327" s="38">
        <f>IFERROR(INDEX(LMH_PTS,MATCH(AB327,LMH_KEY,0)),0)</f>
        <v>1</v>
      </c>
      <c r="BQ327" s="38">
        <f>IFERROR(INDEX(LMH_PTS,MATCH(AC327,LMH_KEY,0)),0)</f>
        <v>1</v>
      </c>
      <c r="BR327" s="38">
        <f>IFERROR(INDEX(LMH_PTS,MATCH(AD327,LMH_KEY,0)),0)</f>
        <v>1</v>
      </c>
      <c r="BS327" s="38">
        <f>IFERROR(INDEX(LMH_PTS,MATCH(AE327,LMH_KEY,0)),0)</f>
        <v>1</v>
      </c>
      <c r="BT327" s="38">
        <f>IFERROR(INDEX(LMH_STEP,MATCH(AF327,LMH_KEY,0)),0)</f>
        <v>0</v>
      </c>
      <c r="BU327" s="38">
        <f>IFERROR(INDEX(LMH_STEP,MATCH(AG327,LMH_KEY,0)),0)</f>
        <v>0</v>
      </c>
      <c r="BV327" s="38">
        <f>IFERROR(INDEX(LMH_STEP,MATCH(AH327,LMH_KEY,0)),0)</f>
        <v>0</v>
      </c>
      <c r="BW327" s="38">
        <f>IFERROR(INDEX(LMH_STEP,MATCH(AI327,LMH_KEY,0)),0)</f>
        <v>0</v>
      </c>
      <c r="BX327" s="38">
        <f>IFERROR(INDEX(LMH_STEP,MATCH(AJ327,LMH_KEY,0)),0)</f>
        <v>0</v>
      </c>
      <c r="BY327" s="38">
        <f>IFERROR(INDEX(LMH_STEP,MATCH(AK327,LMH_KEY,0)),0)</f>
        <v>0</v>
      </c>
      <c r="BZ327" s="38">
        <f>IFERROR(INDEX(LMH_STEP,MATCH(AL327,LMH_KEY,0)),0)</f>
        <v>0</v>
      </c>
      <c r="CA327" s="38" t="inlineStr">
        <is>
          <t>iFile|Technology|Senior Software Engineer|A3|A</t>
        </is>
      </c>
    </row>
    <row r="328" ht="110" customHeight="1">
      <c r="A328" s="28" t="inlineStr">
        <is>
          <t>iFile</t>
        </is>
      </c>
      <c r="B328" s="29" t="inlineStr">
        <is>
          <t>Product Management</t>
        </is>
      </c>
      <c r="C328" s="29" t="n">
        <v>3</v>
      </c>
      <c r="D328" s="29" t="inlineStr">
        <is>
          <t>IRIS2560</t>
        </is>
      </c>
      <c r="E328" s="29" t="inlineStr">
        <is>
          <t>Sumit Jain</t>
        </is>
      </c>
      <c r="F328" s="29" t="inlineStr">
        <is>
          <t>Senior Product Manager</t>
        </is>
      </c>
      <c r="G328" s="29" t="inlineStr">
        <is>
          <t>Senior Product Manager</t>
        </is>
      </c>
      <c r="H328" s="29" t="inlineStr">
        <is>
          <t>Product Management</t>
        </is>
      </c>
      <c r="I328" s="29" t="inlineStr">
        <is>
          <t>Product Management</t>
        </is>
      </c>
      <c r="J328" s="29" t="inlineStr">
        <is>
          <t>IC</t>
        </is>
      </c>
      <c r="K328" s="29" t="inlineStr">
        <is>
          <t>RC-128</t>
        </is>
      </c>
      <c r="L328" s="29" t="inlineStr">
        <is>
          <t>Pradip Dey</t>
        </is>
      </c>
      <c r="M328" s="29" t="inlineStr">
        <is>
          <t>IRISC223</t>
        </is>
      </c>
      <c r="N328" s="29" t="inlineStr">
        <is>
          <t>Not provided · HRIS</t>
        </is>
      </c>
      <c r="O328" s="29" t="n">
        <v>0.1</v>
      </c>
      <c r="P328" s="29" t="inlineStr">
        <is>
          <t>B.E</t>
        </is>
      </c>
      <c r="Q328" s="29" t="inlineStr">
        <is>
          <t>Not in current mapping files</t>
        </is>
      </c>
      <c r="R328" s="29" t="inlineStr">
        <is>
          <t>B3</t>
        </is>
      </c>
      <c r="S328" s="30" t="inlineStr">
        <is>
          <t>20 of 20</t>
        </is>
      </c>
      <c r="T328" s="31"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t>
        </is>
      </c>
      <c r="U328" s="32" t="inlineStr">
        <is>
          <t>KRAs not received · manager to supply</t>
        </is>
      </c>
      <c r="V328" s="31" t="inlineStr">
        <is>
          <t>Latest rating: Not rated · manager · 9-box: Not placed · manager · Readiness: No rating data</t>
        </is>
      </c>
      <c r="W328" s="31" t="inlineStr">
        <is>
          <t>C M · Au M · Ac M · L L · BI M · Exp — · not on file · Edu L · B.E</t>
        </is>
      </c>
      <c r="X328" s="33" t="inlineStr">
        <is>
          <t>Open ▸</t>
        </is>
      </c>
      <c r="Y328" s="34" t="str">
        <f>IFERROR(INDEX(DL_C,MATCH($CA328,DL_KEY,0)),"M")</f>
        <v>H</v>
      </c>
      <c r="Z328" s="35" t="str">
        <f>IFERROR(INDEX(DL_Au,MATCH($CA328,DL_KEY,0)),"M")</f>
        <v>M</v>
      </c>
      <c r="AA328" s="35" t="str">
        <f>IFERROR(INDEX(DL_Ac,MATCH($CA328,DL_KEY,0)),"M")</f>
        <v>M</v>
      </c>
      <c r="AB328" s="35" t="str">
        <f>IFERROR(INDEX(DL_L,MATCH($CA328,DL_KEY,0)),"M")</f>
        <v>L</v>
      </c>
      <c r="AC328" s="35" t="str">
        <f>IFERROR(INDEX(DL_BI,MATCH($CA328,DL_KEY,0)),"M")</f>
        <v>L</v>
      </c>
      <c r="AD328" s="35" t="str">
        <f>IFERROR(INDEX(DL_Exp,MATCH($CA328,DL_KEY,0)),"M")</f>
        <v>L</v>
      </c>
      <c r="AE328" s="35" t="str">
        <f>IFERROR(INDEX(DL_Edu,MATCH($CA328,DL_KEY,0)),"M")</f>
        <v>L</v>
      </c>
      <c r="AF328" s="34" t="inlineStr">
        <is>
          <t>M</t>
        </is>
      </c>
      <c r="AG328" s="35" t="inlineStr">
        <is>
          <t>M</t>
        </is>
      </c>
      <c r="AH328" s="35" t="inlineStr">
        <is>
          <t>M</t>
        </is>
      </c>
      <c r="AI328" s="35" t="inlineStr">
        <is>
          <t>M</t>
        </is>
      </c>
      <c r="AJ328" s="35" t="inlineStr">
        <is>
          <t>M</t>
        </is>
      </c>
      <c r="AK328" s="35" t="inlineStr">
        <is>
          <t>M</t>
        </is>
      </c>
      <c r="AL328" s="35" t="inlineStr">
        <is>
          <t>M</t>
        </is>
      </c>
      <c r="AM328" s="36" t="n">
        <v>0.513</v>
      </c>
      <c r="AN328" s="37" t="n">
        <v>0.173</v>
      </c>
      <c r="AO328" s="37" t="n">
        <v>0.09699999999999999</v>
      </c>
      <c r="AP328" s="37" t="n">
        <v>0.05</v>
      </c>
      <c r="AQ328" s="37" t="n">
        <v>0.07000000000000001</v>
      </c>
      <c r="AR328" s="37" t="n">
        <v>0.06</v>
      </c>
      <c r="AS328" s="37" t="n">
        <v>0.04</v>
      </c>
      <c r="AT328" s="38" t="inlineStr">
        <is>
          <t>8–13</t>
        </is>
      </c>
      <c r="AU328" s="38" t="inlineStr">
        <is>
          <t>Postgraduate or professional qualification preferred</t>
        </is>
      </c>
      <c r="AV328" s="38" t="inlineStr">
        <is>
          <t>IC: none · People: 5–8 incl. team leads</t>
        </is>
      </c>
      <c r="AW328" s="38" t="inlineStr">
        <is>
          <t>P5 / M4 · SFIA 5 Ensure, advise</t>
        </is>
      </c>
      <c r="AX32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28" s="39" t="inlineStr">
        <is>
          <t>B3</t>
        </is>
      </c>
      <c r="AZ328" s="40" t="inlineStr">
        <is>
          <t>Band B · Specialist / Manager · Lead Specialist</t>
        </is>
      </c>
      <c r="BA328" s="40" t="inlineStr">
        <is>
          <t>Model B3 from the six ratings, the market-derived weights and rules R1–R13 · then No change · already below the manager</t>
        </is>
      </c>
      <c r="BB328" s="41" t="inlineStr">
        <is>
          <t>B3</t>
        </is>
      </c>
      <c r="BC328" s="40" t="inlineStr">
        <is>
          <t>The six ratings on the market-average weights of Band B · Specialist / POD Lead score 5.95 → B3 · Hay, Mercer IPE and public plans · experience Not provided · HRIS yrs vs the B3 market range 8–13</t>
        </is>
      </c>
      <c r="BD328" s="42">
        <f>IF(SUM(BM328,BN328,BO328,BP328,BQ328,BR328,BS328)=0,0,(BM328*BT328+BN328*BU328+BO328*BV328+BP328*BW328+BQ328*BX328+BR328*BY328+BS328*BZ328)/SUM(BM328,BN328,BO328,BP328,BQ328,BR328,BS328))</f>
        <v>0</v>
      </c>
      <c r="BE328" s="41" t="str">
        <f>IF(LEFT(AY328,1)="X",AY328,IF(OR(AY328="B+",AY328="C+"),INDEX(LAD_PC,MAX(1,MIN(14,MATCH(AY328,LAD_PC,0)+IF(BD328&gt;=0.5,1,IF(BD328&lt;=-0.5,-1,0))))),INDEX(LAD_STD,MAX(1,MIN(12,MATCH(AY328,LAD_STD,0)+IF(BD328&gt;=0.5,1,IF(BD328&lt;=-0.5,-1,0)))))))</f>
        <v>B3</v>
      </c>
      <c r="BF328" s="43" t="n"/>
      <c r="BG328" s="41" t="str">
        <f>IF(BF328&lt;&gt;"",BF328,BE328)</f>
        <v>B3</v>
      </c>
      <c r="BH328" s="40" t="str">
        <f>IFERROR(CHOOSE(INDEX(B_RANK,MATCH(BG328,B_LVL,0)),"Band A","Band B","B+ · Player-Coach","Band C","C+ · Player-Coach","Band D","Band E"),"Band X · Consultant")</f>
        <v>Band B</v>
      </c>
      <c r="BI328" s="40" t="str">
        <f>IF(BG328=AY328,"• Same",IF(INDEX(B_VAL,MATCH(BG328,B_LVL,0))&gt;INDEX(B_VAL,MATCH(AY328,B_LVL,0)),"▲ Up","▼ Down"))</f>
        <v>• Same</v>
      </c>
      <c r="BJ328" s="40" t="str">
        <f>IF(OR($M328="",$M328="—",$M328="Not in this file"),"",IFERROR(INDEX($BG$7:$BG$592,MATCH($M328,$D$7:$D$592,0)),""))</f>
        <v>C2</v>
      </c>
      <c r="BK328" s="40" t="str">
        <f>IFERROR(IF(BJ328="","—",IF(OR(LEFT(BG328,1)="X",LEFT(BJ328,1)="X"),"—",IF(AND(LEFT(BG328,1)="E",LEFT(BJ328,1)="E"),"Exception · Band E",IF(AND(INDEX(B_VAL,MATCH(BJ328,B_LVL,0))&gt;=7,INDEX(B_RANK,MATCH(BG328,B_LVL,0))&gt;=INDEX(B_RANK,MATCH(BJ328,B_LVL,0))),"⚠ Same band as a head manager",IF(INDEX(B_VAL,MATCH(BG328,B_LVL,0))&gt;=INDEX(B_VAL,MATCH(BJ328,B_LVL,0)),"⚠ At or above the manager's level","OK"))))),"—")</f>
        <v>OK</v>
      </c>
      <c r="BL328" s="43" t="n"/>
      <c r="BM328" s="44">
        <f>IFERROR(INDEX(LMH_PTS,MATCH(Y328,LMH_KEY,0)),0)</f>
        <v>9</v>
      </c>
      <c r="BN328" s="38">
        <f>IFERROR(INDEX(LMH_PTS,MATCH(Z328,LMH_KEY,0)),0)</f>
        <v>3</v>
      </c>
      <c r="BO328" s="38">
        <f>IFERROR(INDEX(LMH_PTS,MATCH(AA328,LMH_KEY,0)),0)</f>
        <v>3</v>
      </c>
      <c r="BP328" s="38">
        <f>IFERROR(INDEX(LMH_PTS,MATCH(AB328,LMH_KEY,0)),0)</f>
        <v>1</v>
      </c>
      <c r="BQ328" s="38">
        <f>IFERROR(INDEX(LMH_PTS,MATCH(AC328,LMH_KEY,0)),0)</f>
        <v>1</v>
      </c>
      <c r="BR328" s="38">
        <f>IFERROR(INDEX(LMH_PTS,MATCH(AD328,LMH_KEY,0)),0)</f>
        <v>1</v>
      </c>
      <c r="BS328" s="38">
        <f>IFERROR(INDEX(LMH_PTS,MATCH(AE328,LMH_KEY,0)),0)</f>
        <v>1</v>
      </c>
      <c r="BT328" s="38">
        <f>IFERROR(INDEX(LMH_STEP,MATCH(AF328,LMH_KEY,0)),0)</f>
        <v>0</v>
      </c>
      <c r="BU328" s="38">
        <f>IFERROR(INDEX(LMH_STEP,MATCH(AG328,LMH_KEY,0)),0)</f>
        <v>0</v>
      </c>
      <c r="BV328" s="38">
        <f>IFERROR(INDEX(LMH_STEP,MATCH(AH328,LMH_KEY,0)),0)</f>
        <v>0</v>
      </c>
      <c r="BW328" s="38">
        <f>IFERROR(INDEX(LMH_STEP,MATCH(AI328,LMH_KEY,0)),0)</f>
        <v>0</v>
      </c>
      <c r="BX328" s="38">
        <f>IFERROR(INDEX(LMH_STEP,MATCH(AJ328,LMH_KEY,0)),0)</f>
        <v>0</v>
      </c>
      <c r="BY328" s="38">
        <f>IFERROR(INDEX(LMH_STEP,MATCH(AK328,LMH_KEY,0)),0)</f>
        <v>0</v>
      </c>
      <c r="BZ328" s="38">
        <f>IFERROR(INDEX(LMH_STEP,MATCH(AL328,LMH_KEY,0)),0)</f>
        <v>0</v>
      </c>
      <c r="CA328" s="38" t="inlineStr">
        <is>
          <t>iFile|Product Management|Senior Product Manager|B3|B-IC</t>
        </is>
      </c>
    </row>
    <row r="329" ht="110" customHeight="1">
      <c r="A329" s="28" t="inlineStr">
        <is>
          <t>iFile</t>
        </is>
      </c>
      <c r="B329" s="29" t="inlineStr">
        <is>
          <t>Technology</t>
        </is>
      </c>
      <c r="C329" s="29" t="n">
        <v>3</v>
      </c>
      <c r="D329" s="29" t="inlineStr">
        <is>
          <t>IRIS2497</t>
        </is>
      </c>
      <c r="E329" s="29" t="inlineStr">
        <is>
          <t>Tarun Kumar Mittal</t>
        </is>
      </c>
      <c r="F329" s="29" t="inlineStr">
        <is>
          <t>Senior Project Manager</t>
        </is>
      </c>
      <c r="G329" s="29" t="inlineStr">
        <is>
          <t>Program Manager</t>
        </is>
      </c>
      <c r="H329" s="29" t="inlineStr">
        <is>
          <t>Project &amp; Program Management</t>
        </is>
      </c>
      <c r="I329" s="29" t="inlineStr">
        <is>
          <t>Project &amp; Program Delivery</t>
        </is>
      </c>
      <c r="J329" s="29" t="inlineStr">
        <is>
          <t>IC</t>
        </is>
      </c>
      <c r="K329" s="29" t="inlineStr">
        <is>
          <t>RC-137</t>
        </is>
      </c>
      <c r="L329" s="29" t="inlineStr">
        <is>
          <t>Pradip Dey</t>
        </is>
      </c>
      <c r="M329" s="29" t="inlineStr">
        <is>
          <t>IRISC223</t>
        </is>
      </c>
      <c r="N329" s="29" t="n">
        <v>18.5</v>
      </c>
      <c r="O329" s="29" t="n">
        <v>0.5</v>
      </c>
      <c r="P329" s="29" t="inlineStr">
        <is>
          <t>B.Tech</t>
        </is>
      </c>
      <c r="Q329" s="29" t="inlineStr">
        <is>
          <t>L5 – Manager</t>
        </is>
      </c>
      <c r="R329" s="29" t="inlineStr">
        <is>
          <t>B3</t>
        </is>
      </c>
      <c r="S329" s="30" t="inlineStr">
        <is>
          <t>0 of 20</t>
        </is>
      </c>
      <c r="T329" s="31" t="inlineStr">
        <is>
          <t>Complexity: Evidence reads like B1: Manager note only: product management of iFile TMS/CMS; still gaining tax-domain understanding → moved down 0.5
Autonomy: Evidence: no survey answers or KRAs on file → rating stays at the start
Accountability: Evidence reads like B1: Manager note: platform demo readiness and TMS/CMS release plan, shared with two …</t>
        </is>
      </c>
      <c r="U329" s="31" t="inlineStr">
        <is>
          <t>Received · manager annual, quarterly · 1. Product Management
Gain thorough understanding of all the iFile product components and SupTech/RegTech domain
Gain expert level understanding of Tax domain, case mgmt system 
Make the iFile Platform ready in all aspects to be able to demonstrate to the prospects/existing clients · especially TMS/CMS
Manage product …</t>
        </is>
      </c>
      <c r="V329" s="31" t="inlineStr">
        <is>
          <t>Latest rating: 3 · Potential: Medium · 9-box: Core Contributor · Readiness: Develop in role</t>
        </is>
      </c>
      <c r="W329" s="31" t="inlineStr">
        <is>
          <t>C M · Au M · Ac M · L L · BI M · Exp H · 18.5 yrs vs 8–12 yrs · Edu L · B.Tech</t>
        </is>
      </c>
      <c r="X329" s="33" t="inlineStr">
        <is>
          <t>Open ▸</t>
        </is>
      </c>
      <c r="Y329" s="34" t="str">
        <f>IFERROR(INDEX(DL_C,MATCH($CA329,DL_KEY,0)),"M")</f>
        <v>H</v>
      </c>
      <c r="Z329" s="35" t="str">
        <f>IFERROR(INDEX(DL_Au,MATCH($CA329,DL_KEY,0)),"M")</f>
        <v>M</v>
      </c>
      <c r="AA329" s="35" t="str">
        <f>IFERROR(INDEX(DL_Ac,MATCH($CA329,DL_KEY,0)),"M")</f>
        <v>L</v>
      </c>
      <c r="AB329" s="35" t="str">
        <f>IFERROR(INDEX(DL_L,MATCH($CA329,DL_KEY,0)),"M")</f>
        <v>L</v>
      </c>
      <c r="AC329" s="35" t="str">
        <f>IFERROR(INDEX(DL_BI,MATCH($CA329,DL_KEY,0)),"M")</f>
        <v>L</v>
      </c>
      <c r="AD329" s="35" t="str">
        <f>IFERROR(INDEX(DL_Exp,MATCH($CA329,DL_KEY,0)),"M")</f>
        <v>L</v>
      </c>
      <c r="AE329" s="35" t="str">
        <f>IFERROR(INDEX(DL_Edu,MATCH($CA329,DL_KEY,0)),"M")</f>
        <v>L</v>
      </c>
      <c r="AF329" s="34" t="inlineStr">
        <is>
          <t>M</t>
        </is>
      </c>
      <c r="AG329" s="35" t="inlineStr">
        <is>
          <t>M</t>
        </is>
      </c>
      <c r="AH329" s="35" t="inlineStr">
        <is>
          <t>M</t>
        </is>
      </c>
      <c r="AI329" s="35" t="inlineStr">
        <is>
          <t>M</t>
        </is>
      </c>
      <c r="AJ329" s="35" t="inlineStr">
        <is>
          <t>M</t>
        </is>
      </c>
      <c r="AK329" s="35" t="inlineStr">
        <is>
          <t>M</t>
        </is>
      </c>
      <c r="AL329" s="35" t="inlineStr">
        <is>
          <t>M</t>
        </is>
      </c>
      <c r="AM329" s="36" t="n">
        <v>0.513</v>
      </c>
      <c r="AN329" s="37" t="n">
        <v>0.173</v>
      </c>
      <c r="AO329" s="37" t="n">
        <v>0.09699999999999999</v>
      </c>
      <c r="AP329" s="37" t="n">
        <v>0.05</v>
      </c>
      <c r="AQ329" s="37" t="n">
        <v>0.07000000000000001</v>
      </c>
      <c r="AR329" s="37" t="n">
        <v>0.06</v>
      </c>
      <c r="AS329" s="37" t="n">
        <v>0.04</v>
      </c>
      <c r="AT329" s="38" t="inlineStr">
        <is>
          <t>8–13</t>
        </is>
      </c>
      <c r="AU329" s="38" t="inlineStr">
        <is>
          <t>Postgraduate or professional qualification preferred</t>
        </is>
      </c>
      <c r="AV329" s="38" t="inlineStr">
        <is>
          <t>IC: none · People: 5–8 incl. team leads</t>
        </is>
      </c>
      <c r="AW329" s="38" t="inlineStr">
        <is>
          <t>P5 / M4 · SFIA 5 Ensure, advise</t>
        </is>
      </c>
      <c r="AX32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29" s="39" t="inlineStr">
        <is>
          <t>B3</t>
        </is>
      </c>
      <c r="AZ329" s="40" t="inlineStr">
        <is>
          <t>Band B · Specialist / Manager · Lead Specialist</t>
        </is>
      </c>
      <c r="BA329" s="40" t="inlineStr">
        <is>
          <t>Model B3 from the six ratings, the market-derived weights and rules R1–R13 · then No change · already below the manager</t>
        </is>
      </c>
      <c r="BB329" s="41" t="inlineStr">
        <is>
          <t>B3</t>
        </is>
      </c>
      <c r="BC329" s="40" t="inlineStr">
        <is>
          <t>The six ratings on the market-average weights of Band B · Specialist / POD Lead score 5.97 → B3 · Hay, Mercer IPE and public plans · experience 18.5 yrs vs the B3 market range 8–13</t>
        </is>
      </c>
      <c r="BD329" s="42">
        <f>IF(SUM(BM329,BN329,BO329,BP329,BQ329,BR329,BS329)=0,0,(BM329*BT329+BN329*BU329+BO329*BV329+BP329*BW329+BQ329*BX329+BR329*BY329+BS329*BZ329)/SUM(BM329,BN329,BO329,BP329,BQ329,BR329,BS329))</f>
        <v>0</v>
      </c>
      <c r="BE329" s="41" t="str">
        <f>IF(LEFT(AY329,1)="X",AY329,IF(OR(AY329="B+",AY329="C+"),INDEX(LAD_PC,MAX(1,MIN(14,MATCH(AY329,LAD_PC,0)+IF(BD329&gt;=0.5,1,IF(BD329&lt;=-0.5,-1,0))))),INDEX(LAD_STD,MAX(1,MIN(12,MATCH(AY329,LAD_STD,0)+IF(BD329&gt;=0.5,1,IF(BD329&lt;=-0.5,-1,0)))))))</f>
        <v>B3</v>
      </c>
      <c r="BF329" s="43" t="n"/>
      <c r="BG329" s="41" t="str">
        <f>IF(BF329&lt;&gt;"",BF329,BE329)</f>
        <v>B3</v>
      </c>
      <c r="BH329" s="40" t="str">
        <f>IFERROR(CHOOSE(INDEX(B_RANK,MATCH(BG329,B_LVL,0)),"Band A","Band B","B+ · Player-Coach","Band C","C+ · Player-Coach","Band D","Band E"),"Band X · Consultant")</f>
        <v>Band B</v>
      </c>
      <c r="BI329" s="40" t="str">
        <f>IF(BG329=AY329,"• Same",IF(INDEX(B_VAL,MATCH(BG329,B_LVL,0))&gt;INDEX(B_VAL,MATCH(AY329,B_LVL,0)),"▲ Up","▼ Down"))</f>
        <v>• Same</v>
      </c>
      <c r="BJ329" s="40" t="str">
        <f>IF(OR($M329="",$M329="—",$M329="Not in this file"),"",IFERROR(INDEX($BG$7:$BG$592,MATCH($M329,$D$7:$D$592,0)),""))</f>
        <v>C2</v>
      </c>
      <c r="BK329" s="40" t="str">
        <f>IFERROR(IF(BJ329="","—",IF(OR(LEFT(BG329,1)="X",LEFT(BJ329,1)="X"),"—",IF(AND(LEFT(BG329,1)="E",LEFT(BJ329,1)="E"),"Exception · Band E",IF(AND(INDEX(B_VAL,MATCH(BJ329,B_LVL,0))&gt;=7,INDEX(B_RANK,MATCH(BG329,B_LVL,0))&gt;=INDEX(B_RANK,MATCH(BJ329,B_LVL,0))),"⚠ Same band as a head manager",IF(INDEX(B_VAL,MATCH(BG329,B_LVL,0))&gt;=INDEX(B_VAL,MATCH(BJ329,B_LVL,0)),"⚠ At or above the manager's level","OK"))))),"—")</f>
        <v>OK</v>
      </c>
      <c r="BL329" s="43" t="n"/>
      <c r="BM329" s="44">
        <f>IFERROR(INDEX(LMH_PTS,MATCH(Y329,LMH_KEY,0)),0)</f>
        <v>9</v>
      </c>
      <c r="BN329" s="38">
        <f>IFERROR(INDEX(LMH_PTS,MATCH(Z329,LMH_KEY,0)),0)</f>
        <v>3</v>
      </c>
      <c r="BO329" s="38">
        <f>IFERROR(INDEX(LMH_PTS,MATCH(AA329,LMH_KEY,0)),0)</f>
        <v>1</v>
      </c>
      <c r="BP329" s="38">
        <f>IFERROR(INDEX(LMH_PTS,MATCH(AB329,LMH_KEY,0)),0)</f>
        <v>1</v>
      </c>
      <c r="BQ329" s="38">
        <f>IFERROR(INDEX(LMH_PTS,MATCH(AC329,LMH_KEY,0)),0)</f>
        <v>1</v>
      </c>
      <c r="BR329" s="38">
        <f>IFERROR(INDEX(LMH_PTS,MATCH(AD329,LMH_KEY,0)),0)</f>
        <v>1</v>
      </c>
      <c r="BS329" s="38">
        <f>IFERROR(INDEX(LMH_PTS,MATCH(AE329,LMH_KEY,0)),0)</f>
        <v>1</v>
      </c>
      <c r="BT329" s="38">
        <f>IFERROR(INDEX(LMH_STEP,MATCH(AF329,LMH_KEY,0)),0)</f>
        <v>0</v>
      </c>
      <c r="BU329" s="38">
        <f>IFERROR(INDEX(LMH_STEP,MATCH(AG329,LMH_KEY,0)),0)</f>
        <v>0</v>
      </c>
      <c r="BV329" s="38">
        <f>IFERROR(INDEX(LMH_STEP,MATCH(AH329,LMH_KEY,0)),0)</f>
        <v>0</v>
      </c>
      <c r="BW329" s="38">
        <f>IFERROR(INDEX(LMH_STEP,MATCH(AI329,LMH_KEY,0)),0)</f>
        <v>0</v>
      </c>
      <c r="BX329" s="38">
        <f>IFERROR(INDEX(LMH_STEP,MATCH(AJ329,LMH_KEY,0)),0)</f>
        <v>0</v>
      </c>
      <c r="BY329" s="38">
        <f>IFERROR(INDEX(LMH_STEP,MATCH(AK329,LMH_KEY,0)),0)</f>
        <v>0</v>
      </c>
      <c r="BZ329" s="38">
        <f>IFERROR(INDEX(LMH_STEP,MATCH(AL329,LMH_KEY,0)),0)</f>
        <v>0</v>
      </c>
      <c r="CA329" s="38" t="inlineStr">
        <is>
          <t>iFile|Technology|Program Manager|B3|B-IC</t>
        </is>
      </c>
    </row>
    <row r="330" ht="110" customHeight="1">
      <c r="A330" s="28" t="inlineStr">
        <is>
          <t>Corporate</t>
        </is>
      </c>
      <c r="B330" s="29" t="inlineStr">
        <is>
          <t>Technology</t>
        </is>
      </c>
      <c r="C330" s="29" t="n">
        <v>3</v>
      </c>
      <c r="D330" s="29" t="inlineStr">
        <is>
          <t>IRISC344</t>
        </is>
      </c>
      <c r="E330" s="29" t="inlineStr">
        <is>
          <t>Vikas Thakur</t>
        </is>
      </c>
      <c r="F330" s="29" t="inlineStr">
        <is>
          <t>Agile Coach</t>
        </is>
      </c>
      <c r="G330" s="29" t="inlineStr">
        <is>
          <t>Agile Coach</t>
        </is>
      </c>
      <c r="H330" s="29" t="inlineStr">
        <is>
          <t>Project &amp; Program Management</t>
        </is>
      </c>
      <c r="I330" s="29" t="inlineStr">
        <is>
          <t>PMO &amp; Delivery Excellence</t>
        </is>
      </c>
      <c r="J330" s="29" t="inlineStr">
        <is>
          <t>IC</t>
        </is>
      </c>
      <c r="K330" s="29" t="inlineStr">
        <is>
          <t>RC-133</t>
        </is>
      </c>
      <c r="L330" s="29" t="inlineStr">
        <is>
          <t>Pradip Dey</t>
        </is>
      </c>
      <c r="M330" s="29" t="inlineStr">
        <is>
          <t>IRISC223</t>
        </is>
      </c>
      <c r="N330" s="29" t="n">
        <v>11.4</v>
      </c>
      <c r="O330" s="29" t="n">
        <v>0.5</v>
      </c>
      <c r="P330" s="29" t="inlineStr">
        <is>
          <t>B.Tech</t>
        </is>
      </c>
      <c r="Q330" s="29" t="inlineStr">
        <is>
          <t>Not in current mapping files</t>
        </is>
      </c>
      <c r="R330" s="29" t="inlineStr">
        <is>
          <t>B3</t>
        </is>
      </c>
      <c r="S330" s="30" t="inlineStr">
        <is>
          <t>0 of 20</t>
        </is>
      </c>
      <c r="T330" s="31"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t>
        </is>
      </c>
      <c r="U330" s="32" t="inlineStr">
        <is>
          <t>KRAs not received · manager to supply</t>
        </is>
      </c>
      <c r="V330" s="31" t="inlineStr">
        <is>
          <t>Latest rating: Not rated · manager · 9-box: Not placed · manager · Readiness: No rating data</t>
        </is>
      </c>
      <c r="W330" s="31" t="inlineStr">
        <is>
          <t>C M · Au M · Ac M · L L · BI M · Exp M · 11.4 yrs vs 8–12 yrs · Edu L · B.Tech</t>
        </is>
      </c>
      <c r="X330" s="33" t="inlineStr">
        <is>
          <t>Open ▸</t>
        </is>
      </c>
      <c r="Y330" s="34" t="str">
        <f>IFERROR(INDEX(DL_C,MATCH($CA330,DL_KEY,0)),"M")</f>
        <v>H</v>
      </c>
      <c r="Z330" s="35" t="str">
        <f>IFERROR(INDEX(DL_Au,MATCH($CA330,DL_KEY,0)),"M")</f>
        <v>M</v>
      </c>
      <c r="AA330" s="35" t="str">
        <f>IFERROR(INDEX(DL_Ac,MATCH($CA330,DL_KEY,0)),"M")</f>
        <v>L</v>
      </c>
      <c r="AB330" s="35" t="str">
        <f>IFERROR(INDEX(DL_L,MATCH($CA330,DL_KEY,0)),"M")</f>
        <v>L</v>
      </c>
      <c r="AC330" s="35" t="str">
        <f>IFERROR(INDEX(DL_BI,MATCH($CA330,DL_KEY,0)),"M")</f>
        <v>L</v>
      </c>
      <c r="AD330" s="35" t="str">
        <f>IFERROR(INDEX(DL_Exp,MATCH($CA330,DL_KEY,0)),"M")</f>
        <v>L</v>
      </c>
      <c r="AE330" s="35" t="str">
        <f>IFERROR(INDEX(DL_Edu,MATCH($CA330,DL_KEY,0)),"M")</f>
        <v>L</v>
      </c>
      <c r="AF330" s="34" t="inlineStr">
        <is>
          <t>M</t>
        </is>
      </c>
      <c r="AG330" s="35" t="inlineStr">
        <is>
          <t>M</t>
        </is>
      </c>
      <c r="AH330" s="35" t="inlineStr">
        <is>
          <t>M</t>
        </is>
      </c>
      <c r="AI330" s="35" t="inlineStr">
        <is>
          <t>M</t>
        </is>
      </c>
      <c r="AJ330" s="35" t="inlineStr">
        <is>
          <t>M</t>
        </is>
      </c>
      <c r="AK330" s="35" t="inlineStr">
        <is>
          <t>M</t>
        </is>
      </c>
      <c r="AL330" s="35" t="inlineStr">
        <is>
          <t>M</t>
        </is>
      </c>
      <c r="AM330" s="36" t="n">
        <v>0.513</v>
      </c>
      <c r="AN330" s="37" t="n">
        <v>0.173</v>
      </c>
      <c r="AO330" s="37" t="n">
        <v>0.09699999999999999</v>
      </c>
      <c r="AP330" s="37" t="n">
        <v>0.05</v>
      </c>
      <c r="AQ330" s="37" t="n">
        <v>0.07000000000000001</v>
      </c>
      <c r="AR330" s="37" t="n">
        <v>0.06</v>
      </c>
      <c r="AS330" s="37" t="n">
        <v>0.04</v>
      </c>
      <c r="AT330" s="38" t="inlineStr">
        <is>
          <t>8–13</t>
        </is>
      </c>
      <c r="AU330" s="38" t="inlineStr">
        <is>
          <t>Postgraduate or professional qualification preferred</t>
        </is>
      </c>
      <c r="AV330" s="38" t="inlineStr">
        <is>
          <t>IC: none · People: 5–8 incl. team leads</t>
        </is>
      </c>
      <c r="AW330" s="38" t="inlineStr">
        <is>
          <t>P5 / M4 · SFIA 5 Ensure, advise</t>
        </is>
      </c>
      <c r="AX33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30" s="39" t="inlineStr">
        <is>
          <t>B3</t>
        </is>
      </c>
      <c r="AZ330" s="40" t="inlineStr">
        <is>
          <t>Band B · Specialist / Manager · Lead Specialist</t>
        </is>
      </c>
      <c r="BA330" s="40" t="inlineStr">
        <is>
          <t>Model B3 from the six ratings, the market-derived weights and rules R1–R13 · then No change · already below the manager</t>
        </is>
      </c>
      <c r="BB330" s="41" t="inlineStr">
        <is>
          <t>B3</t>
        </is>
      </c>
      <c r="BC330" s="40" t="inlineStr">
        <is>
          <t>The six ratings on the market-average weights of Band B · Specialist / POD Lead score 6.00 → B3 · Hay, Mercer IPE and public plans · experience 11.4 yrs vs the B3 market range 8–13</t>
        </is>
      </c>
      <c r="BD330" s="42">
        <f>IF(SUM(BM330,BN330,BO330,BP330,BQ330,BR330,BS330)=0,0,(BM330*BT330+BN330*BU330+BO330*BV330+BP330*BW330+BQ330*BX330+BR330*BY330+BS330*BZ330)/SUM(BM330,BN330,BO330,BP330,BQ330,BR330,BS330))</f>
        <v>0</v>
      </c>
      <c r="BE330" s="41" t="str">
        <f>IF(LEFT(AY330,1)="X",AY330,IF(OR(AY330="B+",AY330="C+"),INDEX(LAD_PC,MAX(1,MIN(14,MATCH(AY330,LAD_PC,0)+IF(BD330&gt;=0.5,1,IF(BD330&lt;=-0.5,-1,0))))),INDEX(LAD_STD,MAX(1,MIN(12,MATCH(AY330,LAD_STD,0)+IF(BD330&gt;=0.5,1,IF(BD330&lt;=-0.5,-1,0)))))))</f>
        <v>B3</v>
      </c>
      <c r="BF330" s="43" t="n"/>
      <c r="BG330" s="41" t="str">
        <f>IF(BF330&lt;&gt;"",BF330,BE330)</f>
        <v>B3</v>
      </c>
      <c r="BH330" s="40" t="str">
        <f>IFERROR(CHOOSE(INDEX(B_RANK,MATCH(BG330,B_LVL,0)),"Band A","Band B","B+ · Player-Coach","Band C","C+ · Player-Coach","Band D","Band E"),"Band X · Consultant")</f>
        <v>Band B</v>
      </c>
      <c r="BI330" s="40" t="str">
        <f>IF(BG330=AY330,"• Same",IF(INDEX(B_VAL,MATCH(BG330,B_LVL,0))&gt;INDEX(B_VAL,MATCH(AY330,B_LVL,0)),"▲ Up","▼ Down"))</f>
        <v>• Same</v>
      </c>
      <c r="BJ330" s="40" t="str">
        <f>IF(OR($M330="",$M330="—",$M330="Not in this file"),"",IFERROR(INDEX($BG$7:$BG$592,MATCH($M330,$D$7:$D$592,0)),""))</f>
        <v>C2</v>
      </c>
      <c r="BK330" s="40" t="str">
        <f>IFERROR(IF(BJ330="","—",IF(OR(LEFT(BG330,1)="X",LEFT(BJ330,1)="X"),"—",IF(AND(LEFT(BG330,1)="E",LEFT(BJ330,1)="E"),"Exception · Band E",IF(AND(INDEX(B_VAL,MATCH(BJ330,B_LVL,0))&gt;=7,INDEX(B_RANK,MATCH(BG330,B_LVL,0))&gt;=INDEX(B_RANK,MATCH(BJ330,B_LVL,0))),"⚠ Same band as a head manager",IF(INDEX(B_VAL,MATCH(BG330,B_LVL,0))&gt;=INDEX(B_VAL,MATCH(BJ330,B_LVL,0)),"⚠ At or above the manager's level","OK"))))),"—")</f>
        <v>OK</v>
      </c>
      <c r="BL330" s="43" t="n"/>
      <c r="BM330" s="44">
        <f>IFERROR(INDEX(LMH_PTS,MATCH(Y330,LMH_KEY,0)),0)</f>
        <v>9</v>
      </c>
      <c r="BN330" s="38">
        <f>IFERROR(INDEX(LMH_PTS,MATCH(Z330,LMH_KEY,0)),0)</f>
        <v>3</v>
      </c>
      <c r="BO330" s="38">
        <f>IFERROR(INDEX(LMH_PTS,MATCH(AA330,LMH_KEY,0)),0)</f>
        <v>1</v>
      </c>
      <c r="BP330" s="38">
        <f>IFERROR(INDEX(LMH_PTS,MATCH(AB330,LMH_KEY,0)),0)</f>
        <v>1</v>
      </c>
      <c r="BQ330" s="38">
        <f>IFERROR(INDEX(LMH_PTS,MATCH(AC330,LMH_KEY,0)),0)</f>
        <v>1</v>
      </c>
      <c r="BR330" s="38">
        <f>IFERROR(INDEX(LMH_PTS,MATCH(AD330,LMH_KEY,0)),0)</f>
        <v>1</v>
      </c>
      <c r="BS330" s="38">
        <f>IFERROR(INDEX(LMH_PTS,MATCH(AE330,LMH_KEY,0)),0)</f>
        <v>1</v>
      </c>
      <c r="BT330" s="38">
        <f>IFERROR(INDEX(LMH_STEP,MATCH(AF330,LMH_KEY,0)),0)</f>
        <v>0</v>
      </c>
      <c r="BU330" s="38">
        <f>IFERROR(INDEX(LMH_STEP,MATCH(AG330,LMH_KEY,0)),0)</f>
        <v>0</v>
      </c>
      <c r="BV330" s="38">
        <f>IFERROR(INDEX(LMH_STEP,MATCH(AH330,LMH_KEY,0)),0)</f>
        <v>0</v>
      </c>
      <c r="BW330" s="38">
        <f>IFERROR(INDEX(LMH_STEP,MATCH(AI330,LMH_KEY,0)),0)</f>
        <v>0</v>
      </c>
      <c r="BX330" s="38">
        <f>IFERROR(INDEX(LMH_STEP,MATCH(AJ330,LMH_KEY,0)),0)</f>
        <v>0</v>
      </c>
      <c r="BY330" s="38">
        <f>IFERROR(INDEX(LMH_STEP,MATCH(AK330,LMH_KEY,0)),0)</f>
        <v>0</v>
      </c>
      <c r="BZ330" s="38">
        <f>IFERROR(INDEX(LMH_STEP,MATCH(AL330,LMH_KEY,0)),0)</f>
        <v>0</v>
      </c>
      <c r="CA330" s="38" t="inlineStr">
        <is>
          <t>Corporate|Technology|Agile Coach|B3|B-IC</t>
        </is>
      </c>
    </row>
    <row r="331" ht="110" customHeight="1">
      <c r="A331" s="28" t="inlineStr">
        <is>
          <t>iFile</t>
        </is>
      </c>
      <c r="B331" s="29" t="inlineStr">
        <is>
          <t>Technology</t>
        </is>
      </c>
      <c r="C331" s="29" t="n">
        <v>3</v>
      </c>
      <c r="D331" s="29" t="inlineStr">
        <is>
          <t>IRIS1773</t>
        </is>
      </c>
      <c r="E331" s="29" t="inlineStr">
        <is>
          <t>Virendra Kumar Ray</t>
        </is>
      </c>
      <c r="F331" s="29" t="inlineStr">
        <is>
          <t>Technical Architect</t>
        </is>
      </c>
      <c r="G331" s="29" t="inlineStr">
        <is>
          <t>Associate Technical Architect</t>
        </is>
      </c>
      <c r="H331" s="29" t="inlineStr">
        <is>
          <t>Engineering &amp; Architecture</t>
        </is>
      </c>
      <c r="I331" s="29" t="inlineStr">
        <is>
          <t>Solution &amp; Technical Architecture</t>
        </is>
      </c>
      <c r="J331" s="29" t="inlineStr">
        <is>
          <t>IC</t>
        </is>
      </c>
      <c r="K331" s="29" t="inlineStr">
        <is>
          <t>RC-055</t>
        </is>
      </c>
      <c r="L331" s="29" t="inlineStr">
        <is>
          <t>Pradip Dey</t>
        </is>
      </c>
      <c r="M331" s="29" t="inlineStr">
        <is>
          <t>IRISC223</t>
        </is>
      </c>
      <c r="N331" s="29" t="n">
        <v>18.6</v>
      </c>
      <c r="O331" s="29" t="n">
        <v>7.5</v>
      </c>
      <c r="P331" s="29" t="inlineStr">
        <is>
          <t>B.E</t>
        </is>
      </c>
      <c r="Q331" s="29" t="inlineStr">
        <is>
          <t>Not in current mapping files</t>
        </is>
      </c>
      <c r="R331" s="29" t="inlineStr">
        <is>
          <t>B3</t>
        </is>
      </c>
      <c r="S331" s="30" t="inlineStr">
        <is>
          <t>20 of 20</t>
        </is>
      </c>
      <c r="T331" s="31" t="inlineStr">
        <is>
          <t>Complexity: Evidence reads like B2: Combines project management, project architecture and design documents, business analysis, SIT integration planning and deployment → moved down 1
Autonomy: Evidence reads like B2: Accepts or rejects changes, plans change requests, approves leave, makes the deployment plan → moved down 1
Accountability: Evidence reads like …</t>
        </is>
      </c>
      <c r="U331" s="32" t="inlineStr">
        <is>
          <t>KRAs not received · manager to supply</t>
        </is>
      </c>
      <c r="V331" s="31" t="inlineStr">
        <is>
          <t>Latest rating: Not rated · manager · 9-box: Not placed · manager · Readiness: No rating data</t>
        </is>
      </c>
      <c r="W331" s="31" t="inlineStr">
        <is>
          <t>C M · Au M · Ac M · L L · BI M · Exp H · 18.6 yrs vs 8–12 yrs · Edu L · B.E</t>
        </is>
      </c>
      <c r="X331" s="33" t="inlineStr">
        <is>
          <t>Open ▸</t>
        </is>
      </c>
      <c r="Y331" s="34" t="str">
        <f>IFERROR(INDEX(DL_C,MATCH($CA331,DL_KEY,0)),"M")</f>
        <v>H</v>
      </c>
      <c r="Z331" s="35" t="str">
        <f>IFERROR(INDEX(DL_Au,MATCH($CA331,DL_KEY,0)),"M")</f>
        <v>M</v>
      </c>
      <c r="AA331" s="35" t="str">
        <f>IFERROR(INDEX(DL_Ac,MATCH($CA331,DL_KEY,0)),"M")</f>
        <v>L</v>
      </c>
      <c r="AB331" s="35" t="str">
        <f>IFERROR(INDEX(DL_L,MATCH($CA331,DL_KEY,0)),"M")</f>
        <v>L</v>
      </c>
      <c r="AC331" s="35" t="str">
        <f>IFERROR(INDEX(DL_BI,MATCH($CA331,DL_KEY,0)),"M")</f>
        <v>L</v>
      </c>
      <c r="AD331" s="35" t="str">
        <f>IFERROR(INDEX(DL_Exp,MATCH($CA331,DL_KEY,0)),"M")</f>
        <v>L</v>
      </c>
      <c r="AE331" s="35" t="str">
        <f>IFERROR(INDEX(DL_Edu,MATCH($CA331,DL_KEY,0)),"M")</f>
        <v>L</v>
      </c>
      <c r="AF331" s="34" t="inlineStr">
        <is>
          <t>M</t>
        </is>
      </c>
      <c r="AG331" s="35" t="inlineStr">
        <is>
          <t>M</t>
        </is>
      </c>
      <c r="AH331" s="35" t="inlineStr">
        <is>
          <t>M</t>
        </is>
      </c>
      <c r="AI331" s="35" t="inlineStr">
        <is>
          <t>M</t>
        </is>
      </c>
      <c r="AJ331" s="35" t="inlineStr">
        <is>
          <t>M</t>
        </is>
      </c>
      <c r="AK331" s="35" t="inlineStr">
        <is>
          <t>M</t>
        </is>
      </c>
      <c r="AL331" s="35" t="inlineStr">
        <is>
          <t>M</t>
        </is>
      </c>
      <c r="AM331" s="36" t="n">
        <v>0.513</v>
      </c>
      <c r="AN331" s="37" t="n">
        <v>0.173</v>
      </c>
      <c r="AO331" s="37" t="n">
        <v>0.09699999999999999</v>
      </c>
      <c r="AP331" s="37" t="n">
        <v>0.05</v>
      </c>
      <c r="AQ331" s="37" t="n">
        <v>0.07000000000000001</v>
      </c>
      <c r="AR331" s="37" t="n">
        <v>0.06</v>
      </c>
      <c r="AS331" s="37" t="n">
        <v>0.04</v>
      </c>
      <c r="AT331" s="38" t="inlineStr">
        <is>
          <t>8–13</t>
        </is>
      </c>
      <c r="AU331" s="38" t="inlineStr">
        <is>
          <t>Postgraduate or professional qualification preferred</t>
        </is>
      </c>
      <c r="AV331" s="38" t="inlineStr">
        <is>
          <t>IC: none · People: 5–8 incl. team leads</t>
        </is>
      </c>
      <c r="AW331" s="38" t="inlineStr">
        <is>
          <t>P5 / M4 · SFIA 5 Ensure, advise</t>
        </is>
      </c>
      <c r="AX33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31" s="39" t="inlineStr">
        <is>
          <t>B3</t>
        </is>
      </c>
      <c r="AZ331" s="40" t="inlineStr">
        <is>
          <t>Band B · Specialist / Manager · Lead Specialist</t>
        </is>
      </c>
      <c r="BA331" s="40" t="inlineStr">
        <is>
          <t>Model B3 from the six ratings, the market-derived weights and rules R1–R13 · then No change · already below the manager</t>
        </is>
      </c>
      <c r="BB331" s="41" t="inlineStr">
        <is>
          <t>B3</t>
        </is>
      </c>
      <c r="BC331" s="40" t="inlineStr">
        <is>
          <t>The six ratings on the market-average weights of Band B · Specialist / POD Lead score 6.30 → B3 · Hay, Mercer IPE and public plans · experience 18.6 yrs vs the B3 market range 8–13</t>
        </is>
      </c>
      <c r="BD331" s="42">
        <f>IF(SUM(BM331,BN331,BO331,BP331,BQ331,BR331,BS331)=0,0,(BM331*BT331+BN331*BU331+BO331*BV331+BP331*BW331+BQ331*BX331+BR331*BY331+BS331*BZ331)/SUM(BM331,BN331,BO331,BP331,BQ331,BR331,BS331))</f>
        <v>0</v>
      </c>
      <c r="BE331" s="41" t="str">
        <f>IF(LEFT(AY331,1)="X",AY331,IF(OR(AY331="B+",AY331="C+"),INDEX(LAD_PC,MAX(1,MIN(14,MATCH(AY331,LAD_PC,0)+IF(BD331&gt;=0.5,1,IF(BD331&lt;=-0.5,-1,0))))),INDEX(LAD_STD,MAX(1,MIN(12,MATCH(AY331,LAD_STD,0)+IF(BD331&gt;=0.5,1,IF(BD331&lt;=-0.5,-1,0)))))))</f>
        <v>B3</v>
      </c>
      <c r="BF331" s="43" t="n"/>
      <c r="BG331" s="41" t="str">
        <f>IF(BF331&lt;&gt;"",BF331,BE331)</f>
        <v>B3</v>
      </c>
      <c r="BH331" s="40" t="str">
        <f>IFERROR(CHOOSE(INDEX(B_RANK,MATCH(BG331,B_LVL,0)),"Band A","Band B","B+ · Player-Coach","Band C","C+ · Player-Coach","Band D","Band E"),"Band X · Consultant")</f>
        <v>Band B</v>
      </c>
      <c r="BI331" s="40" t="str">
        <f>IF(BG331=AY331,"• Same",IF(INDEX(B_VAL,MATCH(BG331,B_LVL,0))&gt;INDEX(B_VAL,MATCH(AY331,B_LVL,0)),"▲ Up","▼ Down"))</f>
        <v>• Same</v>
      </c>
      <c r="BJ331" s="40" t="str">
        <f>IF(OR($M331="",$M331="—",$M331="Not in this file"),"",IFERROR(INDEX($BG$7:$BG$592,MATCH($M331,$D$7:$D$592,0)),""))</f>
        <v>C2</v>
      </c>
      <c r="BK331" s="40" t="str">
        <f>IFERROR(IF(BJ331="","—",IF(OR(LEFT(BG331,1)="X",LEFT(BJ331,1)="X"),"—",IF(AND(LEFT(BG331,1)="E",LEFT(BJ331,1)="E"),"Exception · Band E",IF(AND(INDEX(B_VAL,MATCH(BJ331,B_LVL,0))&gt;=7,INDEX(B_RANK,MATCH(BG331,B_LVL,0))&gt;=INDEX(B_RANK,MATCH(BJ331,B_LVL,0))),"⚠ Same band as a head manager",IF(INDEX(B_VAL,MATCH(BG331,B_LVL,0))&gt;=INDEX(B_VAL,MATCH(BJ331,B_LVL,0)),"⚠ At or above the manager's level","OK"))))),"—")</f>
        <v>OK</v>
      </c>
      <c r="BL331" s="43" t="n"/>
      <c r="BM331" s="44">
        <f>IFERROR(INDEX(LMH_PTS,MATCH(Y331,LMH_KEY,0)),0)</f>
        <v>9</v>
      </c>
      <c r="BN331" s="38">
        <f>IFERROR(INDEX(LMH_PTS,MATCH(Z331,LMH_KEY,0)),0)</f>
        <v>3</v>
      </c>
      <c r="BO331" s="38">
        <f>IFERROR(INDEX(LMH_PTS,MATCH(AA331,LMH_KEY,0)),0)</f>
        <v>1</v>
      </c>
      <c r="BP331" s="38">
        <f>IFERROR(INDEX(LMH_PTS,MATCH(AB331,LMH_KEY,0)),0)</f>
        <v>1</v>
      </c>
      <c r="BQ331" s="38">
        <f>IFERROR(INDEX(LMH_PTS,MATCH(AC331,LMH_KEY,0)),0)</f>
        <v>1</v>
      </c>
      <c r="BR331" s="38">
        <f>IFERROR(INDEX(LMH_PTS,MATCH(AD331,LMH_KEY,0)),0)</f>
        <v>1</v>
      </c>
      <c r="BS331" s="38">
        <f>IFERROR(INDEX(LMH_PTS,MATCH(AE331,LMH_KEY,0)),0)</f>
        <v>1</v>
      </c>
      <c r="BT331" s="38">
        <f>IFERROR(INDEX(LMH_STEP,MATCH(AF331,LMH_KEY,0)),0)</f>
        <v>0</v>
      </c>
      <c r="BU331" s="38">
        <f>IFERROR(INDEX(LMH_STEP,MATCH(AG331,LMH_KEY,0)),0)</f>
        <v>0</v>
      </c>
      <c r="BV331" s="38">
        <f>IFERROR(INDEX(LMH_STEP,MATCH(AH331,LMH_KEY,0)),0)</f>
        <v>0</v>
      </c>
      <c r="BW331" s="38">
        <f>IFERROR(INDEX(LMH_STEP,MATCH(AI331,LMH_KEY,0)),0)</f>
        <v>0</v>
      </c>
      <c r="BX331" s="38">
        <f>IFERROR(INDEX(LMH_STEP,MATCH(AJ331,LMH_KEY,0)),0)</f>
        <v>0</v>
      </c>
      <c r="BY331" s="38">
        <f>IFERROR(INDEX(LMH_STEP,MATCH(AK331,LMH_KEY,0)),0)</f>
        <v>0</v>
      </c>
      <c r="BZ331" s="38">
        <f>IFERROR(INDEX(LMH_STEP,MATCH(AL331,LMH_KEY,0)),0)</f>
        <v>0</v>
      </c>
      <c r="CA331" s="38" t="inlineStr">
        <is>
          <t>iFile|Technology|Associate Technical Architect|B3|B-IC</t>
        </is>
      </c>
    </row>
    <row r="332" ht="110" customHeight="1">
      <c r="A332" s="28" t="inlineStr">
        <is>
          <t>iFile</t>
        </is>
      </c>
      <c r="B332" s="29" t="inlineStr">
        <is>
          <t>Quality Assurance</t>
        </is>
      </c>
      <c r="C332" s="29" t="n">
        <v>3</v>
      </c>
      <c r="D332" s="29" t="inlineStr">
        <is>
          <t>IRIS0728</t>
        </is>
      </c>
      <c r="E332" s="29" t="inlineStr">
        <is>
          <t>Davinder Pal Singh</t>
        </is>
      </c>
      <c r="F332" s="29" t="inlineStr">
        <is>
          <t>QA Manager</t>
        </is>
      </c>
      <c r="G332" s="29" t="inlineStr">
        <is>
          <t>Senior QA Manager</t>
        </is>
      </c>
      <c r="H332" s="29" t="inlineStr">
        <is>
          <t>Quality Assurance</t>
        </is>
      </c>
      <c r="I332" s="29" t="inlineStr">
        <is>
          <t>Test Management &amp; QA Leadership</t>
        </is>
      </c>
      <c r="J332" s="29" t="inlineStr">
        <is>
          <t>People Manager</t>
        </is>
      </c>
      <c r="K332" s="29" t="inlineStr">
        <is>
          <t>RC-148</t>
        </is>
      </c>
      <c r="L332" s="29" t="inlineStr">
        <is>
          <t>Pradip Dey</t>
        </is>
      </c>
      <c r="M332" s="29" t="inlineStr">
        <is>
          <t>IRISC223</t>
        </is>
      </c>
      <c r="N332" s="29" t="n">
        <v>16.7</v>
      </c>
      <c r="O332" s="29" t="n">
        <v>15.3</v>
      </c>
      <c r="P332" s="29" t="inlineStr">
        <is>
          <t>B.Tech</t>
        </is>
      </c>
      <c r="Q332" s="29" t="inlineStr">
        <is>
          <t>L5 – Manager</t>
        </is>
      </c>
      <c r="R332" s="29" t="inlineStr">
        <is>
          <t>B2</t>
        </is>
      </c>
      <c r="S332" s="30" t="inlineStr">
        <is>
          <t>20 of 20</t>
        </is>
      </c>
      <c r="T332" s="31" t="inlineStr">
        <is>
          <t>Complexity: Evidence reads like B2: KRA: test plan for entire iFile platform, automation drive, SBC project management, RCA of critical issues → matches the start
Autonomy: Evidence reads like B1: Survey names only 'approach for task completion'; project and test management implies team-level calls → moved down 0.5
Accountability: Evidence reads like B2: …</t>
        </is>
      </c>
      <c r="U332" s="31" t="inlineStr">
        <is>
          <t>Received · manager annual, quarterly · 1. QA Management
Ensure product functional/integration testing automated fully. Approx 80-90 % of product testing to be carried out automatically
Prepare Test Plan for the entire iFile platrom
Conduct periodic review of test cases and execution reports. Ensure we have a proper summary for QA activities in the team and …</t>
        </is>
      </c>
      <c r="V332" s="31" t="inlineStr">
        <is>
          <t>Latest rating: 4 · Potential: High · 9-box: Trusted Professional · Readiness: Ready now</t>
        </is>
      </c>
      <c r="W332" s="31" t="inlineStr">
        <is>
          <t>C M · Au M · Ac M · L M · BI M · Exp H · 16.7 yrs vs 6–9 yrs · Edu M · B.Tech</t>
        </is>
      </c>
      <c r="X332" s="33" t="inlineStr">
        <is>
          <t>Open ▸</t>
        </is>
      </c>
      <c r="Y332" s="34" t="str">
        <f>IFERROR(INDEX(DL_C,MATCH($CA332,DL_KEY,0)),"M")</f>
        <v>H</v>
      </c>
      <c r="Z332" s="35" t="str">
        <f>IFERROR(INDEX(DL_Au,MATCH($CA332,DL_KEY,0)),"M")</f>
        <v>M</v>
      </c>
      <c r="AA332" s="35" t="str">
        <f>IFERROR(INDEX(DL_Ac,MATCH($CA332,DL_KEY,0)),"M")</f>
        <v>L</v>
      </c>
      <c r="AB332" s="35" t="str">
        <f>IFERROR(INDEX(DL_L,MATCH($CA332,DL_KEY,0)),"M")</f>
        <v>M</v>
      </c>
      <c r="AC332" s="35" t="str">
        <f>IFERROR(INDEX(DL_BI,MATCH($CA332,DL_KEY,0)),"M")</f>
        <v>L</v>
      </c>
      <c r="AD332" s="35" t="str">
        <f>IFERROR(INDEX(DL_Exp,MATCH($CA332,DL_KEY,0)),"M")</f>
        <v>L</v>
      </c>
      <c r="AE332" s="35" t="str">
        <f>IFERROR(INDEX(DL_Edu,MATCH($CA332,DL_KEY,0)),"M")</f>
        <v>L</v>
      </c>
      <c r="AF332" s="34" t="inlineStr">
        <is>
          <t>M</t>
        </is>
      </c>
      <c r="AG332" s="35" t="inlineStr">
        <is>
          <t>M</t>
        </is>
      </c>
      <c r="AH332" s="35" t="inlineStr">
        <is>
          <t>M</t>
        </is>
      </c>
      <c r="AI332" s="35" t="inlineStr">
        <is>
          <t>M</t>
        </is>
      </c>
      <c r="AJ332" s="35" t="inlineStr">
        <is>
          <t>M</t>
        </is>
      </c>
      <c r="AK332" s="35" t="inlineStr">
        <is>
          <t>M</t>
        </is>
      </c>
      <c r="AL332" s="35" t="inlineStr">
        <is>
          <t>M</t>
        </is>
      </c>
      <c r="AM332" s="36" t="n">
        <v>0.37</v>
      </c>
      <c r="AN332" s="37" t="n">
        <v>0.183</v>
      </c>
      <c r="AO332" s="37" t="n">
        <v>0.113</v>
      </c>
      <c r="AP332" s="37" t="n">
        <v>0.15</v>
      </c>
      <c r="AQ332" s="37" t="n">
        <v>0.08699999999999999</v>
      </c>
      <c r="AR332" s="37" t="n">
        <v>0.06</v>
      </c>
      <c r="AS332" s="37" t="n">
        <v>0.04</v>
      </c>
      <c r="AT332" s="38" t="inlineStr">
        <is>
          <t>6–10</t>
        </is>
      </c>
      <c r="AU332" s="38" t="inlineStr">
        <is>
          <t>Graduate or postgraduate; professional qualification preferred</t>
        </is>
      </c>
      <c r="AV332" s="38" t="inlineStr">
        <is>
          <t>IC: none · People: 6–8 knowledge work, 8–12 standardised delivery</t>
        </is>
      </c>
      <c r="AW332" s="38" t="inlineStr">
        <is>
          <t>P4 / M3 · SFIA 4–5</t>
        </is>
      </c>
      <c r="AX33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32" s="39" t="inlineStr">
        <is>
          <t>B2</t>
        </is>
      </c>
      <c r="AZ332" s="40" t="inlineStr">
        <is>
          <t>Band B · Specialist / Manager · Manager</t>
        </is>
      </c>
      <c r="BA332" s="40" t="inlineStr">
        <is>
          <t>Model B2 from the six ratings, the market-derived weights and rules R1–R13 · then No change · already below the manager</t>
        </is>
      </c>
      <c r="BB332" s="41" t="inlineStr">
        <is>
          <t>B2</t>
        </is>
      </c>
      <c r="BC332" s="40" t="inlineStr">
        <is>
          <t>The six ratings on the market-average weights of Band B · People Manager score 5.43 → B2 · Hay, Mercer IPE and public plans · experience 16.7 yrs vs the B2 market range 6–10</t>
        </is>
      </c>
      <c r="BD332" s="42">
        <f>IF(SUM(BM332,BN332,BO332,BP332,BQ332,BR332,BS332)=0,0,(BM332*BT332+BN332*BU332+BO332*BV332+BP332*BW332+BQ332*BX332+BR332*BY332+BS332*BZ332)/SUM(BM332,BN332,BO332,BP332,BQ332,BR332,BS332))</f>
        <v>0</v>
      </c>
      <c r="BE332" s="41" t="str">
        <f>IF(LEFT(AY332,1)="X",AY332,IF(OR(AY332="B+",AY332="C+"),INDEX(LAD_PC,MAX(1,MIN(14,MATCH(AY332,LAD_PC,0)+IF(BD332&gt;=0.5,1,IF(BD332&lt;=-0.5,-1,0))))),INDEX(LAD_STD,MAX(1,MIN(12,MATCH(AY332,LAD_STD,0)+IF(BD332&gt;=0.5,1,IF(BD332&lt;=-0.5,-1,0)))))))</f>
        <v>B2</v>
      </c>
      <c r="BF332" s="43" t="n"/>
      <c r="BG332" s="41" t="str">
        <f>IF(BF332&lt;&gt;"",BF332,BE332)</f>
        <v>B2</v>
      </c>
      <c r="BH332" s="40" t="str">
        <f>IFERROR(CHOOSE(INDEX(B_RANK,MATCH(BG332,B_LVL,0)),"Band A","Band B","B+ · Player-Coach","Band C","C+ · Player-Coach","Band D","Band E"),"Band X · Consultant")</f>
        <v>Band B</v>
      </c>
      <c r="BI332" s="40" t="str">
        <f>IF(BG332=AY332,"• Same",IF(INDEX(B_VAL,MATCH(BG332,B_LVL,0))&gt;INDEX(B_VAL,MATCH(AY332,B_LVL,0)),"▲ Up","▼ Down"))</f>
        <v>• Same</v>
      </c>
      <c r="BJ332" s="40" t="str">
        <f>IF(OR($M332="",$M332="—",$M332="Not in this file"),"",IFERROR(INDEX($BG$7:$BG$592,MATCH($M332,$D$7:$D$592,0)),""))</f>
        <v>C2</v>
      </c>
      <c r="BK332" s="40" t="str">
        <f>IFERROR(IF(BJ332="","—",IF(OR(LEFT(BG332,1)="X",LEFT(BJ332,1)="X"),"—",IF(AND(LEFT(BG332,1)="E",LEFT(BJ332,1)="E"),"Exception · Band E",IF(AND(INDEX(B_VAL,MATCH(BJ332,B_LVL,0))&gt;=7,INDEX(B_RANK,MATCH(BG332,B_LVL,0))&gt;=INDEX(B_RANK,MATCH(BJ332,B_LVL,0))),"⚠ Same band as a head manager",IF(INDEX(B_VAL,MATCH(BG332,B_LVL,0))&gt;=INDEX(B_VAL,MATCH(BJ332,B_LVL,0)),"⚠ At or above the manager's level","OK"))))),"—")</f>
        <v>OK</v>
      </c>
      <c r="BL332" s="43" t="n"/>
      <c r="BM332" s="44">
        <f>IFERROR(INDEX(LMH_PTS,MATCH(Y332,LMH_KEY,0)),0)</f>
        <v>9</v>
      </c>
      <c r="BN332" s="38">
        <f>IFERROR(INDEX(LMH_PTS,MATCH(Z332,LMH_KEY,0)),0)</f>
        <v>3</v>
      </c>
      <c r="BO332" s="38">
        <f>IFERROR(INDEX(LMH_PTS,MATCH(AA332,LMH_KEY,0)),0)</f>
        <v>1</v>
      </c>
      <c r="BP332" s="38">
        <f>IFERROR(INDEX(LMH_PTS,MATCH(AB332,LMH_KEY,0)),0)</f>
        <v>3</v>
      </c>
      <c r="BQ332" s="38">
        <f>IFERROR(INDEX(LMH_PTS,MATCH(AC332,LMH_KEY,0)),0)</f>
        <v>1</v>
      </c>
      <c r="BR332" s="38">
        <f>IFERROR(INDEX(LMH_PTS,MATCH(AD332,LMH_KEY,0)),0)</f>
        <v>1</v>
      </c>
      <c r="BS332" s="38">
        <f>IFERROR(INDEX(LMH_PTS,MATCH(AE332,LMH_KEY,0)),0)</f>
        <v>1</v>
      </c>
      <c r="BT332" s="38">
        <f>IFERROR(INDEX(LMH_STEP,MATCH(AF332,LMH_KEY,0)),0)</f>
        <v>0</v>
      </c>
      <c r="BU332" s="38">
        <f>IFERROR(INDEX(LMH_STEP,MATCH(AG332,LMH_KEY,0)),0)</f>
        <v>0</v>
      </c>
      <c r="BV332" s="38">
        <f>IFERROR(INDEX(LMH_STEP,MATCH(AH332,LMH_KEY,0)),0)</f>
        <v>0</v>
      </c>
      <c r="BW332" s="38">
        <f>IFERROR(INDEX(LMH_STEP,MATCH(AI332,LMH_KEY,0)),0)</f>
        <v>0</v>
      </c>
      <c r="BX332" s="38">
        <f>IFERROR(INDEX(LMH_STEP,MATCH(AJ332,LMH_KEY,0)),0)</f>
        <v>0</v>
      </c>
      <c r="BY332" s="38">
        <f>IFERROR(INDEX(LMH_STEP,MATCH(AK332,LMH_KEY,0)),0)</f>
        <v>0</v>
      </c>
      <c r="BZ332" s="38">
        <f>IFERROR(INDEX(LMH_STEP,MATCH(AL332,LMH_KEY,0)),0)</f>
        <v>0</v>
      </c>
      <c r="CA332" s="38" t="inlineStr">
        <is>
          <t>iFile|Quality Assurance|Senior QA Manager|B2|B-M</t>
        </is>
      </c>
    </row>
    <row r="333" ht="110" customHeight="1">
      <c r="A333" s="28" t="inlineStr">
        <is>
          <t>iFile</t>
        </is>
      </c>
      <c r="B333" s="29" t="inlineStr">
        <is>
          <t>Quality Assurance</t>
        </is>
      </c>
      <c r="C333" s="29" t="n">
        <v>4</v>
      </c>
      <c r="D333" s="29" t="inlineStr">
        <is>
          <t>IRIS2115</t>
        </is>
      </c>
      <c r="E333" s="29" t="inlineStr">
        <is>
          <t>Sameer Joshi</t>
        </is>
      </c>
      <c r="F333" s="29" t="inlineStr">
        <is>
          <t>QA-Lead</t>
        </is>
      </c>
      <c r="G333" s="29" t="inlineStr">
        <is>
          <t>Senior QA Specialist – POD Lead</t>
        </is>
      </c>
      <c r="H333" s="29" t="inlineStr">
        <is>
          <t>Quality Assurance</t>
        </is>
      </c>
      <c r="I333" s="29" t="inlineStr">
        <is>
          <t>Test Management &amp; QA Leadership</t>
        </is>
      </c>
      <c r="J333" s="29" t="inlineStr">
        <is>
          <t>POD Lead</t>
        </is>
      </c>
      <c r="K333" s="29" t="inlineStr">
        <is>
          <t>RC-147</t>
        </is>
      </c>
      <c r="L333" s="29" t="inlineStr">
        <is>
          <t>Davinder Pal Singh</t>
        </is>
      </c>
      <c r="M333" s="29" t="inlineStr">
        <is>
          <t>IRIS0728</t>
        </is>
      </c>
      <c r="N333" s="29" t="n">
        <v>19.4</v>
      </c>
      <c r="O333" s="29" t="n">
        <v>3.4</v>
      </c>
      <c r="P333" s="29" t="inlineStr">
        <is>
          <t>B.SC</t>
        </is>
      </c>
      <c r="Q333" s="29" t="inlineStr">
        <is>
          <t>L5 – Lead · IC</t>
        </is>
      </c>
      <c r="R333" s="29" t="inlineStr">
        <is>
          <t>B2</t>
        </is>
      </c>
      <c r="S333" s="30" t="inlineStr">
        <is>
          <t>20 of 20</t>
        </is>
      </c>
      <c r="T333" s="31" t="inlineStr">
        <is>
          <t>Complexity: Evidence reads like B1: Chooses and builds automation frameworks; test strategy; JMeter; NFR test strategy for iFile · KRA → matches the start
Autonomy: Evidence reads like B1: Decides automation frameworks independently; plans test strategy for projects → matches the start
Accountability: Evidence reads like B1: Owns automation framework, …</t>
        </is>
      </c>
      <c r="U333" s="31" t="inlineStr">
        <is>
          <t>Received · manager annual, quarterly, self · 1. Successfully led the Automation team and managed the SARB project, ensuring all project phases were completed on schedule while meeting quality and delivery expectations.
2. Effectively coordinated production support alongside the planning and execution of new SARB project phases, ensuring seamless support and …</t>
        </is>
      </c>
      <c r="V333" s="31" t="inlineStr">
        <is>
          <t>Latest rating: 4 · Potential: High · 9-box: Reliable Specialist · Readiness: Ready now</t>
        </is>
      </c>
      <c r="W333" s="31" t="inlineStr">
        <is>
          <t>C M · Au M · Ac M · L M · BI M · Exp H · 19.4 yrs vs 4–7 yrs · Edu M · B.SC</t>
        </is>
      </c>
      <c r="X333" s="33" t="inlineStr">
        <is>
          <t>Open ▸</t>
        </is>
      </c>
      <c r="Y333" s="34" t="str">
        <f>IFERROR(INDEX(DL_C,MATCH($CA333,DL_KEY,0)),"M")</f>
        <v>H</v>
      </c>
      <c r="Z333" s="35" t="str">
        <f>IFERROR(INDEX(DL_Au,MATCH($CA333,DL_KEY,0)),"M")</f>
        <v>M</v>
      </c>
      <c r="AA333" s="35" t="str">
        <f>IFERROR(INDEX(DL_Ac,MATCH($CA333,DL_KEY,0)),"M")</f>
        <v>L</v>
      </c>
      <c r="AB333" s="35" t="str">
        <f>IFERROR(INDEX(DL_L,MATCH($CA333,DL_KEY,0)),"M")</f>
        <v>L</v>
      </c>
      <c r="AC333" s="35" t="str">
        <f>IFERROR(INDEX(DL_BI,MATCH($CA333,DL_KEY,0)),"M")</f>
        <v>L</v>
      </c>
      <c r="AD333" s="35" t="str">
        <f>IFERROR(INDEX(DL_Exp,MATCH($CA333,DL_KEY,0)),"M")</f>
        <v>L</v>
      </c>
      <c r="AE333" s="35" t="str">
        <f>IFERROR(INDEX(DL_Edu,MATCH($CA333,DL_KEY,0)),"M")</f>
        <v>L</v>
      </c>
      <c r="AF333" s="34" t="inlineStr">
        <is>
          <t>M</t>
        </is>
      </c>
      <c r="AG333" s="35" t="inlineStr">
        <is>
          <t>M</t>
        </is>
      </c>
      <c r="AH333" s="35" t="inlineStr">
        <is>
          <t>M</t>
        </is>
      </c>
      <c r="AI333" s="35" t="inlineStr">
        <is>
          <t>M</t>
        </is>
      </c>
      <c r="AJ333" s="35" t="inlineStr">
        <is>
          <t>M</t>
        </is>
      </c>
      <c r="AK333" s="35" t="inlineStr">
        <is>
          <t>M</t>
        </is>
      </c>
      <c r="AL333" s="35" t="inlineStr">
        <is>
          <t>M</t>
        </is>
      </c>
      <c r="AM333" s="36" t="n">
        <v>0.513</v>
      </c>
      <c r="AN333" s="37" t="n">
        <v>0.173</v>
      </c>
      <c r="AO333" s="37" t="n">
        <v>0.09699999999999999</v>
      </c>
      <c r="AP333" s="37" t="n">
        <v>0.05</v>
      </c>
      <c r="AQ333" s="37" t="n">
        <v>0.07000000000000001</v>
      </c>
      <c r="AR333" s="37" t="n">
        <v>0.06</v>
      </c>
      <c r="AS333" s="37" t="n">
        <v>0.04</v>
      </c>
      <c r="AT333" s="38" t="inlineStr">
        <is>
          <t>4–8</t>
        </is>
      </c>
      <c r="AU333" s="38" t="inlineStr">
        <is>
          <t>Graduate + relevant qualification or certification preferred</t>
        </is>
      </c>
      <c r="AV333" s="38" t="inlineStr">
        <is>
          <t>IC: none · Team Lead: 3–5</t>
        </is>
      </c>
      <c r="AW333" s="38" t="inlineStr">
        <is>
          <t>P3 / M2 · SFIA 4 Enable</t>
        </is>
      </c>
      <c r="AX33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33" s="39" t="inlineStr">
        <is>
          <t>B1</t>
        </is>
      </c>
      <c r="AZ333" s="40" t="inlineStr">
        <is>
          <t>Band B · Specialist / Manager · Team Lead / Asst Manager</t>
        </is>
      </c>
      <c r="BA333" s="40" t="inlineStr">
        <is>
          <t>Model B2 from the six ratings, the market-derived weights and rules R1–R13 · then Level rule: manager B2; a reportee sits at least one level below · B2 → B1 · move down · pay and title protected for one cycle</t>
        </is>
      </c>
      <c r="BB333" s="41" t="inlineStr">
        <is>
          <t>B2</t>
        </is>
      </c>
      <c r="BC333" s="40" t="inlineStr">
        <is>
          <t>The six ratings on the market-average weights of Band B · Specialist / POD Lead score 4.55 → B2 · Hay, Mercer IPE and public plans · experience 19.4 yrs vs the B2 market range 6–10</t>
        </is>
      </c>
      <c r="BD333" s="42">
        <f>IF(SUM(BM333,BN333,BO333,BP333,BQ333,BR333,BS333)=0,0,(BM333*BT333+BN333*BU333+BO333*BV333+BP333*BW333+BQ333*BX333+BR333*BY333+BS333*BZ333)/SUM(BM333,BN333,BO333,BP333,BQ333,BR333,BS333))</f>
        <v>0</v>
      </c>
      <c r="BE333" s="41" t="str">
        <f>IF(LEFT(AY333,1)="X",AY333,IF(OR(AY333="B+",AY333="C+"),INDEX(LAD_PC,MAX(1,MIN(14,MATCH(AY333,LAD_PC,0)+IF(BD333&gt;=0.5,1,IF(BD333&lt;=-0.5,-1,0))))),INDEX(LAD_STD,MAX(1,MIN(12,MATCH(AY333,LAD_STD,0)+IF(BD333&gt;=0.5,1,IF(BD333&lt;=-0.5,-1,0)))))))</f>
        <v>B1</v>
      </c>
      <c r="BF333" s="43" t="n"/>
      <c r="BG333" s="41" t="str">
        <f>IF(BF333&lt;&gt;"",BF333,BE333)</f>
        <v>B1</v>
      </c>
      <c r="BH333" s="40" t="str">
        <f>IFERROR(CHOOSE(INDEX(B_RANK,MATCH(BG333,B_LVL,0)),"Band A","Band B","B+ · Player-Coach","Band C","C+ · Player-Coach","Band D","Band E"),"Band X · Consultant")</f>
        <v>Band B</v>
      </c>
      <c r="BI333" s="40" t="str">
        <f>IF(BG333=AY333,"• Same",IF(INDEX(B_VAL,MATCH(BG333,B_LVL,0))&gt;INDEX(B_VAL,MATCH(AY333,B_LVL,0)),"▲ Up","▼ Down"))</f>
        <v>• Same</v>
      </c>
      <c r="BJ333" s="40" t="str">
        <f>IF(OR($M333="",$M333="—",$M333="Not in this file"),"",IFERROR(INDEX($BG$7:$BG$592,MATCH($M333,$D$7:$D$592,0)),""))</f>
        <v>B2</v>
      </c>
      <c r="BK333" s="40" t="str">
        <f>IFERROR(IF(BJ333="","—",IF(OR(LEFT(BG333,1)="X",LEFT(BJ333,1)="X"),"—",IF(AND(LEFT(BG333,1)="E",LEFT(BJ333,1)="E"),"Exception · Band E",IF(AND(INDEX(B_VAL,MATCH(BJ333,B_LVL,0))&gt;=7,INDEX(B_RANK,MATCH(BG333,B_LVL,0))&gt;=INDEX(B_RANK,MATCH(BJ333,B_LVL,0))),"⚠ Same band as a head manager",IF(INDEX(B_VAL,MATCH(BG333,B_LVL,0))&gt;=INDEX(B_VAL,MATCH(BJ333,B_LVL,0)),"⚠ At or above the manager's level","OK"))))),"—")</f>
        <v>OK</v>
      </c>
      <c r="BL333" s="43" t="n"/>
      <c r="BM333" s="44">
        <f>IFERROR(INDEX(LMH_PTS,MATCH(Y333,LMH_KEY,0)),0)</f>
        <v>9</v>
      </c>
      <c r="BN333" s="38">
        <f>IFERROR(INDEX(LMH_PTS,MATCH(Z333,LMH_KEY,0)),0)</f>
        <v>3</v>
      </c>
      <c r="BO333" s="38">
        <f>IFERROR(INDEX(LMH_PTS,MATCH(AA333,LMH_KEY,0)),0)</f>
        <v>1</v>
      </c>
      <c r="BP333" s="38">
        <f>IFERROR(INDEX(LMH_PTS,MATCH(AB333,LMH_KEY,0)),0)</f>
        <v>1</v>
      </c>
      <c r="BQ333" s="38">
        <f>IFERROR(INDEX(LMH_PTS,MATCH(AC333,LMH_KEY,0)),0)</f>
        <v>1</v>
      </c>
      <c r="BR333" s="38">
        <f>IFERROR(INDEX(LMH_PTS,MATCH(AD333,LMH_KEY,0)),0)</f>
        <v>1</v>
      </c>
      <c r="BS333" s="38">
        <f>IFERROR(INDEX(LMH_PTS,MATCH(AE333,LMH_KEY,0)),0)</f>
        <v>1</v>
      </c>
      <c r="BT333" s="38">
        <f>IFERROR(INDEX(LMH_STEP,MATCH(AF333,LMH_KEY,0)),0)</f>
        <v>0</v>
      </c>
      <c r="BU333" s="38">
        <f>IFERROR(INDEX(LMH_STEP,MATCH(AG333,LMH_KEY,0)),0)</f>
        <v>0</v>
      </c>
      <c r="BV333" s="38">
        <f>IFERROR(INDEX(LMH_STEP,MATCH(AH333,LMH_KEY,0)),0)</f>
        <v>0</v>
      </c>
      <c r="BW333" s="38">
        <f>IFERROR(INDEX(LMH_STEP,MATCH(AI333,LMH_KEY,0)),0)</f>
        <v>0</v>
      </c>
      <c r="BX333" s="38">
        <f>IFERROR(INDEX(LMH_STEP,MATCH(AJ333,LMH_KEY,0)),0)</f>
        <v>0</v>
      </c>
      <c r="BY333" s="38">
        <f>IFERROR(INDEX(LMH_STEP,MATCH(AK333,LMH_KEY,0)),0)</f>
        <v>0</v>
      </c>
      <c r="BZ333" s="38">
        <f>IFERROR(INDEX(LMH_STEP,MATCH(AL333,LMH_KEY,0)),0)</f>
        <v>0</v>
      </c>
      <c r="CA333" s="38" t="inlineStr">
        <is>
          <t>iFile|Quality Assurance|Senior QA Specialist – POD Lead|B1|B-IC</t>
        </is>
      </c>
    </row>
    <row r="334" ht="110" customHeight="1">
      <c r="A334" s="28" t="inlineStr">
        <is>
          <t>iFile</t>
        </is>
      </c>
      <c r="B334" s="29" t="inlineStr">
        <is>
          <t>Quality Assurance</t>
        </is>
      </c>
      <c r="C334" s="29" t="n">
        <v>5</v>
      </c>
      <c r="D334" s="29" t="inlineStr">
        <is>
          <t>IRIS2040</t>
        </is>
      </c>
      <c r="E334" s="29" t="inlineStr">
        <is>
          <t>Sandeep Padhi</t>
        </is>
      </c>
      <c r="F334" s="29" t="inlineStr">
        <is>
          <t>QA Engineer</t>
        </is>
      </c>
      <c r="G334" s="29" t="inlineStr">
        <is>
          <t>Senior QA Engineer</t>
        </is>
      </c>
      <c r="H334" s="29" t="inlineStr">
        <is>
          <t>Quality Assurance</t>
        </is>
      </c>
      <c r="I334" s="29" t="inlineStr">
        <is>
          <t>Functional &amp; Domain Testing</t>
        </is>
      </c>
      <c r="J334" s="29" t="inlineStr">
        <is>
          <t>IC</t>
        </is>
      </c>
      <c r="K334" s="29" t="inlineStr">
        <is>
          <t>RC-141</t>
        </is>
      </c>
      <c r="L334" s="29" t="inlineStr">
        <is>
          <t>Sameer Joshi</t>
        </is>
      </c>
      <c r="M334" s="29" t="inlineStr">
        <is>
          <t>IRIS2115</t>
        </is>
      </c>
      <c r="N334" s="29" t="n">
        <v>5</v>
      </c>
      <c r="O334" s="29" t="n">
        <v>4.2</v>
      </c>
      <c r="P334" s="29" t="inlineStr">
        <is>
          <t>B.Tech</t>
        </is>
      </c>
      <c r="Q334" s="29" t="inlineStr">
        <is>
          <t>L3 – Professional / Associate</t>
        </is>
      </c>
      <c r="R334" s="29" t="inlineStr">
        <is>
          <t>A3</t>
        </is>
      </c>
      <c r="S334" s="30" t="inlineStr">
        <is>
          <t>20 of 20</t>
        </is>
      </c>
      <c r="T334" s="31" t="inlineStr">
        <is>
          <t>Complexity: Evidence reads like A3: Defined SBC API test approach; validates business rules and taxonomy mappings; Postman scripts, MySQL, Power BI → moved up 0.5
Autonomy: Evidence reads like A3: Defined the SBC API testing approach and built own Postman automation · KRA → moved up 0.5
Accountability: Evidence reads like A3: QA of the SBC API end to end; …</t>
        </is>
      </c>
      <c r="U334" s="31" t="inlineStr">
        <is>
          <t>Received · manager annual, quarterly, self · 1. Lead end-to-end testing of the SBC API by designing, executing, and validating comprehensive functional, integration, and regression test scenarios to ensure high-quality and reliable API releases.
2. Improve API testing efficiency by developing reusable Postman automation scripts and AI-assisted solutions to …</t>
        </is>
      </c>
      <c r="V334" s="31" t="inlineStr">
        <is>
          <t>Latest rating: 4 · Potential: Medium · 9-box: High Impact / Growth Talent · Readiness: Ready in 6–12 months</t>
        </is>
      </c>
      <c r="W334" s="31" t="inlineStr">
        <is>
          <t>C M · Au M · Ac M · L L · BI M · Exp H · 5 yrs vs 2–4 yrs · Edu M · B.Tech</t>
        </is>
      </c>
      <c r="X334" s="33" t="inlineStr">
        <is>
          <t>Open ▸</t>
        </is>
      </c>
      <c r="Y334" s="34" t="str">
        <f>IFERROR(INDEX(DL_C,MATCH($CA334,DL_KEY,0)),"M")</f>
        <v>H</v>
      </c>
      <c r="Z334" s="35" t="str">
        <f>IFERROR(INDEX(DL_Au,MATCH($CA334,DL_KEY,0)),"M")</f>
        <v>M</v>
      </c>
      <c r="AA334" s="35" t="str">
        <f>IFERROR(INDEX(DL_Ac,MATCH($CA334,DL_KEY,0)),"M")</f>
        <v>L</v>
      </c>
      <c r="AB334" s="35" t="str">
        <f>IFERROR(INDEX(DL_L,MATCH($CA334,DL_KEY,0)),"M")</f>
        <v>L</v>
      </c>
      <c r="AC334" s="35" t="str">
        <f>IFERROR(INDEX(DL_BI,MATCH($CA334,DL_KEY,0)),"M")</f>
        <v>L</v>
      </c>
      <c r="AD334" s="35" t="str">
        <f>IFERROR(INDEX(DL_Exp,MATCH($CA334,DL_KEY,0)),"M")</f>
        <v>L</v>
      </c>
      <c r="AE334" s="35" t="str">
        <f>IFERROR(INDEX(DL_Edu,MATCH($CA334,DL_KEY,0)),"M")</f>
        <v>L</v>
      </c>
      <c r="AF334" s="34" t="inlineStr">
        <is>
          <t>M</t>
        </is>
      </c>
      <c r="AG334" s="35" t="inlineStr">
        <is>
          <t>M</t>
        </is>
      </c>
      <c r="AH334" s="35" t="inlineStr">
        <is>
          <t>M</t>
        </is>
      </c>
      <c r="AI334" s="35" t="inlineStr">
        <is>
          <t>M</t>
        </is>
      </c>
      <c r="AJ334" s="35" t="inlineStr">
        <is>
          <t>M</t>
        </is>
      </c>
      <c r="AK334" s="35" t="inlineStr">
        <is>
          <t>M</t>
        </is>
      </c>
      <c r="AL334" s="35" t="inlineStr">
        <is>
          <t>M</t>
        </is>
      </c>
      <c r="AM334" s="36" t="n">
        <v>0.583</v>
      </c>
      <c r="AN334" s="37" t="n">
        <v>0.16</v>
      </c>
      <c r="AO334" s="37" t="n">
        <v>0.09</v>
      </c>
      <c r="AP334" s="37" t="n">
        <v>0</v>
      </c>
      <c r="AQ334" s="37" t="n">
        <v>0.063</v>
      </c>
      <c r="AR334" s="37" t="n">
        <v>0.06</v>
      </c>
      <c r="AS334" s="37" t="n">
        <v>0.04</v>
      </c>
      <c r="AT334" s="38" t="inlineStr">
        <is>
          <t>2–5</t>
        </is>
      </c>
      <c r="AU334" s="38" t="inlineStr">
        <is>
          <t>Graduate; relevant certification preferred</t>
        </is>
      </c>
      <c r="AV334" s="38" t="inlineStr">
        <is>
          <t>None · guides 1–3 juniors informally</t>
        </is>
      </c>
      <c r="AW334" s="38" t="inlineStr">
        <is>
          <t>P2 · SFIA 3 Apply</t>
        </is>
      </c>
      <c r="AX33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34" s="39" t="inlineStr">
        <is>
          <t>A3</t>
        </is>
      </c>
      <c r="AZ334" s="40" t="inlineStr">
        <is>
          <t>Band A · Practitioner · Senior Associate</t>
        </is>
      </c>
      <c r="BA334" s="40" t="inlineStr">
        <is>
          <t>Model A3 from the six ratings, the market-derived weights and rules R1–R13 · then No change · already below the manager</t>
        </is>
      </c>
      <c r="BB334" s="41" t="inlineStr">
        <is>
          <t>A3</t>
        </is>
      </c>
      <c r="BC334" s="40" t="inlineStr">
        <is>
          <t>The six ratings on the market-average weights of Band A · all tracks score 2.65 → A3 · Hay, Mercer IPE and public plans · experience 5 yrs vs the A3 market range 2–5</t>
        </is>
      </c>
      <c r="BD334" s="42">
        <f>IF(SUM(BM334,BN334,BO334,BP334,BQ334,BR334,BS334)=0,0,(BM334*BT334+BN334*BU334+BO334*BV334+BP334*BW334+BQ334*BX334+BR334*BY334+BS334*BZ334)/SUM(BM334,BN334,BO334,BP334,BQ334,BR334,BS334))</f>
        <v>0</v>
      </c>
      <c r="BE334" s="41" t="str">
        <f>IF(LEFT(AY334,1)="X",AY334,IF(OR(AY334="B+",AY334="C+"),INDEX(LAD_PC,MAX(1,MIN(14,MATCH(AY334,LAD_PC,0)+IF(BD334&gt;=0.5,1,IF(BD334&lt;=-0.5,-1,0))))),INDEX(LAD_STD,MAX(1,MIN(12,MATCH(AY334,LAD_STD,0)+IF(BD334&gt;=0.5,1,IF(BD334&lt;=-0.5,-1,0)))))))</f>
        <v>A3</v>
      </c>
      <c r="BF334" s="43" t="n"/>
      <c r="BG334" s="41" t="str">
        <f>IF(BF334&lt;&gt;"",BF334,BE334)</f>
        <v>A3</v>
      </c>
      <c r="BH334" s="40" t="str">
        <f>IFERROR(CHOOSE(INDEX(B_RANK,MATCH(BG334,B_LVL,0)),"Band A","Band B","B+ · Player-Coach","Band C","C+ · Player-Coach","Band D","Band E"),"Band X · Consultant")</f>
        <v>Band A</v>
      </c>
      <c r="BI334" s="40" t="str">
        <f>IF(BG334=AY334,"• Same",IF(INDEX(B_VAL,MATCH(BG334,B_LVL,0))&gt;INDEX(B_VAL,MATCH(AY334,B_LVL,0)),"▲ Up","▼ Down"))</f>
        <v>• Same</v>
      </c>
      <c r="BJ334" s="40" t="str">
        <f>IF(OR($M334="",$M334="—",$M334="Not in this file"),"",IFERROR(INDEX($BG$7:$BG$592,MATCH($M334,$D$7:$D$592,0)),""))</f>
        <v>B1</v>
      </c>
      <c r="BK334" s="40" t="str">
        <f>IFERROR(IF(BJ334="","—",IF(OR(LEFT(BG334,1)="X",LEFT(BJ334,1)="X"),"—",IF(AND(LEFT(BG334,1)="E",LEFT(BJ334,1)="E"),"Exception · Band E",IF(AND(INDEX(B_VAL,MATCH(BJ334,B_LVL,0))&gt;=7,INDEX(B_RANK,MATCH(BG334,B_LVL,0))&gt;=INDEX(B_RANK,MATCH(BJ334,B_LVL,0))),"⚠ Same band as a head manager",IF(INDEX(B_VAL,MATCH(BG334,B_LVL,0))&gt;=INDEX(B_VAL,MATCH(BJ334,B_LVL,0)),"⚠ At or above the manager's level","OK"))))),"—")</f>
        <v>OK</v>
      </c>
      <c r="BL334" s="43" t="n"/>
      <c r="BM334" s="44">
        <f>IFERROR(INDEX(LMH_PTS,MATCH(Y334,LMH_KEY,0)),0)</f>
        <v>9</v>
      </c>
      <c r="BN334" s="38">
        <f>IFERROR(INDEX(LMH_PTS,MATCH(Z334,LMH_KEY,0)),0)</f>
        <v>3</v>
      </c>
      <c r="BO334" s="38">
        <f>IFERROR(INDEX(LMH_PTS,MATCH(AA334,LMH_KEY,0)),0)</f>
        <v>1</v>
      </c>
      <c r="BP334" s="38">
        <f>IFERROR(INDEX(LMH_PTS,MATCH(AB334,LMH_KEY,0)),0)</f>
        <v>1</v>
      </c>
      <c r="BQ334" s="38">
        <f>IFERROR(INDEX(LMH_PTS,MATCH(AC334,LMH_KEY,0)),0)</f>
        <v>1</v>
      </c>
      <c r="BR334" s="38">
        <f>IFERROR(INDEX(LMH_PTS,MATCH(AD334,LMH_KEY,0)),0)</f>
        <v>1</v>
      </c>
      <c r="BS334" s="38">
        <f>IFERROR(INDEX(LMH_PTS,MATCH(AE334,LMH_KEY,0)),0)</f>
        <v>1</v>
      </c>
      <c r="BT334" s="38">
        <f>IFERROR(INDEX(LMH_STEP,MATCH(AF334,LMH_KEY,0)),0)</f>
        <v>0</v>
      </c>
      <c r="BU334" s="38">
        <f>IFERROR(INDEX(LMH_STEP,MATCH(AG334,LMH_KEY,0)),0)</f>
        <v>0</v>
      </c>
      <c r="BV334" s="38">
        <f>IFERROR(INDEX(LMH_STEP,MATCH(AH334,LMH_KEY,0)),0)</f>
        <v>0</v>
      </c>
      <c r="BW334" s="38">
        <f>IFERROR(INDEX(LMH_STEP,MATCH(AI334,LMH_KEY,0)),0)</f>
        <v>0</v>
      </c>
      <c r="BX334" s="38">
        <f>IFERROR(INDEX(LMH_STEP,MATCH(AJ334,LMH_KEY,0)),0)</f>
        <v>0</v>
      </c>
      <c r="BY334" s="38">
        <f>IFERROR(INDEX(LMH_STEP,MATCH(AK334,LMH_KEY,0)),0)</f>
        <v>0</v>
      </c>
      <c r="BZ334" s="38">
        <f>IFERROR(INDEX(LMH_STEP,MATCH(AL334,LMH_KEY,0)),0)</f>
        <v>0</v>
      </c>
      <c r="CA334" s="38" t="inlineStr">
        <is>
          <t>iFile|Quality Assurance|Senior QA Engineer|A3|A</t>
        </is>
      </c>
    </row>
    <row r="335" ht="110" customHeight="1">
      <c r="A335" s="28" t="inlineStr">
        <is>
          <t>iFile</t>
        </is>
      </c>
      <c r="B335" s="29" t="inlineStr">
        <is>
          <t>Quality Assurance</t>
        </is>
      </c>
      <c r="C335" s="29" t="n">
        <v>5</v>
      </c>
      <c r="D335" s="29" t="inlineStr">
        <is>
          <t>IRIS2227</t>
        </is>
      </c>
      <c r="E335" s="29" t="inlineStr">
        <is>
          <t>Suraj Govind Walhekar</t>
        </is>
      </c>
      <c r="F335" s="29" t="inlineStr">
        <is>
          <t>QA Engineer</t>
        </is>
      </c>
      <c r="G335" s="29" t="inlineStr">
        <is>
          <t>Senior QA Engineer</t>
        </is>
      </c>
      <c r="H335" s="29" t="inlineStr">
        <is>
          <t>Quality Assurance</t>
        </is>
      </c>
      <c r="I335" s="29" t="inlineStr">
        <is>
          <t>Functional &amp; Domain Testing</t>
        </is>
      </c>
      <c r="J335" s="29" t="inlineStr">
        <is>
          <t>IC</t>
        </is>
      </c>
      <c r="K335" s="29" t="inlineStr">
        <is>
          <t>RC-141</t>
        </is>
      </c>
      <c r="L335" s="29" t="inlineStr">
        <is>
          <t>Sameer Joshi</t>
        </is>
      </c>
      <c r="M335" s="29" t="inlineStr">
        <is>
          <t>IRIS2115</t>
        </is>
      </c>
      <c r="N335" s="29" t="n">
        <v>5.4</v>
      </c>
      <c r="O335" s="29" t="n">
        <v>2.6</v>
      </c>
      <c r="P335" s="29" t="inlineStr">
        <is>
          <t>B.E</t>
        </is>
      </c>
      <c r="Q335" s="29" t="inlineStr">
        <is>
          <t>L3 – Professional / Associate</t>
        </is>
      </c>
      <c r="R335" s="29" t="inlineStr">
        <is>
          <t>A3</t>
        </is>
      </c>
      <c r="S335" s="30" t="inlineStr">
        <is>
          <t>20 of 20</t>
        </is>
      </c>
      <c r="T335" s="31" t="inlineStr">
        <is>
          <t>Complexity: Evidence reads like A2: Writes test cases, verifies fixes, regression and exploratory testing on SARB Phase 4 and MSME modules → matches the start
Autonomy: Evidence reads like A2: Names only managing daily schedule and routine emails → matches the start
Accountability: Evidence reads like A3: Verifies releases meet acceptance criteria; KRA …</t>
        </is>
      </c>
      <c r="U335" s="31" t="inlineStr">
        <is>
          <t>Received · manager annual, quarterly, self · 1. Successfully execute functional, integration, regression, and UAT testing for all assigned SARB Phase 4 development activities. Ensure complete requirement validation, timely defect reporting, and provide QA sign-off within the planned release schedule.
2. Validate high-priority production support tickets by …</t>
        </is>
      </c>
      <c r="V335" s="31" t="inlineStr">
        <is>
          <t>Latest rating: 4 · Potential: Medium · 9-box: High Impact / Growth Talent · Readiness: Ready in 6–12 months</t>
        </is>
      </c>
      <c r="W335" s="31" t="inlineStr">
        <is>
          <t>C L · Au L · Ac M · L L · BI M · Exp H · 5.4 yrs vs 2–4 yrs · Edu M · B.E</t>
        </is>
      </c>
      <c r="X335" s="33" t="inlineStr">
        <is>
          <t>Open ▸</t>
        </is>
      </c>
      <c r="Y335" s="34" t="str">
        <f>IFERROR(INDEX(DL_C,MATCH($CA335,DL_KEY,0)),"M")</f>
        <v>H</v>
      </c>
      <c r="Z335" s="35" t="str">
        <f>IFERROR(INDEX(DL_Au,MATCH($CA335,DL_KEY,0)),"M")</f>
        <v>M</v>
      </c>
      <c r="AA335" s="35" t="str">
        <f>IFERROR(INDEX(DL_Ac,MATCH($CA335,DL_KEY,0)),"M")</f>
        <v>L</v>
      </c>
      <c r="AB335" s="35" t="str">
        <f>IFERROR(INDEX(DL_L,MATCH($CA335,DL_KEY,0)),"M")</f>
        <v>L</v>
      </c>
      <c r="AC335" s="35" t="str">
        <f>IFERROR(INDEX(DL_BI,MATCH($CA335,DL_KEY,0)),"M")</f>
        <v>L</v>
      </c>
      <c r="AD335" s="35" t="str">
        <f>IFERROR(INDEX(DL_Exp,MATCH($CA335,DL_KEY,0)),"M")</f>
        <v>L</v>
      </c>
      <c r="AE335" s="35" t="str">
        <f>IFERROR(INDEX(DL_Edu,MATCH($CA335,DL_KEY,0)),"M")</f>
        <v>L</v>
      </c>
      <c r="AF335" s="34" t="inlineStr">
        <is>
          <t>M</t>
        </is>
      </c>
      <c r="AG335" s="35" t="inlineStr">
        <is>
          <t>M</t>
        </is>
      </c>
      <c r="AH335" s="35" t="inlineStr">
        <is>
          <t>M</t>
        </is>
      </c>
      <c r="AI335" s="35" t="inlineStr">
        <is>
          <t>M</t>
        </is>
      </c>
      <c r="AJ335" s="35" t="inlineStr">
        <is>
          <t>M</t>
        </is>
      </c>
      <c r="AK335" s="35" t="inlineStr">
        <is>
          <t>M</t>
        </is>
      </c>
      <c r="AL335" s="35" t="inlineStr">
        <is>
          <t>M</t>
        </is>
      </c>
      <c r="AM335" s="36" t="n">
        <v>0.583</v>
      </c>
      <c r="AN335" s="37" t="n">
        <v>0.16</v>
      </c>
      <c r="AO335" s="37" t="n">
        <v>0.09</v>
      </c>
      <c r="AP335" s="37" t="n">
        <v>0</v>
      </c>
      <c r="AQ335" s="37" t="n">
        <v>0.063</v>
      </c>
      <c r="AR335" s="37" t="n">
        <v>0.06</v>
      </c>
      <c r="AS335" s="37" t="n">
        <v>0.04</v>
      </c>
      <c r="AT335" s="38" t="inlineStr">
        <is>
          <t>2–5</t>
        </is>
      </c>
      <c r="AU335" s="38" t="inlineStr">
        <is>
          <t>Graduate; relevant certification preferred</t>
        </is>
      </c>
      <c r="AV335" s="38" t="inlineStr">
        <is>
          <t>None · guides 1–3 juniors informally</t>
        </is>
      </c>
      <c r="AW335" s="38" t="inlineStr">
        <is>
          <t>P2 · SFIA 3 Apply</t>
        </is>
      </c>
      <c r="AX33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35" s="39" t="inlineStr">
        <is>
          <t>A3</t>
        </is>
      </c>
      <c r="AZ335" s="40" t="inlineStr">
        <is>
          <t>Band A · Practitioner · Senior Associate</t>
        </is>
      </c>
      <c r="BA335" s="40" t="inlineStr">
        <is>
          <t>Model A3 from the six ratings, the market-derived weights and rules R1–R13 · then No change · already below the manager</t>
        </is>
      </c>
      <c r="BB335" s="41" t="inlineStr">
        <is>
          <t>A2</t>
        </is>
      </c>
      <c r="BC335" s="40" t="inlineStr">
        <is>
          <t>The six ratings on the market-average weights of Band A · all tracks score 2.28 → A2 · Hay, Mercer IPE and public plans · experience 5.4 yrs vs the A2 market range 0–3</t>
        </is>
      </c>
      <c r="BD335" s="42">
        <f>IF(SUM(BM335,BN335,BO335,BP335,BQ335,BR335,BS335)=0,0,(BM335*BT335+BN335*BU335+BO335*BV335+BP335*BW335+BQ335*BX335+BR335*BY335+BS335*BZ335)/SUM(BM335,BN335,BO335,BP335,BQ335,BR335,BS335))</f>
        <v>0</v>
      </c>
      <c r="BE335" s="41" t="str">
        <f>IF(LEFT(AY335,1)="X",AY335,IF(OR(AY335="B+",AY335="C+"),INDEX(LAD_PC,MAX(1,MIN(14,MATCH(AY335,LAD_PC,0)+IF(BD335&gt;=0.5,1,IF(BD335&lt;=-0.5,-1,0))))),INDEX(LAD_STD,MAX(1,MIN(12,MATCH(AY335,LAD_STD,0)+IF(BD335&gt;=0.5,1,IF(BD335&lt;=-0.5,-1,0)))))))</f>
        <v>A3</v>
      </c>
      <c r="BF335" s="43" t="n"/>
      <c r="BG335" s="41" t="str">
        <f>IF(BF335&lt;&gt;"",BF335,BE335)</f>
        <v>A3</v>
      </c>
      <c r="BH335" s="40" t="str">
        <f>IFERROR(CHOOSE(INDEX(B_RANK,MATCH(BG335,B_LVL,0)),"Band A","Band B","B+ · Player-Coach","Band C","C+ · Player-Coach","Band D","Band E"),"Band X · Consultant")</f>
        <v>Band A</v>
      </c>
      <c r="BI335" s="40" t="str">
        <f>IF(BG335=AY335,"• Same",IF(INDEX(B_VAL,MATCH(BG335,B_LVL,0))&gt;INDEX(B_VAL,MATCH(AY335,B_LVL,0)),"▲ Up","▼ Down"))</f>
        <v>• Same</v>
      </c>
      <c r="BJ335" s="40" t="str">
        <f>IF(OR($M335="",$M335="—",$M335="Not in this file"),"",IFERROR(INDEX($BG$7:$BG$592,MATCH($M335,$D$7:$D$592,0)),""))</f>
        <v>B1</v>
      </c>
      <c r="BK335" s="40" t="str">
        <f>IFERROR(IF(BJ335="","—",IF(OR(LEFT(BG335,1)="X",LEFT(BJ335,1)="X"),"—",IF(AND(LEFT(BG335,1)="E",LEFT(BJ335,1)="E"),"Exception · Band E",IF(AND(INDEX(B_VAL,MATCH(BJ335,B_LVL,0))&gt;=7,INDEX(B_RANK,MATCH(BG335,B_LVL,0))&gt;=INDEX(B_RANK,MATCH(BJ335,B_LVL,0))),"⚠ Same band as a head manager",IF(INDEX(B_VAL,MATCH(BG335,B_LVL,0))&gt;=INDEX(B_VAL,MATCH(BJ335,B_LVL,0)),"⚠ At or above the manager's level","OK"))))),"—")</f>
        <v>OK</v>
      </c>
      <c r="BL335" s="43" t="n"/>
      <c r="BM335" s="44">
        <f>IFERROR(INDEX(LMH_PTS,MATCH(Y335,LMH_KEY,0)),0)</f>
        <v>9</v>
      </c>
      <c r="BN335" s="38">
        <f>IFERROR(INDEX(LMH_PTS,MATCH(Z335,LMH_KEY,0)),0)</f>
        <v>3</v>
      </c>
      <c r="BO335" s="38">
        <f>IFERROR(INDEX(LMH_PTS,MATCH(AA335,LMH_KEY,0)),0)</f>
        <v>1</v>
      </c>
      <c r="BP335" s="38">
        <f>IFERROR(INDEX(LMH_PTS,MATCH(AB335,LMH_KEY,0)),0)</f>
        <v>1</v>
      </c>
      <c r="BQ335" s="38">
        <f>IFERROR(INDEX(LMH_PTS,MATCH(AC335,LMH_KEY,0)),0)</f>
        <v>1</v>
      </c>
      <c r="BR335" s="38">
        <f>IFERROR(INDEX(LMH_PTS,MATCH(AD335,LMH_KEY,0)),0)</f>
        <v>1</v>
      </c>
      <c r="BS335" s="38">
        <f>IFERROR(INDEX(LMH_PTS,MATCH(AE335,LMH_KEY,0)),0)</f>
        <v>1</v>
      </c>
      <c r="BT335" s="38">
        <f>IFERROR(INDEX(LMH_STEP,MATCH(AF335,LMH_KEY,0)),0)</f>
        <v>0</v>
      </c>
      <c r="BU335" s="38">
        <f>IFERROR(INDEX(LMH_STEP,MATCH(AG335,LMH_KEY,0)),0)</f>
        <v>0</v>
      </c>
      <c r="BV335" s="38">
        <f>IFERROR(INDEX(LMH_STEP,MATCH(AH335,LMH_KEY,0)),0)</f>
        <v>0</v>
      </c>
      <c r="BW335" s="38">
        <f>IFERROR(INDEX(LMH_STEP,MATCH(AI335,LMH_KEY,0)),0)</f>
        <v>0</v>
      </c>
      <c r="BX335" s="38">
        <f>IFERROR(INDEX(LMH_STEP,MATCH(AJ335,LMH_KEY,0)),0)</f>
        <v>0</v>
      </c>
      <c r="BY335" s="38">
        <f>IFERROR(INDEX(LMH_STEP,MATCH(AK335,LMH_KEY,0)),0)</f>
        <v>0</v>
      </c>
      <c r="BZ335" s="38">
        <f>IFERROR(INDEX(LMH_STEP,MATCH(AL335,LMH_KEY,0)),0)</f>
        <v>0</v>
      </c>
      <c r="CA335" s="38" t="inlineStr">
        <is>
          <t>iFile|Quality Assurance|Senior QA Engineer|A3|A</t>
        </is>
      </c>
    </row>
    <row r="336" ht="110" customHeight="1">
      <c r="A336" s="28" t="inlineStr">
        <is>
          <t>iFile</t>
        </is>
      </c>
      <c r="B336" s="29" t="inlineStr">
        <is>
          <t>Quality Assurance</t>
        </is>
      </c>
      <c r="C336" s="29" t="n">
        <v>4</v>
      </c>
      <c r="D336" s="29" t="inlineStr">
        <is>
          <t>IRIS1654</t>
        </is>
      </c>
      <c r="E336" s="29" t="inlineStr">
        <is>
          <t>Pallavi Suryavanshi</t>
        </is>
      </c>
      <c r="F336" s="29" t="inlineStr">
        <is>
          <t>Senior QA - Engineer</t>
        </is>
      </c>
      <c r="G336" s="29" t="inlineStr">
        <is>
          <t>QA Specialist – POD Lead</t>
        </is>
      </c>
      <c r="H336" s="29" t="inlineStr">
        <is>
          <t>Quality Assurance</t>
        </is>
      </c>
      <c r="I336" s="29" t="inlineStr">
        <is>
          <t>Functional &amp; Domain Testing</t>
        </is>
      </c>
      <c r="J336" s="29" t="inlineStr">
        <is>
          <t>POD Lead</t>
        </is>
      </c>
      <c r="K336" s="29" t="inlineStr">
        <is>
          <t>RC-142</t>
        </is>
      </c>
      <c r="L336" s="29" t="inlineStr">
        <is>
          <t>Davinder Pal Singh</t>
        </is>
      </c>
      <c r="M336" s="29" t="inlineStr">
        <is>
          <t>IRIS0728</t>
        </is>
      </c>
      <c r="N336" s="29" t="n">
        <v>11.2</v>
      </c>
      <c r="O336" s="29" t="n">
        <v>9.199999999999999</v>
      </c>
      <c r="P336" s="29" t="inlineStr">
        <is>
          <t>MCA</t>
        </is>
      </c>
      <c r="Q336" s="29" t="inlineStr">
        <is>
          <t>L4 – Senior</t>
        </is>
      </c>
      <c r="R336" s="29" t="inlineStr">
        <is>
          <t>B1</t>
        </is>
      </c>
      <c r="S336" s="30" t="inlineStr">
        <is>
          <t>20 of 20</t>
        </is>
      </c>
      <c r="T336" s="31" t="inlineStr">
        <is>
          <t>Complexity: Evidence reads like B1: FlaUI automation of Excel-based iFile app; test scenarios across QFCRA modules; manages CBJ/QFCRA testing → moved up 0.5
Autonomy: Evidence reads like A3: Decides test scenario and case approach; coordinates directly with the client on issues → matches the start
Accountability: Evidence reads like B1: own survey / KRA …</t>
        </is>
      </c>
      <c r="U336" s="31" t="inlineStr">
        <is>
          <t>Received · manager annual, quarterly, self · 1. Successfully managed the manual testing activities for both the CBJ and QFCRA projects, which are critical strategic projects for IRIS, consistently delivering high-quality testing within the required timelines.
2. Demonstrated strong commitment by delivering portal testing on schedule, effectively supporting …</t>
        </is>
      </c>
      <c r="V336" s="31" t="inlineStr">
        <is>
          <t>Latest rating: 4 · Potential: Medium · 9-box: Trusted Professional · Readiness: Ready in 6–12 months</t>
        </is>
      </c>
      <c r="W336" s="31" t="inlineStr">
        <is>
          <t>C M · Au L · Ac M · L M · BI M · Exp H · 11.2 yrs vs 4–7 yrs · Edu H · MCA</t>
        </is>
      </c>
      <c r="X336" s="33" t="inlineStr">
        <is>
          <t>Open ▸</t>
        </is>
      </c>
      <c r="Y336" s="34" t="str">
        <f>IFERROR(INDEX(DL_C,MATCH($CA336,DL_KEY,0)),"M")</f>
        <v>H</v>
      </c>
      <c r="Z336" s="35" t="str">
        <f>IFERROR(INDEX(DL_Au,MATCH($CA336,DL_KEY,0)),"M")</f>
        <v>M</v>
      </c>
      <c r="AA336" s="35" t="str">
        <f>IFERROR(INDEX(DL_Ac,MATCH($CA336,DL_KEY,0)),"M")</f>
        <v>L</v>
      </c>
      <c r="AB336" s="35" t="str">
        <f>IFERROR(INDEX(DL_L,MATCH($CA336,DL_KEY,0)),"M")</f>
        <v>L</v>
      </c>
      <c r="AC336" s="35" t="str">
        <f>IFERROR(INDEX(DL_BI,MATCH($CA336,DL_KEY,0)),"M")</f>
        <v>L</v>
      </c>
      <c r="AD336" s="35" t="str">
        <f>IFERROR(INDEX(DL_Exp,MATCH($CA336,DL_KEY,0)),"M")</f>
        <v>L</v>
      </c>
      <c r="AE336" s="35" t="str">
        <f>IFERROR(INDEX(DL_Edu,MATCH($CA336,DL_KEY,0)),"M")</f>
        <v>L</v>
      </c>
      <c r="AF336" s="34" t="inlineStr">
        <is>
          <t>M</t>
        </is>
      </c>
      <c r="AG336" s="35" t="inlineStr">
        <is>
          <t>M</t>
        </is>
      </c>
      <c r="AH336" s="35" t="inlineStr">
        <is>
          <t>M</t>
        </is>
      </c>
      <c r="AI336" s="35" t="inlineStr">
        <is>
          <t>M</t>
        </is>
      </c>
      <c r="AJ336" s="35" t="inlineStr">
        <is>
          <t>M</t>
        </is>
      </c>
      <c r="AK336" s="35" t="inlineStr">
        <is>
          <t>M</t>
        </is>
      </c>
      <c r="AL336" s="35" t="inlineStr">
        <is>
          <t>M</t>
        </is>
      </c>
      <c r="AM336" s="36" t="n">
        <v>0.513</v>
      </c>
      <c r="AN336" s="37" t="n">
        <v>0.173</v>
      </c>
      <c r="AO336" s="37" t="n">
        <v>0.09699999999999999</v>
      </c>
      <c r="AP336" s="37" t="n">
        <v>0.05</v>
      </c>
      <c r="AQ336" s="37" t="n">
        <v>0.07000000000000001</v>
      </c>
      <c r="AR336" s="37" t="n">
        <v>0.06</v>
      </c>
      <c r="AS336" s="37" t="n">
        <v>0.04</v>
      </c>
      <c r="AT336" s="38" t="inlineStr">
        <is>
          <t>4–8</t>
        </is>
      </c>
      <c r="AU336" s="38" t="inlineStr">
        <is>
          <t>Graduate + relevant qualification or certification preferred</t>
        </is>
      </c>
      <c r="AV336" s="38" t="inlineStr">
        <is>
          <t>IC: none · Team Lead: 3–5</t>
        </is>
      </c>
      <c r="AW336" s="38" t="inlineStr">
        <is>
          <t>P3 / M2 · SFIA 4 Enable</t>
        </is>
      </c>
      <c r="AX33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36" s="39" t="inlineStr">
        <is>
          <t>B1</t>
        </is>
      </c>
      <c r="AZ336" s="40" t="inlineStr">
        <is>
          <t>Band B · Specialist / Manager · Team Lead / Asst Manager</t>
        </is>
      </c>
      <c r="BA336" s="40" t="inlineStr">
        <is>
          <t>Model B1 from the six ratings, the market-derived weights and rules R1–R13 · then No change · already below the manager</t>
        </is>
      </c>
      <c r="BB336" s="41" t="inlineStr">
        <is>
          <t>B1</t>
        </is>
      </c>
      <c r="BC336" s="40" t="inlineStr">
        <is>
          <t>The six ratings on the market-average weights of Band B · Specialist / POD Lead score 3.85 → B1 · Hay, Mercer IPE and public plans · experience 11.2 yrs vs the B1 market range 4–8</t>
        </is>
      </c>
      <c r="BD336" s="42">
        <f>IF(SUM(BM336,BN336,BO336,BP336,BQ336,BR336,BS336)=0,0,(BM336*BT336+BN336*BU336+BO336*BV336+BP336*BW336+BQ336*BX336+BR336*BY336+BS336*BZ336)/SUM(BM336,BN336,BO336,BP336,BQ336,BR336,BS336))</f>
        <v>0</v>
      </c>
      <c r="BE336" s="41" t="str">
        <f>IF(LEFT(AY336,1)="X",AY336,IF(OR(AY336="B+",AY336="C+"),INDEX(LAD_PC,MAX(1,MIN(14,MATCH(AY336,LAD_PC,0)+IF(BD336&gt;=0.5,1,IF(BD336&lt;=-0.5,-1,0))))),INDEX(LAD_STD,MAX(1,MIN(12,MATCH(AY336,LAD_STD,0)+IF(BD336&gt;=0.5,1,IF(BD336&lt;=-0.5,-1,0)))))))</f>
        <v>B1</v>
      </c>
      <c r="BF336" s="43" t="n"/>
      <c r="BG336" s="41" t="str">
        <f>IF(BF336&lt;&gt;"",BF336,BE336)</f>
        <v>B1</v>
      </c>
      <c r="BH336" s="40" t="str">
        <f>IFERROR(CHOOSE(INDEX(B_RANK,MATCH(BG336,B_LVL,0)),"Band A","Band B","B+ · Player-Coach","Band C","C+ · Player-Coach","Band D","Band E"),"Band X · Consultant")</f>
        <v>Band B</v>
      </c>
      <c r="BI336" s="40" t="str">
        <f>IF(BG336=AY336,"• Same",IF(INDEX(B_VAL,MATCH(BG336,B_LVL,0))&gt;INDEX(B_VAL,MATCH(AY336,B_LVL,0)),"▲ Up","▼ Down"))</f>
        <v>• Same</v>
      </c>
      <c r="BJ336" s="40" t="str">
        <f>IF(OR($M336="",$M336="—",$M336="Not in this file"),"",IFERROR(INDEX($BG$7:$BG$592,MATCH($M336,$D$7:$D$592,0)),""))</f>
        <v>B2</v>
      </c>
      <c r="BK336" s="40" t="str">
        <f>IFERROR(IF(BJ336="","—",IF(OR(LEFT(BG336,1)="X",LEFT(BJ336,1)="X"),"—",IF(AND(LEFT(BG336,1)="E",LEFT(BJ336,1)="E"),"Exception · Band E",IF(AND(INDEX(B_VAL,MATCH(BJ336,B_LVL,0))&gt;=7,INDEX(B_RANK,MATCH(BG336,B_LVL,0))&gt;=INDEX(B_RANK,MATCH(BJ336,B_LVL,0))),"⚠ Same band as a head manager",IF(INDEX(B_VAL,MATCH(BG336,B_LVL,0))&gt;=INDEX(B_VAL,MATCH(BJ336,B_LVL,0)),"⚠ At or above the manager's level","OK"))))),"—")</f>
        <v>OK</v>
      </c>
      <c r="BL336" s="43" t="n"/>
      <c r="BM336" s="44">
        <f>IFERROR(INDEX(LMH_PTS,MATCH(Y336,LMH_KEY,0)),0)</f>
        <v>9</v>
      </c>
      <c r="BN336" s="38">
        <f>IFERROR(INDEX(LMH_PTS,MATCH(Z336,LMH_KEY,0)),0)</f>
        <v>3</v>
      </c>
      <c r="BO336" s="38">
        <f>IFERROR(INDEX(LMH_PTS,MATCH(AA336,LMH_KEY,0)),0)</f>
        <v>1</v>
      </c>
      <c r="BP336" s="38">
        <f>IFERROR(INDEX(LMH_PTS,MATCH(AB336,LMH_KEY,0)),0)</f>
        <v>1</v>
      </c>
      <c r="BQ336" s="38">
        <f>IFERROR(INDEX(LMH_PTS,MATCH(AC336,LMH_KEY,0)),0)</f>
        <v>1</v>
      </c>
      <c r="BR336" s="38">
        <f>IFERROR(INDEX(LMH_PTS,MATCH(AD336,LMH_KEY,0)),0)</f>
        <v>1</v>
      </c>
      <c r="BS336" s="38">
        <f>IFERROR(INDEX(LMH_PTS,MATCH(AE336,LMH_KEY,0)),0)</f>
        <v>1</v>
      </c>
      <c r="BT336" s="38">
        <f>IFERROR(INDEX(LMH_STEP,MATCH(AF336,LMH_KEY,0)),0)</f>
        <v>0</v>
      </c>
      <c r="BU336" s="38">
        <f>IFERROR(INDEX(LMH_STEP,MATCH(AG336,LMH_KEY,0)),0)</f>
        <v>0</v>
      </c>
      <c r="BV336" s="38">
        <f>IFERROR(INDEX(LMH_STEP,MATCH(AH336,LMH_KEY,0)),0)</f>
        <v>0</v>
      </c>
      <c r="BW336" s="38">
        <f>IFERROR(INDEX(LMH_STEP,MATCH(AI336,LMH_KEY,0)),0)</f>
        <v>0</v>
      </c>
      <c r="BX336" s="38">
        <f>IFERROR(INDEX(LMH_STEP,MATCH(AJ336,LMH_KEY,0)),0)</f>
        <v>0</v>
      </c>
      <c r="BY336" s="38">
        <f>IFERROR(INDEX(LMH_STEP,MATCH(AK336,LMH_KEY,0)),0)</f>
        <v>0</v>
      </c>
      <c r="BZ336" s="38">
        <f>IFERROR(INDEX(LMH_STEP,MATCH(AL336,LMH_KEY,0)),0)</f>
        <v>0</v>
      </c>
      <c r="CA336" s="38" t="inlineStr">
        <is>
          <t>iFile|Quality Assurance|QA Specialist – POD Lead|B1|B-IC</t>
        </is>
      </c>
    </row>
    <row r="337" ht="110" customHeight="1">
      <c r="A337" s="28" t="inlineStr">
        <is>
          <t>iFile</t>
        </is>
      </c>
      <c r="B337" s="29" t="inlineStr">
        <is>
          <t>Quality Assurance</t>
        </is>
      </c>
      <c r="C337" s="29" t="n">
        <v>5</v>
      </c>
      <c r="D337" s="29" t="inlineStr">
        <is>
          <t>IRIS2075</t>
        </is>
      </c>
      <c r="E337" s="29" t="inlineStr">
        <is>
          <t>Deepika Bartwal</t>
        </is>
      </c>
      <c r="F337" s="29" t="inlineStr">
        <is>
          <t>QA Engineer</t>
        </is>
      </c>
      <c r="G337" s="29" t="inlineStr">
        <is>
          <t>Senior QA Engineer</t>
        </is>
      </c>
      <c r="H337" s="29" t="inlineStr">
        <is>
          <t>Quality Assurance</t>
        </is>
      </c>
      <c r="I337" s="29" t="inlineStr">
        <is>
          <t>Functional &amp; Domain Testing</t>
        </is>
      </c>
      <c r="J337" s="29" t="inlineStr">
        <is>
          <t>IC</t>
        </is>
      </c>
      <c r="K337" s="29" t="inlineStr">
        <is>
          <t>RC-141</t>
        </is>
      </c>
      <c r="L337" s="29" t="inlineStr">
        <is>
          <t>Pallavi Suryavanshi</t>
        </is>
      </c>
      <c r="M337" s="29" t="inlineStr">
        <is>
          <t>IRIS1654</t>
        </is>
      </c>
      <c r="N337" s="29" t="n">
        <v>3.9</v>
      </c>
      <c r="O337" s="29" t="n">
        <v>3.9</v>
      </c>
      <c r="P337" s="29" t="inlineStr">
        <is>
          <t>B.Com</t>
        </is>
      </c>
      <c r="Q337" s="29" t="inlineStr">
        <is>
          <t>L3 – Professional / Associate</t>
        </is>
      </c>
      <c r="R337" s="29" t="inlineStr">
        <is>
          <t>A3</t>
        </is>
      </c>
      <c r="S337" s="30" t="inlineStr">
        <is>
          <t>20 of 20</t>
        </is>
      </c>
      <c r="T337" s="31" t="inlineStr">
        <is>
          <t>Complexity: Evidence reads like A2: Test case execution; installer and portal testing on QFCRA modules and RBI CIMS · KRA → matches the start
Autonomy: Evidence reads like A1: Names only 'checking mail' as an independent decision → moved down 0.5
Accountability: Evidence reads like A2: Own testing; not missing major bugs before go-live → matches the …</t>
        </is>
      </c>
      <c r="U337" s="31" t="inlineStr">
        <is>
          <t>Received · manager annual, quarterly, self · 1. Successfully delivered high-quality testing across the QFCRA and RBI CIMS projects, ensuring thorough validation of multiple modules including Non-Captive, IFRS17, Banking Return, Insurance Return, Product Return · Tech Refresh, and installer and portal functionalities. The consistent quality of testing contributed …</t>
        </is>
      </c>
      <c r="V337" s="31" t="inlineStr">
        <is>
          <t>Latest rating: 3 · Potential: Medium · 9-box: Trusted Professional · Readiness: Develop in role</t>
        </is>
      </c>
      <c r="W337" s="31" t="inlineStr">
        <is>
          <t>C L · Au L · Ac L · L L · BI L · Exp M · 3.9 yrs vs 2–4 yrs · Edu M · B.Com</t>
        </is>
      </c>
      <c r="X337" s="33" t="inlineStr">
        <is>
          <t>Open ▸</t>
        </is>
      </c>
      <c r="Y337" s="34" t="str">
        <f>IFERROR(INDEX(DL_C,MATCH($CA337,DL_KEY,0)),"M")</f>
        <v>H</v>
      </c>
      <c r="Z337" s="35" t="str">
        <f>IFERROR(INDEX(DL_Au,MATCH($CA337,DL_KEY,0)),"M")</f>
        <v>M</v>
      </c>
      <c r="AA337" s="35" t="str">
        <f>IFERROR(INDEX(DL_Ac,MATCH($CA337,DL_KEY,0)),"M")</f>
        <v>L</v>
      </c>
      <c r="AB337" s="35" t="str">
        <f>IFERROR(INDEX(DL_L,MATCH($CA337,DL_KEY,0)),"M")</f>
        <v>L</v>
      </c>
      <c r="AC337" s="35" t="str">
        <f>IFERROR(INDEX(DL_BI,MATCH($CA337,DL_KEY,0)),"M")</f>
        <v>L</v>
      </c>
      <c r="AD337" s="35" t="str">
        <f>IFERROR(INDEX(DL_Exp,MATCH($CA337,DL_KEY,0)),"M")</f>
        <v>L</v>
      </c>
      <c r="AE337" s="35" t="str">
        <f>IFERROR(INDEX(DL_Edu,MATCH($CA337,DL_KEY,0)),"M")</f>
        <v>L</v>
      </c>
      <c r="AF337" s="34" t="inlineStr">
        <is>
          <t>M</t>
        </is>
      </c>
      <c r="AG337" s="35" t="inlineStr">
        <is>
          <t>M</t>
        </is>
      </c>
      <c r="AH337" s="35" t="inlineStr">
        <is>
          <t>M</t>
        </is>
      </c>
      <c r="AI337" s="35" t="inlineStr">
        <is>
          <t>M</t>
        </is>
      </c>
      <c r="AJ337" s="35" t="inlineStr">
        <is>
          <t>M</t>
        </is>
      </c>
      <c r="AK337" s="35" t="inlineStr">
        <is>
          <t>M</t>
        </is>
      </c>
      <c r="AL337" s="35" t="inlineStr">
        <is>
          <t>M</t>
        </is>
      </c>
      <c r="AM337" s="36" t="n">
        <v>0.583</v>
      </c>
      <c r="AN337" s="37" t="n">
        <v>0.16</v>
      </c>
      <c r="AO337" s="37" t="n">
        <v>0.09</v>
      </c>
      <c r="AP337" s="37" t="n">
        <v>0</v>
      </c>
      <c r="AQ337" s="37" t="n">
        <v>0.063</v>
      </c>
      <c r="AR337" s="37" t="n">
        <v>0.06</v>
      </c>
      <c r="AS337" s="37" t="n">
        <v>0.04</v>
      </c>
      <c r="AT337" s="38" t="inlineStr">
        <is>
          <t>2–5</t>
        </is>
      </c>
      <c r="AU337" s="38" t="inlineStr">
        <is>
          <t>Graduate; relevant certification preferred</t>
        </is>
      </c>
      <c r="AV337" s="38" t="inlineStr">
        <is>
          <t>None · guides 1–3 juniors informally</t>
        </is>
      </c>
      <c r="AW337" s="38" t="inlineStr">
        <is>
          <t>P2 · SFIA 3 Apply</t>
        </is>
      </c>
      <c r="AX33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37" s="39" t="inlineStr">
        <is>
          <t>A3</t>
        </is>
      </c>
      <c r="AZ337" s="40" t="inlineStr">
        <is>
          <t>Band A · Practitioner · Senior Associate</t>
        </is>
      </c>
      <c r="BA337" s="40" t="inlineStr">
        <is>
          <t>Model A3 from the six ratings, the market-derived weights and rules R1–R13 · then No change · already below the manager</t>
        </is>
      </c>
      <c r="BB337" s="41" t="inlineStr">
        <is>
          <t>A2</t>
        </is>
      </c>
      <c r="BC337" s="40" t="inlineStr">
        <is>
          <t>The six ratings on the market-average weights of Band A · all tracks score 2.07 → A2 · Hay, Mercer IPE and public plans · experience 3.9 yrs vs the A2 market range 0–3</t>
        </is>
      </c>
      <c r="BD337" s="42">
        <f>IF(SUM(BM337,BN337,BO337,BP337,BQ337,BR337,BS337)=0,0,(BM337*BT337+BN337*BU337+BO337*BV337+BP337*BW337+BQ337*BX337+BR337*BY337+BS337*BZ337)/SUM(BM337,BN337,BO337,BP337,BQ337,BR337,BS337))</f>
        <v>0</v>
      </c>
      <c r="BE337" s="41" t="str">
        <f>IF(LEFT(AY337,1)="X",AY337,IF(OR(AY337="B+",AY337="C+"),INDEX(LAD_PC,MAX(1,MIN(14,MATCH(AY337,LAD_PC,0)+IF(BD337&gt;=0.5,1,IF(BD337&lt;=-0.5,-1,0))))),INDEX(LAD_STD,MAX(1,MIN(12,MATCH(AY337,LAD_STD,0)+IF(BD337&gt;=0.5,1,IF(BD337&lt;=-0.5,-1,0)))))))</f>
        <v>A3</v>
      </c>
      <c r="BF337" s="43" t="n"/>
      <c r="BG337" s="41" t="str">
        <f>IF(BF337&lt;&gt;"",BF337,BE337)</f>
        <v>A3</v>
      </c>
      <c r="BH337" s="40" t="str">
        <f>IFERROR(CHOOSE(INDEX(B_RANK,MATCH(BG337,B_LVL,0)),"Band A","Band B","B+ · Player-Coach","Band C","C+ · Player-Coach","Band D","Band E"),"Band X · Consultant")</f>
        <v>Band A</v>
      </c>
      <c r="BI337" s="40" t="str">
        <f>IF(BG337=AY337,"• Same",IF(INDEX(B_VAL,MATCH(BG337,B_LVL,0))&gt;INDEX(B_VAL,MATCH(AY337,B_LVL,0)),"▲ Up","▼ Down"))</f>
        <v>• Same</v>
      </c>
      <c r="BJ337" s="40" t="str">
        <f>IF(OR($M337="",$M337="—",$M337="Not in this file"),"",IFERROR(INDEX($BG$7:$BG$592,MATCH($M337,$D$7:$D$592,0)),""))</f>
        <v>B1</v>
      </c>
      <c r="BK337" s="40" t="str">
        <f>IFERROR(IF(BJ337="","—",IF(OR(LEFT(BG337,1)="X",LEFT(BJ337,1)="X"),"—",IF(AND(LEFT(BG337,1)="E",LEFT(BJ337,1)="E"),"Exception · Band E",IF(AND(INDEX(B_VAL,MATCH(BJ337,B_LVL,0))&gt;=7,INDEX(B_RANK,MATCH(BG337,B_LVL,0))&gt;=INDEX(B_RANK,MATCH(BJ337,B_LVL,0))),"⚠ Same band as a head manager",IF(INDEX(B_VAL,MATCH(BG337,B_LVL,0))&gt;=INDEX(B_VAL,MATCH(BJ337,B_LVL,0)),"⚠ At or above the manager's level","OK"))))),"—")</f>
        <v>OK</v>
      </c>
      <c r="BL337" s="43" t="n"/>
      <c r="BM337" s="44">
        <f>IFERROR(INDEX(LMH_PTS,MATCH(Y337,LMH_KEY,0)),0)</f>
        <v>9</v>
      </c>
      <c r="BN337" s="38">
        <f>IFERROR(INDEX(LMH_PTS,MATCH(Z337,LMH_KEY,0)),0)</f>
        <v>3</v>
      </c>
      <c r="BO337" s="38">
        <f>IFERROR(INDEX(LMH_PTS,MATCH(AA337,LMH_KEY,0)),0)</f>
        <v>1</v>
      </c>
      <c r="BP337" s="38">
        <f>IFERROR(INDEX(LMH_PTS,MATCH(AB337,LMH_KEY,0)),0)</f>
        <v>1</v>
      </c>
      <c r="BQ337" s="38">
        <f>IFERROR(INDEX(LMH_PTS,MATCH(AC337,LMH_KEY,0)),0)</f>
        <v>1</v>
      </c>
      <c r="BR337" s="38">
        <f>IFERROR(INDEX(LMH_PTS,MATCH(AD337,LMH_KEY,0)),0)</f>
        <v>1</v>
      </c>
      <c r="BS337" s="38">
        <f>IFERROR(INDEX(LMH_PTS,MATCH(AE337,LMH_KEY,0)),0)</f>
        <v>1</v>
      </c>
      <c r="BT337" s="38">
        <f>IFERROR(INDEX(LMH_STEP,MATCH(AF337,LMH_KEY,0)),0)</f>
        <v>0</v>
      </c>
      <c r="BU337" s="38">
        <f>IFERROR(INDEX(LMH_STEP,MATCH(AG337,LMH_KEY,0)),0)</f>
        <v>0</v>
      </c>
      <c r="BV337" s="38">
        <f>IFERROR(INDEX(LMH_STEP,MATCH(AH337,LMH_KEY,0)),0)</f>
        <v>0</v>
      </c>
      <c r="BW337" s="38">
        <f>IFERROR(INDEX(LMH_STEP,MATCH(AI337,LMH_KEY,0)),0)</f>
        <v>0</v>
      </c>
      <c r="BX337" s="38">
        <f>IFERROR(INDEX(LMH_STEP,MATCH(AJ337,LMH_KEY,0)),0)</f>
        <v>0</v>
      </c>
      <c r="BY337" s="38">
        <f>IFERROR(INDEX(LMH_STEP,MATCH(AK337,LMH_KEY,0)),0)</f>
        <v>0</v>
      </c>
      <c r="BZ337" s="38">
        <f>IFERROR(INDEX(LMH_STEP,MATCH(AL337,LMH_KEY,0)),0)</f>
        <v>0</v>
      </c>
      <c r="CA337" s="38" t="inlineStr">
        <is>
          <t>iFile|Quality Assurance|Senior QA Engineer|A3|A</t>
        </is>
      </c>
    </row>
    <row r="338" ht="110" customHeight="1">
      <c r="A338" s="28" t="inlineStr">
        <is>
          <t>iFile</t>
        </is>
      </c>
      <c r="B338" s="29" t="inlineStr">
        <is>
          <t>Quality Assurance</t>
        </is>
      </c>
      <c r="C338" s="29" t="n">
        <v>5</v>
      </c>
      <c r="D338" s="29" t="inlineStr">
        <is>
          <t>IRIS2041</t>
        </is>
      </c>
      <c r="E338" s="29" t="inlineStr">
        <is>
          <t>Sandip Potkule</t>
        </is>
      </c>
      <c r="F338" s="29" t="inlineStr">
        <is>
          <t>QA Engineer</t>
        </is>
      </c>
      <c r="G338" s="29" t="inlineStr">
        <is>
          <t>Senior QA Engineer</t>
        </is>
      </c>
      <c r="H338" s="29" t="inlineStr">
        <is>
          <t>Quality Assurance</t>
        </is>
      </c>
      <c r="I338" s="29" t="inlineStr">
        <is>
          <t>Functional &amp; Domain Testing</t>
        </is>
      </c>
      <c r="J338" s="29" t="inlineStr">
        <is>
          <t>IC</t>
        </is>
      </c>
      <c r="K338" s="29" t="inlineStr">
        <is>
          <t>RC-141</t>
        </is>
      </c>
      <c r="L338" s="29" t="inlineStr">
        <is>
          <t>Pallavi Suryavanshi</t>
        </is>
      </c>
      <c r="M338" s="29" t="inlineStr">
        <is>
          <t>IRIS1654</t>
        </is>
      </c>
      <c r="N338" s="29" t="n">
        <v>4.2</v>
      </c>
      <c r="O338" s="29" t="n">
        <v>4.2</v>
      </c>
      <c r="P338" s="29" t="inlineStr">
        <is>
          <t>B.E</t>
        </is>
      </c>
      <c r="Q338" s="29" t="inlineStr">
        <is>
          <t>L3 – Professional / Associate</t>
        </is>
      </c>
      <c r="R338" s="29" t="inlineStr">
        <is>
          <t>A3</t>
        </is>
      </c>
      <c r="S338" s="30" t="inlineStr">
        <is>
          <t>0 of 20</t>
        </is>
      </c>
      <c r="T338" s="31" t="inlineStr">
        <is>
          <t>Complexity: Evidence reads like A2: KRA only: test case writing, execution, API testing and production-issue retesting for SBC → matches the start
Autonomy: Evidence reads like A2: No survey; KRA implies planning own testing and giving QA sign-off → matches the start
Accountability: Evidence reads like A3: KRA: formal QA sign-off to the client for …</t>
        </is>
      </c>
      <c r="U338" s="31" t="inlineStr">
        <is>
          <t>Received · manager annual, quarterly, self · 1. Manage end-to-end testing activities for the assigned projects, including planning, execution, and coordination with stakeholders.
2. Prepare, maintain, and execute comprehensive test cases and test data to ensure complete business requirement coverage.
3. Coordinate with development, business, and client teams to …</t>
        </is>
      </c>
      <c r="V338" s="31" t="inlineStr">
        <is>
          <t>Latest rating: 4 · Potential: Medium · 9-box: Trusted Professional · Readiness: Ready in 6–12 months</t>
        </is>
      </c>
      <c r="W338" s="31" t="inlineStr">
        <is>
          <t>C L · Au L · Ac M · L L · BI M · Exp H · 4.2 yrs vs 2–4 yrs · Edu M · B.E</t>
        </is>
      </c>
      <c r="X338" s="33" t="inlineStr">
        <is>
          <t>Open ▸</t>
        </is>
      </c>
      <c r="Y338" s="34" t="str">
        <f>IFERROR(INDEX(DL_C,MATCH($CA338,DL_KEY,0)),"M")</f>
        <v>H</v>
      </c>
      <c r="Z338" s="35" t="str">
        <f>IFERROR(INDEX(DL_Au,MATCH($CA338,DL_KEY,0)),"M")</f>
        <v>M</v>
      </c>
      <c r="AA338" s="35" t="str">
        <f>IFERROR(INDEX(DL_Ac,MATCH($CA338,DL_KEY,0)),"M")</f>
        <v>L</v>
      </c>
      <c r="AB338" s="35" t="str">
        <f>IFERROR(INDEX(DL_L,MATCH($CA338,DL_KEY,0)),"M")</f>
        <v>L</v>
      </c>
      <c r="AC338" s="35" t="str">
        <f>IFERROR(INDEX(DL_BI,MATCH($CA338,DL_KEY,0)),"M")</f>
        <v>L</v>
      </c>
      <c r="AD338" s="35" t="str">
        <f>IFERROR(INDEX(DL_Exp,MATCH($CA338,DL_KEY,0)),"M")</f>
        <v>L</v>
      </c>
      <c r="AE338" s="35" t="str">
        <f>IFERROR(INDEX(DL_Edu,MATCH($CA338,DL_KEY,0)),"M")</f>
        <v>L</v>
      </c>
      <c r="AF338" s="34" t="inlineStr">
        <is>
          <t>M</t>
        </is>
      </c>
      <c r="AG338" s="35" t="inlineStr">
        <is>
          <t>M</t>
        </is>
      </c>
      <c r="AH338" s="35" t="inlineStr">
        <is>
          <t>M</t>
        </is>
      </c>
      <c r="AI338" s="35" t="inlineStr">
        <is>
          <t>M</t>
        </is>
      </c>
      <c r="AJ338" s="35" t="inlineStr">
        <is>
          <t>M</t>
        </is>
      </c>
      <c r="AK338" s="35" t="inlineStr">
        <is>
          <t>M</t>
        </is>
      </c>
      <c r="AL338" s="35" t="inlineStr">
        <is>
          <t>M</t>
        </is>
      </c>
      <c r="AM338" s="36" t="n">
        <v>0.583</v>
      </c>
      <c r="AN338" s="37" t="n">
        <v>0.16</v>
      </c>
      <c r="AO338" s="37" t="n">
        <v>0.09</v>
      </c>
      <c r="AP338" s="37" t="n">
        <v>0</v>
      </c>
      <c r="AQ338" s="37" t="n">
        <v>0.063</v>
      </c>
      <c r="AR338" s="37" t="n">
        <v>0.06</v>
      </c>
      <c r="AS338" s="37" t="n">
        <v>0.04</v>
      </c>
      <c r="AT338" s="38" t="inlineStr">
        <is>
          <t>2–5</t>
        </is>
      </c>
      <c r="AU338" s="38" t="inlineStr">
        <is>
          <t>Graduate; relevant certification preferred</t>
        </is>
      </c>
      <c r="AV338" s="38" t="inlineStr">
        <is>
          <t>None · guides 1–3 juniors informally</t>
        </is>
      </c>
      <c r="AW338" s="38" t="inlineStr">
        <is>
          <t>P2 · SFIA 3 Apply</t>
        </is>
      </c>
      <c r="AX33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38" s="39" t="inlineStr">
        <is>
          <t>A3</t>
        </is>
      </c>
      <c r="AZ338" s="40" t="inlineStr">
        <is>
          <t>Band A · Practitioner · Senior Associate</t>
        </is>
      </c>
      <c r="BA338" s="40" t="inlineStr">
        <is>
          <t>Model A3 from the six ratings, the market-derived weights and rules R1–R13 · then No change · already below the manager</t>
        </is>
      </c>
      <c r="BB338" s="41" t="inlineStr">
        <is>
          <t>A2</t>
        </is>
      </c>
      <c r="BC338" s="40" t="inlineStr">
        <is>
          <t>The six ratings on the market-average weights of Band A · all tracks score 2.23 → A2 · Hay, Mercer IPE and public plans · experience 4.2 yrs vs the A2 market range 0–3</t>
        </is>
      </c>
      <c r="BD338" s="42">
        <f>IF(SUM(BM338,BN338,BO338,BP338,BQ338,BR338,BS338)=0,0,(BM338*BT338+BN338*BU338+BO338*BV338+BP338*BW338+BQ338*BX338+BR338*BY338+BS338*BZ338)/SUM(BM338,BN338,BO338,BP338,BQ338,BR338,BS338))</f>
        <v>0</v>
      </c>
      <c r="BE338" s="41" t="str">
        <f>IF(LEFT(AY338,1)="X",AY338,IF(OR(AY338="B+",AY338="C+"),INDEX(LAD_PC,MAX(1,MIN(14,MATCH(AY338,LAD_PC,0)+IF(BD338&gt;=0.5,1,IF(BD338&lt;=-0.5,-1,0))))),INDEX(LAD_STD,MAX(1,MIN(12,MATCH(AY338,LAD_STD,0)+IF(BD338&gt;=0.5,1,IF(BD338&lt;=-0.5,-1,0)))))))</f>
        <v>A3</v>
      </c>
      <c r="BF338" s="43" t="n"/>
      <c r="BG338" s="41" t="str">
        <f>IF(BF338&lt;&gt;"",BF338,BE338)</f>
        <v>A3</v>
      </c>
      <c r="BH338" s="40" t="str">
        <f>IFERROR(CHOOSE(INDEX(B_RANK,MATCH(BG338,B_LVL,0)),"Band A","Band B","B+ · Player-Coach","Band C","C+ · Player-Coach","Band D","Band E"),"Band X · Consultant")</f>
        <v>Band A</v>
      </c>
      <c r="BI338" s="40" t="str">
        <f>IF(BG338=AY338,"• Same",IF(INDEX(B_VAL,MATCH(BG338,B_LVL,0))&gt;INDEX(B_VAL,MATCH(AY338,B_LVL,0)),"▲ Up","▼ Down"))</f>
        <v>• Same</v>
      </c>
      <c r="BJ338" s="40" t="str">
        <f>IF(OR($M338="",$M338="—",$M338="Not in this file"),"",IFERROR(INDEX($BG$7:$BG$592,MATCH($M338,$D$7:$D$592,0)),""))</f>
        <v>B1</v>
      </c>
      <c r="BK338" s="40" t="str">
        <f>IFERROR(IF(BJ338="","—",IF(OR(LEFT(BG338,1)="X",LEFT(BJ338,1)="X"),"—",IF(AND(LEFT(BG338,1)="E",LEFT(BJ338,1)="E"),"Exception · Band E",IF(AND(INDEX(B_VAL,MATCH(BJ338,B_LVL,0))&gt;=7,INDEX(B_RANK,MATCH(BG338,B_LVL,0))&gt;=INDEX(B_RANK,MATCH(BJ338,B_LVL,0))),"⚠ Same band as a head manager",IF(INDEX(B_VAL,MATCH(BG338,B_LVL,0))&gt;=INDEX(B_VAL,MATCH(BJ338,B_LVL,0)),"⚠ At or above the manager's level","OK"))))),"—")</f>
        <v>OK</v>
      </c>
      <c r="BL338" s="43" t="n"/>
      <c r="BM338" s="44">
        <f>IFERROR(INDEX(LMH_PTS,MATCH(Y338,LMH_KEY,0)),0)</f>
        <v>9</v>
      </c>
      <c r="BN338" s="38">
        <f>IFERROR(INDEX(LMH_PTS,MATCH(Z338,LMH_KEY,0)),0)</f>
        <v>3</v>
      </c>
      <c r="BO338" s="38">
        <f>IFERROR(INDEX(LMH_PTS,MATCH(AA338,LMH_KEY,0)),0)</f>
        <v>1</v>
      </c>
      <c r="BP338" s="38">
        <f>IFERROR(INDEX(LMH_PTS,MATCH(AB338,LMH_KEY,0)),0)</f>
        <v>1</v>
      </c>
      <c r="BQ338" s="38">
        <f>IFERROR(INDEX(LMH_PTS,MATCH(AC338,LMH_KEY,0)),0)</f>
        <v>1</v>
      </c>
      <c r="BR338" s="38">
        <f>IFERROR(INDEX(LMH_PTS,MATCH(AD338,LMH_KEY,0)),0)</f>
        <v>1</v>
      </c>
      <c r="BS338" s="38">
        <f>IFERROR(INDEX(LMH_PTS,MATCH(AE338,LMH_KEY,0)),0)</f>
        <v>1</v>
      </c>
      <c r="BT338" s="38">
        <f>IFERROR(INDEX(LMH_STEP,MATCH(AF338,LMH_KEY,0)),0)</f>
        <v>0</v>
      </c>
      <c r="BU338" s="38">
        <f>IFERROR(INDEX(LMH_STEP,MATCH(AG338,LMH_KEY,0)),0)</f>
        <v>0</v>
      </c>
      <c r="BV338" s="38">
        <f>IFERROR(INDEX(LMH_STEP,MATCH(AH338,LMH_KEY,0)),0)</f>
        <v>0</v>
      </c>
      <c r="BW338" s="38">
        <f>IFERROR(INDEX(LMH_STEP,MATCH(AI338,LMH_KEY,0)),0)</f>
        <v>0</v>
      </c>
      <c r="BX338" s="38">
        <f>IFERROR(INDEX(LMH_STEP,MATCH(AJ338,LMH_KEY,0)),0)</f>
        <v>0</v>
      </c>
      <c r="BY338" s="38">
        <f>IFERROR(INDEX(LMH_STEP,MATCH(AK338,LMH_KEY,0)),0)</f>
        <v>0</v>
      </c>
      <c r="BZ338" s="38">
        <f>IFERROR(INDEX(LMH_STEP,MATCH(AL338,LMH_KEY,0)),0)</f>
        <v>0</v>
      </c>
      <c r="CA338" s="38" t="inlineStr">
        <is>
          <t>iFile|Quality Assurance|Senior QA Engineer|A3|A</t>
        </is>
      </c>
    </row>
    <row r="339" ht="110" customHeight="1">
      <c r="A339" s="28" t="inlineStr">
        <is>
          <t>iFile</t>
        </is>
      </c>
      <c r="B339" s="29" t="inlineStr">
        <is>
          <t>Quality Assurance</t>
        </is>
      </c>
      <c r="C339" s="29" t="n">
        <v>4</v>
      </c>
      <c r="D339" s="29" t="inlineStr">
        <is>
          <t>IRIS1923</t>
        </is>
      </c>
      <c r="E339" s="29" t="inlineStr">
        <is>
          <t>Ruturaj Kadam</t>
        </is>
      </c>
      <c r="F339" s="29" t="inlineStr">
        <is>
          <t>Senior QA - Engineer</t>
        </is>
      </c>
      <c r="G339" s="29" t="inlineStr">
        <is>
          <t>QA Specialist – POD Lead</t>
        </is>
      </c>
      <c r="H339" s="29" t="inlineStr">
        <is>
          <t>Quality Assurance</t>
        </is>
      </c>
      <c r="I339" s="29" t="inlineStr">
        <is>
          <t>Functional &amp; Domain Testing</t>
        </is>
      </c>
      <c r="J339" s="29" t="inlineStr">
        <is>
          <t>POD Lead</t>
        </is>
      </c>
      <c r="K339" s="29" t="inlineStr">
        <is>
          <t>RC-142</t>
        </is>
      </c>
      <c r="L339" s="29" t="inlineStr">
        <is>
          <t>Davinder Pal Singh</t>
        </is>
      </c>
      <c r="M339" s="29" t="inlineStr">
        <is>
          <t>IRIS0728</t>
        </is>
      </c>
      <c r="N339" s="29" t="n">
        <v>8.4</v>
      </c>
      <c r="O339" s="29" t="n">
        <v>5.2</v>
      </c>
      <c r="P339" s="29" t="inlineStr">
        <is>
          <t>B.E</t>
        </is>
      </c>
      <c r="Q339" s="29" t="inlineStr">
        <is>
          <t>L4 – Senior</t>
        </is>
      </c>
      <c r="R339" s="29" t="inlineStr">
        <is>
          <t>B1</t>
        </is>
      </c>
      <c r="S339" s="30" t="inlineStr">
        <is>
          <t>20 of 20</t>
        </is>
      </c>
      <c r="T339" s="31" t="inlineStr">
        <is>
          <t>Complexity: Evidence reads like A3: Test strategy and planning for QCB UAT release; resolves client queries end to end across teams → matches the start
Autonomy: Evidence reads like A3: Decides test execution coverage; handles client queries through to resolution → matches the start
Accountability: Evidence reads like B1: Led QA for QCB UAT Release 1 with …</t>
        </is>
      </c>
      <c r="U339" s="31" t="inlineStr">
        <is>
          <t>Received · manager annual, quarterly, self · 1. Project Delivery &amp; QA Execution
Successfully delivered the QCB Project UAT · Release 1. and Phase 1 Portal release, including F010, F012, F013, F014, and F015 returns, within the planned timeline. Effectively managed test planning, execution, defect tracking, and stakeholder communication, ensuring high-quality …</t>
        </is>
      </c>
      <c r="V339" s="31" t="inlineStr">
        <is>
          <t>Latest rating: 4 · Potential: Medium · 9-box: Emerging Talent · Readiness: Ready in 6–12 months</t>
        </is>
      </c>
      <c r="W339" s="31" t="inlineStr">
        <is>
          <t>C L · Au L · Ac M · L L · BI M · Exp H · 8.4 yrs vs 4–7 yrs · Edu M · B.E</t>
        </is>
      </c>
      <c r="X339" s="33" t="inlineStr">
        <is>
          <t>Open ▸</t>
        </is>
      </c>
      <c r="Y339" s="34" t="str">
        <f>IFERROR(INDEX(DL_C,MATCH($CA339,DL_KEY,0)),"M")</f>
        <v>H</v>
      </c>
      <c r="Z339" s="35" t="str">
        <f>IFERROR(INDEX(DL_Au,MATCH($CA339,DL_KEY,0)),"M")</f>
        <v>M</v>
      </c>
      <c r="AA339" s="35" t="str">
        <f>IFERROR(INDEX(DL_Ac,MATCH($CA339,DL_KEY,0)),"M")</f>
        <v>L</v>
      </c>
      <c r="AB339" s="35" t="str">
        <f>IFERROR(INDEX(DL_L,MATCH($CA339,DL_KEY,0)),"M")</f>
        <v>L</v>
      </c>
      <c r="AC339" s="35" t="str">
        <f>IFERROR(INDEX(DL_BI,MATCH($CA339,DL_KEY,0)),"M")</f>
        <v>L</v>
      </c>
      <c r="AD339" s="35" t="str">
        <f>IFERROR(INDEX(DL_Exp,MATCH($CA339,DL_KEY,0)),"M")</f>
        <v>L</v>
      </c>
      <c r="AE339" s="35" t="str">
        <f>IFERROR(INDEX(DL_Edu,MATCH($CA339,DL_KEY,0)),"M")</f>
        <v>L</v>
      </c>
      <c r="AF339" s="34" t="inlineStr">
        <is>
          <t>M</t>
        </is>
      </c>
      <c r="AG339" s="35" t="inlineStr">
        <is>
          <t>M</t>
        </is>
      </c>
      <c r="AH339" s="35" t="inlineStr">
        <is>
          <t>M</t>
        </is>
      </c>
      <c r="AI339" s="35" t="inlineStr">
        <is>
          <t>M</t>
        </is>
      </c>
      <c r="AJ339" s="35" t="inlineStr">
        <is>
          <t>M</t>
        </is>
      </c>
      <c r="AK339" s="35" t="inlineStr">
        <is>
          <t>M</t>
        </is>
      </c>
      <c r="AL339" s="35" t="inlineStr">
        <is>
          <t>M</t>
        </is>
      </c>
      <c r="AM339" s="36" t="n">
        <v>0.513</v>
      </c>
      <c r="AN339" s="37" t="n">
        <v>0.173</v>
      </c>
      <c r="AO339" s="37" t="n">
        <v>0.09699999999999999</v>
      </c>
      <c r="AP339" s="37" t="n">
        <v>0.05</v>
      </c>
      <c r="AQ339" s="37" t="n">
        <v>0.07000000000000001</v>
      </c>
      <c r="AR339" s="37" t="n">
        <v>0.06</v>
      </c>
      <c r="AS339" s="37" t="n">
        <v>0.04</v>
      </c>
      <c r="AT339" s="38" t="inlineStr">
        <is>
          <t>4–8</t>
        </is>
      </c>
      <c r="AU339" s="38" t="inlineStr">
        <is>
          <t>Graduate + relevant qualification or certification preferred</t>
        </is>
      </c>
      <c r="AV339" s="38" t="inlineStr">
        <is>
          <t>IC: none · Team Lead: 3–5</t>
        </is>
      </c>
      <c r="AW339" s="38" t="inlineStr">
        <is>
          <t>P3 / M2 · SFIA 4 Enable</t>
        </is>
      </c>
      <c r="AX33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39" s="39" t="inlineStr">
        <is>
          <t>B1</t>
        </is>
      </c>
      <c r="AZ339" s="40" t="inlineStr">
        <is>
          <t>Band B · Specialist / Manager · Team Lead / Asst Manager</t>
        </is>
      </c>
      <c r="BA339" s="40" t="inlineStr">
        <is>
          <t>Model B1 from the six ratings, the market-derived weights and rules R1–R13 · then No change · already below the manager</t>
        </is>
      </c>
      <c r="BB339" s="41" t="inlineStr">
        <is>
          <t>A3</t>
        </is>
      </c>
      <c r="BC339" s="40" t="inlineStr">
        <is>
          <t>The six ratings on the market-average weights of Band B · Specialist / POD Lead score 3.42 → A3 · Hay, Mercer IPE and public plans · experience 8.4 yrs vs the A3 market range 2–5</t>
        </is>
      </c>
      <c r="BD339" s="42">
        <f>IF(SUM(BM339,BN339,BO339,BP339,BQ339,BR339,BS339)=0,0,(BM339*BT339+BN339*BU339+BO339*BV339+BP339*BW339+BQ339*BX339+BR339*BY339+BS339*BZ339)/SUM(BM339,BN339,BO339,BP339,BQ339,BR339,BS339))</f>
        <v>0</v>
      </c>
      <c r="BE339" s="41" t="str">
        <f>IF(LEFT(AY339,1)="X",AY339,IF(OR(AY339="B+",AY339="C+"),INDEX(LAD_PC,MAX(1,MIN(14,MATCH(AY339,LAD_PC,0)+IF(BD339&gt;=0.5,1,IF(BD339&lt;=-0.5,-1,0))))),INDEX(LAD_STD,MAX(1,MIN(12,MATCH(AY339,LAD_STD,0)+IF(BD339&gt;=0.5,1,IF(BD339&lt;=-0.5,-1,0)))))))</f>
        <v>B1</v>
      </c>
      <c r="BF339" s="43" t="n"/>
      <c r="BG339" s="41" t="str">
        <f>IF(BF339&lt;&gt;"",BF339,BE339)</f>
        <v>B1</v>
      </c>
      <c r="BH339" s="40" t="str">
        <f>IFERROR(CHOOSE(INDEX(B_RANK,MATCH(BG339,B_LVL,0)),"Band A","Band B","B+ · Player-Coach","Band C","C+ · Player-Coach","Band D","Band E"),"Band X · Consultant")</f>
        <v>Band B</v>
      </c>
      <c r="BI339" s="40" t="str">
        <f>IF(BG339=AY339,"• Same",IF(INDEX(B_VAL,MATCH(BG339,B_LVL,0))&gt;INDEX(B_VAL,MATCH(AY339,B_LVL,0)),"▲ Up","▼ Down"))</f>
        <v>• Same</v>
      </c>
      <c r="BJ339" s="40" t="str">
        <f>IF(OR($M339="",$M339="—",$M339="Not in this file"),"",IFERROR(INDEX($BG$7:$BG$592,MATCH($M339,$D$7:$D$592,0)),""))</f>
        <v>B2</v>
      </c>
      <c r="BK339" s="40" t="str">
        <f>IFERROR(IF(BJ339="","—",IF(OR(LEFT(BG339,1)="X",LEFT(BJ339,1)="X"),"—",IF(AND(LEFT(BG339,1)="E",LEFT(BJ339,1)="E"),"Exception · Band E",IF(AND(INDEX(B_VAL,MATCH(BJ339,B_LVL,0))&gt;=7,INDEX(B_RANK,MATCH(BG339,B_LVL,0))&gt;=INDEX(B_RANK,MATCH(BJ339,B_LVL,0))),"⚠ Same band as a head manager",IF(INDEX(B_VAL,MATCH(BG339,B_LVL,0))&gt;=INDEX(B_VAL,MATCH(BJ339,B_LVL,0)),"⚠ At or above the manager's level","OK"))))),"—")</f>
        <v>OK</v>
      </c>
      <c r="BL339" s="43" t="n"/>
      <c r="BM339" s="44">
        <f>IFERROR(INDEX(LMH_PTS,MATCH(Y339,LMH_KEY,0)),0)</f>
        <v>9</v>
      </c>
      <c r="BN339" s="38">
        <f>IFERROR(INDEX(LMH_PTS,MATCH(Z339,LMH_KEY,0)),0)</f>
        <v>3</v>
      </c>
      <c r="BO339" s="38">
        <f>IFERROR(INDEX(LMH_PTS,MATCH(AA339,LMH_KEY,0)),0)</f>
        <v>1</v>
      </c>
      <c r="BP339" s="38">
        <f>IFERROR(INDEX(LMH_PTS,MATCH(AB339,LMH_KEY,0)),0)</f>
        <v>1</v>
      </c>
      <c r="BQ339" s="38">
        <f>IFERROR(INDEX(LMH_PTS,MATCH(AC339,LMH_KEY,0)),0)</f>
        <v>1</v>
      </c>
      <c r="BR339" s="38">
        <f>IFERROR(INDEX(LMH_PTS,MATCH(AD339,LMH_KEY,0)),0)</f>
        <v>1</v>
      </c>
      <c r="BS339" s="38">
        <f>IFERROR(INDEX(LMH_PTS,MATCH(AE339,LMH_KEY,0)),0)</f>
        <v>1</v>
      </c>
      <c r="BT339" s="38">
        <f>IFERROR(INDEX(LMH_STEP,MATCH(AF339,LMH_KEY,0)),0)</f>
        <v>0</v>
      </c>
      <c r="BU339" s="38">
        <f>IFERROR(INDEX(LMH_STEP,MATCH(AG339,LMH_KEY,0)),0)</f>
        <v>0</v>
      </c>
      <c r="BV339" s="38">
        <f>IFERROR(INDEX(LMH_STEP,MATCH(AH339,LMH_KEY,0)),0)</f>
        <v>0</v>
      </c>
      <c r="BW339" s="38">
        <f>IFERROR(INDEX(LMH_STEP,MATCH(AI339,LMH_KEY,0)),0)</f>
        <v>0</v>
      </c>
      <c r="BX339" s="38">
        <f>IFERROR(INDEX(LMH_STEP,MATCH(AJ339,LMH_KEY,0)),0)</f>
        <v>0</v>
      </c>
      <c r="BY339" s="38">
        <f>IFERROR(INDEX(LMH_STEP,MATCH(AK339,LMH_KEY,0)),0)</f>
        <v>0</v>
      </c>
      <c r="BZ339" s="38">
        <f>IFERROR(INDEX(LMH_STEP,MATCH(AL339,LMH_KEY,0)),0)</f>
        <v>0</v>
      </c>
      <c r="CA339" s="38" t="inlineStr">
        <is>
          <t>iFile|Quality Assurance|QA Specialist – POD Lead|B1|B-IC</t>
        </is>
      </c>
    </row>
    <row r="340" ht="110" customHeight="1">
      <c r="A340" s="28" t="inlineStr">
        <is>
          <t>iFile</t>
        </is>
      </c>
      <c r="B340" s="29" t="inlineStr">
        <is>
          <t>Quality Assurance</t>
        </is>
      </c>
      <c r="C340" s="29" t="n">
        <v>5</v>
      </c>
      <c r="D340" s="29" t="inlineStr">
        <is>
          <t>IRIS2452</t>
        </is>
      </c>
      <c r="E340" s="29" t="inlineStr">
        <is>
          <t>Chinmay Dambe</t>
        </is>
      </c>
      <c r="F340" s="29" t="inlineStr">
        <is>
          <t>Trainee QA Engineer</t>
        </is>
      </c>
      <c r="G340" s="29" t="inlineStr">
        <is>
          <t>Trainee QA Automation Engineer</t>
        </is>
      </c>
      <c r="H340" s="29" t="inlineStr">
        <is>
          <t>Quality Assurance</t>
        </is>
      </c>
      <c r="I340" s="29" t="inlineStr">
        <is>
          <t>Test Automation</t>
        </is>
      </c>
      <c r="J340" s="29" t="inlineStr">
        <is>
          <t>IC</t>
        </is>
      </c>
      <c r="K340" s="29" t="inlineStr">
        <is>
          <t>RC-145</t>
        </is>
      </c>
      <c r="L340" s="29" t="inlineStr">
        <is>
          <t>Ruturaj Kadam</t>
        </is>
      </c>
      <c r="M340" s="29" t="inlineStr">
        <is>
          <t>IRIS1923</t>
        </is>
      </c>
      <c r="N340" s="29" t="n">
        <v>0.8</v>
      </c>
      <c r="O340" s="29" t="n">
        <v>0.8</v>
      </c>
      <c r="P340" s="29" t="inlineStr">
        <is>
          <t>B.E</t>
        </is>
      </c>
      <c r="Q340" s="29" t="inlineStr">
        <is>
          <t>L2 – Trainee</t>
        </is>
      </c>
      <c r="R340" s="29" t="inlineStr">
        <is>
          <t>A1</t>
        </is>
      </c>
      <c r="S340" s="30" t="inlineStr">
        <is>
          <t>19 of 20</t>
        </is>
      </c>
      <c r="T340" s="32" t="inlineStr">
        <is>
          <t>Full survey answers not in the files received · How We Grow export needed · HR</t>
        </is>
      </c>
      <c r="U340" s="31" t="inlineStr">
        <is>
          <t>Received · manager annual, quarterly, self · 1. Successfully completed the assigned certification, demonstrating commitment to continuous learning and professional development.
2. Should focus on improving execution by completing the pending QCB Portal tasks within the planned timelines and taking greater ownership of assigned deliverables.
3. Needs to …</t>
        </is>
      </c>
      <c r="V340" s="31" t="inlineStr">
        <is>
          <t>Latest rating: 3 · Potential: Medium · 9-box: High Impact / Growth Talent · Readiness: Develop in role</t>
        </is>
      </c>
      <c r="W340" s="31" t="inlineStr">
        <is>
          <t>C — · Au — · Ac — · L — · BI — · Exp H · 0.8 yrs vs 0 yrs · fresher / intern · Edu M · B.E</t>
        </is>
      </c>
      <c r="X340" s="33" t="inlineStr">
        <is>
          <t>Open ▸</t>
        </is>
      </c>
      <c r="Y340" s="34" t="str">
        <f>IFERROR(INDEX(DL_C,MATCH($CA340,DL_KEY,0)),"M")</f>
        <v>H</v>
      </c>
      <c r="Z340" s="35" t="str">
        <f>IFERROR(INDEX(DL_Au,MATCH($CA340,DL_KEY,0)),"M")</f>
        <v>M</v>
      </c>
      <c r="AA340" s="35" t="str">
        <f>IFERROR(INDEX(DL_Ac,MATCH($CA340,DL_KEY,0)),"M")</f>
        <v>L</v>
      </c>
      <c r="AB340" s="35" t="str">
        <f>IFERROR(INDEX(DL_L,MATCH($CA340,DL_KEY,0)),"M")</f>
        <v>L</v>
      </c>
      <c r="AC340" s="35" t="str">
        <f>IFERROR(INDEX(DL_BI,MATCH($CA340,DL_KEY,0)),"M")</f>
        <v>L</v>
      </c>
      <c r="AD340" s="35" t="str">
        <f>IFERROR(INDEX(DL_Exp,MATCH($CA340,DL_KEY,0)),"M")</f>
        <v>L</v>
      </c>
      <c r="AE340" s="35" t="str">
        <f>IFERROR(INDEX(DL_Edu,MATCH($CA340,DL_KEY,0)),"M")</f>
        <v>L</v>
      </c>
      <c r="AF340" s="34" t="inlineStr">
        <is>
          <t>M</t>
        </is>
      </c>
      <c r="AG340" s="35" t="inlineStr">
        <is>
          <t>M</t>
        </is>
      </c>
      <c r="AH340" s="35" t="inlineStr">
        <is>
          <t>M</t>
        </is>
      </c>
      <c r="AI340" s="35" t="inlineStr">
        <is>
          <t>M</t>
        </is>
      </c>
      <c r="AJ340" s="35" t="inlineStr">
        <is>
          <t>M</t>
        </is>
      </c>
      <c r="AK340" s="35" t="inlineStr">
        <is>
          <t>M</t>
        </is>
      </c>
      <c r="AL340" s="35" t="inlineStr">
        <is>
          <t>M</t>
        </is>
      </c>
      <c r="AM340" s="36" t="n">
        <v>0.583</v>
      </c>
      <c r="AN340" s="37" t="n">
        <v>0.16</v>
      </c>
      <c r="AO340" s="37" t="n">
        <v>0.09</v>
      </c>
      <c r="AP340" s="37" t="n">
        <v>0</v>
      </c>
      <c r="AQ340" s="37" t="n">
        <v>0.063</v>
      </c>
      <c r="AR340" s="37" t="n">
        <v>0.06</v>
      </c>
      <c r="AS340" s="37" t="n">
        <v>0.04</v>
      </c>
      <c r="AT340" s="38" t="inlineStr">
        <is>
          <t>0 yrs · fresher / intern</t>
        </is>
      </c>
      <c r="AU340" s="38" t="inlineStr">
        <is>
          <t>Pursuing or completed graduation / diploma</t>
        </is>
      </c>
      <c r="AV340" s="38" t="inlineStr">
        <is>
          <t>No direct reports</t>
        </is>
      </c>
      <c r="AW340" s="38" t="inlineStr">
        <is>
          <t>Entry / P1 · intern · SFIA 1 Follow</t>
        </is>
      </c>
      <c r="AX34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40" s="39" t="inlineStr">
        <is>
          <t>A1</t>
        </is>
      </c>
      <c r="AZ340" s="40" t="inlineStr">
        <is>
          <t>Band A · Practitioner · Intern / Trainee</t>
        </is>
      </c>
      <c r="BA340" s="40" t="inlineStr">
        <is>
          <t>Model A1 from the six ratings, the market-derived weights and rules R1–R13 · then No change · already below the manager</t>
        </is>
      </c>
      <c r="BB340" s="41" t="inlineStr">
        <is>
          <t>A1</t>
        </is>
      </c>
      <c r="BC340" s="40" t="inlineStr">
        <is>
          <t>Placed by a category rule — no full set of ratings · benchmark follows the HR proposed level</t>
        </is>
      </c>
      <c r="BD340" s="42">
        <f>IF(SUM(BM340,BN340,BO340,BP340,BQ340,BR340,BS340)=0,0,(BM340*BT340+BN340*BU340+BO340*BV340+BP340*BW340+BQ340*BX340+BR340*BY340+BS340*BZ340)/SUM(BM340,BN340,BO340,BP340,BQ340,BR340,BS340))</f>
        <v>0</v>
      </c>
      <c r="BE340" s="41" t="str">
        <f>IF(LEFT(AY340,1)="X",AY340,IF(OR(AY340="B+",AY340="C+"),INDEX(LAD_PC,MAX(1,MIN(14,MATCH(AY340,LAD_PC,0)+IF(BD340&gt;=0.5,1,IF(BD340&lt;=-0.5,-1,0))))),INDEX(LAD_STD,MAX(1,MIN(12,MATCH(AY340,LAD_STD,0)+IF(BD340&gt;=0.5,1,IF(BD340&lt;=-0.5,-1,0)))))))</f>
        <v>A1</v>
      </c>
      <c r="BF340" s="43" t="n"/>
      <c r="BG340" s="41" t="str">
        <f>IF(BF340&lt;&gt;"",BF340,BE340)</f>
        <v>A1</v>
      </c>
      <c r="BH340" s="40" t="str">
        <f>IFERROR(CHOOSE(INDEX(B_RANK,MATCH(BG340,B_LVL,0)),"Band A","Band B","B+ · Player-Coach","Band C","C+ · Player-Coach","Band D","Band E"),"Band X · Consultant")</f>
        <v>Band A</v>
      </c>
      <c r="BI340" s="40" t="str">
        <f>IF(BG340=AY340,"• Same",IF(INDEX(B_VAL,MATCH(BG340,B_LVL,0))&gt;INDEX(B_VAL,MATCH(AY340,B_LVL,0)),"▲ Up","▼ Down"))</f>
        <v>• Same</v>
      </c>
      <c r="BJ340" s="40" t="str">
        <f>IF(OR($M340="",$M340="—",$M340="Not in this file"),"",IFERROR(INDEX($BG$7:$BG$592,MATCH($M340,$D$7:$D$592,0)),""))</f>
        <v>B1</v>
      </c>
      <c r="BK340" s="40" t="str">
        <f>IFERROR(IF(BJ340="","—",IF(OR(LEFT(BG340,1)="X",LEFT(BJ340,1)="X"),"—",IF(AND(LEFT(BG340,1)="E",LEFT(BJ340,1)="E"),"Exception · Band E",IF(AND(INDEX(B_VAL,MATCH(BJ340,B_LVL,0))&gt;=7,INDEX(B_RANK,MATCH(BG340,B_LVL,0))&gt;=INDEX(B_RANK,MATCH(BJ340,B_LVL,0))),"⚠ Same band as a head manager",IF(INDEX(B_VAL,MATCH(BG340,B_LVL,0))&gt;=INDEX(B_VAL,MATCH(BJ340,B_LVL,0)),"⚠ At or above the manager's level","OK"))))),"—")</f>
        <v>OK</v>
      </c>
      <c r="BL340" s="43" t="n"/>
      <c r="BM340" s="44">
        <f>IFERROR(INDEX(LMH_PTS,MATCH(Y340,LMH_KEY,0)),0)</f>
        <v>9</v>
      </c>
      <c r="BN340" s="38">
        <f>IFERROR(INDEX(LMH_PTS,MATCH(Z340,LMH_KEY,0)),0)</f>
        <v>3</v>
      </c>
      <c r="BO340" s="38">
        <f>IFERROR(INDEX(LMH_PTS,MATCH(AA340,LMH_KEY,0)),0)</f>
        <v>1</v>
      </c>
      <c r="BP340" s="38">
        <f>IFERROR(INDEX(LMH_PTS,MATCH(AB340,LMH_KEY,0)),0)</f>
        <v>1</v>
      </c>
      <c r="BQ340" s="38">
        <f>IFERROR(INDEX(LMH_PTS,MATCH(AC340,LMH_KEY,0)),0)</f>
        <v>1</v>
      </c>
      <c r="BR340" s="38">
        <f>IFERROR(INDEX(LMH_PTS,MATCH(AD340,LMH_KEY,0)),0)</f>
        <v>1</v>
      </c>
      <c r="BS340" s="38">
        <f>IFERROR(INDEX(LMH_PTS,MATCH(AE340,LMH_KEY,0)),0)</f>
        <v>1</v>
      </c>
      <c r="BT340" s="38">
        <f>IFERROR(INDEX(LMH_STEP,MATCH(AF340,LMH_KEY,0)),0)</f>
        <v>0</v>
      </c>
      <c r="BU340" s="38">
        <f>IFERROR(INDEX(LMH_STEP,MATCH(AG340,LMH_KEY,0)),0)</f>
        <v>0</v>
      </c>
      <c r="BV340" s="38">
        <f>IFERROR(INDEX(LMH_STEP,MATCH(AH340,LMH_KEY,0)),0)</f>
        <v>0</v>
      </c>
      <c r="BW340" s="38">
        <f>IFERROR(INDEX(LMH_STEP,MATCH(AI340,LMH_KEY,0)),0)</f>
        <v>0</v>
      </c>
      <c r="BX340" s="38">
        <f>IFERROR(INDEX(LMH_STEP,MATCH(AJ340,LMH_KEY,0)),0)</f>
        <v>0</v>
      </c>
      <c r="BY340" s="38">
        <f>IFERROR(INDEX(LMH_STEP,MATCH(AK340,LMH_KEY,0)),0)</f>
        <v>0</v>
      </c>
      <c r="BZ340" s="38">
        <f>IFERROR(INDEX(LMH_STEP,MATCH(AL340,LMH_KEY,0)),0)</f>
        <v>0</v>
      </c>
      <c r="CA340" s="38" t="inlineStr">
        <is>
          <t>iFile|Quality Assurance|Trainee QA Automation Engineer|A1|A</t>
        </is>
      </c>
    </row>
    <row r="341" ht="110" customHeight="1">
      <c r="A341" s="28" t="inlineStr">
        <is>
          <t>iFile</t>
        </is>
      </c>
      <c r="B341" s="29" t="inlineStr">
        <is>
          <t>Quality Assurance</t>
        </is>
      </c>
      <c r="C341" s="29" t="n">
        <v>4</v>
      </c>
      <c r="D341" s="29" t="inlineStr">
        <is>
          <t>IRIS1827</t>
        </is>
      </c>
      <c r="E341" s="29" t="inlineStr">
        <is>
          <t>Susan Peter</t>
        </is>
      </c>
      <c r="F341" s="29" t="inlineStr">
        <is>
          <t>Senior QA - Engineer</t>
        </is>
      </c>
      <c r="G341" s="29" t="inlineStr">
        <is>
          <t>QA Specialist – POD Lead</t>
        </is>
      </c>
      <c r="H341" s="29" t="inlineStr">
        <is>
          <t>Quality Assurance</t>
        </is>
      </c>
      <c r="I341" s="29" t="inlineStr">
        <is>
          <t>Functional &amp; Domain Testing</t>
        </is>
      </c>
      <c r="J341" s="29" t="inlineStr">
        <is>
          <t>POD Lead</t>
        </is>
      </c>
      <c r="K341" s="29" t="inlineStr">
        <is>
          <t>RC-142</t>
        </is>
      </c>
      <c r="L341" s="29" t="inlineStr">
        <is>
          <t>Davinder Pal Singh</t>
        </is>
      </c>
      <c r="M341" s="29" t="inlineStr">
        <is>
          <t>IRIS0728</t>
        </is>
      </c>
      <c r="N341" s="29" t="n">
        <v>12.1</v>
      </c>
      <c r="O341" s="29" t="n">
        <v>6.8</v>
      </c>
      <c r="P341" s="29" t="inlineStr">
        <is>
          <t>B.E</t>
        </is>
      </c>
      <c r="Q341" s="29" t="inlineStr">
        <is>
          <t>L4 – Senior</t>
        </is>
      </c>
      <c r="R341" s="29" t="inlineStr">
        <is>
          <t>B1</t>
        </is>
      </c>
      <c r="S341" s="30" t="inlineStr">
        <is>
          <t>20 of 20</t>
        </is>
      </c>
      <c r="T341" s="31" t="inlineStr">
        <is>
          <t>Complexity: Evidence reads like A3: Reviews test case docs, UAT preparation, production configuration, automation, demos and client queries across environments → matches the start
Autonomy: Evidence reads like B1: Handles team task assignment; decides task ownership, readiness and demo effort estimates → moved up 0.5
Accountability: Evidence reads like B1: …</t>
        </is>
      </c>
      <c r="U341" s="31" t="inlineStr">
        <is>
          <t>Received · manager annual, quarterly, self · 1. Complete Playwright with TypeScript training and demonstrate proficiency by developing reusable automation scripts.
2. Maintain test cases, execution reports, defect reports, and supporting evidence with 100% compliance.
3. Complete Teapot Portal and Webform testing across all GTA environments, including …</t>
        </is>
      </c>
      <c r="V341" s="31" t="inlineStr">
        <is>
          <t>Latest rating: 4 · 9-box: Not placed · manager · Readiness: Ready in 6–12 months</t>
        </is>
      </c>
      <c r="W341" s="31" t="inlineStr">
        <is>
          <t>C L · Au M · Ac M · L M · BI M · Exp H · 12.1 yrs vs 4–7 yrs · Edu M · B.E</t>
        </is>
      </c>
      <c r="X341" s="33" t="inlineStr">
        <is>
          <t>Open ▸</t>
        </is>
      </c>
      <c r="Y341" s="34" t="str">
        <f>IFERROR(INDEX(DL_C,MATCH($CA341,DL_KEY,0)),"M")</f>
        <v>H</v>
      </c>
      <c r="Z341" s="35" t="str">
        <f>IFERROR(INDEX(DL_Au,MATCH($CA341,DL_KEY,0)),"M")</f>
        <v>M</v>
      </c>
      <c r="AA341" s="35" t="str">
        <f>IFERROR(INDEX(DL_Ac,MATCH($CA341,DL_KEY,0)),"M")</f>
        <v>L</v>
      </c>
      <c r="AB341" s="35" t="str">
        <f>IFERROR(INDEX(DL_L,MATCH($CA341,DL_KEY,0)),"M")</f>
        <v>L</v>
      </c>
      <c r="AC341" s="35" t="str">
        <f>IFERROR(INDEX(DL_BI,MATCH($CA341,DL_KEY,0)),"M")</f>
        <v>L</v>
      </c>
      <c r="AD341" s="35" t="str">
        <f>IFERROR(INDEX(DL_Exp,MATCH($CA341,DL_KEY,0)),"M")</f>
        <v>L</v>
      </c>
      <c r="AE341" s="35" t="str">
        <f>IFERROR(INDEX(DL_Edu,MATCH($CA341,DL_KEY,0)),"M")</f>
        <v>L</v>
      </c>
      <c r="AF341" s="34" t="inlineStr">
        <is>
          <t>M</t>
        </is>
      </c>
      <c r="AG341" s="35" t="inlineStr">
        <is>
          <t>M</t>
        </is>
      </c>
      <c r="AH341" s="35" t="inlineStr">
        <is>
          <t>M</t>
        </is>
      </c>
      <c r="AI341" s="35" t="inlineStr">
        <is>
          <t>M</t>
        </is>
      </c>
      <c r="AJ341" s="35" t="inlineStr">
        <is>
          <t>M</t>
        </is>
      </c>
      <c r="AK341" s="35" t="inlineStr">
        <is>
          <t>M</t>
        </is>
      </c>
      <c r="AL341" s="35" t="inlineStr">
        <is>
          <t>M</t>
        </is>
      </c>
      <c r="AM341" s="36" t="n">
        <v>0.513</v>
      </c>
      <c r="AN341" s="37" t="n">
        <v>0.173</v>
      </c>
      <c r="AO341" s="37" t="n">
        <v>0.09699999999999999</v>
      </c>
      <c r="AP341" s="37" t="n">
        <v>0.05</v>
      </c>
      <c r="AQ341" s="37" t="n">
        <v>0.07000000000000001</v>
      </c>
      <c r="AR341" s="37" t="n">
        <v>0.06</v>
      </c>
      <c r="AS341" s="37" t="n">
        <v>0.04</v>
      </c>
      <c r="AT341" s="38" t="inlineStr">
        <is>
          <t>4–8</t>
        </is>
      </c>
      <c r="AU341" s="38" t="inlineStr">
        <is>
          <t>Graduate + relevant qualification or certification preferred</t>
        </is>
      </c>
      <c r="AV341" s="38" t="inlineStr">
        <is>
          <t>IC: none · Team Lead: 3–5</t>
        </is>
      </c>
      <c r="AW341" s="38" t="inlineStr">
        <is>
          <t>P3 / M2 · SFIA 4 Enable</t>
        </is>
      </c>
      <c r="AX34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41" s="39" t="inlineStr">
        <is>
          <t>B1</t>
        </is>
      </c>
      <c r="AZ341" s="40" t="inlineStr">
        <is>
          <t>Band B · Specialist / Manager · Team Lead / Asst Manager</t>
        </is>
      </c>
      <c r="BA341" s="40" t="inlineStr">
        <is>
          <t>Model B1 from the six ratings, the market-derived weights and rules R1–R13 · then No change · already below the manager</t>
        </is>
      </c>
      <c r="BB341" s="41" t="inlineStr">
        <is>
          <t>B1</t>
        </is>
      </c>
      <c r="BC341" s="40" t="inlineStr">
        <is>
          <t>The six ratings on the market-average weights of Band B · Specialist / POD Lead score 3.70 → B1 · Hay, Mercer IPE and public plans · experience 12.1 yrs vs the B1 market range 4–8</t>
        </is>
      </c>
      <c r="BD341" s="42">
        <f>IF(SUM(BM341,BN341,BO341,BP341,BQ341,BR341,BS341)=0,0,(BM341*BT341+BN341*BU341+BO341*BV341+BP341*BW341+BQ341*BX341+BR341*BY341+BS341*BZ341)/SUM(BM341,BN341,BO341,BP341,BQ341,BR341,BS341))</f>
        <v>0</v>
      </c>
      <c r="BE341" s="41" t="str">
        <f>IF(LEFT(AY341,1)="X",AY341,IF(OR(AY341="B+",AY341="C+"),INDEX(LAD_PC,MAX(1,MIN(14,MATCH(AY341,LAD_PC,0)+IF(BD341&gt;=0.5,1,IF(BD341&lt;=-0.5,-1,0))))),INDEX(LAD_STD,MAX(1,MIN(12,MATCH(AY341,LAD_STD,0)+IF(BD341&gt;=0.5,1,IF(BD341&lt;=-0.5,-1,0)))))))</f>
        <v>B1</v>
      </c>
      <c r="BF341" s="43" t="n"/>
      <c r="BG341" s="41" t="str">
        <f>IF(BF341&lt;&gt;"",BF341,BE341)</f>
        <v>B1</v>
      </c>
      <c r="BH341" s="40" t="str">
        <f>IFERROR(CHOOSE(INDEX(B_RANK,MATCH(BG341,B_LVL,0)),"Band A","Band B","B+ · Player-Coach","Band C","C+ · Player-Coach","Band D","Band E"),"Band X · Consultant")</f>
        <v>Band B</v>
      </c>
      <c r="BI341" s="40" t="str">
        <f>IF(BG341=AY341,"• Same",IF(INDEX(B_VAL,MATCH(BG341,B_LVL,0))&gt;INDEX(B_VAL,MATCH(AY341,B_LVL,0)),"▲ Up","▼ Down"))</f>
        <v>• Same</v>
      </c>
      <c r="BJ341" s="40" t="str">
        <f>IF(OR($M341="",$M341="—",$M341="Not in this file"),"",IFERROR(INDEX($BG$7:$BG$592,MATCH($M341,$D$7:$D$592,0)),""))</f>
        <v>B2</v>
      </c>
      <c r="BK341" s="40" t="str">
        <f>IFERROR(IF(BJ341="","—",IF(OR(LEFT(BG341,1)="X",LEFT(BJ341,1)="X"),"—",IF(AND(LEFT(BG341,1)="E",LEFT(BJ341,1)="E"),"Exception · Band E",IF(AND(INDEX(B_VAL,MATCH(BJ341,B_LVL,0))&gt;=7,INDEX(B_RANK,MATCH(BG341,B_LVL,0))&gt;=INDEX(B_RANK,MATCH(BJ341,B_LVL,0))),"⚠ Same band as a head manager",IF(INDEX(B_VAL,MATCH(BG341,B_LVL,0))&gt;=INDEX(B_VAL,MATCH(BJ341,B_LVL,0)),"⚠ At or above the manager's level","OK"))))),"—")</f>
        <v>OK</v>
      </c>
      <c r="BL341" s="43" t="n"/>
      <c r="BM341" s="44">
        <f>IFERROR(INDEX(LMH_PTS,MATCH(Y341,LMH_KEY,0)),0)</f>
        <v>9</v>
      </c>
      <c r="BN341" s="38">
        <f>IFERROR(INDEX(LMH_PTS,MATCH(Z341,LMH_KEY,0)),0)</f>
        <v>3</v>
      </c>
      <c r="BO341" s="38">
        <f>IFERROR(INDEX(LMH_PTS,MATCH(AA341,LMH_KEY,0)),0)</f>
        <v>1</v>
      </c>
      <c r="BP341" s="38">
        <f>IFERROR(INDEX(LMH_PTS,MATCH(AB341,LMH_KEY,0)),0)</f>
        <v>1</v>
      </c>
      <c r="BQ341" s="38">
        <f>IFERROR(INDEX(LMH_PTS,MATCH(AC341,LMH_KEY,0)),0)</f>
        <v>1</v>
      </c>
      <c r="BR341" s="38">
        <f>IFERROR(INDEX(LMH_PTS,MATCH(AD341,LMH_KEY,0)),0)</f>
        <v>1</v>
      </c>
      <c r="BS341" s="38">
        <f>IFERROR(INDEX(LMH_PTS,MATCH(AE341,LMH_KEY,0)),0)</f>
        <v>1</v>
      </c>
      <c r="BT341" s="38">
        <f>IFERROR(INDEX(LMH_STEP,MATCH(AF341,LMH_KEY,0)),0)</f>
        <v>0</v>
      </c>
      <c r="BU341" s="38">
        <f>IFERROR(INDEX(LMH_STEP,MATCH(AG341,LMH_KEY,0)),0)</f>
        <v>0</v>
      </c>
      <c r="BV341" s="38">
        <f>IFERROR(INDEX(LMH_STEP,MATCH(AH341,LMH_KEY,0)),0)</f>
        <v>0</v>
      </c>
      <c r="BW341" s="38">
        <f>IFERROR(INDEX(LMH_STEP,MATCH(AI341,LMH_KEY,0)),0)</f>
        <v>0</v>
      </c>
      <c r="BX341" s="38">
        <f>IFERROR(INDEX(LMH_STEP,MATCH(AJ341,LMH_KEY,0)),0)</f>
        <v>0</v>
      </c>
      <c r="BY341" s="38">
        <f>IFERROR(INDEX(LMH_STEP,MATCH(AK341,LMH_KEY,0)),0)</f>
        <v>0</v>
      </c>
      <c r="BZ341" s="38">
        <f>IFERROR(INDEX(LMH_STEP,MATCH(AL341,LMH_KEY,0)),0)</f>
        <v>0</v>
      </c>
      <c r="CA341" s="38" t="inlineStr">
        <is>
          <t>iFile|Quality Assurance|QA Specialist – POD Lead|B1|B-IC</t>
        </is>
      </c>
    </row>
    <row r="342" ht="110" customHeight="1">
      <c r="A342" s="28" t="inlineStr">
        <is>
          <t>iFile</t>
        </is>
      </c>
      <c r="B342" s="29" t="inlineStr">
        <is>
          <t>Quality Assurance</t>
        </is>
      </c>
      <c r="C342" s="29" t="n">
        <v>5</v>
      </c>
      <c r="D342" s="29" t="inlineStr">
        <is>
          <t>IRIS2304</t>
        </is>
      </c>
      <c r="E342" s="29" t="inlineStr">
        <is>
          <t>Adnan Yakub Majgaonkar</t>
        </is>
      </c>
      <c r="F342" s="29" t="inlineStr">
        <is>
          <t>QA Engineer</t>
        </is>
      </c>
      <c r="G342" s="29" t="inlineStr">
        <is>
          <t>Senior QA Automation Engineer</t>
        </is>
      </c>
      <c r="H342" s="29" t="inlineStr">
        <is>
          <t>Quality Assurance</t>
        </is>
      </c>
      <c r="I342" s="29" t="inlineStr">
        <is>
          <t>Test Automation</t>
        </is>
      </c>
      <c r="J342" s="29" t="inlineStr">
        <is>
          <t>IC</t>
        </is>
      </c>
      <c r="K342" s="29" t="inlineStr">
        <is>
          <t>RC-146</t>
        </is>
      </c>
      <c r="L342" s="29" t="inlineStr">
        <is>
          <t>Susan Peter</t>
        </is>
      </c>
      <c r="M342" s="29" t="inlineStr">
        <is>
          <t>IRIS1827</t>
        </is>
      </c>
      <c r="N342" s="29" t="n">
        <v>4</v>
      </c>
      <c r="O342" s="29" t="n">
        <v>2</v>
      </c>
      <c r="P342" s="29" t="inlineStr">
        <is>
          <t>B.Tech</t>
        </is>
      </c>
      <c r="Q342" s="29" t="inlineStr">
        <is>
          <t>L3 – Professional / Associate</t>
        </is>
      </c>
      <c r="R342" s="29" t="inlineStr">
        <is>
          <t>A3</t>
        </is>
      </c>
      <c r="S342" s="30" t="inlineStr">
        <is>
          <t>20 of 20</t>
        </is>
      </c>
      <c r="T342" s="31" t="inlineStr">
        <is>
          <t>Complexity: Evidence reads like A2: Test case execution, regression, defect identification; KRA cites about 1,600 test cases on SBC portal → matches the start
Autonomy: Evidence reads like A2: Prioritises and executes own testing; no further calls described → matches the start
Accountability: Evidence reads like A2: Own test quality, defect identification …</t>
        </is>
      </c>
      <c r="U342" s="31" t="inlineStr">
        <is>
          <t>Received · manager annual, quarterly, self · 1. Adnan has consistently demonstrated strong analytical skills and has effectively managed the testing activities for the SBC project, successfully supporting a highly demanding client.
2. He has contributed significantly to manual testing by ensuring comprehensive test coverage, timely defect reporting, and close …</t>
        </is>
      </c>
      <c r="V342" s="31" t="inlineStr">
        <is>
          <t>Latest rating: 4 · Potential: Medium · 9-box: Trusted Professional · Readiness: Ready in 6–12 months</t>
        </is>
      </c>
      <c r="W342" s="31" t="inlineStr">
        <is>
          <t>C L · Au L · Ac L · L L · BI L · Exp M · 4 yrs vs 2–4 yrs · Edu M · B.Tech</t>
        </is>
      </c>
      <c r="X342" s="33" t="inlineStr">
        <is>
          <t>Open ▸</t>
        </is>
      </c>
      <c r="Y342" s="34" t="str">
        <f>IFERROR(INDEX(DL_C,MATCH($CA342,DL_KEY,0)),"M")</f>
        <v>H</v>
      </c>
      <c r="Z342" s="35" t="str">
        <f>IFERROR(INDEX(DL_Au,MATCH($CA342,DL_KEY,0)),"M")</f>
        <v>M</v>
      </c>
      <c r="AA342" s="35" t="str">
        <f>IFERROR(INDEX(DL_Ac,MATCH($CA342,DL_KEY,0)),"M")</f>
        <v>L</v>
      </c>
      <c r="AB342" s="35" t="str">
        <f>IFERROR(INDEX(DL_L,MATCH($CA342,DL_KEY,0)),"M")</f>
        <v>L</v>
      </c>
      <c r="AC342" s="35" t="str">
        <f>IFERROR(INDEX(DL_BI,MATCH($CA342,DL_KEY,0)),"M")</f>
        <v>L</v>
      </c>
      <c r="AD342" s="35" t="str">
        <f>IFERROR(INDEX(DL_Exp,MATCH($CA342,DL_KEY,0)),"M")</f>
        <v>L</v>
      </c>
      <c r="AE342" s="35" t="str">
        <f>IFERROR(INDEX(DL_Edu,MATCH($CA342,DL_KEY,0)),"M")</f>
        <v>L</v>
      </c>
      <c r="AF342" s="34" t="inlineStr">
        <is>
          <t>M</t>
        </is>
      </c>
      <c r="AG342" s="35" t="inlineStr">
        <is>
          <t>M</t>
        </is>
      </c>
      <c r="AH342" s="35" t="inlineStr">
        <is>
          <t>M</t>
        </is>
      </c>
      <c r="AI342" s="35" t="inlineStr">
        <is>
          <t>M</t>
        </is>
      </c>
      <c r="AJ342" s="35" t="inlineStr">
        <is>
          <t>M</t>
        </is>
      </c>
      <c r="AK342" s="35" t="inlineStr">
        <is>
          <t>M</t>
        </is>
      </c>
      <c r="AL342" s="35" t="inlineStr">
        <is>
          <t>M</t>
        </is>
      </c>
      <c r="AM342" s="36" t="n">
        <v>0.583</v>
      </c>
      <c r="AN342" s="37" t="n">
        <v>0.16</v>
      </c>
      <c r="AO342" s="37" t="n">
        <v>0.09</v>
      </c>
      <c r="AP342" s="37" t="n">
        <v>0</v>
      </c>
      <c r="AQ342" s="37" t="n">
        <v>0.063</v>
      </c>
      <c r="AR342" s="37" t="n">
        <v>0.06</v>
      </c>
      <c r="AS342" s="37" t="n">
        <v>0.04</v>
      </c>
      <c r="AT342" s="38" t="inlineStr">
        <is>
          <t>2–5</t>
        </is>
      </c>
      <c r="AU342" s="38" t="inlineStr">
        <is>
          <t>Graduate; relevant certification preferred</t>
        </is>
      </c>
      <c r="AV342" s="38" t="inlineStr">
        <is>
          <t>None · guides 1–3 juniors informally</t>
        </is>
      </c>
      <c r="AW342" s="38" t="inlineStr">
        <is>
          <t>P2 · SFIA 3 Apply</t>
        </is>
      </c>
      <c r="AX34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42" s="39" t="inlineStr">
        <is>
          <t>A3</t>
        </is>
      </c>
      <c r="AZ342" s="40" t="inlineStr">
        <is>
          <t>Band A · Practitioner · Senior Associate</t>
        </is>
      </c>
      <c r="BA342" s="40" t="inlineStr">
        <is>
          <t>Model A3 from the six ratings, the market-derived weights and rules R1–R13 · then No change · already below the manager</t>
        </is>
      </c>
      <c r="BB342" s="41" t="inlineStr">
        <is>
          <t>A2</t>
        </is>
      </c>
      <c r="BC342" s="40" t="inlineStr">
        <is>
          <t>The six ratings on the market-average weights of Band A · all tracks score 2.15 → A2 · Hay, Mercer IPE and public plans · experience 4 yrs vs the A2 market range 0–3</t>
        </is>
      </c>
      <c r="BD342" s="42">
        <f>IF(SUM(BM342,BN342,BO342,BP342,BQ342,BR342,BS342)=0,0,(BM342*BT342+BN342*BU342+BO342*BV342+BP342*BW342+BQ342*BX342+BR342*BY342+BS342*BZ342)/SUM(BM342,BN342,BO342,BP342,BQ342,BR342,BS342))</f>
        <v>0</v>
      </c>
      <c r="BE342" s="41" t="str">
        <f>IF(LEFT(AY342,1)="X",AY342,IF(OR(AY342="B+",AY342="C+"),INDEX(LAD_PC,MAX(1,MIN(14,MATCH(AY342,LAD_PC,0)+IF(BD342&gt;=0.5,1,IF(BD342&lt;=-0.5,-1,0))))),INDEX(LAD_STD,MAX(1,MIN(12,MATCH(AY342,LAD_STD,0)+IF(BD342&gt;=0.5,1,IF(BD342&lt;=-0.5,-1,0)))))))</f>
        <v>A3</v>
      </c>
      <c r="BF342" s="43" t="n"/>
      <c r="BG342" s="41" t="str">
        <f>IF(BF342&lt;&gt;"",BF342,BE342)</f>
        <v>A3</v>
      </c>
      <c r="BH342" s="40" t="str">
        <f>IFERROR(CHOOSE(INDEX(B_RANK,MATCH(BG342,B_LVL,0)),"Band A","Band B","B+ · Player-Coach","Band C","C+ · Player-Coach","Band D","Band E"),"Band X · Consultant")</f>
        <v>Band A</v>
      </c>
      <c r="BI342" s="40" t="str">
        <f>IF(BG342=AY342,"• Same",IF(INDEX(B_VAL,MATCH(BG342,B_LVL,0))&gt;INDEX(B_VAL,MATCH(AY342,B_LVL,0)),"▲ Up","▼ Down"))</f>
        <v>• Same</v>
      </c>
      <c r="BJ342" s="40" t="str">
        <f>IF(OR($M342="",$M342="—",$M342="Not in this file"),"",IFERROR(INDEX($BG$7:$BG$592,MATCH($M342,$D$7:$D$592,0)),""))</f>
        <v>B1</v>
      </c>
      <c r="BK342" s="40" t="str">
        <f>IFERROR(IF(BJ342="","—",IF(OR(LEFT(BG342,1)="X",LEFT(BJ342,1)="X"),"—",IF(AND(LEFT(BG342,1)="E",LEFT(BJ342,1)="E"),"Exception · Band E",IF(AND(INDEX(B_VAL,MATCH(BJ342,B_LVL,0))&gt;=7,INDEX(B_RANK,MATCH(BG342,B_LVL,0))&gt;=INDEX(B_RANK,MATCH(BJ342,B_LVL,0))),"⚠ Same band as a head manager",IF(INDEX(B_VAL,MATCH(BG342,B_LVL,0))&gt;=INDEX(B_VAL,MATCH(BJ342,B_LVL,0)),"⚠ At or above the manager's level","OK"))))),"—")</f>
        <v>OK</v>
      </c>
      <c r="BL342" s="43" t="n"/>
      <c r="BM342" s="44">
        <f>IFERROR(INDEX(LMH_PTS,MATCH(Y342,LMH_KEY,0)),0)</f>
        <v>9</v>
      </c>
      <c r="BN342" s="38">
        <f>IFERROR(INDEX(LMH_PTS,MATCH(Z342,LMH_KEY,0)),0)</f>
        <v>3</v>
      </c>
      <c r="BO342" s="38">
        <f>IFERROR(INDEX(LMH_PTS,MATCH(AA342,LMH_KEY,0)),0)</f>
        <v>1</v>
      </c>
      <c r="BP342" s="38">
        <f>IFERROR(INDEX(LMH_PTS,MATCH(AB342,LMH_KEY,0)),0)</f>
        <v>1</v>
      </c>
      <c r="BQ342" s="38">
        <f>IFERROR(INDEX(LMH_PTS,MATCH(AC342,LMH_KEY,0)),0)</f>
        <v>1</v>
      </c>
      <c r="BR342" s="38">
        <f>IFERROR(INDEX(LMH_PTS,MATCH(AD342,LMH_KEY,0)),0)</f>
        <v>1</v>
      </c>
      <c r="BS342" s="38">
        <f>IFERROR(INDEX(LMH_PTS,MATCH(AE342,LMH_KEY,0)),0)</f>
        <v>1</v>
      </c>
      <c r="BT342" s="38">
        <f>IFERROR(INDEX(LMH_STEP,MATCH(AF342,LMH_KEY,0)),0)</f>
        <v>0</v>
      </c>
      <c r="BU342" s="38">
        <f>IFERROR(INDEX(LMH_STEP,MATCH(AG342,LMH_KEY,0)),0)</f>
        <v>0</v>
      </c>
      <c r="BV342" s="38">
        <f>IFERROR(INDEX(LMH_STEP,MATCH(AH342,LMH_KEY,0)),0)</f>
        <v>0</v>
      </c>
      <c r="BW342" s="38">
        <f>IFERROR(INDEX(LMH_STEP,MATCH(AI342,LMH_KEY,0)),0)</f>
        <v>0</v>
      </c>
      <c r="BX342" s="38">
        <f>IFERROR(INDEX(LMH_STEP,MATCH(AJ342,LMH_KEY,0)),0)</f>
        <v>0</v>
      </c>
      <c r="BY342" s="38">
        <f>IFERROR(INDEX(LMH_STEP,MATCH(AK342,LMH_KEY,0)),0)</f>
        <v>0</v>
      </c>
      <c r="BZ342" s="38">
        <f>IFERROR(INDEX(LMH_STEP,MATCH(AL342,LMH_KEY,0)),0)</f>
        <v>0</v>
      </c>
      <c r="CA342" s="38" t="inlineStr">
        <is>
          <t>iFile|Quality Assurance|Senior QA Automation Engineer|A3|A</t>
        </is>
      </c>
    </row>
    <row r="343" ht="110" customHeight="1">
      <c r="A343" s="28" t="inlineStr">
        <is>
          <t>iFile</t>
        </is>
      </c>
      <c r="B343" s="29" t="inlineStr">
        <is>
          <t>Quality Assurance</t>
        </is>
      </c>
      <c r="C343" s="29" t="n">
        <v>5</v>
      </c>
      <c r="D343" s="29" t="inlineStr">
        <is>
          <t>INTN0288</t>
        </is>
      </c>
      <c r="E343" s="29" t="inlineStr">
        <is>
          <t>Yugal Kishore Singh</t>
        </is>
      </c>
      <c r="F343" s="29" t="inlineStr">
        <is>
          <t>Intern</t>
        </is>
      </c>
      <c r="G343" s="29" t="inlineStr">
        <is>
          <t>Intern – Functional &amp; Domain Testing</t>
        </is>
      </c>
      <c r="H343" s="29" t="inlineStr">
        <is>
          <t>Quality Assurance</t>
        </is>
      </c>
      <c r="I343" s="29" t="inlineStr">
        <is>
          <t>Functional &amp; Domain Testing</t>
        </is>
      </c>
      <c r="J343" s="29" t="inlineStr">
        <is>
          <t>IC</t>
        </is>
      </c>
      <c r="K343" s="29" t="inlineStr">
        <is>
          <t>RC-139</t>
        </is>
      </c>
      <c r="L343" s="29" t="inlineStr">
        <is>
          <t>Susan Peter</t>
        </is>
      </c>
      <c r="M343" s="29" t="inlineStr">
        <is>
          <t>IRIS1827</t>
        </is>
      </c>
      <c r="N343" s="29" t="n">
        <v>4.3</v>
      </c>
      <c r="O343" s="29" t="n">
        <v>0.7</v>
      </c>
      <c r="P343" s="29" t="inlineStr">
        <is>
          <t>B.Sc</t>
        </is>
      </c>
      <c r="Q343" s="29" t="inlineStr">
        <is>
          <t>L1 – Intern</t>
        </is>
      </c>
      <c r="R343" s="29" t="inlineStr">
        <is>
          <t>A1</t>
        </is>
      </c>
      <c r="S343" s="30" t="inlineStr">
        <is>
          <t>20 of 20</t>
        </is>
      </c>
      <c r="T343" s="32" t="inlineStr">
        <is>
          <t>Full survey answers not in the files received · How We Grow export needed · HR</t>
        </is>
      </c>
      <c r="U343" s="31" t="inlineStr">
        <is>
          <t>Received · manager annual, quarterly, self · 1. Successfully contributed to the GTA project by planning, designing, and executing test cases across assigned modules, ensuring complete requirement coverage and timely delivery of high-quality releases.
2. Performed comprehensive Validation, Smoke, Regression, Module, and Web Portal testing, identifying defects …</t>
        </is>
      </c>
      <c r="V343" s="31" t="inlineStr">
        <is>
          <t>Latest rating: 3 · Potential: Medium · 9-box: High Impact / Growth Talent · Readiness: Develop in role</t>
        </is>
      </c>
      <c r="W343" s="31" t="inlineStr">
        <is>
          <t>C — · Au — · Ac — · L — · BI — · Exp H · 4.3 yrs vs 0 yrs · fresher / intern · Edu M · B.Sc</t>
        </is>
      </c>
      <c r="X343" s="33" t="inlineStr">
        <is>
          <t>Open ▸</t>
        </is>
      </c>
      <c r="Y343" s="34" t="str">
        <f>IFERROR(INDEX(DL_C,MATCH($CA343,DL_KEY,0)),"M")</f>
        <v>H</v>
      </c>
      <c r="Z343" s="35" t="str">
        <f>IFERROR(INDEX(DL_Au,MATCH($CA343,DL_KEY,0)),"M")</f>
        <v>M</v>
      </c>
      <c r="AA343" s="35" t="str">
        <f>IFERROR(INDEX(DL_Ac,MATCH($CA343,DL_KEY,0)),"M")</f>
        <v>L</v>
      </c>
      <c r="AB343" s="35" t="str">
        <f>IFERROR(INDEX(DL_L,MATCH($CA343,DL_KEY,0)),"M")</f>
        <v>L</v>
      </c>
      <c r="AC343" s="35" t="str">
        <f>IFERROR(INDEX(DL_BI,MATCH($CA343,DL_KEY,0)),"M")</f>
        <v>L</v>
      </c>
      <c r="AD343" s="35" t="str">
        <f>IFERROR(INDEX(DL_Exp,MATCH($CA343,DL_KEY,0)),"M")</f>
        <v>L</v>
      </c>
      <c r="AE343" s="35" t="str">
        <f>IFERROR(INDEX(DL_Edu,MATCH($CA343,DL_KEY,0)),"M")</f>
        <v>L</v>
      </c>
      <c r="AF343" s="34" t="inlineStr">
        <is>
          <t>M</t>
        </is>
      </c>
      <c r="AG343" s="35" t="inlineStr">
        <is>
          <t>M</t>
        </is>
      </c>
      <c r="AH343" s="35" t="inlineStr">
        <is>
          <t>M</t>
        </is>
      </c>
      <c r="AI343" s="35" t="inlineStr">
        <is>
          <t>M</t>
        </is>
      </c>
      <c r="AJ343" s="35" t="inlineStr">
        <is>
          <t>M</t>
        </is>
      </c>
      <c r="AK343" s="35" t="inlineStr">
        <is>
          <t>M</t>
        </is>
      </c>
      <c r="AL343" s="35" t="inlineStr">
        <is>
          <t>M</t>
        </is>
      </c>
      <c r="AM343" s="36" t="n">
        <v>0.583</v>
      </c>
      <c r="AN343" s="37" t="n">
        <v>0.16</v>
      </c>
      <c r="AO343" s="37" t="n">
        <v>0.09</v>
      </c>
      <c r="AP343" s="37" t="n">
        <v>0</v>
      </c>
      <c r="AQ343" s="37" t="n">
        <v>0.063</v>
      </c>
      <c r="AR343" s="37" t="n">
        <v>0.06</v>
      </c>
      <c r="AS343" s="37" t="n">
        <v>0.04</v>
      </c>
      <c r="AT343" s="38" t="inlineStr">
        <is>
          <t>0 yrs · fresher / intern</t>
        </is>
      </c>
      <c r="AU343" s="38" t="inlineStr">
        <is>
          <t>Pursuing or completed graduation / diploma</t>
        </is>
      </c>
      <c r="AV343" s="38" t="inlineStr">
        <is>
          <t>No direct reports</t>
        </is>
      </c>
      <c r="AW343" s="38" t="inlineStr">
        <is>
          <t>Entry / P1 · intern · SFIA 1 Follow</t>
        </is>
      </c>
      <c r="AX34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43" s="39" t="inlineStr">
        <is>
          <t>A1</t>
        </is>
      </c>
      <c r="AZ343" s="40" t="inlineStr">
        <is>
          <t>Band A · Practitioner · Intern / Trainee</t>
        </is>
      </c>
      <c r="BA343" s="40" t="inlineStr">
        <is>
          <t>Model A1 from the six ratings, the market-derived weights and rules R1–R13 · then No change · already below the manager</t>
        </is>
      </c>
      <c r="BB343" s="41" t="inlineStr">
        <is>
          <t>A1</t>
        </is>
      </c>
      <c r="BC343" s="40" t="inlineStr">
        <is>
          <t>Placed by a category rule — no full set of ratings · benchmark follows the HR proposed level</t>
        </is>
      </c>
      <c r="BD343" s="42">
        <f>IF(SUM(BM343,BN343,BO343,BP343,BQ343,BR343,BS343)=0,0,(BM343*BT343+BN343*BU343+BO343*BV343+BP343*BW343+BQ343*BX343+BR343*BY343+BS343*BZ343)/SUM(BM343,BN343,BO343,BP343,BQ343,BR343,BS343))</f>
        <v>0</v>
      </c>
      <c r="BE343" s="41" t="str">
        <f>IF(LEFT(AY343,1)="X",AY343,IF(OR(AY343="B+",AY343="C+"),INDEX(LAD_PC,MAX(1,MIN(14,MATCH(AY343,LAD_PC,0)+IF(BD343&gt;=0.5,1,IF(BD343&lt;=-0.5,-1,0))))),INDEX(LAD_STD,MAX(1,MIN(12,MATCH(AY343,LAD_STD,0)+IF(BD343&gt;=0.5,1,IF(BD343&lt;=-0.5,-1,0)))))))</f>
        <v>A1</v>
      </c>
      <c r="BF343" s="43" t="n"/>
      <c r="BG343" s="41" t="str">
        <f>IF(BF343&lt;&gt;"",BF343,BE343)</f>
        <v>A1</v>
      </c>
      <c r="BH343" s="40" t="str">
        <f>IFERROR(CHOOSE(INDEX(B_RANK,MATCH(BG343,B_LVL,0)),"Band A","Band B","B+ · Player-Coach","Band C","C+ · Player-Coach","Band D","Band E"),"Band X · Consultant")</f>
        <v>Band A</v>
      </c>
      <c r="BI343" s="40" t="str">
        <f>IF(BG343=AY343,"• Same",IF(INDEX(B_VAL,MATCH(BG343,B_LVL,0))&gt;INDEX(B_VAL,MATCH(AY343,B_LVL,0)),"▲ Up","▼ Down"))</f>
        <v>• Same</v>
      </c>
      <c r="BJ343" s="40" t="str">
        <f>IF(OR($M343="",$M343="—",$M343="Not in this file"),"",IFERROR(INDEX($BG$7:$BG$592,MATCH($M343,$D$7:$D$592,0)),""))</f>
        <v>B1</v>
      </c>
      <c r="BK343" s="40" t="str">
        <f>IFERROR(IF(BJ343="","—",IF(OR(LEFT(BG343,1)="X",LEFT(BJ343,1)="X"),"—",IF(AND(LEFT(BG343,1)="E",LEFT(BJ343,1)="E"),"Exception · Band E",IF(AND(INDEX(B_VAL,MATCH(BJ343,B_LVL,0))&gt;=7,INDEX(B_RANK,MATCH(BG343,B_LVL,0))&gt;=INDEX(B_RANK,MATCH(BJ343,B_LVL,0))),"⚠ Same band as a head manager",IF(INDEX(B_VAL,MATCH(BG343,B_LVL,0))&gt;=INDEX(B_VAL,MATCH(BJ343,B_LVL,0)),"⚠ At or above the manager's level","OK"))))),"—")</f>
        <v>OK</v>
      </c>
      <c r="BL343" s="43" t="n"/>
      <c r="BM343" s="44">
        <f>IFERROR(INDEX(LMH_PTS,MATCH(Y343,LMH_KEY,0)),0)</f>
        <v>9</v>
      </c>
      <c r="BN343" s="38">
        <f>IFERROR(INDEX(LMH_PTS,MATCH(Z343,LMH_KEY,0)),0)</f>
        <v>3</v>
      </c>
      <c r="BO343" s="38">
        <f>IFERROR(INDEX(LMH_PTS,MATCH(AA343,LMH_KEY,0)),0)</f>
        <v>1</v>
      </c>
      <c r="BP343" s="38">
        <f>IFERROR(INDEX(LMH_PTS,MATCH(AB343,LMH_KEY,0)),0)</f>
        <v>1</v>
      </c>
      <c r="BQ343" s="38">
        <f>IFERROR(INDEX(LMH_PTS,MATCH(AC343,LMH_KEY,0)),0)</f>
        <v>1</v>
      </c>
      <c r="BR343" s="38">
        <f>IFERROR(INDEX(LMH_PTS,MATCH(AD343,LMH_KEY,0)),0)</f>
        <v>1</v>
      </c>
      <c r="BS343" s="38">
        <f>IFERROR(INDEX(LMH_PTS,MATCH(AE343,LMH_KEY,0)),0)</f>
        <v>1</v>
      </c>
      <c r="BT343" s="38">
        <f>IFERROR(INDEX(LMH_STEP,MATCH(AF343,LMH_KEY,0)),0)</f>
        <v>0</v>
      </c>
      <c r="BU343" s="38">
        <f>IFERROR(INDEX(LMH_STEP,MATCH(AG343,LMH_KEY,0)),0)</f>
        <v>0</v>
      </c>
      <c r="BV343" s="38">
        <f>IFERROR(INDEX(LMH_STEP,MATCH(AH343,LMH_KEY,0)),0)</f>
        <v>0</v>
      </c>
      <c r="BW343" s="38">
        <f>IFERROR(INDEX(LMH_STEP,MATCH(AI343,LMH_KEY,0)),0)</f>
        <v>0</v>
      </c>
      <c r="BX343" s="38">
        <f>IFERROR(INDEX(LMH_STEP,MATCH(AJ343,LMH_KEY,0)),0)</f>
        <v>0</v>
      </c>
      <c r="BY343" s="38">
        <f>IFERROR(INDEX(LMH_STEP,MATCH(AK343,LMH_KEY,0)),0)</f>
        <v>0</v>
      </c>
      <c r="BZ343" s="38">
        <f>IFERROR(INDEX(LMH_STEP,MATCH(AL343,LMH_KEY,0)),0)</f>
        <v>0</v>
      </c>
      <c r="CA343" s="38" t="inlineStr">
        <is>
          <t>iFile|Quality Assurance|Intern – Functional &amp; Domain Testing|A1|A</t>
        </is>
      </c>
    </row>
    <row r="344" ht="110" customHeight="1">
      <c r="A344" s="28" t="inlineStr">
        <is>
          <t>iFile</t>
        </is>
      </c>
      <c r="B344" s="29" t="inlineStr">
        <is>
          <t>Quality Assurance</t>
        </is>
      </c>
      <c r="C344" s="29" t="n">
        <v>4</v>
      </c>
      <c r="D344" s="29" t="inlineStr">
        <is>
          <t>IRIS1984</t>
        </is>
      </c>
      <c r="E344" s="29" t="inlineStr">
        <is>
          <t>Bhagyshree Khedkar</t>
        </is>
      </c>
      <c r="F344" s="29" t="inlineStr">
        <is>
          <t>QA Engineer</t>
        </is>
      </c>
      <c r="G344" s="29" t="inlineStr">
        <is>
          <t>Senior QA Engineer</t>
        </is>
      </c>
      <c r="H344" s="29" t="inlineStr">
        <is>
          <t>Quality Assurance</t>
        </is>
      </c>
      <c r="I344" s="29" t="inlineStr">
        <is>
          <t>Functional &amp; Domain Testing</t>
        </is>
      </c>
      <c r="J344" s="29" t="inlineStr">
        <is>
          <t>IC</t>
        </is>
      </c>
      <c r="K344" s="29" t="inlineStr">
        <is>
          <t>RC-141</t>
        </is>
      </c>
      <c r="L344" s="29" t="inlineStr">
        <is>
          <t>Davinder Pal Singh</t>
        </is>
      </c>
      <c r="M344" s="29" t="inlineStr">
        <is>
          <t>IRIS0728</t>
        </is>
      </c>
      <c r="N344" s="29" t="n">
        <v>7.1</v>
      </c>
      <c r="O344" s="29" t="n">
        <v>4.7</v>
      </c>
      <c r="P344" s="29" t="inlineStr">
        <is>
          <t>B.E</t>
        </is>
      </c>
      <c r="Q344" s="29" t="inlineStr">
        <is>
          <t>L3 – Professional / Associate</t>
        </is>
      </c>
      <c r="R344" s="29" t="inlineStr">
        <is>
          <t>A3</t>
        </is>
      </c>
      <c r="S344" s="30" t="inlineStr">
        <is>
          <t>20 of 20</t>
        </is>
      </c>
      <c r="T344" s="31" t="inlineStr">
        <is>
          <t>Complexity: Evidence reads like A3: Functional and regression testing plus Kuwait client calls, CIP Portal client demos, go-live support · KRA → moved up 0.5
Autonomy: Evidence reads like A2: Only prioritises own testing → matches the start
Accountability: Evidence reads like A3: Testing quality with direct client contact: client calls, demonstrations and …</t>
        </is>
      </c>
      <c r="U344" s="31" t="inlineStr">
        <is>
          <t>Received · manager annual, quarterly, self · 1. Successfully managed the CMA Kuwait project as the sole QA resource, ensuring timely testing and delivery throughout the project lifecycle.
2. During the absence of both Business Analysts on maternity leave, effectively assumed key BA responsibilities by gathering requirements, clarifying business needs, and …</t>
        </is>
      </c>
      <c r="V344" s="31" t="inlineStr">
        <is>
          <t>Latest rating: 5 · Potential: Medium · 9-box: High Impact / Growth Talent · Readiness: Ready in 6–12 months</t>
        </is>
      </c>
      <c r="W344" s="31" t="inlineStr">
        <is>
          <t>C M · Au L · Ac M · L L · BI M · Exp H · 7.1 yrs vs 2–4 yrs · Edu M · B.E</t>
        </is>
      </c>
      <c r="X344" s="33" t="inlineStr">
        <is>
          <t>Open ▸</t>
        </is>
      </c>
      <c r="Y344" s="34" t="str">
        <f>IFERROR(INDEX(DL_C,MATCH($CA344,DL_KEY,0)),"M")</f>
        <v>H</v>
      </c>
      <c r="Z344" s="35" t="str">
        <f>IFERROR(INDEX(DL_Au,MATCH($CA344,DL_KEY,0)),"M")</f>
        <v>M</v>
      </c>
      <c r="AA344" s="35" t="str">
        <f>IFERROR(INDEX(DL_Ac,MATCH($CA344,DL_KEY,0)),"M")</f>
        <v>L</v>
      </c>
      <c r="AB344" s="35" t="str">
        <f>IFERROR(INDEX(DL_L,MATCH($CA344,DL_KEY,0)),"M")</f>
        <v>L</v>
      </c>
      <c r="AC344" s="35" t="str">
        <f>IFERROR(INDEX(DL_BI,MATCH($CA344,DL_KEY,0)),"M")</f>
        <v>L</v>
      </c>
      <c r="AD344" s="35" t="str">
        <f>IFERROR(INDEX(DL_Exp,MATCH($CA344,DL_KEY,0)),"M")</f>
        <v>L</v>
      </c>
      <c r="AE344" s="35" t="str">
        <f>IFERROR(INDEX(DL_Edu,MATCH($CA344,DL_KEY,0)),"M")</f>
        <v>L</v>
      </c>
      <c r="AF344" s="34" t="inlineStr">
        <is>
          <t>M</t>
        </is>
      </c>
      <c r="AG344" s="35" t="inlineStr">
        <is>
          <t>M</t>
        </is>
      </c>
      <c r="AH344" s="35" t="inlineStr">
        <is>
          <t>M</t>
        </is>
      </c>
      <c r="AI344" s="35" t="inlineStr">
        <is>
          <t>M</t>
        </is>
      </c>
      <c r="AJ344" s="35" t="inlineStr">
        <is>
          <t>M</t>
        </is>
      </c>
      <c r="AK344" s="35" t="inlineStr">
        <is>
          <t>M</t>
        </is>
      </c>
      <c r="AL344" s="35" t="inlineStr">
        <is>
          <t>M</t>
        </is>
      </c>
      <c r="AM344" s="36" t="n">
        <v>0.583</v>
      </c>
      <c r="AN344" s="37" t="n">
        <v>0.16</v>
      </c>
      <c r="AO344" s="37" t="n">
        <v>0.09</v>
      </c>
      <c r="AP344" s="37" t="n">
        <v>0</v>
      </c>
      <c r="AQ344" s="37" t="n">
        <v>0.063</v>
      </c>
      <c r="AR344" s="37" t="n">
        <v>0.06</v>
      </c>
      <c r="AS344" s="37" t="n">
        <v>0.04</v>
      </c>
      <c r="AT344" s="38" t="inlineStr">
        <is>
          <t>2–5</t>
        </is>
      </c>
      <c r="AU344" s="38" t="inlineStr">
        <is>
          <t>Graduate; relevant certification preferred</t>
        </is>
      </c>
      <c r="AV344" s="38" t="inlineStr">
        <is>
          <t>None · guides 1–3 juniors informally</t>
        </is>
      </c>
      <c r="AW344" s="38" t="inlineStr">
        <is>
          <t>P2 · SFIA 3 Apply</t>
        </is>
      </c>
      <c r="AX34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44" s="39" t="inlineStr">
        <is>
          <t>A3</t>
        </is>
      </c>
      <c r="AZ344" s="40" t="inlineStr">
        <is>
          <t>Band A · Practitioner · Senior Associate</t>
        </is>
      </c>
      <c r="BA344" s="40" t="inlineStr">
        <is>
          <t>Model A3 from the six ratings, the market-derived weights and rules R1–R13 · then No change · already below the manager</t>
        </is>
      </c>
      <c r="BB344" s="41" t="inlineStr">
        <is>
          <t>A3</t>
        </is>
      </c>
      <c r="BC344" s="40" t="inlineStr">
        <is>
          <t>The six ratings on the market-average weights of Band A · all tracks score 2.67 → A3 · Hay, Mercer IPE and public plans · experience 7.1 yrs vs the A3 market range 2–5</t>
        </is>
      </c>
      <c r="BD344" s="42">
        <f>IF(SUM(BM344,BN344,BO344,BP344,BQ344,BR344,BS344)=0,0,(BM344*BT344+BN344*BU344+BO344*BV344+BP344*BW344+BQ344*BX344+BR344*BY344+BS344*BZ344)/SUM(BM344,BN344,BO344,BP344,BQ344,BR344,BS344))</f>
        <v>0</v>
      </c>
      <c r="BE344" s="41" t="str">
        <f>IF(LEFT(AY344,1)="X",AY344,IF(OR(AY344="B+",AY344="C+"),INDEX(LAD_PC,MAX(1,MIN(14,MATCH(AY344,LAD_PC,0)+IF(BD344&gt;=0.5,1,IF(BD344&lt;=-0.5,-1,0))))),INDEX(LAD_STD,MAX(1,MIN(12,MATCH(AY344,LAD_STD,0)+IF(BD344&gt;=0.5,1,IF(BD344&lt;=-0.5,-1,0)))))))</f>
        <v>A3</v>
      </c>
      <c r="BF344" s="43" t="n"/>
      <c r="BG344" s="41" t="str">
        <f>IF(BF344&lt;&gt;"",BF344,BE344)</f>
        <v>A3</v>
      </c>
      <c r="BH344" s="40" t="str">
        <f>IFERROR(CHOOSE(INDEX(B_RANK,MATCH(BG344,B_LVL,0)),"Band A","Band B","B+ · Player-Coach","Band C","C+ · Player-Coach","Band D","Band E"),"Band X · Consultant")</f>
        <v>Band A</v>
      </c>
      <c r="BI344" s="40" t="str">
        <f>IF(BG344=AY344,"• Same",IF(INDEX(B_VAL,MATCH(BG344,B_LVL,0))&gt;INDEX(B_VAL,MATCH(AY344,B_LVL,0)),"▲ Up","▼ Down"))</f>
        <v>• Same</v>
      </c>
      <c r="BJ344" s="40" t="str">
        <f>IF(OR($M344="",$M344="—",$M344="Not in this file"),"",IFERROR(INDEX($BG$7:$BG$592,MATCH($M344,$D$7:$D$592,0)),""))</f>
        <v>B2</v>
      </c>
      <c r="BK344" s="40" t="str">
        <f>IFERROR(IF(BJ344="","—",IF(OR(LEFT(BG344,1)="X",LEFT(BJ344,1)="X"),"—",IF(AND(LEFT(BG344,1)="E",LEFT(BJ344,1)="E"),"Exception · Band E",IF(AND(INDEX(B_VAL,MATCH(BJ344,B_LVL,0))&gt;=7,INDEX(B_RANK,MATCH(BG344,B_LVL,0))&gt;=INDEX(B_RANK,MATCH(BJ344,B_LVL,0))),"⚠ Same band as a head manager",IF(INDEX(B_VAL,MATCH(BG344,B_LVL,0))&gt;=INDEX(B_VAL,MATCH(BJ344,B_LVL,0)),"⚠ At or above the manager's level","OK"))))),"—")</f>
        <v>OK</v>
      </c>
      <c r="BL344" s="43" t="n"/>
      <c r="BM344" s="44">
        <f>IFERROR(INDEX(LMH_PTS,MATCH(Y344,LMH_KEY,0)),0)</f>
        <v>9</v>
      </c>
      <c r="BN344" s="38">
        <f>IFERROR(INDEX(LMH_PTS,MATCH(Z344,LMH_KEY,0)),0)</f>
        <v>3</v>
      </c>
      <c r="BO344" s="38">
        <f>IFERROR(INDEX(LMH_PTS,MATCH(AA344,LMH_KEY,0)),0)</f>
        <v>1</v>
      </c>
      <c r="BP344" s="38">
        <f>IFERROR(INDEX(LMH_PTS,MATCH(AB344,LMH_KEY,0)),0)</f>
        <v>1</v>
      </c>
      <c r="BQ344" s="38">
        <f>IFERROR(INDEX(LMH_PTS,MATCH(AC344,LMH_KEY,0)),0)</f>
        <v>1</v>
      </c>
      <c r="BR344" s="38">
        <f>IFERROR(INDEX(LMH_PTS,MATCH(AD344,LMH_KEY,0)),0)</f>
        <v>1</v>
      </c>
      <c r="BS344" s="38">
        <f>IFERROR(INDEX(LMH_PTS,MATCH(AE344,LMH_KEY,0)),0)</f>
        <v>1</v>
      </c>
      <c r="BT344" s="38">
        <f>IFERROR(INDEX(LMH_STEP,MATCH(AF344,LMH_KEY,0)),0)</f>
        <v>0</v>
      </c>
      <c r="BU344" s="38">
        <f>IFERROR(INDEX(LMH_STEP,MATCH(AG344,LMH_KEY,0)),0)</f>
        <v>0</v>
      </c>
      <c r="BV344" s="38">
        <f>IFERROR(INDEX(LMH_STEP,MATCH(AH344,LMH_KEY,0)),0)</f>
        <v>0</v>
      </c>
      <c r="BW344" s="38">
        <f>IFERROR(INDEX(LMH_STEP,MATCH(AI344,LMH_KEY,0)),0)</f>
        <v>0</v>
      </c>
      <c r="BX344" s="38">
        <f>IFERROR(INDEX(LMH_STEP,MATCH(AJ344,LMH_KEY,0)),0)</f>
        <v>0</v>
      </c>
      <c r="BY344" s="38">
        <f>IFERROR(INDEX(LMH_STEP,MATCH(AK344,LMH_KEY,0)),0)</f>
        <v>0</v>
      </c>
      <c r="BZ344" s="38">
        <f>IFERROR(INDEX(LMH_STEP,MATCH(AL344,LMH_KEY,0)),0)</f>
        <v>0</v>
      </c>
      <c r="CA344" s="38" t="inlineStr">
        <is>
          <t>iFile|Quality Assurance|Senior QA Engineer|A3|A</t>
        </is>
      </c>
    </row>
    <row r="345" ht="110" customHeight="1">
      <c r="A345" s="28" t="inlineStr">
        <is>
          <t>iFile</t>
        </is>
      </c>
      <c r="B345" s="29" t="inlineStr">
        <is>
          <t>Quality Assurance</t>
        </is>
      </c>
      <c r="C345" s="29" t="n">
        <v>4</v>
      </c>
      <c r="D345" s="29" t="inlineStr">
        <is>
          <t>IRIS1975</t>
        </is>
      </c>
      <c r="E345" s="29" t="inlineStr">
        <is>
          <t>Rahul Devarkonda</t>
        </is>
      </c>
      <c r="F345" s="29" t="inlineStr">
        <is>
          <t>QA Engineer</t>
        </is>
      </c>
      <c r="G345" s="29" t="inlineStr">
        <is>
          <t>Senior QA Engineer</t>
        </is>
      </c>
      <c r="H345" s="29" t="inlineStr">
        <is>
          <t>Quality Assurance</t>
        </is>
      </c>
      <c r="I345" s="29" t="inlineStr">
        <is>
          <t>Functional &amp; Domain Testing</t>
        </is>
      </c>
      <c r="J345" s="29" t="inlineStr">
        <is>
          <t>IC</t>
        </is>
      </c>
      <c r="K345" s="29" t="inlineStr">
        <is>
          <t>RC-141</t>
        </is>
      </c>
      <c r="L345" s="29" t="inlineStr">
        <is>
          <t>Davinder Pal Singh</t>
        </is>
      </c>
      <c r="M345" s="29" t="inlineStr">
        <is>
          <t>IRIS0728</t>
        </is>
      </c>
      <c r="N345" s="29" t="n">
        <v>6.9</v>
      </c>
      <c r="O345" s="29" t="n">
        <v>4.7</v>
      </c>
      <c r="P345" s="29" t="inlineStr">
        <is>
          <t>B.SC</t>
        </is>
      </c>
      <c r="Q345" s="29" t="inlineStr">
        <is>
          <t>L3 – Professional / Associate</t>
        </is>
      </c>
      <c r="R345" s="29" t="inlineStr">
        <is>
          <t>A3</t>
        </is>
      </c>
      <c r="S345" s="30" t="inlineStr">
        <is>
          <t>20 of 20</t>
        </is>
      </c>
      <c r="T345" s="31" t="inlineStr">
        <is>
          <t>Complexity: Evidence reads like A3: Test planning, UAT, API and security/VAPT testing on SDMX Manager; knows the project's MySQL tables → moved up 0.5
Autonomy: Evidence reads like A2: Names only reading the BRD/FSD; estimates own effort; no wider calls → matches the start
Accountability: Evidence reads like A3: Valid test cases not missed before release; …</t>
        </is>
      </c>
      <c r="U345" s="31" t="inlineStr">
        <is>
          <t>Received · manager annual, quarterly, self · 1. Rahul has been one of the top performers in the QA team, consistently demonstrating exceptional ownership, accountability, and commitment while supporting the BKC client for over 4.5 years.
2. He serves as the single point of contact · SPOC for the EBR project, effectively managing client communications, addressing …</t>
        </is>
      </c>
      <c r="V345" s="31" t="inlineStr">
        <is>
          <t>Latest rating: 5 · Potential: High · 9-box: High Impact / Growth Talent · Readiness: Ready now</t>
        </is>
      </c>
      <c r="W345" s="31" t="inlineStr">
        <is>
          <t>C M · Au L · Ac M · L L · BI M · Exp H · 6.9 yrs vs 2–4 yrs · Edu M · B.SC</t>
        </is>
      </c>
      <c r="X345" s="33" t="inlineStr">
        <is>
          <t>Open ▸</t>
        </is>
      </c>
      <c r="Y345" s="34" t="str">
        <f>IFERROR(INDEX(DL_C,MATCH($CA345,DL_KEY,0)),"M")</f>
        <v>H</v>
      </c>
      <c r="Z345" s="35" t="str">
        <f>IFERROR(INDEX(DL_Au,MATCH($CA345,DL_KEY,0)),"M")</f>
        <v>M</v>
      </c>
      <c r="AA345" s="35" t="str">
        <f>IFERROR(INDEX(DL_Ac,MATCH($CA345,DL_KEY,0)),"M")</f>
        <v>L</v>
      </c>
      <c r="AB345" s="35" t="str">
        <f>IFERROR(INDEX(DL_L,MATCH($CA345,DL_KEY,0)),"M")</f>
        <v>L</v>
      </c>
      <c r="AC345" s="35" t="str">
        <f>IFERROR(INDEX(DL_BI,MATCH($CA345,DL_KEY,0)),"M")</f>
        <v>L</v>
      </c>
      <c r="AD345" s="35" t="str">
        <f>IFERROR(INDEX(DL_Exp,MATCH($CA345,DL_KEY,0)),"M")</f>
        <v>L</v>
      </c>
      <c r="AE345" s="35" t="str">
        <f>IFERROR(INDEX(DL_Edu,MATCH($CA345,DL_KEY,0)),"M")</f>
        <v>L</v>
      </c>
      <c r="AF345" s="34" t="inlineStr">
        <is>
          <t>M</t>
        </is>
      </c>
      <c r="AG345" s="35" t="inlineStr">
        <is>
          <t>M</t>
        </is>
      </c>
      <c r="AH345" s="35" t="inlineStr">
        <is>
          <t>M</t>
        </is>
      </c>
      <c r="AI345" s="35" t="inlineStr">
        <is>
          <t>M</t>
        </is>
      </c>
      <c r="AJ345" s="35" t="inlineStr">
        <is>
          <t>M</t>
        </is>
      </c>
      <c r="AK345" s="35" t="inlineStr">
        <is>
          <t>M</t>
        </is>
      </c>
      <c r="AL345" s="35" t="inlineStr">
        <is>
          <t>M</t>
        </is>
      </c>
      <c r="AM345" s="36" t="n">
        <v>0.583</v>
      </c>
      <c r="AN345" s="37" t="n">
        <v>0.16</v>
      </c>
      <c r="AO345" s="37" t="n">
        <v>0.09</v>
      </c>
      <c r="AP345" s="37" t="n">
        <v>0</v>
      </c>
      <c r="AQ345" s="37" t="n">
        <v>0.063</v>
      </c>
      <c r="AR345" s="37" t="n">
        <v>0.06</v>
      </c>
      <c r="AS345" s="37" t="n">
        <v>0.04</v>
      </c>
      <c r="AT345" s="38" t="inlineStr">
        <is>
          <t>2–5</t>
        </is>
      </c>
      <c r="AU345" s="38" t="inlineStr">
        <is>
          <t>Graduate; relevant certification preferred</t>
        </is>
      </c>
      <c r="AV345" s="38" t="inlineStr">
        <is>
          <t>None · guides 1–3 juniors informally</t>
        </is>
      </c>
      <c r="AW345" s="38" t="inlineStr">
        <is>
          <t>P2 · SFIA 3 Apply</t>
        </is>
      </c>
      <c r="AX34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45" s="39" t="inlineStr">
        <is>
          <t>A3</t>
        </is>
      </c>
      <c r="AZ345" s="40" t="inlineStr">
        <is>
          <t>Band A · Practitioner · Senior Associate</t>
        </is>
      </c>
      <c r="BA345" s="40" t="inlineStr">
        <is>
          <t>Model A3 from the six ratings, the market-derived weights and rules R1–R13 · then No change · already below the manager</t>
        </is>
      </c>
      <c r="BB345" s="41" t="inlineStr">
        <is>
          <t>A3</t>
        </is>
      </c>
      <c r="BC345" s="40" t="inlineStr">
        <is>
          <t>The six ratings on the market-average weights of Band A · all tracks score 2.62 → A3 · Hay, Mercer IPE and public plans · experience 6.9 yrs vs the A3 market range 2–5</t>
        </is>
      </c>
      <c r="BD345" s="42">
        <f>IF(SUM(BM345,BN345,BO345,BP345,BQ345,BR345,BS345)=0,0,(BM345*BT345+BN345*BU345+BO345*BV345+BP345*BW345+BQ345*BX345+BR345*BY345+BS345*BZ345)/SUM(BM345,BN345,BO345,BP345,BQ345,BR345,BS345))</f>
        <v>0</v>
      </c>
      <c r="BE345" s="41" t="str">
        <f>IF(LEFT(AY345,1)="X",AY345,IF(OR(AY345="B+",AY345="C+"),INDEX(LAD_PC,MAX(1,MIN(14,MATCH(AY345,LAD_PC,0)+IF(BD345&gt;=0.5,1,IF(BD345&lt;=-0.5,-1,0))))),INDEX(LAD_STD,MAX(1,MIN(12,MATCH(AY345,LAD_STD,0)+IF(BD345&gt;=0.5,1,IF(BD345&lt;=-0.5,-1,0)))))))</f>
        <v>A3</v>
      </c>
      <c r="BF345" s="43" t="n"/>
      <c r="BG345" s="41" t="str">
        <f>IF(BF345&lt;&gt;"",BF345,BE345)</f>
        <v>A3</v>
      </c>
      <c r="BH345" s="40" t="str">
        <f>IFERROR(CHOOSE(INDEX(B_RANK,MATCH(BG345,B_LVL,0)),"Band A","Band B","B+ · Player-Coach","Band C","C+ · Player-Coach","Band D","Band E"),"Band X · Consultant")</f>
        <v>Band A</v>
      </c>
      <c r="BI345" s="40" t="str">
        <f>IF(BG345=AY345,"• Same",IF(INDEX(B_VAL,MATCH(BG345,B_LVL,0))&gt;INDEX(B_VAL,MATCH(AY345,B_LVL,0)),"▲ Up","▼ Down"))</f>
        <v>• Same</v>
      </c>
      <c r="BJ345" s="40" t="str">
        <f>IF(OR($M345="",$M345="—",$M345="Not in this file"),"",IFERROR(INDEX($BG$7:$BG$592,MATCH($M345,$D$7:$D$592,0)),""))</f>
        <v>B2</v>
      </c>
      <c r="BK345" s="40" t="str">
        <f>IFERROR(IF(BJ345="","—",IF(OR(LEFT(BG345,1)="X",LEFT(BJ345,1)="X"),"—",IF(AND(LEFT(BG345,1)="E",LEFT(BJ345,1)="E"),"Exception · Band E",IF(AND(INDEX(B_VAL,MATCH(BJ345,B_LVL,0))&gt;=7,INDEX(B_RANK,MATCH(BG345,B_LVL,0))&gt;=INDEX(B_RANK,MATCH(BJ345,B_LVL,0))),"⚠ Same band as a head manager",IF(INDEX(B_VAL,MATCH(BG345,B_LVL,0))&gt;=INDEX(B_VAL,MATCH(BJ345,B_LVL,0)),"⚠ At or above the manager's level","OK"))))),"—")</f>
        <v>OK</v>
      </c>
      <c r="BL345" s="43" t="n"/>
      <c r="BM345" s="44">
        <f>IFERROR(INDEX(LMH_PTS,MATCH(Y345,LMH_KEY,0)),0)</f>
        <v>9</v>
      </c>
      <c r="BN345" s="38">
        <f>IFERROR(INDEX(LMH_PTS,MATCH(Z345,LMH_KEY,0)),0)</f>
        <v>3</v>
      </c>
      <c r="BO345" s="38">
        <f>IFERROR(INDEX(LMH_PTS,MATCH(AA345,LMH_KEY,0)),0)</f>
        <v>1</v>
      </c>
      <c r="BP345" s="38">
        <f>IFERROR(INDEX(LMH_PTS,MATCH(AB345,LMH_KEY,0)),0)</f>
        <v>1</v>
      </c>
      <c r="BQ345" s="38">
        <f>IFERROR(INDEX(LMH_PTS,MATCH(AC345,LMH_KEY,0)),0)</f>
        <v>1</v>
      </c>
      <c r="BR345" s="38">
        <f>IFERROR(INDEX(LMH_PTS,MATCH(AD345,LMH_KEY,0)),0)</f>
        <v>1</v>
      </c>
      <c r="BS345" s="38">
        <f>IFERROR(INDEX(LMH_PTS,MATCH(AE345,LMH_KEY,0)),0)</f>
        <v>1</v>
      </c>
      <c r="BT345" s="38">
        <f>IFERROR(INDEX(LMH_STEP,MATCH(AF345,LMH_KEY,0)),0)</f>
        <v>0</v>
      </c>
      <c r="BU345" s="38">
        <f>IFERROR(INDEX(LMH_STEP,MATCH(AG345,LMH_KEY,0)),0)</f>
        <v>0</v>
      </c>
      <c r="BV345" s="38">
        <f>IFERROR(INDEX(LMH_STEP,MATCH(AH345,LMH_KEY,0)),0)</f>
        <v>0</v>
      </c>
      <c r="BW345" s="38">
        <f>IFERROR(INDEX(LMH_STEP,MATCH(AI345,LMH_KEY,0)),0)</f>
        <v>0</v>
      </c>
      <c r="BX345" s="38">
        <f>IFERROR(INDEX(LMH_STEP,MATCH(AJ345,LMH_KEY,0)),0)</f>
        <v>0</v>
      </c>
      <c r="BY345" s="38">
        <f>IFERROR(INDEX(LMH_STEP,MATCH(AK345,LMH_KEY,0)),0)</f>
        <v>0</v>
      </c>
      <c r="BZ345" s="38">
        <f>IFERROR(INDEX(LMH_STEP,MATCH(AL345,LMH_KEY,0)),0)</f>
        <v>0</v>
      </c>
      <c r="CA345" s="38" t="inlineStr">
        <is>
          <t>iFile|Quality Assurance|Senior QA Engineer|A3|A</t>
        </is>
      </c>
    </row>
    <row r="346" ht="110" customHeight="1">
      <c r="A346" s="28" t="inlineStr">
        <is>
          <t>iFile</t>
        </is>
      </c>
      <c r="B346" s="29" t="inlineStr">
        <is>
          <t>Quality Assurance</t>
        </is>
      </c>
      <c r="C346" s="29" t="n">
        <v>4</v>
      </c>
      <c r="D346" s="29" t="inlineStr">
        <is>
          <t>IRIS0651</t>
        </is>
      </c>
      <c r="E346" s="29" t="inlineStr">
        <is>
          <t>Sakina Rampurawala</t>
        </is>
      </c>
      <c r="F346" s="29" t="inlineStr">
        <is>
          <t>Senior QA - Engineer</t>
        </is>
      </c>
      <c r="G346" s="29" t="inlineStr">
        <is>
          <t>QA Specialist</t>
        </is>
      </c>
      <c r="H346" s="29" t="inlineStr">
        <is>
          <t>Quality Assurance</t>
        </is>
      </c>
      <c r="I346" s="29" t="inlineStr">
        <is>
          <t>Functional &amp; Domain Testing</t>
        </is>
      </c>
      <c r="J346" s="29" t="inlineStr">
        <is>
          <t>IC</t>
        </is>
      </c>
      <c r="K346" s="29" t="inlineStr">
        <is>
          <t>RC-141</t>
        </is>
      </c>
      <c r="L346" s="29" t="inlineStr">
        <is>
          <t>Davinder Pal Singh</t>
        </is>
      </c>
      <c r="M346" s="29" t="inlineStr">
        <is>
          <t>IRIS0728</t>
        </is>
      </c>
      <c r="N346" s="29" t="n">
        <v>15.3</v>
      </c>
      <c r="O346" s="29" t="n">
        <v>15.3</v>
      </c>
      <c r="P346" s="29" t="inlineStr">
        <is>
          <t>M.Com</t>
        </is>
      </c>
      <c r="Q346" s="29" t="inlineStr">
        <is>
          <t>L4 – Senior</t>
        </is>
      </c>
      <c r="R346" s="29" t="inlineStr">
        <is>
          <t>A3</t>
        </is>
      </c>
      <c r="S346" s="30" t="inlineStr">
        <is>
          <t>20 of 20</t>
        </is>
      </c>
      <c r="T346" s="31" t="inlineStr">
        <is>
          <t>Complexity: Evidence reads like A3: Webform and portal regression and UAT testing; analyses client production/UAT issues; wrote Webform user manual → matches the start
Autonomy: Evidence reads like A3: Prioritises test scenarios; works directly with SBC clients to resolve issues · KRA → matches the start
Accountability: Evidence reads like A3: own survey / …</t>
        </is>
      </c>
      <c r="U346" s="31" t="inlineStr">
        <is>
          <t>Received · manager annual, quarterly, self · 1. Improve Product Knowledge &amp; Documentation
Create and maintain Webform documentation covering 100% of new features and enhancements.
Update the Webform User Manual within 5 working days of each major release or feature implementation.
2. Ensure Quality Delivery of Webform Projects
Complete 95% of assigned QA and UAT …</t>
        </is>
      </c>
      <c r="V346" s="31" t="inlineStr">
        <is>
          <t>Latest rating: 4 · Potential: Medium · 9-box: Trusted Professional · Readiness: Ready in 6–12 months</t>
        </is>
      </c>
      <c r="W346" s="31" t="inlineStr">
        <is>
          <t>C M · Au M · Ac M · L L · BI M · Exp H · 15.3 yrs vs 2–4 yrs · Edu H · M.Com</t>
        </is>
      </c>
      <c r="X346" s="33" t="inlineStr">
        <is>
          <t>Open ▸</t>
        </is>
      </c>
      <c r="Y346" s="34" t="str">
        <f>IFERROR(INDEX(DL_C,MATCH($CA346,DL_KEY,0)),"M")</f>
        <v>H</v>
      </c>
      <c r="Z346" s="35" t="str">
        <f>IFERROR(INDEX(DL_Au,MATCH($CA346,DL_KEY,0)),"M")</f>
        <v>M</v>
      </c>
      <c r="AA346" s="35" t="str">
        <f>IFERROR(INDEX(DL_Ac,MATCH($CA346,DL_KEY,0)),"M")</f>
        <v>L</v>
      </c>
      <c r="AB346" s="35" t="str">
        <f>IFERROR(INDEX(DL_L,MATCH($CA346,DL_KEY,0)),"M")</f>
        <v>L</v>
      </c>
      <c r="AC346" s="35" t="str">
        <f>IFERROR(INDEX(DL_BI,MATCH($CA346,DL_KEY,0)),"M")</f>
        <v>L</v>
      </c>
      <c r="AD346" s="35" t="str">
        <f>IFERROR(INDEX(DL_Exp,MATCH($CA346,DL_KEY,0)),"M")</f>
        <v>L</v>
      </c>
      <c r="AE346" s="35" t="str">
        <f>IFERROR(INDEX(DL_Edu,MATCH($CA346,DL_KEY,0)),"M")</f>
        <v>L</v>
      </c>
      <c r="AF346" s="34" t="inlineStr">
        <is>
          <t>M</t>
        </is>
      </c>
      <c r="AG346" s="35" t="inlineStr">
        <is>
          <t>M</t>
        </is>
      </c>
      <c r="AH346" s="35" t="inlineStr">
        <is>
          <t>M</t>
        </is>
      </c>
      <c r="AI346" s="35" t="inlineStr">
        <is>
          <t>M</t>
        </is>
      </c>
      <c r="AJ346" s="35" t="inlineStr">
        <is>
          <t>M</t>
        </is>
      </c>
      <c r="AK346" s="35" t="inlineStr">
        <is>
          <t>M</t>
        </is>
      </c>
      <c r="AL346" s="35" t="inlineStr">
        <is>
          <t>M</t>
        </is>
      </c>
      <c r="AM346" s="36" t="n">
        <v>0.583</v>
      </c>
      <c r="AN346" s="37" t="n">
        <v>0.16</v>
      </c>
      <c r="AO346" s="37" t="n">
        <v>0.09</v>
      </c>
      <c r="AP346" s="37" t="n">
        <v>0</v>
      </c>
      <c r="AQ346" s="37" t="n">
        <v>0.063</v>
      </c>
      <c r="AR346" s="37" t="n">
        <v>0.06</v>
      </c>
      <c r="AS346" s="37" t="n">
        <v>0.04</v>
      </c>
      <c r="AT346" s="38" t="inlineStr">
        <is>
          <t>2–5</t>
        </is>
      </c>
      <c r="AU346" s="38" t="inlineStr">
        <is>
          <t>Graduate; relevant certification preferred</t>
        </is>
      </c>
      <c r="AV346" s="38" t="inlineStr">
        <is>
          <t>None · guides 1–3 juniors informally</t>
        </is>
      </c>
      <c r="AW346" s="38" t="inlineStr">
        <is>
          <t>P2 · SFIA 3 Apply</t>
        </is>
      </c>
      <c r="AX34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46" s="39" t="inlineStr">
        <is>
          <t>A3</t>
        </is>
      </c>
      <c r="AZ346" s="40" t="inlineStr">
        <is>
          <t>Band A · Practitioner · Senior Associate</t>
        </is>
      </c>
      <c r="BA346" s="40" t="inlineStr">
        <is>
          <t>Model A3 from the six ratings, the market-derived weights and rules R1–R13 · then No change · already below the manager</t>
        </is>
      </c>
      <c r="BB346" s="41" t="inlineStr">
        <is>
          <t>B1</t>
        </is>
      </c>
      <c r="BC346" s="40" t="inlineStr">
        <is>
          <t>The six ratings on the market-average weights of Band A · all tracks score 3.55 → B1 · Hay, Mercer IPE and public plans · experience 15.3 yrs vs the B1 market range 4–8</t>
        </is>
      </c>
      <c r="BD346" s="42">
        <f>IF(SUM(BM346,BN346,BO346,BP346,BQ346,BR346,BS346)=0,0,(BM346*BT346+BN346*BU346+BO346*BV346+BP346*BW346+BQ346*BX346+BR346*BY346+BS346*BZ346)/SUM(BM346,BN346,BO346,BP346,BQ346,BR346,BS346))</f>
        <v>0</v>
      </c>
      <c r="BE346" s="41" t="str">
        <f>IF(LEFT(AY346,1)="X",AY346,IF(OR(AY346="B+",AY346="C+"),INDEX(LAD_PC,MAX(1,MIN(14,MATCH(AY346,LAD_PC,0)+IF(BD346&gt;=0.5,1,IF(BD346&lt;=-0.5,-1,0))))),INDEX(LAD_STD,MAX(1,MIN(12,MATCH(AY346,LAD_STD,0)+IF(BD346&gt;=0.5,1,IF(BD346&lt;=-0.5,-1,0)))))))</f>
        <v>A3</v>
      </c>
      <c r="BF346" s="43" t="n"/>
      <c r="BG346" s="41" t="str">
        <f>IF(BF346&lt;&gt;"",BF346,BE346)</f>
        <v>A3</v>
      </c>
      <c r="BH346" s="40" t="str">
        <f>IFERROR(CHOOSE(INDEX(B_RANK,MATCH(BG346,B_LVL,0)),"Band A","Band B","B+ · Player-Coach","Band C","C+ · Player-Coach","Band D","Band E"),"Band X · Consultant")</f>
        <v>Band A</v>
      </c>
      <c r="BI346" s="40" t="str">
        <f>IF(BG346=AY346,"• Same",IF(INDEX(B_VAL,MATCH(BG346,B_LVL,0))&gt;INDEX(B_VAL,MATCH(AY346,B_LVL,0)),"▲ Up","▼ Down"))</f>
        <v>• Same</v>
      </c>
      <c r="BJ346" s="40" t="str">
        <f>IF(OR($M346="",$M346="—",$M346="Not in this file"),"",IFERROR(INDEX($BG$7:$BG$592,MATCH($M346,$D$7:$D$592,0)),""))</f>
        <v>B2</v>
      </c>
      <c r="BK346" s="40" t="str">
        <f>IFERROR(IF(BJ346="","—",IF(OR(LEFT(BG346,1)="X",LEFT(BJ346,1)="X"),"—",IF(AND(LEFT(BG346,1)="E",LEFT(BJ346,1)="E"),"Exception · Band E",IF(AND(INDEX(B_VAL,MATCH(BJ346,B_LVL,0))&gt;=7,INDEX(B_RANK,MATCH(BG346,B_LVL,0))&gt;=INDEX(B_RANK,MATCH(BJ346,B_LVL,0))),"⚠ Same band as a head manager",IF(INDEX(B_VAL,MATCH(BG346,B_LVL,0))&gt;=INDEX(B_VAL,MATCH(BJ346,B_LVL,0)),"⚠ At or above the manager's level","OK"))))),"—")</f>
        <v>OK</v>
      </c>
      <c r="BL346" s="43" t="n"/>
      <c r="BM346" s="44">
        <f>IFERROR(INDEX(LMH_PTS,MATCH(Y346,LMH_KEY,0)),0)</f>
        <v>9</v>
      </c>
      <c r="BN346" s="38">
        <f>IFERROR(INDEX(LMH_PTS,MATCH(Z346,LMH_KEY,0)),0)</f>
        <v>3</v>
      </c>
      <c r="BO346" s="38">
        <f>IFERROR(INDEX(LMH_PTS,MATCH(AA346,LMH_KEY,0)),0)</f>
        <v>1</v>
      </c>
      <c r="BP346" s="38">
        <f>IFERROR(INDEX(LMH_PTS,MATCH(AB346,LMH_KEY,0)),0)</f>
        <v>1</v>
      </c>
      <c r="BQ346" s="38">
        <f>IFERROR(INDEX(LMH_PTS,MATCH(AC346,LMH_KEY,0)),0)</f>
        <v>1</v>
      </c>
      <c r="BR346" s="38">
        <f>IFERROR(INDEX(LMH_PTS,MATCH(AD346,LMH_KEY,0)),0)</f>
        <v>1</v>
      </c>
      <c r="BS346" s="38">
        <f>IFERROR(INDEX(LMH_PTS,MATCH(AE346,LMH_KEY,0)),0)</f>
        <v>1</v>
      </c>
      <c r="BT346" s="38">
        <f>IFERROR(INDEX(LMH_STEP,MATCH(AF346,LMH_KEY,0)),0)</f>
        <v>0</v>
      </c>
      <c r="BU346" s="38">
        <f>IFERROR(INDEX(LMH_STEP,MATCH(AG346,LMH_KEY,0)),0)</f>
        <v>0</v>
      </c>
      <c r="BV346" s="38">
        <f>IFERROR(INDEX(LMH_STEP,MATCH(AH346,LMH_KEY,0)),0)</f>
        <v>0</v>
      </c>
      <c r="BW346" s="38">
        <f>IFERROR(INDEX(LMH_STEP,MATCH(AI346,LMH_KEY,0)),0)</f>
        <v>0</v>
      </c>
      <c r="BX346" s="38">
        <f>IFERROR(INDEX(LMH_STEP,MATCH(AJ346,LMH_KEY,0)),0)</f>
        <v>0</v>
      </c>
      <c r="BY346" s="38">
        <f>IFERROR(INDEX(LMH_STEP,MATCH(AK346,LMH_KEY,0)),0)</f>
        <v>0</v>
      </c>
      <c r="BZ346" s="38">
        <f>IFERROR(INDEX(LMH_STEP,MATCH(AL346,LMH_KEY,0)),0)</f>
        <v>0</v>
      </c>
      <c r="CA346" s="38" t="inlineStr">
        <is>
          <t>iFile|Quality Assurance|QA Specialist|A3|A</t>
        </is>
      </c>
    </row>
    <row r="347" ht="110" customHeight="1">
      <c r="A347" s="28" t="inlineStr">
        <is>
          <t>iFile</t>
        </is>
      </c>
      <c r="B347" s="29" t="inlineStr">
        <is>
          <t>Quality Assurance</t>
        </is>
      </c>
      <c r="C347" s="29" t="n">
        <v>4</v>
      </c>
      <c r="D347" s="29" t="inlineStr">
        <is>
          <t>IRIS1762</t>
        </is>
      </c>
      <c r="E347" s="29" t="inlineStr">
        <is>
          <t>Sanchi Pawaskar</t>
        </is>
      </c>
      <c r="F347" s="29" t="inlineStr">
        <is>
          <t>QA Engineer</t>
        </is>
      </c>
      <c r="G347" s="29" t="inlineStr">
        <is>
          <t>Senior QA Engineer</t>
        </is>
      </c>
      <c r="H347" s="29" t="inlineStr">
        <is>
          <t>Quality Assurance</t>
        </is>
      </c>
      <c r="I347" s="29" t="inlineStr">
        <is>
          <t>Functional &amp; Domain Testing</t>
        </is>
      </c>
      <c r="J347" s="29" t="inlineStr">
        <is>
          <t>IC</t>
        </is>
      </c>
      <c r="K347" s="29" t="inlineStr">
        <is>
          <t>RC-141</t>
        </is>
      </c>
      <c r="L347" s="29" t="inlineStr">
        <is>
          <t>Davinder Pal Singh</t>
        </is>
      </c>
      <c r="M347" s="29" t="inlineStr">
        <is>
          <t>IRIS0728</t>
        </is>
      </c>
      <c r="N347" s="29" t="n">
        <v>8.199999999999999</v>
      </c>
      <c r="O347" s="29" t="n">
        <v>7.7</v>
      </c>
      <c r="P347" s="29" t="inlineStr">
        <is>
          <t>B.SC</t>
        </is>
      </c>
      <c r="Q347" s="29" t="inlineStr">
        <is>
          <t>L3 – Professional / Associate</t>
        </is>
      </c>
      <c r="R347" s="29" t="inlineStr">
        <is>
          <t>A3</t>
        </is>
      </c>
      <c r="S347" s="30" t="inlineStr">
        <is>
          <t>20 of 20</t>
        </is>
      </c>
      <c r="T347" s="31" t="inlineStr">
        <is>
          <t>Business Impact: No survey or manager-mapping signal on criticality: kept at the start point.</t>
        </is>
      </c>
      <c r="U347" s="31" t="inlineStr">
        <is>
          <t>Received · manager annual, quarterly, self · 1. Enhance Technical Skills · Automation &amp; API Testing
Objective: Develop automation and API testing capabilities by completing structured learning and contributing to at least one automation initiative within the next review cycle.
2. Strengthen Project Ownership
Objective: Continue providing high-quality support for …</t>
        </is>
      </c>
      <c r="V347" s="31" t="inlineStr">
        <is>
          <t>Latest rating: 3 · 9-box: Trusted Professional · Readiness: Develop in role</t>
        </is>
      </c>
      <c r="W347" s="31" t="inlineStr">
        <is>
          <t>C L · Au L · Ac M · L L · BI M · Exp H · 8.2 yrs vs 2–4 yrs · Edu M · B.SC</t>
        </is>
      </c>
      <c r="X347" s="33" t="inlineStr">
        <is>
          <t>Open ▸</t>
        </is>
      </c>
      <c r="Y347" s="34" t="str">
        <f>IFERROR(INDEX(DL_C,MATCH($CA347,DL_KEY,0)),"M")</f>
        <v>H</v>
      </c>
      <c r="Z347" s="35" t="str">
        <f>IFERROR(INDEX(DL_Au,MATCH($CA347,DL_KEY,0)),"M")</f>
        <v>M</v>
      </c>
      <c r="AA347" s="35" t="str">
        <f>IFERROR(INDEX(DL_Ac,MATCH($CA347,DL_KEY,0)),"M")</f>
        <v>L</v>
      </c>
      <c r="AB347" s="35" t="str">
        <f>IFERROR(INDEX(DL_L,MATCH($CA347,DL_KEY,0)),"M")</f>
        <v>L</v>
      </c>
      <c r="AC347" s="35" t="str">
        <f>IFERROR(INDEX(DL_BI,MATCH($CA347,DL_KEY,0)),"M")</f>
        <v>L</v>
      </c>
      <c r="AD347" s="35" t="str">
        <f>IFERROR(INDEX(DL_Exp,MATCH($CA347,DL_KEY,0)),"M")</f>
        <v>L</v>
      </c>
      <c r="AE347" s="35" t="str">
        <f>IFERROR(INDEX(DL_Edu,MATCH($CA347,DL_KEY,0)),"M")</f>
        <v>L</v>
      </c>
      <c r="AF347" s="34" t="inlineStr">
        <is>
          <t>M</t>
        </is>
      </c>
      <c r="AG347" s="35" t="inlineStr">
        <is>
          <t>M</t>
        </is>
      </c>
      <c r="AH347" s="35" t="inlineStr">
        <is>
          <t>M</t>
        </is>
      </c>
      <c r="AI347" s="35" t="inlineStr">
        <is>
          <t>M</t>
        </is>
      </c>
      <c r="AJ347" s="35" t="inlineStr">
        <is>
          <t>M</t>
        </is>
      </c>
      <c r="AK347" s="35" t="inlineStr">
        <is>
          <t>M</t>
        </is>
      </c>
      <c r="AL347" s="35" t="inlineStr">
        <is>
          <t>M</t>
        </is>
      </c>
      <c r="AM347" s="36" t="n">
        <v>0.583</v>
      </c>
      <c r="AN347" s="37" t="n">
        <v>0.16</v>
      </c>
      <c r="AO347" s="37" t="n">
        <v>0.09</v>
      </c>
      <c r="AP347" s="37" t="n">
        <v>0</v>
      </c>
      <c r="AQ347" s="37" t="n">
        <v>0.063</v>
      </c>
      <c r="AR347" s="37" t="n">
        <v>0.06</v>
      </c>
      <c r="AS347" s="37" t="n">
        <v>0.04</v>
      </c>
      <c r="AT347" s="38" t="inlineStr">
        <is>
          <t>2–5</t>
        </is>
      </c>
      <c r="AU347" s="38" t="inlineStr">
        <is>
          <t>Graduate; relevant certification preferred</t>
        </is>
      </c>
      <c r="AV347" s="38" t="inlineStr">
        <is>
          <t>None · guides 1–3 juniors informally</t>
        </is>
      </c>
      <c r="AW347" s="38" t="inlineStr">
        <is>
          <t>P2 · SFIA 3 Apply</t>
        </is>
      </c>
      <c r="AX34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47" s="39" t="inlineStr">
        <is>
          <t>A3</t>
        </is>
      </c>
      <c r="AZ347" s="40" t="inlineStr">
        <is>
          <t>Band A · Practitioner · Senior Associate</t>
        </is>
      </c>
      <c r="BA347" s="40" t="inlineStr">
        <is>
          <t>Model A3 from the six ratings, the market-derived weights and rules R1–R13 · then No change · already below the manager</t>
        </is>
      </c>
      <c r="BB347" s="41" t="inlineStr">
        <is>
          <t>A2</t>
        </is>
      </c>
      <c r="BC347" s="40" t="inlineStr">
        <is>
          <t>The six ratings on the market-average weights of Band A · all tracks score 2.43 → A2 · Hay, Mercer IPE and public plans · experience 8.2 yrs vs the A2 market range 0–3</t>
        </is>
      </c>
      <c r="BD347" s="42">
        <f>IF(SUM(BM347,BN347,BO347,BP347,BQ347,BR347,BS347)=0,0,(BM347*BT347+BN347*BU347+BO347*BV347+BP347*BW347+BQ347*BX347+BR347*BY347+BS347*BZ347)/SUM(BM347,BN347,BO347,BP347,BQ347,BR347,BS347))</f>
        <v>0</v>
      </c>
      <c r="BE347" s="41" t="str">
        <f>IF(LEFT(AY347,1)="X",AY347,IF(OR(AY347="B+",AY347="C+"),INDEX(LAD_PC,MAX(1,MIN(14,MATCH(AY347,LAD_PC,0)+IF(BD347&gt;=0.5,1,IF(BD347&lt;=-0.5,-1,0))))),INDEX(LAD_STD,MAX(1,MIN(12,MATCH(AY347,LAD_STD,0)+IF(BD347&gt;=0.5,1,IF(BD347&lt;=-0.5,-1,0)))))))</f>
        <v>A3</v>
      </c>
      <c r="BF347" s="43" t="n"/>
      <c r="BG347" s="41" t="str">
        <f>IF(BF347&lt;&gt;"",BF347,BE347)</f>
        <v>A3</v>
      </c>
      <c r="BH347" s="40" t="str">
        <f>IFERROR(CHOOSE(INDEX(B_RANK,MATCH(BG347,B_LVL,0)),"Band A","Band B","B+ · Player-Coach","Band C","C+ · Player-Coach","Band D","Band E"),"Band X · Consultant")</f>
        <v>Band A</v>
      </c>
      <c r="BI347" s="40" t="str">
        <f>IF(BG347=AY347,"• Same",IF(INDEX(B_VAL,MATCH(BG347,B_LVL,0))&gt;INDEX(B_VAL,MATCH(AY347,B_LVL,0)),"▲ Up","▼ Down"))</f>
        <v>• Same</v>
      </c>
      <c r="BJ347" s="40" t="str">
        <f>IF(OR($M347="",$M347="—",$M347="Not in this file"),"",IFERROR(INDEX($BG$7:$BG$592,MATCH($M347,$D$7:$D$592,0)),""))</f>
        <v>B2</v>
      </c>
      <c r="BK347" s="40" t="str">
        <f>IFERROR(IF(BJ347="","—",IF(OR(LEFT(BG347,1)="X",LEFT(BJ347,1)="X"),"—",IF(AND(LEFT(BG347,1)="E",LEFT(BJ347,1)="E"),"Exception · Band E",IF(AND(INDEX(B_VAL,MATCH(BJ347,B_LVL,0))&gt;=7,INDEX(B_RANK,MATCH(BG347,B_LVL,0))&gt;=INDEX(B_RANK,MATCH(BJ347,B_LVL,0))),"⚠ Same band as a head manager",IF(INDEX(B_VAL,MATCH(BG347,B_LVL,0))&gt;=INDEX(B_VAL,MATCH(BJ347,B_LVL,0)),"⚠ At or above the manager's level","OK"))))),"—")</f>
        <v>OK</v>
      </c>
      <c r="BL347" s="43" t="n"/>
      <c r="BM347" s="44">
        <f>IFERROR(INDEX(LMH_PTS,MATCH(Y347,LMH_KEY,0)),0)</f>
        <v>9</v>
      </c>
      <c r="BN347" s="38">
        <f>IFERROR(INDEX(LMH_PTS,MATCH(Z347,LMH_KEY,0)),0)</f>
        <v>3</v>
      </c>
      <c r="BO347" s="38">
        <f>IFERROR(INDEX(LMH_PTS,MATCH(AA347,LMH_KEY,0)),0)</f>
        <v>1</v>
      </c>
      <c r="BP347" s="38">
        <f>IFERROR(INDEX(LMH_PTS,MATCH(AB347,LMH_KEY,0)),0)</f>
        <v>1</v>
      </c>
      <c r="BQ347" s="38">
        <f>IFERROR(INDEX(LMH_PTS,MATCH(AC347,LMH_KEY,0)),0)</f>
        <v>1</v>
      </c>
      <c r="BR347" s="38">
        <f>IFERROR(INDEX(LMH_PTS,MATCH(AD347,LMH_KEY,0)),0)</f>
        <v>1</v>
      </c>
      <c r="BS347" s="38">
        <f>IFERROR(INDEX(LMH_PTS,MATCH(AE347,LMH_KEY,0)),0)</f>
        <v>1</v>
      </c>
      <c r="BT347" s="38">
        <f>IFERROR(INDEX(LMH_STEP,MATCH(AF347,LMH_KEY,0)),0)</f>
        <v>0</v>
      </c>
      <c r="BU347" s="38">
        <f>IFERROR(INDEX(LMH_STEP,MATCH(AG347,LMH_KEY,0)),0)</f>
        <v>0</v>
      </c>
      <c r="BV347" s="38">
        <f>IFERROR(INDEX(LMH_STEP,MATCH(AH347,LMH_KEY,0)),0)</f>
        <v>0</v>
      </c>
      <c r="BW347" s="38">
        <f>IFERROR(INDEX(LMH_STEP,MATCH(AI347,LMH_KEY,0)),0)</f>
        <v>0</v>
      </c>
      <c r="BX347" s="38">
        <f>IFERROR(INDEX(LMH_STEP,MATCH(AJ347,LMH_KEY,0)),0)</f>
        <v>0</v>
      </c>
      <c r="BY347" s="38">
        <f>IFERROR(INDEX(LMH_STEP,MATCH(AK347,LMH_KEY,0)),0)</f>
        <v>0</v>
      </c>
      <c r="BZ347" s="38">
        <f>IFERROR(INDEX(LMH_STEP,MATCH(AL347,LMH_KEY,0)),0)</f>
        <v>0</v>
      </c>
      <c r="CA347" s="38" t="inlineStr">
        <is>
          <t>iFile|Quality Assurance|Senior QA Engineer|A3|A</t>
        </is>
      </c>
    </row>
    <row r="348" ht="110" customHeight="1">
      <c r="A348" s="28" t="inlineStr">
        <is>
          <t>iFile</t>
        </is>
      </c>
      <c r="B348" s="29" t="inlineStr">
        <is>
          <t>Quality Assurance</t>
        </is>
      </c>
      <c r="C348" s="29" t="n">
        <v>4</v>
      </c>
      <c r="D348" s="29" t="inlineStr">
        <is>
          <t>IRIS2496</t>
        </is>
      </c>
      <c r="E348" s="29" t="inlineStr">
        <is>
          <t>Tejas Rane</t>
        </is>
      </c>
      <c r="F348" s="29" t="inlineStr">
        <is>
          <t>QA Engineer</t>
        </is>
      </c>
      <c r="G348" s="29" t="inlineStr">
        <is>
          <t>Senior QA Engineer</t>
        </is>
      </c>
      <c r="H348" s="29" t="inlineStr">
        <is>
          <t>Quality Assurance</t>
        </is>
      </c>
      <c r="I348" s="29" t="inlineStr">
        <is>
          <t>Functional &amp; Domain Testing</t>
        </is>
      </c>
      <c r="J348" s="29" t="inlineStr">
        <is>
          <t>IC</t>
        </is>
      </c>
      <c r="K348" s="29" t="inlineStr">
        <is>
          <t>RC-141</t>
        </is>
      </c>
      <c r="L348" s="29" t="inlineStr">
        <is>
          <t>Davinder Pal Singh</t>
        </is>
      </c>
      <c r="M348" s="29" t="inlineStr">
        <is>
          <t>IRIS0728</t>
        </is>
      </c>
      <c r="N348" s="29" t="n">
        <v>4.9</v>
      </c>
      <c r="O348" s="29" t="n">
        <v>0.5</v>
      </c>
      <c r="P348" s="29" t="inlineStr">
        <is>
          <t>PG-DAC</t>
        </is>
      </c>
      <c r="Q348" s="29" t="inlineStr">
        <is>
          <t>L3 – Professional / Associate</t>
        </is>
      </c>
      <c r="R348" s="29" t="inlineStr">
        <is>
          <t>A3</t>
        </is>
      </c>
      <c r="S348" s="30" t="inlineStr">
        <is>
          <t>20 of 20</t>
        </is>
      </c>
      <c r="T348" s="31" t="inlineStr">
        <is>
          <t>Complexity: Evidence reads like A2: Test case design, manual execution, regression and requirement review on Teapot/DynaForm against documented rules → matches the start
Autonomy: Evidence reads like A2: Decides test 'scope' and flags spec gaps; no further authority shown → matches the start
Accountability: Evidence reads like A2: Own coverage, execution …</t>
        </is>
      </c>
      <c r="U348" s="31" t="inlineStr">
        <is>
          <t>Received · manager annual, quarterly, self · 1.Develop in-depth knowledge of the Teapot Portal, DynaForm Builder, and DynaForm features to independently test all assigned functionalities with complete business understanding and documented test cases.
2. Expand functional, integration, and regression test coverage by creating, reviewing, and executing …</t>
        </is>
      </c>
      <c r="V348" s="31" t="inlineStr">
        <is>
          <t>Latest rating: 3 · Potential: Medium · 9-box: Trusted Professional · Readiness: Develop in role</t>
        </is>
      </c>
      <c r="W348" s="31" t="inlineStr">
        <is>
          <t>C L · Au L · Ac L · L L · BI L · Exp H · 4.9 yrs vs 2–4 yrs · Edu H · PG-DAC</t>
        </is>
      </c>
      <c r="X348" s="33" t="inlineStr">
        <is>
          <t>Open ▸</t>
        </is>
      </c>
      <c r="Y348" s="34" t="str">
        <f>IFERROR(INDEX(DL_C,MATCH($CA348,DL_KEY,0)),"M")</f>
        <v>H</v>
      </c>
      <c r="Z348" s="35" t="str">
        <f>IFERROR(INDEX(DL_Au,MATCH($CA348,DL_KEY,0)),"M")</f>
        <v>M</v>
      </c>
      <c r="AA348" s="35" t="str">
        <f>IFERROR(INDEX(DL_Ac,MATCH($CA348,DL_KEY,0)),"M")</f>
        <v>L</v>
      </c>
      <c r="AB348" s="35" t="str">
        <f>IFERROR(INDEX(DL_L,MATCH($CA348,DL_KEY,0)),"M")</f>
        <v>L</v>
      </c>
      <c r="AC348" s="35" t="str">
        <f>IFERROR(INDEX(DL_BI,MATCH($CA348,DL_KEY,0)),"M")</f>
        <v>L</v>
      </c>
      <c r="AD348" s="35" t="str">
        <f>IFERROR(INDEX(DL_Exp,MATCH($CA348,DL_KEY,0)),"M")</f>
        <v>L</v>
      </c>
      <c r="AE348" s="35" t="str">
        <f>IFERROR(INDEX(DL_Edu,MATCH($CA348,DL_KEY,0)),"M")</f>
        <v>L</v>
      </c>
      <c r="AF348" s="34" t="inlineStr">
        <is>
          <t>M</t>
        </is>
      </c>
      <c r="AG348" s="35" t="inlineStr">
        <is>
          <t>M</t>
        </is>
      </c>
      <c r="AH348" s="35" t="inlineStr">
        <is>
          <t>M</t>
        </is>
      </c>
      <c r="AI348" s="35" t="inlineStr">
        <is>
          <t>M</t>
        </is>
      </c>
      <c r="AJ348" s="35" t="inlineStr">
        <is>
          <t>M</t>
        </is>
      </c>
      <c r="AK348" s="35" t="inlineStr">
        <is>
          <t>M</t>
        </is>
      </c>
      <c r="AL348" s="35" t="inlineStr">
        <is>
          <t>M</t>
        </is>
      </c>
      <c r="AM348" s="36" t="n">
        <v>0.583</v>
      </c>
      <c r="AN348" s="37" t="n">
        <v>0.16</v>
      </c>
      <c r="AO348" s="37" t="n">
        <v>0.09</v>
      </c>
      <c r="AP348" s="37" t="n">
        <v>0</v>
      </c>
      <c r="AQ348" s="37" t="n">
        <v>0.063</v>
      </c>
      <c r="AR348" s="37" t="n">
        <v>0.06</v>
      </c>
      <c r="AS348" s="37" t="n">
        <v>0.04</v>
      </c>
      <c r="AT348" s="38" t="inlineStr">
        <is>
          <t>2–5</t>
        </is>
      </c>
      <c r="AU348" s="38" t="inlineStr">
        <is>
          <t>Graduate; relevant certification preferred</t>
        </is>
      </c>
      <c r="AV348" s="38" t="inlineStr">
        <is>
          <t>None · guides 1–3 juniors informally</t>
        </is>
      </c>
      <c r="AW348" s="38" t="inlineStr">
        <is>
          <t>P2 · SFIA 3 Apply</t>
        </is>
      </c>
      <c r="AX34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48" s="39" t="inlineStr">
        <is>
          <t>A3</t>
        </is>
      </c>
      <c r="AZ348" s="40" t="inlineStr">
        <is>
          <t>Band A · Practitioner · Senior Associate</t>
        </is>
      </c>
      <c r="BA348" s="40" t="inlineStr">
        <is>
          <t>Model A3 from the six ratings, the market-derived weights and rules R1–R13 · then No change · already below the manager</t>
        </is>
      </c>
      <c r="BB348" s="41" t="inlineStr">
        <is>
          <t>A2</t>
        </is>
      </c>
      <c r="BC348" s="40" t="inlineStr">
        <is>
          <t>The six ratings on the market-average weights of Band A · all tracks score 2.25 → A2 · Hay, Mercer IPE and public plans · experience 4.9 yrs vs the A2 market range 0–3</t>
        </is>
      </c>
      <c r="BD348" s="42">
        <f>IF(SUM(BM348,BN348,BO348,BP348,BQ348,BR348,BS348)=0,0,(BM348*BT348+BN348*BU348+BO348*BV348+BP348*BW348+BQ348*BX348+BR348*BY348+BS348*BZ348)/SUM(BM348,BN348,BO348,BP348,BQ348,BR348,BS348))</f>
        <v>0</v>
      </c>
      <c r="BE348" s="41" t="str">
        <f>IF(LEFT(AY348,1)="X",AY348,IF(OR(AY348="B+",AY348="C+"),INDEX(LAD_PC,MAX(1,MIN(14,MATCH(AY348,LAD_PC,0)+IF(BD348&gt;=0.5,1,IF(BD348&lt;=-0.5,-1,0))))),INDEX(LAD_STD,MAX(1,MIN(12,MATCH(AY348,LAD_STD,0)+IF(BD348&gt;=0.5,1,IF(BD348&lt;=-0.5,-1,0)))))))</f>
        <v>A3</v>
      </c>
      <c r="BF348" s="43" t="n"/>
      <c r="BG348" s="41" t="str">
        <f>IF(BF348&lt;&gt;"",BF348,BE348)</f>
        <v>A3</v>
      </c>
      <c r="BH348" s="40" t="str">
        <f>IFERROR(CHOOSE(INDEX(B_RANK,MATCH(BG348,B_LVL,0)),"Band A","Band B","B+ · Player-Coach","Band C","C+ · Player-Coach","Band D","Band E"),"Band X · Consultant")</f>
        <v>Band A</v>
      </c>
      <c r="BI348" s="40" t="str">
        <f>IF(BG348=AY348,"• Same",IF(INDEX(B_VAL,MATCH(BG348,B_LVL,0))&gt;INDEX(B_VAL,MATCH(AY348,B_LVL,0)),"▲ Up","▼ Down"))</f>
        <v>• Same</v>
      </c>
      <c r="BJ348" s="40" t="str">
        <f>IF(OR($M348="",$M348="—",$M348="Not in this file"),"",IFERROR(INDEX($BG$7:$BG$592,MATCH($M348,$D$7:$D$592,0)),""))</f>
        <v>B2</v>
      </c>
      <c r="BK348" s="40" t="str">
        <f>IFERROR(IF(BJ348="","—",IF(OR(LEFT(BG348,1)="X",LEFT(BJ348,1)="X"),"—",IF(AND(LEFT(BG348,1)="E",LEFT(BJ348,1)="E"),"Exception · Band E",IF(AND(INDEX(B_VAL,MATCH(BJ348,B_LVL,0))&gt;=7,INDEX(B_RANK,MATCH(BG348,B_LVL,0))&gt;=INDEX(B_RANK,MATCH(BJ348,B_LVL,0))),"⚠ Same band as a head manager",IF(INDEX(B_VAL,MATCH(BG348,B_LVL,0))&gt;=INDEX(B_VAL,MATCH(BJ348,B_LVL,0)),"⚠ At or above the manager's level","OK"))))),"—")</f>
        <v>OK</v>
      </c>
      <c r="BL348" s="43" t="n"/>
      <c r="BM348" s="44">
        <f>IFERROR(INDEX(LMH_PTS,MATCH(Y348,LMH_KEY,0)),0)</f>
        <v>9</v>
      </c>
      <c r="BN348" s="38">
        <f>IFERROR(INDEX(LMH_PTS,MATCH(Z348,LMH_KEY,0)),0)</f>
        <v>3</v>
      </c>
      <c r="BO348" s="38">
        <f>IFERROR(INDEX(LMH_PTS,MATCH(AA348,LMH_KEY,0)),0)</f>
        <v>1</v>
      </c>
      <c r="BP348" s="38">
        <f>IFERROR(INDEX(LMH_PTS,MATCH(AB348,LMH_KEY,0)),0)</f>
        <v>1</v>
      </c>
      <c r="BQ348" s="38">
        <f>IFERROR(INDEX(LMH_PTS,MATCH(AC348,LMH_KEY,0)),0)</f>
        <v>1</v>
      </c>
      <c r="BR348" s="38">
        <f>IFERROR(INDEX(LMH_PTS,MATCH(AD348,LMH_KEY,0)),0)</f>
        <v>1</v>
      </c>
      <c r="BS348" s="38">
        <f>IFERROR(INDEX(LMH_PTS,MATCH(AE348,LMH_KEY,0)),0)</f>
        <v>1</v>
      </c>
      <c r="BT348" s="38">
        <f>IFERROR(INDEX(LMH_STEP,MATCH(AF348,LMH_KEY,0)),0)</f>
        <v>0</v>
      </c>
      <c r="BU348" s="38">
        <f>IFERROR(INDEX(LMH_STEP,MATCH(AG348,LMH_KEY,0)),0)</f>
        <v>0</v>
      </c>
      <c r="BV348" s="38">
        <f>IFERROR(INDEX(LMH_STEP,MATCH(AH348,LMH_KEY,0)),0)</f>
        <v>0</v>
      </c>
      <c r="BW348" s="38">
        <f>IFERROR(INDEX(LMH_STEP,MATCH(AI348,LMH_KEY,0)),0)</f>
        <v>0</v>
      </c>
      <c r="BX348" s="38">
        <f>IFERROR(INDEX(LMH_STEP,MATCH(AJ348,LMH_KEY,0)),0)</f>
        <v>0</v>
      </c>
      <c r="BY348" s="38">
        <f>IFERROR(INDEX(LMH_STEP,MATCH(AK348,LMH_KEY,0)),0)</f>
        <v>0</v>
      </c>
      <c r="BZ348" s="38">
        <f>IFERROR(INDEX(LMH_STEP,MATCH(AL348,LMH_KEY,0)),0)</f>
        <v>0</v>
      </c>
      <c r="CA348" s="38" t="inlineStr">
        <is>
          <t>iFile|Quality Assurance|Senior QA Engineer|A3|A</t>
        </is>
      </c>
    </row>
    <row r="349" ht="110" customHeight="1">
      <c r="A349" s="28" t="inlineStr">
        <is>
          <t>iFile</t>
        </is>
      </c>
      <c r="B349" s="29" t="inlineStr">
        <is>
          <t>Quality Assurance</t>
        </is>
      </c>
      <c r="C349" s="29" t="n">
        <v>4</v>
      </c>
      <c r="D349" s="29" t="inlineStr">
        <is>
          <t>IRIS2456</t>
        </is>
      </c>
      <c r="E349" s="29" t="inlineStr">
        <is>
          <t>Vishal Khare</t>
        </is>
      </c>
      <c r="F349" s="29" t="inlineStr">
        <is>
          <t>QA Engineer</t>
        </is>
      </c>
      <c r="G349" s="29" t="inlineStr">
        <is>
          <t>Senior QA Engineer</t>
        </is>
      </c>
      <c r="H349" s="29" t="inlineStr">
        <is>
          <t>Quality Assurance</t>
        </is>
      </c>
      <c r="I349" s="29" t="inlineStr">
        <is>
          <t>Functional &amp; Domain Testing</t>
        </is>
      </c>
      <c r="J349" s="29" t="inlineStr">
        <is>
          <t>IC</t>
        </is>
      </c>
      <c r="K349" s="29" t="inlineStr">
        <is>
          <t>RC-141</t>
        </is>
      </c>
      <c r="L349" s="29" t="inlineStr">
        <is>
          <t>Davinder Pal Singh</t>
        </is>
      </c>
      <c r="M349" s="29" t="inlineStr">
        <is>
          <t>IRIS0728</t>
        </is>
      </c>
      <c r="N349" s="29" t="n">
        <v>4.1</v>
      </c>
      <c r="O349" s="29" t="n">
        <v>0.8</v>
      </c>
      <c r="P349" s="29" t="inlineStr">
        <is>
          <t>B.E</t>
        </is>
      </c>
      <c r="Q349" s="29" t="inlineStr">
        <is>
          <t>L3 – Professional / Associate</t>
        </is>
      </c>
      <c r="R349" s="29" t="inlineStr">
        <is>
          <t>A3</t>
        </is>
      </c>
      <c r="S349" s="30" t="inlineStr">
        <is>
          <t>20 of 20</t>
        </is>
      </c>
      <c r="T349" s="31" t="inlineStr">
        <is>
          <t>Complexity: Evidence reads like A3: Functional/regression testing plus UAT at client site, installer and XBRL return testing, client issue reproduction → moved up 0.5
Autonomy: Evidence reads like A2: Names only test case writing as own decision → matches the start
Accountability: Evidence reads like A3: Performs UAT on the client's own environment; product …</t>
        </is>
      </c>
      <c r="U349" s="31" t="inlineStr">
        <is>
          <t>Received · manager annual, quarterly, self · 1. Vishal has shown excellent progress over the past six months by quickly understanding one of the organization's most complex projects and contributing effectively to its successful delivery.
2. He has developed strong client communication skills and is now able to interact with clients independently, respond to …</t>
        </is>
      </c>
      <c r="V349" s="31" t="inlineStr">
        <is>
          <t>Latest rating: 3 · Potential: Medium · 9-box: Emerging Talent · Readiness: Develop in role</t>
        </is>
      </c>
      <c r="W349" s="31" t="inlineStr">
        <is>
          <t>C M · Au L · Ac M · L L · BI M · Exp H · 4.1 yrs vs 2–4 yrs · Edu M · B.E</t>
        </is>
      </c>
      <c r="X349" s="33" t="inlineStr">
        <is>
          <t>Open ▸</t>
        </is>
      </c>
      <c r="Y349" s="34" t="str">
        <f>IFERROR(INDEX(DL_C,MATCH($CA349,DL_KEY,0)),"M")</f>
        <v>H</v>
      </c>
      <c r="Z349" s="35" t="str">
        <f>IFERROR(INDEX(DL_Au,MATCH($CA349,DL_KEY,0)),"M")</f>
        <v>M</v>
      </c>
      <c r="AA349" s="35" t="str">
        <f>IFERROR(INDEX(DL_Ac,MATCH($CA349,DL_KEY,0)),"M")</f>
        <v>L</v>
      </c>
      <c r="AB349" s="35" t="str">
        <f>IFERROR(INDEX(DL_L,MATCH($CA349,DL_KEY,0)),"M")</f>
        <v>L</v>
      </c>
      <c r="AC349" s="35" t="str">
        <f>IFERROR(INDEX(DL_BI,MATCH($CA349,DL_KEY,0)),"M")</f>
        <v>L</v>
      </c>
      <c r="AD349" s="35" t="str">
        <f>IFERROR(INDEX(DL_Exp,MATCH($CA349,DL_KEY,0)),"M")</f>
        <v>L</v>
      </c>
      <c r="AE349" s="35" t="str">
        <f>IFERROR(INDEX(DL_Edu,MATCH($CA349,DL_KEY,0)),"M")</f>
        <v>L</v>
      </c>
      <c r="AF349" s="34" t="inlineStr">
        <is>
          <t>M</t>
        </is>
      </c>
      <c r="AG349" s="35" t="inlineStr">
        <is>
          <t>M</t>
        </is>
      </c>
      <c r="AH349" s="35" t="inlineStr">
        <is>
          <t>M</t>
        </is>
      </c>
      <c r="AI349" s="35" t="inlineStr">
        <is>
          <t>M</t>
        </is>
      </c>
      <c r="AJ349" s="35" t="inlineStr">
        <is>
          <t>M</t>
        </is>
      </c>
      <c r="AK349" s="35" t="inlineStr">
        <is>
          <t>M</t>
        </is>
      </c>
      <c r="AL349" s="35" t="inlineStr">
        <is>
          <t>M</t>
        </is>
      </c>
      <c r="AM349" s="36" t="n">
        <v>0.583</v>
      </c>
      <c r="AN349" s="37" t="n">
        <v>0.16</v>
      </c>
      <c r="AO349" s="37" t="n">
        <v>0.09</v>
      </c>
      <c r="AP349" s="37" t="n">
        <v>0</v>
      </c>
      <c r="AQ349" s="37" t="n">
        <v>0.063</v>
      </c>
      <c r="AR349" s="37" t="n">
        <v>0.06</v>
      </c>
      <c r="AS349" s="37" t="n">
        <v>0.04</v>
      </c>
      <c r="AT349" s="38" t="inlineStr">
        <is>
          <t>2–5</t>
        </is>
      </c>
      <c r="AU349" s="38" t="inlineStr">
        <is>
          <t>Graduate; relevant certification preferred</t>
        </is>
      </c>
      <c r="AV349" s="38" t="inlineStr">
        <is>
          <t>None · guides 1–3 juniors informally</t>
        </is>
      </c>
      <c r="AW349" s="38" t="inlineStr">
        <is>
          <t>P2 · SFIA 3 Apply</t>
        </is>
      </c>
      <c r="AX34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49" s="39" t="inlineStr">
        <is>
          <t>A3</t>
        </is>
      </c>
      <c r="AZ349" s="40" t="inlineStr">
        <is>
          <t>Band A · Practitioner · Senior Associate</t>
        </is>
      </c>
      <c r="BA349" s="40" t="inlineStr">
        <is>
          <t>Model A3 from the six ratings, the market-derived weights and rules R1–R13 · then No change · already below the manager</t>
        </is>
      </c>
      <c r="BB349" s="41" t="inlineStr">
        <is>
          <t>A3</t>
        </is>
      </c>
      <c r="BC349" s="40" t="inlineStr">
        <is>
          <t>The six ratings on the market-average weights of Band A · all tracks score 2.52 → A3 · Hay, Mercer IPE and public plans · experience 4.1 yrs vs the A3 market range 2–5</t>
        </is>
      </c>
      <c r="BD349" s="42">
        <f>IF(SUM(BM349,BN349,BO349,BP349,BQ349,BR349,BS349)=0,0,(BM349*BT349+BN349*BU349+BO349*BV349+BP349*BW349+BQ349*BX349+BR349*BY349+BS349*BZ349)/SUM(BM349,BN349,BO349,BP349,BQ349,BR349,BS349))</f>
        <v>0</v>
      </c>
      <c r="BE349" s="41" t="str">
        <f>IF(LEFT(AY349,1)="X",AY349,IF(OR(AY349="B+",AY349="C+"),INDEX(LAD_PC,MAX(1,MIN(14,MATCH(AY349,LAD_PC,0)+IF(BD349&gt;=0.5,1,IF(BD349&lt;=-0.5,-1,0))))),INDEX(LAD_STD,MAX(1,MIN(12,MATCH(AY349,LAD_STD,0)+IF(BD349&gt;=0.5,1,IF(BD349&lt;=-0.5,-1,0)))))))</f>
        <v>A3</v>
      </c>
      <c r="BF349" s="43" t="n"/>
      <c r="BG349" s="41" t="str">
        <f>IF(BF349&lt;&gt;"",BF349,BE349)</f>
        <v>A3</v>
      </c>
      <c r="BH349" s="40" t="str">
        <f>IFERROR(CHOOSE(INDEX(B_RANK,MATCH(BG349,B_LVL,0)),"Band A","Band B","B+ · Player-Coach","Band C","C+ · Player-Coach","Band D","Band E"),"Band X · Consultant")</f>
        <v>Band A</v>
      </c>
      <c r="BI349" s="40" t="str">
        <f>IF(BG349=AY349,"• Same",IF(INDEX(B_VAL,MATCH(BG349,B_LVL,0))&gt;INDEX(B_VAL,MATCH(AY349,B_LVL,0)),"▲ Up","▼ Down"))</f>
        <v>• Same</v>
      </c>
      <c r="BJ349" s="40" t="str">
        <f>IF(OR($M349="",$M349="—",$M349="Not in this file"),"",IFERROR(INDEX($BG$7:$BG$592,MATCH($M349,$D$7:$D$592,0)),""))</f>
        <v>B2</v>
      </c>
      <c r="BK349" s="40" t="str">
        <f>IFERROR(IF(BJ349="","—",IF(OR(LEFT(BG349,1)="X",LEFT(BJ349,1)="X"),"—",IF(AND(LEFT(BG349,1)="E",LEFT(BJ349,1)="E"),"Exception · Band E",IF(AND(INDEX(B_VAL,MATCH(BJ349,B_LVL,0))&gt;=7,INDEX(B_RANK,MATCH(BG349,B_LVL,0))&gt;=INDEX(B_RANK,MATCH(BJ349,B_LVL,0))),"⚠ Same band as a head manager",IF(INDEX(B_VAL,MATCH(BG349,B_LVL,0))&gt;=INDEX(B_VAL,MATCH(BJ349,B_LVL,0)),"⚠ At or above the manager's level","OK"))))),"—")</f>
        <v>OK</v>
      </c>
      <c r="BL349" s="43" t="n"/>
      <c r="BM349" s="44">
        <f>IFERROR(INDEX(LMH_PTS,MATCH(Y349,LMH_KEY,0)),0)</f>
        <v>9</v>
      </c>
      <c r="BN349" s="38">
        <f>IFERROR(INDEX(LMH_PTS,MATCH(Z349,LMH_KEY,0)),0)</f>
        <v>3</v>
      </c>
      <c r="BO349" s="38">
        <f>IFERROR(INDEX(LMH_PTS,MATCH(AA349,LMH_KEY,0)),0)</f>
        <v>1</v>
      </c>
      <c r="BP349" s="38">
        <f>IFERROR(INDEX(LMH_PTS,MATCH(AB349,LMH_KEY,0)),0)</f>
        <v>1</v>
      </c>
      <c r="BQ349" s="38">
        <f>IFERROR(INDEX(LMH_PTS,MATCH(AC349,LMH_KEY,0)),0)</f>
        <v>1</v>
      </c>
      <c r="BR349" s="38">
        <f>IFERROR(INDEX(LMH_PTS,MATCH(AD349,LMH_KEY,0)),0)</f>
        <v>1</v>
      </c>
      <c r="BS349" s="38">
        <f>IFERROR(INDEX(LMH_PTS,MATCH(AE349,LMH_KEY,0)),0)</f>
        <v>1</v>
      </c>
      <c r="BT349" s="38">
        <f>IFERROR(INDEX(LMH_STEP,MATCH(AF349,LMH_KEY,0)),0)</f>
        <v>0</v>
      </c>
      <c r="BU349" s="38">
        <f>IFERROR(INDEX(LMH_STEP,MATCH(AG349,LMH_KEY,0)),0)</f>
        <v>0</v>
      </c>
      <c r="BV349" s="38">
        <f>IFERROR(INDEX(LMH_STEP,MATCH(AH349,LMH_KEY,0)),0)</f>
        <v>0</v>
      </c>
      <c r="BW349" s="38">
        <f>IFERROR(INDEX(LMH_STEP,MATCH(AI349,LMH_KEY,0)),0)</f>
        <v>0</v>
      </c>
      <c r="BX349" s="38">
        <f>IFERROR(INDEX(LMH_STEP,MATCH(AJ349,LMH_KEY,0)),0)</f>
        <v>0</v>
      </c>
      <c r="BY349" s="38">
        <f>IFERROR(INDEX(LMH_STEP,MATCH(AK349,LMH_KEY,0)),0)</f>
        <v>0</v>
      </c>
      <c r="BZ349" s="38">
        <f>IFERROR(INDEX(LMH_STEP,MATCH(AL349,LMH_KEY,0)),0)</f>
        <v>0</v>
      </c>
      <c r="CA349" s="38" t="inlineStr">
        <is>
          <t>iFile|Quality Assurance|Senior QA Engineer|A3|A</t>
        </is>
      </c>
    </row>
    <row r="350" ht="110" customHeight="1">
      <c r="A350" s="28" t="inlineStr">
        <is>
          <t>iFile</t>
        </is>
      </c>
      <c r="B350" s="29" t="inlineStr">
        <is>
          <t>Technology</t>
        </is>
      </c>
      <c r="C350" s="29" t="n">
        <v>3</v>
      </c>
      <c r="D350" s="29" t="inlineStr">
        <is>
          <t>IRIS2296</t>
        </is>
      </c>
      <c r="E350" s="29" t="inlineStr">
        <is>
          <t>Deepa Vaman Shinde</t>
        </is>
      </c>
      <c r="F350" s="29" t="inlineStr">
        <is>
          <t>Project Manager</t>
        </is>
      </c>
      <c r="G350" s="29" t="inlineStr">
        <is>
          <t>Project Manager</t>
        </is>
      </c>
      <c r="H350" s="29" t="inlineStr">
        <is>
          <t>Project &amp; Program Management</t>
        </is>
      </c>
      <c r="I350" s="29" t="inlineStr">
        <is>
          <t>Project &amp; Program Delivery</t>
        </is>
      </c>
      <c r="J350" s="29" t="inlineStr">
        <is>
          <t>IC</t>
        </is>
      </c>
      <c r="K350" s="29" t="inlineStr">
        <is>
          <t>RC-135</t>
        </is>
      </c>
      <c r="L350" s="29" t="inlineStr">
        <is>
          <t>Pradip Dey</t>
        </is>
      </c>
      <c r="M350" s="29" t="inlineStr">
        <is>
          <t>IRISC223</t>
        </is>
      </c>
      <c r="N350" s="29" t="n">
        <v>14.7</v>
      </c>
      <c r="O350" s="29" t="n">
        <v>2.2</v>
      </c>
      <c r="P350" s="29" t="inlineStr">
        <is>
          <t>B.E</t>
        </is>
      </c>
      <c r="Q350" s="29" t="inlineStr">
        <is>
          <t>L5 – Manager</t>
        </is>
      </c>
      <c r="R350" s="29" t="inlineStr">
        <is>
          <t>B2</t>
        </is>
      </c>
      <c r="S350" s="30" t="inlineStr">
        <is>
          <t>20 of 20</t>
        </is>
      </c>
      <c r="T350" s="31" t="inlineStr">
        <is>
          <t>Complexity: Evidence reads like A3: Project planning with evolving requirements; almost no detail → moved down 0.5
Autonomy: Evidence reads like B1: Decides on tasks, risks and delivery; nothing more specific → moved down 0.5
Accountability: Evidence reads like B2: On-time delivery, budget, scope and quality of the project → matches the start
Leadership: …</t>
        </is>
      </c>
      <c r="U350" s="31" t="inlineStr">
        <is>
          <t>Received · manager annual, quarterly · 1. QFCRA upgrade project
Proactive communicaions and stakeholder management as per projects requirements
Completion of project activities as per schedule, scope and cost
Demonstrable team capability upliftment · reduced dependency/improved delivery speed
Publishing of project peport and incorporation of lessons …</t>
        </is>
      </c>
      <c r="V350" s="31" t="inlineStr">
        <is>
          <t>Latest rating: 3 · Potential: Medium · 9-box: Reliable Specialist · Readiness: Develop in role</t>
        </is>
      </c>
      <c r="W350" s="31" t="inlineStr">
        <is>
          <t>C M · Au M · Ac M · L L · BI M · Exp H · 14.7 yrs vs 6–9 yrs · Edu M · B.E</t>
        </is>
      </c>
      <c r="X350" s="33" t="inlineStr">
        <is>
          <t>Open ▸</t>
        </is>
      </c>
      <c r="Y350" s="34" t="str">
        <f>IFERROR(INDEX(DL_C,MATCH($CA350,DL_KEY,0)),"M")</f>
        <v>H</v>
      </c>
      <c r="Z350" s="35" t="str">
        <f>IFERROR(INDEX(DL_Au,MATCH($CA350,DL_KEY,0)),"M")</f>
        <v>M</v>
      </c>
      <c r="AA350" s="35" t="str">
        <f>IFERROR(INDEX(DL_Ac,MATCH($CA350,DL_KEY,0)),"M")</f>
        <v>L</v>
      </c>
      <c r="AB350" s="35" t="str">
        <f>IFERROR(INDEX(DL_L,MATCH($CA350,DL_KEY,0)),"M")</f>
        <v>L</v>
      </c>
      <c r="AC350" s="35" t="str">
        <f>IFERROR(INDEX(DL_BI,MATCH($CA350,DL_KEY,0)),"M")</f>
        <v>L</v>
      </c>
      <c r="AD350" s="35" t="str">
        <f>IFERROR(INDEX(DL_Exp,MATCH($CA350,DL_KEY,0)),"M")</f>
        <v>L</v>
      </c>
      <c r="AE350" s="35" t="str">
        <f>IFERROR(INDEX(DL_Edu,MATCH($CA350,DL_KEY,0)),"M")</f>
        <v>L</v>
      </c>
      <c r="AF350" s="34" t="inlineStr">
        <is>
          <t>M</t>
        </is>
      </c>
      <c r="AG350" s="35" t="inlineStr">
        <is>
          <t>M</t>
        </is>
      </c>
      <c r="AH350" s="35" t="inlineStr">
        <is>
          <t>M</t>
        </is>
      </c>
      <c r="AI350" s="35" t="inlineStr">
        <is>
          <t>M</t>
        </is>
      </c>
      <c r="AJ350" s="35" t="inlineStr">
        <is>
          <t>M</t>
        </is>
      </c>
      <c r="AK350" s="35" t="inlineStr">
        <is>
          <t>M</t>
        </is>
      </c>
      <c r="AL350" s="35" t="inlineStr">
        <is>
          <t>M</t>
        </is>
      </c>
      <c r="AM350" s="36" t="n">
        <v>0.513</v>
      </c>
      <c r="AN350" s="37" t="n">
        <v>0.173</v>
      </c>
      <c r="AO350" s="37" t="n">
        <v>0.09699999999999999</v>
      </c>
      <c r="AP350" s="37" t="n">
        <v>0.05</v>
      </c>
      <c r="AQ350" s="37" t="n">
        <v>0.07000000000000001</v>
      </c>
      <c r="AR350" s="37" t="n">
        <v>0.06</v>
      </c>
      <c r="AS350" s="37" t="n">
        <v>0.04</v>
      </c>
      <c r="AT350" s="38" t="inlineStr">
        <is>
          <t>6–10</t>
        </is>
      </c>
      <c r="AU350" s="38" t="inlineStr">
        <is>
          <t>Graduate or postgraduate; professional qualification preferred</t>
        </is>
      </c>
      <c r="AV350" s="38" t="inlineStr">
        <is>
          <t>IC: none · People: 6–8 knowledge work, 8–12 standardised delivery</t>
        </is>
      </c>
      <c r="AW350" s="38" t="inlineStr">
        <is>
          <t>P4 / M3 · SFIA 4–5</t>
        </is>
      </c>
      <c r="AX35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50" s="39" t="inlineStr">
        <is>
          <t>B2</t>
        </is>
      </c>
      <c r="AZ350" s="40" t="inlineStr">
        <is>
          <t>Band B · Specialist / Manager · Senior Specialist</t>
        </is>
      </c>
      <c r="BA350" s="40" t="inlineStr">
        <is>
          <t>Model B2 from the six ratings, the market-derived weights and rules R1–R13 · then No change · already below the manager</t>
        </is>
      </c>
      <c r="BB350" s="41" t="inlineStr">
        <is>
          <t>B2</t>
        </is>
      </c>
      <c r="BC350" s="40" t="inlineStr">
        <is>
          <t>The six ratings on the market-average weights of Band B · Specialist / POD Lead score 4.88 → B2 · Hay, Mercer IPE and public plans · experience 14.7 yrs vs the B2 market range 6–10</t>
        </is>
      </c>
      <c r="BD350" s="42">
        <f>IF(SUM(BM350,BN350,BO350,BP350,BQ350,BR350,BS350)=0,0,(BM350*BT350+BN350*BU350+BO350*BV350+BP350*BW350+BQ350*BX350+BR350*BY350+BS350*BZ350)/SUM(BM350,BN350,BO350,BP350,BQ350,BR350,BS350))</f>
        <v>0</v>
      </c>
      <c r="BE350" s="41" t="str">
        <f>IF(LEFT(AY350,1)="X",AY350,IF(OR(AY350="B+",AY350="C+"),INDEX(LAD_PC,MAX(1,MIN(14,MATCH(AY350,LAD_PC,0)+IF(BD350&gt;=0.5,1,IF(BD350&lt;=-0.5,-1,0))))),INDEX(LAD_STD,MAX(1,MIN(12,MATCH(AY350,LAD_STD,0)+IF(BD350&gt;=0.5,1,IF(BD350&lt;=-0.5,-1,0)))))))</f>
        <v>B2</v>
      </c>
      <c r="BF350" s="43" t="n"/>
      <c r="BG350" s="41" t="str">
        <f>IF(BF350&lt;&gt;"",BF350,BE350)</f>
        <v>B2</v>
      </c>
      <c r="BH350" s="40" t="str">
        <f>IFERROR(CHOOSE(INDEX(B_RANK,MATCH(BG350,B_LVL,0)),"Band A","Band B","B+ · Player-Coach","Band C","C+ · Player-Coach","Band D","Band E"),"Band X · Consultant")</f>
        <v>Band B</v>
      </c>
      <c r="BI350" s="40" t="str">
        <f>IF(BG350=AY350,"• Same",IF(INDEX(B_VAL,MATCH(BG350,B_LVL,0))&gt;INDEX(B_VAL,MATCH(AY350,B_LVL,0)),"▲ Up","▼ Down"))</f>
        <v>• Same</v>
      </c>
      <c r="BJ350" s="40" t="str">
        <f>IF(OR($M350="",$M350="—",$M350="Not in this file"),"",IFERROR(INDEX($BG$7:$BG$592,MATCH($M350,$D$7:$D$592,0)),""))</f>
        <v>C2</v>
      </c>
      <c r="BK350" s="40" t="str">
        <f>IFERROR(IF(BJ350="","—",IF(OR(LEFT(BG350,1)="X",LEFT(BJ350,1)="X"),"—",IF(AND(LEFT(BG350,1)="E",LEFT(BJ350,1)="E"),"Exception · Band E",IF(AND(INDEX(B_VAL,MATCH(BJ350,B_LVL,0))&gt;=7,INDEX(B_RANK,MATCH(BG350,B_LVL,0))&gt;=INDEX(B_RANK,MATCH(BJ350,B_LVL,0))),"⚠ Same band as a head manager",IF(INDEX(B_VAL,MATCH(BG350,B_LVL,0))&gt;=INDEX(B_VAL,MATCH(BJ350,B_LVL,0)),"⚠ At or above the manager's level","OK"))))),"—")</f>
        <v>OK</v>
      </c>
      <c r="BL350" s="43" t="n"/>
      <c r="BM350" s="44">
        <f>IFERROR(INDEX(LMH_PTS,MATCH(Y350,LMH_KEY,0)),0)</f>
        <v>9</v>
      </c>
      <c r="BN350" s="38">
        <f>IFERROR(INDEX(LMH_PTS,MATCH(Z350,LMH_KEY,0)),0)</f>
        <v>3</v>
      </c>
      <c r="BO350" s="38">
        <f>IFERROR(INDEX(LMH_PTS,MATCH(AA350,LMH_KEY,0)),0)</f>
        <v>1</v>
      </c>
      <c r="BP350" s="38">
        <f>IFERROR(INDEX(LMH_PTS,MATCH(AB350,LMH_KEY,0)),0)</f>
        <v>1</v>
      </c>
      <c r="BQ350" s="38">
        <f>IFERROR(INDEX(LMH_PTS,MATCH(AC350,LMH_KEY,0)),0)</f>
        <v>1</v>
      </c>
      <c r="BR350" s="38">
        <f>IFERROR(INDEX(LMH_PTS,MATCH(AD350,LMH_KEY,0)),0)</f>
        <v>1</v>
      </c>
      <c r="BS350" s="38">
        <f>IFERROR(INDEX(LMH_PTS,MATCH(AE350,LMH_KEY,0)),0)</f>
        <v>1</v>
      </c>
      <c r="BT350" s="38">
        <f>IFERROR(INDEX(LMH_STEP,MATCH(AF350,LMH_KEY,0)),0)</f>
        <v>0</v>
      </c>
      <c r="BU350" s="38">
        <f>IFERROR(INDEX(LMH_STEP,MATCH(AG350,LMH_KEY,0)),0)</f>
        <v>0</v>
      </c>
      <c r="BV350" s="38">
        <f>IFERROR(INDEX(LMH_STEP,MATCH(AH350,LMH_KEY,0)),0)</f>
        <v>0</v>
      </c>
      <c r="BW350" s="38">
        <f>IFERROR(INDEX(LMH_STEP,MATCH(AI350,LMH_KEY,0)),0)</f>
        <v>0</v>
      </c>
      <c r="BX350" s="38">
        <f>IFERROR(INDEX(LMH_STEP,MATCH(AJ350,LMH_KEY,0)),0)</f>
        <v>0</v>
      </c>
      <c r="BY350" s="38">
        <f>IFERROR(INDEX(LMH_STEP,MATCH(AK350,LMH_KEY,0)),0)</f>
        <v>0</v>
      </c>
      <c r="BZ350" s="38">
        <f>IFERROR(INDEX(LMH_STEP,MATCH(AL350,LMH_KEY,0)),0)</f>
        <v>0</v>
      </c>
      <c r="CA350" s="38" t="inlineStr">
        <is>
          <t>iFile|Technology|Project Manager|B2|B-IC</t>
        </is>
      </c>
    </row>
    <row r="351" ht="110" customHeight="1">
      <c r="A351" s="28" t="inlineStr">
        <is>
          <t>iFile</t>
        </is>
      </c>
      <c r="B351" s="29" t="inlineStr">
        <is>
          <t>Technology</t>
        </is>
      </c>
      <c r="C351" s="29" t="n">
        <v>3</v>
      </c>
      <c r="D351" s="29" t="inlineStr">
        <is>
          <t>IRIS2366</t>
        </is>
      </c>
      <c r="E351" s="29" t="inlineStr">
        <is>
          <t>Jailesh Bhadra</t>
        </is>
      </c>
      <c r="F351" s="29" t="inlineStr">
        <is>
          <t>Project Manager</t>
        </is>
      </c>
      <c r="G351" s="29" t="inlineStr">
        <is>
          <t>Project Manager</t>
        </is>
      </c>
      <c r="H351" s="29" t="inlineStr">
        <is>
          <t>Project &amp; Program Management</t>
        </is>
      </c>
      <c r="I351" s="29" t="inlineStr">
        <is>
          <t>Project &amp; Program Delivery</t>
        </is>
      </c>
      <c r="J351" s="29" t="inlineStr">
        <is>
          <t>People Manager</t>
        </is>
      </c>
      <c r="K351" s="29" t="inlineStr">
        <is>
          <t>RC-136</t>
        </is>
      </c>
      <c r="L351" s="29" t="inlineStr">
        <is>
          <t>Pradip Dey</t>
        </is>
      </c>
      <c r="M351" s="29" t="inlineStr">
        <is>
          <t>IRISC223</t>
        </is>
      </c>
      <c r="N351" s="29" t="n">
        <v>11.5</v>
      </c>
      <c r="O351" s="29" t="n">
        <v>1.5</v>
      </c>
      <c r="P351" s="29" t="inlineStr">
        <is>
          <t>B.E</t>
        </is>
      </c>
      <c r="Q351" s="29" t="inlineStr">
        <is>
          <t>L5 – Manager</t>
        </is>
      </c>
      <c r="R351" s="29" t="inlineStr">
        <is>
          <t>B2</t>
        </is>
      </c>
      <c r="S351" s="30" t="inlineStr">
        <is>
          <t>20 of 20</t>
        </is>
      </c>
      <c r="T351" s="31" t="inlineStr">
        <is>
          <t>Complexity: Evidence reads like A3: Client onboarding on the application, documentation, status reporting, sprint ceremonies → moved down 0.5
Autonomy: Evidence reads like A3: Handles team's tasks; independently decides only status reports → moved down 0.5
Accountability: Evidence reads like B1: UAT closures; team's tasks; documentation and status outputs → …</t>
        </is>
      </c>
      <c r="U351" s="31" t="inlineStr">
        <is>
          <t>Received · manager annual, quarterly · 1. Consulting/Business Analysis
Gain deeper level knowledge of SupTech Domain. Research on financial domain regulations and various standards
Ensure team members in the BA pool are learning and getting opportunities to excel/contribute at a higher level of productivity
Minimize requirements related defects in …</t>
        </is>
      </c>
      <c r="V351" s="31" t="inlineStr">
        <is>
          <t>Latest rating: 4 · Potential: High · 9-box: High Impact / Growth Talent · Readiness: Ready now</t>
        </is>
      </c>
      <c r="W351" s="31" t="inlineStr">
        <is>
          <t>C M · Au M · Ac M · L M · BI H · Exp H · 11.5 yrs vs 6–9 yrs · Edu M · B.E</t>
        </is>
      </c>
      <c r="X351" s="33" t="inlineStr">
        <is>
          <t>Open ▸</t>
        </is>
      </c>
      <c r="Y351" s="34" t="str">
        <f>IFERROR(INDEX(DL_C,MATCH($CA351,DL_KEY,0)),"M")</f>
        <v>H</v>
      </c>
      <c r="Z351" s="35" t="str">
        <f>IFERROR(INDEX(DL_Au,MATCH($CA351,DL_KEY,0)),"M")</f>
        <v>M</v>
      </c>
      <c r="AA351" s="35" t="str">
        <f>IFERROR(INDEX(DL_Ac,MATCH($CA351,DL_KEY,0)),"M")</f>
        <v>L</v>
      </c>
      <c r="AB351" s="35" t="str">
        <f>IFERROR(INDEX(DL_L,MATCH($CA351,DL_KEY,0)),"M")</f>
        <v>M</v>
      </c>
      <c r="AC351" s="35" t="str">
        <f>IFERROR(INDEX(DL_BI,MATCH($CA351,DL_KEY,0)),"M")</f>
        <v>L</v>
      </c>
      <c r="AD351" s="35" t="str">
        <f>IFERROR(INDEX(DL_Exp,MATCH($CA351,DL_KEY,0)),"M")</f>
        <v>L</v>
      </c>
      <c r="AE351" s="35" t="str">
        <f>IFERROR(INDEX(DL_Edu,MATCH($CA351,DL_KEY,0)),"M")</f>
        <v>L</v>
      </c>
      <c r="AF351" s="34" t="inlineStr">
        <is>
          <t>M</t>
        </is>
      </c>
      <c r="AG351" s="35" t="inlineStr">
        <is>
          <t>M</t>
        </is>
      </c>
      <c r="AH351" s="35" t="inlineStr">
        <is>
          <t>M</t>
        </is>
      </c>
      <c r="AI351" s="35" t="inlineStr">
        <is>
          <t>M</t>
        </is>
      </c>
      <c r="AJ351" s="35" t="inlineStr">
        <is>
          <t>M</t>
        </is>
      </c>
      <c r="AK351" s="35" t="inlineStr">
        <is>
          <t>M</t>
        </is>
      </c>
      <c r="AL351" s="35" t="inlineStr">
        <is>
          <t>M</t>
        </is>
      </c>
      <c r="AM351" s="36" t="n">
        <v>0.37</v>
      </c>
      <c r="AN351" s="37" t="n">
        <v>0.183</v>
      </c>
      <c r="AO351" s="37" t="n">
        <v>0.113</v>
      </c>
      <c r="AP351" s="37" t="n">
        <v>0.15</v>
      </c>
      <c r="AQ351" s="37" t="n">
        <v>0.08699999999999999</v>
      </c>
      <c r="AR351" s="37" t="n">
        <v>0.06</v>
      </c>
      <c r="AS351" s="37" t="n">
        <v>0.04</v>
      </c>
      <c r="AT351" s="38" t="inlineStr">
        <is>
          <t>6–10</t>
        </is>
      </c>
      <c r="AU351" s="38" t="inlineStr">
        <is>
          <t>Graduate or postgraduate; professional qualification preferred</t>
        </is>
      </c>
      <c r="AV351" s="38" t="inlineStr">
        <is>
          <t>IC: none · People: 6–8 knowledge work, 8–12 standardised delivery</t>
        </is>
      </c>
      <c r="AW351" s="38" t="inlineStr">
        <is>
          <t>P4 / M3 · SFIA 4–5</t>
        </is>
      </c>
      <c r="AX35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51" s="39" t="inlineStr">
        <is>
          <t>B2</t>
        </is>
      </c>
      <c r="AZ351" s="40" t="inlineStr">
        <is>
          <t>Band B · Specialist / Manager · Manager</t>
        </is>
      </c>
      <c r="BA351" s="40" t="inlineStr">
        <is>
          <t>Model B2 from the six ratings, the market-derived weights and rules R1–R13 · then No change · already below the manager</t>
        </is>
      </c>
      <c r="BB351" s="41" t="inlineStr">
        <is>
          <t>B2</t>
        </is>
      </c>
      <c r="BC351" s="40" t="inlineStr">
        <is>
          <t>The six ratings on the market-average weights of Band B · People Manager score 5.14 → B2 · Hay, Mercer IPE and public plans · experience 11.5 yrs vs the B2 market range 6–10</t>
        </is>
      </c>
      <c r="BD351" s="42">
        <f>IF(SUM(BM351,BN351,BO351,BP351,BQ351,BR351,BS351)=0,0,(BM351*BT351+BN351*BU351+BO351*BV351+BP351*BW351+BQ351*BX351+BR351*BY351+BS351*BZ351)/SUM(BM351,BN351,BO351,BP351,BQ351,BR351,BS351))</f>
        <v>0</v>
      </c>
      <c r="BE351" s="41" t="str">
        <f>IF(LEFT(AY351,1)="X",AY351,IF(OR(AY351="B+",AY351="C+"),INDEX(LAD_PC,MAX(1,MIN(14,MATCH(AY351,LAD_PC,0)+IF(BD351&gt;=0.5,1,IF(BD351&lt;=-0.5,-1,0))))),INDEX(LAD_STD,MAX(1,MIN(12,MATCH(AY351,LAD_STD,0)+IF(BD351&gt;=0.5,1,IF(BD351&lt;=-0.5,-1,0)))))))</f>
        <v>B2</v>
      </c>
      <c r="BF351" s="43" t="n"/>
      <c r="BG351" s="41" t="str">
        <f>IF(BF351&lt;&gt;"",BF351,BE351)</f>
        <v>B2</v>
      </c>
      <c r="BH351" s="40" t="str">
        <f>IFERROR(CHOOSE(INDEX(B_RANK,MATCH(BG351,B_LVL,0)),"Band A","Band B","B+ · Player-Coach","Band C","C+ · Player-Coach","Band D","Band E"),"Band X · Consultant")</f>
        <v>Band B</v>
      </c>
      <c r="BI351" s="40" t="str">
        <f>IF(BG351=AY351,"• Same",IF(INDEX(B_VAL,MATCH(BG351,B_LVL,0))&gt;INDEX(B_VAL,MATCH(AY351,B_LVL,0)),"▲ Up","▼ Down"))</f>
        <v>• Same</v>
      </c>
      <c r="BJ351" s="40" t="str">
        <f>IF(OR($M351="",$M351="—",$M351="Not in this file"),"",IFERROR(INDEX($BG$7:$BG$592,MATCH($M351,$D$7:$D$592,0)),""))</f>
        <v>C2</v>
      </c>
      <c r="BK351" s="40" t="str">
        <f>IFERROR(IF(BJ351="","—",IF(OR(LEFT(BG351,1)="X",LEFT(BJ351,1)="X"),"—",IF(AND(LEFT(BG351,1)="E",LEFT(BJ351,1)="E"),"Exception · Band E",IF(AND(INDEX(B_VAL,MATCH(BJ351,B_LVL,0))&gt;=7,INDEX(B_RANK,MATCH(BG351,B_LVL,0))&gt;=INDEX(B_RANK,MATCH(BJ351,B_LVL,0))),"⚠ Same band as a head manager",IF(INDEX(B_VAL,MATCH(BG351,B_LVL,0))&gt;=INDEX(B_VAL,MATCH(BJ351,B_LVL,0)),"⚠ At or above the manager's level","OK"))))),"—")</f>
        <v>OK</v>
      </c>
      <c r="BL351" s="43" t="n"/>
      <c r="BM351" s="44">
        <f>IFERROR(INDEX(LMH_PTS,MATCH(Y351,LMH_KEY,0)),0)</f>
        <v>9</v>
      </c>
      <c r="BN351" s="38">
        <f>IFERROR(INDEX(LMH_PTS,MATCH(Z351,LMH_KEY,0)),0)</f>
        <v>3</v>
      </c>
      <c r="BO351" s="38">
        <f>IFERROR(INDEX(LMH_PTS,MATCH(AA351,LMH_KEY,0)),0)</f>
        <v>1</v>
      </c>
      <c r="BP351" s="38">
        <f>IFERROR(INDEX(LMH_PTS,MATCH(AB351,LMH_KEY,0)),0)</f>
        <v>3</v>
      </c>
      <c r="BQ351" s="38">
        <f>IFERROR(INDEX(LMH_PTS,MATCH(AC351,LMH_KEY,0)),0)</f>
        <v>1</v>
      </c>
      <c r="BR351" s="38">
        <f>IFERROR(INDEX(LMH_PTS,MATCH(AD351,LMH_KEY,0)),0)</f>
        <v>1</v>
      </c>
      <c r="BS351" s="38">
        <f>IFERROR(INDEX(LMH_PTS,MATCH(AE351,LMH_KEY,0)),0)</f>
        <v>1</v>
      </c>
      <c r="BT351" s="38">
        <f>IFERROR(INDEX(LMH_STEP,MATCH(AF351,LMH_KEY,0)),0)</f>
        <v>0</v>
      </c>
      <c r="BU351" s="38">
        <f>IFERROR(INDEX(LMH_STEP,MATCH(AG351,LMH_KEY,0)),0)</f>
        <v>0</v>
      </c>
      <c r="BV351" s="38">
        <f>IFERROR(INDEX(LMH_STEP,MATCH(AH351,LMH_KEY,0)),0)</f>
        <v>0</v>
      </c>
      <c r="BW351" s="38">
        <f>IFERROR(INDEX(LMH_STEP,MATCH(AI351,LMH_KEY,0)),0)</f>
        <v>0</v>
      </c>
      <c r="BX351" s="38">
        <f>IFERROR(INDEX(LMH_STEP,MATCH(AJ351,LMH_KEY,0)),0)</f>
        <v>0</v>
      </c>
      <c r="BY351" s="38">
        <f>IFERROR(INDEX(LMH_STEP,MATCH(AK351,LMH_KEY,0)),0)</f>
        <v>0</v>
      </c>
      <c r="BZ351" s="38">
        <f>IFERROR(INDEX(LMH_STEP,MATCH(AL351,LMH_KEY,0)),0)</f>
        <v>0</v>
      </c>
      <c r="CA351" s="38" t="inlineStr">
        <is>
          <t>iFile|Technology|Project Manager|B2|B-M</t>
        </is>
      </c>
    </row>
    <row r="352" ht="110" customHeight="1">
      <c r="A352" s="28" t="inlineStr">
        <is>
          <t>iFile</t>
        </is>
      </c>
      <c r="B352" s="29" t="inlineStr">
        <is>
          <t>Technology</t>
        </is>
      </c>
      <c r="C352" s="29" t="n">
        <v>4</v>
      </c>
      <c r="D352" s="29" t="inlineStr">
        <is>
          <t>IRIS0484</t>
        </is>
      </c>
      <c r="E352" s="29" t="inlineStr">
        <is>
          <t>Deepa Karmarkar</t>
        </is>
      </c>
      <c r="F352" s="29" t="inlineStr">
        <is>
          <t>Lead Software Engineer</t>
        </is>
      </c>
      <c r="G352" s="29" t="inlineStr">
        <is>
          <t>Lead Software Engineer</t>
        </is>
      </c>
      <c r="H352" s="29" t="inlineStr">
        <is>
          <t>Engineering &amp; Development</t>
        </is>
      </c>
      <c r="I352" s="29" t="inlineStr">
        <is>
          <t>Backend Development</t>
        </is>
      </c>
      <c r="J352" s="29" t="inlineStr">
        <is>
          <t>IC</t>
        </is>
      </c>
      <c r="K352" s="29" t="inlineStr">
        <is>
          <t>RC-069</t>
        </is>
      </c>
      <c r="L352" s="29" t="inlineStr">
        <is>
          <t>Jailesh Bhadra</t>
        </is>
      </c>
      <c r="M352" s="29" t="inlineStr">
        <is>
          <t>IRIS2366</t>
        </is>
      </c>
      <c r="N352" s="29" t="n">
        <v>19.9</v>
      </c>
      <c r="O352" s="29" t="n">
        <v>15.8</v>
      </c>
      <c r="P352" s="29" t="inlineStr">
        <is>
          <t>B.E</t>
        </is>
      </c>
      <c r="Q352" s="29" t="inlineStr">
        <is>
          <t>L5 – Lead · IC</t>
        </is>
      </c>
      <c r="R352" s="29" t="inlineStr">
        <is>
          <t>B2</t>
        </is>
      </c>
      <c r="S352" s="30" t="inlineStr">
        <is>
          <t>20 of 20</t>
        </is>
      </c>
      <c r="T352" s="31" t="inlineStr">
        <is>
          <t>Complexity: Evidence reads like B1: Technical impact analysis of each client change before developers; BRDs, user manuals, requirement gap-filling → moved down 1
Autonomy: Evidence reads like A3: Decides content of user stories and BRDs on own work → moved down 1
Accountability: Evidence reads like A3: Scope maintenance and client acceptance criteria; …</t>
        </is>
      </c>
      <c r="U352" s="31" t="inlineStr">
        <is>
          <t>Received · manager annual, quarterly, self · 1. Own end-to-end technical delivery of assigned .NET modules with zero critical production defects
2. Provide architecture/design review &amp; mentoring, with review turnaround &lt;=48 hours
3. Drive at least 1 technical-debt/performance improvement initiative to completion this year
4. Maintain &gt;=95% on-time delivery for …</t>
        </is>
      </c>
      <c r="V352" s="31" t="inlineStr">
        <is>
          <t>Latest rating: 4 · Potential: Medium · 9-box: High Impact / Growth Talent · Readiness: Ready in 6–12 months</t>
        </is>
      </c>
      <c r="W352" s="31" t="inlineStr">
        <is>
          <t>C H · Au H · Ac H · L M · BI H · Exp H · 19.9 yrs vs 4–7 yrs · Edu M · B.E</t>
        </is>
      </c>
      <c r="X352" s="33" t="inlineStr">
        <is>
          <t>Open ▸</t>
        </is>
      </c>
      <c r="Y352" s="34" t="str">
        <f>IFERROR(INDEX(DL_C,MATCH($CA352,DL_KEY,0)),"M")</f>
        <v>H</v>
      </c>
      <c r="Z352" s="35" t="str">
        <f>IFERROR(INDEX(DL_Au,MATCH($CA352,DL_KEY,0)),"M")</f>
        <v>M</v>
      </c>
      <c r="AA352" s="35" t="str">
        <f>IFERROR(INDEX(DL_Ac,MATCH($CA352,DL_KEY,0)),"M")</f>
        <v>L</v>
      </c>
      <c r="AB352" s="35" t="str">
        <f>IFERROR(INDEX(DL_L,MATCH($CA352,DL_KEY,0)),"M")</f>
        <v>L</v>
      </c>
      <c r="AC352" s="35" t="str">
        <f>IFERROR(INDEX(DL_BI,MATCH($CA352,DL_KEY,0)),"M")</f>
        <v>L</v>
      </c>
      <c r="AD352" s="35" t="str">
        <f>IFERROR(INDEX(DL_Exp,MATCH($CA352,DL_KEY,0)),"M")</f>
        <v>L</v>
      </c>
      <c r="AE352" s="35" t="str">
        <f>IFERROR(INDEX(DL_Edu,MATCH($CA352,DL_KEY,0)),"M")</f>
        <v>L</v>
      </c>
      <c r="AF352" s="34" t="inlineStr">
        <is>
          <t>M</t>
        </is>
      </c>
      <c r="AG352" s="35" t="inlineStr">
        <is>
          <t>M</t>
        </is>
      </c>
      <c r="AH352" s="35" t="inlineStr">
        <is>
          <t>M</t>
        </is>
      </c>
      <c r="AI352" s="35" t="inlineStr">
        <is>
          <t>M</t>
        </is>
      </c>
      <c r="AJ352" s="35" t="inlineStr">
        <is>
          <t>M</t>
        </is>
      </c>
      <c r="AK352" s="35" t="inlineStr">
        <is>
          <t>M</t>
        </is>
      </c>
      <c r="AL352" s="35" t="inlineStr">
        <is>
          <t>M</t>
        </is>
      </c>
      <c r="AM352" s="36" t="n">
        <v>0.513</v>
      </c>
      <c r="AN352" s="37" t="n">
        <v>0.173</v>
      </c>
      <c r="AO352" s="37" t="n">
        <v>0.09699999999999999</v>
      </c>
      <c r="AP352" s="37" t="n">
        <v>0.05</v>
      </c>
      <c r="AQ352" s="37" t="n">
        <v>0.07000000000000001</v>
      </c>
      <c r="AR352" s="37" t="n">
        <v>0.06</v>
      </c>
      <c r="AS352" s="37" t="n">
        <v>0.04</v>
      </c>
      <c r="AT352" s="38" t="inlineStr">
        <is>
          <t>4–8</t>
        </is>
      </c>
      <c r="AU352" s="38" t="inlineStr">
        <is>
          <t>Graduate + relevant qualification or certification preferred</t>
        </is>
      </c>
      <c r="AV352" s="38" t="inlineStr">
        <is>
          <t>IC: none · Team Lead: 3–5</t>
        </is>
      </c>
      <c r="AW352" s="38" t="inlineStr">
        <is>
          <t>P3 / M2 · SFIA 4 Enable</t>
        </is>
      </c>
      <c r="AX35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52" s="39" t="inlineStr">
        <is>
          <t>B1</t>
        </is>
      </c>
      <c r="AZ352" s="40" t="inlineStr">
        <is>
          <t>Band B · Specialist / Manager · Specialist</t>
        </is>
      </c>
      <c r="BA352" s="40" t="inlineStr">
        <is>
          <t>Model B2 from the six ratings, the market-derived weights and rules R1–R13 · then Level rule: manager B2; a reportee sits at least one level below · B2 → B1 · move down · pay and title protected for one cycle</t>
        </is>
      </c>
      <c r="BB352" s="41" t="inlineStr">
        <is>
          <t>B2</t>
        </is>
      </c>
      <c r="BC352" s="40" t="inlineStr">
        <is>
          <t>The six ratings on the market-average weights of Band B · Specialist / POD Lead score 5.43 → B2 · Hay, Mercer IPE and public plans · experience 19.9 yrs vs the B2 market range 6–10</t>
        </is>
      </c>
      <c r="BD352" s="42">
        <f>IF(SUM(BM352,BN352,BO352,BP352,BQ352,BR352,BS352)=0,0,(BM352*BT352+BN352*BU352+BO352*BV352+BP352*BW352+BQ352*BX352+BR352*BY352+BS352*BZ352)/SUM(BM352,BN352,BO352,BP352,BQ352,BR352,BS352))</f>
        <v>0</v>
      </c>
      <c r="BE352" s="41" t="str">
        <f>IF(LEFT(AY352,1)="X",AY352,IF(OR(AY352="B+",AY352="C+"),INDEX(LAD_PC,MAX(1,MIN(14,MATCH(AY352,LAD_PC,0)+IF(BD352&gt;=0.5,1,IF(BD352&lt;=-0.5,-1,0))))),INDEX(LAD_STD,MAX(1,MIN(12,MATCH(AY352,LAD_STD,0)+IF(BD352&gt;=0.5,1,IF(BD352&lt;=-0.5,-1,0)))))))</f>
        <v>B1</v>
      </c>
      <c r="BF352" s="43" t="n"/>
      <c r="BG352" s="41" t="str">
        <f>IF(BF352&lt;&gt;"",BF352,BE352)</f>
        <v>B1</v>
      </c>
      <c r="BH352" s="40" t="str">
        <f>IFERROR(CHOOSE(INDEX(B_RANK,MATCH(BG352,B_LVL,0)),"Band A","Band B","B+ · Player-Coach","Band C","C+ · Player-Coach","Band D","Band E"),"Band X · Consultant")</f>
        <v>Band B</v>
      </c>
      <c r="BI352" s="40" t="str">
        <f>IF(BG352=AY352,"• Same",IF(INDEX(B_VAL,MATCH(BG352,B_LVL,0))&gt;INDEX(B_VAL,MATCH(AY352,B_LVL,0)),"▲ Up","▼ Down"))</f>
        <v>• Same</v>
      </c>
      <c r="BJ352" s="40" t="str">
        <f>IF(OR($M352="",$M352="—",$M352="Not in this file"),"",IFERROR(INDEX($BG$7:$BG$592,MATCH($M352,$D$7:$D$592,0)),""))</f>
        <v>B2</v>
      </c>
      <c r="BK352" s="40" t="str">
        <f>IFERROR(IF(BJ352="","—",IF(OR(LEFT(BG352,1)="X",LEFT(BJ352,1)="X"),"—",IF(AND(LEFT(BG352,1)="E",LEFT(BJ352,1)="E"),"Exception · Band E",IF(AND(INDEX(B_VAL,MATCH(BJ352,B_LVL,0))&gt;=7,INDEX(B_RANK,MATCH(BG352,B_LVL,0))&gt;=INDEX(B_RANK,MATCH(BJ352,B_LVL,0))),"⚠ Same band as a head manager",IF(INDEX(B_VAL,MATCH(BG352,B_LVL,0))&gt;=INDEX(B_VAL,MATCH(BJ352,B_LVL,0)),"⚠ At or above the manager's level","OK"))))),"—")</f>
        <v>OK</v>
      </c>
      <c r="BL352" s="43" t="n"/>
      <c r="BM352" s="44">
        <f>IFERROR(INDEX(LMH_PTS,MATCH(Y352,LMH_KEY,0)),0)</f>
        <v>9</v>
      </c>
      <c r="BN352" s="38">
        <f>IFERROR(INDEX(LMH_PTS,MATCH(Z352,LMH_KEY,0)),0)</f>
        <v>3</v>
      </c>
      <c r="BO352" s="38">
        <f>IFERROR(INDEX(LMH_PTS,MATCH(AA352,LMH_KEY,0)),0)</f>
        <v>1</v>
      </c>
      <c r="BP352" s="38">
        <f>IFERROR(INDEX(LMH_PTS,MATCH(AB352,LMH_KEY,0)),0)</f>
        <v>1</v>
      </c>
      <c r="BQ352" s="38">
        <f>IFERROR(INDEX(LMH_PTS,MATCH(AC352,LMH_KEY,0)),0)</f>
        <v>1</v>
      </c>
      <c r="BR352" s="38">
        <f>IFERROR(INDEX(LMH_PTS,MATCH(AD352,LMH_KEY,0)),0)</f>
        <v>1</v>
      </c>
      <c r="BS352" s="38">
        <f>IFERROR(INDEX(LMH_PTS,MATCH(AE352,LMH_KEY,0)),0)</f>
        <v>1</v>
      </c>
      <c r="BT352" s="38">
        <f>IFERROR(INDEX(LMH_STEP,MATCH(AF352,LMH_KEY,0)),0)</f>
        <v>0</v>
      </c>
      <c r="BU352" s="38">
        <f>IFERROR(INDEX(LMH_STEP,MATCH(AG352,LMH_KEY,0)),0)</f>
        <v>0</v>
      </c>
      <c r="BV352" s="38">
        <f>IFERROR(INDEX(LMH_STEP,MATCH(AH352,LMH_KEY,0)),0)</f>
        <v>0</v>
      </c>
      <c r="BW352" s="38">
        <f>IFERROR(INDEX(LMH_STEP,MATCH(AI352,LMH_KEY,0)),0)</f>
        <v>0</v>
      </c>
      <c r="BX352" s="38">
        <f>IFERROR(INDEX(LMH_STEP,MATCH(AJ352,LMH_KEY,0)),0)</f>
        <v>0</v>
      </c>
      <c r="BY352" s="38">
        <f>IFERROR(INDEX(LMH_STEP,MATCH(AK352,LMH_KEY,0)),0)</f>
        <v>0</v>
      </c>
      <c r="BZ352" s="38">
        <f>IFERROR(INDEX(LMH_STEP,MATCH(AL352,LMH_KEY,0)),0)</f>
        <v>0</v>
      </c>
      <c r="CA352" s="38" t="inlineStr">
        <is>
          <t>iFile|Technology|Lead Software Engineer|B1|B-IC</t>
        </is>
      </c>
    </row>
    <row r="353" ht="110" customHeight="1">
      <c r="A353" s="28" t="inlineStr">
        <is>
          <t>iFile</t>
        </is>
      </c>
      <c r="B353" s="29" t="inlineStr">
        <is>
          <t>Technology</t>
        </is>
      </c>
      <c r="C353" s="29" t="n">
        <v>4</v>
      </c>
      <c r="D353" s="29" t="inlineStr">
        <is>
          <t>IRIS2492</t>
        </is>
      </c>
      <c r="E353" s="29" t="inlineStr">
        <is>
          <t>Abhishek Hegde</t>
        </is>
      </c>
      <c r="F353" s="29" t="inlineStr">
        <is>
          <t>Senior Business Analyst</t>
        </is>
      </c>
      <c r="G353" s="29" t="inlineStr">
        <is>
          <t>Business Analysis Specialist</t>
        </is>
      </c>
      <c r="H353" s="29" t="inlineStr">
        <is>
          <t>Business Analysis</t>
        </is>
      </c>
      <c r="I353" s="29" t="inlineStr">
        <is>
          <t>Business Analysis</t>
        </is>
      </c>
      <c r="J353" s="29" t="inlineStr">
        <is>
          <t>IC</t>
        </is>
      </c>
      <c r="K353" s="29" t="inlineStr">
        <is>
          <t>RC-010</t>
        </is>
      </c>
      <c r="L353" s="29" t="inlineStr">
        <is>
          <t>Jailesh Bhadra</t>
        </is>
      </c>
      <c r="M353" s="29" t="inlineStr">
        <is>
          <t>IRIS2366</t>
        </is>
      </c>
      <c r="N353" s="29" t="n">
        <v>9.199999999999999</v>
      </c>
      <c r="O353" s="29" t="n">
        <v>0.5</v>
      </c>
      <c r="P353" s="29" t="inlineStr">
        <is>
          <t>MBA</t>
        </is>
      </c>
      <c r="Q353" s="29" t="inlineStr">
        <is>
          <t>L4 – Senior</t>
        </is>
      </c>
      <c r="R353" s="29" t="inlineStr">
        <is>
          <t>B1</t>
        </is>
      </c>
      <c r="S353" s="30" t="inlineStr">
        <is>
          <t>20 of 20</t>
        </is>
      </c>
      <c r="T353" s="31" t="inlineStr">
        <is>
          <t>Complexity: Evidence reads like A3: Requirement gathering, BRD/FRS/SRS, user stories, backlog and sprint planning, defect tracking → moved down 0.5
Autonomy: Evidence reads like A3: Decides documentation structure and task prioritisation → moved down 0.5
Accountability: Evidence reads like A3: Completeness and traceability of client requirements; backlog …</t>
        </is>
      </c>
      <c r="U353" s="31" t="inlineStr">
        <is>
          <t>Received · manager annual, quarterly, self · 1. Deliver &gt;=95% of assigned BRDs/FSDs approved with &lt;=1 revision cycle
2. Ensure &gt;=90% on-time delivery of BA deliverables against plan
3. Achieve &gt;=4.2/5 client-side stakeholder satisfaction on requirement clarity
4. Complete UAT support/sign-off for &gt;=90% of assigned releases within timeline
5. Build strong …</t>
        </is>
      </c>
      <c r="V353" s="31" t="inlineStr">
        <is>
          <t>Latest rating: 3 · Potential: Medium · 9-box: Core Contributor · Readiness: Develop in role</t>
        </is>
      </c>
      <c r="W353" s="31" t="inlineStr">
        <is>
          <t>C M · Au M · Ac M · L L · BI M · Exp H · 9.2 yrs vs 4–7 yrs · Edu H · MBA</t>
        </is>
      </c>
      <c r="X353" s="33" t="inlineStr">
        <is>
          <t>Open ▸</t>
        </is>
      </c>
      <c r="Y353" s="34" t="str">
        <f>IFERROR(INDEX(DL_C,MATCH($CA353,DL_KEY,0)),"M")</f>
        <v>H</v>
      </c>
      <c r="Z353" s="35" t="str">
        <f>IFERROR(INDEX(DL_Au,MATCH($CA353,DL_KEY,0)),"M")</f>
        <v>M</v>
      </c>
      <c r="AA353" s="35" t="str">
        <f>IFERROR(INDEX(DL_Ac,MATCH($CA353,DL_KEY,0)),"M")</f>
        <v>L</v>
      </c>
      <c r="AB353" s="35" t="str">
        <f>IFERROR(INDEX(DL_L,MATCH($CA353,DL_KEY,0)),"M")</f>
        <v>L</v>
      </c>
      <c r="AC353" s="35" t="str">
        <f>IFERROR(INDEX(DL_BI,MATCH($CA353,DL_KEY,0)),"M")</f>
        <v>L</v>
      </c>
      <c r="AD353" s="35" t="str">
        <f>IFERROR(INDEX(DL_Exp,MATCH($CA353,DL_KEY,0)),"M")</f>
        <v>L</v>
      </c>
      <c r="AE353" s="35" t="str">
        <f>IFERROR(INDEX(DL_Edu,MATCH($CA353,DL_KEY,0)),"M")</f>
        <v>L</v>
      </c>
      <c r="AF353" s="34" t="inlineStr">
        <is>
          <t>M</t>
        </is>
      </c>
      <c r="AG353" s="35" t="inlineStr">
        <is>
          <t>M</t>
        </is>
      </c>
      <c r="AH353" s="35" t="inlineStr">
        <is>
          <t>M</t>
        </is>
      </c>
      <c r="AI353" s="35" t="inlineStr">
        <is>
          <t>M</t>
        </is>
      </c>
      <c r="AJ353" s="35" t="inlineStr">
        <is>
          <t>M</t>
        </is>
      </c>
      <c r="AK353" s="35" t="inlineStr">
        <is>
          <t>M</t>
        </is>
      </c>
      <c r="AL353" s="35" t="inlineStr">
        <is>
          <t>M</t>
        </is>
      </c>
      <c r="AM353" s="36" t="n">
        <v>0.513</v>
      </c>
      <c r="AN353" s="37" t="n">
        <v>0.173</v>
      </c>
      <c r="AO353" s="37" t="n">
        <v>0.09699999999999999</v>
      </c>
      <c r="AP353" s="37" t="n">
        <v>0.05</v>
      </c>
      <c r="AQ353" s="37" t="n">
        <v>0.07000000000000001</v>
      </c>
      <c r="AR353" s="37" t="n">
        <v>0.06</v>
      </c>
      <c r="AS353" s="37" t="n">
        <v>0.04</v>
      </c>
      <c r="AT353" s="38" t="inlineStr">
        <is>
          <t>4–8</t>
        </is>
      </c>
      <c r="AU353" s="38" t="inlineStr">
        <is>
          <t>Graduate + relevant qualification or certification preferred</t>
        </is>
      </c>
      <c r="AV353" s="38" t="inlineStr">
        <is>
          <t>IC: none · Team Lead: 3–5</t>
        </is>
      </c>
      <c r="AW353" s="38" t="inlineStr">
        <is>
          <t>P3 / M2 · SFIA 4 Enable</t>
        </is>
      </c>
      <c r="AX35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53" s="39" t="inlineStr">
        <is>
          <t>B1</t>
        </is>
      </c>
      <c r="AZ353" s="40" t="inlineStr">
        <is>
          <t>Band B · Specialist / Manager · Specialist</t>
        </is>
      </c>
      <c r="BA353" s="40" t="inlineStr">
        <is>
          <t>Model B1 from the six ratings, the market-derived weights and rules R1–R13 · then No change · already below the manager</t>
        </is>
      </c>
      <c r="BB353" s="41" t="inlineStr">
        <is>
          <t>B1</t>
        </is>
      </c>
      <c r="BC353" s="40" t="inlineStr">
        <is>
          <t>The six ratings on the market-average weights of Band B · Specialist / POD Lead score 3.71 → B1 · Hay, Mercer IPE and public plans · experience 9.2 yrs vs the B1 market range 4–8</t>
        </is>
      </c>
      <c r="BD353" s="42">
        <f>IF(SUM(BM353,BN353,BO353,BP353,BQ353,BR353,BS353)=0,0,(BM353*BT353+BN353*BU353+BO353*BV353+BP353*BW353+BQ353*BX353+BR353*BY353+BS353*BZ353)/SUM(BM353,BN353,BO353,BP353,BQ353,BR353,BS353))</f>
        <v>0</v>
      </c>
      <c r="BE353" s="41" t="str">
        <f>IF(LEFT(AY353,1)="X",AY353,IF(OR(AY353="B+",AY353="C+"),INDEX(LAD_PC,MAX(1,MIN(14,MATCH(AY353,LAD_PC,0)+IF(BD353&gt;=0.5,1,IF(BD353&lt;=-0.5,-1,0))))),INDEX(LAD_STD,MAX(1,MIN(12,MATCH(AY353,LAD_STD,0)+IF(BD353&gt;=0.5,1,IF(BD353&lt;=-0.5,-1,0)))))))</f>
        <v>B1</v>
      </c>
      <c r="BF353" s="43" t="n"/>
      <c r="BG353" s="41" t="str">
        <f>IF(BF353&lt;&gt;"",BF353,BE353)</f>
        <v>B1</v>
      </c>
      <c r="BH353" s="40" t="str">
        <f>IFERROR(CHOOSE(INDEX(B_RANK,MATCH(BG353,B_LVL,0)),"Band A","Band B","B+ · Player-Coach","Band C","C+ · Player-Coach","Band D","Band E"),"Band X · Consultant")</f>
        <v>Band B</v>
      </c>
      <c r="BI353" s="40" t="str">
        <f>IF(BG353=AY353,"• Same",IF(INDEX(B_VAL,MATCH(BG353,B_LVL,0))&gt;INDEX(B_VAL,MATCH(AY353,B_LVL,0)),"▲ Up","▼ Down"))</f>
        <v>• Same</v>
      </c>
      <c r="BJ353" s="40" t="str">
        <f>IF(OR($M353="",$M353="—",$M353="Not in this file"),"",IFERROR(INDEX($BG$7:$BG$592,MATCH($M353,$D$7:$D$592,0)),""))</f>
        <v>B2</v>
      </c>
      <c r="BK353" s="40" t="str">
        <f>IFERROR(IF(BJ353="","—",IF(OR(LEFT(BG353,1)="X",LEFT(BJ353,1)="X"),"—",IF(AND(LEFT(BG353,1)="E",LEFT(BJ353,1)="E"),"Exception · Band E",IF(AND(INDEX(B_VAL,MATCH(BJ353,B_LVL,0))&gt;=7,INDEX(B_RANK,MATCH(BG353,B_LVL,0))&gt;=INDEX(B_RANK,MATCH(BJ353,B_LVL,0))),"⚠ Same band as a head manager",IF(INDEX(B_VAL,MATCH(BG353,B_LVL,0))&gt;=INDEX(B_VAL,MATCH(BJ353,B_LVL,0)),"⚠ At or above the manager's level","OK"))))),"—")</f>
        <v>OK</v>
      </c>
      <c r="BL353" s="43" t="n"/>
      <c r="BM353" s="44">
        <f>IFERROR(INDEX(LMH_PTS,MATCH(Y353,LMH_KEY,0)),0)</f>
        <v>9</v>
      </c>
      <c r="BN353" s="38">
        <f>IFERROR(INDEX(LMH_PTS,MATCH(Z353,LMH_KEY,0)),0)</f>
        <v>3</v>
      </c>
      <c r="BO353" s="38">
        <f>IFERROR(INDEX(LMH_PTS,MATCH(AA353,LMH_KEY,0)),0)</f>
        <v>1</v>
      </c>
      <c r="BP353" s="38">
        <f>IFERROR(INDEX(LMH_PTS,MATCH(AB353,LMH_KEY,0)),0)</f>
        <v>1</v>
      </c>
      <c r="BQ353" s="38">
        <f>IFERROR(INDEX(LMH_PTS,MATCH(AC353,LMH_KEY,0)),0)</f>
        <v>1</v>
      </c>
      <c r="BR353" s="38">
        <f>IFERROR(INDEX(LMH_PTS,MATCH(AD353,LMH_KEY,0)),0)</f>
        <v>1</v>
      </c>
      <c r="BS353" s="38">
        <f>IFERROR(INDEX(LMH_PTS,MATCH(AE353,LMH_KEY,0)),0)</f>
        <v>1</v>
      </c>
      <c r="BT353" s="38">
        <f>IFERROR(INDEX(LMH_STEP,MATCH(AF353,LMH_KEY,0)),0)</f>
        <v>0</v>
      </c>
      <c r="BU353" s="38">
        <f>IFERROR(INDEX(LMH_STEP,MATCH(AG353,LMH_KEY,0)),0)</f>
        <v>0</v>
      </c>
      <c r="BV353" s="38">
        <f>IFERROR(INDEX(LMH_STEP,MATCH(AH353,LMH_KEY,0)),0)</f>
        <v>0</v>
      </c>
      <c r="BW353" s="38">
        <f>IFERROR(INDEX(LMH_STEP,MATCH(AI353,LMH_KEY,0)),0)</f>
        <v>0</v>
      </c>
      <c r="BX353" s="38">
        <f>IFERROR(INDEX(LMH_STEP,MATCH(AJ353,LMH_KEY,0)),0)</f>
        <v>0</v>
      </c>
      <c r="BY353" s="38">
        <f>IFERROR(INDEX(LMH_STEP,MATCH(AK353,LMH_KEY,0)),0)</f>
        <v>0</v>
      </c>
      <c r="BZ353" s="38">
        <f>IFERROR(INDEX(LMH_STEP,MATCH(AL353,LMH_KEY,0)),0)</f>
        <v>0</v>
      </c>
      <c r="CA353" s="38" t="inlineStr">
        <is>
          <t>iFile|Technology|Business Analysis Specialist|B1|B-IC</t>
        </is>
      </c>
    </row>
    <row r="354" ht="110" customHeight="1">
      <c r="A354" s="28" t="inlineStr">
        <is>
          <t>iFile</t>
        </is>
      </c>
      <c r="B354" s="29" t="inlineStr">
        <is>
          <t>Technology</t>
        </is>
      </c>
      <c r="C354" s="29" t="n">
        <v>4</v>
      </c>
      <c r="D354" s="29" t="inlineStr">
        <is>
          <t>IRIS2289</t>
        </is>
      </c>
      <c r="E354" s="29" t="inlineStr">
        <is>
          <t>Shruti Patil</t>
        </is>
      </c>
      <c r="F354" s="29" t="inlineStr">
        <is>
          <t>Business Analyst</t>
        </is>
      </c>
      <c r="G354" s="29" t="inlineStr">
        <is>
          <t>Team Lead – Business Analysis</t>
        </is>
      </c>
      <c r="H354" s="29" t="inlineStr">
        <is>
          <t>Business Analysis</t>
        </is>
      </c>
      <c r="I354" s="29" t="inlineStr">
        <is>
          <t>Business Analysis</t>
        </is>
      </c>
      <c r="J354" s="29" t="inlineStr">
        <is>
          <t>People Manager</t>
        </is>
      </c>
      <c r="K354" s="29" t="inlineStr">
        <is>
          <t>RC-011</t>
        </is>
      </c>
      <c r="L354" s="29" t="inlineStr">
        <is>
          <t>Jailesh Bhadra</t>
        </is>
      </c>
      <c r="M354" s="29" t="inlineStr">
        <is>
          <t>IRIS2366</t>
        </is>
      </c>
      <c r="N354" s="29" t="n">
        <v>4.4</v>
      </c>
      <c r="O354" s="29" t="n">
        <v>2.2</v>
      </c>
      <c r="P354" s="29" t="inlineStr">
        <is>
          <t>M.E</t>
        </is>
      </c>
      <c r="Q354" s="29" t="inlineStr">
        <is>
          <t>L3 – Professional / Associate</t>
        </is>
      </c>
      <c r="R354" s="29" t="inlineStr">
        <is>
          <t>B1</t>
        </is>
      </c>
      <c r="S354" s="30" t="inlineStr">
        <is>
          <t>20 of 20</t>
        </is>
      </c>
      <c r="T354" s="31" t="inlineStr">
        <is>
          <t>Complexity: Evidence reads like A3: Writes BRS/SRS/SDD, maintains MPP project plan, risk register, weekly status report, CR forms → matches the start
Autonomy: Evidence reads like B1: Assigns scrum tasks to the team; revises plan dates with client; seniors still guide → moved up 0.5
Accountability: Evidence reads like B1: Tracks project timeline, …</t>
        </is>
      </c>
      <c r="U354" s="31" t="inlineStr">
        <is>
          <t>Received · manager annual, quarterly, self · 1. Deliver own BA/analysis workstreams to &gt;=95% quality &amp; timeliness
2. Provide day-to-day guidance &amp; escalation support to 2 Client Solutions Executives · Varsha, Shreya
3. Maintain team CSAT of &gt;=4.2/5 across the 2 CSEs she guides
4. Ensure escalations routed to her are resolved within SLA
5. Contribute to support …</t>
        </is>
      </c>
      <c r="V354" s="31" t="inlineStr">
        <is>
          <t>Latest rating: 4 · Potential: High · 9-box: Future Leader · Readiness: Ready now</t>
        </is>
      </c>
      <c r="W354" s="31" t="inlineStr">
        <is>
          <t>C L · Au M · Ac M · L M · BI M · Exp M · 4.4 yrs vs 4–7 yrs · Edu H · M.E</t>
        </is>
      </c>
      <c r="X354" s="33" t="inlineStr">
        <is>
          <t>Open ▸</t>
        </is>
      </c>
      <c r="Y354" s="34" t="str">
        <f>IFERROR(INDEX(DL_C,MATCH($CA354,DL_KEY,0)),"M")</f>
        <v>H</v>
      </c>
      <c r="Z354" s="35" t="str">
        <f>IFERROR(INDEX(DL_Au,MATCH($CA354,DL_KEY,0)),"M")</f>
        <v>M</v>
      </c>
      <c r="AA354" s="35" t="str">
        <f>IFERROR(INDEX(DL_Ac,MATCH($CA354,DL_KEY,0)),"M")</f>
        <v>L</v>
      </c>
      <c r="AB354" s="35" t="str">
        <f>IFERROR(INDEX(DL_L,MATCH($CA354,DL_KEY,0)),"M")</f>
        <v>M</v>
      </c>
      <c r="AC354" s="35" t="str">
        <f>IFERROR(INDEX(DL_BI,MATCH($CA354,DL_KEY,0)),"M")</f>
        <v>L</v>
      </c>
      <c r="AD354" s="35" t="str">
        <f>IFERROR(INDEX(DL_Exp,MATCH($CA354,DL_KEY,0)),"M")</f>
        <v>L</v>
      </c>
      <c r="AE354" s="35" t="str">
        <f>IFERROR(INDEX(DL_Edu,MATCH($CA354,DL_KEY,0)),"M")</f>
        <v>L</v>
      </c>
      <c r="AF354" s="34" t="inlineStr">
        <is>
          <t>M</t>
        </is>
      </c>
      <c r="AG354" s="35" t="inlineStr">
        <is>
          <t>M</t>
        </is>
      </c>
      <c r="AH354" s="35" t="inlineStr">
        <is>
          <t>M</t>
        </is>
      </c>
      <c r="AI354" s="35" t="inlineStr">
        <is>
          <t>M</t>
        </is>
      </c>
      <c r="AJ354" s="35" t="inlineStr">
        <is>
          <t>M</t>
        </is>
      </c>
      <c r="AK354" s="35" t="inlineStr">
        <is>
          <t>M</t>
        </is>
      </c>
      <c r="AL354" s="35" t="inlineStr">
        <is>
          <t>M</t>
        </is>
      </c>
      <c r="AM354" s="36" t="n">
        <v>0.37</v>
      </c>
      <c r="AN354" s="37" t="n">
        <v>0.183</v>
      </c>
      <c r="AO354" s="37" t="n">
        <v>0.113</v>
      </c>
      <c r="AP354" s="37" t="n">
        <v>0.15</v>
      </c>
      <c r="AQ354" s="37" t="n">
        <v>0.08699999999999999</v>
      </c>
      <c r="AR354" s="37" t="n">
        <v>0.06</v>
      </c>
      <c r="AS354" s="37" t="n">
        <v>0.04</v>
      </c>
      <c r="AT354" s="38" t="inlineStr">
        <is>
          <t>4–8</t>
        </is>
      </c>
      <c r="AU354" s="38" t="inlineStr">
        <is>
          <t>Graduate + relevant qualification or certification preferred</t>
        </is>
      </c>
      <c r="AV354" s="38" t="inlineStr">
        <is>
          <t>IC: none · Team Lead: 3–5</t>
        </is>
      </c>
      <c r="AW354" s="38" t="inlineStr">
        <is>
          <t>P3 / M2 · SFIA 4 Enable</t>
        </is>
      </c>
      <c r="AX35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54" s="39" t="inlineStr">
        <is>
          <t>B1</t>
        </is>
      </c>
      <c r="AZ354" s="40" t="inlineStr">
        <is>
          <t>Band B · Specialist / Manager · Team Lead / Asst Manager</t>
        </is>
      </c>
      <c r="BA354" s="40" t="inlineStr">
        <is>
          <t>Model B1 from the six ratings, the market-derived weights and rules R1–R13 · then No change · already below the manager</t>
        </is>
      </c>
      <c r="BB354" s="41" t="inlineStr">
        <is>
          <t>B1</t>
        </is>
      </c>
      <c r="BC354" s="40" t="inlineStr">
        <is>
          <t>The six ratings on the market-average weights of Band B · People Manager score 3.58 → B1 · Hay, Mercer IPE and public plans · experience 4.4 yrs vs the B1 market range 4–8</t>
        </is>
      </c>
      <c r="BD354" s="42">
        <f>IF(SUM(BM354,BN354,BO354,BP354,BQ354,BR354,BS354)=0,0,(BM354*BT354+BN354*BU354+BO354*BV354+BP354*BW354+BQ354*BX354+BR354*BY354+BS354*BZ354)/SUM(BM354,BN354,BO354,BP354,BQ354,BR354,BS354))</f>
        <v>0</v>
      </c>
      <c r="BE354" s="41" t="str">
        <f>IF(LEFT(AY354,1)="X",AY354,IF(OR(AY354="B+",AY354="C+"),INDEX(LAD_PC,MAX(1,MIN(14,MATCH(AY354,LAD_PC,0)+IF(BD354&gt;=0.5,1,IF(BD354&lt;=-0.5,-1,0))))),INDEX(LAD_STD,MAX(1,MIN(12,MATCH(AY354,LAD_STD,0)+IF(BD354&gt;=0.5,1,IF(BD354&lt;=-0.5,-1,0)))))))</f>
        <v>B1</v>
      </c>
      <c r="BF354" s="43" t="n"/>
      <c r="BG354" s="41" t="str">
        <f>IF(BF354&lt;&gt;"",BF354,BE354)</f>
        <v>B1</v>
      </c>
      <c r="BH354" s="40" t="str">
        <f>IFERROR(CHOOSE(INDEX(B_RANK,MATCH(BG354,B_LVL,0)),"Band A","Band B","B+ · Player-Coach","Band C","C+ · Player-Coach","Band D","Band E"),"Band X · Consultant")</f>
        <v>Band B</v>
      </c>
      <c r="BI354" s="40" t="str">
        <f>IF(BG354=AY354,"• Same",IF(INDEX(B_VAL,MATCH(BG354,B_LVL,0))&gt;INDEX(B_VAL,MATCH(AY354,B_LVL,0)),"▲ Up","▼ Down"))</f>
        <v>• Same</v>
      </c>
      <c r="BJ354" s="40" t="str">
        <f>IF(OR($M354="",$M354="—",$M354="Not in this file"),"",IFERROR(INDEX($BG$7:$BG$592,MATCH($M354,$D$7:$D$592,0)),""))</f>
        <v>B2</v>
      </c>
      <c r="BK354" s="40" t="str">
        <f>IFERROR(IF(BJ354="","—",IF(OR(LEFT(BG354,1)="X",LEFT(BJ354,1)="X"),"—",IF(AND(LEFT(BG354,1)="E",LEFT(BJ354,1)="E"),"Exception · Band E",IF(AND(INDEX(B_VAL,MATCH(BJ354,B_LVL,0))&gt;=7,INDEX(B_RANK,MATCH(BG354,B_LVL,0))&gt;=INDEX(B_RANK,MATCH(BJ354,B_LVL,0))),"⚠ Same band as a head manager",IF(INDEX(B_VAL,MATCH(BG354,B_LVL,0))&gt;=INDEX(B_VAL,MATCH(BJ354,B_LVL,0)),"⚠ At or above the manager's level","OK"))))),"—")</f>
        <v>OK</v>
      </c>
      <c r="BL354" s="43" t="n"/>
      <c r="BM354" s="44">
        <f>IFERROR(INDEX(LMH_PTS,MATCH(Y354,LMH_KEY,0)),0)</f>
        <v>9</v>
      </c>
      <c r="BN354" s="38">
        <f>IFERROR(INDEX(LMH_PTS,MATCH(Z354,LMH_KEY,0)),0)</f>
        <v>3</v>
      </c>
      <c r="BO354" s="38">
        <f>IFERROR(INDEX(LMH_PTS,MATCH(AA354,LMH_KEY,0)),0)</f>
        <v>1</v>
      </c>
      <c r="BP354" s="38">
        <f>IFERROR(INDEX(LMH_PTS,MATCH(AB354,LMH_KEY,0)),0)</f>
        <v>3</v>
      </c>
      <c r="BQ354" s="38">
        <f>IFERROR(INDEX(LMH_PTS,MATCH(AC354,LMH_KEY,0)),0)</f>
        <v>1</v>
      </c>
      <c r="BR354" s="38">
        <f>IFERROR(INDEX(LMH_PTS,MATCH(AD354,LMH_KEY,0)),0)</f>
        <v>1</v>
      </c>
      <c r="BS354" s="38">
        <f>IFERROR(INDEX(LMH_PTS,MATCH(AE354,LMH_KEY,0)),0)</f>
        <v>1</v>
      </c>
      <c r="BT354" s="38">
        <f>IFERROR(INDEX(LMH_STEP,MATCH(AF354,LMH_KEY,0)),0)</f>
        <v>0</v>
      </c>
      <c r="BU354" s="38">
        <f>IFERROR(INDEX(LMH_STEP,MATCH(AG354,LMH_KEY,0)),0)</f>
        <v>0</v>
      </c>
      <c r="BV354" s="38">
        <f>IFERROR(INDEX(LMH_STEP,MATCH(AH354,LMH_KEY,0)),0)</f>
        <v>0</v>
      </c>
      <c r="BW354" s="38">
        <f>IFERROR(INDEX(LMH_STEP,MATCH(AI354,LMH_KEY,0)),0)</f>
        <v>0</v>
      </c>
      <c r="BX354" s="38">
        <f>IFERROR(INDEX(LMH_STEP,MATCH(AJ354,LMH_KEY,0)),0)</f>
        <v>0</v>
      </c>
      <c r="BY354" s="38">
        <f>IFERROR(INDEX(LMH_STEP,MATCH(AK354,LMH_KEY,0)),0)</f>
        <v>0</v>
      </c>
      <c r="BZ354" s="38">
        <f>IFERROR(INDEX(LMH_STEP,MATCH(AL354,LMH_KEY,0)),0)</f>
        <v>0</v>
      </c>
      <c r="CA354" s="38" t="inlineStr">
        <is>
          <t>iFile|Technology|Team Lead – Business Analysis|B1|B-M</t>
        </is>
      </c>
    </row>
    <row r="355" ht="110" customHeight="1">
      <c r="A355" s="28" t="inlineStr">
        <is>
          <t>iFile</t>
        </is>
      </c>
      <c r="B355" s="29" t="inlineStr">
        <is>
          <t>Support</t>
        </is>
      </c>
      <c r="C355" s="29" t="n">
        <v>5</v>
      </c>
      <c r="D355" s="29" t="inlineStr">
        <is>
          <t>IRIS2202</t>
        </is>
      </c>
      <c r="E355" s="29" t="inlineStr">
        <is>
          <t>Shreya Shinde</t>
        </is>
      </c>
      <c r="F355" s="29" t="inlineStr">
        <is>
          <t>Client Solutions Executive</t>
        </is>
      </c>
      <c r="G355" s="29" t="inlineStr">
        <is>
          <t>Senior Support Executive</t>
        </is>
      </c>
      <c r="H355" s="29" t="inlineStr">
        <is>
          <t>Customer Success &amp; Support</t>
        </is>
      </c>
      <c r="I355" s="29" t="inlineStr">
        <is>
          <t>Application &amp; Product Support</t>
        </is>
      </c>
      <c r="J355" s="29" t="inlineStr">
        <is>
          <t>IC</t>
        </is>
      </c>
      <c r="K355" s="29" t="inlineStr">
        <is>
          <t>RC-031</t>
        </is>
      </c>
      <c r="L355" s="29" t="inlineStr">
        <is>
          <t>Shruti Patil</t>
        </is>
      </c>
      <c r="M355" s="29" t="inlineStr">
        <is>
          <t>IRIS2289</t>
        </is>
      </c>
      <c r="N355" s="29" t="n">
        <v>12.8</v>
      </c>
      <c r="O355" s="29" t="n">
        <v>2.9</v>
      </c>
      <c r="P355" s="29" t="inlineStr">
        <is>
          <t>B.Com</t>
        </is>
      </c>
      <c r="Q355" s="29" t="inlineStr">
        <is>
          <t>L3 – Professional / Associate</t>
        </is>
      </c>
      <c r="R355" s="29" t="inlineStr">
        <is>
          <t>A3</t>
        </is>
      </c>
      <c r="S355" s="30" t="inlineStr">
        <is>
          <t>20 of 20</t>
        </is>
      </c>
      <c r="T355" s="31" t="inlineStr">
        <is>
          <t>Complexity: Evidence reads like A2: Resolves support tickets, prepares test cases, runs functional and API testing → matches the start
Autonomy: Evidence reads like A2: Resolves tickets, prepares test cases and fixes validation errors independently → matches the start
Accountability: Evidence reads like A2: Follow-up of issues to closure and accuracy of …</t>
        </is>
      </c>
      <c r="U355" s="31" t="inlineStr">
        <is>
          <t>Received · manager annual, quarterly, self · 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t>
        </is>
      </c>
      <c r="V355" s="31" t="inlineStr">
        <is>
          <t>Latest rating: 3 · Potential: Medium · 9-box: Core Contributor · Readiness: Develop in role</t>
        </is>
      </c>
      <c r="W355" s="31" t="inlineStr">
        <is>
          <t>C L · Au L · Ac L · L L · BI L · Exp H · 12.8 yrs vs 2–4 yrs · Edu M · B.Com</t>
        </is>
      </c>
      <c r="X355" s="33" t="inlineStr">
        <is>
          <t>Open ▸</t>
        </is>
      </c>
      <c r="Y355" s="34" t="str">
        <f>IFERROR(INDEX(DL_C,MATCH($CA355,DL_KEY,0)),"M")</f>
        <v>H</v>
      </c>
      <c r="Z355" s="35" t="str">
        <f>IFERROR(INDEX(DL_Au,MATCH($CA355,DL_KEY,0)),"M")</f>
        <v>M</v>
      </c>
      <c r="AA355" s="35" t="str">
        <f>IFERROR(INDEX(DL_Ac,MATCH($CA355,DL_KEY,0)),"M")</f>
        <v>M</v>
      </c>
      <c r="AB355" s="35" t="str">
        <f>IFERROR(INDEX(DL_L,MATCH($CA355,DL_KEY,0)),"M")</f>
        <v>L</v>
      </c>
      <c r="AC355" s="35" t="str">
        <f>IFERROR(INDEX(DL_BI,MATCH($CA355,DL_KEY,0)),"M")</f>
        <v>M</v>
      </c>
      <c r="AD355" s="35" t="str">
        <f>IFERROR(INDEX(DL_Exp,MATCH($CA355,DL_KEY,0)),"M")</f>
        <v>L</v>
      </c>
      <c r="AE355" s="35" t="str">
        <f>IFERROR(INDEX(DL_Edu,MATCH($CA355,DL_KEY,0)),"M")</f>
        <v>L</v>
      </c>
      <c r="AF355" s="34" t="inlineStr">
        <is>
          <t>M</t>
        </is>
      </c>
      <c r="AG355" s="35" t="inlineStr">
        <is>
          <t>M</t>
        </is>
      </c>
      <c r="AH355" s="35" t="inlineStr">
        <is>
          <t>M</t>
        </is>
      </c>
      <c r="AI355" s="35" t="inlineStr">
        <is>
          <t>M</t>
        </is>
      </c>
      <c r="AJ355" s="35" t="inlineStr">
        <is>
          <t>M</t>
        </is>
      </c>
      <c r="AK355" s="35" t="inlineStr">
        <is>
          <t>M</t>
        </is>
      </c>
      <c r="AL355" s="35" t="inlineStr">
        <is>
          <t>M</t>
        </is>
      </c>
      <c r="AM355" s="36" t="n">
        <v>0.583</v>
      </c>
      <c r="AN355" s="37" t="n">
        <v>0.16</v>
      </c>
      <c r="AO355" s="37" t="n">
        <v>0.09</v>
      </c>
      <c r="AP355" s="37" t="n">
        <v>0</v>
      </c>
      <c r="AQ355" s="37" t="n">
        <v>0.063</v>
      </c>
      <c r="AR355" s="37" t="n">
        <v>0.06</v>
      </c>
      <c r="AS355" s="37" t="n">
        <v>0.04</v>
      </c>
      <c r="AT355" s="38" t="inlineStr">
        <is>
          <t>2–5</t>
        </is>
      </c>
      <c r="AU355" s="38" t="inlineStr">
        <is>
          <t>Graduate; relevant certification preferred</t>
        </is>
      </c>
      <c r="AV355" s="38" t="inlineStr">
        <is>
          <t>None · guides 1–3 juniors informally</t>
        </is>
      </c>
      <c r="AW355" s="38" t="inlineStr">
        <is>
          <t>P2 · SFIA 3 Apply</t>
        </is>
      </c>
      <c r="AX35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55" s="39" t="inlineStr">
        <is>
          <t>A3</t>
        </is>
      </c>
      <c r="AZ355" s="40" t="inlineStr">
        <is>
          <t>Band A · Practitioner · Senior Associate</t>
        </is>
      </c>
      <c r="BA355" s="40" t="inlineStr">
        <is>
          <t>Model A3 from the six ratings, the market-derived weights and rules R1–R13 · then No change · already below the manager</t>
        </is>
      </c>
      <c r="BB355" s="41" t="inlineStr">
        <is>
          <t>A3</t>
        </is>
      </c>
      <c r="BC355" s="40" t="inlineStr">
        <is>
          <t>The six ratings on the market-average weights of Band A · all tracks score 2.55 → A3 · Hay, Mercer IPE and public plans · experience 12.8 yrs vs the A3 market range 2–5</t>
        </is>
      </c>
      <c r="BD355" s="42">
        <f>IF(SUM(BM355,BN355,BO355,BP355,BQ355,BR355,BS355)=0,0,(BM355*BT355+BN355*BU355+BO355*BV355+BP355*BW355+BQ355*BX355+BR355*BY355+BS355*BZ355)/SUM(BM355,BN355,BO355,BP355,BQ355,BR355,BS355))</f>
        <v>0</v>
      </c>
      <c r="BE355" s="41" t="str">
        <f>IF(LEFT(AY355,1)="X",AY355,IF(OR(AY355="B+",AY355="C+"),INDEX(LAD_PC,MAX(1,MIN(14,MATCH(AY355,LAD_PC,0)+IF(BD355&gt;=0.5,1,IF(BD355&lt;=-0.5,-1,0))))),INDEX(LAD_STD,MAX(1,MIN(12,MATCH(AY355,LAD_STD,0)+IF(BD355&gt;=0.5,1,IF(BD355&lt;=-0.5,-1,0)))))))</f>
        <v>A3</v>
      </c>
      <c r="BF355" s="43" t="n"/>
      <c r="BG355" s="41" t="str">
        <f>IF(BF355&lt;&gt;"",BF355,BE355)</f>
        <v>A3</v>
      </c>
      <c r="BH355" s="40" t="str">
        <f>IFERROR(CHOOSE(INDEX(B_RANK,MATCH(BG355,B_LVL,0)),"Band A","Band B","B+ · Player-Coach","Band C","C+ · Player-Coach","Band D","Band E"),"Band X · Consultant")</f>
        <v>Band A</v>
      </c>
      <c r="BI355" s="40" t="str">
        <f>IF(BG355=AY355,"• Same",IF(INDEX(B_VAL,MATCH(BG355,B_LVL,0))&gt;INDEX(B_VAL,MATCH(AY355,B_LVL,0)),"▲ Up","▼ Down"))</f>
        <v>• Same</v>
      </c>
      <c r="BJ355" s="40" t="str">
        <f>IF(OR($M355="",$M355="—",$M355="Not in this file"),"",IFERROR(INDEX($BG$7:$BG$592,MATCH($M355,$D$7:$D$592,0)),""))</f>
        <v>B1</v>
      </c>
      <c r="BK355" s="40" t="str">
        <f>IFERROR(IF(BJ355="","—",IF(OR(LEFT(BG355,1)="X",LEFT(BJ355,1)="X"),"—",IF(AND(LEFT(BG355,1)="E",LEFT(BJ355,1)="E"),"Exception · Band E",IF(AND(INDEX(B_VAL,MATCH(BJ355,B_LVL,0))&gt;=7,INDEX(B_RANK,MATCH(BG355,B_LVL,0))&gt;=INDEX(B_RANK,MATCH(BJ355,B_LVL,0))),"⚠ Same band as a head manager",IF(INDEX(B_VAL,MATCH(BG355,B_LVL,0))&gt;=INDEX(B_VAL,MATCH(BJ355,B_LVL,0)),"⚠ At or above the manager's level","OK"))))),"—")</f>
        <v>OK</v>
      </c>
      <c r="BL355" s="43" t="n"/>
      <c r="BM355" s="44">
        <f>IFERROR(INDEX(LMH_PTS,MATCH(Y355,LMH_KEY,0)),0)</f>
        <v>9</v>
      </c>
      <c r="BN355" s="38">
        <f>IFERROR(INDEX(LMH_PTS,MATCH(Z355,LMH_KEY,0)),0)</f>
        <v>3</v>
      </c>
      <c r="BO355" s="38">
        <f>IFERROR(INDEX(LMH_PTS,MATCH(AA355,LMH_KEY,0)),0)</f>
        <v>3</v>
      </c>
      <c r="BP355" s="38">
        <f>IFERROR(INDEX(LMH_PTS,MATCH(AB355,LMH_KEY,0)),0)</f>
        <v>1</v>
      </c>
      <c r="BQ355" s="38">
        <f>IFERROR(INDEX(LMH_PTS,MATCH(AC355,LMH_KEY,0)),0)</f>
        <v>3</v>
      </c>
      <c r="BR355" s="38">
        <f>IFERROR(INDEX(LMH_PTS,MATCH(AD355,LMH_KEY,0)),0)</f>
        <v>1</v>
      </c>
      <c r="BS355" s="38">
        <f>IFERROR(INDEX(LMH_PTS,MATCH(AE355,LMH_KEY,0)),0)</f>
        <v>1</v>
      </c>
      <c r="BT355" s="38">
        <f>IFERROR(INDEX(LMH_STEP,MATCH(AF355,LMH_KEY,0)),0)</f>
        <v>0</v>
      </c>
      <c r="BU355" s="38">
        <f>IFERROR(INDEX(LMH_STEP,MATCH(AG355,LMH_KEY,0)),0)</f>
        <v>0</v>
      </c>
      <c r="BV355" s="38">
        <f>IFERROR(INDEX(LMH_STEP,MATCH(AH355,LMH_KEY,0)),0)</f>
        <v>0</v>
      </c>
      <c r="BW355" s="38">
        <f>IFERROR(INDEX(LMH_STEP,MATCH(AI355,LMH_KEY,0)),0)</f>
        <v>0</v>
      </c>
      <c r="BX355" s="38">
        <f>IFERROR(INDEX(LMH_STEP,MATCH(AJ355,LMH_KEY,0)),0)</f>
        <v>0</v>
      </c>
      <c r="BY355" s="38">
        <f>IFERROR(INDEX(LMH_STEP,MATCH(AK355,LMH_KEY,0)),0)</f>
        <v>0</v>
      </c>
      <c r="BZ355" s="38">
        <f>IFERROR(INDEX(LMH_STEP,MATCH(AL355,LMH_KEY,0)),0)</f>
        <v>0</v>
      </c>
      <c r="CA355" s="38" t="inlineStr">
        <is>
          <t>iFile|Support|Senior Support Executive|A3|A</t>
        </is>
      </c>
    </row>
    <row r="356" ht="110" customHeight="1">
      <c r="A356" s="28" t="inlineStr">
        <is>
          <t>iFile</t>
        </is>
      </c>
      <c r="B356" s="29" t="inlineStr">
        <is>
          <t>Support</t>
        </is>
      </c>
      <c r="C356" s="29" t="n">
        <v>5</v>
      </c>
      <c r="D356" s="29" t="inlineStr">
        <is>
          <t>IRIS1907</t>
        </is>
      </c>
      <c r="E356" s="29" t="inlineStr">
        <is>
          <t>Varsha Kambale</t>
        </is>
      </c>
      <c r="F356" s="29" t="inlineStr">
        <is>
          <t>Client Solutions Executive</t>
        </is>
      </c>
      <c r="G356" s="29" t="inlineStr">
        <is>
          <t>Senior Support Executive</t>
        </is>
      </c>
      <c r="H356" s="29" t="inlineStr">
        <is>
          <t>Customer Success &amp; Support</t>
        </is>
      </c>
      <c r="I356" s="29" t="inlineStr">
        <is>
          <t>Application &amp; Product Support</t>
        </is>
      </c>
      <c r="J356" s="29" t="inlineStr">
        <is>
          <t>IC</t>
        </is>
      </c>
      <c r="K356" s="29" t="inlineStr">
        <is>
          <t>RC-031</t>
        </is>
      </c>
      <c r="L356" s="29" t="inlineStr">
        <is>
          <t>Shruti Patil</t>
        </is>
      </c>
      <c r="M356" s="29" t="inlineStr">
        <is>
          <t>IRIS2289</t>
        </is>
      </c>
      <c r="N356" s="29" t="n">
        <v>10.4</v>
      </c>
      <c r="O356" s="29" t="n">
        <v>5.4</v>
      </c>
      <c r="P356" s="29" t="inlineStr">
        <is>
          <t>B.E</t>
        </is>
      </c>
      <c r="Q356" s="29" t="inlineStr">
        <is>
          <t>L3 – Professional / Associate</t>
        </is>
      </c>
      <c r="R356" s="29" t="inlineStr">
        <is>
          <t>A3</t>
        </is>
      </c>
      <c r="S356" s="30" t="inlineStr">
        <is>
          <t>20 of 20</t>
        </is>
      </c>
      <c r="T356" s="31" t="inlineStr">
        <is>
          <t>Complexity: Evidence reads like A3: Functional and regression testing, UAT release validation, root cause analysis, production issue support → moved up 0.5
Autonomy: Evidence reads like A2: Decides daily QA support, initial troubleshooting, reproducing issues and documenting results → matches the start
Accountability: Evidence reads like A3: UAT and release …</t>
        </is>
      </c>
      <c r="U356" s="31" t="inlineStr">
        <is>
          <t>Received · manager annual, quarterly, self · 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t>
        </is>
      </c>
      <c r="V356" s="31" t="inlineStr">
        <is>
          <t>Latest rating: 3 · Potential: Medium · 9-box: Reliable Specialist · Readiness: Develop in role</t>
        </is>
      </c>
      <c r="W356" s="31" t="inlineStr">
        <is>
          <t>C M · Au L · Ac M · L L · BI M · Exp H · 10.4 yrs vs 2–4 yrs · Edu M · B.E</t>
        </is>
      </c>
      <c r="X356" s="33" t="inlineStr">
        <is>
          <t>Open ▸</t>
        </is>
      </c>
      <c r="Y356" s="34" t="str">
        <f>IFERROR(INDEX(DL_C,MATCH($CA356,DL_KEY,0)),"M")</f>
        <v>H</v>
      </c>
      <c r="Z356" s="35" t="str">
        <f>IFERROR(INDEX(DL_Au,MATCH($CA356,DL_KEY,0)),"M")</f>
        <v>M</v>
      </c>
      <c r="AA356" s="35" t="str">
        <f>IFERROR(INDEX(DL_Ac,MATCH($CA356,DL_KEY,0)),"M")</f>
        <v>M</v>
      </c>
      <c r="AB356" s="35" t="str">
        <f>IFERROR(INDEX(DL_L,MATCH($CA356,DL_KEY,0)),"M")</f>
        <v>L</v>
      </c>
      <c r="AC356" s="35" t="str">
        <f>IFERROR(INDEX(DL_BI,MATCH($CA356,DL_KEY,0)),"M")</f>
        <v>M</v>
      </c>
      <c r="AD356" s="35" t="str">
        <f>IFERROR(INDEX(DL_Exp,MATCH($CA356,DL_KEY,0)),"M")</f>
        <v>L</v>
      </c>
      <c r="AE356" s="35" t="str">
        <f>IFERROR(INDEX(DL_Edu,MATCH($CA356,DL_KEY,0)),"M")</f>
        <v>L</v>
      </c>
      <c r="AF356" s="34" t="inlineStr">
        <is>
          <t>M</t>
        </is>
      </c>
      <c r="AG356" s="35" t="inlineStr">
        <is>
          <t>M</t>
        </is>
      </c>
      <c r="AH356" s="35" t="inlineStr">
        <is>
          <t>M</t>
        </is>
      </c>
      <c r="AI356" s="35" t="inlineStr">
        <is>
          <t>M</t>
        </is>
      </c>
      <c r="AJ356" s="35" t="inlineStr">
        <is>
          <t>M</t>
        </is>
      </c>
      <c r="AK356" s="35" t="inlineStr">
        <is>
          <t>M</t>
        </is>
      </c>
      <c r="AL356" s="35" t="inlineStr">
        <is>
          <t>M</t>
        </is>
      </c>
      <c r="AM356" s="36" t="n">
        <v>0.583</v>
      </c>
      <c r="AN356" s="37" t="n">
        <v>0.16</v>
      </c>
      <c r="AO356" s="37" t="n">
        <v>0.09</v>
      </c>
      <c r="AP356" s="37" t="n">
        <v>0</v>
      </c>
      <c r="AQ356" s="37" t="n">
        <v>0.063</v>
      </c>
      <c r="AR356" s="37" t="n">
        <v>0.06</v>
      </c>
      <c r="AS356" s="37" t="n">
        <v>0.04</v>
      </c>
      <c r="AT356" s="38" t="inlineStr">
        <is>
          <t>2–5</t>
        </is>
      </c>
      <c r="AU356" s="38" t="inlineStr">
        <is>
          <t>Graduate; relevant certification preferred</t>
        </is>
      </c>
      <c r="AV356" s="38" t="inlineStr">
        <is>
          <t>None · guides 1–3 juniors informally</t>
        </is>
      </c>
      <c r="AW356" s="38" t="inlineStr">
        <is>
          <t>P2 · SFIA 3 Apply</t>
        </is>
      </c>
      <c r="AX35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56" s="39" t="inlineStr">
        <is>
          <t>A3</t>
        </is>
      </c>
      <c r="AZ356" s="40" t="inlineStr">
        <is>
          <t>Band A · Practitioner · Senior Associate</t>
        </is>
      </c>
      <c r="BA356" s="40" t="inlineStr">
        <is>
          <t>Model A3 from the six ratings, the market-derived weights and rules R1–R13 · then No change · already below the manager</t>
        </is>
      </c>
      <c r="BB356" s="41" t="inlineStr">
        <is>
          <t>A3</t>
        </is>
      </c>
      <c r="BC356" s="40" t="inlineStr">
        <is>
          <t>The six ratings on the market-average weights of Band A · all tracks score 2.80 → A3 · Hay, Mercer IPE and public plans · experience 10.4 yrs vs the A3 market range 2–5</t>
        </is>
      </c>
      <c r="BD356" s="42">
        <f>IF(SUM(BM356,BN356,BO356,BP356,BQ356,BR356,BS356)=0,0,(BM356*BT356+BN356*BU356+BO356*BV356+BP356*BW356+BQ356*BX356+BR356*BY356+BS356*BZ356)/SUM(BM356,BN356,BO356,BP356,BQ356,BR356,BS356))</f>
        <v>0</v>
      </c>
      <c r="BE356" s="41" t="str">
        <f>IF(LEFT(AY356,1)="X",AY356,IF(OR(AY356="B+",AY356="C+"),INDEX(LAD_PC,MAX(1,MIN(14,MATCH(AY356,LAD_PC,0)+IF(BD356&gt;=0.5,1,IF(BD356&lt;=-0.5,-1,0))))),INDEX(LAD_STD,MAX(1,MIN(12,MATCH(AY356,LAD_STD,0)+IF(BD356&gt;=0.5,1,IF(BD356&lt;=-0.5,-1,0)))))))</f>
        <v>A3</v>
      </c>
      <c r="BF356" s="43" t="n"/>
      <c r="BG356" s="41" t="str">
        <f>IF(BF356&lt;&gt;"",BF356,BE356)</f>
        <v>A3</v>
      </c>
      <c r="BH356" s="40" t="str">
        <f>IFERROR(CHOOSE(INDEX(B_RANK,MATCH(BG356,B_LVL,0)),"Band A","Band B","B+ · Player-Coach","Band C","C+ · Player-Coach","Band D","Band E"),"Band X · Consultant")</f>
        <v>Band A</v>
      </c>
      <c r="BI356" s="40" t="str">
        <f>IF(BG356=AY356,"• Same",IF(INDEX(B_VAL,MATCH(BG356,B_LVL,0))&gt;INDEX(B_VAL,MATCH(AY356,B_LVL,0)),"▲ Up","▼ Down"))</f>
        <v>• Same</v>
      </c>
      <c r="BJ356" s="40" t="str">
        <f>IF(OR($M356="",$M356="—",$M356="Not in this file"),"",IFERROR(INDEX($BG$7:$BG$592,MATCH($M356,$D$7:$D$592,0)),""))</f>
        <v>B1</v>
      </c>
      <c r="BK356" s="40" t="str">
        <f>IFERROR(IF(BJ356="","—",IF(OR(LEFT(BG356,1)="X",LEFT(BJ356,1)="X"),"—",IF(AND(LEFT(BG356,1)="E",LEFT(BJ356,1)="E"),"Exception · Band E",IF(AND(INDEX(B_VAL,MATCH(BJ356,B_LVL,0))&gt;=7,INDEX(B_RANK,MATCH(BG356,B_LVL,0))&gt;=INDEX(B_RANK,MATCH(BJ356,B_LVL,0))),"⚠ Same band as a head manager",IF(INDEX(B_VAL,MATCH(BG356,B_LVL,0))&gt;=INDEX(B_VAL,MATCH(BJ356,B_LVL,0)),"⚠ At or above the manager's level","OK"))))),"—")</f>
        <v>OK</v>
      </c>
      <c r="BL356" s="43" t="n"/>
      <c r="BM356" s="44">
        <f>IFERROR(INDEX(LMH_PTS,MATCH(Y356,LMH_KEY,0)),0)</f>
        <v>9</v>
      </c>
      <c r="BN356" s="38">
        <f>IFERROR(INDEX(LMH_PTS,MATCH(Z356,LMH_KEY,0)),0)</f>
        <v>3</v>
      </c>
      <c r="BO356" s="38">
        <f>IFERROR(INDEX(LMH_PTS,MATCH(AA356,LMH_KEY,0)),0)</f>
        <v>3</v>
      </c>
      <c r="BP356" s="38">
        <f>IFERROR(INDEX(LMH_PTS,MATCH(AB356,LMH_KEY,0)),0)</f>
        <v>1</v>
      </c>
      <c r="BQ356" s="38">
        <f>IFERROR(INDEX(LMH_PTS,MATCH(AC356,LMH_KEY,0)),0)</f>
        <v>3</v>
      </c>
      <c r="BR356" s="38">
        <f>IFERROR(INDEX(LMH_PTS,MATCH(AD356,LMH_KEY,0)),0)</f>
        <v>1</v>
      </c>
      <c r="BS356" s="38">
        <f>IFERROR(INDEX(LMH_PTS,MATCH(AE356,LMH_KEY,0)),0)</f>
        <v>1</v>
      </c>
      <c r="BT356" s="38">
        <f>IFERROR(INDEX(LMH_STEP,MATCH(AF356,LMH_KEY,0)),0)</f>
        <v>0</v>
      </c>
      <c r="BU356" s="38">
        <f>IFERROR(INDEX(LMH_STEP,MATCH(AG356,LMH_KEY,0)),0)</f>
        <v>0</v>
      </c>
      <c r="BV356" s="38">
        <f>IFERROR(INDEX(LMH_STEP,MATCH(AH356,LMH_KEY,0)),0)</f>
        <v>0</v>
      </c>
      <c r="BW356" s="38">
        <f>IFERROR(INDEX(LMH_STEP,MATCH(AI356,LMH_KEY,0)),0)</f>
        <v>0</v>
      </c>
      <c r="BX356" s="38">
        <f>IFERROR(INDEX(LMH_STEP,MATCH(AJ356,LMH_KEY,0)),0)</f>
        <v>0</v>
      </c>
      <c r="BY356" s="38">
        <f>IFERROR(INDEX(LMH_STEP,MATCH(AK356,LMH_KEY,0)),0)</f>
        <v>0</v>
      </c>
      <c r="BZ356" s="38">
        <f>IFERROR(INDEX(LMH_STEP,MATCH(AL356,LMH_KEY,0)),0)</f>
        <v>0</v>
      </c>
      <c r="CA356" s="38" t="inlineStr">
        <is>
          <t>iFile|Support|Senior Support Executive|A3|A</t>
        </is>
      </c>
    </row>
    <row r="357" ht="110" customHeight="1">
      <c r="A357" s="28" t="inlineStr">
        <is>
          <t>iFile</t>
        </is>
      </c>
      <c r="B357" s="29" t="inlineStr">
        <is>
          <t>Support</t>
        </is>
      </c>
      <c r="C357" s="29" t="n">
        <v>5</v>
      </c>
      <c r="D357" s="29" t="inlineStr">
        <is>
          <t>IRISC348</t>
        </is>
      </c>
      <c r="E357" s="29" t="inlineStr">
        <is>
          <t>Uzma Shaikh</t>
        </is>
      </c>
      <c r="F357" s="29" t="inlineStr">
        <is>
          <t>Consultant</t>
        </is>
      </c>
      <c r="G357" s="29" t="inlineStr">
        <is>
          <t>Support Executive</t>
        </is>
      </c>
      <c r="H357" s="29" t="inlineStr">
        <is>
          <t>Customer Success &amp; Support</t>
        </is>
      </c>
      <c r="I357" s="29" t="inlineStr">
        <is>
          <t>Application &amp; Product Support</t>
        </is>
      </c>
      <c r="J357" s="29" t="inlineStr">
        <is>
          <t>IC</t>
        </is>
      </c>
      <c r="K357" s="29" t="inlineStr">
        <is>
          <t>RC-030</t>
        </is>
      </c>
      <c r="L357" s="29" t="inlineStr">
        <is>
          <t>Shruti Patil</t>
        </is>
      </c>
      <c r="M357" s="29" t="inlineStr">
        <is>
          <t>IRIS2289</t>
        </is>
      </c>
      <c r="N357" s="29" t="n">
        <v>0.3</v>
      </c>
      <c r="O357" s="29" t="n">
        <v>0.3</v>
      </c>
      <c r="P357" s="29" t="inlineStr">
        <is>
          <t>B.Tech</t>
        </is>
      </c>
      <c r="Q357" s="29" t="inlineStr">
        <is>
          <t>Not in current mapping files</t>
        </is>
      </c>
      <c r="R357" s="29" t="inlineStr">
        <is>
          <t>A2</t>
        </is>
      </c>
      <c r="S357" s="30" t="inlineStr">
        <is>
          <t>20 of 20</t>
        </is>
      </c>
      <c r="T357" s="31" t="inlineStr">
        <is>
          <t>Complexity: Evidence reads like A2: Checks tickets, tests scenarios and produces test cases and results → matches the start
Autonomy: Evidence reads like A2: Decides only on handling the portal → matches the start
Accountability: Evidence reads like A2: Test results and timely client responses; errors delay deployment → matches the start
Leadership: …</t>
        </is>
      </c>
      <c r="U357" s="32" t="inlineStr">
        <is>
          <t>KRAs not received · manager to supply</t>
        </is>
      </c>
      <c r="V357" s="31" t="inlineStr">
        <is>
          <t>Latest rating: Not rated · manager · 9-box: Not placed · manager · Readiness: No rating data</t>
        </is>
      </c>
      <c r="W357" s="31" t="inlineStr">
        <is>
          <t>C M · Au M · Ac M · L M · BI M · Exp M · 0.3 yrs vs 0–2 yrs · Edu M · B.Tech</t>
        </is>
      </c>
      <c r="X357" s="33" t="inlineStr">
        <is>
          <t>Open ▸</t>
        </is>
      </c>
      <c r="Y357" s="34" t="str">
        <f>IFERROR(INDEX(DL_C,MATCH($CA357,DL_KEY,0)),"M")</f>
        <v>H</v>
      </c>
      <c r="Z357" s="35" t="str">
        <f>IFERROR(INDEX(DL_Au,MATCH($CA357,DL_KEY,0)),"M")</f>
        <v>M</v>
      </c>
      <c r="AA357" s="35" t="str">
        <f>IFERROR(INDEX(DL_Ac,MATCH($CA357,DL_KEY,0)),"M")</f>
        <v>M</v>
      </c>
      <c r="AB357" s="35" t="str">
        <f>IFERROR(INDEX(DL_L,MATCH($CA357,DL_KEY,0)),"M")</f>
        <v>L</v>
      </c>
      <c r="AC357" s="35" t="str">
        <f>IFERROR(INDEX(DL_BI,MATCH($CA357,DL_KEY,0)),"M")</f>
        <v>M</v>
      </c>
      <c r="AD357" s="35" t="str">
        <f>IFERROR(INDEX(DL_Exp,MATCH($CA357,DL_KEY,0)),"M")</f>
        <v>L</v>
      </c>
      <c r="AE357" s="35" t="str">
        <f>IFERROR(INDEX(DL_Edu,MATCH($CA357,DL_KEY,0)),"M")</f>
        <v>L</v>
      </c>
      <c r="AF357" s="34" t="inlineStr">
        <is>
          <t>M</t>
        </is>
      </c>
      <c r="AG357" s="35" t="inlineStr">
        <is>
          <t>M</t>
        </is>
      </c>
      <c r="AH357" s="35" t="inlineStr">
        <is>
          <t>M</t>
        </is>
      </c>
      <c r="AI357" s="35" t="inlineStr">
        <is>
          <t>M</t>
        </is>
      </c>
      <c r="AJ357" s="35" t="inlineStr">
        <is>
          <t>M</t>
        </is>
      </c>
      <c r="AK357" s="35" t="inlineStr">
        <is>
          <t>M</t>
        </is>
      </c>
      <c r="AL357" s="35" t="inlineStr">
        <is>
          <t>M</t>
        </is>
      </c>
      <c r="AM357" s="36" t="n">
        <v>0.583</v>
      </c>
      <c r="AN357" s="37" t="n">
        <v>0.16</v>
      </c>
      <c r="AO357" s="37" t="n">
        <v>0.09</v>
      </c>
      <c r="AP357" s="37" t="n">
        <v>0</v>
      </c>
      <c r="AQ357" s="37" t="n">
        <v>0.063</v>
      </c>
      <c r="AR357" s="37" t="n">
        <v>0.06</v>
      </c>
      <c r="AS357" s="37" t="n">
        <v>0.04</v>
      </c>
      <c r="AT357" s="38" t="inlineStr">
        <is>
          <t>0–3</t>
        </is>
      </c>
      <c r="AU357" s="38" t="inlineStr">
        <is>
          <t>Graduate · or diploma with experience</t>
        </is>
      </c>
      <c r="AV357" s="38" t="inlineStr">
        <is>
          <t>No direct reports</t>
        </is>
      </c>
      <c r="AW357" s="38" t="inlineStr">
        <is>
          <t>P1–P2 · SFIA 2 Assist</t>
        </is>
      </c>
      <c r="AX35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57" s="39" t="inlineStr">
        <is>
          <t>A2</t>
        </is>
      </c>
      <c r="AZ357" s="40" t="inlineStr">
        <is>
          <t>Band A · Practitioner · Associate</t>
        </is>
      </c>
      <c r="BA357" s="40" t="inlineStr">
        <is>
          <t>Model A2 from the six ratings, the market-derived weights and rules R1–R13 · then No change · already below the manager</t>
        </is>
      </c>
      <c r="BB357" s="41" t="inlineStr">
        <is>
          <t>A2</t>
        </is>
      </c>
      <c r="BC357" s="40" t="inlineStr">
        <is>
          <t>The six ratings on the market-average weights of Band A · all tracks score 1.95 → A2 · Hay, Mercer IPE and public plans · experience 0.3 yrs vs the A2 market range 0–3</t>
        </is>
      </c>
      <c r="BD357" s="42">
        <f>IF(SUM(BM357,BN357,BO357,BP357,BQ357,BR357,BS357)=0,0,(BM357*BT357+BN357*BU357+BO357*BV357+BP357*BW357+BQ357*BX357+BR357*BY357+BS357*BZ357)/SUM(BM357,BN357,BO357,BP357,BQ357,BR357,BS357))</f>
        <v>0</v>
      </c>
      <c r="BE357" s="41" t="str">
        <f>IF(LEFT(AY357,1)="X",AY357,IF(OR(AY357="B+",AY357="C+"),INDEX(LAD_PC,MAX(1,MIN(14,MATCH(AY357,LAD_PC,0)+IF(BD357&gt;=0.5,1,IF(BD357&lt;=-0.5,-1,0))))),INDEX(LAD_STD,MAX(1,MIN(12,MATCH(AY357,LAD_STD,0)+IF(BD357&gt;=0.5,1,IF(BD357&lt;=-0.5,-1,0)))))))</f>
        <v>A2</v>
      </c>
      <c r="BF357" s="43" t="n"/>
      <c r="BG357" s="41" t="str">
        <f>IF(BF357&lt;&gt;"",BF357,BE357)</f>
        <v>A2</v>
      </c>
      <c r="BH357" s="40" t="str">
        <f>IFERROR(CHOOSE(INDEX(B_RANK,MATCH(BG357,B_LVL,0)),"Band A","Band B","B+ · Player-Coach","Band C","C+ · Player-Coach","Band D","Band E"),"Band X · Consultant")</f>
        <v>Band A</v>
      </c>
      <c r="BI357" s="40" t="str">
        <f>IF(BG357=AY357,"• Same",IF(INDEX(B_VAL,MATCH(BG357,B_LVL,0))&gt;INDEX(B_VAL,MATCH(AY357,B_LVL,0)),"▲ Up","▼ Down"))</f>
        <v>• Same</v>
      </c>
      <c r="BJ357" s="40" t="str">
        <f>IF(OR($M357="",$M357="—",$M357="Not in this file"),"",IFERROR(INDEX($BG$7:$BG$592,MATCH($M357,$D$7:$D$592,0)),""))</f>
        <v>B1</v>
      </c>
      <c r="BK357" s="40" t="str">
        <f>IFERROR(IF(BJ357="","—",IF(OR(LEFT(BG357,1)="X",LEFT(BJ357,1)="X"),"—",IF(AND(LEFT(BG357,1)="E",LEFT(BJ357,1)="E"),"Exception · Band E",IF(AND(INDEX(B_VAL,MATCH(BJ357,B_LVL,0))&gt;=7,INDEX(B_RANK,MATCH(BG357,B_LVL,0))&gt;=INDEX(B_RANK,MATCH(BJ357,B_LVL,0))),"⚠ Same band as a head manager",IF(INDEX(B_VAL,MATCH(BG357,B_LVL,0))&gt;=INDEX(B_VAL,MATCH(BJ357,B_LVL,0)),"⚠ At or above the manager's level","OK"))))),"—")</f>
        <v>OK</v>
      </c>
      <c r="BL357" s="43" t="n"/>
      <c r="BM357" s="44">
        <f>IFERROR(INDEX(LMH_PTS,MATCH(Y357,LMH_KEY,0)),0)</f>
        <v>9</v>
      </c>
      <c r="BN357" s="38">
        <f>IFERROR(INDEX(LMH_PTS,MATCH(Z357,LMH_KEY,0)),0)</f>
        <v>3</v>
      </c>
      <c r="BO357" s="38">
        <f>IFERROR(INDEX(LMH_PTS,MATCH(AA357,LMH_KEY,0)),0)</f>
        <v>3</v>
      </c>
      <c r="BP357" s="38">
        <f>IFERROR(INDEX(LMH_PTS,MATCH(AB357,LMH_KEY,0)),0)</f>
        <v>1</v>
      </c>
      <c r="BQ357" s="38">
        <f>IFERROR(INDEX(LMH_PTS,MATCH(AC357,LMH_KEY,0)),0)</f>
        <v>3</v>
      </c>
      <c r="BR357" s="38">
        <f>IFERROR(INDEX(LMH_PTS,MATCH(AD357,LMH_KEY,0)),0)</f>
        <v>1</v>
      </c>
      <c r="BS357" s="38">
        <f>IFERROR(INDEX(LMH_PTS,MATCH(AE357,LMH_KEY,0)),0)</f>
        <v>1</v>
      </c>
      <c r="BT357" s="38">
        <f>IFERROR(INDEX(LMH_STEP,MATCH(AF357,LMH_KEY,0)),0)</f>
        <v>0</v>
      </c>
      <c r="BU357" s="38">
        <f>IFERROR(INDEX(LMH_STEP,MATCH(AG357,LMH_KEY,0)),0)</f>
        <v>0</v>
      </c>
      <c r="BV357" s="38">
        <f>IFERROR(INDEX(LMH_STEP,MATCH(AH357,LMH_KEY,0)),0)</f>
        <v>0</v>
      </c>
      <c r="BW357" s="38">
        <f>IFERROR(INDEX(LMH_STEP,MATCH(AI357,LMH_KEY,0)),0)</f>
        <v>0</v>
      </c>
      <c r="BX357" s="38">
        <f>IFERROR(INDEX(LMH_STEP,MATCH(AJ357,LMH_KEY,0)),0)</f>
        <v>0</v>
      </c>
      <c r="BY357" s="38">
        <f>IFERROR(INDEX(LMH_STEP,MATCH(AK357,LMH_KEY,0)),0)</f>
        <v>0</v>
      </c>
      <c r="BZ357" s="38">
        <f>IFERROR(INDEX(LMH_STEP,MATCH(AL357,LMH_KEY,0)),0)</f>
        <v>0</v>
      </c>
      <c r="CA357" s="38" t="inlineStr">
        <is>
          <t>iFile|Support|Support Executive|A2|A</t>
        </is>
      </c>
    </row>
    <row r="358" ht="110" customHeight="1">
      <c r="A358" s="28" t="inlineStr">
        <is>
          <t>iFile</t>
        </is>
      </c>
      <c r="B358" s="29" t="inlineStr">
        <is>
          <t>Technology</t>
        </is>
      </c>
      <c r="C358" s="29" t="n">
        <v>5</v>
      </c>
      <c r="D358" s="29" t="inlineStr">
        <is>
          <t>INTN0305</t>
        </is>
      </c>
      <c r="E358" s="29" t="inlineStr">
        <is>
          <t>Samiksha Sawant</t>
        </is>
      </c>
      <c r="F358" s="29" t="inlineStr">
        <is>
          <t>Intern</t>
        </is>
      </c>
      <c r="G358" s="29" t="inlineStr">
        <is>
          <t>Intern – Software Development</t>
        </is>
      </c>
      <c r="H358" s="29" t="inlineStr">
        <is>
          <t>Engineering &amp; Development</t>
        </is>
      </c>
      <c r="I358" s="29" t="inlineStr">
        <is>
          <t>Backend Development</t>
        </is>
      </c>
      <c r="J358" s="29" t="inlineStr">
        <is>
          <t>IC</t>
        </is>
      </c>
      <c r="K358" s="29" t="inlineStr">
        <is>
          <t>RC-065</t>
        </is>
      </c>
      <c r="L358" s="29" t="inlineStr">
        <is>
          <t>Shruti Patil</t>
        </is>
      </c>
      <c r="M358" s="29" t="inlineStr">
        <is>
          <t>IRIS2289</t>
        </is>
      </c>
      <c r="N358" s="29" t="n">
        <v>0.2</v>
      </c>
      <c r="O358" s="29" t="n">
        <v>0.2</v>
      </c>
      <c r="P358" s="29" t="inlineStr">
        <is>
          <t>B.E</t>
        </is>
      </c>
      <c r="Q358" s="29" t="inlineStr">
        <is>
          <t>Not in current mapping files</t>
        </is>
      </c>
      <c r="R358" s="29" t="inlineStr">
        <is>
          <t>A1</t>
        </is>
      </c>
      <c r="S358" s="30" t="inlineStr">
        <is>
          <t>20 of 20</t>
        </is>
      </c>
      <c r="T358" s="32" t="inlineStr">
        <is>
          <t>Full survey answers not in the files received · How We Grow export needed · HR</t>
        </is>
      </c>
      <c r="U358" s="32" t="inlineStr">
        <is>
          <t>KRAs not received · manager to supply</t>
        </is>
      </c>
      <c r="V358" s="31" t="inlineStr">
        <is>
          <t>Latest rating: Not rated · manager · 9-box: Not placed · manager · Readiness: No rating data</t>
        </is>
      </c>
      <c r="W358" s="31" t="inlineStr">
        <is>
          <t>C — · Au — · Ac — · L — · BI — · Exp H · 0.2 yrs vs 0 yrs · fresher / intern · Edu M · B.E</t>
        </is>
      </c>
      <c r="X358" s="33" t="inlineStr">
        <is>
          <t>Open ▸</t>
        </is>
      </c>
      <c r="Y358" s="34" t="str">
        <f>IFERROR(INDEX(DL_C,MATCH($CA358,DL_KEY,0)),"M")</f>
        <v>H</v>
      </c>
      <c r="Z358" s="35" t="str">
        <f>IFERROR(INDEX(DL_Au,MATCH($CA358,DL_KEY,0)),"M")</f>
        <v>M</v>
      </c>
      <c r="AA358" s="35" t="str">
        <f>IFERROR(INDEX(DL_Ac,MATCH($CA358,DL_KEY,0)),"M")</f>
        <v>L</v>
      </c>
      <c r="AB358" s="35" t="str">
        <f>IFERROR(INDEX(DL_L,MATCH($CA358,DL_KEY,0)),"M")</f>
        <v>L</v>
      </c>
      <c r="AC358" s="35" t="str">
        <f>IFERROR(INDEX(DL_BI,MATCH($CA358,DL_KEY,0)),"M")</f>
        <v>L</v>
      </c>
      <c r="AD358" s="35" t="str">
        <f>IFERROR(INDEX(DL_Exp,MATCH($CA358,DL_KEY,0)),"M")</f>
        <v>L</v>
      </c>
      <c r="AE358" s="35" t="str">
        <f>IFERROR(INDEX(DL_Edu,MATCH($CA358,DL_KEY,0)),"M")</f>
        <v>L</v>
      </c>
      <c r="AF358" s="34" t="inlineStr">
        <is>
          <t>M</t>
        </is>
      </c>
      <c r="AG358" s="35" t="inlineStr">
        <is>
          <t>M</t>
        </is>
      </c>
      <c r="AH358" s="35" t="inlineStr">
        <is>
          <t>M</t>
        </is>
      </c>
      <c r="AI358" s="35" t="inlineStr">
        <is>
          <t>M</t>
        </is>
      </c>
      <c r="AJ358" s="35" t="inlineStr">
        <is>
          <t>M</t>
        </is>
      </c>
      <c r="AK358" s="35" t="inlineStr">
        <is>
          <t>M</t>
        </is>
      </c>
      <c r="AL358" s="35" t="inlineStr">
        <is>
          <t>M</t>
        </is>
      </c>
      <c r="AM358" s="36" t="n">
        <v>0.583</v>
      </c>
      <c r="AN358" s="37" t="n">
        <v>0.16</v>
      </c>
      <c r="AO358" s="37" t="n">
        <v>0.09</v>
      </c>
      <c r="AP358" s="37" t="n">
        <v>0</v>
      </c>
      <c r="AQ358" s="37" t="n">
        <v>0.063</v>
      </c>
      <c r="AR358" s="37" t="n">
        <v>0.06</v>
      </c>
      <c r="AS358" s="37" t="n">
        <v>0.04</v>
      </c>
      <c r="AT358" s="38" t="inlineStr">
        <is>
          <t>0 yrs · fresher / intern</t>
        </is>
      </c>
      <c r="AU358" s="38" t="inlineStr">
        <is>
          <t>Pursuing or completed graduation / diploma</t>
        </is>
      </c>
      <c r="AV358" s="38" t="inlineStr">
        <is>
          <t>No direct reports</t>
        </is>
      </c>
      <c r="AW358" s="38" t="inlineStr">
        <is>
          <t>Entry / P1 · intern · SFIA 1 Follow</t>
        </is>
      </c>
      <c r="AX35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58" s="39" t="inlineStr">
        <is>
          <t>A1</t>
        </is>
      </c>
      <c r="AZ358" s="40" t="inlineStr">
        <is>
          <t>Band A · Practitioner · Intern / Trainee</t>
        </is>
      </c>
      <c r="BA358" s="40" t="inlineStr">
        <is>
          <t>Model A1 from the six ratings, the market-derived weights and rules R1–R13 · then No change · already below the manager</t>
        </is>
      </c>
      <c r="BB358" s="41" t="inlineStr">
        <is>
          <t>A1</t>
        </is>
      </c>
      <c r="BC358" s="40" t="inlineStr">
        <is>
          <t>Placed by a category rule — no full set of ratings · benchmark follows the HR proposed level</t>
        </is>
      </c>
      <c r="BD358" s="42">
        <f>IF(SUM(BM358,BN358,BO358,BP358,BQ358,BR358,BS358)=0,0,(BM358*BT358+BN358*BU358+BO358*BV358+BP358*BW358+BQ358*BX358+BR358*BY358+BS358*BZ358)/SUM(BM358,BN358,BO358,BP358,BQ358,BR358,BS358))</f>
        <v>0</v>
      </c>
      <c r="BE358" s="41" t="str">
        <f>IF(LEFT(AY358,1)="X",AY358,IF(OR(AY358="B+",AY358="C+"),INDEX(LAD_PC,MAX(1,MIN(14,MATCH(AY358,LAD_PC,0)+IF(BD358&gt;=0.5,1,IF(BD358&lt;=-0.5,-1,0))))),INDEX(LAD_STD,MAX(1,MIN(12,MATCH(AY358,LAD_STD,0)+IF(BD358&gt;=0.5,1,IF(BD358&lt;=-0.5,-1,0)))))))</f>
        <v>A1</v>
      </c>
      <c r="BF358" s="43" t="n"/>
      <c r="BG358" s="41" t="str">
        <f>IF(BF358&lt;&gt;"",BF358,BE358)</f>
        <v>A1</v>
      </c>
      <c r="BH358" s="40" t="str">
        <f>IFERROR(CHOOSE(INDEX(B_RANK,MATCH(BG358,B_LVL,0)),"Band A","Band B","B+ · Player-Coach","Band C","C+ · Player-Coach","Band D","Band E"),"Band X · Consultant")</f>
        <v>Band A</v>
      </c>
      <c r="BI358" s="40" t="str">
        <f>IF(BG358=AY358,"• Same",IF(INDEX(B_VAL,MATCH(BG358,B_LVL,0))&gt;INDEX(B_VAL,MATCH(AY358,B_LVL,0)),"▲ Up","▼ Down"))</f>
        <v>• Same</v>
      </c>
      <c r="BJ358" s="40" t="str">
        <f>IF(OR($M358="",$M358="—",$M358="Not in this file"),"",IFERROR(INDEX($BG$7:$BG$592,MATCH($M358,$D$7:$D$592,0)),""))</f>
        <v>B1</v>
      </c>
      <c r="BK358" s="40" t="str">
        <f>IFERROR(IF(BJ358="","—",IF(OR(LEFT(BG358,1)="X",LEFT(BJ358,1)="X"),"—",IF(AND(LEFT(BG358,1)="E",LEFT(BJ358,1)="E"),"Exception · Band E",IF(AND(INDEX(B_VAL,MATCH(BJ358,B_LVL,0))&gt;=7,INDEX(B_RANK,MATCH(BG358,B_LVL,0))&gt;=INDEX(B_RANK,MATCH(BJ358,B_LVL,0))),"⚠ Same band as a head manager",IF(INDEX(B_VAL,MATCH(BG358,B_LVL,0))&gt;=INDEX(B_VAL,MATCH(BJ358,B_LVL,0)),"⚠ At or above the manager's level","OK"))))),"—")</f>
        <v>OK</v>
      </c>
      <c r="BL358" s="43" t="n"/>
      <c r="BM358" s="44">
        <f>IFERROR(INDEX(LMH_PTS,MATCH(Y358,LMH_KEY,0)),0)</f>
        <v>9</v>
      </c>
      <c r="BN358" s="38">
        <f>IFERROR(INDEX(LMH_PTS,MATCH(Z358,LMH_KEY,0)),0)</f>
        <v>3</v>
      </c>
      <c r="BO358" s="38">
        <f>IFERROR(INDEX(LMH_PTS,MATCH(AA358,LMH_KEY,0)),0)</f>
        <v>1</v>
      </c>
      <c r="BP358" s="38">
        <f>IFERROR(INDEX(LMH_PTS,MATCH(AB358,LMH_KEY,0)),0)</f>
        <v>1</v>
      </c>
      <c r="BQ358" s="38">
        <f>IFERROR(INDEX(LMH_PTS,MATCH(AC358,LMH_KEY,0)),0)</f>
        <v>1</v>
      </c>
      <c r="BR358" s="38">
        <f>IFERROR(INDEX(LMH_PTS,MATCH(AD358,LMH_KEY,0)),0)</f>
        <v>1</v>
      </c>
      <c r="BS358" s="38">
        <f>IFERROR(INDEX(LMH_PTS,MATCH(AE358,LMH_KEY,0)),0)</f>
        <v>1</v>
      </c>
      <c r="BT358" s="38">
        <f>IFERROR(INDEX(LMH_STEP,MATCH(AF358,LMH_KEY,0)),0)</f>
        <v>0</v>
      </c>
      <c r="BU358" s="38">
        <f>IFERROR(INDEX(LMH_STEP,MATCH(AG358,LMH_KEY,0)),0)</f>
        <v>0</v>
      </c>
      <c r="BV358" s="38">
        <f>IFERROR(INDEX(LMH_STEP,MATCH(AH358,LMH_KEY,0)),0)</f>
        <v>0</v>
      </c>
      <c r="BW358" s="38">
        <f>IFERROR(INDEX(LMH_STEP,MATCH(AI358,LMH_KEY,0)),0)</f>
        <v>0</v>
      </c>
      <c r="BX358" s="38">
        <f>IFERROR(INDEX(LMH_STEP,MATCH(AJ358,LMH_KEY,0)),0)</f>
        <v>0</v>
      </c>
      <c r="BY358" s="38">
        <f>IFERROR(INDEX(LMH_STEP,MATCH(AK358,LMH_KEY,0)),0)</f>
        <v>0</v>
      </c>
      <c r="BZ358" s="38">
        <f>IFERROR(INDEX(LMH_STEP,MATCH(AL358,LMH_KEY,0)),0)</f>
        <v>0</v>
      </c>
      <c r="CA358" s="38" t="inlineStr">
        <is>
          <t>iFile|Technology|Intern – Software Development|A1|A</t>
        </is>
      </c>
    </row>
    <row r="359" ht="110" customHeight="1">
      <c r="A359" s="28" t="inlineStr">
        <is>
          <t>iFile</t>
        </is>
      </c>
      <c r="B359" s="29" t="inlineStr">
        <is>
          <t>Technology</t>
        </is>
      </c>
      <c r="C359" s="29" t="n">
        <v>4</v>
      </c>
      <c r="D359" s="29" t="inlineStr">
        <is>
          <t>IRIS2076</t>
        </is>
      </c>
      <c r="E359" s="29" t="inlineStr">
        <is>
          <t>Tumpa Deb</t>
        </is>
      </c>
      <c r="F359" s="29" t="inlineStr">
        <is>
          <t>Senior Business Analyst</t>
        </is>
      </c>
      <c r="G359" s="29" t="inlineStr">
        <is>
          <t>Business Analysis Specialist</t>
        </is>
      </c>
      <c r="H359" s="29" t="inlineStr">
        <is>
          <t>Business Analysis</t>
        </is>
      </c>
      <c r="I359" s="29" t="inlineStr">
        <is>
          <t>Business Analysis</t>
        </is>
      </c>
      <c r="J359" s="29" t="inlineStr">
        <is>
          <t>IC</t>
        </is>
      </c>
      <c r="K359" s="29" t="inlineStr">
        <is>
          <t>RC-010</t>
        </is>
      </c>
      <c r="L359" s="29" t="inlineStr">
        <is>
          <t>Jailesh Bhadra</t>
        </is>
      </c>
      <c r="M359" s="29" t="inlineStr">
        <is>
          <t>IRIS2366</t>
        </is>
      </c>
      <c r="N359" s="29" t="n">
        <v>7.8</v>
      </c>
      <c r="O359" s="29" t="n">
        <v>3.9</v>
      </c>
      <c r="P359" s="29" t="inlineStr">
        <is>
          <t>MBA</t>
        </is>
      </c>
      <c r="Q359" s="29" t="inlineStr">
        <is>
          <t>L4 – Senior</t>
        </is>
      </c>
      <c r="R359" s="29" t="inlineStr">
        <is>
          <t>B1</t>
        </is>
      </c>
      <c r="S359" s="30" t="inlineStr">
        <is>
          <t>19 of 20</t>
        </is>
      </c>
      <c r="T359" s="31" t="inlineStr">
        <is>
          <t>Complexity: Evidence reads like A3: Gathers and documents requirements; runs client workshops, UAT and pilot runs → moved down 0.5
Autonomy: Evidence reads like A2: Names only requirement analysis as an independent decision → moved down 0.5
Accountability: Evidence reads like A2: own survey / KRA answers · summarised by the rater; not quoted → moved down …</t>
        </is>
      </c>
      <c r="U359" s="31" t="inlineStr">
        <is>
          <t>Received · manager annual, quarterly, self · 1. Deliver &gt;=95% of assigned BRDs/FSDs approved by stakeholders with &lt;=1 revision cycle
2. Ensure &gt;=90% on-time delivery of BA deliverables against the project plan
3. Achieve &gt;=4.2/5 average stakeholder satisfaction on requirement clarity &amp; completeness
4. Complete UAT support/sign-off for &gt;=90% of assigned releases …</t>
        </is>
      </c>
      <c r="V359" s="31" t="inlineStr">
        <is>
          <t>Latest rating: 3 · Potential: Medium · 9-box: Reliable Specialist · Readiness: Develop in role</t>
        </is>
      </c>
      <c r="W359" s="31" t="inlineStr">
        <is>
          <t>C M · Au M · Ac M · L L · BI M · Exp H · 7.8 yrs vs 4–7 yrs · Edu H · MBA</t>
        </is>
      </c>
      <c r="X359" s="33" t="inlineStr">
        <is>
          <t>Open ▸</t>
        </is>
      </c>
      <c r="Y359" s="34" t="str">
        <f>IFERROR(INDEX(DL_C,MATCH($CA359,DL_KEY,0)),"M")</f>
        <v>H</v>
      </c>
      <c r="Z359" s="35" t="str">
        <f>IFERROR(INDEX(DL_Au,MATCH($CA359,DL_KEY,0)),"M")</f>
        <v>M</v>
      </c>
      <c r="AA359" s="35" t="str">
        <f>IFERROR(INDEX(DL_Ac,MATCH($CA359,DL_KEY,0)),"M")</f>
        <v>L</v>
      </c>
      <c r="AB359" s="35" t="str">
        <f>IFERROR(INDEX(DL_L,MATCH($CA359,DL_KEY,0)),"M")</f>
        <v>L</v>
      </c>
      <c r="AC359" s="35" t="str">
        <f>IFERROR(INDEX(DL_BI,MATCH($CA359,DL_KEY,0)),"M")</f>
        <v>L</v>
      </c>
      <c r="AD359" s="35" t="str">
        <f>IFERROR(INDEX(DL_Exp,MATCH($CA359,DL_KEY,0)),"M")</f>
        <v>L</v>
      </c>
      <c r="AE359" s="35" t="str">
        <f>IFERROR(INDEX(DL_Edu,MATCH($CA359,DL_KEY,0)),"M")</f>
        <v>L</v>
      </c>
      <c r="AF359" s="34" t="inlineStr">
        <is>
          <t>M</t>
        </is>
      </c>
      <c r="AG359" s="35" t="inlineStr">
        <is>
          <t>M</t>
        </is>
      </c>
      <c r="AH359" s="35" t="inlineStr">
        <is>
          <t>M</t>
        </is>
      </c>
      <c r="AI359" s="35" t="inlineStr">
        <is>
          <t>M</t>
        </is>
      </c>
      <c r="AJ359" s="35" t="inlineStr">
        <is>
          <t>M</t>
        </is>
      </c>
      <c r="AK359" s="35" t="inlineStr">
        <is>
          <t>M</t>
        </is>
      </c>
      <c r="AL359" s="35" t="inlineStr">
        <is>
          <t>M</t>
        </is>
      </c>
      <c r="AM359" s="36" t="n">
        <v>0.513</v>
      </c>
      <c r="AN359" s="37" t="n">
        <v>0.173</v>
      </c>
      <c r="AO359" s="37" t="n">
        <v>0.09699999999999999</v>
      </c>
      <c r="AP359" s="37" t="n">
        <v>0.05</v>
      </c>
      <c r="AQ359" s="37" t="n">
        <v>0.07000000000000001</v>
      </c>
      <c r="AR359" s="37" t="n">
        <v>0.06</v>
      </c>
      <c r="AS359" s="37" t="n">
        <v>0.04</v>
      </c>
      <c r="AT359" s="38" t="inlineStr">
        <is>
          <t>4–8</t>
        </is>
      </c>
      <c r="AU359" s="38" t="inlineStr">
        <is>
          <t>Graduate + relevant qualification or certification preferred</t>
        </is>
      </c>
      <c r="AV359" s="38" t="inlineStr">
        <is>
          <t>IC: none · Team Lead: 3–5</t>
        </is>
      </c>
      <c r="AW359" s="38" t="inlineStr">
        <is>
          <t>P3 / M2 · SFIA 4 Enable</t>
        </is>
      </c>
      <c r="AX35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59" s="39" t="inlineStr">
        <is>
          <t>B1</t>
        </is>
      </c>
      <c r="AZ359" s="40" t="inlineStr">
        <is>
          <t>Band B · Specialist / Manager · Specialist</t>
        </is>
      </c>
      <c r="BA359" s="40" t="inlineStr">
        <is>
          <t>Model B1 from the six ratings, the market-derived weights and rules R1–R13 · then No change · already below the manager</t>
        </is>
      </c>
      <c r="BB359" s="41" t="inlineStr">
        <is>
          <t>B1</t>
        </is>
      </c>
      <c r="BC359" s="40" t="inlineStr">
        <is>
          <t>The six ratings on the market-average weights of Band B · Specialist / POD Lead score 3.60 → B1 · Hay, Mercer IPE and public plans · experience 7.8 yrs vs the B1 market range 4–8</t>
        </is>
      </c>
      <c r="BD359" s="42">
        <f>IF(SUM(BM359,BN359,BO359,BP359,BQ359,BR359,BS359)=0,0,(BM359*BT359+BN359*BU359+BO359*BV359+BP359*BW359+BQ359*BX359+BR359*BY359+BS359*BZ359)/SUM(BM359,BN359,BO359,BP359,BQ359,BR359,BS359))</f>
        <v>0</v>
      </c>
      <c r="BE359" s="41" t="str">
        <f>IF(LEFT(AY359,1)="X",AY359,IF(OR(AY359="B+",AY359="C+"),INDEX(LAD_PC,MAX(1,MIN(14,MATCH(AY359,LAD_PC,0)+IF(BD359&gt;=0.5,1,IF(BD359&lt;=-0.5,-1,0))))),INDEX(LAD_STD,MAX(1,MIN(12,MATCH(AY359,LAD_STD,0)+IF(BD359&gt;=0.5,1,IF(BD359&lt;=-0.5,-1,0)))))))</f>
        <v>B1</v>
      </c>
      <c r="BF359" s="43" t="n"/>
      <c r="BG359" s="41" t="str">
        <f>IF(BF359&lt;&gt;"",BF359,BE359)</f>
        <v>B1</v>
      </c>
      <c r="BH359" s="40" t="str">
        <f>IFERROR(CHOOSE(INDEX(B_RANK,MATCH(BG359,B_LVL,0)),"Band A","Band B","B+ · Player-Coach","Band C","C+ · Player-Coach","Band D","Band E"),"Band X · Consultant")</f>
        <v>Band B</v>
      </c>
      <c r="BI359" s="40" t="str">
        <f>IF(BG359=AY359,"• Same",IF(INDEX(B_VAL,MATCH(BG359,B_LVL,0))&gt;INDEX(B_VAL,MATCH(AY359,B_LVL,0)),"▲ Up","▼ Down"))</f>
        <v>• Same</v>
      </c>
      <c r="BJ359" s="40" t="str">
        <f>IF(OR($M359="",$M359="—",$M359="Not in this file"),"",IFERROR(INDEX($BG$7:$BG$592,MATCH($M359,$D$7:$D$592,0)),""))</f>
        <v>B2</v>
      </c>
      <c r="BK359" s="40" t="str">
        <f>IFERROR(IF(BJ359="","—",IF(OR(LEFT(BG359,1)="X",LEFT(BJ359,1)="X"),"—",IF(AND(LEFT(BG359,1)="E",LEFT(BJ359,1)="E"),"Exception · Band E",IF(AND(INDEX(B_VAL,MATCH(BJ359,B_LVL,0))&gt;=7,INDEX(B_RANK,MATCH(BG359,B_LVL,0))&gt;=INDEX(B_RANK,MATCH(BJ359,B_LVL,0))),"⚠ Same band as a head manager",IF(INDEX(B_VAL,MATCH(BG359,B_LVL,0))&gt;=INDEX(B_VAL,MATCH(BJ359,B_LVL,0)),"⚠ At or above the manager's level","OK"))))),"—")</f>
        <v>OK</v>
      </c>
      <c r="BL359" s="43" t="n"/>
      <c r="BM359" s="44">
        <f>IFERROR(INDEX(LMH_PTS,MATCH(Y359,LMH_KEY,0)),0)</f>
        <v>9</v>
      </c>
      <c r="BN359" s="38">
        <f>IFERROR(INDEX(LMH_PTS,MATCH(Z359,LMH_KEY,0)),0)</f>
        <v>3</v>
      </c>
      <c r="BO359" s="38">
        <f>IFERROR(INDEX(LMH_PTS,MATCH(AA359,LMH_KEY,0)),0)</f>
        <v>1</v>
      </c>
      <c r="BP359" s="38">
        <f>IFERROR(INDEX(LMH_PTS,MATCH(AB359,LMH_KEY,0)),0)</f>
        <v>1</v>
      </c>
      <c r="BQ359" s="38">
        <f>IFERROR(INDEX(LMH_PTS,MATCH(AC359,LMH_KEY,0)),0)</f>
        <v>1</v>
      </c>
      <c r="BR359" s="38">
        <f>IFERROR(INDEX(LMH_PTS,MATCH(AD359,LMH_KEY,0)),0)</f>
        <v>1</v>
      </c>
      <c r="BS359" s="38">
        <f>IFERROR(INDEX(LMH_PTS,MATCH(AE359,LMH_KEY,0)),0)</f>
        <v>1</v>
      </c>
      <c r="BT359" s="38">
        <f>IFERROR(INDEX(LMH_STEP,MATCH(AF359,LMH_KEY,0)),0)</f>
        <v>0</v>
      </c>
      <c r="BU359" s="38">
        <f>IFERROR(INDEX(LMH_STEP,MATCH(AG359,LMH_KEY,0)),0)</f>
        <v>0</v>
      </c>
      <c r="BV359" s="38">
        <f>IFERROR(INDEX(LMH_STEP,MATCH(AH359,LMH_KEY,0)),0)</f>
        <v>0</v>
      </c>
      <c r="BW359" s="38">
        <f>IFERROR(INDEX(LMH_STEP,MATCH(AI359,LMH_KEY,0)),0)</f>
        <v>0</v>
      </c>
      <c r="BX359" s="38">
        <f>IFERROR(INDEX(LMH_STEP,MATCH(AJ359,LMH_KEY,0)),0)</f>
        <v>0</v>
      </c>
      <c r="BY359" s="38">
        <f>IFERROR(INDEX(LMH_STEP,MATCH(AK359,LMH_KEY,0)),0)</f>
        <v>0</v>
      </c>
      <c r="BZ359" s="38">
        <f>IFERROR(INDEX(LMH_STEP,MATCH(AL359,LMH_KEY,0)),0)</f>
        <v>0</v>
      </c>
      <c r="CA359" s="38" t="inlineStr">
        <is>
          <t>iFile|Technology|Business Analysis Specialist|B1|B-IC</t>
        </is>
      </c>
    </row>
    <row r="360" ht="110" customHeight="1">
      <c r="A360" s="28" t="inlineStr">
        <is>
          <t>iFile</t>
        </is>
      </c>
      <c r="B360" s="29" t="inlineStr">
        <is>
          <t>Technology</t>
        </is>
      </c>
      <c r="C360" s="29" t="n">
        <v>4</v>
      </c>
      <c r="D360" s="29" t="inlineStr">
        <is>
          <t>IRIS2506</t>
        </is>
      </c>
      <c r="E360" s="29" t="inlineStr">
        <is>
          <t>Neha Singh</t>
        </is>
      </c>
      <c r="F360" s="29" t="inlineStr">
        <is>
          <t>Business Analyst</t>
        </is>
      </c>
      <c r="G360" s="29" t="inlineStr">
        <is>
          <t>Senior Business Analyst</t>
        </is>
      </c>
      <c r="H360" s="29" t="inlineStr">
        <is>
          <t>Business Analysis</t>
        </is>
      </c>
      <c r="I360" s="29" t="inlineStr">
        <is>
          <t>Business Analysis</t>
        </is>
      </c>
      <c r="J360" s="29" t="inlineStr">
        <is>
          <t>IC</t>
        </is>
      </c>
      <c r="K360" s="29" t="inlineStr">
        <is>
          <t>RC-009</t>
        </is>
      </c>
      <c r="L360" s="29" t="inlineStr">
        <is>
          <t>Jailesh Bhadra</t>
        </is>
      </c>
      <c r="M360" s="29" t="inlineStr">
        <is>
          <t>IRIS2366</t>
        </is>
      </c>
      <c r="N360" s="29" t="n">
        <v>3.6</v>
      </c>
      <c r="O360" s="29" t="n">
        <v>0.5</v>
      </c>
      <c r="P360" s="29" t="inlineStr">
        <is>
          <t>MBA</t>
        </is>
      </c>
      <c r="Q360" s="29" t="inlineStr">
        <is>
          <t>L3 – Professional / Associate</t>
        </is>
      </c>
      <c r="R360" s="29" t="inlineStr">
        <is>
          <t>A3</t>
        </is>
      </c>
      <c r="S360" s="30" t="inlineStr">
        <is>
          <t>20 of 20</t>
        </is>
      </c>
      <c r="T360" s="31" t="inlineStr">
        <is>
          <t>Business Impact: No move: the survey / manager mapping does not mark it business-critical or unique.</t>
        </is>
      </c>
      <c r="U360" s="31" t="inlineStr">
        <is>
          <t>Received · manager annual, quarterly, self · 1. Deliver &gt;=90% of assigned BRDs/user stories approved with &lt;=1 revision cycle
2. Achieve &gt;=85% on-time delivery of BA deliverables · ramp-up allowance in Q1
3. Achieve &gt;=4/5 stakeholder satisfaction on requirement clarity
4. Complete assigned UAT support tasks within agreed timelines
5. Complete structured BA/domain …</t>
        </is>
      </c>
      <c r="V360" s="31" t="inlineStr">
        <is>
          <t>Latest rating: 3 · Potential: Medium · 9-box: Core Contributor · Readiness: Develop in role</t>
        </is>
      </c>
      <c r="W360" s="31" t="inlineStr">
        <is>
          <t>C M · Au M · Ac M · L L · BI M · Exp M · 3.6 yrs vs 2–4 yrs · Edu H · MBA</t>
        </is>
      </c>
      <c r="X360" s="33" t="inlineStr">
        <is>
          <t>Open ▸</t>
        </is>
      </c>
      <c r="Y360" s="34" t="str">
        <f>IFERROR(INDEX(DL_C,MATCH($CA360,DL_KEY,0)),"M")</f>
        <v>H</v>
      </c>
      <c r="Z360" s="35" t="str">
        <f>IFERROR(INDEX(DL_Au,MATCH($CA360,DL_KEY,0)),"M")</f>
        <v>M</v>
      </c>
      <c r="AA360" s="35" t="str">
        <f>IFERROR(INDEX(DL_Ac,MATCH($CA360,DL_KEY,0)),"M")</f>
        <v>L</v>
      </c>
      <c r="AB360" s="35" t="str">
        <f>IFERROR(INDEX(DL_L,MATCH($CA360,DL_KEY,0)),"M")</f>
        <v>L</v>
      </c>
      <c r="AC360" s="35" t="str">
        <f>IFERROR(INDEX(DL_BI,MATCH($CA360,DL_KEY,0)),"M")</f>
        <v>L</v>
      </c>
      <c r="AD360" s="35" t="str">
        <f>IFERROR(INDEX(DL_Exp,MATCH($CA360,DL_KEY,0)),"M")</f>
        <v>L</v>
      </c>
      <c r="AE360" s="35" t="str">
        <f>IFERROR(INDEX(DL_Edu,MATCH($CA360,DL_KEY,0)),"M")</f>
        <v>L</v>
      </c>
      <c r="AF360" s="34" t="inlineStr">
        <is>
          <t>M</t>
        </is>
      </c>
      <c r="AG360" s="35" t="inlineStr">
        <is>
          <t>M</t>
        </is>
      </c>
      <c r="AH360" s="35" t="inlineStr">
        <is>
          <t>M</t>
        </is>
      </c>
      <c r="AI360" s="35" t="inlineStr">
        <is>
          <t>M</t>
        </is>
      </c>
      <c r="AJ360" s="35" t="inlineStr">
        <is>
          <t>M</t>
        </is>
      </c>
      <c r="AK360" s="35" t="inlineStr">
        <is>
          <t>M</t>
        </is>
      </c>
      <c r="AL360" s="35" t="inlineStr">
        <is>
          <t>M</t>
        </is>
      </c>
      <c r="AM360" s="36" t="n">
        <v>0.583</v>
      </c>
      <c r="AN360" s="37" t="n">
        <v>0.16</v>
      </c>
      <c r="AO360" s="37" t="n">
        <v>0.09</v>
      </c>
      <c r="AP360" s="37" t="n">
        <v>0</v>
      </c>
      <c r="AQ360" s="37" t="n">
        <v>0.063</v>
      </c>
      <c r="AR360" s="37" t="n">
        <v>0.06</v>
      </c>
      <c r="AS360" s="37" t="n">
        <v>0.04</v>
      </c>
      <c r="AT360" s="38" t="inlineStr">
        <is>
          <t>2–5</t>
        </is>
      </c>
      <c r="AU360" s="38" t="inlineStr">
        <is>
          <t>Graduate; relevant certification preferred</t>
        </is>
      </c>
      <c r="AV360" s="38" t="inlineStr">
        <is>
          <t>None · guides 1–3 juniors informally</t>
        </is>
      </c>
      <c r="AW360" s="38" t="inlineStr">
        <is>
          <t>P2 · SFIA 3 Apply</t>
        </is>
      </c>
      <c r="AX36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60" s="39" t="inlineStr">
        <is>
          <t>A3</t>
        </is>
      </c>
      <c r="AZ360" s="40" t="inlineStr">
        <is>
          <t>Band A · Practitioner · Senior Associate</t>
        </is>
      </c>
      <c r="BA360" s="40" t="inlineStr">
        <is>
          <t>Model A3 from the six ratings, the market-derived weights and rules R1–R13 · then No change · already below the manager</t>
        </is>
      </c>
      <c r="BB360" s="41" t="inlineStr">
        <is>
          <t>A3</t>
        </is>
      </c>
      <c r="BC360" s="40" t="inlineStr">
        <is>
          <t>The six ratings on the market-average weights of Band A · all tracks score 3.00 → A3 · Hay, Mercer IPE and public plans · experience 3.6 yrs vs the A3 market range 2–5</t>
        </is>
      </c>
      <c r="BD360" s="42">
        <f>IF(SUM(BM360,BN360,BO360,BP360,BQ360,BR360,BS360)=0,0,(BM360*BT360+BN360*BU360+BO360*BV360+BP360*BW360+BQ360*BX360+BR360*BY360+BS360*BZ360)/SUM(BM360,BN360,BO360,BP360,BQ360,BR360,BS360))</f>
        <v>0</v>
      </c>
      <c r="BE360" s="41" t="str">
        <f>IF(LEFT(AY360,1)="X",AY360,IF(OR(AY360="B+",AY360="C+"),INDEX(LAD_PC,MAX(1,MIN(14,MATCH(AY360,LAD_PC,0)+IF(BD360&gt;=0.5,1,IF(BD360&lt;=-0.5,-1,0))))),INDEX(LAD_STD,MAX(1,MIN(12,MATCH(AY360,LAD_STD,0)+IF(BD360&gt;=0.5,1,IF(BD360&lt;=-0.5,-1,0)))))))</f>
        <v>A3</v>
      </c>
      <c r="BF360" s="43" t="n"/>
      <c r="BG360" s="41" t="str">
        <f>IF(BF360&lt;&gt;"",BF360,BE360)</f>
        <v>A3</v>
      </c>
      <c r="BH360" s="40" t="str">
        <f>IFERROR(CHOOSE(INDEX(B_RANK,MATCH(BG360,B_LVL,0)),"Band A","Band B","B+ · Player-Coach","Band C","C+ · Player-Coach","Band D","Band E"),"Band X · Consultant")</f>
        <v>Band A</v>
      </c>
      <c r="BI360" s="40" t="str">
        <f>IF(BG360=AY360,"• Same",IF(INDEX(B_VAL,MATCH(BG360,B_LVL,0))&gt;INDEX(B_VAL,MATCH(AY360,B_LVL,0)),"▲ Up","▼ Down"))</f>
        <v>• Same</v>
      </c>
      <c r="BJ360" s="40" t="str">
        <f>IF(OR($M360="",$M360="—",$M360="Not in this file"),"",IFERROR(INDEX($BG$7:$BG$592,MATCH($M360,$D$7:$D$592,0)),""))</f>
        <v>B2</v>
      </c>
      <c r="BK360" s="40" t="str">
        <f>IFERROR(IF(BJ360="","—",IF(OR(LEFT(BG360,1)="X",LEFT(BJ360,1)="X"),"—",IF(AND(LEFT(BG360,1)="E",LEFT(BJ360,1)="E"),"Exception · Band E",IF(AND(INDEX(B_VAL,MATCH(BJ360,B_LVL,0))&gt;=7,INDEX(B_RANK,MATCH(BG360,B_LVL,0))&gt;=INDEX(B_RANK,MATCH(BJ360,B_LVL,0))),"⚠ Same band as a head manager",IF(INDEX(B_VAL,MATCH(BG360,B_LVL,0))&gt;=INDEX(B_VAL,MATCH(BJ360,B_LVL,0)),"⚠ At or above the manager's level","OK"))))),"—")</f>
        <v>OK</v>
      </c>
      <c r="BL360" s="43" t="n"/>
      <c r="BM360" s="44">
        <f>IFERROR(INDEX(LMH_PTS,MATCH(Y360,LMH_KEY,0)),0)</f>
        <v>9</v>
      </c>
      <c r="BN360" s="38">
        <f>IFERROR(INDEX(LMH_PTS,MATCH(Z360,LMH_KEY,0)),0)</f>
        <v>3</v>
      </c>
      <c r="BO360" s="38">
        <f>IFERROR(INDEX(LMH_PTS,MATCH(AA360,LMH_KEY,0)),0)</f>
        <v>1</v>
      </c>
      <c r="BP360" s="38">
        <f>IFERROR(INDEX(LMH_PTS,MATCH(AB360,LMH_KEY,0)),0)</f>
        <v>1</v>
      </c>
      <c r="BQ360" s="38">
        <f>IFERROR(INDEX(LMH_PTS,MATCH(AC360,LMH_KEY,0)),0)</f>
        <v>1</v>
      </c>
      <c r="BR360" s="38">
        <f>IFERROR(INDEX(LMH_PTS,MATCH(AD360,LMH_KEY,0)),0)</f>
        <v>1</v>
      </c>
      <c r="BS360" s="38">
        <f>IFERROR(INDEX(LMH_PTS,MATCH(AE360,LMH_KEY,0)),0)</f>
        <v>1</v>
      </c>
      <c r="BT360" s="38">
        <f>IFERROR(INDEX(LMH_STEP,MATCH(AF360,LMH_KEY,0)),0)</f>
        <v>0</v>
      </c>
      <c r="BU360" s="38">
        <f>IFERROR(INDEX(LMH_STEP,MATCH(AG360,LMH_KEY,0)),0)</f>
        <v>0</v>
      </c>
      <c r="BV360" s="38">
        <f>IFERROR(INDEX(LMH_STEP,MATCH(AH360,LMH_KEY,0)),0)</f>
        <v>0</v>
      </c>
      <c r="BW360" s="38">
        <f>IFERROR(INDEX(LMH_STEP,MATCH(AI360,LMH_KEY,0)),0)</f>
        <v>0</v>
      </c>
      <c r="BX360" s="38">
        <f>IFERROR(INDEX(LMH_STEP,MATCH(AJ360,LMH_KEY,0)),0)</f>
        <v>0</v>
      </c>
      <c r="BY360" s="38">
        <f>IFERROR(INDEX(LMH_STEP,MATCH(AK360,LMH_KEY,0)),0)</f>
        <v>0</v>
      </c>
      <c r="BZ360" s="38">
        <f>IFERROR(INDEX(LMH_STEP,MATCH(AL360,LMH_KEY,0)),0)</f>
        <v>0</v>
      </c>
      <c r="CA360" s="38" t="inlineStr">
        <is>
          <t>iFile|Technology|Senior Business Analyst|A3|A</t>
        </is>
      </c>
    </row>
    <row r="361" ht="110" customHeight="1">
      <c r="A361" s="28" t="inlineStr">
        <is>
          <t>iFile</t>
        </is>
      </c>
      <c r="B361" s="29" t="inlineStr">
        <is>
          <t>Technology</t>
        </is>
      </c>
      <c r="C361" s="29" t="n">
        <v>4</v>
      </c>
      <c r="D361" s="29" t="inlineStr">
        <is>
          <t>IRIS1852</t>
        </is>
      </c>
      <c r="E361" s="29" t="inlineStr">
        <is>
          <t>Prajakta Chavan</t>
        </is>
      </c>
      <c r="F361" s="29" t="inlineStr">
        <is>
          <t>Business Analyst</t>
        </is>
      </c>
      <c r="G361" s="29" t="inlineStr">
        <is>
          <t>Senior Business Analyst</t>
        </is>
      </c>
      <c r="H361" s="29" t="inlineStr">
        <is>
          <t>Business Analysis</t>
        </is>
      </c>
      <c r="I361" s="29" t="inlineStr">
        <is>
          <t>Business Analysis</t>
        </is>
      </c>
      <c r="J361" s="29" t="inlineStr">
        <is>
          <t>IC</t>
        </is>
      </c>
      <c r="K361" s="29" t="inlineStr">
        <is>
          <t>RC-009</t>
        </is>
      </c>
      <c r="L361" s="29" t="inlineStr">
        <is>
          <t>Jailesh Bhadra</t>
        </is>
      </c>
      <c r="M361" s="29" t="inlineStr">
        <is>
          <t>IRIS2366</t>
        </is>
      </c>
      <c r="N361" s="29" t="n">
        <v>6.9</v>
      </c>
      <c r="O361" s="29" t="n">
        <v>6.4</v>
      </c>
      <c r="P361" s="29" t="inlineStr">
        <is>
          <t>B.E</t>
        </is>
      </c>
      <c r="Q361" s="29" t="inlineStr">
        <is>
          <t>L3 – Professional / Associate</t>
        </is>
      </c>
      <c r="R361" s="29" t="inlineStr">
        <is>
          <t>A3</t>
        </is>
      </c>
      <c r="S361" s="30" t="inlineStr">
        <is>
          <t>19 of 20</t>
        </is>
      </c>
      <c r="T361" s="31" t="inlineStr">
        <is>
          <t>Complexity: Evidence reads like A3: Takes client requirements to delivery; sprint tracking, sign-offs; note: test case review, XBRL error guidance → matches the start
Autonomy: Evidence reads like B1: Prioritises the work, assigns tasks to the team and monitors them → moved up 0.5
Accountability: Evidence reads like A3: Answers for requirement correctness …</t>
        </is>
      </c>
      <c r="U361" s="31" t="inlineStr">
        <is>
          <t>Received · manager annual, quarterly, self · 1. Deliver &gt;=95% of assigned BRDs/FSDs approved with &lt;=1 revision cycle
2. Ensure &gt;=90% on-time delivery of BA deliverables against plan
3. Achieve &gt;=4.2/5 stakeholder satisfaction on requirement clarity
4. Complete UAT support/sign-off for &gt;=90% of assigned releases within timeline
5. Reduce post-sign-off requirement …</t>
        </is>
      </c>
      <c r="V361" s="31" t="inlineStr">
        <is>
          <t>Latest rating: 3 · Potential: High · 9-box: Reliable Specialist · Readiness: Ready in 6–12 months</t>
        </is>
      </c>
      <c r="W361" s="31" t="inlineStr">
        <is>
          <t>C M · Au M · Ac M · L M · BI M · Exp H · 6.9 yrs vs 2–4 yrs · Edu M · B.E</t>
        </is>
      </c>
      <c r="X361" s="33" t="inlineStr">
        <is>
          <t>Open ▸</t>
        </is>
      </c>
      <c r="Y361" s="34" t="str">
        <f>IFERROR(INDEX(DL_C,MATCH($CA361,DL_KEY,0)),"M")</f>
        <v>H</v>
      </c>
      <c r="Z361" s="35" t="str">
        <f>IFERROR(INDEX(DL_Au,MATCH($CA361,DL_KEY,0)),"M")</f>
        <v>M</v>
      </c>
      <c r="AA361" s="35" t="str">
        <f>IFERROR(INDEX(DL_Ac,MATCH($CA361,DL_KEY,0)),"M")</f>
        <v>L</v>
      </c>
      <c r="AB361" s="35" t="str">
        <f>IFERROR(INDEX(DL_L,MATCH($CA361,DL_KEY,0)),"M")</f>
        <v>L</v>
      </c>
      <c r="AC361" s="35" t="str">
        <f>IFERROR(INDEX(DL_BI,MATCH($CA361,DL_KEY,0)),"M")</f>
        <v>L</v>
      </c>
      <c r="AD361" s="35" t="str">
        <f>IFERROR(INDEX(DL_Exp,MATCH($CA361,DL_KEY,0)),"M")</f>
        <v>L</v>
      </c>
      <c r="AE361" s="35" t="str">
        <f>IFERROR(INDEX(DL_Edu,MATCH($CA361,DL_KEY,0)),"M")</f>
        <v>L</v>
      </c>
      <c r="AF361" s="34" t="inlineStr">
        <is>
          <t>M</t>
        </is>
      </c>
      <c r="AG361" s="35" t="inlineStr">
        <is>
          <t>M</t>
        </is>
      </c>
      <c r="AH361" s="35" t="inlineStr">
        <is>
          <t>M</t>
        </is>
      </c>
      <c r="AI361" s="35" t="inlineStr">
        <is>
          <t>M</t>
        </is>
      </c>
      <c r="AJ361" s="35" t="inlineStr">
        <is>
          <t>M</t>
        </is>
      </c>
      <c r="AK361" s="35" t="inlineStr">
        <is>
          <t>M</t>
        </is>
      </c>
      <c r="AL361" s="35" t="inlineStr">
        <is>
          <t>M</t>
        </is>
      </c>
      <c r="AM361" s="36" t="n">
        <v>0.583</v>
      </c>
      <c r="AN361" s="37" t="n">
        <v>0.16</v>
      </c>
      <c r="AO361" s="37" t="n">
        <v>0.09</v>
      </c>
      <c r="AP361" s="37" t="n">
        <v>0</v>
      </c>
      <c r="AQ361" s="37" t="n">
        <v>0.063</v>
      </c>
      <c r="AR361" s="37" t="n">
        <v>0.06</v>
      </c>
      <c r="AS361" s="37" t="n">
        <v>0.04</v>
      </c>
      <c r="AT361" s="38" t="inlineStr">
        <is>
          <t>2–5</t>
        </is>
      </c>
      <c r="AU361" s="38" t="inlineStr">
        <is>
          <t>Graduate; relevant certification preferred</t>
        </is>
      </c>
      <c r="AV361" s="38" t="inlineStr">
        <is>
          <t>None · guides 1–3 juniors informally</t>
        </is>
      </c>
      <c r="AW361" s="38" t="inlineStr">
        <is>
          <t>P2 · SFIA 3 Apply</t>
        </is>
      </c>
      <c r="AX36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61" s="39" t="inlineStr">
        <is>
          <t>A3</t>
        </is>
      </c>
      <c r="AZ361" s="40" t="inlineStr">
        <is>
          <t>Band A · Practitioner · Senior Associate</t>
        </is>
      </c>
      <c r="BA361" s="40" t="inlineStr">
        <is>
          <t>Model A3 from the six ratings, the market-derived weights and rules R1–R13 · then No change · already below the manager</t>
        </is>
      </c>
      <c r="BB361" s="41" t="inlineStr">
        <is>
          <t>A3</t>
        </is>
      </c>
      <c r="BC361" s="40" t="inlineStr">
        <is>
          <t>The six ratings on the market-average weights of Band A · all tracks score 3.26 → A3 · Hay, Mercer IPE and public plans · experience 6.9 yrs vs the A3 market range 2–5</t>
        </is>
      </c>
      <c r="BD361" s="42">
        <f>IF(SUM(BM361,BN361,BO361,BP361,BQ361,BR361,BS361)=0,0,(BM361*BT361+BN361*BU361+BO361*BV361+BP361*BW361+BQ361*BX361+BR361*BY361+BS361*BZ361)/SUM(BM361,BN361,BO361,BP361,BQ361,BR361,BS361))</f>
        <v>0</v>
      </c>
      <c r="BE361" s="41" t="str">
        <f>IF(LEFT(AY361,1)="X",AY361,IF(OR(AY361="B+",AY361="C+"),INDEX(LAD_PC,MAX(1,MIN(14,MATCH(AY361,LAD_PC,0)+IF(BD361&gt;=0.5,1,IF(BD361&lt;=-0.5,-1,0))))),INDEX(LAD_STD,MAX(1,MIN(12,MATCH(AY361,LAD_STD,0)+IF(BD361&gt;=0.5,1,IF(BD361&lt;=-0.5,-1,0)))))))</f>
        <v>A3</v>
      </c>
      <c r="BF361" s="43" t="n"/>
      <c r="BG361" s="41" t="str">
        <f>IF(BF361&lt;&gt;"",BF361,BE361)</f>
        <v>A3</v>
      </c>
      <c r="BH361" s="40" t="str">
        <f>IFERROR(CHOOSE(INDEX(B_RANK,MATCH(BG361,B_LVL,0)),"Band A","Band B","B+ · Player-Coach","Band C","C+ · Player-Coach","Band D","Band E"),"Band X · Consultant")</f>
        <v>Band A</v>
      </c>
      <c r="BI361" s="40" t="str">
        <f>IF(BG361=AY361,"• Same",IF(INDEX(B_VAL,MATCH(BG361,B_LVL,0))&gt;INDEX(B_VAL,MATCH(AY361,B_LVL,0)),"▲ Up","▼ Down"))</f>
        <v>• Same</v>
      </c>
      <c r="BJ361" s="40" t="str">
        <f>IF(OR($M361="",$M361="—",$M361="Not in this file"),"",IFERROR(INDEX($BG$7:$BG$592,MATCH($M361,$D$7:$D$592,0)),""))</f>
        <v>B2</v>
      </c>
      <c r="BK361" s="40" t="str">
        <f>IFERROR(IF(BJ361="","—",IF(OR(LEFT(BG361,1)="X",LEFT(BJ361,1)="X"),"—",IF(AND(LEFT(BG361,1)="E",LEFT(BJ361,1)="E"),"Exception · Band E",IF(AND(INDEX(B_VAL,MATCH(BJ361,B_LVL,0))&gt;=7,INDEX(B_RANK,MATCH(BG361,B_LVL,0))&gt;=INDEX(B_RANK,MATCH(BJ361,B_LVL,0))),"⚠ Same band as a head manager",IF(INDEX(B_VAL,MATCH(BG361,B_LVL,0))&gt;=INDEX(B_VAL,MATCH(BJ361,B_LVL,0)),"⚠ At or above the manager's level","OK"))))),"—")</f>
        <v>OK</v>
      </c>
      <c r="BL361" s="43" t="n"/>
      <c r="BM361" s="44">
        <f>IFERROR(INDEX(LMH_PTS,MATCH(Y361,LMH_KEY,0)),0)</f>
        <v>9</v>
      </c>
      <c r="BN361" s="38">
        <f>IFERROR(INDEX(LMH_PTS,MATCH(Z361,LMH_KEY,0)),0)</f>
        <v>3</v>
      </c>
      <c r="BO361" s="38">
        <f>IFERROR(INDEX(LMH_PTS,MATCH(AA361,LMH_KEY,0)),0)</f>
        <v>1</v>
      </c>
      <c r="BP361" s="38">
        <f>IFERROR(INDEX(LMH_PTS,MATCH(AB361,LMH_KEY,0)),0)</f>
        <v>1</v>
      </c>
      <c r="BQ361" s="38">
        <f>IFERROR(INDEX(LMH_PTS,MATCH(AC361,LMH_KEY,0)),0)</f>
        <v>1</v>
      </c>
      <c r="BR361" s="38">
        <f>IFERROR(INDEX(LMH_PTS,MATCH(AD361,LMH_KEY,0)),0)</f>
        <v>1</v>
      </c>
      <c r="BS361" s="38">
        <f>IFERROR(INDEX(LMH_PTS,MATCH(AE361,LMH_KEY,0)),0)</f>
        <v>1</v>
      </c>
      <c r="BT361" s="38">
        <f>IFERROR(INDEX(LMH_STEP,MATCH(AF361,LMH_KEY,0)),0)</f>
        <v>0</v>
      </c>
      <c r="BU361" s="38">
        <f>IFERROR(INDEX(LMH_STEP,MATCH(AG361,LMH_KEY,0)),0)</f>
        <v>0</v>
      </c>
      <c r="BV361" s="38">
        <f>IFERROR(INDEX(LMH_STEP,MATCH(AH361,LMH_KEY,0)),0)</f>
        <v>0</v>
      </c>
      <c r="BW361" s="38">
        <f>IFERROR(INDEX(LMH_STEP,MATCH(AI361,LMH_KEY,0)),0)</f>
        <v>0</v>
      </c>
      <c r="BX361" s="38">
        <f>IFERROR(INDEX(LMH_STEP,MATCH(AJ361,LMH_KEY,0)),0)</f>
        <v>0</v>
      </c>
      <c r="BY361" s="38">
        <f>IFERROR(INDEX(LMH_STEP,MATCH(AK361,LMH_KEY,0)),0)</f>
        <v>0</v>
      </c>
      <c r="BZ361" s="38">
        <f>IFERROR(INDEX(LMH_STEP,MATCH(AL361,LMH_KEY,0)),0)</f>
        <v>0</v>
      </c>
      <c r="CA361" s="38" t="inlineStr">
        <is>
          <t>iFile|Technology|Senior Business Analyst|A3|A</t>
        </is>
      </c>
    </row>
    <row r="362" ht="110" customHeight="1">
      <c r="A362" s="28" t="inlineStr">
        <is>
          <t>iFile</t>
        </is>
      </c>
      <c r="B362" s="29" t="inlineStr">
        <is>
          <t>Technology</t>
        </is>
      </c>
      <c r="C362" s="29" t="n">
        <v>4</v>
      </c>
      <c r="D362" s="29" t="inlineStr">
        <is>
          <t>IRIS2507</t>
        </is>
      </c>
      <c r="E362" s="29" t="inlineStr">
        <is>
          <t>Tanishq Gupta</t>
        </is>
      </c>
      <c r="F362" s="29" t="inlineStr">
        <is>
          <t>Business Analyst</t>
        </is>
      </c>
      <c r="G362" s="29" t="inlineStr">
        <is>
          <t>Business Analyst</t>
        </is>
      </c>
      <c r="H362" s="29" t="inlineStr">
        <is>
          <t>Business Analysis</t>
        </is>
      </c>
      <c r="I362" s="29" t="inlineStr">
        <is>
          <t>Business Analysis</t>
        </is>
      </c>
      <c r="J362" s="29" t="inlineStr">
        <is>
          <t>IC</t>
        </is>
      </c>
      <c r="K362" s="29" t="inlineStr">
        <is>
          <t>RC-008</t>
        </is>
      </c>
      <c r="L362" s="29" t="inlineStr">
        <is>
          <t>Jailesh Bhadra</t>
        </is>
      </c>
      <c r="M362" s="29" t="inlineStr">
        <is>
          <t>IRIS2366</t>
        </is>
      </c>
      <c r="N362" s="29" t="n">
        <v>0.5</v>
      </c>
      <c r="O362" s="29" t="n">
        <v>0.5</v>
      </c>
      <c r="P362" s="29" t="inlineStr">
        <is>
          <t>MBA</t>
        </is>
      </c>
      <c r="Q362" s="29" t="inlineStr">
        <is>
          <t>L3 – Professional / Associate</t>
        </is>
      </c>
      <c r="R362" s="29" t="inlineStr">
        <is>
          <t>A2</t>
        </is>
      </c>
      <c r="S362" s="30" t="inlineStr">
        <is>
          <t>20 of 20</t>
        </is>
      </c>
      <c r="T362" s="31" t="inlineStr">
        <is>
          <t>Complexity: Evidence reads like A3: Gap analysis and discovery for a new product; BRDs, FRDs, user stories, process flows, traceability → matches the start
Autonomy: Evidence reads like A3: Decides requirement structure, story breakdown, gap recommendations; scope and priority sit with product owner → matches the start
Accountability: Evidence reads like …</t>
        </is>
      </c>
      <c r="U362" s="31" t="inlineStr">
        <is>
          <t>Received · manager annual, quarterly, self · 1. Deliver &gt;=90% of assigned BRDs/user stories approved with &lt;=1 revision cycle
2. Achieve &gt;=85% on-time delivery of BA deliverables · ramp-up allowance in Q1
3. Achieve &gt;=4/5 stakeholder satisfaction on requirement clarity
4. Complete assigned UAT support tasks within agreed timelines
5. Complete structured BA/domain …</t>
        </is>
      </c>
      <c r="V362" s="31" t="inlineStr">
        <is>
          <t>Latest rating: 3 · Potential: Medium · 9-box: Core Contributor · Readiness: Develop in role</t>
        </is>
      </c>
      <c r="W362" s="31" t="inlineStr">
        <is>
          <t>C H · Au H · Ac M · L M · BI M · Exp M · 0.5 yrs vs 0–2 yrs · Edu H · MBA</t>
        </is>
      </c>
      <c r="X362" s="33" t="inlineStr">
        <is>
          <t>Open ▸</t>
        </is>
      </c>
      <c r="Y362" s="34" t="str">
        <f>IFERROR(INDEX(DL_C,MATCH($CA362,DL_KEY,0)),"M")</f>
        <v>H</v>
      </c>
      <c r="Z362" s="35" t="str">
        <f>IFERROR(INDEX(DL_Au,MATCH($CA362,DL_KEY,0)),"M")</f>
        <v>M</v>
      </c>
      <c r="AA362" s="35" t="str">
        <f>IFERROR(INDEX(DL_Ac,MATCH($CA362,DL_KEY,0)),"M")</f>
        <v>L</v>
      </c>
      <c r="AB362" s="35" t="str">
        <f>IFERROR(INDEX(DL_L,MATCH($CA362,DL_KEY,0)),"M")</f>
        <v>L</v>
      </c>
      <c r="AC362" s="35" t="str">
        <f>IFERROR(INDEX(DL_BI,MATCH($CA362,DL_KEY,0)),"M")</f>
        <v>L</v>
      </c>
      <c r="AD362" s="35" t="str">
        <f>IFERROR(INDEX(DL_Exp,MATCH($CA362,DL_KEY,0)),"M")</f>
        <v>L</v>
      </c>
      <c r="AE362" s="35" t="str">
        <f>IFERROR(INDEX(DL_Edu,MATCH($CA362,DL_KEY,0)),"M")</f>
        <v>L</v>
      </c>
      <c r="AF362" s="34" t="inlineStr">
        <is>
          <t>M</t>
        </is>
      </c>
      <c r="AG362" s="35" t="inlineStr">
        <is>
          <t>M</t>
        </is>
      </c>
      <c r="AH362" s="35" t="inlineStr">
        <is>
          <t>M</t>
        </is>
      </c>
      <c r="AI362" s="35" t="inlineStr">
        <is>
          <t>M</t>
        </is>
      </c>
      <c r="AJ362" s="35" t="inlineStr">
        <is>
          <t>M</t>
        </is>
      </c>
      <c r="AK362" s="35" t="inlineStr">
        <is>
          <t>M</t>
        </is>
      </c>
      <c r="AL362" s="35" t="inlineStr">
        <is>
          <t>M</t>
        </is>
      </c>
      <c r="AM362" s="36" t="n">
        <v>0.583</v>
      </c>
      <c r="AN362" s="37" t="n">
        <v>0.16</v>
      </c>
      <c r="AO362" s="37" t="n">
        <v>0.09</v>
      </c>
      <c r="AP362" s="37" t="n">
        <v>0</v>
      </c>
      <c r="AQ362" s="37" t="n">
        <v>0.063</v>
      </c>
      <c r="AR362" s="37" t="n">
        <v>0.06</v>
      </c>
      <c r="AS362" s="37" t="n">
        <v>0.04</v>
      </c>
      <c r="AT362" s="38" t="inlineStr">
        <is>
          <t>0–3</t>
        </is>
      </c>
      <c r="AU362" s="38" t="inlineStr">
        <is>
          <t>Graduate · or diploma with experience</t>
        </is>
      </c>
      <c r="AV362" s="38" t="inlineStr">
        <is>
          <t>No direct reports</t>
        </is>
      </c>
      <c r="AW362" s="38" t="inlineStr">
        <is>
          <t>P1–P2 · SFIA 2 Assist</t>
        </is>
      </c>
      <c r="AX36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62" s="39" t="inlineStr">
        <is>
          <t>A2</t>
        </is>
      </c>
      <c r="AZ362" s="40" t="inlineStr">
        <is>
          <t>Band A · Practitioner · Associate</t>
        </is>
      </c>
      <c r="BA362" s="40" t="inlineStr">
        <is>
          <t>Model A2 from the six ratings, the market-derived weights and rules R1–R13 · then No change · already below the manager</t>
        </is>
      </c>
      <c r="BB362" s="41" t="inlineStr">
        <is>
          <t>A3</t>
        </is>
      </c>
      <c r="BC362" s="40" t="inlineStr">
        <is>
          <t>The six ratings on the market-average weights of Band A · all tracks score 2.77 → A3 · Hay, Mercer IPE and public plans · experience 0.5 yrs vs the A3 market range 2–5</t>
        </is>
      </c>
      <c r="BD362" s="42">
        <f>IF(SUM(BM362,BN362,BO362,BP362,BQ362,BR362,BS362)=0,0,(BM362*BT362+BN362*BU362+BO362*BV362+BP362*BW362+BQ362*BX362+BR362*BY362+BS362*BZ362)/SUM(BM362,BN362,BO362,BP362,BQ362,BR362,BS362))</f>
        <v>0</v>
      </c>
      <c r="BE362" s="41" t="str">
        <f>IF(LEFT(AY362,1)="X",AY362,IF(OR(AY362="B+",AY362="C+"),INDEX(LAD_PC,MAX(1,MIN(14,MATCH(AY362,LAD_PC,0)+IF(BD362&gt;=0.5,1,IF(BD362&lt;=-0.5,-1,0))))),INDEX(LAD_STD,MAX(1,MIN(12,MATCH(AY362,LAD_STD,0)+IF(BD362&gt;=0.5,1,IF(BD362&lt;=-0.5,-1,0)))))))</f>
        <v>A2</v>
      </c>
      <c r="BF362" s="43" t="n"/>
      <c r="BG362" s="41" t="str">
        <f>IF(BF362&lt;&gt;"",BF362,BE362)</f>
        <v>A2</v>
      </c>
      <c r="BH362" s="40" t="str">
        <f>IFERROR(CHOOSE(INDEX(B_RANK,MATCH(BG362,B_LVL,0)),"Band A","Band B","B+ · Player-Coach","Band C","C+ · Player-Coach","Band D","Band E"),"Band X · Consultant")</f>
        <v>Band A</v>
      </c>
      <c r="BI362" s="40" t="str">
        <f>IF(BG362=AY362,"• Same",IF(INDEX(B_VAL,MATCH(BG362,B_LVL,0))&gt;INDEX(B_VAL,MATCH(AY362,B_LVL,0)),"▲ Up","▼ Down"))</f>
        <v>• Same</v>
      </c>
      <c r="BJ362" s="40" t="str">
        <f>IF(OR($M362="",$M362="—",$M362="Not in this file"),"",IFERROR(INDEX($BG$7:$BG$592,MATCH($M362,$D$7:$D$592,0)),""))</f>
        <v>B2</v>
      </c>
      <c r="BK362" s="40" t="str">
        <f>IFERROR(IF(BJ362="","—",IF(OR(LEFT(BG362,1)="X",LEFT(BJ362,1)="X"),"—",IF(AND(LEFT(BG362,1)="E",LEFT(BJ362,1)="E"),"Exception · Band E",IF(AND(INDEX(B_VAL,MATCH(BJ362,B_LVL,0))&gt;=7,INDEX(B_RANK,MATCH(BG362,B_LVL,0))&gt;=INDEX(B_RANK,MATCH(BJ362,B_LVL,0))),"⚠ Same band as a head manager",IF(INDEX(B_VAL,MATCH(BG362,B_LVL,0))&gt;=INDEX(B_VAL,MATCH(BJ362,B_LVL,0)),"⚠ At or above the manager's level","OK"))))),"—")</f>
        <v>OK</v>
      </c>
      <c r="BL362" s="43" t="n"/>
      <c r="BM362" s="44">
        <f>IFERROR(INDEX(LMH_PTS,MATCH(Y362,LMH_KEY,0)),0)</f>
        <v>9</v>
      </c>
      <c r="BN362" s="38">
        <f>IFERROR(INDEX(LMH_PTS,MATCH(Z362,LMH_KEY,0)),0)</f>
        <v>3</v>
      </c>
      <c r="BO362" s="38">
        <f>IFERROR(INDEX(LMH_PTS,MATCH(AA362,LMH_KEY,0)),0)</f>
        <v>1</v>
      </c>
      <c r="BP362" s="38">
        <f>IFERROR(INDEX(LMH_PTS,MATCH(AB362,LMH_KEY,0)),0)</f>
        <v>1</v>
      </c>
      <c r="BQ362" s="38">
        <f>IFERROR(INDEX(LMH_PTS,MATCH(AC362,LMH_KEY,0)),0)</f>
        <v>1</v>
      </c>
      <c r="BR362" s="38">
        <f>IFERROR(INDEX(LMH_PTS,MATCH(AD362,LMH_KEY,0)),0)</f>
        <v>1</v>
      </c>
      <c r="BS362" s="38">
        <f>IFERROR(INDEX(LMH_PTS,MATCH(AE362,LMH_KEY,0)),0)</f>
        <v>1</v>
      </c>
      <c r="BT362" s="38">
        <f>IFERROR(INDEX(LMH_STEP,MATCH(AF362,LMH_KEY,0)),0)</f>
        <v>0</v>
      </c>
      <c r="BU362" s="38">
        <f>IFERROR(INDEX(LMH_STEP,MATCH(AG362,LMH_KEY,0)),0)</f>
        <v>0</v>
      </c>
      <c r="BV362" s="38">
        <f>IFERROR(INDEX(LMH_STEP,MATCH(AH362,LMH_KEY,0)),0)</f>
        <v>0</v>
      </c>
      <c r="BW362" s="38">
        <f>IFERROR(INDEX(LMH_STEP,MATCH(AI362,LMH_KEY,0)),0)</f>
        <v>0</v>
      </c>
      <c r="BX362" s="38">
        <f>IFERROR(INDEX(LMH_STEP,MATCH(AJ362,LMH_KEY,0)),0)</f>
        <v>0</v>
      </c>
      <c r="BY362" s="38">
        <f>IFERROR(INDEX(LMH_STEP,MATCH(AK362,LMH_KEY,0)),0)</f>
        <v>0</v>
      </c>
      <c r="BZ362" s="38">
        <f>IFERROR(INDEX(LMH_STEP,MATCH(AL362,LMH_KEY,0)),0)</f>
        <v>0</v>
      </c>
      <c r="CA362" s="38" t="inlineStr">
        <is>
          <t>iFile|Technology|Business Analyst|A2|A</t>
        </is>
      </c>
    </row>
    <row r="363" ht="110" customHeight="1">
      <c r="A363" s="28" t="inlineStr">
        <is>
          <t>iFile</t>
        </is>
      </c>
      <c r="B363" s="29" t="inlineStr">
        <is>
          <t>Technology</t>
        </is>
      </c>
      <c r="C363" s="29" t="n">
        <v>3</v>
      </c>
      <c r="D363" s="29" t="inlineStr">
        <is>
          <t>IRIS0846</t>
        </is>
      </c>
      <c r="E363" s="29" t="inlineStr">
        <is>
          <t>Nikhil Nalawade</t>
        </is>
      </c>
      <c r="F363" s="29" t="inlineStr">
        <is>
          <t>Project Manager</t>
        </is>
      </c>
      <c r="G363" s="29" t="inlineStr">
        <is>
          <t>Delivery Manager</t>
        </is>
      </c>
      <c r="H363" s="29" t="inlineStr">
        <is>
          <t>Project &amp; Program Management</t>
        </is>
      </c>
      <c r="I363" s="29" t="inlineStr">
        <is>
          <t>Project &amp; Program Delivery</t>
        </is>
      </c>
      <c r="J363" s="29" t="inlineStr">
        <is>
          <t>People Manager</t>
        </is>
      </c>
      <c r="K363" s="29" t="inlineStr">
        <is>
          <t>RC-136</t>
        </is>
      </c>
      <c r="L363" s="29" t="inlineStr">
        <is>
          <t>Pradip Dey</t>
        </is>
      </c>
      <c r="M363" s="29" t="inlineStr">
        <is>
          <t>IRISC223</t>
        </is>
      </c>
      <c r="N363" s="29" t="n">
        <v>15.1</v>
      </c>
      <c r="O363" s="29" t="n">
        <v>15.1</v>
      </c>
      <c r="P363" s="29" t="inlineStr">
        <is>
          <t>B.E</t>
        </is>
      </c>
      <c r="Q363" s="29" t="inlineStr">
        <is>
          <t>L5 – Manager</t>
        </is>
      </c>
      <c r="R363" s="29" t="inlineStr">
        <is>
          <t>B2</t>
        </is>
      </c>
      <c r="S363" s="30" t="inlineStr">
        <is>
          <t>20 of 20</t>
        </is>
      </c>
      <c r="T363" s="31" t="inlineStr">
        <is>
          <t>Complexity: Evidence reads like B2: Manages project functionally and technically; application solutioning; drafts RFI/RFP responses with pre-sales → matches the start
Autonomy: Evidence reads like B2: Decides the project plan; nothing else named → matches the start
Accountability: Evidence reads like B2: All project charter deliverables, milestone …</t>
        </is>
      </c>
      <c r="U363" s="31" t="inlineStr">
        <is>
          <t>Received · manager annual, quarterly · 1. Product Management
Provide leadership for iFile Platform product components, especially Teapot 
Gain deeper level knowedge, finalize roadmap towards along with Izhar ensuring IRIS gains significant competitive advantage through the new product components developments and integration within the platform- DynaForm, …</t>
        </is>
      </c>
      <c r="V363" s="31" t="inlineStr">
        <is>
          <t>Latest rating: 5 · Potential: High · 9-box: Future Leader · Readiness: Ready now</t>
        </is>
      </c>
      <c r="W363" s="31" t="inlineStr">
        <is>
          <t>C M · Au M · Ac M · L M · BI M · Exp H · 15.1 yrs vs 6–9 yrs · Edu M · B.E</t>
        </is>
      </c>
      <c r="X363" s="33" t="inlineStr">
        <is>
          <t>Open ▸</t>
        </is>
      </c>
      <c r="Y363" s="34" t="str">
        <f>IFERROR(INDEX(DL_C,MATCH($CA363,DL_KEY,0)),"M")</f>
        <v>H</v>
      </c>
      <c r="Z363" s="35" t="str">
        <f>IFERROR(INDEX(DL_Au,MATCH($CA363,DL_KEY,0)),"M")</f>
        <v>M</v>
      </c>
      <c r="AA363" s="35" t="str">
        <f>IFERROR(INDEX(DL_Ac,MATCH($CA363,DL_KEY,0)),"M")</f>
        <v>L</v>
      </c>
      <c r="AB363" s="35" t="str">
        <f>IFERROR(INDEX(DL_L,MATCH($CA363,DL_KEY,0)),"M")</f>
        <v>M</v>
      </c>
      <c r="AC363" s="35" t="str">
        <f>IFERROR(INDEX(DL_BI,MATCH($CA363,DL_KEY,0)),"M")</f>
        <v>L</v>
      </c>
      <c r="AD363" s="35" t="str">
        <f>IFERROR(INDEX(DL_Exp,MATCH($CA363,DL_KEY,0)),"M")</f>
        <v>L</v>
      </c>
      <c r="AE363" s="35" t="str">
        <f>IFERROR(INDEX(DL_Edu,MATCH($CA363,DL_KEY,0)),"M")</f>
        <v>L</v>
      </c>
      <c r="AF363" s="34" t="inlineStr">
        <is>
          <t>M</t>
        </is>
      </c>
      <c r="AG363" s="35" t="inlineStr">
        <is>
          <t>M</t>
        </is>
      </c>
      <c r="AH363" s="35" t="inlineStr">
        <is>
          <t>M</t>
        </is>
      </c>
      <c r="AI363" s="35" t="inlineStr">
        <is>
          <t>M</t>
        </is>
      </c>
      <c r="AJ363" s="35" t="inlineStr">
        <is>
          <t>M</t>
        </is>
      </c>
      <c r="AK363" s="35" t="inlineStr">
        <is>
          <t>M</t>
        </is>
      </c>
      <c r="AL363" s="35" t="inlineStr">
        <is>
          <t>M</t>
        </is>
      </c>
      <c r="AM363" s="36" t="n">
        <v>0.37</v>
      </c>
      <c r="AN363" s="37" t="n">
        <v>0.183</v>
      </c>
      <c r="AO363" s="37" t="n">
        <v>0.113</v>
      </c>
      <c r="AP363" s="37" t="n">
        <v>0.15</v>
      </c>
      <c r="AQ363" s="37" t="n">
        <v>0.08699999999999999</v>
      </c>
      <c r="AR363" s="37" t="n">
        <v>0.06</v>
      </c>
      <c r="AS363" s="37" t="n">
        <v>0.04</v>
      </c>
      <c r="AT363" s="38" t="inlineStr">
        <is>
          <t>6–10</t>
        </is>
      </c>
      <c r="AU363" s="38" t="inlineStr">
        <is>
          <t>Graduate or postgraduate; professional qualification preferred</t>
        </is>
      </c>
      <c r="AV363" s="38" t="inlineStr">
        <is>
          <t>IC: none · People: 6–8 knowledge work, 8–12 standardised delivery</t>
        </is>
      </c>
      <c r="AW363" s="38" t="inlineStr">
        <is>
          <t>P4 / M3 · SFIA 4–5</t>
        </is>
      </c>
      <c r="AX36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63" s="39" t="inlineStr">
        <is>
          <t>B2</t>
        </is>
      </c>
      <c r="AZ363" s="40" t="inlineStr">
        <is>
          <t>Band B · Specialist / Manager · Manager</t>
        </is>
      </c>
      <c r="BA363" s="40" t="inlineStr">
        <is>
          <t>Model B2 from the six ratings, the market-derived weights and rules R1–R13 · then No change · already below the manager</t>
        </is>
      </c>
      <c r="BB363" s="41" t="inlineStr">
        <is>
          <t>B2</t>
        </is>
      </c>
      <c r="BC363" s="40" t="inlineStr">
        <is>
          <t>The six ratings on the market-average weights of Band B · People Manager score 5.34 → B2 · Hay, Mercer IPE and public plans · experience 15.1 yrs vs the B2 market range 6–10</t>
        </is>
      </c>
      <c r="BD363" s="42">
        <f>IF(SUM(BM363,BN363,BO363,BP363,BQ363,BR363,BS363)=0,0,(BM363*BT363+BN363*BU363+BO363*BV363+BP363*BW363+BQ363*BX363+BR363*BY363+BS363*BZ363)/SUM(BM363,BN363,BO363,BP363,BQ363,BR363,BS363))</f>
        <v>0</v>
      </c>
      <c r="BE363" s="41" t="str">
        <f>IF(LEFT(AY363,1)="X",AY363,IF(OR(AY363="B+",AY363="C+"),INDEX(LAD_PC,MAX(1,MIN(14,MATCH(AY363,LAD_PC,0)+IF(BD363&gt;=0.5,1,IF(BD363&lt;=-0.5,-1,0))))),INDEX(LAD_STD,MAX(1,MIN(12,MATCH(AY363,LAD_STD,0)+IF(BD363&gt;=0.5,1,IF(BD363&lt;=-0.5,-1,0)))))))</f>
        <v>B2</v>
      </c>
      <c r="BF363" s="43" t="n"/>
      <c r="BG363" s="41" t="str">
        <f>IF(BF363&lt;&gt;"",BF363,BE363)</f>
        <v>B2</v>
      </c>
      <c r="BH363" s="40" t="str">
        <f>IFERROR(CHOOSE(INDEX(B_RANK,MATCH(BG363,B_LVL,0)),"Band A","Band B","B+ · Player-Coach","Band C","C+ · Player-Coach","Band D","Band E"),"Band X · Consultant")</f>
        <v>Band B</v>
      </c>
      <c r="BI363" s="40" t="str">
        <f>IF(BG363=AY363,"• Same",IF(INDEX(B_VAL,MATCH(BG363,B_LVL,0))&gt;INDEX(B_VAL,MATCH(AY363,B_LVL,0)),"▲ Up","▼ Down"))</f>
        <v>• Same</v>
      </c>
      <c r="BJ363" s="40" t="str">
        <f>IF(OR($M363="",$M363="—",$M363="Not in this file"),"",IFERROR(INDEX($BG$7:$BG$592,MATCH($M363,$D$7:$D$592,0)),""))</f>
        <v>C2</v>
      </c>
      <c r="BK363" s="40" t="str">
        <f>IFERROR(IF(BJ363="","—",IF(OR(LEFT(BG363,1)="X",LEFT(BJ363,1)="X"),"—",IF(AND(LEFT(BG363,1)="E",LEFT(BJ363,1)="E"),"Exception · Band E",IF(AND(INDEX(B_VAL,MATCH(BJ363,B_LVL,0))&gt;=7,INDEX(B_RANK,MATCH(BG363,B_LVL,0))&gt;=INDEX(B_RANK,MATCH(BJ363,B_LVL,0))),"⚠ Same band as a head manager",IF(INDEX(B_VAL,MATCH(BG363,B_LVL,0))&gt;=INDEX(B_VAL,MATCH(BJ363,B_LVL,0)),"⚠ At or above the manager's level","OK"))))),"—")</f>
        <v>OK</v>
      </c>
      <c r="BL363" s="43" t="n"/>
      <c r="BM363" s="44">
        <f>IFERROR(INDEX(LMH_PTS,MATCH(Y363,LMH_KEY,0)),0)</f>
        <v>9</v>
      </c>
      <c r="BN363" s="38">
        <f>IFERROR(INDEX(LMH_PTS,MATCH(Z363,LMH_KEY,0)),0)</f>
        <v>3</v>
      </c>
      <c r="BO363" s="38">
        <f>IFERROR(INDEX(LMH_PTS,MATCH(AA363,LMH_KEY,0)),0)</f>
        <v>1</v>
      </c>
      <c r="BP363" s="38">
        <f>IFERROR(INDEX(LMH_PTS,MATCH(AB363,LMH_KEY,0)),0)</f>
        <v>3</v>
      </c>
      <c r="BQ363" s="38">
        <f>IFERROR(INDEX(LMH_PTS,MATCH(AC363,LMH_KEY,0)),0)</f>
        <v>1</v>
      </c>
      <c r="BR363" s="38">
        <f>IFERROR(INDEX(LMH_PTS,MATCH(AD363,LMH_KEY,0)),0)</f>
        <v>1</v>
      </c>
      <c r="BS363" s="38">
        <f>IFERROR(INDEX(LMH_PTS,MATCH(AE363,LMH_KEY,0)),0)</f>
        <v>1</v>
      </c>
      <c r="BT363" s="38">
        <f>IFERROR(INDEX(LMH_STEP,MATCH(AF363,LMH_KEY,0)),0)</f>
        <v>0</v>
      </c>
      <c r="BU363" s="38">
        <f>IFERROR(INDEX(LMH_STEP,MATCH(AG363,LMH_KEY,0)),0)</f>
        <v>0</v>
      </c>
      <c r="BV363" s="38">
        <f>IFERROR(INDEX(LMH_STEP,MATCH(AH363,LMH_KEY,0)),0)</f>
        <v>0</v>
      </c>
      <c r="BW363" s="38">
        <f>IFERROR(INDEX(LMH_STEP,MATCH(AI363,LMH_KEY,0)),0)</f>
        <v>0</v>
      </c>
      <c r="BX363" s="38">
        <f>IFERROR(INDEX(LMH_STEP,MATCH(AJ363,LMH_KEY,0)),0)</f>
        <v>0</v>
      </c>
      <c r="BY363" s="38">
        <f>IFERROR(INDEX(LMH_STEP,MATCH(AK363,LMH_KEY,0)),0)</f>
        <v>0</v>
      </c>
      <c r="BZ363" s="38">
        <f>IFERROR(INDEX(LMH_STEP,MATCH(AL363,LMH_KEY,0)),0)</f>
        <v>0</v>
      </c>
      <c r="CA363" s="38" t="inlineStr">
        <is>
          <t>iFile|Technology|Delivery Manager|B2|B-M</t>
        </is>
      </c>
    </row>
    <row r="364" ht="110" customHeight="1">
      <c r="A364" s="28" t="inlineStr">
        <is>
          <t>iFile</t>
        </is>
      </c>
      <c r="B364" s="29" t="inlineStr">
        <is>
          <t>Technology</t>
        </is>
      </c>
      <c r="C364" s="29" t="n">
        <v>4</v>
      </c>
      <c r="D364" s="29" t="inlineStr">
        <is>
          <t>IRIS2318</t>
        </is>
      </c>
      <c r="E364" s="29" t="inlineStr">
        <is>
          <t>Prathmesh Ramdas Sutar</t>
        </is>
      </c>
      <c r="F364" s="29" t="inlineStr">
        <is>
          <t>Lead Software Engineer</t>
        </is>
      </c>
      <c r="G364" s="29" t="inlineStr">
        <is>
          <t>Lead Software Engineer</t>
        </is>
      </c>
      <c r="H364" s="29" t="inlineStr">
        <is>
          <t>Engineering &amp; Development</t>
        </is>
      </c>
      <c r="I364" s="29" t="inlineStr">
        <is>
          <t>Backend Development</t>
        </is>
      </c>
      <c r="J364" s="29" t="inlineStr">
        <is>
          <t>IC</t>
        </is>
      </c>
      <c r="K364" s="29" t="inlineStr">
        <is>
          <t>RC-071</t>
        </is>
      </c>
      <c r="L364" s="29" t="inlineStr">
        <is>
          <t>Nikhil Nalawade</t>
        </is>
      </c>
      <c r="M364" s="29" t="inlineStr">
        <is>
          <t>IRIS0846</t>
        </is>
      </c>
      <c r="N364" s="29" t="n">
        <v>13.2</v>
      </c>
      <c r="O364" s="29" t="n">
        <v>1.9</v>
      </c>
      <c r="P364" s="29" t="inlineStr">
        <is>
          <t>B.E</t>
        </is>
      </c>
      <c r="Q364" s="29" t="inlineStr">
        <is>
          <t>L5 – Lead · IC</t>
        </is>
      </c>
      <c r="R364" s="29" t="inlineStr">
        <is>
          <t>B3</t>
        </is>
      </c>
      <c r="S364" s="30" t="inlineStr">
        <is>
          <t>18 of 20</t>
        </is>
      </c>
      <c r="T364" s="31" t="inlineStr">
        <is>
          <t>Complexity: Evidence reads like A3: Leads module development across requirements, coding, testing, deployment and production support; little detail → moved down 0.5
Autonomy: Evidence reads like A3: Decides code implementation only → moved down 0.5
Accountability: Evidence reads like A3: Quality and timelines of the module being developed → moved down …</t>
        </is>
      </c>
      <c r="U364" s="31" t="inlineStr">
        <is>
          <t>Received · manager annual, quarterly, self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364" s="31" t="inlineStr">
        <is>
          <t>Latest rating: 4 · Potential: Medium · 9-box: Trusted Professional · Readiness: Ready in 6–12 months</t>
        </is>
      </c>
      <c r="W364" s="31" t="inlineStr">
        <is>
          <t>C H · Au H · Ac H · L M · BI H · Exp H · 13.2 yrs vs 4–7 yrs · Edu M · B.E</t>
        </is>
      </c>
      <c r="X364" s="33" t="inlineStr">
        <is>
          <t>Open ▸</t>
        </is>
      </c>
      <c r="Y364" s="34" t="str">
        <f>IFERROR(INDEX(DL_C,MATCH($CA364,DL_KEY,0)),"M")</f>
        <v>H</v>
      </c>
      <c r="Z364" s="35" t="str">
        <f>IFERROR(INDEX(DL_Au,MATCH($CA364,DL_KEY,0)),"M")</f>
        <v>M</v>
      </c>
      <c r="AA364" s="35" t="str">
        <f>IFERROR(INDEX(DL_Ac,MATCH($CA364,DL_KEY,0)),"M")</f>
        <v>L</v>
      </c>
      <c r="AB364" s="35" t="str">
        <f>IFERROR(INDEX(DL_L,MATCH($CA364,DL_KEY,0)),"M")</f>
        <v>L</v>
      </c>
      <c r="AC364" s="35" t="str">
        <f>IFERROR(INDEX(DL_BI,MATCH($CA364,DL_KEY,0)),"M")</f>
        <v>L</v>
      </c>
      <c r="AD364" s="35" t="str">
        <f>IFERROR(INDEX(DL_Exp,MATCH($CA364,DL_KEY,0)),"M")</f>
        <v>L</v>
      </c>
      <c r="AE364" s="35" t="str">
        <f>IFERROR(INDEX(DL_Edu,MATCH($CA364,DL_KEY,0)),"M")</f>
        <v>L</v>
      </c>
      <c r="AF364" s="34" t="inlineStr">
        <is>
          <t>M</t>
        </is>
      </c>
      <c r="AG364" s="35" t="inlineStr">
        <is>
          <t>M</t>
        </is>
      </c>
      <c r="AH364" s="35" t="inlineStr">
        <is>
          <t>M</t>
        </is>
      </c>
      <c r="AI364" s="35" t="inlineStr">
        <is>
          <t>M</t>
        </is>
      </c>
      <c r="AJ364" s="35" t="inlineStr">
        <is>
          <t>M</t>
        </is>
      </c>
      <c r="AK364" s="35" t="inlineStr">
        <is>
          <t>M</t>
        </is>
      </c>
      <c r="AL364" s="35" t="inlineStr">
        <is>
          <t>M</t>
        </is>
      </c>
      <c r="AM364" s="36" t="n">
        <v>0.513</v>
      </c>
      <c r="AN364" s="37" t="n">
        <v>0.173</v>
      </c>
      <c r="AO364" s="37" t="n">
        <v>0.09699999999999999</v>
      </c>
      <c r="AP364" s="37" t="n">
        <v>0.05</v>
      </c>
      <c r="AQ364" s="37" t="n">
        <v>0.07000000000000001</v>
      </c>
      <c r="AR364" s="37" t="n">
        <v>0.06</v>
      </c>
      <c r="AS364" s="37" t="n">
        <v>0.04</v>
      </c>
      <c r="AT364" s="38" t="inlineStr">
        <is>
          <t>4–8</t>
        </is>
      </c>
      <c r="AU364" s="38" t="inlineStr">
        <is>
          <t>Graduate + relevant qualification or certification preferred</t>
        </is>
      </c>
      <c r="AV364" s="38" t="inlineStr">
        <is>
          <t>IC: none · Team Lead: 3–5</t>
        </is>
      </c>
      <c r="AW364" s="38" t="inlineStr">
        <is>
          <t>P3 / M2 · SFIA 4 Enable</t>
        </is>
      </c>
      <c r="AX36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64" s="39" t="inlineStr">
        <is>
          <t>B1</t>
        </is>
      </c>
      <c r="AZ364" s="40" t="inlineStr">
        <is>
          <t>Band B · Specialist / Manager · Specialist</t>
        </is>
      </c>
      <c r="BA364" s="40" t="inlineStr">
        <is>
          <t>Model B3 from the six ratings, the market-derived weights and rules R1–R13 · then Level rule: manager B2; a reportee sits at least one level below · B3 → B1 · move down · pay and title protected for one cycle</t>
        </is>
      </c>
      <c r="BB364" s="41" t="inlineStr">
        <is>
          <t>B3</t>
        </is>
      </c>
      <c r="BC364" s="40" t="inlineStr">
        <is>
          <t>The six ratings on the market-average weights of Band B · Specialist / POD Lead score 5.72 → B3 · Hay, Mercer IPE and public plans · experience 13.2 yrs vs the B3 market range 8–13</t>
        </is>
      </c>
      <c r="BD364" s="42">
        <f>IF(SUM(BM364,BN364,BO364,BP364,BQ364,BR364,BS364)=0,0,(BM364*BT364+BN364*BU364+BO364*BV364+BP364*BW364+BQ364*BX364+BR364*BY364+BS364*BZ364)/SUM(BM364,BN364,BO364,BP364,BQ364,BR364,BS364))</f>
        <v>0</v>
      </c>
      <c r="BE364" s="41" t="str">
        <f>IF(LEFT(AY364,1)="X",AY364,IF(OR(AY364="B+",AY364="C+"),INDEX(LAD_PC,MAX(1,MIN(14,MATCH(AY364,LAD_PC,0)+IF(BD364&gt;=0.5,1,IF(BD364&lt;=-0.5,-1,0))))),INDEX(LAD_STD,MAX(1,MIN(12,MATCH(AY364,LAD_STD,0)+IF(BD364&gt;=0.5,1,IF(BD364&lt;=-0.5,-1,0)))))))</f>
        <v>B1</v>
      </c>
      <c r="BF364" s="43" t="n"/>
      <c r="BG364" s="41" t="str">
        <f>IF(BF364&lt;&gt;"",BF364,BE364)</f>
        <v>B1</v>
      </c>
      <c r="BH364" s="40" t="str">
        <f>IFERROR(CHOOSE(INDEX(B_RANK,MATCH(BG364,B_LVL,0)),"Band A","Band B","B+ · Player-Coach","Band C","C+ · Player-Coach","Band D","Band E"),"Band X · Consultant")</f>
        <v>Band B</v>
      </c>
      <c r="BI364" s="40" t="str">
        <f>IF(BG364=AY364,"• Same",IF(INDEX(B_VAL,MATCH(BG364,B_LVL,0))&gt;INDEX(B_VAL,MATCH(AY364,B_LVL,0)),"▲ Up","▼ Down"))</f>
        <v>• Same</v>
      </c>
      <c r="BJ364" s="40" t="str">
        <f>IF(OR($M364="",$M364="—",$M364="Not in this file"),"",IFERROR(INDEX($BG$7:$BG$592,MATCH($M364,$D$7:$D$592,0)),""))</f>
        <v>B2</v>
      </c>
      <c r="BK364" s="40" t="str">
        <f>IFERROR(IF(BJ364="","—",IF(OR(LEFT(BG364,1)="X",LEFT(BJ364,1)="X"),"—",IF(AND(LEFT(BG364,1)="E",LEFT(BJ364,1)="E"),"Exception · Band E",IF(AND(INDEX(B_VAL,MATCH(BJ364,B_LVL,0))&gt;=7,INDEX(B_RANK,MATCH(BG364,B_LVL,0))&gt;=INDEX(B_RANK,MATCH(BJ364,B_LVL,0))),"⚠ Same band as a head manager",IF(INDEX(B_VAL,MATCH(BG364,B_LVL,0))&gt;=INDEX(B_VAL,MATCH(BJ364,B_LVL,0)),"⚠ At or above the manager's level","OK"))))),"—")</f>
        <v>OK</v>
      </c>
      <c r="BL364" s="43" t="n"/>
      <c r="BM364" s="44">
        <f>IFERROR(INDEX(LMH_PTS,MATCH(Y364,LMH_KEY,0)),0)</f>
        <v>9</v>
      </c>
      <c r="BN364" s="38">
        <f>IFERROR(INDEX(LMH_PTS,MATCH(Z364,LMH_KEY,0)),0)</f>
        <v>3</v>
      </c>
      <c r="BO364" s="38">
        <f>IFERROR(INDEX(LMH_PTS,MATCH(AA364,LMH_KEY,0)),0)</f>
        <v>1</v>
      </c>
      <c r="BP364" s="38">
        <f>IFERROR(INDEX(LMH_PTS,MATCH(AB364,LMH_KEY,0)),0)</f>
        <v>1</v>
      </c>
      <c r="BQ364" s="38">
        <f>IFERROR(INDEX(LMH_PTS,MATCH(AC364,LMH_KEY,0)),0)</f>
        <v>1</v>
      </c>
      <c r="BR364" s="38">
        <f>IFERROR(INDEX(LMH_PTS,MATCH(AD364,LMH_KEY,0)),0)</f>
        <v>1</v>
      </c>
      <c r="BS364" s="38">
        <f>IFERROR(INDEX(LMH_PTS,MATCH(AE364,LMH_KEY,0)),0)</f>
        <v>1</v>
      </c>
      <c r="BT364" s="38">
        <f>IFERROR(INDEX(LMH_STEP,MATCH(AF364,LMH_KEY,0)),0)</f>
        <v>0</v>
      </c>
      <c r="BU364" s="38">
        <f>IFERROR(INDEX(LMH_STEP,MATCH(AG364,LMH_KEY,0)),0)</f>
        <v>0</v>
      </c>
      <c r="BV364" s="38">
        <f>IFERROR(INDEX(LMH_STEP,MATCH(AH364,LMH_KEY,0)),0)</f>
        <v>0</v>
      </c>
      <c r="BW364" s="38">
        <f>IFERROR(INDEX(LMH_STEP,MATCH(AI364,LMH_KEY,0)),0)</f>
        <v>0</v>
      </c>
      <c r="BX364" s="38">
        <f>IFERROR(INDEX(LMH_STEP,MATCH(AJ364,LMH_KEY,0)),0)</f>
        <v>0</v>
      </c>
      <c r="BY364" s="38">
        <f>IFERROR(INDEX(LMH_STEP,MATCH(AK364,LMH_KEY,0)),0)</f>
        <v>0</v>
      </c>
      <c r="BZ364" s="38">
        <f>IFERROR(INDEX(LMH_STEP,MATCH(AL364,LMH_KEY,0)),0)</f>
        <v>0</v>
      </c>
      <c r="CA364" s="38" t="inlineStr">
        <is>
          <t>iFile|Technology|Lead Software Engineer|B1|B-IC</t>
        </is>
      </c>
    </row>
    <row r="365" ht="110" customHeight="1">
      <c r="A365" s="28" t="inlineStr">
        <is>
          <t>iFile</t>
        </is>
      </c>
      <c r="B365" s="29" t="inlineStr">
        <is>
          <t>Technology</t>
        </is>
      </c>
      <c r="C365" s="29" t="n">
        <v>4</v>
      </c>
      <c r="D365" s="29" t="inlineStr">
        <is>
          <t>IRIS2140</t>
        </is>
      </c>
      <c r="E365" s="29" t="inlineStr">
        <is>
          <t>Aaqib Ahmad</t>
        </is>
      </c>
      <c r="F365" s="29" t="inlineStr">
        <is>
          <t>Software Engineer</t>
        </is>
      </c>
      <c r="G365" s="29" t="inlineStr">
        <is>
          <t>Senior Software Engineer</t>
        </is>
      </c>
      <c r="H365" s="29" t="inlineStr">
        <is>
          <t>Engineering &amp; Development</t>
        </is>
      </c>
      <c r="I365" s="29" t="inlineStr">
        <is>
          <t>Backend Development</t>
        </is>
      </c>
      <c r="J365" s="29" t="inlineStr">
        <is>
          <t>IC</t>
        </is>
      </c>
      <c r="K365" s="29" t="inlineStr">
        <is>
          <t>RC-067</t>
        </is>
      </c>
      <c r="L365" s="29" t="inlineStr">
        <is>
          <t>Nikhil Nalawade</t>
        </is>
      </c>
      <c r="M365" s="29" t="inlineStr">
        <is>
          <t>IRIS0846</t>
        </is>
      </c>
      <c r="N365" s="29" t="n">
        <v>10.3</v>
      </c>
      <c r="O365" s="29" t="n">
        <v>3.3</v>
      </c>
      <c r="P365" s="29" t="inlineStr">
        <is>
          <t>MSc</t>
        </is>
      </c>
      <c r="Q365" s="29" t="inlineStr">
        <is>
          <t>L3 – Professional / Associate</t>
        </is>
      </c>
      <c r="R365" s="29" t="inlineStr">
        <is>
          <t>A3</t>
        </is>
      </c>
      <c r="S365" s="30" t="inlineStr">
        <is>
          <t>20 of 20</t>
        </is>
      </c>
      <c r="T365" s="31" t="inlineStr">
        <is>
          <t>Complexity: Evidence reads like A3: PFRDA master data, SQL from SRS, log monitoring; handles inconsistent source data and FK dependencies → moved up 0.5
Autonomy: Evidence reads like A3: Decides technical implementation and DB changes; judges flagging versus fixing source data → moved up 0.5
Accountability: Evidence reads like A3: Master data integrity; bad …</t>
        </is>
      </c>
      <c r="U365" s="31" t="inlineStr">
        <is>
          <t>Received · manager annual, quarterly, self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365" s="31" t="inlineStr">
        <is>
          <t>Latest rating: 4 · Potential: Medium · 9-box: Emerging Talent · Readiness: Ready now</t>
        </is>
      </c>
      <c r="W365" s="31" t="inlineStr">
        <is>
          <t>C M · Au M · Ac M · L L · BI M · Exp H · 10.3 yrs vs 2–4 yrs · Edu H · MSc</t>
        </is>
      </c>
      <c r="X365" s="33" t="inlineStr">
        <is>
          <t>Open ▸</t>
        </is>
      </c>
      <c r="Y365" s="34" t="str">
        <f>IFERROR(INDEX(DL_C,MATCH($CA365,DL_KEY,0)),"M")</f>
        <v>H</v>
      </c>
      <c r="Z365" s="35" t="str">
        <f>IFERROR(INDEX(DL_Au,MATCH($CA365,DL_KEY,0)),"M")</f>
        <v>M</v>
      </c>
      <c r="AA365" s="35" t="str">
        <f>IFERROR(INDEX(DL_Ac,MATCH($CA365,DL_KEY,0)),"M")</f>
        <v>L</v>
      </c>
      <c r="AB365" s="35" t="str">
        <f>IFERROR(INDEX(DL_L,MATCH($CA365,DL_KEY,0)),"M")</f>
        <v>L</v>
      </c>
      <c r="AC365" s="35" t="str">
        <f>IFERROR(INDEX(DL_BI,MATCH($CA365,DL_KEY,0)),"M")</f>
        <v>L</v>
      </c>
      <c r="AD365" s="35" t="str">
        <f>IFERROR(INDEX(DL_Exp,MATCH($CA365,DL_KEY,0)),"M")</f>
        <v>L</v>
      </c>
      <c r="AE365" s="35" t="str">
        <f>IFERROR(INDEX(DL_Edu,MATCH($CA365,DL_KEY,0)),"M")</f>
        <v>L</v>
      </c>
      <c r="AF365" s="34" t="inlineStr">
        <is>
          <t>M</t>
        </is>
      </c>
      <c r="AG365" s="35" t="inlineStr">
        <is>
          <t>M</t>
        </is>
      </c>
      <c r="AH365" s="35" t="inlineStr">
        <is>
          <t>M</t>
        </is>
      </c>
      <c r="AI365" s="35" t="inlineStr">
        <is>
          <t>M</t>
        </is>
      </c>
      <c r="AJ365" s="35" t="inlineStr">
        <is>
          <t>M</t>
        </is>
      </c>
      <c r="AK365" s="35" t="inlineStr">
        <is>
          <t>M</t>
        </is>
      </c>
      <c r="AL365" s="35" t="inlineStr">
        <is>
          <t>M</t>
        </is>
      </c>
      <c r="AM365" s="36" t="n">
        <v>0.583</v>
      </c>
      <c r="AN365" s="37" t="n">
        <v>0.16</v>
      </c>
      <c r="AO365" s="37" t="n">
        <v>0.09</v>
      </c>
      <c r="AP365" s="37" t="n">
        <v>0</v>
      </c>
      <c r="AQ365" s="37" t="n">
        <v>0.063</v>
      </c>
      <c r="AR365" s="37" t="n">
        <v>0.06</v>
      </c>
      <c r="AS365" s="37" t="n">
        <v>0.04</v>
      </c>
      <c r="AT365" s="38" t="inlineStr">
        <is>
          <t>2–5</t>
        </is>
      </c>
      <c r="AU365" s="38" t="inlineStr">
        <is>
          <t>Graduate; relevant certification preferred</t>
        </is>
      </c>
      <c r="AV365" s="38" t="inlineStr">
        <is>
          <t>None · guides 1–3 juniors informally</t>
        </is>
      </c>
      <c r="AW365" s="38" t="inlineStr">
        <is>
          <t>P2 · SFIA 3 Apply</t>
        </is>
      </c>
      <c r="AX36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65" s="39" t="inlineStr">
        <is>
          <t>A3</t>
        </is>
      </c>
      <c r="AZ365" s="40" t="inlineStr">
        <is>
          <t>Band A · Practitioner · Senior Associate</t>
        </is>
      </c>
      <c r="BA365" s="40" t="inlineStr">
        <is>
          <t>Model A3 from the six ratings, the market-derived weights and rules R1–R13 · then No change · already below the manager</t>
        </is>
      </c>
      <c r="BB365" s="41" t="inlineStr">
        <is>
          <t>A3</t>
        </is>
      </c>
      <c r="BC365" s="40" t="inlineStr">
        <is>
          <t>The six ratings on the market-average weights of Band A · all tracks score 2.93 → A3 · Hay, Mercer IPE and public plans · experience 10.3 yrs vs the A3 market range 2–5</t>
        </is>
      </c>
      <c r="BD365" s="42">
        <f>IF(SUM(BM365,BN365,BO365,BP365,BQ365,BR365,BS365)=0,0,(BM365*BT365+BN365*BU365+BO365*BV365+BP365*BW365+BQ365*BX365+BR365*BY365+BS365*BZ365)/SUM(BM365,BN365,BO365,BP365,BQ365,BR365,BS365))</f>
        <v>0</v>
      </c>
      <c r="BE365" s="41" t="str">
        <f>IF(LEFT(AY365,1)="X",AY365,IF(OR(AY365="B+",AY365="C+"),INDEX(LAD_PC,MAX(1,MIN(14,MATCH(AY365,LAD_PC,0)+IF(BD365&gt;=0.5,1,IF(BD365&lt;=-0.5,-1,0))))),INDEX(LAD_STD,MAX(1,MIN(12,MATCH(AY365,LAD_STD,0)+IF(BD365&gt;=0.5,1,IF(BD365&lt;=-0.5,-1,0)))))))</f>
        <v>A3</v>
      </c>
      <c r="BF365" s="43" t="n"/>
      <c r="BG365" s="41" t="str">
        <f>IF(BF365&lt;&gt;"",BF365,BE365)</f>
        <v>A3</v>
      </c>
      <c r="BH365" s="40" t="str">
        <f>IFERROR(CHOOSE(INDEX(B_RANK,MATCH(BG365,B_LVL,0)),"Band A","Band B","B+ · Player-Coach","Band C","C+ · Player-Coach","Band D","Band E"),"Band X · Consultant")</f>
        <v>Band A</v>
      </c>
      <c r="BI365" s="40" t="str">
        <f>IF(BG365=AY365,"• Same",IF(INDEX(B_VAL,MATCH(BG365,B_LVL,0))&gt;INDEX(B_VAL,MATCH(AY365,B_LVL,0)),"▲ Up","▼ Down"))</f>
        <v>• Same</v>
      </c>
      <c r="BJ365" s="40" t="str">
        <f>IF(OR($M365="",$M365="—",$M365="Not in this file"),"",IFERROR(INDEX($BG$7:$BG$592,MATCH($M365,$D$7:$D$592,0)),""))</f>
        <v>B2</v>
      </c>
      <c r="BK365" s="40" t="str">
        <f>IFERROR(IF(BJ365="","—",IF(OR(LEFT(BG365,1)="X",LEFT(BJ365,1)="X"),"—",IF(AND(LEFT(BG365,1)="E",LEFT(BJ365,1)="E"),"Exception · Band E",IF(AND(INDEX(B_VAL,MATCH(BJ365,B_LVL,0))&gt;=7,INDEX(B_RANK,MATCH(BG365,B_LVL,0))&gt;=INDEX(B_RANK,MATCH(BJ365,B_LVL,0))),"⚠ Same band as a head manager",IF(INDEX(B_VAL,MATCH(BG365,B_LVL,0))&gt;=INDEX(B_VAL,MATCH(BJ365,B_LVL,0)),"⚠ At or above the manager's level","OK"))))),"—")</f>
        <v>OK</v>
      </c>
      <c r="BL365" s="43" t="n"/>
      <c r="BM365" s="44">
        <f>IFERROR(INDEX(LMH_PTS,MATCH(Y365,LMH_KEY,0)),0)</f>
        <v>9</v>
      </c>
      <c r="BN365" s="38">
        <f>IFERROR(INDEX(LMH_PTS,MATCH(Z365,LMH_KEY,0)),0)</f>
        <v>3</v>
      </c>
      <c r="BO365" s="38">
        <f>IFERROR(INDEX(LMH_PTS,MATCH(AA365,LMH_KEY,0)),0)</f>
        <v>1</v>
      </c>
      <c r="BP365" s="38">
        <f>IFERROR(INDEX(LMH_PTS,MATCH(AB365,LMH_KEY,0)),0)</f>
        <v>1</v>
      </c>
      <c r="BQ365" s="38">
        <f>IFERROR(INDEX(LMH_PTS,MATCH(AC365,LMH_KEY,0)),0)</f>
        <v>1</v>
      </c>
      <c r="BR365" s="38">
        <f>IFERROR(INDEX(LMH_PTS,MATCH(AD365,LMH_KEY,0)),0)</f>
        <v>1</v>
      </c>
      <c r="BS365" s="38">
        <f>IFERROR(INDEX(LMH_PTS,MATCH(AE365,LMH_KEY,0)),0)</f>
        <v>1</v>
      </c>
      <c r="BT365" s="38">
        <f>IFERROR(INDEX(LMH_STEP,MATCH(AF365,LMH_KEY,0)),0)</f>
        <v>0</v>
      </c>
      <c r="BU365" s="38">
        <f>IFERROR(INDEX(LMH_STEP,MATCH(AG365,LMH_KEY,0)),0)</f>
        <v>0</v>
      </c>
      <c r="BV365" s="38">
        <f>IFERROR(INDEX(LMH_STEP,MATCH(AH365,LMH_KEY,0)),0)</f>
        <v>0</v>
      </c>
      <c r="BW365" s="38">
        <f>IFERROR(INDEX(LMH_STEP,MATCH(AI365,LMH_KEY,0)),0)</f>
        <v>0</v>
      </c>
      <c r="BX365" s="38">
        <f>IFERROR(INDEX(LMH_STEP,MATCH(AJ365,LMH_KEY,0)),0)</f>
        <v>0</v>
      </c>
      <c r="BY365" s="38">
        <f>IFERROR(INDEX(LMH_STEP,MATCH(AK365,LMH_KEY,0)),0)</f>
        <v>0</v>
      </c>
      <c r="BZ365" s="38">
        <f>IFERROR(INDEX(LMH_STEP,MATCH(AL365,LMH_KEY,0)),0)</f>
        <v>0</v>
      </c>
      <c r="CA365" s="38" t="inlineStr">
        <is>
          <t>iFile|Technology|Senior Software Engineer|A3|A</t>
        </is>
      </c>
    </row>
    <row r="366" ht="110" customHeight="1">
      <c r="A366" s="28" t="inlineStr">
        <is>
          <t>iFile</t>
        </is>
      </c>
      <c r="B366" s="29" t="inlineStr">
        <is>
          <t>Technology</t>
        </is>
      </c>
      <c r="C366" s="29" t="n">
        <v>4</v>
      </c>
      <c r="D366" s="29" t="inlineStr">
        <is>
          <t>IRIS2488</t>
        </is>
      </c>
      <c r="E366" s="29" t="inlineStr">
        <is>
          <t>Ajay Chauhan</t>
        </is>
      </c>
      <c r="F366" s="29" t="inlineStr">
        <is>
          <t>Software Engineer</t>
        </is>
      </c>
      <c r="G366" s="29" t="inlineStr">
        <is>
          <t>Senior Software Engineer</t>
        </is>
      </c>
      <c r="H366" s="29" t="inlineStr">
        <is>
          <t>Engineering &amp; Development</t>
        </is>
      </c>
      <c r="I366" s="29" t="inlineStr">
        <is>
          <t>Backend Development</t>
        </is>
      </c>
      <c r="J366" s="29" t="inlineStr">
        <is>
          <t>IC</t>
        </is>
      </c>
      <c r="K366" s="29" t="inlineStr">
        <is>
          <t>RC-067</t>
        </is>
      </c>
      <c r="L366" s="29" t="inlineStr">
        <is>
          <t>Nikhil Nalawade</t>
        </is>
      </c>
      <c r="M366" s="29" t="inlineStr">
        <is>
          <t>IRIS0846</t>
        </is>
      </c>
      <c r="N366" s="29" t="n">
        <v>4.7</v>
      </c>
      <c r="O366" s="29" t="n">
        <v>0.6</v>
      </c>
      <c r="P366" s="29" t="inlineStr">
        <is>
          <t>Post Graduation/ B.E</t>
        </is>
      </c>
      <c r="Q366" s="29" t="inlineStr">
        <is>
          <t>L3 – Professional / Associate</t>
        </is>
      </c>
      <c r="R366" s="29" t="inlineStr">
        <is>
          <t>A3</t>
        </is>
      </c>
      <c r="S366" s="30" t="inlineStr">
        <is>
          <t>20 of 20</t>
        </is>
      </c>
      <c r="T366" s="31" t="inlineStr">
        <is>
          <t>Complexity: Evidence reads like A2: Implements features, tests edge cases, review, production support; no specifics → matches the start
Autonomy: Evidence reads like A2: Only 'code fix' given as independent decision → matches the start
Accountability: Evidence reads like A2: Names only 'optimization'; errors cause delays → matches the start
Leadership: …</t>
        </is>
      </c>
      <c r="U366" s="31" t="inlineStr">
        <is>
          <t>Received · manager annual, quarterly, self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366" s="31" t="inlineStr">
        <is>
          <t>Latest rating: 2 · Potential: Low · 9-box: Reliable Specialist · Readiness: Performance first</t>
        </is>
      </c>
      <c r="W366" s="31" t="inlineStr">
        <is>
          <t>C L · Au L · Ac L · L L · BI L · Exp H · 4.7 yrs vs 2–4 yrs · Edu H · Post Graduation/ B.E</t>
        </is>
      </c>
      <c r="X366" s="33" t="inlineStr">
        <is>
          <t>Open ▸</t>
        </is>
      </c>
      <c r="Y366" s="34" t="str">
        <f>IFERROR(INDEX(DL_C,MATCH($CA366,DL_KEY,0)),"M")</f>
        <v>H</v>
      </c>
      <c r="Z366" s="35" t="str">
        <f>IFERROR(INDEX(DL_Au,MATCH($CA366,DL_KEY,0)),"M")</f>
        <v>M</v>
      </c>
      <c r="AA366" s="35" t="str">
        <f>IFERROR(INDEX(DL_Ac,MATCH($CA366,DL_KEY,0)),"M")</f>
        <v>L</v>
      </c>
      <c r="AB366" s="35" t="str">
        <f>IFERROR(INDEX(DL_L,MATCH($CA366,DL_KEY,0)),"M")</f>
        <v>L</v>
      </c>
      <c r="AC366" s="35" t="str">
        <f>IFERROR(INDEX(DL_BI,MATCH($CA366,DL_KEY,0)),"M")</f>
        <v>L</v>
      </c>
      <c r="AD366" s="35" t="str">
        <f>IFERROR(INDEX(DL_Exp,MATCH($CA366,DL_KEY,0)),"M")</f>
        <v>L</v>
      </c>
      <c r="AE366" s="35" t="str">
        <f>IFERROR(INDEX(DL_Edu,MATCH($CA366,DL_KEY,0)),"M")</f>
        <v>L</v>
      </c>
      <c r="AF366" s="34" t="inlineStr">
        <is>
          <t>M</t>
        </is>
      </c>
      <c r="AG366" s="35" t="inlineStr">
        <is>
          <t>M</t>
        </is>
      </c>
      <c r="AH366" s="35" t="inlineStr">
        <is>
          <t>M</t>
        </is>
      </c>
      <c r="AI366" s="35" t="inlineStr">
        <is>
          <t>M</t>
        </is>
      </c>
      <c r="AJ366" s="35" t="inlineStr">
        <is>
          <t>M</t>
        </is>
      </c>
      <c r="AK366" s="35" t="inlineStr">
        <is>
          <t>M</t>
        </is>
      </c>
      <c r="AL366" s="35" t="inlineStr">
        <is>
          <t>M</t>
        </is>
      </c>
      <c r="AM366" s="36" t="n">
        <v>0.583</v>
      </c>
      <c r="AN366" s="37" t="n">
        <v>0.16</v>
      </c>
      <c r="AO366" s="37" t="n">
        <v>0.09</v>
      </c>
      <c r="AP366" s="37" t="n">
        <v>0</v>
      </c>
      <c r="AQ366" s="37" t="n">
        <v>0.063</v>
      </c>
      <c r="AR366" s="37" t="n">
        <v>0.06</v>
      </c>
      <c r="AS366" s="37" t="n">
        <v>0.04</v>
      </c>
      <c r="AT366" s="38" t="inlineStr">
        <is>
          <t>2–5</t>
        </is>
      </c>
      <c r="AU366" s="38" t="inlineStr">
        <is>
          <t>Graduate; relevant certification preferred</t>
        </is>
      </c>
      <c r="AV366" s="38" t="inlineStr">
        <is>
          <t>None · guides 1–3 juniors informally</t>
        </is>
      </c>
      <c r="AW366" s="38" t="inlineStr">
        <is>
          <t>P2 · SFIA 3 Apply</t>
        </is>
      </c>
      <c r="AX36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66" s="39" t="inlineStr">
        <is>
          <t>A3</t>
        </is>
      </c>
      <c r="AZ366" s="40" t="inlineStr">
        <is>
          <t>Band A · Practitioner · Senior Associate</t>
        </is>
      </c>
      <c r="BA366" s="40" t="inlineStr">
        <is>
          <t>Model A3 from the six ratings, the market-derived weights and rules R1–R13 · then No change · already below the manager</t>
        </is>
      </c>
      <c r="BB366" s="41" t="inlineStr">
        <is>
          <t>A2</t>
        </is>
      </c>
      <c r="BC366" s="40" t="inlineStr">
        <is>
          <t>The six ratings on the market-average weights of Band A · all tracks score 2.20 → A2 · Hay, Mercer IPE and public plans · experience 4.7 yrs vs the A2 market range 0–3</t>
        </is>
      </c>
      <c r="BD366" s="42">
        <f>IF(SUM(BM366,BN366,BO366,BP366,BQ366,BR366,BS366)=0,0,(BM366*BT366+BN366*BU366+BO366*BV366+BP366*BW366+BQ366*BX366+BR366*BY366+BS366*BZ366)/SUM(BM366,BN366,BO366,BP366,BQ366,BR366,BS366))</f>
        <v>0</v>
      </c>
      <c r="BE366" s="41" t="str">
        <f>IF(LEFT(AY366,1)="X",AY366,IF(OR(AY366="B+",AY366="C+"),INDEX(LAD_PC,MAX(1,MIN(14,MATCH(AY366,LAD_PC,0)+IF(BD366&gt;=0.5,1,IF(BD366&lt;=-0.5,-1,0))))),INDEX(LAD_STD,MAX(1,MIN(12,MATCH(AY366,LAD_STD,0)+IF(BD366&gt;=0.5,1,IF(BD366&lt;=-0.5,-1,0)))))))</f>
        <v>A3</v>
      </c>
      <c r="BF366" s="43" t="n"/>
      <c r="BG366" s="41" t="str">
        <f>IF(BF366&lt;&gt;"",BF366,BE366)</f>
        <v>A3</v>
      </c>
      <c r="BH366" s="40" t="str">
        <f>IFERROR(CHOOSE(INDEX(B_RANK,MATCH(BG366,B_LVL,0)),"Band A","Band B","B+ · Player-Coach","Band C","C+ · Player-Coach","Band D","Band E"),"Band X · Consultant")</f>
        <v>Band A</v>
      </c>
      <c r="BI366" s="40" t="str">
        <f>IF(BG366=AY366,"• Same",IF(INDEX(B_VAL,MATCH(BG366,B_LVL,0))&gt;INDEX(B_VAL,MATCH(AY366,B_LVL,0)),"▲ Up","▼ Down"))</f>
        <v>• Same</v>
      </c>
      <c r="BJ366" s="40" t="str">
        <f>IF(OR($M366="",$M366="—",$M366="Not in this file"),"",IFERROR(INDEX($BG$7:$BG$592,MATCH($M366,$D$7:$D$592,0)),""))</f>
        <v>B2</v>
      </c>
      <c r="BK366" s="40" t="str">
        <f>IFERROR(IF(BJ366="","—",IF(OR(LEFT(BG366,1)="X",LEFT(BJ366,1)="X"),"—",IF(AND(LEFT(BG366,1)="E",LEFT(BJ366,1)="E"),"Exception · Band E",IF(AND(INDEX(B_VAL,MATCH(BJ366,B_LVL,0))&gt;=7,INDEX(B_RANK,MATCH(BG366,B_LVL,0))&gt;=INDEX(B_RANK,MATCH(BJ366,B_LVL,0))),"⚠ Same band as a head manager",IF(INDEX(B_VAL,MATCH(BG366,B_LVL,0))&gt;=INDEX(B_VAL,MATCH(BJ366,B_LVL,0)),"⚠ At or above the manager's level","OK"))))),"—")</f>
        <v>OK</v>
      </c>
      <c r="BL366" s="43" t="n"/>
      <c r="BM366" s="44">
        <f>IFERROR(INDEX(LMH_PTS,MATCH(Y366,LMH_KEY,0)),0)</f>
        <v>9</v>
      </c>
      <c r="BN366" s="38">
        <f>IFERROR(INDEX(LMH_PTS,MATCH(Z366,LMH_KEY,0)),0)</f>
        <v>3</v>
      </c>
      <c r="BO366" s="38">
        <f>IFERROR(INDEX(LMH_PTS,MATCH(AA366,LMH_KEY,0)),0)</f>
        <v>1</v>
      </c>
      <c r="BP366" s="38">
        <f>IFERROR(INDEX(LMH_PTS,MATCH(AB366,LMH_KEY,0)),0)</f>
        <v>1</v>
      </c>
      <c r="BQ366" s="38">
        <f>IFERROR(INDEX(LMH_PTS,MATCH(AC366,LMH_KEY,0)),0)</f>
        <v>1</v>
      </c>
      <c r="BR366" s="38">
        <f>IFERROR(INDEX(LMH_PTS,MATCH(AD366,LMH_KEY,0)),0)</f>
        <v>1</v>
      </c>
      <c r="BS366" s="38">
        <f>IFERROR(INDEX(LMH_PTS,MATCH(AE366,LMH_KEY,0)),0)</f>
        <v>1</v>
      </c>
      <c r="BT366" s="38">
        <f>IFERROR(INDEX(LMH_STEP,MATCH(AF366,LMH_KEY,0)),0)</f>
        <v>0</v>
      </c>
      <c r="BU366" s="38">
        <f>IFERROR(INDEX(LMH_STEP,MATCH(AG366,LMH_KEY,0)),0)</f>
        <v>0</v>
      </c>
      <c r="BV366" s="38">
        <f>IFERROR(INDEX(LMH_STEP,MATCH(AH366,LMH_KEY,0)),0)</f>
        <v>0</v>
      </c>
      <c r="BW366" s="38">
        <f>IFERROR(INDEX(LMH_STEP,MATCH(AI366,LMH_KEY,0)),0)</f>
        <v>0</v>
      </c>
      <c r="BX366" s="38">
        <f>IFERROR(INDEX(LMH_STEP,MATCH(AJ366,LMH_KEY,0)),0)</f>
        <v>0</v>
      </c>
      <c r="BY366" s="38">
        <f>IFERROR(INDEX(LMH_STEP,MATCH(AK366,LMH_KEY,0)),0)</f>
        <v>0</v>
      </c>
      <c r="BZ366" s="38">
        <f>IFERROR(INDEX(LMH_STEP,MATCH(AL366,LMH_KEY,0)),0)</f>
        <v>0</v>
      </c>
      <c r="CA366" s="38" t="inlineStr">
        <is>
          <t>iFile|Technology|Senior Software Engineer|A3|A</t>
        </is>
      </c>
    </row>
    <row r="367" ht="110" customHeight="1">
      <c r="A367" s="28" t="inlineStr">
        <is>
          <t>iFile</t>
        </is>
      </c>
      <c r="B367" s="29" t="inlineStr">
        <is>
          <t>Technology</t>
        </is>
      </c>
      <c r="C367" s="29" t="n">
        <v>4</v>
      </c>
      <c r="D367" s="29" t="inlineStr">
        <is>
          <t>IRIS2469</t>
        </is>
      </c>
      <c r="E367" s="29" t="inlineStr">
        <is>
          <t>Amiz Azad</t>
        </is>
      </c>
      <c r="F367" s="29" t="inlineStr">
        <is>
          <t>Senior Software Engineer</t>
        </is>
      </c>
      <c r="G367" s="29" t="inlineStr">
        <is>
          <t>Senior Software Engineer</t>
        </is>
      </c>
      <c r="H367" s="29" t="inlineStr">
        <is>
          <t>Engineering &amp; Development</t>
        </is>
      </c>
      <c r="I367" s="29" t="inlineStr">
        <is>
          <t>Backend Development</t>
        </is>
      </c>
      <c r="J367" s="29" t="inlineStr">
        <is>
          <t>IC</t>
        </is>
      </c>
      <c r="K367" s="29" t="inlineStr">
        <is>
          <t>RC-067</t>
        </is>
      </c>
      <c r="L367" s="29" t="inlineStr">
        <is>
          <t>Nikhil Nalawade</t>
        </is>
      </c>
      <c r="M367" s="29" t="inlineStr">
        <is>
          <t>IRIS0846</t>
        </is>
      </c>
      <c r="N367" s="29" t="n">
        <v>6.6</v>
      </c>
      <c r="O367" s="29" t="n">
        <v>0.6</v>
      </c>
      <c r="P367" s="29" t="inlineStr">
        <is>
          <t>B.E</t>
        </is>
      </c>
      <c r="Q367" s="29" t="inlineStr">
        <is>
          <t>L4 – Senior</t>
        </is>
      </c>
      <c r="R367" s="29" t="inlineStr">
        <is>
          <t>A3</t>
        </is>
      </c>
      <c r="S367" s="30" t="inlineStr">
        <is>
          <t>20 of 20</t>
        </is>
      </c>
      <c r="T367" s="31" t="inlineStr">
        <is>
          <t>Complexity: Evidence reads like B1: Designs and builds iFile 2.0 features and technical solutions within the agreed architecture; reviews code → moved up 0.5
Autonomy: Evidence reads like A3: Makes implementation, design and debugging calls alone; wider architectural impact goes to stakeholders → matches the start
Accountability: Evidence reads like A3: …</t>
        </is>
      </c>
      <c r="U367" s="31" t="inlineStr">
        <is>
          <t>Received · manager annual, quarterly, self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367" s="31" t="inlineStr">
        <is>
          <t>Latest rating: 4 · Potential: High · 9-box: Future Leader · Readiness: Ready now</t>
        </is>
      </c>
      <c r="W367" s="31" t="inlineStr">
        <is>
          <t>C M · Au M · Ac M · L M · BI M · Exp H · 6.6 yrs vs 2–4 yrs · Edu M · B.E</t>
        </is>
      </c>
      <c r="X367" s="33" t="inlineStr">
        <is>
          <t>Open ▸</t>
        </is>
      </c>
      <c r="Y367" s="34" t="str">
        <f>IFERROR(INDEX(DL_C,MATCH($CA367,DL_KEY,0)),"M")</f>
        <v>H</v>
      </c>
      <c r="Z367" s="35" t="str">
        <f>IFERROR(INDEX(DL_Au,MATCH($CA367,DL_KEY,0)),"M")</f>
        <v>M</v>
      </c>
      <c r="AA367" s="35" t="str">
        <f>IFERROR(INDEX(DL_Ac,MATCH($CA367,DL_KEY,0)),"M")</f>
        <v>L</v>
      </c>
      <c r="AB367" s="35" t="str">
        <f>IFERROR(INDEX(DL_L,MATCH($CA367,DL_KEY,0)),"M")</f>
        <v>L</v>
      </c>
      <c r="AC367" s="35" t="str">
        <f>IFERROR(INDEX(DL_BI,MATCH($CA367,DL_KEY,0)),"M")</f>
        <v>L</v>
      </c>
      <c r="AD367" s="35" t="str">
        <f>IFERROR(INDEX(DL_Exp,MATCH($CA367,DL_KEY,0)),"M")</f>
        <v>L</v>
      </c>
      <c r="AE367" s="35" t="str">
        <f>IFERROR(INDEX(DL_Edu,MATCH($CA367,DL_KEY,0)),"M")</f>
        <v>L</v>
      </c>
      <c r="AF367" s="34" t="inlineStr">
        <is>
          <t>M</t>
        </is>
      </c>
      <c r="AG367" s="35" t="inlineStr">
        <is>
          <t>M</t>
        </is>
      </c>
      <c r="AH367" s="35" t="inlineStr">
        <is>
          <t>M</t>
        </is>
      </c>
      <c r="AI367" s="35" t="inlineStr">
        <is>
          <t>M</t>
        </is>
      </c>
      <c r="AJ367" s="35" t="inlineStr">
        <is>
          <t>M</t>
        </is>
      </c>
      <c r="AK367" s="35" t="inlineStr">
        <is>
          <t>M</t>
        </is>
      </c>
      <c r="AL367" s="35" t="inlineStr">
        <is>
          <t>M</t>
        </is>
      </c>
      <c r="AM367" s="36" t="n">
        <v>0.583</v>
      </c>
      <c r="AN367" s="37" t="n">
        <v>0.16</v>
      </c>
      <c r="AO367" s="37" t="n">
        <v>0.09</v>
      </c>
      <c r="AP367" s="37" t="n">
        <v>0</v>
      </c>
      <c r="AQ367" s="37" t="n">
        <v>0.063</v>
      </c>
      <c r="AR367" s="37" t="n">
        <v>0.06</v>
      </c>
      <c r="AS367" s="37" t="n">
        <v>0.04</v>
      </c>
      <c r="AT367" s="38" t="inlineStr">
        <is>
          <t>2–5</t>
        </is>
      </c>
      <c r="AU367" s="38" t="inlineStr">
        <is>
          <t>Graduate; relevant certification preferred</t>
        </is>
      </c>
      <c r="AV367" s="38" t="inlineStr">
        <is>
          <t>None · guides 1–3 juniors informally</t>
        </is>
      </c>
      <c r="AW367" s="38" t="inlineStr">
        <is>
          <t>P2 · SFIA 3 Apply</t>
        </is>
      </c>
      <c r="AX36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67" s="39" t="inlineStr">
        <is>
          <t>A3</t>
        </is>
      </c>
      <c r="AZ367" s="40" t="inlineStr">
        <is>
          <t>Band A · Practitioner · Senior Associate</t>
        </is>
      </c>
      <c r="BA367" s="40" t="inlineStr">
        <is>
          <t>Model A3 from the six ratings, the market-derived weights and rules R1–R13 · then No change · already below the manager</t>
        </is>
      </c>
      <c r="BB367" s="41" t="inlineStr">
        <is>
          <t>A3</t>
        </is>
      </c>
      <c r="BC367" s="40" t="inlineStr">
        <is>
          <t>The six ratings on the market-average weights of Band A · all tracks score 3.47 → A3 · Hay, Mercer IPE and public plans · experience 6.6 yrs vs the A3 market range 2–5</t>
        </is>
      </c>
      <c r="BD367" s="42">
        <f>IF(SUM(BM367,BN367,BO367,BP367,BQ367,BR367,BS367)=0,0,(BM367*BT367+BN367*BU367+BO367*BV367+BP367*BW367+BQ367*BX367+BR367*BY367+BS367*BZ367)/SUM(BM367,BN367,BO367,BP367,BQ367,BR367,BS367))</f>
        <v>0</v>
      </c>
      <c r="BE367" s="41" t="str">
        <f>IF(LEFT(AY367,1)="X",AY367,IF(OR(AY367="B+",AY367="C+"),INDEX(LAD_PC,MAX(1,MIN(14,MATCH(AY367,LAD_PC,0)+IF(BD367&gt;=0.5,1,IF(BD367&lt;=-0.5,-1,0))))),INDEX(LAD_STD,MAX(1,MIN(12,MATCH(AY367,LAD_STD,0)+IF(BD367&gt;=0.5,1,IF(BD367&lt;=-0.5,-1,0)))))))</f>
        <v>A3</v>
      </c>
      <c r="BF367" s="43" t="n"/>
      <c r="BG367" s="41" t="str">
        <f>IF(BF367&lt;&gt;"",BF367,BE367)</f>
        <v>A3</v>
      </c>
      <c r="BH367" s="40" t="str">
        <f>IFERROR(CHOOSE(INDEX(B_RANK,MATCH(BG367,B_LVL,0)),"Band A","Band B","B+ · Player-Coach","Band C","C+ · Player-Coach","Band D","Band E"),"Band X · Consultant")</f>
        <v>Band A</v>
      </c>
      <c r="BI367" s="40" t="str">
        <f>IF(BG367=AY367,"• Same",IF(INDEX(B_VAL,MATCH(BG367,B_LVL,0))&gt;INDEX(B_VAL,MATCH(AY367,B_LVL,0)),"▲ Up","▼ Down"))</f>
        <v>• Same</v>
      </c>
      <c r="BJ367" s="40" t="str">
        <f>IF(OR($M367="",$M367="—",$M367="Not in this file"),"",IFERROR(INDEX($BG$7:$BG$592,MATCH($M367,$D$7:$D$592,0)),""))</f>
        <v>B2</v>
      </c>
      <c r="BK367" s="40" t="str">
        <f>IFERROR(IF(BJ367="","—",IF(OR(LEFT(BG367,1)="X",LEFT(BJ367,1)="X"),"—",IF(AND(LEFT(BG367,1)="E",LEFT(BJ367,1)="E"),"Exception · Band E",IF(AND(INDEX(B_VAL,MATCH(BJ367,B_LVL,0))&gt;=7,INDEX(B_RANK,MATCH(BG367,B_LVL,0))&gt;=INDEX(B_RANK,MATCH(BJ367,B_LVL,0))),"⚠ Same band as a head manager",IF(INDEX(B_VAL,MATCH(BG367,B_LVL,0))&gt;=INDEX(B_VAL,MATCH(BJ367,B_LVL,0)),"⚠ At or above the manager's level","OK"))))),"—")</f>
        <v>OK</v>
      </c>
      <c r="BL367" s="43" t="n"/>
      <c r="BM367" s="44">
        <f>IFERROR(INDEX(LMH_PTS,MATCH(Y367,LMH_KEY,0)),0)</f>
        <v>9</v>
      </c>
      <c r="BN367" s="38">
        <f>IFERROR(INDEX(LMH_PTS,MATCH(Z367,LMH_KEY,0)),0)</f>
        <v>3</v>
      </c>
      <c r="BO367" s="38">
        <f>IFERROR(INDEX(LMH_PTS,MATCH(AA367,LMH_KEY,0)),0)</f>
        <v>1</v>
      </c>
      <c r="BP367" s="38">
        <f>IFERROR(INDEX(LMH_PTS,MATCH(AB367,LMH_KEY,0)),0)</f>
        <v>1</v>
      </c>
      <c r="BQ367" s="38">
        <f>IFERROR(INDEX(LMH_PTS,MATCH(AC367,LMH_KEY,0)),0)</f>
        <v>1</v>
      </c>
      <c r="BR367" s="38">
        <f>IFERROR(INDEX(LMH_PTS,MATCH(AD367,LMH_KEY,0)),0)</f>
        <v>1</v>
      </c>
      <c r="BS367" s="38">
        <f>IFERROR(INDEX(LMH_PTS,MATCH(AE367,LMH_KEY,0)),0)</f>
        <v>1</v>
      </c>
      <c r="BT367" s="38">
        <f>IFERROR(INDEX(LMH_STEP,MATCH(AF367,LMH_KEY,0)),0)</f>
        <v>0</v>
      </c>
      <c r="BU367" s="38">
        <f>IFERROR(INDEX(LMH_STEP,MATCH(AG367,LMH_KEY,0)),0)</f>
        <v>0</v>
      </c>
      <c r="BV367" s="38">
        <f>IFERROR(INDEX(LMH_STEP,MATCH(AH367,LMH_KEY,0)),0)</f>
        <v>0</v>
      </c>
      <c r="BW367" s="38">
        <f>IFERROR(INDEX(LMH_STEP,MATCH(AI367,LMH_KEY,0)),0)</f>
        <v>0</v>
      </c>
      <c r="BX367" s="38">
        <f>IFERROR(INDEX(LMH_STEP,MATCH(AJ367,LMH_KEY,0)),0)</f>
        <v>0</v>
      </c>
      <c r="BY367" s="38">
        <f>IFERROR(INDEX(LMH_STEP,MATCH(AK367,LMH_KEY,0)),0)</f>
        <v>0</v>
      </c>
      <c r="BZ367" s="38">
        <f>IFERROR(INDEX(LMH_STEP,MATCH(AL367,LMH_KEY,0)),0)</f>
        <v>0</v>
      </c>
      <c r="CA367" s="38" t="inlineStr">
        <is>
          <t>iFile|Technology|Senior Software Engineer|A3|A</t>
        </is>
      </c>
    </row>
    <row r="368" ht="110" customHeight="1">
      <c r="A368" s="28" t="inlineStr">
        <is>
          <t>iFile</t>
        </is>
      </c>
      <c r="B368" s="29" t="inlineStr">
        <is>
          <t>Technology</t>
        </is>
      </c>
      <c r="C368" s="29" t="n">
        <v>4</v>
      </c>
      <c r="D368" s="29" t="inlineStr">
        <is>
          <t>IRIS1787</t>
        </is>
      </c>
      <c r="E368" s="29" t="inlineStr">
        <is>
          <t>Ateef Ansari</t>
        </is>
      </c>
      <c r="F368" s="29" t="inlineStr">
        <is>
          <t>Senior Software Engineer</t>
        </is>
      </c>
      <c r="G368" s="29" t="inlineStr">
        <is>
          <t>Technical Specialist</t>
        </is>
      </c>
      <c r="H368" s="29" t="inlineStr">
        <is>
          <t>Engineering &amp; Development</t>
        </is>
      </c>
      <c r="I368" s="29" t="inlineStr">
        <is>
          <t>Full-Stack Development</t>
        </is>
      </c>
      <c r="J368" s="29" t="inlineStr">
        <is>
          <t>IC</t>
        </is>
      </c>
      <c r="K368" s="29" t="inlineStr">
        <is>
          <t>RC-085</t>
        </is>
      </c>
      <c r="L368" s="29" t="inlineStr">
        <is>
          <t>Nikhil Nalawade</t>
        </is>
      </c>
      <c r="M368" s="29" t="inlineStr">
        <is>
          <t>IRIS0846</t>
        </is>
      </c>
      <c r="N368" s="29" t="n">
        <v>7.3</v>
      </c>
      <c r="O368" s="29" t="n">
        <v>7.3</v>
      </c>
      <c r="P368" s="29" t="inlineStr">
        <is>
          <t>B.E</t>
        </is>
      </c>
      <c r="Q368" s="29" t="inlineStr">
        <is>
          <t>L4 – Senior</t>
        </is>
      </c>
      <c r="R368" s="29" t="inlineStr">
        <is>
          <t>A3</t>
        </is>
      </c>
      <c r="S368" s="30" t="inlineStr">
        <is>
          <t>20 of 20</t>
        </is>
      </c>
      <c r="T368" s="31" t="inlineStr">
        <is>
          <t>Complexity: Evidence reads like B1: System design and deployment architecture for Java microservices; explains cross-product integration to regulators → moved up 0.5
Autonomy: Evidence reads like A3: Decides the design approach for own features → matches the start
Accountability: Evidence reads like A3: Delivery of milestone features, coordinating …</t>
        </is>
      </c>
      <c r="U368" s="31" t="inlineStr">
        <is>
          <t>Received · manager annual, quarterly, self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368" s="31" t="inlineStr">
        <is>
          <t>Latest rating: 4 · Potential: High · 9-box: Trusted Professional · Readiness: Ready now</t>
        </is>
      </c>
      <c r="W368" s="31" t="inlineStr">
        <is>
          <t>C M · Au M · Ac M · L M · BI M · Exp H · 7.3 yrs vs 2–4 yrs · Edu M · B.E</t>
        </is>
      </c>
      <c r="X368" s="33" t="inlineStr">
        <is>
          <t>Open ▸</t>
        </is>
      </c>
      <c r="Y368" s="34" t="str">
        <f>IFERROR(INDEX(DL_C,MATCH($CA368,DL_KEY,0)),"M")</f>
        <v>H</v>
      </c>
      <c r="Z368" s="35" t="str">
        <f>IFERROR(INDEX(DL_Au,MATCH($CA368,DL_KEY,0)),"M")</f>
        <v>M</v>
      </c>
      <c r="AA368" s="35" t="str">
        <f>IFERROR(INDEX(DL_Ac,MATCH($CA368,DL_KEY,0)),"M")</f>
        <v>L</v>
      </c>
      <c r="AB368" s="35" t="str">
        <f>IFERROR(INDEX(DL_L,MATCH($CA368,DL_KEY,0)),"M")</f>
        <v>L</v>
      </c>
      <c r="AC368" s="35" t="str">
        <f>IFERROR(INDEX(DL_BI,MATCH($CA368,DL_KEY,0)),"M")</f>
        <v>L</v>
      </c>
      <c r="AD368" s="35" t="str">
        <f>IFERROR(INDEX(DL_Exp,MATCH($CA368,DL_KEY,0)),"M")</f>
        <v>L</v>
      </c>
      <c r="AE368" s="35" t="str">
        <f>IFERROR(INDEX(DL_Edu,MATCH($CA368,DL_KEY,0)),"M")</f>
        <v>L</v>
      </c>
      <c r="AF368" s="34" t="inlineStr">
        <is>
          <t>M</t>
        </is>
      </c>
      <c r="AG368" s="35" t="inlineStr">
        <is>
          <t>M</t>
        </is>
      </c>
      <c r="AH368" s="35" t="inlineStr">
        <is>
          <t>M</t>
        </is>
      </c>
      <c r="AI368" s="35" t="inlineStr">
        <is>
          <t>M</t>
        </is>
      </c>
      <c r="AJ368" s="35" t="inlineStr">
        <is>
          <t>M</t>
        </is>
      </c>
      <c r="AK368" s="35" t="inlineStr">
        <is>
          <t>M</t>
        </is>
      </c>
      <c r="AL368" s="35" t="inlineStr">
        <is>
          <t>M</t>
        </is>
      </c>
      <c r="AM368" s="36" t="n">
        <v>0.583</v>
      </c>
      <c r="AN368" s="37" t="n">
        <v>0.16</v>
      </c>
      <c r="AO368" s="37" t="n">
        <v>0.09</v>
      </c>
      <c r="AP368" s="37" t="n">
        <v>0</v>
      </c>
      <c r="AQ368" s="37" t="n">
        <v>0.063</v>
      </c>
      <c r="AR368" s="37" t="n">
        <v>0.06</v>
      </c>
      <c r="AS368" s="37" t="n">
        <v>0.04</v>
      </c>
      <c r="AT368" s="38" t="inlineStr">
        <is>
          <t>2–5</t>
        </is>
      </c>
      <c r="AU368" s="38" t="inlineStr">
        <is>
          <t>Graduate; relevant certification preferred</t>
        </is>
      </c>
      <c r="AV368" s="38" t="inlineStr">
        <is>
          <t>None · guides 1–3 juniors informally</t>
        </is>
      </c>
      <c r="AW368" s="38" t="inlineStr">
        <is>
          <t>P2 · SFIA 3 Apply</t>
        </is>
      </c>
      <c r="AX36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68" s="39" t="inlineStr">
        <is>
          <t>A3</t>
        </is>
      </c>
      <c r="AZ368" s="40" t="inlineStr">
        <is>
          <t>Band A · Practitioner · Senior Associate</t>
        </is>
      </c>
      <c r="BA368" s="40" t="inlineStr">
        <is>
          <t>Model A3 from the six ratings, the market-derived weights and rules R1–R13 · then No change · already below the manager</t>
        </is>
      </c>
      <c r="BB368" s="41" t="inlineStr">
        <is>
          <t>B1</t>
        </is>
      </c>
      <c r="BC368" s="40" t="inlineStr">
        <is>
          <t>The six ratings on the market-average weights of Band A · all tracks score 3.53 → B1 · Hay, Mercer IPE and public plans · experience 7.3 yrs vs the B1 market range 4–8</t>
        </is>
      </c>
      <c r="BD368" s="42">
        <f>IF(SUM(BM368,BN368,BO368,BP368,BQ368,BR368,BS368)=0,0,(BM368*BT368+BN368*BU368+BO368*BV368+BP368*BW368+BQ368*BX368+BR368*BY368+BS368*BZ368)/SUM(BM368,BN368,BO368,BP368,BQ368,BR368,BS368))</f>
        <v>0</v>
      </c>
      <c r="BE368" s="41" t="str">
        <f>IF(LEFT(AY368,1)="X",AY368,IF(OR(AY368="B+",AY368="C+"),INDEX(LAD_PC,MAX(1,MIN(14,MATCH(AY368,LAD_PC,0)+IF(BD368&gt;=0.5,1,IF(BD368&lt;=-0.5,-1,0))))),INDEX(LAD_STD,MAX(1,MIN(12,MATCH(AY368,LAD_STD,0)+IF(BD368&gt;=0.5,1,IF(BD368&lt;=-0.5,-1,0)))))))</f>
        <v>A3</v>
      </c>
      <c r="BF368" s="43" t="n"/>
      <c r="BG368" s="41" t="str">
        <f>IF(BF368&lt;&gt;"",BF368,BE368)</f>
        <v>A3</v>
      </c>
      <c r="BH368" s="40" t="str">
        <f>IFERROR(CHOOSE(INDEX(B_RANK,MATCH(BG368,B_LVL,0)),"Band A","Band B","B+ · Player-Coach","Band C","C+ · Player-Coach","Band D","Band E"),"Band X · Consultant")</f>
        <v>Band A</v>
      </c>
      <c r="BI368" s="40" t="str">
        <f>IF(BG368=AY368,"• Same",IF(INDEX(B_VAL,MATCH(BG368,B_LVL,0))&gt;INDEX(B_VAL,MATCH(AY368,B_LVL,0)),"▲ Up","▼ Down"))</f>
        <v>• Same</v>
      </c>
      <c r="BJ368" s="40" t="str">
        <f>IF(OR($M368="",$M368="—",$M368="Not in this file"),"",IFERROR(INDEX($BG$7:$BG$592,MATCH($M368,$D$7:$D$592,0)),""))</f>
        <v>B2</v>
      </c>
      <c r="BK368" s="40" t="str">
        <f>IFERROR(IF(BJ368="","—",IF(OR(LEFT(BG368,1)="X",LEFT(BJ368,1)="X"),"—",IF(AND(LEFT(BG368,1)="E",LEFT(BJ368,1)="E"),"Exception · Band E",IF(AND(INDEX(B_VAL,MATCH(BJ368,B_LVL,0))&gt;=7,INDEX(B_RANK,MATCH(BG368,B_LVL,0))&gt;=INDEX(B_RANK,MATCH(BJ368,B_LVL,0))),"⚠ Same band as a head manager",IF(INDEX(B_VAL,MATCH(BG368,B_LVL,0))&gt;=INDEX(B_VAL,MATCH(BJ368,B_LVL,0)),"⚠ At or above the manager's level","OK"))))),"—")</f>
        <v>OK</v>
      </c>
      <c r="BL368" s="43" t="n"/>
      <c r="BM368" s="44">
        <f>IFERROR(INDEX(LMH_PTS,MATCH(Y368,LMH_KEY,0)),0)</f>
        <v>9</v>
      </c>
      <c r="BN368" s="38">
        <f>IFERROR(INDEX(LMH_PTS,MATCH(Z368,LMH_KEY,0)),0)</f>
        <v>3</v>
      </c>
      <c r="BO368" s="38">
        <f>IFERROR(INDEX(LMH_PTS,MATCH(AA368,LMH_KEY,0)),0)</f>
        <v>1</v>
      </c>
      <c r="BP368" s="38">
        <f>IFERROR(INDEX(LMH_PTS,MATCH(AB368,LMH_KEY,0)),0)</f>
        <v>1</v>
      </c>
      <c r="BQ368" s="38">
        <f>IFERROR(INDEX(LMH_PTS,MATCH(AC368,LMH_KEY,0)),0)</f>
        <v>1</v>
      </c>
      <c r="BR368" s="38">
        <f>IFERROR(INDEX(LMH_PTS,MATCH(AD368,LMH_KEY,0)),0)</f>
        <v>1</v>
      </c>
      <c r="BS368" s="38">
        <f>IFERROR(INDEX(LMH_PTS,MATCH(AE368,LMH_KEY,0)),0)</f>
        <v>1</v>
      </c>
      <c r="BT368" s="38">
        <f>IFERROR(INDEX(LMH_STEP,MATCH(AF368,LMH_KEY,0)),0)</f>
        <v>0</v>
      </c>
      <c r="BU368" s="38">
        <f>IFERROR(INDEX(LMH_STEP,MATCH(AG368,LMH_KEY,0)),0)</f>
        <v>0</v>
      </c>
      <c r="BV368" s="38">
        <f>IFERROR(INDEX(LMH_STEP,MATCH(AH368,LMH_KEY,0)),0)</f>
        <v>0</v>
      </c>
      <c r="BW368" s="38">
        <f>IFERROR(INDEX(LMH_STEP,MATCH(AI368,LMH_KEY,0)),0)</f>
        <v>0</v>
      </c>
      <c r="BX368" s="38">
        <f>IFERROR(INDEX(LMH_STEP,MATCH(AJ368,LMH_KEY,0)),0)</f>
        <v>0</v>
      </c>
      <c r="BY368" s="38">
        <f>IFERROR(INDEX(LMH_STEP,MATCH(AK368,LMH_KEY,0)),0)</f>
        <v>0</v>
      </c>
      <c r="BZ368" s="38">
        <f>IFERROR(INDEX(LMH_STEP,MATCH(AL368,LMH_KEY,0)),0)</f>
        <v>0</v>
      </c>
      <c r="CA368" s="38" t="inlineStr">
        <is>
          <t>iFile|Technology|Technical Specialist|A3|A</t>
        </is>
      </c>
    </row>
    <row r="369" ht="110" customHeight="1">
      <c r="A369" s="28" t="inlineStr">
        <is>
          <t>iFile</t>
        </is>
      </c>
      <c r="B369" s="29" t="inlineStr">
        <is>
          <t>Technology</t>
        </is>
      </c>
      <c r="C369" s="29" t="n">
        <v>4</v>
      </c>
      <c r="D369" s="29" t="inlineStr">
        <is>
          <t>IRIS2436</t>
        </is>
      </c>
      <c r="E369" s="29" t="inlineStr">
        <is>
          <t>Balram Mahato</t>
        </is>
      </c>
      <c r="F369" s="29" t="inlineStr">
        <is>
          <t>Software Engineer</t>
        </is>
      </c>
      <c r="G369" s="29" t="inlineStr">
        <is>
          <t>Senior Software Engineer</t>
        </is>
      </c>
      <c r="H369" s="29" t="inlineStr">
        <is>
          <t>Engineering &amp; Development</t>
        </is>
      </c>
      <c r="I369" s="29" t="inlineStr">
        <is>
          <t>Backend Development</t>
        </is>
      </c>
      <c r="J369" s="29" t="inlineStr">
        <is>
          <t>IC</t>
        </is>
      </c>
      <c r="K369" s="29" t="inlineStr">
        <is>
          <t>RC-067</t>
        </is>
      </c>
      <c r="L369" s="29" t="inlineStr">
        <is>
          <t>Nikhil Nalawade</t>
        </is>
      </c>
      <c r="M369" s="29" t="inlineStr">
        <is>
          <t>IRIS0846</t>
        </is>
      </c>
      <c r="N369" s="29" t="n">
        <v>4.3</v>
      </c>
      <c r="O369" s="29" t="n">
        <v>1</v>
      </c>
      <c r="P369" s="29" t="inlineStr">
        <is>
          <t>B.E</t>
        </is>
      </c>
      <c r="Q369" s="29" t="inlineStr">
        <is>
          <t>L3 – Professional / Associate</t>
        </is>
      </c>
      <c r="R369" s="29" t="inlineStr">
        <is>
          <t>A3</t>
        </is>
      </c>
      <c r="S369" s="30" t="inlineStr">
        <is>
          <t>20 of 20</t>
        </is>
      </c>
      <c r="T369" s="31" t="inlineStr">
        <is>
          <t>Complexity: Evidence reads like A2: Assesses how requirements fit existing product and builds features; little detail → matches the start
Autonomy: Evidence reads like A2: Decides bug fixes and enhancements → matches the start
Accountability: Evidence reads like A2: Only the features he developed end to end → matches the start
Leadership: Evidence reads …</t>
        </is>
      </c>
      <c r="U369" s="31" t="inlineStr">
        <is>
          <t>Received · manager annual, quarterly, self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369" s="31" t="inlineStr">
        <is>
          <t>Latest rating: 4 · Potential: High · 9-box: Trusted Professional · Readiness: Ready now</t>
        </is>
      </c>
      <c r="W369" s="31" t="inlineStr">
        <is>
          <t>C L · Au L · Ac L · L L · BI L · Exp H · 4.3 yrs vs 2–4 yrs · Edu M · B.E</t>
        </is>
      </c>
      <c r="X369" s="33" t="inlineStr">
        <is>
          <t>Open ▸</t>
        </is>
      </c>
      <c r="Y369" s="34" t="str">
        <f>IFERROR(INDEX(DL_C,MATCH($CA369,DL_KEY,0)),"M")</f>
        <v>H</v>
      </c>
      <c r="Z369" s="35" t="str">
        <f>IFERROR(INDEX(DL_Au,MATCH($CA369,DL_KEY,0)),"M")</f>
        <v>M</v>
      </c>
      <c r="AA369" s="35" t="str">
        <f>IFERROR(INDEX(DL_Ac,MATCH($CA369,DL_KEY,0)),"M")</f>
        <v>L</v>
      </c>
      <c r="AB369" s="35" t="str">
        <f>IFERROR(INDEX(DL_L,MATCH($CA369,DL_KEY,0)),"M")</f>
        <v>L</v>
      </c>
      <c r="AC369" s="35" t="str">
        <f>IFERROR(INDEX(DL_BI,MATCH($CA369,DL_KEY,0)),"M")</f>
        <v>L</v>
      </c>
      <c r="AD369" s="35" t="str">
        <f>IFERROR(INDEX(DL_Exp,MATCH($CA369,DL_KEY,0)),"M")</f>
        <v>L</v>
      </c>
      <c r="AE369" s="35" t="str">
        <f>IFERROR(INDEX(DL_Edu,MATCH($CA369,DL_KEY,0)),"M")</f>
        <v>L</v>
      </c>
      <c r="AF369" s="34" t="inlineStr">
        <is>
          <t>M</t>
        </is>
      </c>
      <c r="AG369" s="35" t="inlineStr">
        <is>
          <t>M</t>
        </is>
      </c>
      <c r="AH369" s="35" t="inlineStr">
        <is>
          <t>M</t>
        </is>
      </c>
      <c r="AI369" s="35" t="inlineStr">
        <is>
          <t>M</t>
        </is>
      </c>
      <c r="AJ369" s="35" t="inlineStr">
        <is>
          <t>M</t>
        </is>
      </c>
      <c r="AK369" s="35" t="inlineStr">
        <is>
          <t>M</t>
        </is>
      </c>
      <c r="AL369" s="35" t="inlineStr">
        <is>
          <t>M</t>
        </is>
      </c>
      <c r="AM369" s="36" t="n">
        <v>0.583</v>
      </c>
      <c r="AN369" s="37" t="n">
        <v>0.16</v>
      </c>
      <c r="AO369" s="37" t="n">
        <v>0.09</v>
      </c>
      <c r="AP369" s="37" t="n">
        <v>0</v>
      </c>
      <c r="AQ369" s="37" t="n">
        <v>0.063</v>
      </c>
      <c r="AR369" s="37" t="n">
        <v>0.06</v>
      </c>
      <c r="AS369" s="37" t="n">
        <v>0.04</v>
      </c>
      <c r="AT369" s="38" t="inlineStr">
        <is>
          <t>2–5</t>
        </is>
      </c>
      <c r="AU369" s="38" t="inlineStr">
        <is>
          <t>Graduate; relevant certification preferred</t>
        </is>
      </c>
      <c r="AV369" s="38" t="inlineStr">
        <is>
          <t>None · guides 1–3 juniors informally</t>
        </is>
      </c>
      <c r="AW369" s="38" t="inlineStr">
        <is>
          <t>P2 · SFIA 3 Apply</t>
        </is>
      </c>
      <c r="AX36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69" s="39" t="inlineStr">
        <is>
          <t>A3</t>
        </is>
      </c>
      <c r="AZ369" s="40" t="inlineStr">
        <is>
          <t>Band A · Practitioner · Senior Associate</t>
        </is>
      </c>
      <c r="BA369" s="40" t="inlineStr">
        <is>
          <t>Model A3 from the six ratings, the market-derived weights and rules R1–R13 · then No change · already below the manager</t>
        </is>
      </c>
      <c r="BB369" s="41" t="inlineStr">
        <is>
          <t>A2</t>
        </is>
      </c>
      <c r="BC369" s="40" t="inlineStr">
        <is>
          <t>The six ratings on the market-average weights of Band A · all tracks score 2.15 → A2 · Hay, Mercer IPE and public plans · experience 4.3 yrs vs the A2 market range 0–3</t>
        </is>
      </c>
      <c r="BD369" s="42">
        <f>IF(SUM(BM369,BN369,BO369,BP369,BQ369,BR369,BS369)=0,0,(BM369*BT369+BN369*BU369+BO369*BV369+BP369*BW369+BQ369*BX369+BR369*BY369+BS369*BZ369)/SUM(BM369,BN369,BO369,BP369,BQ369,BR369,BS369))</f>
        <v>0</v>
      </c>
      <c r="BE369" s="41" t="str">
        <f>IF(LEFT(AY369,1)="X",AY369,IF(OR(AY369="B+",AY369="C+"),INDEX(LAD_PC,MAX(1,MIN(14,MATCH(AY369,LAD_PC,0)+IF(BD369&gt;=0.5,1,IF(BD369&lt;=-0.5,-1,0))))),INDEX(LAD_STD,MAX(1,MIN(12,MATCH(AY369,LAD_STD,0)+IF(BD369&gt;=0.5,1,IF(BD369&lt;=-0.5,-1,0)))))))</f>
        <v>A3</v>
      </c>
      <c r="BF369" s="43" t="n"/>
      <c r="BG369" s="41" t="str">
        <f>IF(BF369&lt;&gt;"",BF369,BE369)</f>
        <v>A3</v>
      </c>
      <c r="BH369" s="40" t="str">
        <f>IFERROR(CHOOSE(INDEX(B_RANK,MATCH(BG369,B_LVL,0)),"Band A","Band B","B+ · Player-Coach","Band C","C+ · Player-Coach","Band D","Band E"),"Band X · Consultant")</f>
        <v>Band A</v>
      </c>
      <c r="BI369" s="40" t="str">
        <f>IF(BG369=AY369,"• Same",IF(INDEX(B_VAL,MATCH(BG369,B_LVL,0))&gt;INDEX(B_VAL,MATCH(AY369,B_LVL,0)),"▲ Up","▼ Down"))</f>
        <v>• Same</v>
      </c>
      <c r="BJ369" s="40" t="str">
        <f>IF(OR($M369="",$M369="—",$M369="Not in this file"),"",IFERROR(INDEX($BG$7:$BG$592,MATCH($M369,$D$7:$D$592,0)),""))</f>
        <v>B2</v>
      </c>
      <c r="BK369" s="40" t="str">
        <f>IFERROR(IF(BJ369="","—",IF(OR(LEFT(BG369,1)="X",LEFT(BJ369,1)="X"),"—",IF(AND(LEFT(BG369,1)="E",LEFT(BJ369,1)="E"),"Exception · Band E",IF(AND(INDEX(B_VAL,MATCH(BJ369,B_LVL,0))&gt;=7,INDEX(B_RANK,MATCH(BG369,B_LVL,0))&gt;=INDEX(B_RANK,MATCH(BJ369,B_LVL,0))),"⚠ Same band as a head manager",IF(INDEX(B_VAL,MATCH(BG369,B_LVL,0))&gt;=INDEX(B_VAL,MATCH(BJ369,B_LVL,0)),"⚠ At or above the manager's level","OK"))))),"—")</f>
        <v>OK</v>
      </c>
      <c r="BL369" s="43" t="n"/>
      <c r="BM369" s="44">
        <f>IFERROR(INDEX(LMH_PTS,MATCH(Y369,LMH_KEY,0)),0)</f>
        <v>9</v>
      </c>
      <c r="BN369" s="38">
        <f>IFERROR(INDEX(LMH_PTS,MATCH(Z369,LMH_KEY,0)),0)</f>
        <v>3</v>
      </c>
      <c r="BO369" s="38">
        <f>IFERROR(INDEX(LMH_PTS,MATCH(AA369,LMH_KEY,0)),0)</f>
        <v>1</v>
      </c>
      <c r="BP369" s="38">
        <f>IFERROR(INDEX(LMH_PTS,MATCH(AB369,LMH_KEY,0)),0)</f>
        <v>1</v>
      </c>
      <c r="BQ369" s="38">
        <f>IFERROR(INDEX(LMH_PTS,MATCH(AC369,LMH_KEY,0)),0)</f>
        <v>1</v>
      </c>
      <c r="BR369" s="38">
        <f>IFERROR(INDEX(LMH_PTS,MATCH(AD369,LMH_KEY,0)),0)</f>
        <v>1</v>
      </c>
      <c r="BS369" s="38">
        <f>IFERROR(INDEX(LMH_PTS,MATCH(AE369,LMH_KEY,0)),0)</f>
        <v>1</v>
      </c>
      <c r="BT369" s="38">
        <f>IFERROR(INDEX(LMH_STEP,MATCH(AF369,LMH_KEY,0)),0)</f>
        <v>0</v>
      </c>
      <c r="BU369" s="38">
        <f>IFERROR(INDEX(LMH_STEP,MATCH(AG369,LMH_KEY,0)),0)</f>
        <v>0</v>
      </c>
      <c r="BV369" s="38">
        <f>IFERROR(INDEX(LMH_STEP,MATCH(AH369,LMH_KEY,0)),0)</f>
        <v>0</v>
      </c>
      <c r="BW369" s="38">
        <f>IFERROR(INDEX(LMH_STEP,MATCH(AI369,LMH_KEY,0)),0)</f>
        <v>0</v>
      </c>
      <c r="BX369" s="38">
        <f>IFERROR(INDEX(LMH_STEP,MATCH(AJ369,LMH_KEY,0)),0)</f>
        <v>0</v>
      </c>
      <c r="BY369" s="38">
        <f>IFERROR(INDEX(LMH_STEP,MATCH(AK369,LMH_KEY,0)),0)</f>
        <v>0</v>
      </c>
      <c r="BZ369" s="38">
        <f>IFERROR(INDEX(LMH_STEP,MATCH(AL369,LMH_KEY,0)),0)</f>
        <v>0</v>
      </c>
      <c r="CA369" s="38" t="inlineStr">
        <is>
          <t>iFile|Technology|Senior Software Engineer|A3|A</t>
        </is>
      </c>
    </row>
    <row r="370" ht="110" customHeight="1">
      <c r="A370" s="28" t="inlineStr">
        <is>
          <t>iFile</t>
        </is>
      </c>
      <c r="B370" s="29" t="inlineStr">
        <is>
          <t>Technology</t>
        </is>
      </c>
      <c r="C370" s="29" t="n">
        <v>4</v>
      </c>
      <c r="D370" s="29" t="inlineStr">
        <is>
          <t>IRIS1906</t>
        </is>
      </c>
      <c r="E370" s="29" t="inlineStr">
        <is>
          <t>Gaurav Ghare</t>
        </is>
      </c>
      <c r="F370" s="29" t="inlineStr">
        <is>
          <t>Senior Software Engineer</t>
        </is>
      </c>
      <c r="G370" s="29" t="inlineStr">
        <is>
          <t>Senior Software Engineer</t>
        </is>
      </c>
      <c r="H370" s="29" t="inlineStr">
        <is>
          <t>Engineering &amp; Development</t>
        </is>
      </c>
      <c r="I370" s="29" t="inlineStr">
        <is>
          <t>Backend Development</t>
        </is>
      </c>
      <c r="J370" s="29" t="inlineStr">
        <is>
          <t>IC</t>
        </is>
      </c>
      <c r="K370" s="29" t="inlineStr">
        <is>
          <t>RC-067</t>
        </is>
      </c>
      <c r="L370" s="29" t="inlineStr">
        <is>
          <t>Nikhil Nalawade</t>
        </is>
      </c>
      <c r="M370" s="29" t="inlineStr">
        <is>
          <t>IRIS0846</t>
        </is>
      </c>
      <c r="N370" s="29" t="n">
        <v>9.4</v>
      </c>
      <c r="O370" s="29" t="n">
        <v>5.4</v>
      </c>
      <c r="P370" s="29" t="inlineStr">
        <is>
          <t>B.E</t>
        </is>
      </c>
      <c r="Q370" s="29" t="inlineStr">
        <is>
          <t>L4 – Senior</t>
        </is>
      </c>
      <c r="R370" s="29" t="inlineStr">
        <is>
          <t>A3</t>
        </is>
      </c>
      <c r="S370" s="30" t="inlineStr">
        <is>
          <t>19 of 20</t>
        </is>
      </c>
      <c r="T370" s="31" t="inlineStr">
        <is>
          <t>Complexity: Evidence reads like A2: Client support: data reports, log checks and finding the issue cause in code → moved down 0.5
Autonomy: Evidence reads like A2: Decides only the cause of an application issue; says no judgement is needed → moved down 0.5
Accountability: Evidence reads like A3: Data reports and issue fixes go straight to the client under …</t>
        </is>
      </c>
      <c r="U370" s="31" t="inlineStr">
        <is>
          <t>Received · manager annual, quarterly, self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370" s="31" t="inlineStr">
        <is>
          <t>Latest rating: 3 · Potential: Medium · 9-box: Emerging Talent · Readiness: Develop in role</t>
        </is>
      </c>
      <c r="W370" s="31" t="inlineStr">
        <is>
          <t>C M · Au M · Ac M · L L · BI M · Exp H · 9.4 yrs vs 2–4 yrs · Edu M · B.E</t>
        </is>
      </c>
      <c r="X370" s="33" t="inlineStr">
        <is>
          <t>Open ▸</t>
        </is>
      </c>
      <c r="Y370" s="34" t="str">
        <f>IFERROR(INDEX(DL_C,MATCH($CA370,DL_KEY,0)),"M")</f>
        <v>H</v>
      </c>
      <c r="Z370" s="35" t="str">
        <f>IFERROR(INDEX(DL_Au,MATCH($CA370,DL_KEY,0)),"M")</f>
        <v>M</v>
      </c>
      <c r="AA370" s="35" t="str">
        <f>IFERROR(INDEX(DL_Ac,MATCH($CA370,DL_KEY,0)),"M")</f>
        <v>L</v>
      </c>
      <c r="AB370" s="35" t="str">
        <f>IFERROR(INDEX(DL_L,MATCH($CA370,DL_KEY,0)),"M")</f>
        <v>L</v>
      </c>
      <c r="AC370" s="35" t="str">
        <f>IFERROR(INDEX(DL_BI,MATCH($CA370,DL_KEY,0)),"M")</f>
        <v>L</v>
      </c>
      <c r="AD370" s="35" t="str">
        <f>IFERROR(INDEX(DL_Exp,MATCH($CA370,DL_KEY,0)),"M")</f>
        <v>L</v>
      </c>
      <c r="AE370" s="35" t="str">
        <f>IFERROR(INDEX(DL_Edu,MATCH($CA370,DL_KEY,0)),"M")</f>
        <v>L</v>
      </c>
      <c r="AF370" s="34" t="inlineStr">
        <is>
          <t>M</t>
        </is>
      </c>
      <c r="AG370" s="35" t="inlineStr">
        <is>
          <t>M</t>
        </is>
      </c>
      <c r="AH370" s="35" t="inlineStr">
        <is>
          <t>M</t>
        </is>
      </c>
      <c r="AI370" s="35" t="inlineStr">
        <is>
          <t>M</t>
        </is>
      </c>
      <c r="AJ370" s="35" t="inlineStr">
        <is>
          <t>M</t>
        </is>
      </c>
      <c r="AK370" s="35" t="inlineStr">
        <is>
          <t>M</t>
        </is>
      </c>
      <c r="AL370" s="35" t="inlineStr">
        <is>
          <t>M</t>
        </is>
      </c>
      <c r="AM370" s="36" t="n">
        <v>0.583</v>
      </c>
      <c r="AN370" s="37" t="n">
        <v>0.16</v>
      </c>
      <c r="AO370" s="37" t="n">
        <v>0.09</v>
      </c>
      <c r="AP370" s="37" t="n">
        <v>0</v>
      </c>
      <c r="AQ370" s="37" t="n">
        <v>0.063</v>
      </c>
      <c r="AR370" s="37" t="n">
        <v>0.06</v>
      </c>
      <c r="AS370" s="37" t="n">
        <v>0.04</v>
      </c>
      <c r="AT370" s="38" t="inlineStr">
        <is>
          <t>2–5</t>
        </is>
      </c>
      <c r="AU370" s="38" t="inlineStr">
        <is>
          <t>Graduate; relevant certification preferred</t>
        </is>
      </c>
      <c r="AV370" s="38" t="inlineStr">
        <is>
          <t>None · guides 1–3 juniors informally</t>
        </is>
      </c>
      <c r="AW370" s="38" t="inlineStr">
        <is>
          <t>P2 · SFIA 3 Apply</t>
        </is>
      </c>
      <c r="AX37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70" s="39" t="inlineStr">
        <is>
          <t>A3</t>
        </is>
      </c>
      <c r="AZ370" s="40" t="inlineStr">
        <is>
          <t>Band A · Practitioner · Senior Associate</t>
        </is>
      </c>
      <c r="BA370" s="40" t="inlineStr">
        <is>
          <t>Model A3 from the six ratings, the market-derived weights and rules R1–R13 · then No change · already below the manager</t>
        </is>
      </c>
      <c r="BB370" s="41" t="inlineStr">
        <is>
          <t>A3</t>
        </is>
      </c>
      <c r="BC370" s="40" t="inlineStr">
        <is>
          <t>The six ratings on the market-average weights of Band A · all tracks score 2.93 → A3 · Hay, Mercer IPE and public plans · experience 9.4 yrs vs the A3 market range 2–5</t>
        </is>
      </c>
      <c r="BD370" s="42">
        <f>IF(SUM(BM370,BN370,BO370,BP370,BQ370,BR370,BS370)=0,0,(BM370*BT370+BN370*BU370+BO370*BV370+BP370*BW370+BQ370*BX370+BR370*BY370+BS370*BZ370)/SUM(BM370,BN370,BO370,BP370,BQ370,BR370,BS370))</f>
        <v>0</v>
      </c>
      <c r="BE370" s="41" t="str">
        <f>IF(LEFT(AY370,1)="X",AY370,IF(OR(AY370="B+",AY370="C+"),INDEX(LAD_PC,MAX(1,MIN(14,MATCH(AY370,LAD_PC,0)+IF(BD370&gt;=0.5,1,IF(BD370&lt;=-0.5,-1,0))))),INDEX(LAD_STD,MAX(1,MIN(12,MATCH(AY370,LAD_STD,0)+IF(BD370&gt;=0.5,1,IF(BD370&lt;=-0.5,-1,0)))))))</f>
        <v>A3</v>
      </c>
      <c r="BF370" s="43" t="n"/>
      <c r="BG370" s="41" t="str">
        <f>IF(BF370&lt;&gt;"",BF370,BE370)</f>
        <v>A3</v>
      </c>
      <c r="BH370" s="40" t="str">
        <f>IFERROR(CHOOSE(INDEX(B_RANK,MATCH(BG370,B_LVL,0)),"Band A","Band B","B+ · Player-Coach","Band C","C+ · Player-Coach","Band D","Band E"),"Band X · Consultant")</f>
        <v>Band A</v>
      </c>
      <c r="BI370" s="40" t="str">
        <f>IF(BG370=AY370,"• Same",IF(INDEX(B_VAL,MATCH(BG370,B_LVL,0))&gt;INDEX(B_VAL,MATCH(AY370,B_LVL,0)),"▲ Up","▼ Down"))</f>
        <v>• Same</v>
      </c>
      <c r="BJ370" s="40" t="str">
        <f>IF(OR($M370="",$M370="—",$M370="Not in this file"),"",IFERROR(INDEX($BG$7:$BG$592,MATCH($M370,$D$7:$D$592,0)),""))</f>
        <v>B2</v>
      </c>
      <c r="BK370" s="40" t="str">
        <f>IFERROR(IF(BJ370="","—",IF(OR(LEFT(BG370,1)="X",LEFT(BJ370,1)="X"),"—",IF(AND(LEFT(BG370,1)="E",LEFT(BJ370,1)="E"),"Exception · Band E",IF(AND(INDEX(B_VAL,MATCH(BJ370,B_LVL,0))&gt;=7,INDEX(B_RANK,MATCH(BG370,B_LVL,0))&gt;=INDEX(B_RANK,MATCH(BJ370,B_LVL,0))),"⚠ Same band as a head manager",IF(INDEX(B_VAL,MATCH(BG370,B_LVL,0))&gt;=INDEX(B_VAL,MATCH(BJ370,B_LVL,0)),"⚠ At or above the manager's level","OK"))))),"—")</f>
        <v>OK</v>
      </c>
      <c r="BL370" s="43" t="n"/>
      <c r="BM370" s="44">
        <f>IFERROR(INDEX(LMH_PTS,MATCH(Y370,LMH_KEY,0)),0)</f>
        <v>9</v>
      </c>
      <c r="BN370" s="38">
        <f>IFERROR(INDEX(LMH_PTS,MATCH(Z370,LMH_KEY,0)),0)</f>
        <v>3</v>
      </c>
      <c r="BO370" s="38">
        <f>IFERROR(INDEX(LMH_PTS,MATCH(AA370,LMH_KEY,0)),0)</f>
        <v>1</v>
      </c>
      <c r="BP370" s="38">
        <f>IFERROR(INDEX(LMH_PTS,MATCH(AB370,LMH_KEY,0)),0)</f>
        <v>1</v>
      </c>
      <c r="BQ370" s="38">
        <f>IFERROR(INDEX(LMH_PTS,MATCH(AC370,LMH_KEY,0)),0)</f>
        <v>1</v>
      </c>
      <c r="BR370" s="38">
        <f>IFERROR(INDEX(LMH_PTS,MATCH(AD370,LMH_KEY,0)),0)</f>
        <v>1</v>
      </c>
      <c r="BS370" s="38">
        <f>IFERROR(INDEX(LMH_PTS,MATCH(AE370,LMH_KEY,0)),0)</f>
        <v>1</v>
      </c>
      <c r="BT370" s="38">
        <f>IFERROR(INDEX(LMH_STEP,MATCH(AF370,LMH_KEY,0)),0)</f>
        <v>0</v>
      </c>
      <c r="BU370" s="38">
        <f>IFERROR(INDEX(LMH_STEP,MATCH(AG370,LMH_KEY,0)),0)</f>
        <v>0</v>
      </c>
      <c r="BV370" s="38">
        <f>IFERROR(INDEX(LMH_STEP,MATCH(AH370,LMH_KEY,0)),0)</f>
        <v>0</v>
      </c>
      <c r="BW370" s="38">
        <f>IFERROR(INDEX(LMH_STEP,MATCH(AI370,LMH_KEY,0)),0)</f>
        <v>0</v>
      </c>
      <c r="BX370" s="38">
        <f>IFERROR(INDEX(LMH_STEP,MATCH(AJ370,LMH_KEY,0)),0)</f>
        <v>0</v>
      </c>
      <c r="BY370" s="38">
        <f>IFERROR(INDEX(LMH_STEP,MATCH(AK370,LMH_KEY,0)),0)</f>
        <v>0</v>
      </c>
      <c r="BZ370" s="38">
        <f>IFERROR(INDEX(LMH_STEP,MATCH(AL370,LMH_KEY,0)),0)</f>
        <v>0</v>
      </c>
      <c r="CA370" s="38" t="inlineStr">
        <is>
          <t>iFile|Technology|Senior Software Engineer|A3|A</t>
        </is>
      </c>
    </row>
    <row r="371" ht="110" customHeight="1">
      <c r="A371" s="28" t="inlineStr">
        <is>
          <t>iFile</t>
        </is>
      </c>
      <c r="B371" s="29" t="inlineStr">
        <is>
          <t>Technology</t>
        </is>
      </c>
      <c r="C371" s="29" t="n">
        <v>4</v>
      </c>
      <c r="D371" s="29" t="inlineStr">
        <is>
          <t>IRIS2470</t>
        </is>
      </c>
      <c r="E371" s="29" t="inlineStr">
        <is>
          <t>Khelendra Pratap Singh</t>
        </is>
      </c>
      <c r="F371" s="29" t="inlineStr">
        <is>
          <t>Senior Software Engineer</t>
        </is>
      </c>
      <c r="G371" s="29" t="inlineStr">
        <is>
          <t>Senior Software Engineer</t>
        </is>
      </c>
      <c r="H371" s="29" t="inlineStr">
        <is>
          <t>Engineering &amp; Development</t>
        </is>
      </c>
      <c r="I371" s="29" t="inlineStr">
        <is>
          <t>Backend Development</t>
        </is>
      </c>
      <c r="J371" s="29" t="inlineStr">
        <is>
          <t>IC</t>
        </is>
      </c>
      <c r="K371" s="29" t="inlineStr">
        <is>
          <t>RC-067</t>
        </is>
      </c>
      <c r="L371" s="29" t="inlineStr">
        <is>
          <t>Nikhil Nalawade</t>
        </is>
      </c>
      <c r="M371" s="29" t="inlineStr">
        <is>
          <t>IRIS0846</t>
        </is>
      </c>
      <c r="N371" s="29" t="n">
        <v>6.6</v>
      </c>
      <c r="O371" s="29" t="n">
        <v>0.6</v>
      </c>
      <c r="P371" s="29" t="inlineStr">
        <is>
          <t>B.E</t>
        </is>
      </c>
      <c r="Q371" s="29" t="inlineStr">
        <is>
          <t>L4 – Senior</t>
        </is>
      </c>
      <c r="R371" s="29" t="inlineStr">
        <is>
          <t>A3</t>
        </is>
      </c>
      <c r="S371" s="30" t="inlineStr">
        <is>
          <t>20 of 20</t>
        </is>
      </c>
      <c r="T371" s="31" t="inlineStr">
        <is>
          <t>Complexity: Evidence reads like B1: Produces architecture documents and designs product configurability; handles complex scenarios → moved up 0.5
Autonomy: Evidence reads like A3: Decides testing, technical analysis, deployment, bug fixes and configuration choices → matches the start
Accountability: Evidence reads like A2: Design and development of own …</t>
        </is>
      </c>
      <c r="U371" s="31" t="inlineStr">
        <is>
          <t>Received · manager annual, quarterly, self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371" s="31" t="inlineStr">
        <is>
          <t>Latest rating: 3 · Potential: Medium · 9-box: Emerging Talent · Readiness: Develop in role</t>
        </is>
      </c>
      <c r="W371" s="31" t="inlineStr">
        <is>
          <t>C M · Au M · Ac M · L L · BI M · Exp H · 6.6 yrs vs 2–4 yrs · Edu M · B.E</t>
        </is>
      </c>
      <c r="X371" s="33" t="inlineStr">
        <is>
          <t>Open ▸</t>
        </is>
      </c>
      <c r="Y371" s="34" t="str">
        <f>IFERROR(INDEX(DL_C,MATCH($CA371,DL_KEY,0)),"M")</f>
        <v>H</v>
      </c>
      <c r="Z371" s="35" t="str">
        <f>IFERROR(INDEX(DL_Au,MATCH($CA371,DL_KEY,0)),"M")</f>
        <v>M</v>
      </c>
      <c r="AA371" s="35" t="str">
        <f>IFERROR(INDEX(DL_Ac,MATCH($CA371,DL_KEY,0)),"M")</f>
        <v>L</v>
      </c>
      <c r="AB371" s="35" t="str">
        <f>IFERROR(INDEX(DL_L,MATCH($CA371,DL_KEY,0)),"M")</f>
        <v>L</v>
      </c>
      <c r="AC371" s="35" t="str">
        <f>IFERROR(INDEX(DL_BI,MATCH($CA371,DL_KEY,0)),"M")</f>
        <v>L</v>
      </c>
      <c r="AD371" s="35" t="str">
        <f>IFERROR(INDEX(DL_Exp,MATCH($CA371,DL_KEY,0)),"M")</f>
        <v>L</v>
      </c>
      <c r="AE371" s="35" t="str">
        <f>IFERROR(INDEX(DL_Edu,MATCH($CA371,DL_KEY,0)),"M")</f>
        <v>L</v>
      </c>
      <c r="AF371" s="34" t="inlineStr">
        <is>
          <t>M</t>
        </is>
      </c>
      <c r="AG371" s="35" t="inlineStr">
        <is>
          <t>M</t>
        </is>
      </c>
      <c r="AH371" s="35" t="inlineStr">
        <is>
          <t>M</t>
        </is>
      </c>
      <c r="AI371" s="35" t="inlineStr">
        <is>
          <t>M</t>
        </is>
      </c>
      <c r="AJ371" s="35" t="inlineStr">
        <is>
          <t>M</t>
        </is>
      </c>
      <c r="AK371" s="35" t="inlineStr">
        <is>
          <t>M</t>
        </is>
      </c>
      <c r="AL371" s="35" t="inlineStr">
        <is>
          <t>M</t>
        </is>
      </c>
      <c r="AM371" s="36" t="n">
        <v>0.583</v>
      </c>
      <c r="AN371" s="37" t="n">
        <v>0.16</v>
      </c>
      <c r="AO371" s="37" t="n">
        <v>0.09</v>
      </c>
      <c r="AP371" s="37" t="n">
        <v>0</v>
      </c>
      <c r="AQ371" s="37" t="n">
        <v>0.063</v>
      </c>
      <c r="AR371" s="37" t="n">
        <v>0.06</v>
      </c>
      <c r="AS371" s="37" t="n">
        <v>0.04</v>
      </c>
      <c r="AT371" s="38" t="inlineStr">
        <is>
          <t>2–5</t>
        </is>
      </c>
      <c r="AU371" s="38" t="inlineStr">
        <is>
          <t>Graduate; relevant certification preferred</t>
        </is>
      </c>
      <c r="AV371" s="38" t="inlineStr">
        <is>
          <t>None · guides 1–3 juniors informally</t>
        </is>
      </c>
      <c r="AW371" s="38" t="inlineStr">
        <is>
          <t>P2 · SFIA 3 Apply</t>
        </is>
      </c>
      <c r="AX37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71" s="39" t="inlineStr">
        <is>
          <t>A3</t>
        </is>
      </c>
      <c r="AZ371" s="40" t="inlineStr">
        <is>
          <t>Band A · Practitioner · Senior Associate</t>
        </is>
      </c>
      <c r="BA371" s="40" t="inlineStr">
        <is>
          <t>Model A3 from the six ratings, the market-derived weights and rules R1–R13 · then No change · already below the manager</t>
        </is>
      </c>
      <c r="BB371" s="41" t="inlineStr">
        <is>
          <t>A3</t>
        </is>
      </c>
      <c r="BC371" s="40" t="inlineStr">
        <is>
          <t>The six ratings on the market-average weights of Band A · all tracks score 3.37 → A3 · Hay, Mercer IPE and public plans · experience 6.6 yrs vs the A3 market range 2–5</t>
        </is>
      </c>
      <c r="BD371" s="42">
        <f>IF(SUM(BM371,BN371,BO371,BP371,BQ371,BR371,BS371)=0,0,(BM371*BT371+BN371*BU371+BO371*BV371+BP371*BW371+BQ371*BX371+BR371*BY371+BS371*BZ371)/SUM(BM371,BN371,BO371,BP371,BQ371,BR371,BS371))</f>
        <v>0</v>
      </c>
      <c r="BE371" s="41" t="str">
        <f>IF(LEFT(AY371,1)="X",AY371,IF(OR(AY371="B+",AY371="C+"),INDEX(LAD_PC,MAX(1,MIN(14,MATCH(AY371,LAD_PC,0)+IF(BD371&gt;=0.5,1,IF(BD371&lt;=-0.5,-1,0))))),INDEX(LAD_STD,MAX(1,MIN(12,MATCH(AY371,LAD_STD,0)+IF(BD371&gt;=0.5,1,IF(BD371&lt;=-0.5,-1,0)))))))</f>
        <v>A3</v>
      </c>
      <c r="BF371" s="43" t="n"/>
      <c r="BG371" s="41" t="str">
        <f>IF(BF371&lt;&gt;"",BF371,BE371)</f>
        <v>A3</v>
      </c>
      <c r="BH371" s="40" t="str">
        <f>IFERROR(CHOOSE(INDEX(B_RANK,MATCH(BG371,B_LVL,0)),"Band A","Band B","B+ · Player-Coach","Band C","C+ · Player-Coach","Band D","Band E"),"Band X · Consultant")</f>
        <v>Band A</v>
      </c>
      <c r="BI371" s="40" t="str">
        <f>IF(BG371=AY371,"• Same",IF(INDEX(B_VAL,MATCH(BG371,B_LVL,0))&gt;INDEX(B_VAL,MATCH(AY371,B_LVL,0)),"▲ Up","▼ Down"))</f>
        <v>• Same</v>
      </c>
      <c r="BJ371" s="40" t="str">
        <f>IF(OR($M371="",$M371="—",$M371="Not in this file"),"",IFERROR(INDEX($BG$7:$BG$592,MATCH($M371,$D$7:$D$592,0)),""))</f>
        <v>B2</v>
      </c>
      <c r="BK371" s="40" t="str">
        <f>IFERROR(IF(BJ371="","—",IF(OR(LEFT(BG371,1)="X",LEFT(BJ371,1)="X"),"—",IF(AND(LEFT(BG371,1)="E",LEFT(BJ371,1)="E"),"Exception · Band E",IF(AND(INDEX(B_VAL,MATCH(BJ371,B_LVL,0))&gt;=7,INDEX(B_RANK,MATCH(BG371,B_LVL,0))&gt;=INDEX(B_RANK,MATCH(BJ371,B_LVL,0))),"⚠ Same band as a head manager",IF(INDEX(B_VAL,MATCH(BG371,B_LVL,0))&gt;=INDEX(B_VAL,MATCH(BJ371,B_LVL,0)),"⚠ At or above the manager's level","OK"))))),"—")</f>
        <v>OK</v>
      </c>
      <c r="BL371" s="43" t="n"/>
      <c r="BM371" s="44">
        <f>IFERROR(INDEX(LMH_PTS,MATCH(Y371,LMH_KEY,0)),0)</f>
        <v>9</v>
      </c>
      <c r="BN371" s="38">
        <f>IFERROR(INDEX(LMH_PTS,MATCH(Z371,LMH_KEY,0)),0)</f>
        <v>3</v>
      </c>
      <c r="BO371" s="38">
        <f>IFERROR(INDEX(LMH_PTS,MATCH(AA371,LMH_KEY,0)),0)</f>
        <v>1</v>
      </c>
      <c r="BP371" s="38">
        <f>IFERROR(INDEX(LMH_PTS,MATCH(AB371,LMH_KEY,0)),0)</f>
        <v>1</v>
      </c>
      <c r="BQ371" s="38">
        <f>IFERROR(INDEX(LMH_PTS,MATCH(AC371,LMH_KEY,0)),0)</f>
        <v>1</v>
      </c>
      <c r="BR371" s="38">
        <f>IFERROR(INDEX(LMH_PTS,MATCH(AD371,LMH_KEY,0)),0)</f>
        <v>1</v>
      </c>
      <c r="BS371" s="38">
        <f>IFERROR(INDEX(LMH_PTS,MATCH(AE371,LMH_KEY,0)),0)</f>
        <v>1</v>
      </c>
      <c r="BT371" s="38">
        <f>IFERROR(INDEX(LMH_STEP,MATCH(AF371,LMH_KEY,0)),0)</f>
        <v>0</v>
      </c>
      <c r="BU371" s="38">
        <f>IFERROR(INDEX(LMH_STEP,MATCH(AG371,LMH_KEY,0)),0)</f>
        <v>0</v>
      </c>
      <c r="BV371" s="38">
        <f>IFERROR(INDEX(LMH_STEP,MATCH(AH371,LMH_KEY,0)),0)</f>
        <v>0</v>
      </c>
      <c r="BW371" s="38">
        <f>IFERROR(INDEX(LMH_STEP,MATCH(AI371,LMH_KEY,0)),0)</f>
        <v>0</v>
      </c>
      <c r="BX371" s="38">
        <f>IFERROR(INDEX(LMH_STEP,MATCH(AJ371,LMH_KEY,0)),0)</f>
        <v>0</v>
      </c>
      <c r="BY371" s="38">
        <f>IFERROR(INDEX(LMH_STEP,MATCH(AK371,LMH_KEY,0)),0)</f>
        <v>0</v>
      </c>
      <c r="BZ371" s="38">
        <f>IFERROR(INDEX(LMH_STEP,MATCH(AL371,LMH_KEY,0)),0)</f>
        <v>0</v>
      </c>
      <c r="CA371" s="38" t="inlineStr">
        <is>
          <t>iFile|Technology|Senior Software Engineer|A3|A</t>
        </is>
      </c>
    </row>
    <row r="372" ht="110" customHeight="1">
      <c r="A372" s="28" t="inlineStr">
        <is>
          <t>iFile</t>
        </is>
      </c>
      <c r="B372" s="29" t="inlineStr">
        <is>
          <t>Technology</t>
        </is>
      </c>
      <c r="C372" s="29" t="n">
        <v>4</v>
      </c>
      <c r="D372" s="29" t="inlineStr">
        <is>
          <t>IRIS2422</t>
        </is>
      </c>
      <c r="E372" s="29" t="inlineStr">
        <is>
          <t>Mahtab Shah</t>
        </is>
      </c>
      <c r="F372" s="29" t="inlineStr">
        <is>
          <t>Software Engineer</t>
        </is>
      </c>
      <c r="G372" s="29" t="inlineStr">
        <is>
          <t>Senior Software Engineer</t>
        </is>
      </c>
      <c r="H372" s="29" t="inlineStr">
        <is>
          <t>Engineering &amp; Development</t>
        </is>
      </c>
      <c r="I372" s="29" t="inlineStr">
        <is>
          <t>Full-Stack Development</t>
        </is>
      </c>
      <c r="J372" s="29" t="inlineStr">
        <is>
          <t>IC</t>
        </is>
      </c>
      <c r="K372" s="29" t="inlineStr">
        <is>
          <t>RC-085</t>
        </is>
      </c>
      <c r="L372" s="29" t="inlineStr">
        <is>
          <t>Nikhil Nalawade</t>
        </is>
      </c>
      <c r="M372" s="29" t="inlineStr">
        <is>
          <t>IRIS0846</t>
        </is>
      </c>
      <c r="N372" s="29" t="n">
        <v>2.7</v>
      </c>
      <c r="O372" s="29" t="n">
        <v>1.1</v>
      </c>
      <c r="P372" s="29" t="inlineStr">
        <is>
          <t>B.E</t>
        </is>
      </c>
      <c r="Q372" s="29" t="inlineStr">
        <is>
          <t>L3 – Professional / Associate</t>
        </is>
      </c>
      <c r="R372" s="29" t="inlineStr">
        <is>
          <t>A3</t>
        </is>
      </c>
      <c r="S372" s="30" t="inlineStr">
        <is>
          <t>20 of 20</t>
        </is>
      </c>
      <c r="T372" s="31" t="inlineStr">
        <is>
          <t>Complexity: Evidence reads like A2: Feature development and troubleshooting across Java/Spring Boot and Angular; no specific harder work cited → matches the start
Autonomy: Evidence reads like A2: Decides 'implementation' only → matches the start
Accountability: Evidence reads like A2: Accountable for own software being reliable, meeting requirements and …</t>
        </is>
      </c>
      <c r="U372" s="31" t="inlineStr">
        <is>
          <t>Received · manager annual, quarterly, self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372" s="31" t="inlineStr">
        <is>
          <t>Latest rating: 3 · Potential: Medium · 9-box: Emerging Talent · Readiness: Develop in role</t>
        </is>
      </c>
      <c r="W372" s="31" t="inlineStr">
        <is>
          <t>C L · Au L · Ac L · L L · BI L · Exp M · 2.7 yrs vs 2–4 yrs · Edu M · B.E</t>
        </is>
      </c>
      <c r="X372" s="33" t="inlineStr">
        <is>
          <t>Open ▸</t>
        </is>
      </c>
      <c r="Y372" s="34" t="str">
        <f>IFERROR(INDEX(DL_C,MATCH($CA372,DL_KEY,0)),"M")</f>
        <v>H</v>
      </c>
      <c r="Z372" s="35" t="str">
        <f>IFERROR(INDEX(DL_Au,MATCH($CA372,DL_KEY,0)),"M")</f>
        <v>M</v>
      </c>
      <c r="AA372" s="35" t="str">
        <f>IFERROR(INDEX(DL_Ac,MATCH($CA372,DL_KEY,0)),"M")</f>
        <v>L</v>
      </c>
      <c r="AB372" s="35" t="str">
        <f>IFERROR(INDEX(DL_L,MATCH($CA372,DL_KEY,0)),"M")</f>
        <v>L</v>
      </c>
      <c r="AC372" s="35" t="str">
        <f>IFERROR(INDEX(DL_BI,MATCH($CA372,DL_KEY,0)),"M")</f>
        <v>L</v>
      </c>
      <c r="AD372" s="35" t="str">
        <f>IFERROR(INDEX(DL_Exp,MATCH($CA372,DL_KEY,0)),"M")</f>
        <v>L</v>
      </c>
      <c r="AE372" s="35" t="str">
        <f>IFERROR(INDEX(DL_Edu,MATCH($CA372,DL_KEY,0)),"M")</f>
        <v>L</v>
      </c>
      <c r="AF372" s="34" t="inlineStr">
        <is>
          <t>M</t>
        </is>
      </c>
      <c r="AG372" s="35" t="inlineStr">
        <is>
          <t>M</t>
        </is>
      </c>
      <c r="AH372" s="35" t="inlineStr">
        <is>
          <t>M</t>
        </is>
      </c>
      <c r="AI372" s="35" t="inlineStr">
        <is>
          <t>M</t>
        </is>
      </c>
      <c r="AJ372" s="35" t="inlineStr">
        <is>
          <t>M</t>
        </is>
      </c>
      <c r="AK372" s="35" t="inlineStr">
        <is>
          <t>M</t>
        </is>
      </c>
      <c r="AL372" s="35" t="inlineStr">
        <is>
          <t>M</t>
        </is>
      </c>
      <c r="AM372" s="36" t="n">
        <v>0.583</v>
      </c>
      <c r="AN372" s="37" t="n">
        <v>0.16</v>
      </c>
      <c r="AO372" s="37" t="n">
        <v>0.09</v>
      </c>
      <c r="AP372" s="37" t="n">
        <v>0</v>
      </c>
      <c r="AQ372" s="37" t="n">
        <v>0.063</v>
      </c>
      <c r="AR372" s="37" t="n">
        <v>0.06</v>
      </c>
      <c r="AS372" s="37" t="n">
        <v>0.04</v>
      </c>
      <c r="AT372" s="38" t="inlineStr">
        <is>
          <t>2–5</t>
        </is>
      </c>
      <c r="AU372" s="38" t="inlineStr">
        <is>
          <t>Graduate; relevant certification preferred</t>
        </is>
      </c>
      <c r="AV372" s="38" t="inlineStr">
        <is>
          <t>None · guides 1–3 juniors informally</t>
        </is>
      </c>
      <c r="AW372" s="38" t="inlineStr">
        <is>
          <t>P2 · SFIA 3 Apply</t>
        </is>
      </c>
      <c r="AX37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72" s="39" t="inlineStr">
        <is>
          <t>A3</t>
        </is>
      </c>
      <c r="AZ372" s="40" t="inlineStr">
        <is>
          <t>Band A · Practitioner · Senior Associate</t>
        </is>
      </c>
      <c r="BA372" s="40" t="inlineStr">
        <is>
          <t>Model A3 from the six ratings, the market-derived weights and rules R1–R13 · then No change · already below the manager</t>
        </is>
      </c>
      <c r="BB372" s="41" t="inlineStr">
        <is>
          <t>A2</t>
        </is>
      </c>
      <c r="BC372" s="40" t="inlineStr">
        <is>
          <t>The six ratings on the market-average weights of Band A · all tracks score 2.10 → A2 · Hay, Mercer IPE and public plans · experience 2.7 yrs vs the A2 market range 0–3</t>
        </is>
      </c>
      <c r="BD372" s="42">
        <f>IF(SUM(BM372,BN372,BO372,BP372,BQ372,BR372,BS372)=0,0,(BM372*BT372+BN372*BU372+BO372*BV372+BP372*BW372+BQ372*BX372+BR372*BY372+BS372*BZ372)/SUM(BM372,BN372,BO372,BP372,BQ372,BR372,BS372))</f>
        <v>0</v>
      </c>
      <c r="BE372" s="41" t="str">
        <f>IF(LEFT(AY372,1)="X",AY372,IF(OR(AY372="B+",AY372="C+"),INDEX(LAD_PC,MAX(1,MIN(14,MATCH(AY372,LAD_PC,0)+IF(BD372&gt;=0.5,1,IF(BD372&lt;=-0.5,-1,0))))),INDEX(LAD_STD,MAX(1,MIN(12,MATCH(AY372,LAD_STD,0)+IF(BD372&gt;=0.5,1,IF(BD372&lt;=-0.5,-1,0)))))))</f>
        <v>A3</v>
      </c>
      <c r="BF372" s="43" t="n"/>
      <c r="BG372" s="41" t="str">
        <f>IF(BF372&lt;&gt;"",BF372,BE372)</f>
        <v>A3</v>
      </c>
      <c r="BH372" s="40" t="str">
        <f>IFERROR(CHOOSE(INDEX(B_RANK,MATCH(BG372,B_LVL,0)),"Band A","Band B","B+ · Player-Coach","Band C","C+ · Player-Coach","Band D","Band E"),"Band X · Consultant")</f>
        <v>Band A</v>
      </c>
      <c r="BI372" s="40" t="str">
        <f>IF(BG372=AY372,"• Same",IF(INDEX(B_VAL,MATCH(BG372,B_LVL,0))&gt;INDEX(B_VAL,MATCH(AY372,B_LVL,0)),"▲ Up","▼ Down"))</f>
        <v>• Same</v>
      </c>
      <c r="BJ372" s="40" t="str">
        <f>IF(OR($M372="",$M372="—",$M372="Not in this file"),"",IFERROR(INDEX($BG$7:$BG$592,MATCH($M372,$D$7:$D$592,0)),""))</f>
        <v>B2</v>
      </c>
      <c r="BK372" s="40" t="str">
        <f>IFERROR(IF(BJ372="","—",IF(OR(LEFT(BG372,1)="X",LEFT(BJ372,1)="X"),"—",IF(AND(LEFT(BG372,1)="E",LEFT(BJ372,1)="E"),"Exception · Band E",IF(AND(INDEX(B_VAL,MATCH(BJ372,B_LVL,0))&gt;=7,INDEX(B_RANK,MATCH(BG372,B_LVL,0))&gt;=INDEX(B_RANK,MATCH(BJ372,B_LVL,0))),"⚠ Same band as a head manager",IF(INDEX(B_VAL,MATCH(BG372,B_LVL,0))&gt;=INDEX(B_VAL,MATCH(BJ372,B_LVL,0)),"⚠ At or above the manager's level","OK"))))),"—")</f>
        <v>OK</v>
      </c>
      <c r="BL372" s="43" t="n"/>
      <c r="BM372" s="44">
        <f>IFERROR(INDEX(LMH_PTS,MATCH(Y372,LMH_KEY,0)),0)</f>
        <v>9</v>
      </c>
      <c r="BN372" s="38">
        <f>IFERROR(INDEX(LMH_PTS,MATCH(Z372,LMH_KEY,0)),0)</f>
        <v>3</v>
      </c>
      <c r="BO372" s="38">
        <f>IFERROR(INDEX(LMH_PTS,MATCH(AA372,LMH_KEY,0)),0)</f>
        <v>1</v>
      </c>
      <c r="BP372" s="38">
        <f>IFERROR(INDEX(LMH_PTS,MATCH(AB372,LMH_KEY,0)),0)</f>
        <v>1</v>
      </c>
      <c r="BQ372" s="38">
        <f>IFERROR(INDEX(LMH_PTS,MATCH(AC372,LMH_KEY,0)),0)</f>
        <v>1</v>
      </c>
      <c r="BR372" s="38">
        <f>IFERROR(INDEX(LMH_PTS,MATCH(AD372,LMH_KEY,0)),0)</f>
        <v>1</v>
      </c>
      <c r="BS372" s="38">
        <f>IFERROR(INDEX(LMH_PTS,MATCH(AE372,LMH_KEY,0)),0)</f>
        <v>1</v>
      </c>
      <c r="BT372" s="38">
        <f>IFERROR(INDEX(LMH_STEP,MATCH(AF372,LMH_KEY,0)),0)</f>
        <v>0</v>
      </c>
      <c r="BU372" s="38">
        <f>IFERROR(INDEX(LMH_STEP,MATCH(AG372,LMH_KEY,0)),0)</f>
        <v>0</v>
      </c>
      <c r="BV372" s="38">
        <f>IFERROR(INDEX(LMH_STEP,MATCH(AH372,LMH_KEY,0)),0)</f>
        <v>0</v>
      </c>
      <c r="BW372" s="38">
        <f>IFERROR(INDEX(LMH_STEP,MATCH(AI372,LMH_KEY,0)),0)</f>
        <v>0</v>
      </c>
      <c r="BX372" s="38">
        <f>IFERROR(INDEX(LMH_STEP,MATCH(AJ372,LMH_KEY,0)),0)</f>
        <v>0</v>
      </c>
      <c r="BY372" s="38">
        <f>IFERROR(INDEX(LMH_STEP,MATCH(AK372,LMH_KEY,0)),0)</f>
        <v>0</v>
      </c>
      <c r="BZ372" s="38">
        <f>IFERROR(INDEX(LMH_STEP,MATCH(AL372,LMH_KEY,0)),0)</f>
        <v>0</v>
      </c>
      <c r="CA372" s="38" t="inlineStr">
        <is>
          <t>iFile|Technology|Senior Software Engineer|A3|A</t>
        </is>
      </c>
    </row>
    <row r="373" ht="110" customHeight="1">
      <c r="A373" s="28" t="inlineStr">
        <is>
          <t>iFile</t>
        </is>
      </c>
      <c r="B373" s="29" t="inlineStr">
        <is>
          <t>Technology</t>
        </is>
      </c>
      <c r="C373" s="29" t="n">
        <v>4</v>
      </c>
      <c r="D373" s="29" t="inlineStr">
        <is>
          <t>IRIS2474</t>
        </is>
      </c>
      <c r="E373" s="29" t="inlineStr">
        <is>
          <t>Pankaj Sharma</t>
        </is>
      </c>
      <c r="F373" s="29" t="inlineStr">
        <is>
          <t>Software Engineer</t>
        </is>
      </c>
      <c r="G373" s="29" t="inlineStr">
        <is>
          <t>Senior Software Engineer</t>
        </is>
      </c>
      <c r="H373" s="29" t="inlineStr">
        <is>
          <t>Engineering &amp; Development</t>
        </is>
      </c>
      <c r="I373" s="29" t="inlineStr">
        <is>
          <t>Backend Development</t>
        </is>
      </c>
      <c r="J373" s="29" t="inlineStr">
        <is>
          <t>IC</t>
        </is>
      </c>
      <c r="K373" s="29" t="inlineStr">
        <is>
          <t>RC-067</t>
        </is>
      </c>
      <c r="L373" s="29" t="inlineStr">
        <is>
          <t>Nikhil Nalawade</t>
        </is>
      </c>
      <c r="M373" s="29" t="inlineStr">
        <is>
          <t>IRIS0846</t>
        </is>
      </c>
      <c r="N373" s="29" t="n">
        <v>4.7</v>
      </c>
      <c r="O373" s="29" t="n">
        <v>0.6</v>
      </c>
      <c r="P373" s="29" t="inlineStr">
        <is>
          <t>MCA</t>
        </is>
      </c>
      <c r="Q373" s="29" t="inlineStr">
        <is>
          <t>L3 – Professional / Associate</t>
        </is>
      </c>
      <c r="R373" s="29" t="inlineStr">
        <is>
          <t>A3</t>
        </is>
      </c>
      <c r="S373" s="30" t="inlineStr">
        <is>
          <t>20 of 20</t>
        </is>
      </c>
      <c r="T373" s="31" t="inlineStr">
        <is>
          <t>Complexity: Evidence reads like A3: Built a full feature front and back end, with security improvements and client database integration → moved up 0.5
Autonomy: Evidence reads like A3: Decides enhancement deployment independently → moved up 0.5
Accountability: Evidence reads like A3: Accountable for the feature, client-database integration, security …</t>
        </is>
      </c>
      <c r="U373" s="31" t="inlineStr">
        <is>
          <t>Received · manager annual, quarterly, self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373" s="31" t="inlineStr">
        <is>
          <t>Latest rating: 3 · Potential: Medium · 9-box: Emerging Talent · Readiness: Develop in role</t>
        </is>
      </c>
      <c r="W373" s="31" t="inlineStr">
        <is>
          <t>C M · Au M · Ac M · L L · BI M · Exp H · 4.7 yrs vs 2–4 yrs · Edu H · MCA</t>
        </is>
      </c>
      <c r="X373" s="33" t="inlineStr">
        <is>
          <t>Open ▸</t>
        </is>
      </c>
      <c r="Y373" s="34" t="str">
        <f>IFERROR(INDEX(DL_C,MATCH($CA373,DL_KEY,0)),"M")</f>
        <v>H</v>
      </c>
      <c r="Z373" s="35" t="str">
        <f>IFERROR(INDEX(DL_Au,MATCH($CA373,DL_KEY,0)),"M")</f>
        <v>M</v>
      </c>
      <c r="AA373" s="35" t="str">
        <f>IFERROR(INDEX(DL_Ac,MATCH($CA373,DL_KEY,0)),"M")</f>
        <v>L</v>
      </c>
      <c r="AB373" s="35" t="str">
        <f>IFERROR(INDEX(DL_L,MATCH($CA373,DL_KEY,0)),"M")</f>
        <v>L</v>
      </c>
      <c r="AC373" s="35" t="str">
        <f>IFERROR(INDEX(DL_BI,MATCH($CA373,DL_KEY,0)),"M")</f>
        <v>L</v>
      </c>
      <c r="AD373" s="35" t="str">
        <f>IFERROR(INDEX(DL_Exp,MATCH($CA373,DL_KEY,0)),"M")</f>
        <v>L</v>
      </c>
      <c r="AE373" s="35" t="str">
        <f>IFERROR(INDEX(DL_Edu,MATCH($CA373,DL_KEY,0)),"M")</f>
        <v>L</v>
      </c>
      <c r="AF373" s="34" t="inlineStr">
        <is>
          <t>M</t>
        </is>
      </c>
      <c r="AG373" s="35" t="inlineStr">
        <is>
          <t>M</t>
        </is>
      </c>
      <c r="AH373" s="35" t="inlineStr">
        <is>
          <t>M</t>
        </is>
      </c>
      <c r="AI373" s="35" t="inlineStr">
        <is>
          <t>M</t>
        </is>
      </c>
      <c r="AJ373" s="35" t="inlineStr">
        <is>
          <t>M</t>
        </is>
      </c>
      <c r="AK373" s="35" t="inlineStr">
        <is>
          <t>M</t>
        </is>
      </c>
      <c r="AL373" s="35" t="inlineStr">
        <is>
          <t>M</t>
        </is>
      </c>
      <c r="AM373" s="36" t="n">
        <v>0.583</v>
      </c>
      <c r="AN373" s="37" t="n">
        <v>0.16</v>
      </c>
      <c r="AO373" s="37" t="n">
        <v>0.09</v>
      </c>
      <c r="AP373" s="37" t="n">
        <v>0</v>
      </c>
      <c r="AQ373" s="37" t="n">
        <v>0.063</v>
      </c>
      <c r="AR373" s="37" t="n">
        <v>0.06</v>
      </c>
      <c r="AS373" s="37" t="n">
        <v>0.04</v>
      </c>
      <c r="AT373" s="38" t="inlineStr">
        <is>
          <t>2–5</t>
        </is>
      </c>
      <c r="AU373" s="38" t="inlineStr">
        <is>
          <t>Graduate; relevant certification preferred</t>
        </is>
      </c>
      <c r="AV373" s="38" t="inlineStr">
        <is>
          <t>None · guides 1–3 juniors informally</t>
        </is>
      </c>
      <c r="AW373" s="38" t="inlineStr">
        <is>
          <t>P2 · SFIA 3 Apply</t>
        </is>
      </c>
      <c r="AX37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73" s="39" t="inlineStr">
        <is>
          <t>A3</t>
        </is>
      </c>
      <c r="AZ373" s="40" t="inlineStr">
        <is>
          <t>Band A · Practitioner · Senior Associate</t>
        </is>
      </c>
      <c r="BA373" s="40" t="inlineStr">
        <is>
          <t>Model A3 from the six ratings, the market-derived weights and rules R1–R13 · then No change · already below the manager</t>
        </is>
      </c>
      <c r="BB373" s="41" t="inlineStr">
        <is>
          <t>A3</t>
        </is>
      </c>
      <c r="BC373" s="40" t="inlineStr">
        <is>
          <t>The six ratings on the market-average weights of Band A · all tracks score 2.65 → A3 · Hay, Mercer IPE and public plans · experience 4.7 yrs vs the A3 market range 2–5</t>
        </is>
      </c>
      <c r="BD373" s="42">
        <f>IF(SUM(BM373,BN373,BO373,BP373,BQ373,BR373,BS373)=0,0,(BM373*BT373+BN373*BU373+BO373*BV373+BP373*BW373+BQ373*BX373+BR373*BY373+BS373*BZ373)/SUM(BM373,BN373,BO373,BP373,BQ373,BR373,BS373))</f>
        <v>0</v>
      </c>
      <c r="BE373" s="41" t="str">
        <f>IF(LEFT(AY373,1)="X",AY373,IF(OR(AY373="B+",AY373="C+"),INDEX(LAD_PC,MAX(1,MIN(14,MATCH(AY373,LAD_PC,0)+IF(BD373&gt;=0.5,1,IF(BD373&lt;=-0.5,-1,0))))),INDEX(LAD_STD,MAX(1,MIN(12,MATCH(AY373,LAD_STD,0)+IF(BD373&gt;=0.5,1,IF(BD373&lt;=-0.5,-1,0)))))))</f>
        <v>A3</v>
      </c>
      <c r="BF373" s="43" t="n"/>
      <c r="BG373" s="41" t="str">
        <f>IF(BF373&lt;&gt;"",BF373,BE373)</f>
        <v>A3</v>
      </c>
      <c r="BH373" s="40" t="str">
        <f>IFERROR(CHOOSE(INDEX(B_RANK,MATCH(BG373,B_LVL,0)),"Band A","Band B","B+ · Player-Coach","Band C","C+ · Player-Coach","Band D","Band E"),"Band X · Consultant")</f>
        <v>Band A</v>
      </c>
      <c r="BI373" s="40" t="str">
        <f>IF(BG373=AY373,"• Same",IF(INDEX(B_VAL,MATCH(BG373,B_LVL,0))&gt;INDEX(B_VAL,MATCH(AY373,B_LVL,0)),"▲ Up","▼ Down"))</f>
        <v>• Same</v>
      </c>
      <c r="BJ373" s="40" t="str">
        <f>IF(OR($M373="",$M373="—",$M373="Not in this file"),"",IFERROR(INDEX($BG$7:$BG$592,MATCH($M373,$D$7:$D$592,0)),""))</f>
        <v>B2</v>
      </c>
      <c r="BK373" s="40" t="str">
        <f>IFERROR(IF(BJ373="","—",IF(OR(LEFT(BG373,1)="X",LEFT(BJ373,1)="X"),"—",IF(AND(LEFT(BG373,1)="E",LEFT(BJ373,1)="E"),"Exception · Band E",IF(AND(INDEX(B_VAL,MATCH(BJ373,B_LVL,0))&gt;=7,INDEX(B_RANK,MATCH(BG373,B_LVL,0))&gt;=INDEX(B_RANK,MATCH(BJ373,B_LVL,0))),"⚠ Same band as a head manager",IF(INDEX(B_VAL,MATCH(BG373,B_LVL,0))&gt;=INDEX(B_VAL,MATCH(BJ373,B_LVL,0)),"⚠ At or above the manager's level","OK"))))),"—")</f>
        <v>OK</v>
      </c>
      <c r="BL373" s="43" t="n"/>
      <c r="BM373" s="44">
        <f>IFERROR(INDEX(LMH_PTS,MATCH(Y373,LMH_KEY,0)),0)</f>
        <v>9</v>
      </c>
      <c r="BN373" s="38">
        <f>IFERROR(INDEX(LMH_PTS,MATCH(Z373,LMH_KEY,0)),0)</f>
        <v>3</v>
      </c>
      <c r="BO373" s="38">
        <f>IFERROR(INDEX(LMH_PTS,MATCH(AA373,LMH_KEY,0)),0)</f>
        <v>1</v>
      </c>
      <c r="BP373" s="38">
        <f>IFERROR(INDEX(LMH_PTS,MATCH(AB373,LMH_KEY,0)),0)</f>
        <v>1</v>
      </c>
      <c r="BQ373" s="38">
        <f>IFERROR(INDEX(LMH_PTS,MATCH(AC373,LMH_KEY,0)),0)</f>
        <v>1</v>
      </c>
      <c r="BR373" s="38">
        <f>IFERROR(INDEX(LMH_PTS,MATCH(AD373,LMH_KEY,0)),0)</f>
        <v>1</v>
      </c>
      <c r="BS373" s="38">
        <f>IFERROR(INDEX(LMH_PTS,MATCH(AE373,LMH_KEY,0)),0)</f>
        <v>1</v>
      </c>
      <c r="BT373" s="38">
        <f>IFERROR(INDEX(LMH_STEP,MATCH(AF373,LMH_KEY,0)),0)</f>
        <v>0</v>
      </c>
      <c r="BU373" s="38">
        <f>IFERROR(INDEX(LMH_STEP,MATCH(AG373,LMH_KEY,0)),0)</f>
        <v>0</v>
      </c>
      <c r="BV373" s="38">
        <f>IFERROR(INDEX(LMH_STEP,MATCH(AH373,LMH_KEY,0)),0)</f>
        <v>0</v>
      </c>
      <c r="BW373" s="38">
        <f>IFERROR(INDEX(LMH_STEP,MATCH(AI373,LMH_KEY,0)),0)</f>
        <v>0</v>
      </c>
      <c r="BX373" s="38">
        <f>IFERROR(INDEX(LMH_STEP,MATCH(AJ373,LMH_KEY,0)),0)</f>
        <v>0</v>
      </c>
      <c r="BY373" s="38">
        <f>IFERROR(INDEX(LMH_STEP,MATCH(AK373,LMH_KEY,0)),0)</f>
        <v>0</v>
      </c>
      <c r="BZ373" s="38">
        <f>IFERROR(INDEX(LMH_STEP,MATCH(AL373,LMH_KEY,0)),0)</f>
        <v>0</v>
      </c>
      <c r="CA373" s="38" t="inlineStr">
        <is>
          <t>iFile|Technology|Senior Software Engineer|A3|A</t>
        </is>
      </c>
    </row>
    <row r="374" ht="110" customHeight="1">
      <c r="A374" s="28" t="inlineStr">
        <is>
          <t>iFile</t>
        </is>
      </c>
      <c r="B374" s="29" t="inlineStr">
        <is>
          <t>Technology</t>
        </is>
      </c>
      <c r="C374" s="29" t="n">
        <v>4</v>
      </c>
      <c r="D374" s="29" t="inlineStr">
        <is>
          <t>IRIS2267</t>
        </is>
      </c>
      <c r="E374" s="29" t="inlineStr">
        <is>
          <t>Saurabh Jaykumar Wanjari</t>
        </is>
      </c>
      <c r="F374" s="29" t="inlineStr">
        <is>
          <t>Software Engineer</t>
        </is>
      </c>
      <c r="G374" s="29" t="inlineStr">
        <is>
          <t>Senior Software Engineer</t>
        </is>
      </c>
      <c r="H374" s="29" t="inlineStr">
        <is>
          <t>Engineering &amp; Development</t>
        </is>
      </c>
      <c r="I374" s="29" t="inlineStr">
        <is>
          <t>Backend Development</t>
        </is>
      </c>
      <c r="J374" s="29" t="inlineStr">
        <is>
          <t>IC</t>
        </is>
      </c>
      <c r="K374" s="29" t="inlineStr">
        <is>
          <t>RC-067</t>
        </is>
      </c>
      <c r="L374" s="29" t="inlineStr">
        <is>
          <t>Nikhil Nalawade</t>
        </is>
      </c>
      <c r="M374" s="29" t="inlineStr">
        <is>
          <t>IRIS0846</t>
        </is>
      </c>
      <c r="N374" s="29" t="n">
        <v>2.3</v>
      </c>
      <c r="O374" s="29" t="n">
        <v>2.3</v>
      </c>
      <c r="P374" s="29" t="inlineStr">
        <is>
          <t>B.Tech</t>
        </is>
      </c>
      <c r="Q374" s="29" t="inlineStr">
        <is>
          <t>L2 – Trainee</t>
        </is>
      </c>
      <c r="R374" s="29" t="inlineStr">
        <is>
          <t>A3</t>
        </is>
      </c>
      <c r="S374" s="30" t="inlineStr">
        <is>
          <t>20 of 20</t>
        </is>
      </c>
      <c r="T374" s="31" t="inlineStr">
        <is>
          <t>Complexity: Evidence reads like A3: Development plus code merging, deployment on Kubernetes/Azure/AWS, support, and proposing solutions on client calls → moved up 0.5
Autonomy: Evidence reads like A3: Decides deployment, testing and bug fixes; proposes technical solutions to clients → moved up 0.5
Accountability: Evidence reads like A3: Accountable for …</t>
        </is>
      </c>
      <c r="U374" s="31" t="inlineStr">
        <is>
          <t>Received · manager annual, quarterly, self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374" s="31" t="inlineStr">
        <is>
          <t>Latest rating: 4 · Potential: High · 9-box: Future Leader · Readiness: Ready now</t>
        </is>
      </c>
      <c r="W374" s="31" t="inlineStr">
        <is>
          <t>C M · Au M · Ac M · L L · BI M · Exp M · 2.3 yrs vs 2–4 yrs · Edu M · B.Tech</t>
        </is>
      </c>
      <c r="X374" s="33" t="inlineStr">
        <is>
          <t>Open ▸</t>
        </is>
      </c>
      <c r="Y374" s="34" t="str">
        <f>IFERROR(INDEX(DL_C,MATCH($CA374,DL_KEY,0)),"M")</f>
        <v>H</v>
      </c>
      <c r="Z374" s="35" t="str">
        <f>IFERROR(INDEX(DL_Au,MATCH($CA374,DL_KEY,0)),"M")</f>
        <v>M</v>
      </c>
      <c r="AA374" s="35" t="str">
        <f>IFERROR(INDEX(DL_Ac,MATCH($CA374,DL_KEY,0)),"M")</f>
        <v>L</v>
      </c>
      <c r="AB374" s="35" t="str">
        <f>IFERROR(INDEX(DL_L,MATCH($CA374,DL_KEY,0)),"M")</f>
        <v>L</v>
      </c>
      <c r="AC374" s="35" t="str">
        <f>IFERROR(INDEX(DL_BI,MATCH($CA374,DL_KEY,0)),"M")</f>
        <v>L</v>
      </c>
      <c r="AD374" s="35" t="str">
        <f>IFERROR(INDEX(DL_Exp,MATCH($CA374,DL_KEY,0)),"M")</f>
        <v>L</v>
      </c>
      <c r="AE374" s="35" t="str">
        <f>IFERROR(INDEX(DL_Edu,MATCH($CA374,DL_KEY,0)),"M")</f>
        <v>L</v>
      </c>
      <c r="AF374" s="34" t="inlineStr">
        <is>
          <t>M</t>
        </is>
      </c>
      <c r="AG374" s="35" t="inlineStr">
        <is>
          <t>M</t>
        </is>
      </c>
      <c r="AH374" s="35" t="inlineStr">
        <is>
          <t>M</t>
        </is>
      </c>
      <c r="AI374" s="35" t="inlineStr">
        <is>
          <t>M</t>
        </is>
      </c>
      <c r="AJ374" s="35" t="inlineStr">
        <is>
          <t>M</t>
        </is>
      </c>
      <c r="AK374" s="35" t="inlineStr">
        <is>
          <t>M</t>
        </is>
      </c>
      <c r="AL374" s="35" t="inlineStr">
        <is>
          <t>M</t>
        </is>
      </c>
      <c r="AM374" s="36" t="n">
        <v>0.583</v>
      </c>
      <c r="AN374" s="37" t="n">
        <v>0.16</v>
      </c>
      <c r="AO374" s="37" t="n">
        <v>0.09</v>
      </c>
      <c r="AP374" s="37" t="n">
        <v>0</v>
      </c>
      <c r="AQ374" s="37" t="n">
        <v>0.063</v>
      </c>
      <c r="AR374" s="37" t="n">
        <v>0.06</v>
      </c>
      <c r="AS374" s="37" t="n">
        <v>0.04</v>
      </c>
      <c r="AT374" s="38" t="inlineStr">
        <is>
          <t>2–5</t>
        </is>
      </c>
      <c r="AU374" s="38" t="inlineStr">
        <is>
          <t>Graduate; relevant certification preferred</t>
        </is>
      </c>
      <c r="AV374" s="38" t="inlineStr">
        <is>
          <t>None · guides 1–3 juniors informally</t>
        </is>
      </c>
      <c r="AW374" s="38" t="inlineStr">
        <is>
          <t>P2 · SFIA 3 Apply</t>
        </is>
      </c>
      <c r="AX37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74" s="39" t="inlineStr">
        <is>
          <t>A3</t>
        </is>
      </c>
      <c r="AZ374" s="40" t="inlineStr">
        <is>
          <t>Band A · Practitioner · Senior Associate</t>
        </is>
      </c>
      <c r="BA374" s="40" t="inlineStr">
        <is>
          <t>Model A3 from the six ratings, the market-derived weights and rules R1–R13 · then No change · already below the manager</t>
        </is>
      </c>
      <c r="BB374" s="41" t="inlineStr">
        <is>
          <t>A3</t>
        </is>
      </c>
      <c r="BC374" s="40" t="inlineStr">
        <is>
          <t>The six ratings on the market-average weights of Band A · all tracks score 2.53 → A3 · Hay, Mercer IPE and public plans · experience 2.3 yrs vs the A3 market range 2–5</t>
        </is>
      </c>
      <c r="BD374" s="42">
        <f>IF(SUM(BM374,BN374,BO374,BP374,BQ374,BR374,BS374)=0,0,(BM374*BT374+BN374*BU374+BO374*BV374+BP374*BW374+BQ374*BX374+BR374*BY374+BS374*BZ374)/SUM(BM374,BN374,BO374,BP374,BQ374,BR374,BS374))</f>
        <v>0</v>
      </c>
      <c r="BE374" s="41" t="str">
        <f>IF(LEFT(AY374,1)="X",AY374,IF(OR(AY374="B+",AY374="C+"),INDEX(LAD_PC,MAX(1,MIN(14,MATCH(AY374,LAD_PC,0)+IF(BD374&gt;=0.5,1,IF(BD374&lt;=-0.5,-1,0))))),INDEX(LAD_STD,MAX(1,MIN(12,MATCH(AY374,LAD_STD,0)+IF(BD374&gt;=0.5,1,IF(BD374&lt;=-0.5,-1,0)))))))</f>
        <v>A3</v>
      </c>
      <c r="BF374" s="43" t="n"/>
      <c r="BG374" s="41" t="str">
        <f>IF(BF374&lt;&gt;"",BF374,BE374)</f>
        <v>A3</v>
      </c>
      <c r="BH374" s="40" t="str">
        <f>IFERROR(CHOOSE(INDEX(B_RANK,MATCH(BG374,B_LVL,0)),"Band A","Band B","B+ · Player-Coach","Band C","C+ · Player-Coach","Band D","Band E"),"Band X · Consultant")</f>
        <v>Band A</v>
      </c>
      <c r="BI374" s="40" t="str">
        <f>IF(BG374=AY374,"• Same",IF(INDEX(B_VAL,MATCH(BG374,B_LVL,0))&gt;INDEX(B_VAL,MATCH(AY374,B_LVL,0)),"▲ Up","▼ Down"))</f>
        <v>• Same</v>
      </c>
      <c r="BJ374" s="40" t="str">
        <f>IF(OR($M374="",$M374="—",$M374="Not in this file"),"",IFERROR(INDEX($BG$7:$BG$592,MATCH($M374,$D$7:$D$592,0)),""))</f>
        <v>B2</v>
      </c>
      <c r="BK374" s="40" t="str">
        <f>IFERROR(IF(BJ374="","—",IF(OR(LEFT(BG374,1)="X",LEFT(BJ374,1)="X"),"—",IF(AND(LEFT(BG374,1)="E",LEFT(BJ374,1)="E"),"Exception · Band E",IF(AND(INDEX(B_VAL,MATCH(BJ374,B_LVL,0))&gt;=7,INDEX(B_RANK,MATCH(BG374,B_LVL,0))&gt;=INDEX(B_RANK,MATCH(BJ374,B_LVL,0))),"⚠ Same band as a head manager",IF(INDEX(B_VAL,MATCH(BG374,B_LVL,0))&gt;=INDEX(B_VAL,MATCH(BJ374,B_LVL,0)),"⚠ At or above the manager's level","OK"))))),"—")</f>
        <v>OK</v>
      </c>
      <c r="BL374" s="43" t="n"/>
      <c r="BM374" s="44">
        <f>IFERROR(INDEX(LMH_PTS,MATCH(Y374,LMH_KEY,0)),0)</f>
        <v>9</v>
      </c>
      <c r="BN374" s="38">
        <f>IFERROR(INDEX(LMH_PTS,MATCH(Z374,LMH_KEY,0)),0)</f>
        <v>3</v>
      </c>
      <c r="BO374" s="38">
        <f>IFERROR(INDEX(LMH_PTS,MATCH(AA374,LMH_KEY,0)),0)</f>
        <v>1</v>
      </c>
      <c r="BP374" s="38">
        <f>IFERROR(INDEX(LMH_PTS,MATCH(AB374,LMH_KEY,0)),0)</f>
        <v>1</v>
      </c>
      <c r="BQ374" s="38">
        <f>IFERROR(INDEX(LMH_PTS,MATCH(AC374,LMH_KEY,0)),0)</f>
        <v>1</v>
      </c>
      <c r="BR374" s="38">
        <f>IFERROR(INDEX(LMH_PTS,MATCH(AD374,LMH_KEY,0)),0)</f>
        <v>1</v>
      </c>
      <c r="BS374" s="38">
        <f>IFERROR(INDEX(LMH_PTS,MATCH(AE374,LMH_KEY,0)),0)</f>
        <v>1</v>
      </c>
      <c r="BT374" s="38">
        <f>IFERROR(INDEX(LMH_STEP,MATCH(AF374,LMH_KEY,0)),0)</f>
        <v>0</v>
      </c>
      <c r="BU374" s="38">
        <f>IFERROR(INDEX(LMH_STEP,MATCH(AG374,LMH_KEY,0)),0)</f>
        <v>0</v>
      </c>
      <c r="BV374" s="38">
        <f>IFERROR(INDEX(LMH_STEP,MATCH(AH374,LMH_KEY,0)),0)</f>
        <v>0</v>
      </c>
      <c r="BW374" s="38">
        <f>IFERROR(INDEX(LMH_STEP,MATCH(AI374,LMH_KEY,0)),0)</f>
        <v>0</v>
      </c>
      <c r="BX374" s="38">
        <f>IFERROR(INDEX(LMH_STEP,MATCH(AJ374,LMH_KEY,0)),0)</f>
        <v>0</v>
      </c>
      <c r="BY374" s="38">
        <f>IFERROR(INDEX(LMH_STEP,MATCH(AK374,LMH_KEY,0)),0)</f>
        <v>0</v>
      </c>
      <c r="BZ374" s="38">
        <f>IFERROR(INDEX(LMH_STEP,MATCH(AL374,LMH_KEY,0)),0)</f>
        <v>0</v>
      </c>
      <c r="CA374" s="38" t="inlineStr">
        <is>
          <t>iFile|Technology|Senior Software Engineer|A3|A</t>
        </is>
      </c>
    </row>
    <row r="375" ht="110" customHeight="1">
      <c r="A375" s="28" t="inlineStr">
        <is>
          <t>iFile</t>
        </is>
      </c>
      <c r="B375" s="29" t="inlineStr">
        <is>
          <t>Technology</t>
        </is>
      </c>
      <c r="C375" s="29" t="n">
        <v>4</v>
      </c>
      <c r="D375" s="29" t="inlineStr">
        <is>
          <t>IRIS2298</t>
        </is>
      </c>
      <c r="E375" s="29" t="inlineStr">
        <is>
          <t>Shubham Shrikhande</t>
        </is>
      </c>
      <c r="F375" s="29" t="inlineStr">
        <is>
          <t>Software Engineer</t>
        </is>
      </c>
      <c r="G375" s="29" t="inlineStr">
        <is>
          <t>Senior Software Engineer</t>
        </is>
      </c>
      <c r="H375" s="29" t="inlineStr">
        <is>
          <t>Engineering &amp; Development</t>
        </is>
      </c>
      <c r="I375" s="29" t="inlineStr">
        <is>
          <t>Backend Development</t>
        </is>
      </c>
      <c r="J375" s="29" t="inlineStr">
        <is>
          <t>IC</t>
        </is>
      </c>
      <c r="K375" s="29" t="inlineStr">
        <is>
          <t>RC-067</t>
        </is>
      </c>
      <c r="L375" s="29" t="inlineStr">
        <is>
          <t>Nikhil Nalawade</t>
        </is>
      </c>
      <c r="M375" s="29" t="inlineStr">
        <is>
          <t>IRIS0846</t>
        </is>
      </c>
      <c r="N375" s="29" t="n">
        <v>3.1</v>
      </c>
      <c r="O375" s="29" t="n">
        <v>2.1</v>
      </c>
      <c r="P375" s="29" t="inlineStr">
        <is>
          <t>B.E</t>
        </is>
      </c>
      <c r="Q375" s="29" t="inlineStr">
        <is>
          <t>L3 – Professional / Associate</t>
        </is>
      </c>
      <c r="R375" s="29" t="inlineStr">
        <is>
          <t>A3</t>
        </is>
      </c>
      <c r="S375" s="30" t="inlineStr">
        <is>
          <t>20 of 20</t>
        </is>
      </c>
      <c r="T375" s="31" t="inlineStr">
        <is>
          <t>Complexity: Evidence reads like A2: Develops and fixes a web application from requirements and QA feedback in Java and SQL → matches the start
Autonomy: Evidence reads like A2: Only independent action cited is checking logs → matches the start
Accountability: Evidence reads like A2: Accountable if functionality he developed does not run as per the process → …</t>
        </is>
      </c>
      <c r="U375" s="31" t="inlineStr">
        <is>
          <t>Received · manager annual, quarterly, self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375" s="31" t="inlineStr">
        <is>
          <t>Latest rating: 4 · Potential: High · 9-box: High Impact / Growth Talent · Readiness: Ready now</t>
        </is>
      </c>
      <c r="W375" s="31" t="inlineStr">
        <is>
          <t>C L · Au L · Ac L · L L · BI M · Exp M · 3.1 yrs vs 2–4 yrs · Edu M · B.E</t>
        </is>
      </c>
      <c r="X375" s="33" t="inlineStr">
        <is>
          <t>Open ▸</t>
        </is>
      </c>
      <c r="Y375" s="34" t="str">
        <f>IFERROR(INDEX(DL_C,MATCH($CA375,DL_KEY,0)),"M")</f>
        <v>H</v>
      </c>
      <c r="Z375" s="35" t="str">
        <f>IFERROR(INDEX(DL_Au,MATCH($CA375,DL_KEY,0)),"M")</f>
        <v>M</v>
      </c>
      <c r="AA375" s="35" t="str">
        <f>IFERROR(INDEX(DL_Ac,MATCH($CA375,DL_KEY,0)),"M")</f>
        <v>L</v>
      </c>
      <c r="AB375" s="35" t="str">
        <f>IFERROR(INDEX(DL_L,MATCH($CA375,DL_KEY,0)),"M")</f>
        <v>L</v>
      </c>
      <c r="AC375" s="35" t="str">
        <f>IFERROR(INDEX(DL_BI,MATCH($CA375,DL_KEY,0)),"M")</f>
        <v>L</v>
      </c>
      <c r="AD375" s="35" t="str">
        <f>IFERROR(INDEX(DL_Exp,MATCH($CA375,DL_KEY,0)),"M")</f>
        <v>L</v>
      </c>
      <c r="AE375" s="35" t="str">
        <f>IFERROR(INDEX(DL_Edu,MATCH($CA375,DL_KEY,0)),"M")</f>
        <v>L</v>
      </c>
      <c r="AF375" s="34" t="inlineStr">
        <is>
          <t>M</t>
        </is>
      </c>
      <c r="AG375" s="35" t="inlineStr">
        <is>
          <t>M</t>
        </is>
      </c>
      <c r="AH375" s="35" t="inlineStr">
        <is>
          <t>M</t>
        </is>
      </c>
      <c r="AI375" s="35" t="inlineStr">
        <is>
          <t>M</t>
        </is>
      </c>
      <c r="AJ375" s="35" t="inlineStr">
        <is>
          <t>M</t>
        </is>
      </c>
      <c r="AK375" s="35" t="inlineStr">
        <is>
          <t>M</t>
        </is>
      </c>
      <c r="AL375" s="35" t="inlineStr">
        <is>
          <t>M</t>
        </is>
      </c>
      <c r="AM375" s="36" t="n">
        <v>0.583</v>
      </c>
      <c r="AN375" s="37" t="n">
        <v>0.16</v>
      </c>
      <c r="AO375" s="37" t="n">
        <v>0.09</v>
      </c>
      <c r="AP375" s="37" t="n">
        <v>0</v>
      </c>
      <c r="AQ375" s="37" t="n">
        <v>0.063</v>
      </c>
      <c r="AR375" s="37" t="n">
        <v>0.06</v>
      </c>
      <c r="AS375" s="37" t="n">
        <v>0.04</v>
      </c>
      <c r="AT375" s="38" t="inlineStr">
        <is>
          <t>2–5</t>
        </is>
      </c>
      <c r="AU375" s="38" t="inlineStr">
        <is>
          <t>Graduate; relevant certification preferred</t>
        </is>
      </c>
      <c r="AV375" s="38" t="inlineStr">
        <is>
          <t>None · guides 1–3 juniors informally</t>
        </is>
      </c>
      <c r="AW375" s="38" t="inlineStr">
        <is>
          <t>P2 · SFIA 3 Apply</t>
        </is>
      </c>
      <c r="AX37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75" s="39" t="inlineStr">
        <is>
          <t>A3</t>
        </is>
      </c>
      <c r="AZ375" s="40" t="inlineStr">
        <is>
          <t>Band A · Practitioner · Senior Associate</t>
        </is>
      </c>
      <c r="BA375" s="40" t="inlineStr">
        <is>
          <t>Model A3 from the six ratings, the market-derived weights and rules R1–R13 · then No change · already below the manager</t>
        </is>
      </c>
      <c r="BB375" s="41" t="inlineStr">
        <is>
          <t>A2</t>
        </is>
      </c>
      <c r="BC375" s="40" t="inlineStr">
        <is>
          <t>The six ratings on the market-average weights of Band A · all tracks score 2.13 → A2 · Hay, Mercer IPE and public plans · experience 3.1 yrs vs the A2 market range 0–3</t>
        </is>
      </c>
      <c r="BD375" s="42">
        <f>IF(SUM(BM375,BN375,BO375,BP375,BQ375,BR375,BS375)=0,0,(BM375*BT375+BN375*BU375+BO375*BV375+BP375*BW375+BQ375*BX375+BR375*BY375+BS375*BZ375)/SUM(BM375,BN375,BO375,BP375,BQ375,BR375,BS375))</f>
        <v>0</v>
      </c>
      <c r="BE375" s="41" t="str">
        <f>IF(LEFT(AY375,1)="X",AY375,IF(OR(AY375="B+",AY375="C+"),INDEX(LAD_PC,MAX(1,MIN(14,MATCH(AY375,LAD_PC,0)+IF(BD375&gt;=0.5,1,IF(BD375&lt;=-0.5,-1,0))))),INDEX(LAD_STD,MAX(1,MIN(12,MATCH(AY375,LAD_STD,0)+IF(BD375&gt;=0.5,1,IF(BD375&lt;=-0.5,-1,0)))))))</f>
        <v>A3</v>
      </c>
      <c r="BF375" s="43" t="n"/>
      <c r="BG375" s="41" t="str">
        <f>IF(BF375&lt;&gt;"",BF375,BE375)</f>
        <v>A3</v>
      </c>
      <c r="BH375" s="40" t="str">
        <f>IFERROR(CHOOSE(INDEX(B_RANK,MATCH(BG375,B_LVL,0)),"Band A","Band B","B+ · Player-Coach","Band C","C+ · Player-Coach","Band D","Band E"),"Band X · Consultant")</f>
        <v>Band A</v>
      </c>
      <c r="BI375" s="40" t="str">
        <f>IF(BG375=AY375,"• Same",IF(INDEX(B_VAL,MATCH(BG375,B_LVL,0))&gt;INDEX(B_VAL,MATCH(AY375,B_LVL,0)),"▲ Up","▼ Down"))</f>
        <v>• Same</v>
      </c>
      <c r="BJ375" s="40" t="str">
        <f>IF(OR($M375="",$M375="—",$M375="Not in this file"),"",IFERROR(INDEX($BG$7:$BG$592,MATCH($M375,$D$7:$D$592,0)),""))</f>
        <v>B2</v>
      </c>
      <c r="BK375" s="40" t="str">
        <f>IFERROR(IF(BJ375="","—",IF(OR(LEFT(BG375,1)="X",LEFT(BJ375,1)="X"),"—",IF(AND(LEFT(BG375,1)="E",LEFT(BJ375,1)="E"),"Exception · Band E",IF(AND(INDEX(B_VAL,MATCH(BJ375,B_LVL,0))&gt;=7,INDEX(B_RANK,MATCH(BG375,B_LVL,0))&gt;=INDEX(B_RANK,MATCH(BJ375,B_LVL,0))),"⚠ Same band as a head manager",IF(INDEX(B_VAL,MATCH(BG375,B_LVL,0))&gt;=INDEX(B_VAL,MATCH(BJ375,B_LVL,0)),"⚠ At or above the manager's level","OK"))))),"—")</f>
        <v>OK</v>
      </c>
      <c r="BL375" s="43" t="n"/>
      <c r="BM375" s="44">
        <f>IFERROR(INDEX(LMH_PTS,MATCH(Y375,LMH_KEY,0)),0)</f>
        <v>9</v>
      </c>
      <c r="BN375" s="38">
        <f>IFERROR(INDEX(LMH_PTS,MATCH(Z375,LMH_KEY,0)),0)</f>
        <v>3</v>
      </c>
      <c r="BO375" s="38">
        <f>IFERROR(INDEX(LMH_PTS,MATCH(AA375,LMH_KEY,0)),0)</f>
        <v>1</v>
      </c>
      <c r="BP375" s="38">
        <f>IFERROR(INDEX(LMH_PTS,MATCH(AB375,LMH_KEY,0)),0)</f>
        <v>1</v>
      </c>
      <c r="BQ375" s="38">
        <f>IFERROR(INDEX(LMH_PTS,MATCH(AC375,LMH_KEY,0)),0)</f>
        <v>1</v>
      </c>
      <c r="BR375" s="38">
        <f>IFERROR(INDEX(LMH_PTS,MATCH(AD375,LMH_KEY,0)),0)</f>
        <v>1</v>
      </c>
      <c r="BS375" s="38">
        <f>IFERROR(INDEX(LMH_PTS,MATCH(AE375,LMH_KEY,0)),0)</f>
        <v>1</v>
      </c>
      <c r="BT375" s="38">
        <f>IFERROR(INDEX(LMH_STEP,MATCH(AF375,LMH_KEY,0)),0)</f>
        <v>0</v>
      </c>
      <c r="BU375" s="38">
        <f>IFERROR(INDEX(LMH_STEP,MATCH(AG375,LMH_KEY,0)),0)</f>
        <v>0</v>
      </c>
      <c r="BV375" s="38">
        <f>IFERROR(INDEX(LMH_STEP,MATCH(AH375,LMH_KEY,0)),0)</f>
        <v>0</v>
      </c>
      <c r="BW375" s="38">
        <f>IFERROR(INDEX(LMH_STEP,MATCH(AI375,LMH_KEY,0)),0)</f>
        <v>0</v>
      </c>
      <c r="BX375" s="38">
        <f>IFERROR(INDEX(LMH_STEP,MATCH(AJ375,LMH_KEY,0)),0)</f>
        <v>0</v>
      </c>
      <c r="BY375" s="38">
        <f>IFERROR(INDEX(LMH_STEP,MATCH(AK375,LMH_KEY,0)),0)</f>
        <v>0</v>
      </c>
      <c r="BZ375" s="38">
        <f>IFERROR(INDEX(LMH_STEP,MATCH(AL375,LMH_KEY,0)),0)</f>
        <v>0</v>
      </c>
      <c r="CA375" s="38" t="inlineStr">
        <is>
          <t>iFile|Technology|Senior Software Engineer|A3|A</t>
        </is>
      </c>
    </row>
    <row r="376" ht="110" customHeight="1">
      <c r="A376" s="28" t="inlineStr">
        <is>
          <t>iFile</t>
        </is>
      </c>
      <c r="B376" s="29" t="inlineStr">
        <is>
          <t>Technology</t>
        </is>
      </c>
      <c r="C376" s="29" t="n">
        <v>4</v>
      </c>
      <c r="D376" s="29" t="inlineStr">
        <is>
          <t>IRIS2291</t>
        </is>
      </c>
      <c r="E376" s="29" t="inlineStr">
        <is>
          <t>Shubham Yadav</t>
        </is>
      </c>
      <c r="F376" s="29" t="inlineStr">
        <is>
          <t>Software Engineer</t>
        </is>
      </c>
      <c r="G376" s="29" t="inlineStr">
        <is>
          <t>Senior UI Developer</t>
        </is>
      </c>
      <c r="H376" s="29" t="inlineStr">
        <is>
          <t>Engineering &amp; Development</t>
        </is>
      </c>
      <c r="I376" s="29" t="inlineStr">
        <is>
          <t>Front-End / UI Development</t>
        </is>
      </c>
      <c r="J376" s="29" t="inlineStr">
        <is>
          <t>IC</t>
        </is>
      </c>
      <c r="K376" s="29" t="inlineStr">
        <is>
          <t>RC-081</t>
        </is>
      </c>
      <c r="L376" s="29" t="inlineStr">
        <is>
          <t>Nikhil Nalawade</t>
        </is>
      </c>
      <c r="M376" s="29" t="inlineStr">
        <is>
          <t>IRIS0846</t>
        </is>
      </c>
      <c r="N376" s="29" t="n">
        <v>5.4</v>
      </c>
      <c r="O376" s="29" t="n">
        <v>2.2</v>
      </c>
      <c r="P376" s="29" t="inlineStr">
        <is>
          <t>B.E</t>
        </is>
      </c>
      <c r="Q376" s="29" t="inlineStr">
        <is>
          <t>L3 – Professional / Associate</t>
        </is>
      </c>
      <c r="R376" s="29" t="inlineStr">
        <is>
          <t>A3</t>
        </is>
      </c>
      <c r="S376" s="30" t="inlineStr">
        <is>
          <t>0 of 20</t>
        </is>
      </c>
      <c r="T376" s="31" t="inlineStr">
        <is>
          <t>Complexity: Evidence: no survey answers or KRAs on file → rating stays at the start
Autonomy: Evidence: no survey answers or KRAs on file → rating stays at the start
Accountability: Evidence reads like B1: KRA: team release roadmap, sprint velocity and production stability; one direct report → moved up 0.5
Leadership: Evidence reads like A3: KRA: quarterly …</t>
        </is>
      </c>
      <c r="U376" s="31" t="inlineStr">
        <is>
          <t>Received · manager annual, quarterly · 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t>
        </is>
      </c>
      <c r="V376" s="31" t="inlineStr">
        <is>
          <t>Latest rating: Not rated · manager · 9-box: Not placed · manager · Readiness: No rating data</t>
        </is>
      </c>
      <c r="W376" s="31" t="inlineStr">
        <is>
          <t>C L · Au M · Ac H · L M · BI H · Exp H · 5.4 yrs vs 2–4 yrs · Edu M · B.E</t>
        </is>
      </c>
      <c r="X376" s="33" t="inlineStr">
        <is>
          <t>Open ▸</t>
        </is>
      </c>
      <c r="Y376" s="34" t="str">
        <f>IFERROR(INDEX(DL_C,MATCH($CA376,DL_KEY,0)),"M")</f>
        <v>H</v>
      </c>
      <c r="Z376" s="35" t="str">
        <f>IFERROR(INDEX(DL_Au,MATCH($CA376,DL_KEY,0)),"M")</f>
        <v>M</v>
      </c>
      <c r="AA376" s="35" t="str">
        <f>IFERROR(INDEX(DL_Ac,MATCH($CA376,DL_KEY,0)),"M")</f>
        <v>L</v>
      </c>
      <c r="AB376" s="35" t="str">
        <f>IFERROR(INDEX(DL_L,MATCH($CA376,DL_KEY,0)),"M")</f>
        <v>L</v>
      </c>
      <c r="AC376" s="35" t="str">
        <f>IFERROR(INDEX(DL_BI,MATCH($CA376,DL_KEY,0)),"M")</f>
        <v>L</v>
      </c>
      <c r="AD376" s="35" t="str">
        <f>IFERROR(INDEX(DL_Exp,MATCH($CA376,DL_KEY,0)),"M")</f>
        <v>L</v>
      </c>
      <c r="AE376" s="35" t="str">
        <f>IFERROR(INDEX(DL_Edu,MATCH($CA376,DL_KEY,0)),"M")</f>
        <v>L</v>
      </c>
      <c r="AF376" s="34" t="inlineStr">
        <is>
          <t>M</t>
        </is>
      </c>
      <c r="AG376" s="35" t="inlineStr">
        <is>
          <t>M</t>
        </is>
      </c>
      <c r="AH376" s="35" t="inlineStr">
        <is>
          <t>M</t>
        </is>
      </c>
      <c r="AI376" s="35" t="inlineStr">
        <is>
          <t>M</t>
        </is>
      </c>
      <c r="AJ376" s="35" t="inlineStr">
        <is>
          <t>M</t>
        </is>
      </c>
      <c r="AK376" s="35" t="inlineStr">
        <is>
          <t>M</t>
        </is>
      </c>
      <c r="AL376" s="35" t="inlineStr">
        <is>
          <t>M</t>
        </is>
      </c>
      <c r="AM376" s="36" t="n">
        <v>0.583</v>
      </c>
      <c r="AN376" s="37" t="n">
        <v>0.16</v>
      </c>
      <c r="AO376" s="37" t="n">
        <v>0.09</v>
      </c>
      <c r="AP376" s="37" t="n">
        <v>0</v>
      </c>
      <c r="AQ376" s="37" t="n">
        <v>0.063</v>
      </c>
      <c r="AR376" s="37" t="n">
        <v>0.06</v>
      </c>
      <c r="AS376" s="37" t="n">
        <v>0.04</v>
      </c>
      <c r="AT376" s="38" t="inlineStr">
        <is>
          <t>2–5</t>
        </is>
      </c>
      <c r="AU376" s="38" t="inlineStr">
        <is>
          <t>Graduate; relevant certification preferred</t>
        </is>
      </c>
      <c r="AV376" s="38" t="inlineStr">
        <is>
          <t>None · guides 1–3 juniors informally</t>
        </is>
      </c>
      <c r="AW376" s="38" t="inlineStr">
        <is>
          <t>P2 · SFIA 3 Apply</t>
        </is>
      </c>
      <c r="AX37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76" s="39" t="inlineStr">
        <is>
          <t>A3</t>
        </is>
      </c>
      <c r="AZ376" s="40" t="inlineStr">
        <is>
          <t>Band A · Practitioner · Senior Associate</t>
        </is>
      </c>
      <c r="BA376" s="40" t="inlineStr">
        <is>
          <t>Model A3 from the six ratings, the market-derived weights and rules R1–R13 · then No change · already below the manager</t>
        </is>
      </c>
      <c r="BB376" s="41" t="inlineStr">
        <is>
          <t>A3</t>
        </is>
      </c>
      <c r="BC376" s="40" t="inlineStr">
        <is>
          <t>The six ratings on the market-average weights of Band A · all tracks score 2.59 → A3 · Hay, Mercer IPE and public plans · experience 5.4 yrs vs the A3 market range 2–5</t>
        </is>
      </c>
      <c r="BD376" s="42">
        <f>IF(SUM(BM376,BN376,BO376,BP376,BQ376,BR376,BS376)=0,0,(BM376*BT376+BN376*BU376+BO376*BV376+BP376*BW376+BQ376*BX376+BR376*BY376+BS376*BZ376)/SUM(BM376,BN376,BO376,BP376,BQ376,BR376,BS376))</f>
        <v>0</v>
      </c>
      <c r="BE376" s="41" t="str">
        <f>IF(LEFT(AY376,1)="X",AY376,IF(OR(AY376="B+",AY376="C+"),INDEX(LAD_PC,MAX(1,MIN(14,MATCH(AY376,LAD_PC,0)+IF(BD376&gt;=0.5,1,IF(BD376&lt;=-0.5,-1,0))))),INDEX(LAD_STD,MAX(1,MIN(12,MATCH(AY376,LAD_STD,0)+IF(BD376&gt;=0.5,1,IF(BD376&lt;=-0.5,-1,0)))))))</f>
        <v>A3</v>
      </c>
      <c r="BF376" s="43" t="n"/>
      <c r="BG376" s="41" t="str">
        <f>IF(BF376&lt;&gt;"",BF376,BE376)</f>
        <v>A3</v>
      </c>
      <c r="BH376" s="40" t="str">
        <f>IFERROR(CHOOSE(INDEX(B_RANK,MATCH(BG376,B_LVL,0)),"Band A","Band B","B+ · Player-Coach","Band C","C+ · Player-Coach","Band D","Band E"),"Band X · Consultant")</f>
        <v>Band A</v>
      </c>
      <c r="BI376" s="40" t="str">
        <f>IF(BG376=AY376,"• Same",IF(INDEX(B_VAL,MATCH(BG376,B_LVL,0))&gt;INDEX(B_VAL,MATCH(AY376,B_LVL,0)),"▲ Up","▼ Down"))</f>
        <v>• Same</v>
      </c>
      <c r="BJ376" s="40" t="str">
        <f>IF(OR($M376="",$M376="—",$M376="Not in this file"),"",IFERROR(INDEX($BG$7:$BG$592,MATCH($M376,$D$7:$D$592,0)),""))</f>
        <v>B2</v>
      </c>
      <c r="BK376" s="40" t="str">
        <f>IFERROR(IF(BJ376="","—",IF(OR(LEFT(BG376,1)="X",LEFT(BJ376,1)="X"),"—",IF(AND(LEFT(BG376,1)="E",LEFT(BJ376,1)="E"),"Exception · Band E",IF(AND(INDEX(B_VAL,MATCH(BJ376,B_LVL,0))&gt;=7,INDEX(B_RANK,MATCH(BG376,B_LVL,0))&gt;=INDEX(B_RANK,MATCH(BJ376,B_LVL,0))),"⚠ Same band as a head manager",IF(INDEX(B_VAL,MATCH(BG376,B_LVL,0))&gt;=INDEX(B_VAL,MATCH(BJ376,B_LVL,0)),"⚠ At or above the manager's level","OK"))))),"—")</f>
        <v>OK</v>
      </c>
      <c r="BL376" s="43" t="n"/>
      <c r="BM376" s="44">
        <f>IFERROR(INDEX(LMH_PTS,MATCH(Y376,LMH_KEY,0)),0)</f>
        <v>9</v>
      </c>
      <c r="BN376" s="38">
        <f>IFERROR(INDEX(LMH_PTS,MATCH(Z376,LMH_KEY,0)),0)</f>
        <v>3</v>
      </c>
      <c r="BO376" s="38">
        <f>IFERROR(INDEX(LMH_PTS,MATCH(AA376,LMH_KEY,0)),0)</f>
        <v>1</v>
      </c>
      <c r="BP376" s="38">
        <f>IFERROR(INDEX(LMH_PTS,MATCH(AB376,LMH_KEY,0)),0)</f>
        <v>1</v>
      </c>
      <c r="BQ376" s="38">
        <f>IFERROR(INDEX(LMH_PTS,MATCH(AC376,LMH_KEY,0)),0)</f>
        <v>1</v>
      </c>
      <c r="BR376" s="38">
        <f>IFERROR(INDEX(LMH_PTS,MATCH(AD376,LMH_KEY,0)),0)</f>
        <v>1</v>
      </c>
      <c r="BS376" s="38">
        <f>IFERROR(INDEX(LMH_PTS,MATCH(AE376,LMH_KEY,0)),0)</f>
        <v>1</v>
      </c>
      <c r="BT376" s="38">
        <f>IFERROR(INDEX(LMH_STEP,MATCH(AF376,LMH_KEY,0)),0)</f>
        <v>0</v>
      </c>
      <c r="BU376" s="38">
        <f>IFERROR(INDEX(LMH_STEP,MATCH(AG376,LMH_KEY,0)),0)</f>
        <v>0</v>
      </c>
      <c r="BV376" s="38">
        <f>IFERROR(INDEX(LMH_STEP,MATCH(AH376,LMH_KEY,0)),0)</f>
        <v>0</v>
      </c>
      <c r="BW376" s="38">
        <f>IFERROR(INDEX(LMH_STEP,MATCH(AI376,LMH_KEY,0)),0)</f>
        <v>0</v>
      </c>
      <c r="BX376" s="38">
        <f>IFERROR(INDEX(LMH_STEP,MATCH(AJ376,LMH_KEY,0)),0)</f>
        <v>0</v>
      </c>
      <c r="BY376" s="38">
        <f>IFERROR(INDEX(LMH_STEP,MATCH(AK376,LMH_KEY,0)),0)</f>
        <v>0</v>
      </c>
      <c r="BZ376" s="38">
        <f>IFERROR(INDEX(LMH_STEP,MATCH(AL376,LMH_KEY,0)),0)</f>
        <v>0</v>
      </c>
      <c r="CA376" s="38" t="inlineStr">
        <is>
          <t>iFile|Technology|Senior UI Developer|A3|A</t>
        </is>
      </c>
    </row>
    <row r="377" ht="110" customHeight="1">
      <c r="A377" s="28" t="inlineStr">
        <is>
          <t>iFile</t>
        </is>
      </c>
      <c r="B377" s="29" t="inlineStr">
        <is>
          <t>Technology</t>
        </is>
      </c>
      <c r="C377" s="29" t="n">
        <v>5</v>
      </c>
      <c r="D377" s="29" t="inlineStr">
        <is>
          <t>IRIS2559</t>
        </is>
      </c>
      <c r="E377" s="29" t="inlineStr">
        <is>
          <t>Amaan Ullah</t>
        </is>
      </c>
      <c r="F377" s="29" t="inlineStr">
        <is>
          <t>Trainee Software Engineer</t>
        </is>
      </c>
      <c r="G377" s="29" t="inlineStr">
        <is>
          <t>Trainee Software Engineer</t>
        </is>
      </c>
      <c r="H377" s="29" t="inlineStr">
        <is>
          <t>Engineering &amp; Development</t>
        </is>
      </c>
      <c r="I377" s="29" t="inlineStr">
        <is>
          <t>Full-Stack Development</t>
        </is>
      </c>
      <c r="J377" s="29" t="inlineStr">
        <is>
          <t>IC</t>
        </is>
      </c>
      <c r="K377" s="29" t="inlineStr">
        <is>
          <t>RC-083</t>
        </is>
      </c>
      <c r="L377" s="29" t="inlineStr">
        <is>
          <t>Shubham Yadav</t>
        </is>
      </c>
      <c r="M377" s="29" t="inlineStr">
        <is>
          <t>IRIS2291</t>
        </is>
      </c>
      <c r="N377" s="29" t="n">
        <v>0.4</v>
      </c>
      <c r="O377" s="29" t="n">
        <v>0.1</v>
      </c>
      <c r="P377" s="29" t="inlineStr">
        <is>
          <t>B.Tech</t>
        </is>
      </c>
      <c r="Q377" s="29" t="inlineStr">
        <is>
          <t>L1 – Intern</t>
        </is>
      </c>
      <c r="R377" s="29" t="inlineStr">
        <is>
          <t>A1</t>
        </is>
      </c>
      <c r="S377" s="30" t="inlineStr">
        <is>
          <t>20 of 20</t>
        </is>
      </c>
      <c r="T377" s="32" t="inlineStr">
        <is>
          <t>Full survey answers not in the files received · How We Grow export needed · HR</t>
        </is>
      </c>
      <c r="U377" s="31" t="inlineStr">
        <is>
          <t>Received · manager annual, quarterly, self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377" s="31" t="inlineStr">
        <is>
          <t>Latest rating: 3 · Potential: Medium · 9-box: Emerging Talent · Readiness: Develop in role</t>
        </is>
      </c>
      <c r="W377" s="31" t="inlineStr">
        <is>
          <t>C — · Au — · Ac — · L — · BI — · Exp H · 0.4 yrs vs 0 yrs · fresher / intern · Edu M · B.Tech</t>
        </is>
      </c>
      <c r="X377" s="33" t="inlineStr">
        <is>
          <t>Open ▸</t>
        </is>
      </c>
      <c r="Y377" s="34" t="str">
        <f>IFERROR(INDEX(DL_C,MATCH($CA377,DL_KEY,0)),"M")</f>
        <v>H</v>
      </c>
      <c r="Z377" s="35" t="str">
        <f>IFERROR(INDEX(DL_Au,MATCH($CA377,DL_KEY,0)),"M")</f>
        <v>M</v>
      </c>
      <c r="AA377" s="35" t="str">
        <f>IFERROR(INDEX(DL_Ac,MATCH($CA377,DL_KEY,0)),"M")</f>
        <v>L</v>
      </c>
      <c r="AB377" s="35" t="str">
        <f>IFERROR(INDEX(DL_L,MATCH($CA377,DL_KEY,0)),"M")</f>
        <v>L</v>
      </c>
      <c r="AC377" s="35" t="str">
        <f>IFERROR(INDEX(DL_BI,MATCH($CA377,DL_KEY,0)),"M")</f>
        <v>L</v>
      </c>
      <c r="AD377" s="35" t="str">
        <f>IFERROR(INDEX(DL_Exp,MATCH($CA377,DL_KEY,0)),"M")</f>
        <v>L</v>
      </c>
      <c r="AE377" s="35" t="str">
        <f>IFERROR(INDEX(DL_Edu,MATCH($CA377,DL_KEY,0)),"M")</f>
        <v>L</v>
      </c>
      <c r="AF377" s="34" t="inlineStr">
        <is>
          <t>M</t>
        </is>
      </c>
      <c r="AG377" s="35" t="inlineStr">
        <is>
          <t>M</t>
        </is>
      </c>
      <c r="AH377" s="35" t="inlineStr">
        <is>
          <t>M</t>
        </is>
      </c>
      <c r="AI377" s="35" t="inlineStr">
        <is>
          <t>M</t>
        </is>
      </c>
      <c r="AJ377" s="35" t="inlineStr">
        <is>
          <t>M</t>
        </is>
      </c>
      <c r="AK377" s="35" t="inlineStr">
        <is>
          <t>M</t>
        </is>
      </c>
      <c r="AL377" s="35" t="inlineStr">
        <is>
          <t>M</t>
        </is>
      </c>
      <c r="AM377" s="36" t="n">
        <v>0.583</v>
      </c>
      <c r="AN377" s="37" t="n">
        <v>0.16</v>
      </c>
      <c r="AO377" s="37" t="n">
        <v>0.09</v>
      </c>
      <c r="AP377" s="37" t="n">
        <v>0</v>
      </c>
      <c r="AQ377" s="37" t="n">
        <v>0.063</v>
      </c>
      <c r="AR377" s="37" t="n">
        <v>0.06</v>
      </c>
      <c r="AS377" s="37" t="n">
        <v>0.04</v>
      </c>
      <c r="AT377" s="38" t="inlineStr">
        <is>
          <t>0 yrs · fresher / intern</t>
        </is>
      </c>
      <c r="AU377" s="38" t="inlineStr">
        <is>
          <t>Pursuing or completed graduation / diploma</t>
        </is>
      </c>
      <c r="AV377" s="38" t="inlineStr">
        <is>
          <t>No direct reports</t>
        </is>
      </c>
      <c r="AW377" s="38" t="inlineStr">
        <is>
          <t>Entry / P1 · intern · SFIA 1 Follow</t>
        </is>
      </c>
      <c r="AX37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77" s="39" t="inlineStr">
        <is>
          <t>A1</t>
        </is>
      </c>
      <c r="AZ377" s="40" t="inlineStr">
        <is>
          <t>Band A · Practitioner · Intern / Trainee</t>
        </is>
      </c>
      <c r="BA377" s="40" t="inlineStr">
        <is>
          <t>Model A1 from the six ratings, the market-derived weights and rules R1–R13 · then No change · already below the manager</t>
        </is>
      </c>
      <c r="BB377" s="41" t="inlineStr">
        <is>
          <t>A1</t>
        </is>
      </c>
      <c r="BC377" s="40" t="inlineStr">
        <is>
          <t>Placed by a category rule — no full set of ratings · benchmark follows the HR proposed level</t>
        </is>
      </c>
      <c r="BD377" s="42">
        <f>IF(SUM(BM377,BN377,BO377,BP377,BQ377,BR377,BS377)=0,0,(BM377*BT377+BN377*BU377+BO377*BV377+BP377*BW377+BQ377*BX377+BR377*BY377+BS377*BZ377)/SUM(BM377,BN377,BO377,BP377,BQ377,BR377,BS377))</f>
        <v>0</v>
      </c>
      <c r="BE377" s="41" t="str">
        <f>IF(LEFT(AY377,1)="X",AY377,IF(OR(AY377="B+",AY377="C+"),INDEX(LAD_PC,MAX(1,MIN(14,MATCH(AY377,LAD_PC,0)+IF(BD377&gt;=0.5,1,IF(BD377&lt;=-0.5,-1,0))))),INDEX(LAD_STD,MAX(1,MIN(12,MATCH(AY377,LAD_STD,0)+IF(BD377&gt;=0.5,1,IF(BD377&lt;=-0.5,-1,0)))))))</f>
        <v>A1</v>
      </c>
      <c r="BF377" s="43" t="n"/>
      <c r="BG377" s="41" t="str">
        <f>IF(BF377&lt;&gt;"",BF377,BE377)</f>
        <v>A1</v>
      </c>
      <c r="BH377" s="40" t="str">
        <f>IFERROR(CHOOSE(INDEX(B_RANK,MATCH(BG377,B_LVL,0)),"Band A","Band B","B+ · Player-Coach","Band C","C+ · Player-Coach","Band D","Band E"),"Band X · Consultant")</f>
        <v>Band A</v>
      </c>
      <c r="BI377" s="40" t="str">
        <f>IF(BG377=AY377,"• Same",IF(INDEX(B_VAL,MATCH(BG377,B_LVL,0))&gt;INDEX(B_VAL,MATCH(AY377,B_LVL,0)),"▲ Up","▼ Down"))</f>
        <v>• Same</v>
      </c>
      <c r="BJ377" s="40" t="str">
        <f>IF(OR($M377="",$M377="—",$M377="Not in this file"),"",IFERROR(INDEX($BG$7:$BG$592,MATCH($M377,$D$7:$D$592,0)),""))</f>
        <v>A3</v>
      </c>
      <c r="BK377" s="40" t="str">
        <f>IFERROR(IF(BJ377="","—",IF(OR(LEFT(BG377,1)="X",LEFT(BJ377,1)="X"),"—",IF(AND(LEFT(BG377,1)="E",LEFT(BJ377,1)="E"),"Exception · Band E",IF(AND(INDEX(B_VAL,MATCH(BJ377,B_LVL,0))&gt;=7,INDEX(B_RANK,MATCH(BG377,B_LVL,0))&gt;=INDEX(B_RANK,MATCH(BJ377,B_LVL,0))),"⚠ Same band as a head manager",IF(INDEX(B_VAL,MATCH(BG377,B_LVL,0))&gt;=INDEX(B_VAL,MATCH(BJ377,B_LVL,0)),"⚠ At or above the manager's level","OK"))))),"—")</f>
        <v>OK</v>
      </c>
      <c r="BL377" s="43" t="n"/>
      <c r="BM377" s="44">
        <f>IFERROR(INDEX(LMH_PTS,MATCH(Y377,LMH_KEY,0)),0)</f>
        <v>9</v>
      </c>
      <c r="BN377" s="38">
        <f>IFERROR(INDEX(LMH_PTS,MATCH(Z377,LMH_KEY,0)),0)</f>
        <v>3</v>
      </c>
      <c r="BO377" s="38">
        <f>IFERROR(INDEX(LMH_PTS,MATCH(AA377,LMH_KEY,0)),0)</f>
        <v>1</v>
      </c>
      <c r="BP377" s="38">
        <f>IFERROR(INDEX(LMH_PTS,MATCH(AB377,LMH_KEY,0)),0)</f>
        <v>1</v>
      </c>
      <c r="BQ377" s="38">
        <f>IFERROR(INDEX(LMH_PTS,MATCH(AC377,LMH_KEY,0)),0)</f>
        <v>1</v>
      </c>
      <c r="BR377" s="38">
        <f>IFERROR(INDEX(LMH_PTS,MATCH(AD377,LMH_KEY,0)),0)</f>
        <v>1</v>
      </c>
      <c r="BS377" s="38">
        <f>IFERROR(INDEX(LMH_PTS,MATCH(AE377,LMH_KEY,0)),0)</f>
        <v>1</v>
      </c>
      <c r="BT377" s="38">
        <f>IFERROR(INDEX(LMH_STEP,MATCH(AF377,LMH_KEY,0)),0)</f>
        <v>0</v>
      </c>
      <c r="BU377" s="38">
        <f>IFERROR(INDEX(LMH_STEP,MATCH(AG377,LMH_KEY,0)),0)</f>
        <v>0</v>
      </c>
      <c r="BV377" s="38">
        <f>IFERROR(INDEX(LMH_STEP,MATCH(AH377,LMH_KEY,0)),0)</f>
        <v>0</v>
      </c>
      <c r="BW377" s="38">
        <f>IFERROR(INDEX(LMH_STEP,MATCH(AI377,LMH_KEY,0)),0)</f>
        <v>0</v>
      </c>
      <c r="BX377" s="38">
        <f>IFERROR(INDEX(LMH_STEP,MATCH(AJ377,LMH_KEY,0)),0)</f>
        <v>0</v>
      </c>
      <c r="BY377" s="38">
        <f>IFERROR(INDEX(LMH_STEP,MATCH(AK377,LMH_KEY,0)),0)</f>
        <v>0</v>
      </c>
      <c r="BZ377" s="38">
        <f>IFERROR(INDEX(LMH_STEP,MATCH(AL377,LMH_KEY,0)),0)</f>
        <v>0</v>
      </c>
      <c r="CA377" s="38" t="inlineStr">
        <is>
          <t>iFile|Technology|Trainee Software Engineer|A1|A</t>
        </is>
      </c>
    </row>
    <row r="378" ht="110" customHeight="1">
      <c r="A378" s="28" t="inlineStr">
        <is>
          <t>iFile</t>
        </is>
      </c>
      <c r="B378" s="29" t="inlineStr">
        <is>
          <t>Technology</t>
        </is>
      </c>
      <c r="C378" s="29" t="n">
        <v>4</v>
      </c>
      <c r="D378" s="29" t="inlineStr">
        <is>
          <t>IRIS2459</t>
        </is>
      </c>
      <c r="E378" s="29" t="inlineStr">
        <is>
          <t>Viranchi Suresh Bhure</t>
        </is>
      </c>
      <c r="F378" s="29" t="inlineStr">
        <is>
          <t>Software Engineer</t>
        </is>
      </c>
      <c r="G378" s="29" t="inlineStr">
        <is>
          <t>Senior Software Engineer</t>
        </is>
      </c>
      <c r="H378" s="29" t="inlineStr">
        <is>
          <t>Engineering &amp; Development</t>
        </is>
      </c>
      <c r="I378" s="29" t="inlineStr">
        <is>
          <t>Backend Development</t>
        </is>
      </c>
      <c r="J378" s="29" t="inlineStr">
        <is>
          <t>IC</t>
        </is>
      </c>
      <c r="K378" s="29" t="inlineStr">
        <is>
          <t>RC-067</t>
        </is>
      </c>
      <c r="L378" s="29" t="inlineStr">
        <is>
          <t>Nikhil Nalawade</t>
        </is>
      </c>
      <c r="M378" s="29" t="inlineStr">
        <is>
          <t>IRIS0846</t>
        </is>
      </c>
      <c r="N378" s="29" t="n">
        <v>3.5</v>
      </c>
      <c r="O378" s="29" t="n">
        <v>0.7</v>
      </c>
      <c r="P378" s="29" t="inlineStr">
        <is>
          <t>B.E</t>
        </is>
      </c>
      <c r="Q378" s="29" t="inlineStr">
        <is>
          <t>L3 – Professional / Associate</t>
        </is>
      </c>
      <c r="R378" s="29" t="inlineStr">
        <is>
          <t>A3</t>
        </is>
      </c>
      <c r="S378" s="30" t="inlineStr">
        <is>
          <t>20 of 20</t>
        </is>
      </c>
      <c r="T378" s="31" t="inlineStr">
        <is>
          <t>Business Impact: No survey or manager-mapping signal on criticality: kept at the start point.</t>
        </is>
      </c>
      <c r="U378" s="31" t="inlineStr">
        <is>
          <t>Received · manager annual, quarterly, self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378" s="31" t="inlineStr">
        <is>
          <t>Latest rating: 3 · Potential: Medium · 9-box: Emerging Talent · Readiness: Develop in role</t>
        </is>
      </c>
      <c r="W378" s="31" t="inlineStr">
        <is>
          <t>C M · Au L · Ac M · L L · BI M · Exp M · 3.5 yrs vs 2–4 yrs · Edu M · B.E</t>
        </is>
      </c>
      <c r="X378" s="33" t="inlineStr">
        <is>
          <t>Open ▸</t>
        </is>
      </c>
      <c r="Y378" s="34" t="str">
        <f>IFERROR(INDEX(DL_C,MATCH($CA378,DL_KEY,0)),"M")</f>
        <v>H</v>
      </c>
      <c r="Z378" s="35" t="str">
        <f>IFERROR(INDEX(DL_Au,MATCH($CA378,DL_KEY,0)),"M")</f>
        <v>M</v>
      </c>
      <c r="AA378" s="35" t="str">
        <f>IFERROR(INDEX(DL_Ac,MATCH($CA378,DL_KEY,0)),"M")</f>
        <v>L</v>
      </c>
      <c r="AB378" s="35" t="str">
        <f>IFERROR(INDEX(DL_L,MATCH($CA378,DL_KEY,0)),"M")</f>
        <v>L</v>
      </c>
      <c r="AC378" s="35" t="str">
        <f>IFERROR(INDEX(DL_BI,MATCH($CA378,DL_KEY,0)),"M")</f>
        <v>L</v>
      </c>
      <c r="AD378" s="35" t="str">
        <f>IFERROR(INDEX(DL_Exp,MATCH($CA378,DL_KEY,0)),"M")</f>
        <v>L</v>
      </c>
      <c r="AE378" s="35" t="str">
        <f>IFERROR(INDEX(DL_Edu,MATCH($CA378,DL_KEY,0)),"M")</f>
        <v>L</v>
      </c>
      <c r="AF378" s="34" t="inlineStr">
        <is>
          <t>M</t>
        </is>
      </c>
      <c r="AG378" s="35" t="inlineStr">
        <is>
          <t>M</t>
        </is>
      </c>
      <c r="AH378" s="35" t="inlineStr">
        <is>
          <t>M</t>
        </is>
      </c>
      <c r="AI378" s="35" t="inlineStr">
        <is>
          <t>M</t>
        </is>
      </c>
      <c r="AJ378" s="35" t="inlineStr">
        <is>
          <t>M</t>
        </is>
      </c>
      <c r="AK378" s="35" t="inlineStr">
        <is>
          <t>M</t>
        </is>
      </c>
      <c r="AL378" s="35" t="inlineStr">
        <is>
          <t>M</t>
        </is>
      </c>
      <c r="AM378" s="36" t="n">
        <v>0.583</v>
      </c>
      <c r="AN378" s="37" t="n">
        <v>0.16</v>
      </c>
      <c r="AO378" s="37" t="n">
        <v>0.09</v>
      </c>
      <c r="AP378" s="37" t="n">
        <v>0</v>
      </c>
      <c r="AQ378" s="37" t="n">
        <v>0.063</v>
      </c>
      <c r="AR378" s="37" t="n">
        <v>0.06</v>
      </c>
      <c r="AS378" s="37" t="n">
        <v>0.04</v>
      </c>
      <c r="AT378" s="38" t="inlineStr">
        <is>
          <t>2–5</t>
        </is>
      </c>
      <c r="AU378" s="38" t="inlineStr">
        <is>
          <t>Graduate; relevant certification preferred</t>
        </is>
      </c>
      <c r="AV378" s="38" t="inlineStr">
        <is>
          <t>None · guides 1–3 juniors informally</t>
        </is>
      </c>
      <c r="AW378" s="38" t="inlineStr">
        <is>
          <t>P2 · SFIA 3 Apply</t>
        </is>
      </c>
      <c r="AX37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78" s="39" t="inlineStr">
        <is>
          <t>A3</t>
        </is>
      </c>
      <c r="AZ378" s="40" t="inlineStr">
        <is>
          <t>Band A · Practitioner · Senior Associate</t>
        </is>
      </c>
      <c r="BA378" s="40" t="inlineStr">
        <is>
          <t>Model A3 from the six ratings, the market-derived weights and rules R1–R13 · then No change · already below the manager</t>
        </is>
      </c>
      <c r="BB378" s="41" t="inlineStr">
        <is>
          <t>A2</t>
        </is>
      </c>
      <c r="BC378" s="40" t="inlineStr">
        <is>
          <t>The six ratings on the market-average weights of Band A · all tracks score 2.47 → A2 · Hay, Mercer IPE and public plans · experience 3.5 yrs vs the A2 market range 0–3</t>
        </is>
      </c>
      <c r="BD378" s="42">
        <f>IF(SUM(BM378,BN378,BO378,BP378,BQ378,BR378,BS378)=0,0,(BM378*BT378+BN378*BU378+BO378*BV378+BP378*BW378+BQ378*BX378+BR378*BY378+BS378*BZ378)/SUM(BM378,BN378,BO378,BP378,BQ378,BR378,BS378))</f>
        <v>0</v>
      </c>
      <c r="BE378" s="41" t="str">
        <f>IF(LEFT(AY378,1)="X",AY378,IF(OR(AY378="B+",AY378="C+"),INDEX(LAD_PC,MAX(1,MIN(14,MATCH(AY378,LAD_PC,0)+IF(BD378&gt;=0.5,1,IF(BD378&lt;=-0.5,-1,0))))),INDEX(LAD_STD,MAX(1,MIN(12,MATCH(AY378,LAD_STD,0)+IF(BD378&gt;=0.5,1,IF(BD378&lt;=-0.5,-1,0)))))))</f>
        <v>A3</v>
      </c>
      <c r="BF378" s="43" t="n"/>
      <c r="BG378" s="41" t="str">
        <f>IF(BF378&lt;&gt;"",BF378,BE378)</f>
        <v>A3</v>
      </c>
      <c r="BH378" s="40" t="str">
        <f>IFERROR(CHOOSE(INDEX(B_RANK,MATCH(BG378,B_LVL,0)),"Band A","Band B","B+ · Player-Coach","Band C","C+ · Player-Coach","Band D","Band E"),"Band X · Consultant")</f>
        <v>Band A</v>
      </c>
      <c r="BI378" s="40" t="str">
        <f>IF(BG378=AY378,"• Same",IF(INDEX(B_VAL,MATCH(BG378,B_LVL,0))&gt;INDEX(B_VAL,MATCH(AY378,B_LVL,0)),"▲ Up","▼ Down"))</f>
        <v>• Same</v>
      </c>
      <c r="BJ378" s="40" t="str">
        <f>IF(OR($M378="",$M378="—",$M378="Not in this file"),"",IFERROR(INDEX($BG$7:$BG$592,MATCH($M378,$D$7:$D$592,0)),""))</f>
        <v>B2</v>
      </c>
      <c r="BK378" s="40" t="str">
        <f>IFERROR(IF(BJ378="","—",IF(OR(LEFT(BG378,1)="X",LEFT(BJ378,1)="X"),"—",IF(AND(LEFT(BG378,1)="E",LEFT(BJ378,1)="E"),"Exception · Band E",IF(AND(INDEX(B_VAL,MATCH(BJ378,B_LVL,0))&gt;=7,INDEX(B_RANK,MATCH(BG378,B_LVL,0))&gt;=INDEX(B_RANK,MATCH(BJ378,B_LVL,0))),"⚠ Same band as a head manager",IF(INDEX(B_VAL,MATCH(BG378,B_LVL,0))&gt;=INDEX(B_VAL,MATCH(BJ378,B_LVL,0)),"⚠ At or above the manager's level","OK"))))),"—")</f>
        <v>OK</v>
      </c>
      <c r="BL378" s="43" t="n"/>
      <c r="BM378" s="44">
        <f>IFERROR(INDEX(LMH_PTS,MATCH(Y378,LMH_KEY,0)),0)</f>
        <v>9</v>
      </c>
      <c r="BN378" s="38">
        <f>IFERROR(INDEX(LMH_PTS,MATCH(Z378,LMH_KEY,0)),0)</f>
        <v>3</v>
      </c>
      <c r="BO378" s="38">
        <f>IFERROR(INDEX(LMH_PTS,MATCH(AA378,LMH_KEY,0)),0)</f>
        <v>1</v>
      </c>
      <c r="BP378" s="38">
        <f>IFERROR(INDEX(LMH_PTS,MATCH(AB378,LMH_KEY,0)),0)</f>
        <v>1</v>
      </c>
      <c r="BQ378" s="38">
        <f>IFERROR(INDEX(LMH_PTS,MATCH(AC378,LMH_KEY,0)),0)</f>
        <v>1</v>
      </c>
      <c r="BR378" s="38">
        <f>IFERROR(INDEX(LMH_PTS,MATCH(AD378,LMH_KEY,0)),0)</f>
        <v>1</v>
      </c>
      <c r="BS378" s="38">
        <f>IFERROR(INDEX(LMH_PTS,MATCH(AE378,LMH_KEY,0)),0)</f>
        <v>1</v>
      </c>
      <c r="BT378" s="38">
        <f>IFERROR(INDEX(LMH_STEP,MATCH(AF378,LMH_KEY,0)),0)</f>
        <v>0</v>
      </c>
      <c r="BU378" s="38">
        <f>IFERROR(INDEX(LMH_STEP,MATCH(AG378,LMH_KEY,0)),0)</f>
        <v>0</v>
      </c>
      <c r="BV378" s="38">
        <f>IFERROR(INDEX(LMH_STEP,MATCH(AH378,LMH_KEY,0)),0)</f>
        <v>0</v>
      </c>
      <c r="BW378" s="38">
        <f>IFERROR(INDEX(LMH_STEP,MATCH(AI378,LMH_KEY,0)),0)</f>
        <v>0</v>
      </c>
      <c r="BX378" s="38">
        <f>IFERROR(INDEX(LMH_STEP,MATCH(AJ378,LMH_KEY,0)),0)</f>
        <v>0</v>
      </c>
      <c r="BY378" s="38">
        <f>IFERROR(INDEX(LMH_STEP,MATCH(AK378,LMH_KEY,0)),0)</f>
        <v>0</v>
      </c>
      <c r="BZ378" s="38">
        <f>IFERROR(INDEX(LMH_STEP,MATCH(AL378,LMH_KEY,0)),0)</f>
        <v>0</v>
      </c>
      <c r="CA378" s="38" t="inlineStr">
        <is>
          <t>iFile|Technology|Senior Software Engineer|A3|A</t>
        </is>
      </c>
    </row>
    <row r="379" ht="110" customHeight="1">
      <c r="A379" s="28" t="inlineStr">
        <is>
          <t>iFile</t>
        </is>
      </c>
      <c r="B379" s="29" t="inlineStr">
        <is>
          <t>Technology</t>
        </is>
      </c>
      <c r="C379" s="29" t="n">
        <v>4</v>
      </c>
      <c r="D379" s="29" t="inlineStr">
        <is>
          <t>IRIS2385</t>
        </is>
      </c>
      <c r="E379" s="29" t="inlineStr">
        <is>
          <t>Hemant Sakunde</t>
        </is>
      </c>
      <c r="F379" s="29" t="inlineStr">
        <is>
          <t>Trainee Software Engineer</t>
        </is>
      </c>
      <c r="G379" s="29" t="inlineStr">
        <is>
          <t>Software Engineer</t>
        </is>
      </c>
      <c r="H379" s="29" t="inlineStr">
        <is>
          <t>Engineering &amp; Development</t>
        </is>
      </c>
      <c r="I379" s="29" t="inlineStr">
        <is>
          <t>Full-Stack Development</t>
        </is>
      </c>
      <c r="J379" s="29" t="inlineStr">
        <is>
          <t>IC</t>
        </is>
      </c>
      <c r="K379" s="29" t="inlineStr">
        <is>
          <t>RC-084</t>
        </is>
      </c>
      <c r="L379" s="29" t="inlineStr">
        <is>
          <t>Nikhil Nalawade</t>
        </is>
      </c>
      <c r="M379" s="29" t="inlineStr">
        <is>
          <t>IRIS0846</t>
        </is>
      </c>
      <c r="N379" s="29" t="n">
        <v>1.3</v>
      </c>
      <c r="O379" s="29" t="n">
        <v>1.3</v>
      </c>
      <c r="P379" s="29" t="inlineStr">
        <is>
          <t>B.E</t>
        </is>
      </c>
      <c r="Q379" s="29" t="inlineStr">
        <is>
          <t>L2 – Trainee</t>
        </is>
      </c>
      <c r="R379" s="29" t="inlineStr">
        <is>
          <t>A2</t>
        </is>
      </c>
      <c r="S379" s="30" t="inlineStr">
        <is>
          <t>20 of 20</t>
        </is>
      </c>
      <c r="T379" s="31" t="inlineStr">
        <is>
          <t>Complexity: Evidence reads like A3: Covers UI, API development, DevOps, database management and deployment on a new product → moved up 1
Autonomy: Evidence reads like A2: Only prioritising bug fixes named → moved up 0.5
Accountability: Evidence reads like A2: Smooth client demos: consistent data, no bugs, timely deployment → moved up 0.5
Leadership: …</t>
        </is>
      </c>
      <c r="U379" s="31" t="inlineStr">
        <is>
          <t>Received · manager annual, quarterly, self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379" s="31" t="inlineStr">
        <is>
          <t>Latest rating: 4 · Potential: High · 9-box: Trusted Professional · Readiness: Ready now</t>
        </is>
      </c>
      <c r="W379" s="31" t="inlineStr">
        <is>
          <t>C M · Au M · Ac M · L L · BI M · Exp M · 1.3 yrs vs 0–2 yrs · Edu M · B.E</t>
        </is>
      </c>
      <c r="X379" s="33" t="inlineStr">
        <is>
          <t>Open ▸</t>
        </is>
      </c>
      <c r="Y379" s="34" t="str">
        <f>IFERROR(INDEX(DL_C,MATCH($CA379,DL_KEY,0)),"M")</f>
        <v>H</v>
      </c>
      <c r="Z379" s="35" t="str">
        <f>IFERROR(INDEX(DL_Au,MATCH($CA379,DL_KEY,0)),"M")</f>
        <v>M</v>
      </c>
      <c r="AA379" s="35" t="str">
        <f>IFERROR(INDEX(DL_Ac,MATCH($CA379,DL_KEY,0)),"M")</f>
        <v>L</v>
      </c>
      <c r="AB379" s="35" t="str">
        <f>IFERROR(INDEX(DL_L,MATCH($CA379,DL_KEY,0)),"M")</f>
        <v>L</v>
      </c>
      <c r="AC379" s="35" t="str">
        <f>IFERROR(INDEX(DL_BI,MATCH($CA379,DL_KEY,0)),"M")</f>
        <v>L</v>
      </c>
      <c r="AD379" s="35" t="str">
        <f>IFERROR(INDEX(DL_Exp,MATCH($CA379,DL_KEY,0)),"M")</f>
        <v>L</v>
      </c>
      <c r="AE379" s="35" t="str">
        <f>IFERROR(INDEX(DL_Edu,MATCH($CA379,DL_KEY,0)),"M")</f>
        <v>L</v>
      </c>
      <c r="AF379" s="34" t="inlineStr">
        <is>
          <t>M</t>
        </is>
      </c>
      <c r="AG379" s="35" t="inlineStr">
        <is>
          <t>M</t>
        </is>
      </c>
      <c r="AH379" s="35" t="inlineStr">
        <is>
          <t>M</t>
        </is>
      </c>
      <c r="AI379" s="35" t="inlineStr">
        <is>
          <t>M</t>
        </is>
      </c>
      <c r="AJ379" s="35" t="inlineStr">
        <is>
          <t>M</t>
        </is>
      </c>
      <c r="AK379" s="35" t="inlineStr">
        <is>
          <t>M</t>
        </is>
      </c>
      <c r="AL379" s="35" t="inlineStr">
        <is>
          <t>M</t>
        </is>
      </c>
      <c r="AM379" s="36" t="n">
        <v>0.583</v>
      </c>
      <c r="AN379" s="37" t="n">
        <v>0.16</v>
      </c>
      <c r="AO379" s="37" t="n">
        <v>0.09</v>
      </c>
      <c r="AP379" s="37" t="n">
        <v>0</v>
      </c>
      <c r="AQ379" s="37" t="n">
        <v>0.063</v>
      </c>
      <c r="AR379" s="37" t="n">
        <v>0.06</v>
      </c>
      <c r="AS379" s="37" t="n">
        <v>0.04</v>
      </c>
      <c r="AT379" s="38" t="inlineStr">
        <is>
          <t>0–3</t>
        </is>
      </c>
      <c r="AU379" s="38" t="inlineStr">
        <is>
          <t>Graduate · or diploma with experience</t>
        </is>
      </c>
      <c r="AV379" s="38" t="inlineStr">
        <is>
          <t>No direct reports</t>
        </is>
      </c>
      <c r="AW379" s="38" t="inlineStr">
        <is>
          <t>P1–P2 · SFIA 2 Assist</t>
        </is>
      </c>
      <c r="AX37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79" s="39" t="inlineStr">
        <is>
          <t>A2</t>
        </is>
      </c>
      <c r="AZ379" s="40" t="inlineStr">
        <is>
          <t>Band A · Practitioner · Associate</t>
        </is>
      </c>
      <c r="BA379" s="40" t="inlineStr">
        <is>
          <t>Model A2 from the six ratings, the market-derived weights and rules R1–R13 · then No change · already below the manager</t>
        </is>
      </c>
      <c r="BB379" s="41" t="inlineStr">
        <is>
          <t>A2</t>
        </is>
      </c>
      <c r="BC379" s="40" t="inlineStr">
        <is>
          <t>The six ratings on the market-average weights of Band A · all tracks score 1.84 → A2 · Hay, Mercer IPE and public plans · experience 1.3 yrs vs the A2 market range 0–3</t>
        </is>
      </c>
      <c r="BD379" s="42">
        <f>IF(SUM(BM379,BN379,BO379,BP379,BQ379,BR379,BS379)=0,0,(BM379*BT379+BN379*BU379+BO379*BV379+BP379*BW379+BQ379*BX379+BR379*BY379+BS379*BZ379)/SUM(BM379,BN379,BO379,BP379,BQ379,BR379,BS379))</f>
        <v>0</v>
      </c>
      <c r="BE379" s="41" t="str">
        <f>IF(LEFT(AY379,1)="X",AY379,IF(OR(AY379="B+",AY379="C+"),INDEX(LAD_PC,MAX(1,MIN(14,MATCH(AY379,LAD_PC,0)+IF(BD379&gt;=0.5,1,IF(BD379&lt;=-0.5,-1,0))))),INDEX(LAD_STD,MAX(1,MIN(12,MATCH(AY379,LAD_STD,0)+IF(BD379&gt;=0.5,1,IF(BD379&lt;=-0.5,-1,0)))))))</f>
        <v>A2</v>
      </c>
      <c r="BF379" s="43" t="n"/>
      <c r="BG379" s="41" t="str">
        <f>IF(BF379&lt;&gt;"",BF379,BE379)</f>
        <v>A2</v>
      </c>
      <c r="BH379" s="40" t="str">
        <f>IFERROR(CHOOSE(INDEX(B_RANK,MATCH(BG379,B_LVL,0)),"Band A","Band B","B+ · Player-Coach","Band C","C+ · Player-Coach","Band D","Band E"),"Band X · Consultant")</f>
        <v>Band A</v>
      </c>
      <c r="BI379" s="40" t="str">
        <f>IF(BG379=AY379,"• Same",IF(INDEX(B_VAL,MATCH(BG379,B_LVL,0))&gt;INDEX(B_VAL,MATCH(AY379,B_LVL,0)),"▲ Up","▼ Down"))</f>
        <v>• Same</v>
      </c>
      <c r="BJ379" s="40" t="str">
        <f>IF(OR($M379="",$M379="—",$M379="Not in this file"),"",IFERROR(INDEX($BG$7:$BG$592,MATCH($M379,$D$7:$D$592,0)),""))</f>
        <v>B2</v>
      </c>
      <c r="BK379" s="40" t="str">
        <f>IFERROR(IF(BJ379="","—",IF(OR(LEFT(BG379,1)="X",LEFT(BJ379,1)="X"),"—",IF(AND(LEFT(BG379,1)="E",LEFT(BJ379,1)="E"),"Exception · Band E",IF(AND(INDEX(B_VAL,MATCH(BJ379,B_LVL,0))&gt;=7,INDEX(B_RANK,MATCH(BG379,B_LVL,0))&gt;=INDEX(B_RANK,MATCH(BJ379,B_LVL,0))),"⚠ Same band as a head manager",IF(INDEX(B_VAL,MATCH(BG379,B_LVL,0))&gt;=INDEX(B_VAL,MATCH(BJ379,B_LVL,0)),"⚠ At or above the manager's level","OK"))))),"—")</f>
        <v>OK</v>
      </c>
      <c r="BL379" s="43" t="n"/>
      <c r="BM379" s="44">
        <f>IFERROR(INDEX(LMH_PTS,MATCH(Y379,LMH_KEY,0)),0)</f>
        <v>9</v>
      </c>
      <c r="BN379" s="38">
        <f>IFERROR(INDEX(LMH_PTS,MATCH(Z379,LMH_KEY,0)),0)</f>
        <v>3</v>
      </c>
      <c r="BO379" s="38">
        <f>IFERROR(INDEX(LMH_PTS,MATCH(AA379,LMH_KEY,0)),0)</f>
        <v>1</v>
      </c>
      <c r="BP379" s="38">
        <f>IFERROR(INDEX(LMH_PTS,MATCH(AB379,LMH_KEY,0)),0)</f>
        <v>1</v>
      </c>
      <c r="BQ379" s="38">
        <f>IFERROR(INDEX(LMH_PTS,MATCH(AC379,LMH_KEY,0)),0)</f>
        <v>1</v>
      </c>
      <c r="BR379" s="38">
        <f>IFERROR(INDEX(LMH_PTS,MATCH(AD379,LMH_KEY,0)),0)</f>
        <v>1</v>
      </c>
      <c r="BS379" s="38">
        <f>IFERROR(INDEX(LMH_PTS,MATCH(AE379,LMH_KEY,0)),0)</f>
        <v>1</v>
      </c>
      <c r="BT379" s="38">
        <f>IFERROR(INDEX(LMH_STEP,MATCH(AF379,LMH_KEY,0)),0)</f>
        <v>0</v>
      </c>
      <c r="BU379" s="38">
        <f>IFERROR(INDEX(LMH_STEP,MATCH(AG379,LMH_KEY,0)),0)</f>
        <v>0</v>
      </c>
      <c r="BV379" s="38">
        <f>IFERROR(INDEX(LMH_STEP,MATCH(AH379,LMH_KEY,0)),0)</f>
        <v>0</v>
      </c>
      <c r="BW379" s="38">
        <f>IFERROR(INDEX(LMH_STEP,MATCH(AI379,LMH_KEY,0)),0)</f>
        <v>0</v>
      </c>
      <c r="BX379" s="38">
        <f>IFERROR(INDEX(LMH_STEP,MATCH(AJ379,LMH_KEY,0)),0)</f>
        <v>0</v>
      </c>
      <c r="BY379" s="38">
        <f>IFERROR(INDEX(LMH_STEP,MATCH(AK379,LMH_KEY,0)),0)</f>
        <v>0</v>
      </c>
      <c r="BZ379" s="38">
        <f>IFERROR(INDEX(LMH_STEP,MATCH(AL379,LMH_KEY,0)),0)</f>
        <v>0</v>
      </c>
      <c r="CA379" s="38" t="inlineStr">
        <is>
          <t>iFile|Technology|Software Engineer|A2|A</t>
        </is>
      </c>
    </row>
    <row r="380" ht="110" customHeight="1">
      <c r="A380" s="28" t="inlineStr">
        <is>
          <t>iFile</t>
        </is>
      </c>
      <c r="B380" s="29" t="inlineStr">
        <is>
          <t>Technology</t>
        </is>
      </c>
      <c r="C380" s="29" t="n">
        <v>3</v>
      </c>
      <c r="D380" s="29" t="inlineStr">
        <is>
          <t>IRIS0929</t>
        </is>
      </c>
      <c r="E380" s="29" t="inlineStr">
        <is>
          <t>Sandeep Dwivedi</t>
        </is>
      </c>
      <c r="F380" s="29" t="inlineStr">
        <is>
          <t>Project Manager</t>
        </is>
      </c>
      <c r="G380" s="29" t="inlineStr">
        <is>
          <t>Delivery Manager</t>
        </is>
      </c>
      <c r="H380" s="29" t="inlineStr">
        <is>
          <t>Project &amp; Program Management</t>
        </is>
      </c>
      <c r="I380" s="29" t="inlineStr">
        <is>
          <t>Project &amp; Program Delivery</t>
        </is>
      </c>
      <c r="J380" s="29" t="inlineStr">
        <is>
          <t>People Manager</t>
        </is>
      </c>
      <c r="K380" s="29" t="inlineStr">
        <is>
          <t>RC-136</t>
        </is>
      </c>
      <c r="L380" s="29" t="inlineStr">
        <is>
          <t>Pradip Dey</t>
        </is>
      </c>
      <c r="M380" s="29" t="inlineStr">
        <is>
          <t>IRISC223</t>
        </is>
      </c>
      <c r="N380" s="29" t="n">
        <v>15</v>
      </c>
      <c r="O380" s="29" t="n">
        <v>15</v>
      </c>
      <c r="P380" s="29" t="inlineStr">
        <is>
          <t>MMS</t>
        </is>
      </c>
      <c r="Q380" s="29" t="inlineStr">
        <is>
          <t>L5 – Manager</t>
        </is>
      </c>
      <c r="R380" s="29" t="inlineStr">
        <is>
          <t>B2</t>
        </is>
      </c>
      <c r="S380" s="30" t="inlineStr">
        <is>
          <t>20 of 20</t>
        </is>
      </c>
      <c r="T380" s="31" t="inlineStr">
        <is>
          <t>Complexity: Evidence reads like B1: Manages scope, timelines, risks and resources across client and cross-functional teams; generic wording → moved down 0.5
Autonomy: Evidence reads like B1: Prioritises work and tickets; no other decisions named → moved down 0.5
Accountability: Evidence reads like B2: Project delivery and commitments to management and …</t>
        </is>
      </c>
      <c r="U380" s="31" t="inlineStr">
        <is>
          <t>Received · manager annual, quarterly · 1. CMA Kuwait and Boursa Kuwait Program
Proactive communicaions and stakeholder management as per the protocols set for the program
Ensure operations support is provided as per SLA defined for the program
Ensure proactive maintenance activities carried out by team and metrics are being reviewed systematically for …</t>
        </is>
      </c>
      <c r="V380" s="31" t="inlineStr">
        <is>
          <t>Latest rating: 3 · Potential: Medium · 9-box: Core Contributor · Readiness: Develop in role</t>
        </is>
      </c>
      <c r="W380" s="31" t="inlineStr">
        <is>
          <t>C M · Au M · Ac M · L M · BI H · Exp H · 15 yrs vs 6–9 yrs · Edu H · MMS</t>
        </is>
      </c>
      <c r="X380" s="33" t="inlineStr">
        <is>
          <t>Open ▸</t>
        </is>
      </c>
      <c r="Y380" s="34" t="str">
        <f>IFERROR(INDEX(DL_C,MATCH($CA380,DL_KEY,0)),"M")</f>
        <v>H</v>
      </c>
      <c r="Z380" s="35" t="str">
        <f>IFERROR(INDEX(DL_Au,MATCH($CA380,DL_KEY,0)),"M")</f>
        <v>M</v>
      </c>
      <c r="AA380" s="35" t="str">
        <f>IFERROR(INDEX(DL_Ac,MATCH($CA380,DL_KEY,0)),"M")</f>
        <v>L</v>
      </c>
      <c r="AB380" s="35" t="str">
        <f>IFERROR(INDEX(DL_L,MATCH($CA380,DL_KEY,0)),"M")</f>
        <v>M</v>
      </c>
      <c r="AC380" s="35" t="str">
        <f>IFERROR(INDEX(DL_BI,MATCH($CA380,DL_KEY,0)),"M")</f>
        <v>L</v>
      </c>
      <c r="AD380" s="35" t="str">
        <f>IFERROR(INDEX(DL_Exp,MATCH($CA380,DL_KEY,0)),"M")</f>
        <v>L</v>
      </c>
      <c r="AE380" s="35" t="str">
        <f>IFERROR(INDEX(DL_Edu,MATCH($CA380,DL_KEY,0)),"M")</f>
        <v>L</v>
      </c>
      <c r="AF380" s="34" t="inlineStr">
        <is>
          <t>M</t>
        </is>
      </c>
      <c r="AG380" s="35" t="inlineStr">
        <is>
          <t>M</t>
        </is>
      </c>
      <c r="AH380" s="35" t="inlineStr">
        <is>
          <t>M</t>
        </is>
      </c>
      <c r="AI380" s="35" t="inlineStr">
        <is>
          <t>M</t>
        </is>
      </c>
      <c r="AJ380" s="35" t="inlineStr">
        <is>
          <t>M</t>
        </is>
      </c>
      <c r="AK380" s="35" t="inlineStr">
        <is>
          <t>M</t>
        </is>
      </c>
      <c r="AL380" s="35" t="inlineStr">
        <is>
          <t>M</t>
        </is>
      </c>
      <c r="AM380" s="36" t="n">
        <v>0.37</v>
      </c>
      <c r="AN380" s="37" t="n">
        <v>0.183</v>
      </c>
      <c r="AO380" s="37" t="n">
        <v>0.113</v>
      </c>
      <c r="AP380" s="37" t="n">
        <v>0.15</v>
      </c>
      <c r="AQ380" s="37" t="n">
        <v>0.08699999999999999</v>
      </c>
      <c r="AR380" s="37" t="n">
        <v>0.06</v>
      </c>
      <c r="AS380" s="37" t="n">
        <v>0.04</v>
      </c>
      <c r="AT380" s="38" t="inlineStr">
        <is>
          <t>6–10</t>
        </is>
      </c>
      <c r="AU380" s="38" t="inlineStr">
        <is>
          <t>Graduate or postgraduate; professional qualification preferred</t>
        </is>
      </c>
      <c r="AV380" s="38" t="inlineStr">
        <is>
          <t>IC: none · People: 6–8 knowledge work, 8–12 standardised delivery</t>
        </is>
      </c>
      <c r="AW380" s="38" t="inlineStr">
        <is>
          <t>P4 / M3 · SFIA 4–5</t>
        </is>
      </c>
      <c r="AX38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80" s="39" t="inlineStr">
        <is>
          <t>B2</t>
        </is>
      </c>
      <c r="AZ380" s="40" t="inlineStr">
        <is>
          <t>Band B · Specialist / Manager · Manager</t>
        </is>
      </c>
      <c r="BA380" s="40" t="inlineStr">
        <is>
          <t>Model B2 from the six ratings, the market-derived weights and rules R1–R13 · then No change · already below the manager</t>
        </is>
      </c>
      <c r="BB380" s="41" t="inlineStr">
        <is>
          <t>B2</t>
        </is>
      </c>
      <c r="BC380" s="40" t="inlineStr">
        <is>
          <t>The six ratings on the market-average weights of Band B · People Manager score 5.24 → B2 · Hay, Mercer IPE and public plans · experience 15 yrs vs the B2 market range 6–10</t>
        </is>
      </c>
      <c r="BD380" s="42">
        <f>IF(SUM(BM380,BN380,BO380,BP380,BQ380,BR380,BS380)=0,0,(BM380*BT380+BN380*BU380+BO380*BV380+BP380*BW380+BQ380*BX380+BR380*BY380+BS380*BZ380)/SUM(BM380,BN380,BO380,BP380,BQ380,BR380,BS380))</f>
        <v>0</v>
      </c>
      <c r="BE380" s="41" t="str">
        <f>IF(LEFT(AY380,1)="X",AY380,IF(OR(AY380="B+",AY380="C+"),INDEX(LAD_PC,MAX(1,MIN(14,MATCH(AY380,LAD_PC,0)+IF(BD380&gt;=0.5,1,IF(BD380&lt;=-0.5,-1,0))))),INDEX(LAD_STD,MAX(1,MIN(12,MATCH(AY380,LAD_STD,0)+IF(BD380&gt;=0.5,1,IF(BD380&lt;=-0.5,-1,0)))))))</f>
        <v>B2</v>
      </c>
      <c r="BF380" s="43" t="n"/>
      <c r="BG380" s="41" t="str">
        <f>IF(BF380&lt;&gt;"",BF380,BE380)</f>
        <v>B2</v>
      </c>
      <c r="BH380" s="40" t="str">
        <f>IFERROR(CHOOSE(INDEX(B_RANK,MATCH(BG380,B_LVL,0)),"Band A","Band B","B+ · Player-Coach","Band C","C+ · Player-Coach","Band D","Band E"),"Band X · Consultant")</f>
        <v>Band B</v>
      </c>
      <c r="BI380" s="40" t="str">
        <f>IF(BG380=AY380,"• Same",IF(INDEX(B_VAL,MATCH(BG380,B_LVL,0))&gt;INDEX(B_VAL,MATCH(AY380,B_LVL,0)),"▲ Up","▼ Down"))</f>
        <v>• Same</v>
      </c>
      <c r="BJ380" s="40" t="str">
        <f>IF(OR($M380="",$M380="—",$M380="Not in this file"),"",IFERROR(INDEX($BG$7:$BG$592,MATCH($M380,$D$7:$D$592,0)),""))</f>
        <v>C2</v>
      </c>
      <c r="BK380" s="40" t="str">
        <f>IFERROR(IF(BJ380="","—",IF(OR(LEFT(BG380,1)="X",LEFT(BJ380,1)="X"),"—",IF(AND(LEFT(BG380,1)="E",LEFT(BJ380,1)="E"),"Exception · Band E",IF(AND(INDEX(B_VAL,MATCH(BJ380,B_LVL,0))&gt;=7,INDEX(B_RANK,MATCH(BG380,B_LVL,0))&gt;=INDEX(B_RANK,MATCH(BJ380,B_LVL,0))),"⚠ Same band as a head manager",IF(INDEX(B_VAL,MATCH(BG380,B_LVL,0))&gt;=INDEX(B_VAL,MATCH(BJ380,B_LVL,0)),"⚠ At or above the manager's level","OK"))))),"—")</f>
        <v>OK</v>
      </c>
      <c r="BL380" s="43" t="n"/>
      <c r="BM380" s="44">
        <f>IFERROR(INDEX(LMH_PTS,MATCH(Y380,LMH_KEY,0)),0)</f>
        <v>9</v>
      </c>
      <c r="BN380" s="38">
        <f>IFERROR(INDEX(LMH_PTS,MATCH(Z380,LMH_KEY,0)),0)</f>
        <v>3</v>
      </c>
      <c r="BO380" s="38">
        <f>IFERROR(INDEX(LMH_PTS,MATCH(AA380,LMH_KEY,0)),0)</f>
        <v>1</v>
      </c>
      <c r="BP380" s="38">
        <f>IFERROR(INDEX(LMH_PTS,MATCH(AB380,LMH_KEY,0)),0)</f>
        <v>3</v>
      </c>
      <c r="BQ380" s="38">
        <f>IFERROR(INDEX(LMH_PTS,MATCH(AC380,LMH_KEY,0)),0)</f>
        <v>1</v>
      </c>
      <c r="BR380" s="38">
        <f>IFERROR(INDEX(LMH_PTS,MATCH(AD380,LMH_KEY,0)),0)</f>
        <v>1</v>
      </c>
      <c r="BS380" s="38">
        <f>IFERROR(INDEX(LMH_PTS,MATCH(AE380,LMH_KEY,0)),0)</f>
        <v>1</v>
      </c>
      <c r="BT380" s="38">
        <f>IFERROR(INDEX(LMH_STEP,MATCH(AF380,LMH_KEY,0)),0)</f>
        <v>0</v>
      </c>
      <c r="BU380" s="38">
        <f>IFERROR(INDEX(LMH_STEP,MATCH(AG380,LMH_KEY,0)),0)</f>
        <v>0</v>
      </c>
      <c r="BV380" s="38">
        <f>IFERROR(INDEX(LMH_STEP,MATCH(AH380,LMH_KEY,0)),0)</f>
        <v>0</v>
      </c>
      <c r="BW380" s="38">
        <f>IFERROR(INDEX(LMH_STEP,MATCH(AI380,LMH_KEY,0)),0)</f>
        <v>0</v>
      </c>
      <c r="BX380" s="38">
        <f>IFERROR(INDEX(LMH_STEP,MATCH(AJ380,LMH_KEY,0)),0)</f>
        <v>0</v>
      </c>
      <c r="BY380" s="38">
        <f>IFERROR(INDEX(LMH_STEP,MATCH(AK380,LMH_KEY,0)),0)</f>
        <v>0</v>
      </c>
      <c r="BZ380" s="38">
        <f>IFERROR(INDEX(LMH_STEP,MATCH(AL380,LMH_KEY,0)),0)</f>
        <v>0</v>
      </c>
      <c r="CA380" s="38" t="inlineStr">
        <is>
          <t>iFile|Technology|Delivery Manager|B2|B-M</t>
        </is>
      </c>
    </row>
    <row r="381" ht="110" customHeight="1">
      <c r="A381" s="28" t="inlineStr">
        <is>
          <t>iFile</t>
        </is>
      </c>
      <c r="B381" s="29" t="inlineStr">
        <is>
          <t>Technology</t>
        </is>
      </c>
      <c r="C381" s="29" t="n">
        <v>4</v>
      </c>
      <c r="D381" s="29" t="inlineStr">
        <is>
          <t>IRIS0320</t>
        </is>
      </c>
      <c r="E381" s="29" t="inlineStr">
        <is>
          <t>Ravikant Karmoju</t>
        </is>
      </c>
      <c r="F381" s="29" t="inlineStr">
        <is>
          <t>Lead Software Engineer</t>
        </is>
      </c>
      <c r="G381" s="29" t="inlineStr">
        <is>
          <t>Lead Software Engineer – POD Lead</t>
        </is>
      </c>
      <c r="H381" s="29" t="inlineStr">
        <is>
          <t>Engineering &amp; Development</t>
        </is>
      </c>
      <c r="I381" s="29" t="inlineStr">
        <is>
          <t>Backend Development</t>
        </is>
      </c>
      <c r="J381" s="29" t="inlineStr">
        <is>
          <t>POD Lead</t>
        </is>
      </c>
      <c r="K381" s="29" t="inlineStr">
        <is>
          <t>RC-071</t>
        </is>
      </c>
      <c r="L381" s="29" t="inlineStr">
        <is>
          <t>Sandeep Dwivedi</t>
        </is>
      </c>
      <c r="M381" s="29" t="inlineStr">
        <is>
          <t>IRIS0929</t>
        </is>
      </c>
      <c r="N381" s="29" t="n">
        <v>18.6</v>
      </c>
      <c r="O381" s="29" t="n">
        <v>16.4</v>
      </c>
      <c r="P381" s="29" t="inlineStr">
        <is>
          <t>BCA</t>
        </is>
      </c>
      <c r="Q381" s="29" t="inlineStr">
        <is>
          <t>L5 – Lead · IC</t>
        </is>
      </c>
      <c r="R381" s="29" t="inlineStr">
        <is>
          <t>B3</t>
        </is>
      </c>
      <c r="S381" s="30" t="inlineStr">
        <is>
          <t>19 of 20</t>
        </is>
      </c>
      <c r="T381" s="31" t="inlineStr">
        <is>
          <t>Complexity: Evidence reads like B1: Technical solutions for customised iFile regulatory-reporting and BI deliveries; requirement analysis; client interaction → moved down 0.5
Autonomy: Evidence reads like B1: Decides technical solutions for the customised client delivery → moved down 0.5
Accountability: Evidence reads like B1: Delivery of customised …</t>
        </is>
      </c>
      <c r="U381" s="31" t="inlineStr">
        <is>
          <t>Received · manager annual, quarterly, self · 1. Ensure successful delivery of the IFRS 18 implementation for FSA Oman by providing project governance, reviewing milestones, managing risks and dependencies, coordinating cross-functional teams, and achieving delivery within the agreed timeline and quality standards.
2. Drive the successful modernization of the …</t>
        </is>
      </c>
      <c r="V381" s="31" t="inlineStr">
        <is>
          <t>Latest rating: 3 · Potential: High · 9-box: Trusted Professional · Readiness: Ready in 6–12 months</t>
        </is>
      </c>
      <c r="W381" s="31" t="inlineStr">
        <is>
          <t>C H · Au H · Ac M · L M · BI H · Exp H · 18.6 yrs vs 4–7 yrs · Edu M · BCA</t>
        </is>
      </c>
      <c r="X381" s="33" t="inlineStr">
        <is>
          <t>Open ▸</t>
        </is>
      </c>
      <c r="Y381" s="34" t="str">
        <f>IFERROR(INDEX(DL_C,MATCH($CA381,DL_KEY,0)),"M")</f>
        <v>H</v>
      </c>
      <c r="Z381" s="35" t="str">
        <f>IFERROR(INDEX(DL_Au,MATCH($CA381,DL_KEY,0)),"M")</f>
        <v>M</v>
      </c>
      <c r="AA381" s="35" t="str">
        <f>IFERROR(INDEX(DL_Ac,MATCH($CA381,DL_KEY,0)),"M")</f>
        <v>L</v>
      </c>
      <c r="AB381" s="35" t="str">
        <f>IFERROR(INDEX(DL_L,MATCH($CA381,DL_KEY,0)),"M")</f>
        <v>L</v>
      </c>
      <c r="AC381" s="35" t="str">
        <f>IFERROR(INDEX(DL_BI,MATCH($CA381,DL_KEY,0)),"M")</f>
        <v>L</v>
      </c>
      <c r="AD381" s="35" t="str">
        <f>IFERROR(INDEX(DL_Exp,MATCH($CA381,DL_KEY,0)),"M")</f>
        <v>L</v>
      </c>
      <c r="AE381" s="35" t="str">
        <f>IFERROR(INDEX(DL_Edu,MATCH($CA381,DL_KEY,0)),"M")</f>
        <v>L</v>
      </c>
      <c r="AF381" s="34" t="inlineStr">
        <is>
          <t>M</t>
        </is>
      </c>
      <c r="AG381" s="35" t="inlineStr">
        <is>
          <t>M</t>
        </is>
      </c>
      <c r="AH381" s="35" t="inlineStr">
        <is>
          <t>M</t>
        </is>
      </c>
      <c r="AI381" s="35" t="inlineStr">
        <is>
          <t>M</t>
        </is>
      </c>
      <c r="AJ381" s="35" t="inlineStr">
        <is>
          <t>M</t>
        </is>
      </c>
      <c r="AK381" s="35" t="inlineStr">
        <is>
          <t>M</t>
        </is>
      </c>
      <c r="AL381" s="35" t="inlineStr">
        <is>
          <t>M</t>
        </is>
      </c>
      <c r="AM381" s="36" t="n">
        <v>0.513</v>
      </c>
      <c r="AN381" s="37" t="n">
        <v>0.173</v>
      </c>
      <c r="AO381" s="37" t="n">
        <v>0.09699999999999999</v>
      </c>
      <c r="AP381" s="37" t="n">
        <v>0.05</v>
      </c>
      <c r="AQ381" s="37" t="n">
        <v>0.07000000000000001</v>
      </c>
      <c r="AR381" s="37" t="n">
        <v>0.06</v>
      </c>
      <c r="AS381" s="37" t="n">
        <v>0.04</v>
      </c>
      <c r="AT381" s="38" t="inlineStr">
        <is>
          <t>4–8</t>
        </is>
      </c>
      <c r="AU381" s="38" t="inlineStr">
        <is>
          <t>Graduate + relevant qualification or certification preferred</t>
        </is>
      </c>
      <c r="AV381" s="38" t="inlineStr">
        <is>
          <t>IC: none · Team Lead: 3–5</t>
        </is>
      </c>
      <c r="AW381" s="38" t="inlineStr">
        <is>
          <t>P3 / M2 · SFIA 4 Enable</t>
        </is>
      </c>
      <c r="AX38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81" s="39" t="inlineStr">
        <is>
          <t>B1</t>
        </is>
      </c>
      <c r="AZ381" s="40" t="inlineStr">
        <is>
          <t>Band B · Specialist / Manager · Team Lead / Asst Manager</t>
        </is>
      </c>
      <c r="BA381" s="40" t="inlineStr">
        <is>
          <t>Model B3 from the six ratings, the market-derived weights and rules R1–R13 · then Level rule: manager B2; a reportee sits at least one level below · B3 → B1 · move down · pay and title protected for one cycle</t>
        </is>
      </c>
      <c r="BB381" s="41" t="inlineStr">
        <is>
          <t>B3</t>
        </is>
      </c>
      <c r="BC381" s="40" t="inlineStr">
        <is>
          <t>The six ratings on the market-average weights of Band B · Specialist / POD Lead score 5.72 → B3 · Hay, Mercer IPE and public plans · experience 18.6 yrs vs the B3 market range 8–13</t>
        </is>
      </c>
      <c r="BD381" s="42">
        <f>IF(SUM(BM381,BN381,BO381,BP381,BQ381,BR381,BS381)=0,0,(BM381*BT381+BN381*BU381+BO381*BV381+BP381*BW381+BQ381*BX381+BR381*BY381+BS381*BZ381)/SUM(BM381,BN381,BO381,BP381,BQ381,BR381,BS381))</f>
        <v>0</v>
      </c>
      <c r="BE381" s="41" t="str">
        <f>IF(LEFT(AY381,1)="X",AY381,IF(OR(AY381="B+",AY381="C+"),INDEX(LAD_PC,MAX(1,MIN(14,MATCH(AY381,LAD_PC,0)+IF(BD381&gt;=0.5,1,IF(BD381&lt;=-0.5,-1,0))))),INDEX(LAD_STD,MAX(1,MIN(12,MATCH(AY381,LAD_STD,0)+IF(BD381&gt;=0.5,1,IF(BD381&lt;=-0.5,-1,0)))))))</f>
        <v>B1</v>
      </c>
      <c r="BF381" s="43" t="n"/>
      <c r="BG381" s="41" t="str">
        <f>IF(BF381&lt;&gt;"",BF381,BE381)</f>
        <v>B1</v>
      </c>
      <c r="BH381" s="40" t="str">
        <f>IFERROR(CHOOSE(INDEX(B_RANK,MATCH(BG381,B_LVL,0)),"Band A","Band B","B+ · Player-Coach","Band C","C+ · Player-Coach","Band D","Band E"),"Band X · Consultant")</f>
        <v>Band B</v>
      </c>
      <c r="BI381" s="40" t="str">
        <f>IF(BG381=AY381,"• Same",IF(INDEX(B_VAL,MATCH(BG381,B_LVL,0))&gt;INDEX(B_VAL,MATCH(AY381,B_LVL,0)),"▲ Up","▼ Down"))</f>
        <v>• Same</v>
      </c>
      <c r="BJ381" s="40" t="str">
        <f>IF(OR($M381="",$M381="—",$M381="Not in this file"),"",IFERROR(INDEX($BG$7:$BG$592,MATCH($M381,$D$7:$D$592,0)),""))</f>
        <v>B2</v>
      </c>
      <c r="BK381" s="40" t="str">
        <f>IFERROR(IF(BJ381="","—",IF(OR(LEFT(BG381,1)="X",LEFT(BJ381,1)="X"),"—",IF(AND(LEFT(BG381,1)="E",LEFT(BJ381,1)="E"),"Exception · Band E",IF(AND(INDEX(B_VAL,MATCH(BJ381,B_LVL,0))&gt;=7,INDEX(B_RANK,MATCH(BG381,B_LVL,0))&gt;=INDEX(B_RANK,MATCH(BJ381,B_LVL,0))),"⚠ Same band as a head manager",IF(INDEX(B_VAL,MATCH(BG381,B_LVL,0))&gt;=INDEX(B_VAL,MATCH(BJ381,B_LVL,0)),"⚠ At or above the manager's level","OK"))))),"—")</f>
        <v>OK</v>
      </c>
      <c r="BL381" s="43" t="n"/>
      <c r="BM381" s="44">
        <f>IFERROR(INDEX(LMH_PTS,MATCH(Y381,LMH_KEY,0)),0)</f>
        <v>9</v>
      </c>
      <c r="BN381" s="38">
        <f>IFERROR(INDEX(LMH_PTS,MATCH(Z381,LMH_KEY,0)),0)</f>
        <v>3</v>
      </c>
      <c r="BO381" s="38">
        <f>IFERROR(INDEX(LMH_PTS,MATCH(AA381,LMH_KEY,0)),0)</f>
        <v>1</v>
      </c>
      <c r="BP381" s="38">
        <f>IFERROR(INDEX(LMH_PTS,MATCH(AB381,LMH_KEY,0)),0)</f>
        <v>1</v>
      </c>
      <c r="BQ381" s="38">
        <f>IFERROR(INDEX(LMH_PTS,MATCH(AC381,LMH_KEY,0)),0)</f>
        <v>1</v>
      </c>
      <c r="BR381" s="38">
        <f>IFERROR(INDEX(LMH_PTS,MATCH(AD381,LMH_KEY,0)),0)</f>
        <v>1</v>
      </c>
      <c r="BS381" s="38">
        <f>IFERROR(INDEX(LMH_PTS,MATCH(AE381,LMH_KEY,0)),0)</f>
        <v>1</v>
      </c>
      <c r="BT381" s="38">
        <f>IFERROR(INDEX(LMH_STEP,MATCH(AF381,LMH_KEY,0)),0)</f>
        <v>0</v>
      </c>
      <c r="BU381" s="38">
        <f>IFERROR(INDEX(LMH_STEP,MATCH(AG381,LMH_KEY,0)),0)</f>
        <v>0</v>
      </c>
      <c r="BV381" s="38">
        <f>IFERROR(INDEX(LMH_STEP,MATCH(AH381,LMH_KEY,0)),0)</f>
        <v>0</v>
      </c>
      <c r="BW381" s="38">
        <f>IFERROR(INDEX(LMH_STEP,MATCH(AI381,LMH_KEY,0)),0)</f>
        <v>0</v>
      </c>
      <c r="BX381" s="38">
        <f>IFERROR(INDEX(LMH_STEP,MATCH(AJ381,LMH_KEY,0)),0)</f>
        <v>0</v>
      </c>
      <c r="BY381" s="38">
        <f>IFERROR(INDEX(LMH_STEP,MATCH(AK381,LMH_KEY,0)),0)</f>
        <v>0</v>
      </c>
      <c r="BZ381" s="38">
        <f>IFERROR(INDEX(LMH_STEP,MATCH(AL381,LMH_KEY,0)),0)</f>
        <v>0</v>
      </c>
      <c r="CA381" s="38" t="inlineStr">
        <is>
          <t>iFile|Technology|Lead Software Engineer – POD Lead|B1|B-IC</t>
        </is>
      </c>
    </row>
    <row r="382" ht="110" customHeight="1">
      <c r="A382" s="28" t="inlineStr">
        <is>
          <t>iFile</t>
        </is>
      </c>
      <c r="B382" s="29" t="inlineStr">
        <is>
          <t>Technology</t>
        </is>
      </c>
      <c r="C382" s="29" t="n">
        <v>5</v>
      </c>
      <c r="D382" s="29" t="inlineStr">
        <is>
          <t>IRIS1876</t>
        </is>
      </c>
      <c r="E382" s="29" t="inlineStr">
        <is>
          <t>Chaitanya Vadagabhaktula</t>
        </is>
      </c>
      <c r="F382" s="29" t="inlineStr">
        <is>
          <t>Senior Software Engineer</t>
        </is>
      </c>
      <c r="G382" s="29" t="inlineStr">
        <is>
          <t>Database Specialist</t>
        </is>
      </c>
      <c r="H382" s="29" t="inlineStr">
        <is>
          <t>Engineering &amp; Development</t>
        </is>
      </c>
      <c r="I382" s="29" t="inlineStr">
        <is>
          <t>Data Engineering &amp; Database Development</t>
        </is>
      </c>
      <c r="J382" s="29" t="inlineStr">
        <is>
          <t>IC</t>
        </is>
      </c>
      <c r="K382" s="29" t="inlineStr">
        <is>
          <t>RC-074</t>
        </is>
      </c>
      <c r="L382" s="29" t="inlineStr">
        <is>
          <t>Ravikant Karmoju</t>
        </is>
      </c>
      <c r="M382" s="29" t="inlineStr">
        <is>
          <t>IRIS0320</t>
        </is>
      </c>
      <c r="N382" s="29" t="n">
        <v>8.9</v>
      </c>
      <c r="O382" s="29" t="n">
        <v>5.9</v>
      </c>
      <c r="P382" s="29" t="inlineStr">
        <is>
          <t>B.Tech</t>
        </is>
      </c>
      <c r="Q382" s="29" t="inlineStr">
        <is>
          <t>L4 – Senior</t>
        </is>
      </c>
      <c r="R382" s="29" t="inlineStr">
        <is>
          <t>A3</t>
        </is>
      </c>
      <c r="S382" s="30" t="inlineStr">
        <is>
          <t>20 of 20</t>
        </is>
      </c>
      <c r="T382" s="31" t="inlineStr">
        <is>
          <t>Complexity: Evidence reads like B1: Builds ETL pipelines, BI products and React apps with AI analytics, spanning data and application layers → moved up 0.5
Autonomy: Evidence reads like A3: Makes the technical decisions on own solutions → matches the start
Accountability: Evidence reads like A3: own survey / KRA answers · summarised by the rater; not quoted …</t>
        </is>
      </c>
      <c r="U382" s="31" t="inlineStr">
        <is>
          <t>Received · manager annual, quarterly, self · 1. Ensure successful delivery of the IFRS 18 implementation for FSA Oman by providing project governance, reviewing milestones, managing risks and dependencies, coordinating cross-functional teams, and achieving delivery within the agreed timeline and quality standards.
2. Drive the successful modernization of the …</t>
        </is>
      </c>
      <c r="V382" s="31" t="inlineStr">
        <is>
          <t>Latest rating: 3 · Potential: Medium · 9-box: Core Contributor · Readiness: Develop in role</t>
        </is>
      </c>
      <c r="W382" s="31" t="inlineStr">
        <is>
          <t>C M · Au M · Ac M · L L · BI M · Exp H · 8.9 yrs vs 2–4 yrs · Edu M · B.Tech</t>
        </is>
      </c>
      <c r="X382" s="33" t="inlineStr">
        <is>
          <t>Open ▸</t>
        </is>
      </c>
      <c r="Y382" s="34" t="str">
        <f>IFERROR(INDEX(DL_C,MATCH($CA382,DL_KEY,0)),"M")</f>
        <v>H</v>
      </c>
      <c r="Z382" s="35" t="str">
        <f>IFERROR(INDEX(DL_Au,MATCH($CA382,DL_KEY,0)),"M")</f>
        <v>M</v>
      </c>
      <c r="AA382" s="35" t="str">
        <f>IFERROR(INDEX(DL_Ac,MATCH($CA382,DL_KEY,0)),"M")</f>
        <v>L</v>
      </c>
      <c r="AB382" s="35" t="str">
        <f>IFERROR(INDEX(DL_L,MATCH($CA382,DL_KEY,0)),"M")</f>
        <v>L</v>
      </c>
      <c r="AC382" s="35" t="str">
        <f>IFERROR(INDEX(DL_BI,MATCH($CA382,DL_KEY,0)),"M")</f>
        <v>L</v>
      </c>
      <c r="AD382" s="35" t="str">
        <f>IFERROR(INDEX(DL_Exp,MATCH($CA382,DL_KEY,0)),"M")</f>
        <v>L</v>
      </c>
      <c r="AE382" s="35" t="str">
        <f>IFERROR(INDEX(DL_Edu,MATCH($CA382,DL_KEY,0)),"M")</f>
        <v>L</v>
      </c>
      <c r="AF382" s="34" t="inlineStr">
        <is>
          <t>M</t>
        </is>
      </c>
      <c r="AG382" s="35" t="inlineStr">
        <is>
          <t>M</t>
        </is>
      </c>
      <c r="AH382" s="35" t="inlineStr">
        <is>
          <t>M</t>
        </is>
      </c>
      <c r="AI382" s="35" t="inlineStr">
        <is>
          <t>M</t>
        </is>
      </c>
      <c r="AJ382" s="35" t="inlineStr">
        <is>
          <t>M</t>
        </is>
      </c>
      <c r="AK382" s="35" t="inlineStr">
        <is>
          <t>M</t>
        </is>
      </c>
      <c r="AL382" s="35" t="inlineStr">
        <is>
          <t>M</t>
        </is>
      </c>
      <c r="AM382" s="36" t="n">
        <v>0.583</v>
      </c>
      <c r="AN382" s="37" t="n">
        <v>0.16</v>
      </c>
      <c r="AO382" s="37" t="n">
        <v>0.09</v>
      </c>
      <c r="AP382" s="37" t="n">
        <v>0</v>
      </c>
      <c r="AQ382" s="37" t="n">
        <v>0.063</v>
      </c>
      <c r="AR382" s="37" t="n">
        <v>0.06</v>
      </c>
      <c r="AS382" s="37" t="n">
        <v>0.04</v>
      </c>
      <c r="AT382" s="38" t="inlineStr">
        <is>
          <t>2–5</t>
        </is>
      </c>
      <c r="AU382" s="38" t="inlineStr">
        <is>
          <t>Graduate; relevant certification preferred</t>
        </is>
      </c>
      <c r="AV382" s="38" t="inlineStr">
        <is>
          <t>None · guides 1–3 juniors informally</t>
        </is>
      </c>
      <c r="AW382" s="38" t="inlineStr">
        <is>
          <t>P2 · SFIA 3 Apply</t>
        </is>
      </c>
      <c r="AX38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82" s="39" t="inlineStr">
        <is>
          <t>A3</t>
        </is>
      </c>
      <c r="AZ382" s="40" t="inlineStr">
        <is>
          <t>Band A · Practitioner · Senior Associate</t>
        </is>
      </c>
      <c r="BA382" s="40" t="inlineStr">
        <is>
          <t>Model A3 from the six ratings, the market-derived weights and rules R1–R13 · then No change · already below the manager</t>
        </is>
      </c>
      <c r="BB382" s="41" t="inlineStr">
        <is>
          <t>B1</t>
        </is>
      </c>
      <c r="BC382" s="40" t="inlineStr">
        <is>
          <t>The six ratings on the market-average weights of Band A · all tracks score 3.54 → B1 · Hay, Mercer IPE and public plans · experience 8.9 yrs vs the B1 market range 4–8</t>
        </is>
      </c>
      <c r="BD382" s="42">
        <f>IF(SUM(BM382,BN382,BO382,BP382,BQ382,BR382,BS382)=0,0,(BM382*BT382+BN382*BU382+BO382*BV382+BP382*BW382+BQ382*BX382+BR382*BY382+BS382*BZ382)/SUM(BM382,BN382,BO382,BP382,BQ382,BR382,BS382))</f>
        <v>0</v>
      </c>
      <c r="BE382" s="41" t="str">
        <f>IF(LEFT(AY382,1)="X",AY382,IF(OR(AY382="B+",AY382="C+"),INDEX(LAD_PC,MAX(1,MIN(14,MATCH(AY382,LAD_PC,0)+IF(BD382&gt;=0.5,1,IF(BD382&lt;=-0.5,-1,0))))),INDEX(LAD_STD,MAX(1,MIN(12,MATCH(AY382,LAD_STD,0)+IF(BD382&gt;=0.5,1,IF(BD382&lt;=-0.5,-1,0)))))))</f>
        <v>A3</v>
      </c>
      <c r="BF382" s="43" t="n"/>
      <c r="BG382" s="41" t="str">
        <f>IF(BF382&lt;&gt;"",BF382,BE382)</f>
        <v>A3</v>
      </c>
      <c r="BH382" s="40" t="str">
        <f>IFERROR(CHOOSE(INDEX(B_RANK,MATCH(BG382,B_LVL,0)),"Band A","Band B","B+ · Player-Coach","Band C","C+ · Player-Coach","Band D","Band E"),"Band X · Consultant")</f>
        <v>Band A</v>
      </c>
      <c r="BI382" s="40" t="str">
        <f>IF(BG382=AY382,"• Same",IF(INDEX(B_VAL,MATCH(BG382,B_LVL,0))&gt;INDEX(B_VAL,MATCH(AY382,B_LVL,0)),"▲ Up","▼ Down"))</f>
        <v>• Same</v>
      </c>
      <c r="BJ382" s="40" t="str">
        <f>IF(OR($M382="",$M382="—",$M382="Not in this file"),"",IFERROR(INDEX($BG$7:$BG$592,MATCH($M382,$D$7:$D$592,0)),""))</f>
        <v>B1</v>
      </c>
      <c r="BK382" s="40" t="str">
        <f>IFERROR(IF(BJ382="","—",IF(OR(LEFT(BG382,1)="X",LEFT(BJ382,1)="X"),"—",IF(AND(LEFT(BG382,1)="E",LEFT(BJ382,1)="E"),"Exception · Band E",IF(AND(INDEX(B_VAL,MATCH(BJ382,B_LVL,0))&gt;=7,INDEX(B_RANK,MATCH(BG382,B_LVL,0))&gt;=INDEX(B_RANK,MATCH(BJ382,B_LVL,0))),"⚠ Same band as a head manager",IF(INDEX(B_VAL,MATCH(BG382,B_LVL,0))&gt;=INDEX(B_VAL,MATCH(BJ382,B_LVL,0)),"⚠ At or above the manager's level","OK"))))),"—")</f>
        <v>OK</v>
      </c>
      <c r="BL382" s="43" t="n"/>
      <c r="BM382" s="44">
        <f>IFERROR(INDEX(LMH_PTS,MATCH(Y382,LMH_KEY,0)),0)</f>
        <v>9</v>
      </c>
      <c r="BN382" s="38">
        <f>IFERROR(INDEX(LMH_PTS,MATCH(Z382,LMH_KEY,0)),0)</f>
        <v>3</v>
      </c>
      <c r="BO382" s="38">
        <f>IFERROR(INDEX(LMH_PTS,MATCH(AA382,LMH_KEY,0)),0)</f>
        <v>1</v>
      </c>
      <c r="BP382" s="38">
        <f>IFERROR(INDEX(LMH_PTS,MATCH(AB382,LMH_KEY,0)),0)</f>
        <v>1</v>
      </c>
      <c r="BQ382" s="38">
        <f>IFERROR(INDEX(LMH_PTS,MATCH(AC382,LMH_KEY,0)),0)</f>
        <v>1</v>
      </c>
      <c r="BR382" s="38">
        <f>IFERROR(INDEX(LMH_PTS,MATCH(AD382,LMH_KEY,0)),0)</f>
        <v>1</v>
      </c>
      <c r="BS382" s="38">
        <f>IFERROR(INDEX(LMH_PTS,MATCH(AE382,LMH_KEY,0)),0)</f>
        <v>1</v>
      </c>
      <c r="BT382" s="38">
        <f>IFERROR(INDEX(LMH_STEP,MATCH(AF382,LMH_KEY,0)),0)</f>
        <v>0</v>
      </c>
      <c r="BU382" s="38">
        <f>IFERROR(INDEX(LMH_STEP,MATCH(AG382,LMH_KEY,0)),0)</f>
        <v>0</v>
      </c>
      <c r="BV382" s="38">
        <f>IFERROR(INDEX(LMH_STEP,MATCH(AH382,LMH_KEY,0)),0)</f>
        <v>0</v>
      </c>
      <c r="BW382" s="38">
        <f>IFERROR(INDEX(LMH_STEP,MATCH(AI382,LMH_KEY,0)),0)</f>
        <v>0</v>
      </c>
      <c r="BX382" s="38">
        <f>IFERROR(INDEX(LMH_STEP,MATCH(AJ382,LMH_KEY,0)),0)</f>
        <v>0</v>
      </c>
      <c r="BY382" s="38">
        <f>IFERROR(INDEX(LMH_STEP,MATCH(AK382,LMH_KEY,0)),0)</f>
        <v>0</v>
      </c>
      <c r="BZ382" s="38">
        <f>IFERROR(INDEX(LMH_STEP,MATCH(AL382,LMH_KEY,0)),0)</f>
        <v>0</v>
      </c>
      <c r="CA382" s="38" t="inlineStr">
        <is>
          <t>iFile|Technology|Database Specialist|A3|A</t>
        </is>
      </c>
    </row>
    <row r="383" ht="110" customHeight="1">
      <c r="A383" s="28" t="inlineStr">
        <is>
          <t>iFile</t>
        </is>
      </c>
      <c r="B383" s="29" t="inlineStr">
        <is>
          <t>Technology</t>
        </is>
      </c>
      <c r="C383" s="29" t="n">
        <v>4</v>
      </c>
      <c r="D383" s="29" t="inlineStr">
        <is>
          <t>IRIS2215</t>
        </is>
      </c>
      <c r="E383" s="29" t="inlineStr">
        <is>
          <t>Shiveshdhar Dubey</t>
        </is>
      </c>
      <c r="F383" s="29" t="inlineStr">
        <is>
          <t>Principal Software Engineer</t>
        </is>
      </c>
      <c r="G383" s="29" t="inlineStr">
        <is>
          <t>Associate Technical Architect – POD Lead</t>
        </is>
      </c>
      <c r="H383" s="29" t="inlineStr">
        <is>
          <t>Engineering &amp; Architecture</t>
        </is>
      </c>
      <c r="I383" s="29" t="inlineStr">
        <is>
          <t>Solution &amp; Technical Architecture</t>
        </is>
      </c>
      <c r="J383" s="29" t="inlineStr">
        <is>
          <t>POD Lead</t>
        </is>
      </c>
      <c r="K383" s="29" t="inlineStr">
        <is>
          <t>RC-055</t>
        </is>
      </c>
      <c r="L383" s="29" t="inlineStr">
        <is>
          <t>Sandeep Dwivedi</t>
        </is>
      </c>
      <c r="M383" s="29" t="inlineStr">
        <is>
          <t>IRIS0929</t>
        </is>
      </c>
      <c r="N383" s="29" t="n">
        <v>10.8</v>
      </c>
      <c r="O383" s="29" t="n">
        <v>2.8</v>
      </c>
      <c r="P383" s="29" t="inlineStr">
        <is>
          <t>B.E</t>
        </is>
      </c>
      <c r="Q383" s="29" t="inlineStr">
        <is>
          <t>L6 – Principal · IC</t>
        </is>
      </c>
      <c r="R383" s="29" t="inlineStr">
        <is>
          <t>B3</t>
        </is>
      </c>
      <c r="S383" s="30" t="inlineStr">
        <is>
          <t>20 of 20</t>
        </is>
      </c>
      <c r="T383" s="31" t="inlineStr">
        <is>
          <t>Complexity: Evidence reads like B1: Finalises software approach for CMA Kuwait-Boursa disclosure integration; technical calls with client; AI integration → moved down 1
Autonomy: Evidence reads like B1: Decides technical approach for the project team; makes technical calls with client → moved down 1
Accountability: Evidence reads like B1: Timelines and …</t>
        </is>
      </c>
      <c r="U383" s="31" t="inlineStr">
        <is>
          <t>Received · manager annual, quarterly, self · 1. Establish and govern engineering review and release management processes by ensuring design reviews, code reviews, release readiness reviews, and deployment checklists are consistently followed, achieving 100% compliance for all planned releases.
2. Drive software quality improvements by monitoring defect metrics, …</t>
        </is>
      </c>
      <c r="V383" s="31" t="inlineStr">
        <is>
          <t>Latest rating: 3 · Potential: Medium · 9-box: Reliable Specialist · Readiness: Develop in role</t>
        </is>
      </c>
      <c r="W383" s="31" t="inlineStr">
        <is>
          <t>C H · Au H · Ac H · L H · BI H · Exp H · 10.8 yrs vs 4–7 yrs · Edu M · B.E</t>
        </is>
      </c>
      <c r="X383" s="33" t="inlineStr">
        <is>
          <t>Open ▸</t>
        </is>
      </c>
      <c r="Y383" s="34" t="str">
        <f>IFERROR(INDEX(DL_C,MATCH($CA383,DL_KEY,0)),"M")</f>
        <v>H</v>
      </c>
      <c r="Z383" s="35" t="str">
        <f>IFERROR(INDEX(DL_Au,MATCH($CA383,DL_KEY,0)),"M")</f>
        <v>M</v>
      </c>
      <c r="AA383" s="35" t="str">
        <f>IFERROR(INDEX(DL_Ac,MATCH($CA383,DL_KEY,0)),"M")</f>
        <v>L</v>
      </c>
      <c r="AB383" s="35" t="str">
        <f>IFERROR(INDEX(DL_L,MATCH($CA383,DL_KEY,0)),"M")</f>
        <v>L</v>
      </c>
      <c r="AC383" s="35" t="str">
        <f>IFERROR(INDEX(DL_BI,MATCH($CA383,DL_KEY,0)),"M")</f>
        <v>L</v>
      </c>
      <c r="AD383" s="35" t="str">
        <f>IFERROR(INDEX(DL_Exp,MATCH($CA383,DL_KEY,0)),"M")</f>
        <v>L</v>
      </c>
      <c r="AE383" s="35" t="str">
        <f>IFERROR(INDEX(DL_Edu,MATCH($CA383,DL_KEY,0)),"M")</f>
        <v>L</v>
      </c>
      <c r="AF383" s="34" t="inlineStr">
        <is>
          <t>M</t>
        </is>
      </c>
      <c r="AG383" s="35" t="inlineStr">
        <is>
          <t>M</t>
        </is>
      </c>
      <c r="AH383" s="35" t="inlineStr">
        <is>
          <t>M</t>
        </is>
      </c>
      <c r="AI383" s="35" t="inlineStr">
        <is>
          <t>M</t>
        </is>
      </c>
      <c r="AJ383" s="35" t="inlineStr">
        <is>
          <t>M</t>
        </is>
      </c>
      <c r="AK383" s="35" t="inlineStr">
        <is>
          <t>M</t>
        </is>
      </c>
      <c r="AL383" s="35" t="inlineStr">
        <is>
          <t>M</t>
        </is>
      </c>
      <c r="AM383" s="36" t="n">
        <v>0.513</v>
      </c>
      <c r="AN383" s="37" t="n">
        <v>0.173</v>
      </c>
      <c r="AO383" s="37" t="n">
        <v>0.09699999999999999</v>
      </c>
      <c r="AP383" s="37" t="n">
        <v>0.05</v>
      </c>
      <c r="AQ383" s="37" t="n">
        <v>0.07000000000000001</v>
      </c>
      <c r="AR383" s="37" t="n">
        <v>0.06</v>
      </c>
      <c r="AS383" s="37" t="n">
        <v>0.04</v>
      </c>
      <c r="AT383" s="38" t="inlineStr">
        <is>
          <t>4–8</t>
        </is>
      </c>
      <c r="AU383" s="38" t="inlineStr">
        <is>
          <t>Graduate + relevant qualification or certification preferred</t>
        </is>
      </c>
      <c r="AV383" s="38" t="inlineStr">
        <is>
          <t>IC: none · Team Lead: 3–5</t>
        </is>
      </c>
      <c r="AW383" s="38" t="inlineStr">
        <is>
          <t>P3 / M2 · SFIA 4 Enable</t>
        </is>
      </c>
      <c r="AX38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83" s="39" t="inlineStr">
        <is>
          <t>B1</t>
        </is>
      </c>
      <c r="AZ383" s="40" t="inlineStr">
        <is>
          <t>Band B · Specialist / Manager · Team Lead / Asst Manager</t>
        </is>
      </c>
      <c r="BA383" s="40" t="inlineStr">
        <is>
          <t>Model B3 from the six ratings, the market-derived weights and rules R1–R13 · then Level rule: manager B2; a reportee sits at least one level below · B3 → B1 · move down · pay and title protected for one cycle</t>
        </is>
      </c>
      <c r="BB383" s="41" t="inlineStr">
        <is>
          <t>B3</t>
        </is>
      </c>
      <c r="BC383" s="40" t="inlineStr">
        <is>
          <t>The six ratings on the market-average weights of Band B · Specialist / POD Lead score 5.83 → B3 · Hay, Mercer IPE and public plans · experience 10.8 yrs vs the B3 market range 8–13</t>
        </is>
      </c>
      <c r="BD383" s="42">
        <f>IF(SUM(BM383,BN383,BO383,BP383,BQ383,BR383,BS383)=0,0,(BM383*BT383+BN383*BU383+BO383*BV383+BP383*BW383+BQ383*BX383+BR383*BY383+BS383*BZ383)/SUM(BM383,BN383,BO383,BP383,BQ383,BR383,BS383))</f>
        <v>0</v>
      </c>
      <c r="BE383" s="41" t="str">
        <f>IF(LEFT(AY383,1)="X",AY383,IF(OR(AY383="B+",AY383="C+"),INDEX(LAD_PC,MAX(1,MIN(14,MATCH(AY383,LAD_PC,0)+IF(BD383&gt;=0.5,1,IF(BD383&lt;=-0.5,-1,0))))),INDEX(LAD_STD,MAX(1,MIN(12,MATCH(AY383,LAD_STD,0)+IF(BD383&gt;=0.5,1,IF(BD383&lt;=-0.5,-1,0)))))))</f>
        <v>B1</v>
      </c>
      <c r="BF383" s="43" t="n"/>
      <c r="BG383" s="41" t="str">
        <f>IF(BF383&lt;&gt;"",BF383,BE383)</f>
        <v>B1</v>
      </c>
      <c r="BH383" s="40" t="str">
        <f>IFERROR(CHOOSE(INDEX(B_RANK,MATCH(BG383,B_LVL,0)),"Band A","Band B","B+ · Player-Coach","Band C","C+ · Player-Coach","Band D","Band E"),"Band X · Consultant")</f>
        <v>Band B</v>
      </c>
      <c r="BI383" s="40" t="str">
        <f>IF(BG383=AY383,"• Same",IF(INDEX(B_VAL,MATCH(BG383,B_LVL,0))&gt;INDEX(B_VAL,MATCH(AY383,B_LVL,0)),"▲ Up","▼ Down"))</f>
        <v>• Same</v>
      </c>
      <c r="BJ383" s="40" t="str">
        <f>IF(OR($M383="",$M383="—",$M383="Not in this file"),"",IFERROR(INDEX($BG$7:$BG$592,MATCH($M383,$D$7:$D$592,0)),""))</f>
        <v>B2</v>
      </c>
      <c r="BK383" s="40" t="str">
        <f>IFERROR(IF(BJ383="","—",IF(OR(LEFT(BG383,1)="X",LEFT(BJ383,1)="X"),"—",IF(AND(LEFT(BG383,1)="E",LEFT(BJ383,1)="E"),"Exception · Band E",IF(AND(INDEX(B_VAL,MATCH(BJ383,B_LVL,0))&gt;=7,INDEX(B_RANK,MATCH(BG383,B_LVL,0))&gt;=INDEX(B_RANK,MATCH(BJ383,B_LVL,0))),"⚠ Same band as a head manager",IF(INDEX(B_VAL,MATCH(BG383,B_LVL,0))&gt;=INDEX(B_VAL,MATCH(BJ383,B_LVL,0)),"⚠ At or above the manager's level","OK"))))),"—")</f>
        <v>OK</v>
      </c>
      <c r="BL383" s="43" t="n"/>
      <c r="BM383" s="44">
        <f>IFERROR(INDEX(LMH_PTS,MATCH(Y383,LMH_KEY,0)),0)</f>
        <v>9</v>
      </c>
      <c r="BN383" s="38">
        <f>IFERROR(INDEX(LMH_PTS,MATCH(Z383,LMH_KEY,0)),0)</f>
        <v>3</v>
      </c>
      <c r="BO383" s="38">
        <f>IFERROR(INDEX(LMH_PTS,MATCH(AA383,LMH_KEY,0)),0)</f>
        <v>1</v>
      </c>
      <c r="BP383" s="38">
        <f>IFERROR(INDEX(LMH_PTS,MATCH(AB383,LMH_KEY,0)),0)</f>
        <v>1</v>
      </c>
      <c r="BQ383" s="38">
        <f>IFERROR(INDEX(LMH_PTS,MATCH(AC383,LMH_KEY,0)),0)</f>
        <v>1</v>
      </c>
      <c r="BR383" s="38">
        <f>IFERROR(INDEX(LMH_PTS,MATCH(AD383,LMH_KEY,0)),0)</f>
        <v>1</v>
      </c>
      <c r="BS383" s="38">
        <f>IFERROR(INDEX(LMH_PTS,MATCH(AE383,LMH_KEY,0)),0)</f>
        <v>1</v>
      </c>
      <c r="BT383" s="38">
        <f>IFERROR(INDEX(LMH_STEP,MATCH(AF383,LMH_KEY,0)),0)</f>
        <v>0</v>
      </c>
      <c r="BU383" s="38">
        <f>IFERROR(INDEX(LMH_STEP,MATCH(AG383,LMH_KEY,0)),0)</f>
        <v>0</v>
      </c>
      <c r="BV383" s="38">
        <f>IFERROR(INDEX(LMH_STEP,MATCH(AH383,LMH_KEY,0)),0)</f>
        <v>0</v>
      </c>
      <c r="BW383" s="38">
        <f>IFERROR(INDEX(LMH_STEP,MATCH(AI383,LMH_KEY,0)),0)</f>
        <v>0</v>
      </c>
      <c r="BX383" s="38">
        <f>IFERROR(INDEX(LMH_STEP,MATCH(AJ383,LMH_KEY,0)),0)</f>
        <v>0</v>
      </c>
      <c r="BY383" s="38">
        <f>IFERROR(INDEX(LMH_STEP,MATCH(AK383,LMH_KEY,0)),0)</f>
        <v>0</v>
      </c>
      <c r="BZ383" s="38">
        <f>IFERROR(INDEX(LMH_STEP,MATCH(AL383,LMH_KEY,0)),0)</f>
        <v>0</v>
      </c>
      <c r="CA383" s="38" t="inlineStr">
        <is>
          <t>iFile|Technology|Associate Technical Architect – POD Lead|B1|B-IC</t>
        </is>
      </c>
    </row>
    <row r="384" ht="110" customHeight="1">
      <c r="A384" s="28" t="inlineStr">
        <is>
          <t>iFile</t>
        </is>
      </c>
      <c r="B384" s="29" t="inlineStr">
        <is>
          <t>Technology</t>
        </is>
      </c>
      <c r="C384" s="29" t="n">
        <v>5</v>
      </c>
      <c r="D384" s="29" t="inlineStr">
        <is>
          <t>IRIS2083</t>
        </is>
      </c>
      <c r="E384" s="29" t="inlineStr">
        <is>
          <t>Anilkumar Aarumughan</t>
        </is>
      </c>
      <c r="F384" s="29" t="inlineStr">
        <is>
          <t>Senior Software Engineer</t>
        </is>
      </c>
      <c r="G384" s="29" t="inlineStr">
        <is>
          <t>Technical Specialist</t>
        </is>
      </c>
      <c r="H384" s="29" t="inlineStr">
        <is>
          <t>Engineering &amp; Development</t>
        </is>
      </c>
      <c r="I384" s="29" t="inlineStr">
        <is>
          <t>Full-Stack Development</t>
        </is>
      </c>
      <c r="J384" s="29" t="inlineStr">
        <is>
          <t>IC</t>
        </is>
      </c>
      <c r="K384" s="29" t="inlineStr">
        <is>
          <t>RC-086</t>
        </is>
      </c>
      <c r="L384" s="29" t="inlineStr">
        <is>
          <t>Shiveshdhar Dubey</t>
        </is>
      </c>
      <c r="M384" s="29" t="inlineStr">
        <is>
          <t>IRIS2215</t>
        </is>
      </c>
      <c r="N384" s="29" t="n">
        <v>13.9</v>
      </c>
      <c r="O384" s="29" t="n">
        <v>3.8</v>
      </c>
      <c r="P384" s="29" t="inlineStr">
        <is>
          <t>MSC</t>
        </is>
      </c>
      <c r="Q384" s="29" t="inlineStr">
        <is>
          <t>L4 – Senior</t>
        </is>
      </c>
      <c r="R384" s="29" t="inlineStr">
        <is>
          <t>B1</t>
        </is>
      </c>
      <c r="S384" s="30" t="inlineStr">
        <is>
          <t>20 of 20</t>
        </is>
      </c>
      <c r="T384" s="31" t="inlineStr">
        <is>
          <t>Business Impact: No survey or manager-mapping signal on criticality: kept at the start point.</t>
        </is>
      </c>
      <c r="U384" s="31" t="inlineStr">
        <is>
          <t>Received · manager annual, quarterly, self · 1. Production Support &amp; SLA Compliance : Ensure effective production support governance by monitoring SLA compliance, reviewing critical incidents, driving root cause analysis · RCA, and implementing preventive measures to achieve at least 95% SLA adherence and reduce repeat incidents.
2. Frontend Excellence – Angular …</t>
        </is>
      </c>
      <c r="V384" s="31" t="inlineStr">
        <is>
          <t>Latest rating: 3 · Potential: Medium · 9-box: Reliable Specialist · Readiness: Develop in role</t>
        </is>
      </c>
      <c r="W384" s="31" t="inlineStr">
        <is>
          <t>C M · Au M · Ac M · L L · BI M · Exp H · 13.9 yrs vs 2–4 yrs · Edu H · MSC</t>
        </is>
      </c>
      <c r="X384" s="33" t="inlineStr">
        <is>
          <t>Open ▸</t>
        </is>
      </c>
      <c r="Y384" s="34" t="str">
        <f>IFERROR(INDEX(DL_C,MATCH($CA384,DL_KEY,0)),"M")</f>
        <v>H</v>
      </c>
      <c r="Z384" s="35" t="str">
        <f>IFERROR(INDEX(DL_Au,MATCH($CA384,DL_KEY,0)),"M")</f>
        <v>M</v>
      </c>
      <c r="AA384" s="35" t="str">
        <f>IFERROR(INDEX(DL_Ac,MATCH($CA384,DL_KEY,0)),"M")</f>
        <v>L</v>
      </c>
      <c r="AB384" s="35" t="str">
        <f>IFERROR(INDEX(DL_L,MATCH($CA384,DL_KEY,0)),"M")</f>
        <v>L</v>
      </c>
      <c r="AC384" s="35" t="str">
        <f>IFERROR(INDEX(DL_BI,MATCH($CA384,DL_KEY,0)),"M")</f>
        <v>L</v>
      </c>
      <c r="AD384" s="35" t="str">
        <f>IFERROR(INDEX(DL_Exp,MATCH($CA384,DL_KEY,0)),"M")</f>
        <v>L</v>
      </c>
      <c r="AE384" s="35" t="str">
        <f>IFERROR(INDEX(DL_Edu,MATCH($CA384,DL_KEY,0)),"M")</f>
        <v>L</v>
      </c>
      <c r="AF384" s="34" t="inlineStr">
        <is>
          <t>M</t>
        </is>
      </c>
      <c r="AG384" s="35" t="inlineStr">
        <is>
          <t>M</t>
        </is>
      </c>
      <c r="AH384" s="35" t="inlineStr">
        <is>
          <t>M</t>
        </is>
      </c>
      <c r="AI384" s="35" t="inlineStr">
        <is>
          <t>M</t>
        </is>
      </c>
      <c r="AJ384" s="35" t="inlineStr">
        <is>
          <t>M</t>
        </is>
      </c>
      <c r="AK384" s="35" t="inlineStr">
        <is>
          <t>M</t>
        </is>
      </c>
      <c r="AL384" s="35" t="inlineStr">
        <is>
          <t>M</t>
        </is>
      </c>
      <c r="AM384" s="36" t="n">
        <v>0.583</v>
      </c>
      <c r="AN384" s="37" t="n">
        <v>0.16</v>
      </c>
      <c r="AO384" s="37" t="n">
        <v>0.09</v>
      </c>
      <c r="AP384" s="37" t="n">
        <v>0</v>
      </c>
      <c r="AQ384" s="37" t="n">
        <v>0.063</v>
      </c>
      <c r="AR384" s="37" t="n">
        <v>0.06</v>
      </c>
      <c r="AS384" s="37" t="n">
        <v>0.04</v>
      </c>
      <c r="AT384" s="38" t="inlineStr">
        <is>
          <t>2–5</t>
        </is>
      </c>
      <c r="AU384" s="38" t="inlineStr">
        <is>
          <t>Graduate; relevant certification preferred</t>
        </is>
      </c>
      <c r="AV384" s="38" t="inlineStr">
        <is>
          <t>None · guides 1–3 juniors informally</t>
        </is>
      </c>
      <c r="AW384" s="38" t="inlineStr">
        <is>
          <t>P2 · SFIA 3 Apply</t>
        </is>
      </c>
      <c r="AX38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84" s="39" t="inlineStr">
        <is>
          <t>A3</t>
        </is>
      </c>
      <c r="AZ384" s="40" t="inlineStr">
        <is>
          <t>Band A · Practitioner · Senior Associate</t>
        </is>
      </c>
      <c r="BA384" s="40" t="inlineStr">
        <is>
          <t>Model B1 from the six ratings, the market-derived weights and rules R1–R13 · then Level rule: manager B1; a reportee sits at least one level below · B1 → A3 · move down · pay and title protected for one cycle</t>
        </is>
      </c>
      <c r="BB384" s="41" t="inlineStr">
        <is>
          <t>B1</t>
        </is>
      </c>
      <c r="BC384" s="40" t="inlineStr">
        <is>
          <t>The six ratings on the market-average weights of Band A · all tracks score 3.55 → B1 · Hay, Mercer IPE and public plans · experience 13.9 yrs vs the B1 market range 4–8</t>
        </is>
      </c>
      <c r="BD384" s="42">
        <f>IF(SUM(BM384,BN384,BO384,BP384,BQ384,BR384,BS384)=0,0,(BM384*BT384+BN384*BU384+BO384*BV384+BP384*BW384+BQ384*BX384+BR384*BY384+BS384*BZ384)/SUM(BM384,BN384,BO384,BP384,BQ384,BR384,BS384))</f>
        <v>0</v>
      </c>
      <c r="BE384" s="41" t="str">
        <f>IF(LEFT(AY384,1)="X",AY384,IF(OR(AY384="B+",AY384="C+"),INDEX(LAD_PC,MAX(1,MIN(14,MATCH(AY384,LAD_PC,0)+IF(BD384&gt;=0.5,1,IF(BD384&lt;=-0.5,-1,0))))),INDEX(LAD_STD,MAX(1,MIN(12,MATCH(AY384,LAD_STD,0)+IF(BD384&gt;=0.5,1,IF(BD384&lt;=-0.5,-1,0)))))))</f>
        <v>A3</v>
      </c>
      <c r="BF384" s="43" t="n"/>
      <c r="BG384" s="41" t="str">
        <f>IF(BF384&lt;&gt;"",BF384,BE384)</f>
        <v>A3</v>
      </c>
      <c r="BH384" s="40" t="str">
        <f>IFERROR(CHOOSE(INDEX(B_RANK,MATCH(BG384,B_LVL,0)),"Band A","Band B","B+ · Player-Coach","Band C","C+ · Player-Coach","Band D","Band E"),"Band X · Consultant")</f>
        <v>Band A</v>
      </c>
      <c r="BI384" s="40" t="str">
        <f>IF(BG384=AY384,"• Same",IF(INDEX(B_VAL,MATCH(BG384,B_LVL,0))&gt;INDEX(B_VAL,MATCH(AY384,B_LVL,0)),"▲ Up","▼ Down"))</f>
        <v>• Same</v>
      </c>
      <c r="BJ384" s="40" t="str">
        <f>IF(OR($M384="",$M384="—",$M384="Not in this file"),"",IFERROR(INDEX($BG$7:$BG$592,MATCH($M384,$D$7:$D$592,0)),""))</f>
        <v>B1</v>
      </c>
      <c r="BK384" s="40" t="str">
        <f>IFERROR(IF(BJ384="","—",IF(OR(LEFT(BG384,1)="X",LEFT(BJ384,1)="X"),"—",IF(AND(LEFT(BG384,1)="E",LEFT(BJ384,1)="E"),"Exception · Band E",IF(AND(INDEX(B_VAL,MATCH(BJ384,B_LVL,0))&gt;=7,INDEX(B_RANK,MATCH(BG384,B_LVL,0))&gt;=INDEX(B_RANK,MATCH(BJ384,B_LVL,0))),"⚠ Same band as a head manager",IF(INDEX(B_VAL,MATCH(BG384,B_LVL,0))&gt;=INDEX(B_VAL,MATCH(BJ384,B_LVL,0)),"⚠ At or above the manager's level","OK"))))),"—")</f>
        <v>OK</v>
      </c>
      <c r="BL384" s="43" t="n"/>
      <c r="BM384" s="44">
        <f>IFERROR(INDEX(LMH_PTS,MATCH(Y384,LMH_KEY,0)),0)</f>
        <v>9</v>
      </c>
      <c r="BN384" s="38">
        <f>IFERROR(INDEX(LMH_PTS,MATCH(Z384,LMH_KEY,0)),0)</f>
        <v>3</v>
      </c>
      <c r="BO384" s="38">
        <f>IFERROR(INDEX(LMH_PTS,MATCH(AA384,LMH_KEY,0)),0)</f>
        <v>1</v>
      </c>
      <c r="BP384" s="38">
        <f>IFERROR(INDEX(LMH_PTS,MATCH(AB384,LMH_KEY,0)),0)</f>
        <v>1</v>
      </c>
      <c r="BQ384" s="38">
        <f>IFERROR(INDEX(LMH_PTS,MATCH(AC384,LMH_KEY,0)),0)</f>
        <v>1</v>
      </c>
      <c r="BR384" s="38">
        <f>IFERROR(INDEX(LMH_PTS,MATCH(AD384,LMH_KEY,0)),0)</f>
        <v>1</v>
      </c>
      <c r="BS384" s="38">
        <f>IFERROR(INDEX(LMH_PTS,MATCH(AE384,LMH_KEY,0)),0)</f>
        <v>1</v>
      </c>
      <c r="BT384" s="38">
        <f>IFERROR(INDEX(LMH_STEP,MATCH(AF384,LMH_KEY,0)),0)</f>
        <v>0</v>
      </c>
      <c r="BU384" s="38">
        <f>IFERROR(INDEX(LMH_STEP,MATCH(AG384,LMH_KEY,0)),0)</f>
        <v>0</v>
      </c>
      <c r="BV384" s="38">
        <f>IFERROR(INDEX(LMH_STEP,MATCH(AH384,LMH_KEY,0)),0)</f>
        <v>0</v>
      </c>
      <c r="BW384" s="38">
        <f>IFERROR(INDEX(LMH_STEP,MATCH(AI384,LMH_KEY,0)),0)</f>
        <v>0</v>
      </c>
      <c r="BX384" s="38">
        <f>IFERROR(INDEX(LMH_STEP,MATCH(AJ384,LMH_KEY,0)),0)</f>
        <v>0</v>
      </c>
      <c r="BY384" s="38">
        <f>IFERROR(INDEX(LMH_STEP,MATCH(AK384,LMH_KEY,0)),0)</f>
        <v>0</v>
      </c>
      <c r="BZ384" s="38">
        <f>IFERROR(INDEX(LMH_STEP,MATCH(AL384,LMH_KEY,0)),0)</f>
        <v>0</v>
      </c>
      <c r="CA384" s="38" t="inlineStr">
        <is>
          <t>iFile|Technology|Technical Specialist|A3|A</t>
        </is>
      </c>
    </row>
    <row r="385" ht="110" customHeight="1">
      <c r="A385" s="28" t="inlineStr">
        <is>
          <t>iFile</t>
        </is>
      </c>
      <c r="B385" s="29" t="inlineStr">
        <is>
          <t>Technology</t>
        </is>
      </c>
      <c r="C385" s="29" t="n">
        <v>5</v>
      </c>
      <c r="D385" s="29" t="inlineStr">
        <is>
          <t>IRIS2033</t>
        </is>
      </c>
      <c r="E385" s="29" t="inlineStr">
        <is>
          <t>Amol Pawar</t>
        </is>
      </c>
      <c r="F385" s="29" t="inlineStr">
        <is>
          <t>Software Engineer</t>
        </is>
      </c>
      <c r="G385" s="29" t="inlineStr">
        <is>
          <t>Senior Software Engineer</t>
        </is>
      </c>
      <c r="H385" s="29" t="inlineStr">
        <is>
          <t>Engineering &amp; Development</t>
        </is>
      </c>
      <c r="I385" s="29" t="inlineStr">
        <is>
          <t>Full-Stack Development</t>
        </is>
      </c>
      <c r="J385" s="29" t="inlineStr">
        <is>
          <t>IC</t>
        </is>
      </c>
      <c r="K385" s="29" t="inlineStr">
        <is>
          <t>RC-085</t>
        </is>
      </c>
      <c r="L385" s="29" t="inlineStr">
        <is>
          <t>Shiveshdhar Dubey</t>
        </is>
      </c>
      <c r="M385" s="29" t="inlineStr">
        <is>
          <t>IRIS2215</t>
        </is>
      </c>
      <c r="N385" s="29" t="n">
        <v>4.2</v>
      </c>
      <c r="O385" s="29" t="n">
        <v>4.2</v>
      </c>
      <c r="P385" s="29" t="inlineStr">
        <is>
          <t>B.E</t>
        </is>
      </c>
      <c r="Q385" s="29" t="inlineStr">
        <is>
          <t>L3 – Professional / Associate</t>
        </is>
      </c>
      <c r="R385" s="29" t="inlineStr">
        <is>
          <t>A3</t>
        </is>
      </c>
      <c r="S385" s="30" t="inlineStr">
        <is>
          <t>20 of 20</t>
        </is>
      </c>
      <c r="T385" s="31" t="inlineStr">
        <is>
          <t>Complexity: Evidence reads like A3: APIs, application and database work, deployment and production support for regulatory XBRL customers → moved up 0.5
Autonomy: Evidence reads like A3: Makes technical decisions and fixes on assigned work without approval; major changes need approval → moved up 0.5
Accountability: Evidence reads like A3: Assigned features, …</t>
        </is>
      </c>
      <c r="U385" s="31" t="inlineStr">
        <is>
          <t>Received · manager annual, quarterly, self · 1. Full Stack Feature Delivery : Successfully deliver 100% of assigned features across frontend, backend, APIs, and database within agreed timelines while maintaining quality standards.
2. Production Stability &amp; Monitoring : Maintain automated monitoring for all critical services and ensure 100% coverage of production …</t>
        </is>
      </c>
      <c r="V385" s="31" t="inlineStr">
        <is>
          <t>Latest rating: 4 · Potential: High · 9-box: Trusted Professional · Readiness: Ready now</t>
        </is>
      </c>
      <c r="W385" s="31" t="inlineStr">
        <is>
          <t>C M · Au M · Ac M · L L · BI M · Exp H · 4.2 yrs vs 2–4 yrs · Edu M · B.E</t>
        </is>
      </c>
      <c r="X385" s="33" t="inlineStr">
        <is>
          <t>Open ▸</t>
        </is>
      </c>
      <c r="Y385" s="34" t="str">
        <f>IFERROR(INDEX(DL_C,MATCH($CA385,DL_KEY,0)),"M")</f>
        <v>H</v>
      </c>
      <c r="Z385" s="35" t="str">
        <f>IFERROR(INDEX(DL_Au,MATCH($CA385,DL_KEY,0)),"M")</f>
        <v>M</v>
      </c>
      <c r="AA385" s="35" t="str">
        <f>IFERROR(INDEX(DL_Ac,MATCH($CA385,DL_KEY,0)),"M")</f>
        <v>L</v>
      </c>
      <c r="AB385" s="35" t="str">
        <f>IFERROR(INDEX(DL_L,MATCH($CA385,DL_KEY,0)),"M")</f>
        <v>L</v>
      </c>
      <c r="AC385" s="35" t="str">
        <f>IFERROR(INDEX(DL_BI,MATCH($CA385,DL_KEY,0)),"M")</f>
        <v>L</v>
      </c>
      <c r="AD385" s="35" t="str">
        <f>IFERROR(INDEX(DL_Exp,MATCH($CA385,DL_KEY,0)),"M")</f>
        <v>L</v>
      </c>
      <c r="AE385" s="35" t="str">
        <f>IFERROR(INDEX(DL_Edu,MATCH($CA385,DL_KEY,0)),"M")</f>
        <v>L</v>
      </c>
      <c r="AF385" s="34" t="inlineStr">
        <is>
          <t>M</t>
        </is>
      </c>
      <c r="AG385" s="35" t="inlineStr">
        <is>
          <t>M</t>
        </is>
      </c>
      <c r="AH385" s="35" t="inlineStr">
        <is>
          <t>M</t>
        </is>
      </c>
      <c r="AI385" s="35" t="inlineStr">
        <is>
          <t>M</t>
        </is>
      </c>
      <c r="AJ385" s="35" t="inlineStr">
        <is>
          <t>M</t>
        </is>
      </c>
      <c r="AK385" s="35" t="inlineStr">
        <is>
          <t>M</t>
        </is>
      </c>
      <c r="AL385" s="35" t="inlineStr">
        <is>
          <t>M</t>
        </is>
      </c>
      <c r="AM385" s="36" t="n">
        <v>0.583</v>
      </c>
      <c r="AN385" s="37" t="n">
        <v>0.16</v>
      </c>
      <c r="AO385" s="37" t="n">
        <v>0.09</v>
      </c>
      <c r="AP385" s="37" t="n">
        <v>0</v>
      </c>
      <c r="AQ385" s="37" t="n">
        <v>0.063</v>
      </c>
      <c r="AR385" s="37" t="n">
        <v>0.06</v>
      </c>
      <c r="AS385" s="37" t="n">
        <v>0.04</v>
      </c>
      <c r="AT385" s="38" t="inlineStr">
        <is>
          <t>2–5</t>
        </is>
      </c>
      <c r="AU385" s="38" t="inlineStr">
        <is>
          <t>Graduate; relevant certification preferred</t>
        </is>
      </c>
      <c r="AV385" s="38" t="inlineStr">
        <is>
          <t>None · guides 1–3 juniors informally</t>
        </is>
      </c>
      <c r="AW385" s="38" t="inlineStr">
        <is>
          <t>P2 · SFIA 3 Apply</t>
        </is>
      </c>
      <c r="AX38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85" s="39" t="inlineStr">
        <is>
          <t>A3</t>
        </is>
      </c>
      <c r="AZ385" s="40" t="inlineStr">
        <is>
          <t>Band A · Practitioner · Senior Associate</t>
        </is>
      </c>
      <c r="BA385" s="40" t="inlineStr">
        <is>
          <t>Model A3 from the six ratings, the market-derived weights and rules R1–R13 · then No change · already below the manager</t>
        </is>
      </c>
      <c r="BB385" s="41" t="inlineStr">
        <is>
          <t>A3</t>
        </is>
      </c>
      <c r="BC385" s="40" t="inlineStr">
        <is>
          <t>The six ratings on the market-average weights of Band A · all tracks score 2.60 → A3 · Hay, Mercer IPE and public plans · experience 4.2 yrs vs the A3 market range 2–5</t>
        </is>
      </c>
      <c r="BD385" s="42">
        <f>IF(SUM(BM385,BN385,BO385,BP385,BQ385,BR385,BS385)=0,0,(BM385*BT385+BN385*BU385+BO385*BV385+BP385*BW385+BQ385*BX385+BR385*BY385+BS385*BZ385)/SUM(BM385,BN385,BO385,BP385,BQ385,BR385,BS385))</f>
        <v>0</v>
      </c>
      <c r="BE385" s="41" t="str">
        <f>IF(LEFT(AY385,1)="X",AY385,IF(OR(AY385="B+",AY385="C+"),INDEX(LAD_PC,MAX(1,MIN(14,MATCH(AY385,LAD_PC,0)+IF(BD385&gt;=0.5,1,IF(BD385&lt;=-0.5,-1,0))))),INDEX(LAD_STD,MAX(1,MIN(12,MATCH(AY385,LAD_STD,0)+IF(BD385&gt;=0.5,1,IF(BD385&lt;=-0.5,-1,0)))))))</f>
        <v>A3</v>
      </c>
      <c r="BF385" s="43" t="n"/>
      <c r="BG385" s="41" t="str">
        <f>IF(BF385&lt;&gt;"",BF385,BE385)</f>
        <v>A3</v>
      </c>
      <c r="BH385" s="40" t="str">
        <f>IFERROR(CHOOSE(INDEX(B_RANK,MATCH(BG385,B_LVL,0)),"Band A","Band B","B+ · Player-Coach","Band C","C+ · Player-Coach","Band D","Band E"),"Band X · Consultant")</f>
        <v>Band A</v>
      </c>
      <c r="BI385" s="40" t="str">
        <f>IF(BG385=AY385,"• Same",IF(INDEX(B_VAL,MATCH(BG385,B_LVL,0))&gt;INDEX(B_VAL,MATCH(AY385,B_LVL,0)),"▲ Up","▼ Down"))</f>
        <v>• Same</v>
      </c>
      <c r="BJ385" s="40" t="str">
        <f>IF(OR($M385="",$M385="—",$M385="Not in this file"),"",IFERROR(INDEX($BG$7:$BG$592,MATCH($M385,$D$7:$D$592,0)),""))</f>
        <v>B1</v>
      </c>
      <c r="BK385" s="40" t="str">
        <f>IFERROR(IF(BJ385="","—",IF(OR(LEFT(BG385,1)="X",LEFT(BJ385,1)="X"),"—",IF(AND(LEFT(BG385,1)="E",LEFT(BJ385,1)="E"),"Exception · Band E",IF(AND(INDEX(B_VAL,MATCH(BJ385,B_LVL,0))&gt;=7,INDEX(B_RANK,MATCH(BG385,B_LVL,0))&gt;=INDEX(B_RANK,MATCH(BJ385,B_LVL,0))),"⚠ Same band as a head manager",IF(INDEX(B_VAL,MATCH(BG385,B_LVL,0))&gt;=INDEX(B_VAL,MATCH(BJ385,B_LVL,0)),"⚠ At or above the manager's level","OK"))))),"—")</f>
        <v>OK</v>
      </c>
      <c r="BL385" s="43" t="n"/>
      <c r="BM385" s="44">
        <f>IFERROR(INDEX(LMH_PTS,MATCH(Y385,LMH_KEY,0)),0)</f>
        <v>9</v>
      </c>
      <c r="BN385" s="38">
        <f>IFERROR(INDEX(LMH_PTS,MATCH(Z385,LMH_KEY,0)),0)</f>
        <v>3</v>
      </c>
      <c r="BO385" s="38">
        <f>IFERROR(INDEX(LMH_PTS,MATCH(AA385,LMH_KEY,0)),0)</f>
        <v>1</v>
      </c>
      <c r="BP385" s="38">
        <f>IFERROR(INDEX(LMH_PTS,MATCH(AB385,LMH_KEY,0)),0)</f>
        <v>1</v>
      </c>
      <c r="BQ385" s="38">
        <f>IFERROR(INDEX(LMH_PTS,MATCH(AC385,LMH_KEY,0)),0)</f>
        <v>1</v>
      </c>
      <c r="BR385" s="38">
        <f>IFERROR(INDEX(LMH_PTS,MATCH(AD385,LMH_KEY,0)),0)</f>
        <v>1</v>
      </c>
      <c r="BS385" s="38">
        <f>IFERROR(INDEX(LMH_PTS,MATCH(AE385,LMH_KEY,0)),0)</f>
        <v>1</v>
      </c>
      <c r="BT385" s="38">
        <f>IFERROR(INDEX(LMH_STEP,MATCH(AF385,LMH_KEY,0)),0)</f>
        <v>0</v>
      </c>
      <c r="BU385" s="38">
        <f>IFERROR(INDEX(LMH_STEP,MATCH(AG385,LMH_KEY,0)),0)</f>
        <v>0</v>
      </c>
      <c r="BV385" s="38">
        <f>IFERROR(INDEX(LMH_STEP,MATCH(AH385,LMH_KEY,0)),0)</f>
        <v>0</v>
      </c>
      <c r="BW385" s="38">
        <f>IFERROR(INDEX(LMH_STEP,MATCH(AI385,LMH_KEY,0)),0)</f>
        <v>0</v>
      </c>
      <c r="BX385" s="38">
        <f>IFERROR(INDEX(LMH_STEP,MATCH(AJ385,LMH_KEY,0)),0)</f>
        <v>0</v>
      </c>
      <c r="BY385" s="38">
        <f>IFERROR(INDEX(LMH_STEP,MATCH(AK385,LMH_KEY,0)),0)</f>
        <v>0</v>
      </c>
      <c r="BZ385" s="38">
        <f>IFERROR(INDEX(LMH_STEP,MATCH(AL385,LMH_KEY,0)),0)</f>
        <v>0</v>
      </c>
      <c r="CA385" s="38" t="inlineStr">
        <is>
          <t>iFile|Technology|Senior Software Engineer|A3|A</t>
        </is>
      </c>
    </row>
    <row r="386" ht="110" customHeight="1">
      <c r="A386" s="28" t="inlineStr">
        <is>
          <t>iFile</t>
        </is>
      </c>
      <c r="B386" s="29" t="inlineStr">
        <is>
          <t>Technology</t>
        </is>
      </c>
      <c r="C386" s="29" t="n">
        <v>5</v>
      </c>
      <c r="D386" s="29" t="inlineStr">
        <is>
          <t>IRIS2253</t>
        </is>
      </c>
      <c r="E386" s="29" t="inlineStr">
        <is>
          <t>Harshal Wadode</t>
        </is>
      </c>
      <c r="F386" s="29" t="inlineStr">
        <is>
          <t>Software Engineer</t>
        </is>
      </c>
      <c r="G386" s="29" t="inlineStr">
        <is>
          <t>Senior Software Engineer</t>
        </is>
      </c>
      <c r="H386" s="29" t="inlineStr">
        <is>
          <t>Engineering &amp; Development</t>
        </is>
      </c>
      <c r="I386" s="29" t="inlineStr">
        <is>
          <t>Backend Development</t>
        </is>
      </c>
      <c r="J386" s="29" t="inlineStr">
        <is>
          <t>IC</t>
        </is>
      </c>
      <c r="K386" s="29" t="inlineStr">
        <is>
          <t>RC-067</t>
        </is>
      </c>
      <c r="L386" s="29" t="inlineStr">
        <is>
          <t>Shiveshdhar Dubey</t>
        </is>
      </c>
      <c r="M386" s="29" t="inlineStr">
        <is>
          <t>IRIS2215</t>
        </is>
      </c>
      <c r="N386" s="29" t="n">
        <v>2.3</v>
      </c>
      <c r="O386" s="29" t="n">
        <v>2.3</v>
      </c>
      <c r="P386" s="29" t="inlineStr">
        <is>
          <t>B.E</t>
        </is>
      </c>
      <c r="Q386" s="29" t="inlineStr">
        <is>
          <t>L3 – Professional / Associate</t>
        </is>
      </c>
      <c r="R386" s="29" t="inlineStr">
        <is>
          <t>A3</t>
        </is>
      </c>
      <c r="S386" s="30" t="inlineStr">
        <is>
          <t>20 of 20</t>
        </is>
      </c>
      <c r="T386" s="31" t="inlineStr">
        <is>
          <t>Business Impact: No survey or manager-mapping signal on criticality: kept at the start point.</t>
        </is>
      </c>
      <c r="U386" s="31" t="inlineStr">
        <is>
          <t>Received · manager annual, quarterly, self · 1.Timely &amp; Quality Delivery : Deliver 95% of assigned features and enhancements within committed timelines while maintaining agreed quality standards and minimizing production defects.
2.Product Understanding &amp; Requirement Analysis : Actively participate in 100% of relevant planning, grooming, and requirement …</t>
        </is>
      </c>
      <c r="V386" s="31" t="inlineStr">
        <is>
          <t>Latest rating: 3 · Potential: Medium · 9-box: Emerging Talent · Readiness: Develop in role</t>
        </is>
      </c>
      <c r="W386" s="31" t="inlineStr">
        <is>
          <t>C M · Au L · Ac M · L L · BI M · Exp M · 2.3 yrs vs 2–4 yrs · Edu M · B.E</t>
        </is>
      </c>
      <c r="X386" s="33" t="inlineStr">
        <is>
          <t>Open ▸</t>
        </is>
      </c>
      <c r="Y386" s="34" t="str">
        <f>IFERROR(INDEX(DL_C,MATCH($CA386,DL_KEY,0)),"M")</f>
        <v>H</v>
      </c>
      <c r="Z386" s="35" t="str">
        <f>IFERROR(INDEX(DL_Au,MATCH($CA386,DL_KEY,0)),"M")</f>
        <v>M</v>
      </c>
      <c r="AA386" s="35" t="str">
        <f>IFERROR(INDEX(DL_Ac,MATCH($CA386,DL_KEY,0)),"M")</f>
        <v>L</v>
      </c>
      <c r="AB386" s="35" t="str">
        <f>IFERROR(INDEX(DL_L,MATCH($CA386,DL_KEY,0)),"M")</f>
        <v>L</v>
      </c>
      <c r="AC386" s="35" t="str">
        <f>IFERROR(INDEX(DL_BI,MATCH($CA386,DL_KEY,0)),"M")</f>
        <v>L</v>
      </c>
      <c r="AD386" s="35" t="str">
        <f>IFERROR(INDEX(DL_Exp,MATCH($CA386,DL_KEY,0)),"M")</f>
        <v>L</v>
      </c>
      <c r="AE386" s="35" t="str">
        <f>IFERROR(INDEX(DL_Edu,MATCH($CA386,DL_KEY,0)),"M")</f>
        <v>L</v>
      </c>
      <c r="AF386" s="34" t="inlineStr">
        <is>
          <t>M</t>
        </is>
      </c>
      <c r="AG386" s="35" t="inlineStr">
        <is>
          <t>M</t>
        </is>
      </c>
      <c r="AH386" s="35" t="inlineStr">
        <is>
          <t>M</t>
        </is>
      </c>
      <c r="AI386" s="35" t="inlineStr">
        <is>
          <t>M</t>
        </is>
      </c>
      <c r="AJ386" s="35" t="inlineStr">
        <is>
          <t>M</t>
        </is>
      </c>
      <c r="AK386" s="35" t="inlineStr">
        <is>
          <t>M</t>
        </is>
      </c>
      <c r="AL386" s="35" t="inlineStr">
        <is>
          <t>M</t>
        </is>
      </c>
      <c r="AM386" s="36" t="n">
        <v>0.583</v>
      </c>
      <c r="AN386" s="37" t="n">
        <v>0.16</v>
      </c>
      <c r="AO386" s="37" t="n">
        <v>0.09</v>
      </c>
      <c r="AP386" s="37" t="n">
        <v>0</v>
      </c>
      <c r="AQ386" s="37" t="n">
        <v>0.063</v>
      </c>
      <c r="AR386" s="37" t="n">
        <v>0.06</v>
      </c>
      <c r="AS386" s="37" t="n">
        <v>0.04</v>
      </c>
      <c r="AT386" s="38" t="inlineStr">
        <is>
          <t>2–5</t>
        </is>
      </c>
      <c r="AU386" s="38" t="inlineStr">
        <is>
          <t>Graduate; relevant certification preferred</t>
        </is>
      </c>
      <c r="AV386" s="38" t="inlineStr">
        <is>
          <t>None · guides 1–3 juniors informally</t>
        </is>
      </c>
      <c r="AW386" s="38" t="inlineStr">
        <is>
          <t>P2 · SFIA 3 Apply</t>
        </is>
      </c>
      <c r="AX38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86" s="39" t="inlineStr">
        <is>
          <t>A3</t>
        </is>
      </c>
      <c r="AZ386" s="40" t="inlineStr">
        <is>
          <t>Band A · Practitioner · Senior Associate</t>
        </is>
      </c>
      <c r="BA386" s="40" t="inlineStr">
        <is>
          <t>Model A3 from the six ratings, the market-derived weights and rules R1–R13 · then No change · already below the manager</t>
        </is>
      </c>
      <c r="BB386" s="41" t="inlineStr">
        <is>
          <t>A2</t>
        </is>
      </c>
      <c r="BC386" s="40" t="inlineStr">
        <is>
          <t>The six ratings on the market-average weights of Band A · all tracks score 2.42 → A2 · Hay, Mercer IPE and public plans · experience 2.3 yrs vs the A2 market range 0–3</t>
        </is>
      </c>
      <c r="BD386" s="42">
        <f>IF(SUM(BM386,BN386,BO386,BP386,BQ386,BR386,BS386)=0,0,(BM386*BT386+BN386*BU386+BO386*BV386+BP386*BW386+BQ386*BX386+BR386*BY386+BS386*BZ386)/SUM(BM386,BN386,BO386,BP386,BQ386,BR386,BS386))</f>
        <v>0</v>
      </c>
      <c r="BE386" s="41" t="str">
        <f>IF(LEFT(AY386,1)="X",AY386,IF(OR(AY386="B+",AY386="C+"),INDEX(LAD_PC,MAX(1,MIN(14,MATCH(AY386,LAD_PC,0)+IF(BD386&gt;=0.5,1,IF(BD386&lt;=-0.5,-1,0))))),INDEX(LAD_STD,MAX(1,MIN(12,MATCH(AY386,LAD_STD,0)+IF(BD386&gt;=0.5,1,IF(BD386&lt;=-0.5,-1,0)))))))</f>
        <v>A3</v>
      </c>
      <c r="BF386" s="43" t="n"/>
      <c r="BG386" s="41" t="str">
        <f>IF(BF386&lt;&gt;"",BF386,BE386)</f>
        <v>A3</v>
      </c>
      <c r="BH386" s="40" t="str">
        <f>IFERROR(CHOOSE(INDEX(B_RANK,MATCH(BG386,B_LVL,0)),"Band A","Band B","B+ · Player-Coach","Band C","C+ · Player-Coach","Band D","Band E"),"Band X · Consultant")</f>
        <v>Band A</v>
      </c>
      <c r="BI386" s="40" t="str">
        <f>IF(BG386=AY386,"• Same",IF(INDEX(B_VAL,MATCH(BG386,B_LVL,0))&gt;INDEX(B_VAL,MATCH(AY386,B_LVL,0)),"▲ Up","▼ Down"))</f>
        <v>• Same</v>
      </c>
      <c r="BJ386" s="40" t="str">
        <f>IF(OR($M386="",$M386="—",$M386="Not in this file"),"",IFERROR(INDEX($BG$7:$BG$592,MATCH($M386,$D$7:$D$592,0)),""))</f>
        <v>B1</v>
      </c>
      <c r="BK386" s="40" t="str">
        <f>IFERROR(IF(BJ386="","—",IF(OR(LEFT(BG386,1)="X",LEFT(BJ386,1)="X"),"—",IF(AND(LEFT(BG386,1)="E",LEFT(BJ386,1)="E"),"Exception · Band E",IF(AND(INDEX(B_VAL,MATCH(BJ386,B_LVL,0))&gt;=7,INDEX(B_RANK,MATCH(BG386,B_LVL,0))&gt;=INDEX(B_RANK,MATCH(BJ386,B_LVL,0))),"⚠ Same band as a head manager",IF(INDEX(B_VAL,MATCH(BG386,B_LVL,0))&gt;=INDEX(B_VAL,MATCH(BJ386,B_LVL,0)),"⚠ At or above the manager's level","OK"))))),"—")</f>
        <v>OK</v>
      </c>
      <c r="BL386" s="43" t="n"/>
      <c r="BM386" s="44">
        <f>IFERROR(INDEX(LMH_PTS,MATCH(Y386,LMH_KEY,0)),0)</f>
        <v>9</v>
      </c>
      <c r="BN386" s="38">
        <f>IFERROR(INDEX(LMH_PTS,MATCH(Z386,LMH_KEY,0)),0)</f>
        <v>3</v>
      </c>
      <c r="BO386" s="38">
        <f>IFERROR(INDEX(LMH_PTS,MATCH(AA386,LMH_KEY,0)),0)</f>
        <v>1</v>
      </c>
      <c r="BP386" s="38">
        <f>IFERROR(INDEX(LMH_PTS,MATCH(AB386,LMH_KEY,0)),0)</f>
        <v>1</v>
      </c>
      <c r="BQ386" s="38">
        <f>IFERROR(INDEX(LMH_PTS,MATCH(AC386,LMH_KEY,0)),0)</f>
        <v>1</v>
      </c>
      <c r="BR386" s="38">
        <f>IFERROR(INDEX(LMH_PTS,MATCH(AD386,LMH_KEY,0)),0)</f>
        <v>1</v>
      </c>
      <c r="BS386" s="38">
        <f>IFERROR(INDEX(LMH_PTS,MATCH(AE386,LMH_KEY,0)),0)</f>
        <v>1</v>
      </c>
      <c r="BT386" s="38">
        <f>IFERROR(INDEX(LMH_STEP,MATCH(AF386,LMH_KEY,0)),0)</f>
        <v>0</v>
      </c>
      <c r="BU386" s="38">
        <f>IFERROR(INDEX(LMH_STEP,MATCH(AG386,LMH_KEY,0)),0)</f>
        <v>0</v>
      </c>
      <c r="BV386" s="38">
        <f>IFERROR(INDEX(LMH_STEP,MATCH(AH386,LMH_KEY,0)),0)</f>
        <v>0</v>
      </c>
      <c r="BW386" s="38">
        <f>IFERROR(INDEX(LMH_STEP,MATCH(AI386,LMH_KEY,0)),0)</f>
        <v>0</v>
      </c>
      <c r="BX386" s="38">
        <f>IFERROR(INDEX(LMH_STEP,MATCH(AJ386,LMH_KEY,0)),0)</f>
        <v>0</v>
      </c>
      <c r="BY386" s="38">
        <f>IFERROR(INDEX(LMH_STEP,MATCH(AK386,LMH_KEY,0)),0)</f>
        <v>0</v>
      </c>
      <c r="BZ386" s="38">
        <f>IFERROR(INDEX(LMH_STEP,MATCH(AL386,LMH_KEY,0)),0)</f>
        <v>0</v>
      </c>
      <c r="CA386" s="38" t="inlineStr">
        <is>
          <t>iFile|Technology|Senior Software Engineer|A3|A</t>
        </is>
      </c>
    </row>
    <row r="387" ht="110" customHeight="1">
      <c r="A387" s="28" t="inlineStr">
        <is>
          <t>iFile</t>
        </is>
      </c>
      <c r="B387" s="29" t="inlineStr">
        <is>
          <t>Technology</t>
        </is>
      </c>
      <c r="C387" s="29" t="n">
        <v>4</v>
      </c>
      <c r="D387" s="29" t="inlineStr">
        <is>
          <t>IRIS2097</t>
        </is>
      </c>
      <c r="E387" s="29" t="inlineStr">
        <is>
          <t>Angitha A</t>
        </is>
      </c>
      <c r="F387" s="29" t="inlineStr">
        <is>
          <t>Business Analyst</t>
        </is>
      </c>
      <c r="G387" s="29" t="inlineStr">
        <is>
          <t>Senior Business Analyst</t>
        </is>
      </c>
      <c r="H387" s="29" t="inlineStr">
        <is>
          <t>Business Analysis</t>
        </is>
      </c>
      <c r="I387" s="29" t="inlineStr">
        <is>
          <t>Business Analysis</t>
        </is>
      </c>
      <c r="J387" s="29" t="inlineStr">
        <is>
          <t>IC</t>
        </is>
      </c>
      <c r="K387" s="29" t="inlineStr">
        <is>
          <t>RC-009</t>
        </is>
      </c>
      <c r="L387" s="29" t="inlineStr">
        <is>
          <t>Sandeep Dwivedi</t>
        </is>
      </c>
      <c r="M387" s="29" t="inlineStr">
        <is>
          <t>IRIS0929</t>
        </is>
      </c>
      <c r="N387" s="29" t="n">
        <v>8.1</v>
      </c>
      <c r="O387" s="29" t="n">
        <v>3.6</v>
      </c>
      <c r="P387" s="29" t="inlineStr">
        <is>
          <t>MBA</t>
        </is>
      </c>
      <c r="Q387" s="29" t="inlineStr">
        <is>
          <t>L3 – Professional / Associate</t>
        </is>
      </c>
      <c r="R387" s="29" t="inlineStr">
        <is>
          <t>A3</t>
        </is>
      </c>
      <c r="S387" s="30" t="inlineStr">
        <is>
          <t>20 of 20</t>
        </is>
      </c>
      <c r="T387" s="31" t="inlineStr">
        <is>
          <t>Business Impact: No survey or manager-mapping signal on criticality: kept at the start point.</t>
        </is>
      </c>
      <c r="U387" s="31" t="inlineStr">
        <is>
          <t>Received · manager annual, quarterly, self · 1. Requirements Management &amp; Quality : Ensure 100% of business requirements are documented, reviewed, approved, and traceable, while minimizing requirement-related changes and rework during implementation.
2. Project Planning &amp; Delivery : Ensure 95% of project milestones and deliverables are completed within the …</t>
        </is>
      </c>
      <c r="V387" s="31" t="inlineStr">
        <is>
          <t>Latest rating: 4 · Potential: High · 9-box: Trusted Professional · Readiness: Ready now</t>
        </is>
      </c>
      <c r="W387" s="31" t="inlineStr">
        <is>
          <t>C M · Au M · Ac M · L L · BI M · Exp H · 8.1 yrs vs 2–4 yrs · Edu H · MBA</t>
        </is>
      </c>
      <c r="X387" s="33" t="inlineStr">
        <is>
          <t>Open ▸</t>
        </is>
      </c>
      <c r="Y387" s="34" t="str">
        <f>IFERROR(INDEX(DL_C,MATCH($CA387,DL_KEY,0)),"M")</f>
        <v>H</v>
      </c>
      <c r="Z387" s="35" t="str">
        <f>IFERROR(INDEX(DL_Au,MATCH($CA387,DL_KEY,0)),"M")</f>
        <v>M</v>
      </c>
      <c r="AA387" s="35" t="str">
        <f>IFERROR(INDEX(DL_Ac,MATCH($CA387,DL_KEY,0)),"M")</f>
        <v>L</v>
      </c>
      <c r="AB387" s="35" t="str">
        <f>IFERROR(INDEX(DL_L,MATCH($CA387,DL_KEY,0)),"M")</f>
        <v>L</v>
      </c>
      <c r="AC387" s="35" t="str">
        <f>IFERROR(INDEX(DL_BI,MATCH($CA387,DL_KEY,0)),"M")</f>
        <v>L</v>
      </c>
      <c r="AD387" s="35" t="str">
        <f>IFERROR(INDEX(DL_Exp,MATCH($CA387,DL_KEY,0)),"M")</f>
        <v>L</v>
      </c>
      <c r="AE387" s="35" t="str">
        <f>IFERROR(INDEX(DL_Edu,MATCH($CA387,DL_KEY,0)),"M")</f>
        <v>L</v>
      </c>
      <c r="AF387" s="34" t="inlineStr">
        <is>
          <t>M</t>
        </is>
      </c>
      <c r="AG387" s="35" t="inlineStr">
        <is>
          <t>M</t>
        </is>
      </c>
      <c r="AH387" s="35" t="inlineStr">
        <is>
          <t>M</t>
        </is>
      </c>
      <c r="AI387" s="35" t="inlineStr">
        <is>
          <t>M</t>
        </is>
      </c>
      <c r="AJ387" s="35" t="inlineStr">
        <is>
          <t>M</t>
        </is>
      </c>
      <c r="AK387" s="35" t="inlineStr">
        <is>
          <t>M</t>
        </is>
      </c>
      <c r="AL387" s="35" t="inlineStr">
        <is>
          <t>M</t>
        </is>
      </c>
      <c r="AM387" s="36" t="n">
        <v>0.583</v>
      </c>
      <c r="AN387" s="37" t="n">
        <v>0.16</v>
      </c>
      <c r="AO387" s="37" t="n">
        <v>0.09</v>
      </c>
      <c r="AP387" s="37" t="n">
        <v>0</v>
      </c>
      <c r="AQ387" s="37" t="n">
        <v>0.063</v>
      </c>
      <c r="AR387" s="37" t="n">
        <v>0.06</v>
      </c>
      <c r="AS387" s="37" t="n">
        <v>0.04</v>
      </c>
      <c r="AT387" s="38" t="inlineStr">
        <is>
          <t>2–5</t>
        </is>
      </c>
      <c r="AU387" s="38" t="inlineStr">
        <is>
          <t>Graduate; relevant certification preferred</t>
        </is>
      </c>
      <c r="AV387" s="38" t="inlineStr">
        <is>
          <t>None · guides 1–3 juniors informally</t>
        </is>
      </c>
      <c r="AW387" s="38" t="inlineStr">
        <is>
          <t>P2 · SFIA 3 Apply</t>
        </is>
      </c>
      <c r="AX38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87" s="39" t="inlineStr">
        <is>
          <t>A3</t>
        </is>
      </c>
      <c r="AZ387" s="40" t="inlineStr">
        <is>
          <t>Band A · Practitioner · Senior Associate</t>
        </is>
      </c>
      <c r="BA387" s="40" t="inlineStr">
        <is>
          <t>Model A3 from the six ratings, the market-derived weights and rules R1–R13 · then No change · already below the manager</t>
        </is>
      </c>
      <c r="BB387" s="41" t="inlineStr">
        <is>
          <t>A3</t>
        </is>
      </c>
      <c r="BC387" s="40" t="inlineStr">
        <is>
          <t>The six ratings on the market-average weights of Band A · all tracks score 3.20 → A3 · Hay, Mercer IPE and public plans · experience 8.1 yrs vs the A3 market range 2–5</t>
        </is>
      </c>
      <c r="BD387" s="42">
        <f>IF(SUM(BM387,BN387,BO387,BP387,BQ387,BR387,BS387)=0,0,(BM387*BT387+BN387*BU387+BO387*BV387+BP387*BW387+BQ387*BX387+BR387*BY387+BS387*BZ387)/SUM(BM387,BN387,BO387,BP387,BQ387,BR387,BS387))</f>
        <v>0</v>
      </c>
      <c r="BE387" s="41" t="str">
        <f>IF(LEFT(AY387,1)="X",AY387,IF(OR(AY387="B+",AY387="C+"),INDEX(LAD_PC,MAX(1,MIN(14,MATCH(AY387,LAD_PC,0)+IF(BD387&gt;=0.5,1,IF(BD387&lt;=-0.5,-1,0))))),INDEX(LAD_STD,MAX(1,MIN(12,MATCH(AY387,LAD_STD,0)+IF(BD387&gt;=0.5,1,IF(BD387&lt;=-0.5,-1,0)))))))</f>
        <v>A3</v>
      </c>
      <c r="BF387" s="43" t="n"/>
      <c r="BG387" s="41" t="str">
        <f>IF(BF387&lt;&gt;"",BF387,BE387)</f>
        <v>A3</v>
      </c>
      <c r="BH387" s="40" t="str">
        <f>IFERROR(CHOOSE(INDEX(B_RANK,MATCH(BG387,B_LVL,0)),"Band A","Band B","B+ · Player-Coach","Band C","C+ · Player-Coach","Band D","Band E"),"Band X · Consultant")</f>
        <v>Band A</v>
      </c>
      <c r="BI387" s="40" t="str">
        <f>IF(BG387=AY387,"• Same",IF(INDEX(B_VAL,MATCH(BG387,B_LVL,0))&gt;INDEX(B_VAL,MATCH(AY387,B_LVL,0)),"▲ Up","▼ Down"))</f>
        <v>• Same</v>
      </c>
      <c r="BJ387" s="40" t="str">
        <f>IF(OR($M387="",$M387="—",$M387="Not in this file"),"",IFERROR(INDEX($BG$7:$BG$592,MATCH($M387,$D$7:$D$592,0)),""))</f>
        <v>B2</v>
      </c>
      <c r="BK387" s="40" t="str">
        <f>IFERROR(IF(BJ387="","—",IF(OR(LEFT(BG387,1)="X",LEFT(BJ387,1)="X"),"—",IF(AND(LEFT(BG387,1)="E",LEFT(BJ387,1)="E"),"Exception · Band E",IF(AND(INDEX(B_VAL,MATCH(BJ387,B_LVL,0))&gt;=7,INDEX(B_RANK,MATCH(BG387,B_LVL,0))&gt;=INDEX(B_RANK,MATCH(BJ387,B_LVL,0))),"⚠ Same band as a head manager",IF(INDEX(B_VAL,MATCH(BG387,B_LVL,0))&gt;=INDEX(B_VAL,MATCH(BJ387,B_LVL,0)),"⚠ At or above the manager's level","OK"))))),"—")</f>
        <v>OK</v>
      </c>
      <c r="BL387" s="43" t="n"/>
      <c r="BM387" s="44">
        <f>IFERROR(INDEX(LMH_PTS,MATCH(Y387,LMH_KEY,0)),0)</f>
        <v>9</v>
      </c>
      <c r="BN387" s="38">
        <f>IFERROR(INDEX(LMH_PTS,MATCH(Z387,LMH_KEY,0)),0)</f>
        <v>3</v>
      </c>
      <c r="BO387" s="38">
        <f>IFERROR(INDEX(LMH_PTS,MATCH(AA387,LMH_KEY,0)),0)</f>
        <v>1</v>
      </c>
      <c r="BP387" s="38">
        <f>IFERROR(INDEX(LMH_PTS,MATCH(AB387,LMH_KEY,0)),0)</f>
        <v>1</v>
      </c>
      <c r="BQ387" s="38">
        <f>IFERROR(INDEX(LMH_PTS,MATCH(AC387,LMH_KEY,0)),0)</f>
        <v>1</v>
      </c>
      <c r="BR387" s="38">
        <f>IFERROR(INDEX(LMH_PTS,MATCH(AD387,LMH_KEY,0)),0)</f>
        <v>1</v>
      </c>
      <c r="BS387" s="38">
        <f>IFERROR(INDEX(LMH_PTS,MATCH(AE387,LMH_KEY,0)),0)</f>
        <v>1</v>
      </c>
      <c r="BT387" s="38">
        <f>IFERROR(INDEX(LMH_STEP,MATCH(AF387,LMH_KEY,0)),0)</f>
        <v>0</v>
      </c>
      <c r="BU387" s="38">
        <f>IFERROR(INDEX(LMH_STEP,MATCH(AG387,LMH_KEY,0)),0)</f>
        <v>0</v>
      </c>
      <c r="BV387" s="38">
        <f>IFERROR(INDEX(LMH_STEP,MATCH(AH387,LMH_KEY,0)),0)</f>
        <v>0</v>
      </c>
      <c r="BW387" s="38">
        <f>IFERROR(INDEX(LMH_STEP,MATCH(AI387,LMH_KEY,0)),0)</f>
        <v>0</v>
      </c>
      <c r="BX387" s="38">
        <f>IFERROR(INDEX(LMH_STEP,MATCH(AJ387,LMH_KEY,0)),0)</f>
        <v>0</v>
      </c>
      <c r="BY387" s="38">
        <f>IFERROR(INDEX(LMH_STEP,MATCH(AK387,LMH_KEY,0)),0)</f>
        <v>0</v>
      </c>
      <c r="BZ387" s="38">
        <f>IFERROR(INDEX(LMH_STEP,MATCH(AL387,LMH_KEY,0)),0)</f>
        <v>0</v>
      </c>
      <c r="CA387" s="38" t="inlineStr">
        <is>
          <t>iFile|Technology|Senior Business Analyst|A3|A</t>
        </is>
      </c>
    </row>
    <row r="388" ht="110" customHeight="1">
      <c r="A388" s="28" t="inlineStr">
        <is>
          <t>iFile</t>
        </is>
      </c>
      <c r="B388" s="29" t="inlineStr">
        <is>
          <t>Technology</t>
        </is>
      </c>
      <c r="C388" s="29" t="n">
        <v>4</v>
      </c>
      <c r="D388" s="29" t="inlineStr">
        <is>
          <t>IRIS1929</t>
        </is>
      </c>
      <c r="E388" s="29" t="inlineStr">
        <is>
          <t>Ankita Karale</t>
        </is>
      </c>
      <c r="F388" s="29" t="inlineStr">
        <is>
          <t>Business Analyst</t>
        </is>
      </c>
      <c r="G388" s="29" t="inlineStr">
        <is>
          <t>Senior Business Analyst</t>
        </is>
      </c>
      <c r="H388" s="29" t="inlineStr">
        <is>
          <t>Business Analysis</t>
        </is>
      </c>
      <c r="I388" s="29" t="inlineStr">
        <is>
          <t>Business Analysis</t>
        </is>
      </c>
      <c r="J388" s="29" t="inlineStr">
        <is>
          <t>IC</t>
        </is>
      </c>
      <c r="K388" s="29" t="inlineStr">
        <is>
          <t>RC-009</t>
        </is>
      </c>
      <c r="L388" s="29" t="inlineStr">
        <is>
          <t>Sandeep Dwivedi</t>
        </is>
      </c>
      <c r="M388" s="29" t="inlineStr">
        <is>
          <t>IRIS0929</t>
        </is>
      </c>
      <c r="N388" s="29" t="n">
        <v>7.2</v>
      </c>
      <c r="O388" s="29" t="n">
        <v>5.2</v>
      </c>
      <c r="P388" s="29" t="inlineStr">
        <is>
          <t>B.E</t>
        </is>
      </c>
      <c r="Q388" s="29" t="inlineStr">
        <is>
          <t>L3 – Professional / Associate</t>
        </is>
      </c>
      <c r="R388" s="29" t="inlineStr">
        <is>
          <t>A3</t>
        </is>
      </c>
      <c r="S388" s="30" t="inlineStr">
        <is>
          <t>20 of 20</t>
        </is>
      </c>
      <c r="T388" s="31" t="inlineStr">
        <is>
          <t>Complexity: Evidence reads like A2: own survey / KRA answers · summarised by the rater; not quoted → moved down 0.5
Autonomy: Evidence reads like A2: Decides only prioritising of tasks → moved down 0.5
Accountability: Evidence reads like A2: Accountable for requirement documents and user stories → moved down 0.5
Leadership: Evidence reads like A2: Survey …</t>
        </is>
      </c>
      <c r="U388" s="31" t="inlineStr">
        <is>
          <t>Received · manager annual, quarterly, self · 1. Deliver &gt;=95% of assigned BRDs/FSDs approved with &lt;=1 revision cycle
2. Ensure &gt;=90% on-time delivery of BA deliverables against plan
3. Achieve &gt;=4.2/5 stakeholder satisfaction on requirement clarity
4. Complete UAT support/sign-off for &gt;=90% of assigned releases within timeline
5. Reduce post-sign-off requirement …</t>
        </is>
      </c>
      <c r="V388" s="31" t="inlineStr">
        <is>
          <t>Latest rating: 1 · Potential: Low · 9-box: Reliable Specialist · Readiness: Performance first</t>
        </is>
      </c>
      <c r="W388" s="31" t="inlineStr">
        <is>
          <t>C M · Au M · Ac M · L L · BI M · Exp H · 7.2 yrs vs 2–4 yrs · Edu M · B.E</t>
        </is>
      </c>
      <c r="X388" s="33" t="inlineStr">
        <is>
          <t>Open ▸</t>
        </is>
      </c>
      <c r="Y388" s="34" t="str">
        <f>IFERROR(INDEX(DL_C,MATCH($CA388,DL_KEY,0)),"M")</f>
        <v>H</v>
      </c>
      <c r="Z388" s="35" t="str">
        <f>IFERROR(INDEX(DL_Au,MATCH($CA388,DL_KEY,0)),"M")</f>
        <v>M</v>
      </c>
      <c r="AA388" s="35" t="str">
        <f>IFERROR(INDEX(DL_Ac,MATCH($CA388,DL_KEY,0)),"M")</f>
        <v>L</v>
      </c>
      <c r="AB388" s="35" t="str">
        <f>IFERROR(INDEX(DL_L,MATCH($CA388,DL_KEY,0)),"M")</f>
        <v>L</v>
      </c>
      <c r="AC388" s="35" t="str">
        <f>IFERROR(INDEX(DL_BI,MATCH($CA388,DL_KEY,0)),"M")</f>
        <v>L</v>
      </c>
      <c r="AD388" s="35" t="str">
        <f>IFERROR(INDEX(DL_Exp,MATCH($CA388,DL_KEY,0)),"M")</f>
        <v>L</v>
      </c>
      <c r="AE388" s="35" t="str">
        <f>IFERROR(INDEX(DL_Edu,MATCH($CA388,DL_KEY,0)),"M")</f>
        <v>L</v>
      </c>
      <c r="AF388" s="34" t="inlineStr">
        <is>
          <t>M</t>
        </is>
      </c>
      <c r="AG388" s="35" t="inlineStr">
        <is>
          <t>M</t>
        </is>
      </c>
      <c r="AH388" s="35" t="inlineStr">
        <is>
          <t>M</t>
        </is>
      </c>
      <c r="AI388" s="35" t="inlineStr">
        <is>
          <t>M</t>
        </is>
      </c>
      <c r="AJ388" s="35" t="inlineStr">
        <is>
          <t>M</t>
        </is>
      </c>
      <c r="AK388" s="35" t="inlineStr">
        <is>
          <t>M</t>
        </is>
      </c>
      <c r="AL388" s="35" t="inlineStr">
        <is>
          <t>M</t>
        </is>
      </c>
      <c r="AM388" s="36" t="n">
        <v>0.583</v>
      </c>
      <c r="AN388" s="37" t="n">
        <v>0.16</v>
      </c>
      <c r="AO388" s="37" t="n">
        <v>0.09</v>
      </c>
      <c r="AP388" s="37" t="n">
        <v>0</v>
      </c>
      <c r="AQ388" s="37" t="n">
        <v>0.063</v>
      </c>
      <c r="AR388" s="37" t="n">
        <v>0.06</v>
      </c>
      <c r="AS388" s="37" t="n">
        <v>0.04</v>
      </c>
      <c r="AT388" s="38" t="inlineStr">
        <is>
          <t>2–5</t>
        </is>
      </c>
      <c r="AU388" s="38" t="inlineStr">
        <is>
          <t>Graduate; relevant certification preferred</t>
        </is>
      </c>
      <c r="AV388" s="38" t="inlineStr">
        <is>
          <t>None · guides 1–3 juniors informally</t>
        </is>
      </c>
      <c r="AW388" s="38" t="inlineStr">
        <is>
          <t>P2 · SFIA 3 Apply</t>
        </is>
      </c>
      <c r="AX38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88" s="39" t="inlineStr">
        <is>
          <t>A3</t>
        </is>
      </c>
      <c r="AZ388" s="40" t="inlineStr">
        <is>
          <t>Band A · Practitioner · Senior Associate</t>
        </is>
      </c>
      <c r="BA388" s="40" t="inlineStr">
        <is>
          <t>Model A3 from the six ratings, the market-derived weights and rules R1–R13 · then No change · already below the manager</t>
        </is>
      </c>
      <c r="BB388" s="41" t="inlineStr">
        <is>
          <t>A3</t>
        </is>
      </c>
      <c r="BC388" s="40" t="inlineStr">
        <is>
          <t>The six ratings on the market-average weights of Band A · all tracks score 2.75 → A3 · Hay, Mercer IPE and public plans · experience 7.2 yrs vs the A3 market range 2–5</t>
        </is>
      </c>
      <c r="BD388" s="42">
        <f>IF(SUM(BM388,BN388,BO388,BP388,BQ388,BR388,BS388)=0,0,(BM388*BT388+BN388*BU388+BO388*BV388+BP388*BW388+BQ388*BX388+BR388*BY388+BS388*BZ388)/SUM(BM388,BN388,BO388,BP388,BQ388,BR388,BS388))</f>
        <v>0</v>
      </c>
      <c r="BE388" s="41" t="str">
        <f>IF(LEFT(AY388,1)="X",AY388,IF(OR(AY388="B+",AY388="C+"),INDEX(LAD_PC,MAX(1,MIN(14,MATCH(AY388,LAD_PC,0)+IF(BD388&gt;=0.5,1,IF(BD388&lt;=-0.5,-1,0))))),INDEX(LAD_STD,MAX(1,MIN(12,MATCH(AY388,LAD_STD,0)+IF(BD388&gt;=0.5,1,IF(BD388&lt;=-0.5,-1,0)))))))</f>
        <v>A3</v>
      </c>
      <c r="BF388" s="43" t="n"/>
      <c r="BG388" s="41" t="str">
        <f>IF(BF388&lt;&gt;"",BF388,BE388)</f>
        <v>A3</v>
      </c>
      <c r="BH388" s="40" t="str">
        <f>IFERROR(CHOOSE(INDEX(B_RANK,MATCH(BG388,B_LVL,0)),"Band A","Band B","B+ · Player-Coach","Band C","C+ · Player-Coach","Band D","Band E"),"Band X · Consultant")</f>
        <v>Band A</v>
      </c>
      <c r="BI388" s="40" t="str">
        <f>IF(BG388=AY388,"• Same",IF(INDEX(B_VAL,MATCH(BG388,B_LVL,0))&gt;INDEX(B_VAL,MATCH(AY388,B_LVL,0)),"▲ Up","▼ Down"))</f>
        <v>• Same</v>
      </c>
      <c r="BJ388" s="40" t="str">
        <f>IF(OR($M388="",$M388="—",$M388="Not in this file"),"",IFERROR(INDEX($BG$7:$BG$592,MATCH($M388,$D$7:$D$592,0)),""))</f>
        <v>B2</v>
      </c>
      <c r="BK388" s="40" t="str">
        <f>IFERROR(IF(BJ388="","—",IF(OR(LEFT(BG388,1)="X",LEFT(BJ388,1)="X"),"—",IF(AND(LEFT(BG388,1)="E",LEFT(BJ388,1)="E"),"Exception · Band E",IF(AND(INDEX(B_VAL,MATCH(BJ388,B_LVL,0))&gt;=7,INDEX(B_RANK,MATCH(BG388,B_LVL,0))&gt;=INDEX(B_RANK,MATCH(BJ388,B_LVL,0))),"⚠ Same band as a head manager",IF(INDEX(B_VAL,MATCH(BG388,B_LVL,0))&gt;=INDEX(B_VAL,MATCH(BJ388,B_LVL,0)),"⚠ At or above the manager's level","OK"))))),"—")</f>
        <v>OK</v>
      </c>
      <c r="BL388" s="43" t="n"/>
      <c r="BM388" s="44">
        <f>IFERROR(INDEX(LMH_PTS,MATCH(Y388,LMH_KEY,0)),0)</f>
        <v>9</v>
      </c>
      <c r="BN388" s="38">
        <f>IFERROR(INDEX(LMH_PTS,MATCH(Z388,LMH_KEY,0)),0)</f>
        <v>3</v>
      </c>
      <c r="BO388" s="38">
        <f>IFERROR(INDEX(LMH_PTS,MATCH(AA388,LMH_KEY,0)),0)</f>
        <v>1</v>
      </c>
      <c r="BP388" s="38">
        <f>IFERROR(INDEX(LMH_PTS,MATCH(AB388,LMH_KEY,0)),0)</f>
        <v>1</v>
      </c>
      <c r="BQ388" s="38">
        <f>IFERROR(INDEX(LMH_PTS,MATCH(AC388,LMH_KEY,0)),0)</f>
        <v>1</v>
      </c>
      <c r="BR388" s="38">
        <f>IFERROR(INDEX(LMH_PTS,MATCH(AD388,LMH_KEY,0)),0)</f>
        <v>1</v>
      </c>
      <c r="BS388" s="38">
        <f>IFERROR(INDEX(LMH_PTS,MATCH(AE388,LMH_KEY,0)),0)</f>
        <v>1</v>
      </c>
      <c r="BT388" s="38">
        <f>IFERROR(INDEX(LMH_STEP,MATCH(AF388,LMH_KEY,0)),0)</f>
        <v>0</v>
      </c>
      <c r="BU388" s="38">
        <f>IFERROR(INDEX(LMH_STEP,MATCH(AG388,LMH_KEY,0)),0)</f>
        <v>0</v>
      </c>
      <c r="BV388" s="38">
        <f>IFERROR(INDEX(LMH_STEP,MATCH(AH388,LMH_KEY,0)),0)</f>
        <v>0</v>
      </c>
      <c r="BW388" s="38">
        <f>IFERROR(INDEX(LMH_STEP,MATCH(AI388,LMH_KEY,0)),0)</f>
        <v>0</v>
      </c>
      <c r="BX388" s="38">
        <f>IFERROR(INDEX(LMH_STEP,MATCH(AJ388,LMH_KEY,0)),0)</f>
        <v>0</v>
      </c>
      <c r="BY388" s="38">
        <f>IFERROR(INDEX(LMH_STEP,MATCH(AK388,LMH_KEY,0)),0)</f>
        <v>0</v>
      </c>
      <c r="BZ388" s="38">
        <f>IFERROR(INDEX(LMH_STEP,MATCH(AL388,LMH_KEY,0)),0)</f>
        <v>0</v>
      </c>
      <c r="CA388" s="38" t="inlineStr">
        <is>
          <t>iFile|Technology|Senior Business Analyst|A3|A</t>
        </is>
      </c>
    </row>
    <row r="389" ht="110" customHeight="1">
      <c r="A389" s="28" t="inlineStr">
        <is>
          <t>iFile</t>
        </is>
      </c>
      <c r="B389" s="29" t="inlineStr">
        <is>
          <t>Technology</t>
        </is>
      </c>
      <c r="C389" s="29" t="n">
        <v>3</v>
      </c>
      <c r="D389" s="29" t="inlineStr">
        <is>
          <t>IRIS2176</t>
        </is>
      </c>
      <c r="E389" s="29" t="inlineStr">
        <is>
          <t>Saurabh Kadam</t>
        </is>
      </c>
      <c r="F389" s="29" t="inlineStr">
        <is>
          <t>Program Manager</t>
        </is>
      </c>
      <c r="G389" s="29" t="inlineStr">
        <is>
          <t>Project Manager</t>
        </is>
      </c>
      <c r="H389" s="29" t="inlineStr">
        <is>
          <t>Project &amp; Program Management</t>
        </is>
      </c>
      <c r="I389" s="29" t="inlineStr">
        <is>
          <t>Project &amp; Program Delivery</t>
        </is>
      </c>
      <c r="J389" s="29" t="inlineStr">
        <is>
          <t>People Manager</t>
        </is>
      </c>
      <c r="K389" s="29" t="inlineStr">
        <is>
          <t>RC-136</t>
        </is>
      </c>
      <c r="L389" s="29" t="inlineStr">
        <is>
          <t>Pradip Dey</t>
        </is>
      </c>
      <c r="M389" s="29" t="inlineStr">
        <is>
          <t>IRISC223</t>
        </is>
      </c>
      <c r="N389" s="29" t="n">
        <v>16.6</v>
      </c>
      <c r="O389" s="29" t="n">
        <v>3.1</v>
      </c>
      <c r="P389" s="29" t="inlineStr">
        <is>
          <t>MMS</t>
        </is>
      </c>
      <c r="Q389" s="29" t="inlineStr">
        <is>
          <t>L5 – Manager</t>
        </is>
      </c>
      <c r="R389" s="29" t="inlineStr">
        <is>
          <t>B2</t>
        </is>
      </c>
      <c r="S389" s="30" t="inlineStr">
        <is>
          <t>20 of 20</t>
        </is>
      </c>
      <c r="T389" s="31" t="inlineStr">
        <is>
          <t>Complexity: Evidence reads like B1: Leads large client programme; technology and volume named as challenges; almost no detail → moved down 0.5
Autonomy: Evidence reads like B1: No concrete decisions named; says only 'project goal achievements' → moved down 0.5
Accountability: Evidence reads like B2: Project goal achievement and a positive project P&amp;L → …</t>
        </is>
      </c>
      <c r="U389" s="31" t="inlineStr">
        <is>
          <t>Received · manager annual, quarterly · 1. SARB Program
Ensure BA team is gaining domain knowledge and able to write user stories effively for the enhancements and phase 4
Proactive communicaions and stakeholder management as per the protocols set for the program
Ensure operations support is provided as per SLA defined for the program
Work towards ensuring …</t>
        </is>
      </c>
      <c r="V389" s="31" t="inlineStr">
        <is>
          <t>Latest rating: 4 · Potential: High · 9-box: Trusted Professional · Readiness: Ready now</t>
        </is>
      </c>
      <c r="W389" s="31" t="inlineStr">
        <is>
          <t>C M · Au M · Ac M · L M · BI M · Exp H · 16.6 yrs vs 6–9 yrs · Edu H · MMS</t>
        </is>
      </c>
      <c r="X389" s="33" t="inlineStr">
        <is>
          <t>Open ▸</t>
        </is>
      </c>
      <c r="Y389" s="34" t="str">
        <f>IFERROR(INDEX(DL_C,MATCH($CA389,DL_KEY,0)),"M")</f>
        <v>H</v>
      </c>
      <c r="Z389" s="35" t="str">
        <f>IFERROR(INDEX(DL_Au,MATCH($CA389,DL_KEY,0)),"M")</f>
        <v>M</v>
      </c>
      <c r="AA389" s="35" t="str">
        <f>IFERROR(INDEX(DL_Ac,MATCH($CA389,DL_KEY,0)),"M")</f>
        <v>L</v>
      </c>
      <c r="AB389" s="35" t="str">
        <f>IFERROR(INDEX(DL_L,MATCH($CA389,DL_KEY,0)),"M")</f>
        <v>M</v>
      </c>
      <c r="AC389" s="35" t="str">
        <f>IFERROR(INDEX(DL_BI,MATCH($CA389,DL_KEY,0)),"M")</f>
        <v>L</v>
      </c>
      <c r="AD389" s="35" t="str">
        <f>IFERROR(INDEX(DL_Exp,MATCH($CA389,DL_KEY,0)),"M")</f>
        <v>L</v>
      </c>
      <c r="AE389" s="35" t="str">
        <f>IFERROR(INDEX(DL_Edu,MATCH($CA389,DL_KEY,0)),"M")</f>
        <v>L</v>
      </c>
      <c r="AF389" s="34" t="inlineStr">
        <is>
          <t>M</t>
        </is>
      </c>
      <c r="AG389" s="35" t="inlineStr">
        <is>
          <t>M</t>
        </is>
      </c>
      <c r="AH389" s="35" t="inlineStr">
        <is>
          <t>M</t>
        </is>
      </c>
      <c r="AI389" s="35" t="inlineStr">
        <is>
          <t>M</t>
        </is>
      </c>
      <c r="AJ389" s="35" t="inlineStr">
        <is>
          <t>M</t>
        </is>
      </c>
      <c r="AK389" s="35" t="inlineStr">
        <is>
          <t>M</t>
        </is>
      </c>
      <c r="AL389" s="35" t="inlineStr">
        <is>
          <t>M</t>
        </is>
      </c>
      <c r="AM389" s="36" t="n">
        <v>0.37</v>
      </c>
      <c r="AN389" s="37" t="n">
        <v>0.183</v>
      </c>
      <c r="AO389" s="37" t="n">
        <v>0.113</v>
      </c>
      <c r="AP389" s="37" t="n">
        <v>0.15</v>
      </c>
      <c r="AQ389" s="37" t="n">
        <v>0.08699999999999999</v>
      </c>
      <c r="AR389" s="37" t="n">
        <v>0.06</v>
      </c>
      <c r="AS389" s="37" t="n">
        <v>0.04</v>
      </c>
      <c r="AT389" s="38" t="inlineStr">
        <is>
          <t>6–10</t>
        </is>
      </c>
      <c r="AU389" s="38" t="inlineStr">
        <is>
          <t>Graduate or postgraduate; professional qualification preferred</t>
        </is>
      </c>
      <c r="AV389" s="38" t="inlineStr">
        <is>
          <t>IC: none · People: 6–8 knowledge work, 8–12 standardised delivery</t>
        </is>
      </c>
      <c r="AW389" s="38" t="inlineStr">
        <is>
          <t>P4 / M3 · SFIA 4–5</t>
        </is>
      </c>
      <c r="AX38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89" s="39" t="inlineStr">
        <is>
          <t>B2</t>
        </is>
      </c>
      <c r="AZ389" s="40" t="inlineStr">
        <is>
          <t>Band B · Specialist / Manager · Manager</t>
        </is>
      </c>
      <c r="BA389" s="40" t="inlineStr">
        <is>
          <t>Model B2 from the six ratings, the market-derived weights and rules R1–R13 · then No change · already below the manager</t>
        </is>
      </c>
      <c r="BB389" s="41" t="inlineStr">
        <is>
          <t>B3</t>
        </is>
      </c>
      <c r="BC389" s="40" t="inlineStr">
        <is>
          <t>The six ratings on the market-average weights of Band B · People Manager score 5.59 → B3 · Hay, Mercer IPE and public plans · experience 16.6 yrs vs the B3 market range 8–13</t>
        </is>
      </c>
      <c r="BD389" s="42">
        <f>IF(SUM(BM389,BN389,BO389,BP389,BQ389,BR389,BS389)=0,0,(BM389*BT389+BN389*BU389+BO389*BV389+BP389*BW389+BQ389*BX389+BR389*BY389+BS389*BZ389)/SUM(BM389,BN389,BO389,BP389,BQ389,BR389,BS389))</f>
        <v>0</v>
      </c>
      <c r="BE389" s="41" t="str">
        <f>IF(LEFT(AY389,1)="X",AY389,IF(OR(AY389="B+",AY389="C+"),INDEX(LAD_PC,MAX(1,MIN(14,MATCH(AY389,LAD_PC,0)+IF(BD389&gt;=0.5,1,IF(BD389&lt;=-0.5,-1,0))))),INDEX(LAD_STD,MAX(1,MIN(12,MATCH(AY389,LAD_STD,0)+IF(BD389&gt;=0.5,1,IF(BD389&lt;=-0.5,-1,0)))))))</f>
        <v>B2</v>
      </c>
      <c r="BF389" s="43" t="n"/>
      <c r="BG389" s="41" t="str">
        <f>IF(BF389&lt;&gt;"",BF389,BE389)</f>
        <v>B2</v>
      </c>
      <c r="BH389" s="40" t="str">
        <f>IFERROR(CHOOSE(INDEX(B_RANK,MATCH(BG389,B_LVL,0)),"Band A","Band B","B+ · Player-Coach","Band C","C+ · Player-Coach","Band D","Band E"),"Band X · Consultant")</f>
        <v>Band B</v>
      </c>
      <c r="BI389" s="40" t="str">
        <f>IF(BG389=AY389,"• Same",IF(INDEX(B_VAL,MATCH(BG389,B_LVL,0))&gt;INDEX(B_VAL,MATCH(AY389,B_LVL,0)),"▲ Up","▼ Down"))</f>
        <v>• Same</v>
      </c>
      <c r="BJ389" s="40" t="str">
        <f>IF(OR($M389="",$M389="—",$M389="Not in this file"),"",IFERROR(INDEX($BG$7:$BG$592,MATCH($M389,$D$7:$D$592,0)),""))</f>
        <v>C2</v>
      </c>
      <c r="BK389" s="40" t="str">
        <f>IFERROR(IF(BJ389="","—",IF(OR(LEFT(BG389,1)="X",LEFT(BJ389,1)="X"),"—",IF(AND(LEFT(BG389,1)="E",LEFT(BJ389,1)="E"),"Exception · Band E",IF(AND(INDEX(B_VAL,MATCH(BJ389,B_LVL,0))&gt;=7,INDEX(B_RANK,MATCH(BG389,B_LVL,0))&gt;=INDEX(B_RANK,MATCH(BJ389,B_LVL,0))),"⚠ Same band as a head manager",IF(INDEX(B_VAL,MATCH(BG389,B_LVL,0))&gt;=INDEX(B_VAL,MATCH(BJ389,B_LVL,0)),"⚠ At or above the manager's level","OK"))))),"—")</f>
        <v>OK</v>
      </c>
      <c r="BL389" s="43" t="n"/>
      <c r="BM389" s="44">
        <f>IFERROR(INDEX(LMH_PTS,MATCH(Y389,LMH_KEY,0)),0)</f>
        <v>9</v>
      </c>
      <c r="BN389" s="38">
        <f>IFERROR(INDEX(LMH_PTS,MATCH(Z389,LMH_KEY,0)),0)</f>
        <v>3</v>
      </c>
      <c r="BO389" s="38">
        <f>IFERROR(INDEX(LMH_PTS,MATCH(AA389,LMH_KEY,0)),0)</f>
        <v>1</v>
      </c>
      <c r="BP389" s="38">
        <f>IFERROR(INDEX(LMH_PTS,MATCH(AB389,LMH_KEY,0)),0)</f>
        <v>3</v>
      </c>
      <c r="BQ389" s="38">
        <f>IFERROR(INDEX(LMH_PTS,MATCH(AC389,LMH_KEY,0)),0)</f>
        <v>1</v>
      </c>
      <c r="BR389" s="38">
        <f>IFERROR(INDEX(LMH_PTS,MATCH(AD389,LMH_KEY,0)),0)</f>
        <v>1</v>
      </c>
      <c r="BS389" s="38">
        <f>IFERROR(INDEX(LMH_PTS,MATCH(AE389,LMH_KEY,0)),0)</f>
        <v>1</v>
      </c>
      <c r="BT389" s="38">
        <f>IFERROR(INDEX(LMH_STEP,MATCH(AF389,LMH_KEY,0)),0)</f>
        <v>0</v>
      </c>
      <c r="BU389" s="38">
        <f>IFERROR(INDEX(LMH_STEP,MATCH(AG389,LMH_KEY,0)),0)</f>
        <v>0</v>
      </c>
      <c r="BV389" s="38">
        <f>IFERROR(INDEX(LMH_STEP,MATCH(AH389,LMH_KEY,0)),0)</f>
        <v>0</v>
      </c>
      <c r="BW389" s="38">
        <f>IFERROR(INDEX(LMH_STEP,MATCH(AI389,LMH_KEY,0)),0)</f>
        <v>0</v>
      </c>
      <c r="BX389" s="38">
        <f>IFERROR(INDEX(LMH_STEP,MATCH(AJ389,LMH_KEY,0)),0)</f>
        <v>0</v>
      </c>
      <c r="BY389" s="38">
        <f>IFERROR(INDEX(LMH_STEP,MATCH(AK389,LMH_KEY,0)),0)</f>
        <v>0</v>
      </c>
      <c r="BZ389" s="38">
        <f>IFERROR(INDEX(LMH_STEP,MATCH(AL389,LMH_KEY,0)),0)</f>
        <v>0</v>
      </c>
      <c r="CA389" s="38" t="inlineStr">
        <is>
          <t>iFile|Technology|Project Manager|B2|B-M</t>
        </is>
      </c>
    </row>
    <row r="390" ht="110" customHeight="1">
      <c r="A390" s="28" t="inlineStr">
        <is>
          <t>Consume</t>
        </is>
      </c>
      <c r="B390" s="29" t="inlineStr">
        <is>
          <t>Technology</t>
        </is>
      </c>
      <c r="C390" s="29" t="n">
        <v>3</v>
      </c>
      <c r="D390" s="29" t="inlineStr">
        <is>
          <t>IRIS1952</t>
        </is>
      </c>
      <c r="E390" s="29" t="inlineStr">
        <is>
          <t>Zakiruddin Shaikh</t>
        </is>
      </c>
      <c r="F390" s="29" t="inlineStr">
        <is>
          <t>Project Manager</t>
        </is>
      </c>
      <c r="G390" s="29" t="inlineStr">
        <is>
          <t>Project Manager</t>
        </is>
      </c>
      <c r="H390" s="29" t="inlineStr">
        <is>
          <t>Project &amp; Program Management</t>
        </is>
      </c>
      <c r="I390" s="29" t="inlineStr">
        <is>
          <t>Project &amp; Program Delivery</t>
        </is>
      </c>
      <c r="J390" s="29" t="inlineStr">
        <is>
          <t>People Manager</t>
        </is>
      </c>
      <c r="K390" s="29" t="inlineStr">
        <is>
          <t>RC-136</t>
        </is>
      </c>
      <c r="L390" s="29" t="inlineStr">
        <is>
          <t>Pradip Dey</t>
        </is>
      </c>
      <c r="M390" s="29" t="inlineStr">
        <is>
          <t>IRISC223</t>
        </is>
      </c>
      <c r="N390" s="29" t="n">
        <v>11.1</v>
      </c>
      <c r="O390" s="29" t="n">
        <v>5</v>
      </c>
      <c r="P390" s="29" t="inlineStr">
        <is>
          <t>MMS</t>
        </is>
      </c>
      <c r="Q390" s="29" t="inlineStr">
        <is>
          <t>L5 – Manager</t>
        </is>
      </c>
      <c r="R390" s="29" t="inlineStr">
        <is>
          <t>B2</t>
        </is>
      </c>
      <c r="S390" s="30" t="inlineStr">
        <is>
          <t>20 of 20</t>
        </is>
      </c>
      <c r="T390" s="31" t="inlineStr">
        <is>
          <t>Complexity: Evidence reads like B1: RBI Portal: multiple portals, production support, compliance, security and commercial activities → moved down 0.5
Autonomy: Evidence reads like B2: Prioritises tasks, allocates team resources, makes daily delivery and operational decisions → matches the start
Accountability: Evidence reads like B2: End-to-end project …</t>
        </is>
      </c>
      <c r="U390" s="31" t="inlineStr">
        <is>
          <t>Received · manager annual, quarterly · 1. Deliver &gt;=90% of project milestones on schedule and within agreed scope
2. Keep project budget / effort variance within +/-10% of plan
3. Maintain risk &amp; issue log with 100% items tracked to closure
4. Achieve client/stakeholder satisfaction · CSAT of &gt;=4 / 5 on delivered projects
5. Publish accurate weekly status …</t>
        </is>
      </c>
      <c r="V390" s="31" t="inlineStr">
        <is>
          <t>Latest rating: 5 · Potential: High · 9-box: Future Leader · Readiness: Ready now</t>
        </is>
      </c>
      <c r="W390" s="31" t="inlineStr">
        <is>
          <t>C M · Au M · Ac M · L L · BI M · Exp H · 11.1 yrs vs 6–9 yrs · Edu H · MMS</t>
        </is>
      </c>
      <c r="X390" s="33" t="inlineStr">
        <is>
          <t>Open ▸</t>
        </is>
      </c>
      <c r="Y390" s="34" t="str">
        <f>IFERROR(INDEX(DL_C,MATCH($CA390,DL_KEY,0)),"M")</f>
        <v>H</v>
      </c>
      <c r="Z390" s="35" t="str">
        <f>IFERROR(INDEX(DL_Au,MATCH($CA390,DL_KEY,0)),"M")</f>
        <v>M</v>
      </c>
      <c r="AA390" s="35" t="str">
        <f>IFERROR(INDEX(DL_Ac,MATCH($CA390,DL_KEY,0)),"M")</f>
        <v>L</v>
      </c>
      <c r="AB390" s="35" t="str">
        <f>IFERROR(INDEX(DL_L,MATCH($CA390,DL_KEY,0)),"M")</f>
        <v>M</v>
      </c>
      <c r="AC390" s="35" t="str">
        <f>IFERROR(INDEX(DL_BI,MATCH($CA390,DL_KEY,0)),"M")</f>
        <v>L</v>
      </c>
      <c r="AD390" s="35" t="str">
        <f>IFERROR(INDEX(DL_Exp,MATCH($CA390,DL_KEY,0)),"M")</f>
        <v>L</v>
      </c>
      <c r="AE390" s="35" t="str">
        <f>IFERROR(INDEX(DL_Edu,MATCH($CA390,DL_KEY,0)),"M")</f>
        <v>L</v>
      </c>
      <c r="AF390" s="34" t="inlineStr">
        <is>
          <t>M</t>
        </is>
      </c>
      <c r="AG390" s="35" t="inlineStr">
        <is>
          <t>M</t>
        </is>
      </c>
      <c r="AH390" s="35" t="inlineStr">
        <is>
          <t>M</t>
        </is>
      </c>
      <c r="AI390" s="35" t="inlineStr">
        <is>
          <t>M</t>
        </is>
      </c>
      <c r="AJ390" s="35" t="inlineStr">
        <is>
          <t>M</t>
        </is>
      </c>
      <c r="AK390" s="35" t="inlineStr">
        <is>
          <t>M</t>
        </is>
      </c>
      <c r="AL390" s="35" t="inlineStr">
        <is>
          <t>M</t>
        </is>
      </c>
      <c r="AM390" s="36" t="n">
        <v>0.37</v>
      </c>
      <c r="AN390" s="37" t="n">
        <v>0.183</v>
      </c>
      <c r="AO390" s="37" t="n">
        <v>0.113</v>
      </c>
      <c r="AP390" s="37" t="n">
        <v>0.15</v>
      </c>
      <c r="AQ390" s="37" t="n">
        <v>0.08699999999999999</v>
      </c>
      <c r="AR390" s="37" t="n">
        <v>0.06</v>
      </c>
      <c r="AS390" s="37" t="n">
        <v>0.04</v>
      </c>
      <c r="AT390" s="38" t="inlineStr">
        <is>
          <t>6–10</t>
        </is>
      </c>
      <c r="AU390" s="38" t="inlineStr">
        <is>
          <t>Graduate or postgraduate; professional qualification preferred</t>
        </is>
      </c>
      <c r="AV390" s="38" t="inlineStr">
        <is>
          <t>IC: none · People: 6–8 knowledge work, 8–12 standardised delivery</t>
        </is>
      </c>
      <c r="AW390" s="38" t="inlineStr">
        <is>
          <t>P4 / M3 · SFIA 4–5</t>
        </is>
      </c>
      <c r="AX39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90" s="39" t="inlineStr">
        <is>
          <t>B2</t>
        </is>
      </c>
      <c r="AZ390" s="40" t="inlineStr">
        <is>
          <t>Band B · Specialist / Manager · Manager</t>
        </is>
      </c>
      <c r="BA390" s="40" t="inlineStr">
        <is>
          <t>Model B2 from the six ratings, the market-derived weights and rules R1–R13 · then No change · already below the manager</t>
        </is>
      </c>
      <c r="BB390" s="41" t="inlineStr">
        <is>
          <t>B2</t>
        </is>
      </c>
      <c r="BC390" s="40" t="inlineStr">
        <is>
          <t>The six ratings on the market-average weights of Band B · People Manager score 4.86 → B2 · Hay, Mercer IPE and public plans · experience 11.1 yrs vs the B2 market range 6–10</t>
        </is>
      </c>
      <c r="BD390" s="42">
        <f>IF(SUM(BM390,BN390,BO390,BP390,BQ390,BR390,BS390)=0,0,(BM390*BT390+BN390*BU390+BO390*BV390+BP390*BW390+BQ390*BX390+BR390*BY390+BS390*BZ390)/SUM(BM390,BN390,BO390,BP390,BQ390,BR390,BS390))</f>
        <v>0</v>
      </c>
      <c r="BE390" s="41" t="str">
        <f>IF(LEFT(AY390,1)="X",AY390,IF(OR(AY390="B+",AY390="C+"),INDEX(LAD_PC,MAX(1,MIN(14,MATCH(AY390,LAD_PC,0)+IF(BD390&gt;=0.5,1,IF(BD390&lt;=-0.5,-1,0))))),INDEX(LAD_STD,MAX(1,MIN(12,MATCH(AY390,LAD_STD,0)+IF(BD390&gt;=0.5,1,IF(BD390&lt;=-0.5,-1,0)))))))</f>
        <v>B2</v>
      </c>
      <c r="BF390" s="43" t="n"/>
      <c r="BG390" s="41" t="str">
        <f>IF(BF390&lt;&gt;"",BF390,BE390)</f>
        <v>B2</v>
      </c>
      <c r="BH390" s="40" t="str">
        <f>IFERROR(CHOOSE(INDEX(B_RANK,MATCH(BG390,B_LVL,0)),"Band A","Band B","B+ · Player-Coach","Band C","C+ · Player-Coach","Band D","Band E"),"Band X · Consultant")</f>
        <v>Band B</v>
      </c>
      <c r="BI390" s="40" t="str">
        <f>IF(BG390=AY390,"• Same",IF(INDEX(B_VAL,MATCH(BG390,B_LVL,0))&gt;INDEX(B_VAL,MATCH(AY390,B_LVL,0)),"▲ Up","▼ Down"))</f>
        <v>• Same</v>
      </c>
      <c r="BJ390" s="40" t="str">
        <f>IF(OR($M390="",$M390="—",$M390="Not in this file"),"",IFERROR(INDEX($BG$7:$BG$592,MATCH($M390,$D$7:$D$592,0)),""))</f>
        <v>C2</v>
      </c>
      <c r="BK390" s="40" t="str">
        <f>IFERROR(IF(BJ390="","—",IF(OR(LEFT(BG390,1)="X",LEFT(BJ390,1)="X"),"—",IF(AND(LEFT(BG390,1)="E",LEFT(BJ390,1)="E"),"Exception · Band E",IF(AND(INDEX(B_VAL,MATCH(BJ390,B_LVL,0))&gt;=7,INDEX(B_RANK,MATCH(BG390,B_LVL,0))&gt;=INDEX(B_RANK,MATCH(BJ390,B_LVL,0))),"⚠ Same band as a head manager",IF(INDEX(B_VAL,MATCH(BG390,B_LVL,0))&gt;=INDEX(B_VAL,MATCH(BJ390,B_LVL,0)),"⚠ At or above the manager's level","OK"))))),"—")</f>
        <v>OK</v>
      </c>
      <c r="BL390" s="43" t="n"/>
      <c r="BM390" s="44">
        <f>IFERROR(INDEX(LMH_PTS,MATCH(Y390,LMH_KEY,0)),0)</f>
        <v>9</v>
      </c>
      <c r="BN390" s="38">
        <f>IFERROR(INDEX(LMH_PTS,MATCH(Z390,LMH_KEY,0)),0)</f>
        <v>3</v>
      </c>
      <c r="BO390" s="38">
        <f>IFERROR(INDEX(LMH_PTS,MATCH(AA390,LMH_KEY,0)),0)</f>
        <v>1</v>
      </c>
      <c r="BP390" s="38">
        <f>IFERROR(INDEX(LMH_PTS,MATCH(AB390,LMH_KEY,0)),0)</f>
        <v>3</v>
      </c>
      <c r="BQ390" s="38">
        <f>IFERROR(INDEX(LMH_PTS,MATCH(AC390,LMH_KEY,0)),0)</f>
        <v>1</v>
      </c>
      <c r="BR390" s="38">
        <f>IFERROR(INDEX(LMH_PTS,MATCH(AD390,LMH_KEY,0)),0)</f>
        <v>1</v>
      </c>
      <c r="BS390" s="38">
        <f>IFERROR(INDEX(LMH_PTS,MATCH(AE390,LMH_KEY,0)),0)</f>
        <v>1</v>
      </c>
      <c r="BT390" s="38">
        <f>IFERROR(INDEX(LMH_STEP,MATCH(AF390,LMH_KEY,0)),0)</f>
        <v>0</v>
      </c>
      <c r="BU390" s="38">
        <f>IFERROR(INDEX(LMH_STEP,MATCH(AG390,LMH_KEY,0)),0)</f>
        <v>0</v>
      </c>
      <c r="BV390" s="38">
        <f>IFERROR(INDEX(LMH_STEP,MATCH(AH390,LMH_KEY,0)),0)</f>
        <v>0</v>
      </c>
      <c r="BW390" s="38">
        <f>IFERROR(INDEX(LMH_STEP,MATCH(AI390,LMH_KEY,0)),0)</f>
        <v>0</v>
      </c>
      <c r="BX390" s="38">
        <f>IFERROR(INDEX(LMH_STEP,MATCH(AJ390,LMH_KEY,0)),0)</f>
        <v>0</v>
      </c>
      <c r="BY390" s="38">
        <f>IFERROR(INDEX(LMH_STEP,MATCH(AK390,LMH_KEY,0)),0)</f>
        <v>0</v>
      </c>
      <c r="BZ390" s="38">
        <f>IFERROR(INDEX(LMH_STEP,MATCH(AL390,LMH_KEY,0)),0)</f>
        <v>0</v>
      </c>
      <c r="CA390" s="38" t="inlineStr">
        <is>
          <t>Consume|Technology|Project Manager|B2|B-M</t>
        </is>
      </c>
    </row>
    <row r="391" ht="110" customHeight="1">
      <c r="A391" s="28" t="inlineStr">
        <is>
          <t>Consume</t>
        </is>
      </c>
      <c r="B391" s="29" t="inlineStr">
        <is>
          <t>Technology</t>
        </is>
      </c>
      <c r="C391" s="29" t="n">
        <v>4</v>
      </c>
      <c r="D391" s="29" t="inlineStr">
        <is>
          <t>IRIS0724</t>
        </is>
      </c>
      <c r="E391" s="29" t="inlineStr">
        <is>
          <t>Nishant Kohakade</t>
        </is>
      </c>
      <c r="F391" s="29" t="inlineStr">
        <is>
          <t>Lead Software Engineer</t>
        </is>
      </c>
      <c r="G391" s="29" t="inlineStr">
        <is>
          <t>Lead Software Engineer</t>
        </is>
      </c>
      <c r="H391" s="29" t="inlineStr">
        <is>
          <t>Engineering &amp; Development</t>
        </is>
      </c>
      <c r="I391" s="29" t="inlineStr">
        <is>
          <t>Application Maintenance &amp; Production Support</t>
        </is>
      </c>
      <c r="J391" s="29" t="inlineStr">
        <is>
          <t>IC</t>
        </is>
      </c>
      <c r="K391" s="29" t="inlineStr">
        <is>
          <t>RC-064</t>
        </is>
      </c>
      <c r="L391" s="29" t="inlineStr">
        <is>
          <t>Zakiruddin Shaikh</t>
        </is>
      </c>
      <c r="M391" s="29" t="inlineStr">
        <is>
          <t>IRIS1952</t>
        </is>
      </c>
      <c r="N391" s="29" t="n">
        <v>19.5</v>
      </c>
      <c r="O391" s="29" t="n">
        <v>16.5</v>
      </c>
      <c r="P391" s="29" t="inlineStr">
        <is>
          <t>B.E</t>
        </is>
      </c>
      <c r="Q391" s="29" t="inlineStr">
        <is>
          <t>L5 – Lead · IC</t>
        </is>
      </c>
      <c r="R391" s="29" t="inlineStr">
        <is>
          <t>B3</t>
        </is>
      </c>
      <c r="S391" s="30" t="inlineStr">
        <is>
          <t>19 of 20</t>
        </is>
      </c>
      <c r="T391" s="31" t="inlineStr">
        <is>
          <t>Complexity: Evidence reads like B2: Runs RBI portals at client datacenter: CRs, VAPT/CSRA mitigation, STQC/IAAP, infra incidents, DR drills, billing → moved down 0.5
Autonomy: Evidence reads like B2: Makes technical calls on availability issues, commits development timelines to client, allocates tasks to developers → moved down 0.5
Accountability: Evidence …</t>
        </is>
      </c>
      <c r="U391" s="31" t="inlineStr">
        <is>
          <t>Received · manager annual, quarterly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391" s="31" t="inlineStr">
        <is>
          <t>Latest rating: 5 · Potential: High · 9-box: Future Leader · Readiness: Ready now</t>
        </is>
      </c>
      <c r="W391" s="31" t="inlineStr">
        <is>
          <t>C H · Au H · Ac H · L M · BI H · Exp H · 19.5 yrs vs 4–7 yrs · Edu M · B.E</t>
        </is>
      </c>
      <c r="X391" s="33" t="inlineStr">
        <is>
          <t>Open ▸</t>
        </is>
      </c>
      <c r="Y391" s="34" t="str">
        <f>IFERROR(INDEX(DL_C,MATCH($CA391,DL_KEY,0)),"M")</f>
        <v>H</v>
      </c>
      <c r="Z391" s="35" t="str">
        <f>IFERROR(INDEX(DL_Au,MATCH($CA391,DL_KEY,0)),"M")</f>
        <v>M</v>
      </c>
      <c r="AA391" s="35" t="str">
        <f>IFERROR(INDEX(DL_Ac,MATCH($CA391,DL_KEY,0)),"M")</f>
        <v>L</v>
      </c>
      <c r="AB391" s="35" t="str">
        <f>IFERROR(INDEX(DL_L,MATCH($CA391,DL_KEY,0)),"M")</f>
        <v>L</v>
      </c>
      <c r="AC391" s="35" t="str">
        <f>IFERROR(INDEX(DL_BI,MATCH($CA391,DL_KEY,0)),"M")</f>
        <v>L</v>
      </c>
      <c r="AD391" s="35" t="str">
        <f>IFERROR(INDEX(DL_Exp,MATCH($CA391,DL_KEY,0)),"M")</f>
        <v>L</v>
      </c>
      <c r="AE391" s="35" t="str">
        <f>IFERROR(INDEX(DL_Edu,MATCH($CA391,DL_KEY,0)),"M")</f>
        <v>L</v>
      </c>
      <c r="AF391" s="34" t="inlineStr">
        <is>
          <t>M</t>
        </is>
      </c>
      <c r="AG391" s="35" t="inlineStr">
        <is>
          <t>M</t>
        </is>
      </c>
      <c r="AH391" s="35" t="inlineStr">
        <is>
          <t>M</t>
        </is>
      </c>
      <c r="AI391" s="35" t="inlineStr">
        <is>
          <t>M</t>
        </is>
      </c>
      <c r="AJ391" s="35" t="inlineStr">
        <is>
          <t>M</t>
        </is>
      </c>
      <c r="AK391" s="35" t="inlineStr">
        <is>
          <t>M</t>
        </is>
      </c>
      <c r="AL391" s="35" t="inlineStr">
        <is>
          <t>M</t>
        </is>
      </c>
      <c r="AM391" s="36" t="n">
        <v>0.513</v>
      </c>
      <c r="AN391" s="37" t="n">
        <v>0.173</v>
      </c>
      <c r="AO391" s="37" t="n">
        <v>0.09699999999999999</v>
      </c>
      <c r="AP391" s="37" t="n">
        <v>0.05</v>
      </c>
      <c r="AQ391" s="37" t="n">
        <v>0.07000000000000001</v>
      </c>
      <c r="AR391" s="37" t="n">
        <v>0.06</v>
      </c>
      <c r="AS391" s="37" t="n">
        <v>0.04</v>
      </c>
      <c r="AT391" s="38" t="inlineStr">
        <is>
          <t>4–8</t>
        </is>
      </c>
      <c r="AU391" s="38" t="inlineStr">
        <is>
          <t>Graduate + relevant qualification or certification preferred</t>
        </is>
      </c>
      <c r="AV391" s="38" t="inlineStr">
        <is>
          <t>IC: none · Team Lead: 3–5</t>
        </is>
      </c>
      <c r="AW391" s="38" t="inlineStr">
        <is>
          <t>P3 / M2 · SFIA 4 Enable</t>
        </is>
      </c>
      <c r="AX39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91" s="39" t="inlineStr">
        <is>
          <t>B1</t>
        </is>
      </c>
      <c r="AZ391" s="40" t="inlineStr">
        <is>
          <t>Band B · Specialist / Manager · Specialist</t>
        </is>
      </c>
      <c r="BA391" s="40" t="inlineStr">
        <is>
          <t>Model B3 from the six ratings, the market-derived weights and rules R1–R13 · then Level rule: manager B2; a reportee sits at least one level below · B3 → B1 · move down · pay and title protected for one cycle</t>
        </is>
      </c>
      <c r="BB391" s="41" t="inlineStr">
        <is>
          <t>B3</t>
        </is>
      </c>
      <c r="BC391" s="40" t="inlineStr">
        <is>
          <t>The six ratings on the market-average weights of Band B · Specialist / POD Lead score 5.88 → B3 · Hay, Mercer IPE and public plans · experience 19.5 yrs vs the B3 market range 8–13</t>
        </is>
      </c>
      <c r="BD391" s="42">
        <f>IF(SUM(BM391,BN391,BO391,BP391,BQ391,BR391,BS391)=0,0,(BM391*BT391+BN391*BU391+BO391*BV391+BP391*BW391+BQ391*BX391+BR391*BY391+BS391*BZ391)/SUM(BM391,BN391,BO391,BP391,BQ391,BR391,BS391))</f>
        <v>0</v>
      </c>
      <c r="BE391" s="41" t="str">
        <f>IF(LEFT(AY391,1)="X",AY391,IF(OR(AY391="B+",AY391="C+"),INDEX(LAD_PC,MAX(1,MIN(14,MATCH(AY391,LAD_PC,0)+IF(BD391&gt;=0.5,1,IF(BD391&lt;=-0.5,-1,0))))),INDEX(LAD_STD,MAX(1,MIN(12,MATCH(AY391,LAD_STD,0)+IF(BD391&gt;=0.5,1,IF(BD391&lt;=-0.5,-1,0)))))))</f>
        <v>B1</v>
      </c>
      <c r="BF391" s="43" t="n"/>
      <c r="BG391" s="41" t="str">
        <f>IF(BF391&lt;&gt;"",BF391,BE391)</f>
        <v>B1</v>
      </c>
      <c r="BH391" s="40" t="str">
        <f>IFERROR(CHOOSE(INDEX(B_RANK,MATCH(BG391,B_LVL,0)),"Band A","Band B","B+ · Player-Coach","Band C","C+ · Player-Coach","Band D","Band E"),"Band X · Consultant")</f>
        <v>Band B</v>
      </c>
      <c r="BI391" s="40" t="str">
        <f>IF(BG391=AY391,"• Same",IF(INDEX(B_VAL,MATCH(BG391,B_LVL,0))&gt;INDEX(B_VAL,MATCH(AY391,B_LVL,0)),"▲ Up","▼ Down"))</f>
        <v>• Same</v>
      </c>
      <c r="BJ391" s="40" t="str">
        <f>IF(OR($M391="",$M391="—",$M391="Not in this file"),"",IFERROR(INDEX($BG$7:$BG$592,MATCH($M391,$D$7:$D$592,0)),""))</f>
        <v>B2</v>
      </c>
      <c r="BK391" s="40" t="str">
        <f>IFERROR(IF(BJ391="","—",IF(OR(LEFT(BG391,1)="X",LEFT(BJ391,1)="X"),"—",IF(AND(LEFT(BG391,1)="E",LEFT(BJ391,1)="E"),"Exception · Band E",IF(AND(INDEX(B_VAL,MATCH(BJ391,B_LVL,0))&gt;=7,INDEX(B_RANK,MATCH(BG391,B_LVL,0))&gt;=INDEX(B_RANK,MATCH(BJ391,B_LVL,0))),"⚠ Same band as a head manager",IF(INDEX(B_VAL,MATCH(BG391,B_LVL,0))&gt;=INDEX(B_VAL,MATCH(BJ391,B_LVL,0)),"⚠ At or above the manager's level","OK"))))),"—")</f>
        <v>OK</v>
      </c>
      <c r="BL391" s="43" t="n"/>
      <c r="BM391" s="44">
        <f>IFERROR(INDEX(LMH_PTS,MATCH(Y391,LMH_KEY,0)),0)</f>
        <v>9</v>
      </c>
      <c r="BN391" s="38">
        <f>IFERROR(INDEX(LMH_PTS,MATCH(Z391,LMH_KEY,0)),0)</f>
        <v>3</v>
      </c>
      <c r="BO391" s="38">
        <f>IFERROR(INDEX(LMH_PTS,MATCH(AA391,LMH_KEY,0)),0)</f>
        <v>1</v>
      </c>
      <c r="BP391" s="38">
        <f>IFERROR(INDEX(LMH_PTS,MATCH(AB391,LMH_KEY,0)),0)</f>
        <v>1</v>
      </c>
      <c r="BQ391" s="38">
        <f>IFERROR(INDEX(LMH_PTS,MATCH(AC391,LMH_KEY,0)),0)</f>
        <v>1</v>
      </c>
      <c r="BR391" s="38">
        <f>IFERROR(INDEX(LMH_PTS,MATCH(AD391,LMH_KEY,0)),0)</f>
        <v>1</v>
      </c>
      <c r="BS391" s="38">
        <f>IFERROR(INDEX(LMH_PTS,MATCH(AE391,LMH_KEY,0)),0)</f>
        <v>1</v>
      </c>
      <c r="BT391" s="38">
        <f>IFERROR(INDEX(LMH_STEP,MATCH(AF391,LMH_KEY,0)),0)</f>
        <v>0</v>
      </c>
      <c r="BU391" s="38">
        <f>IFERROR(INDEX(LMH_STEP,MATCH(AG391,LMH_KEY,0)),0)</f>
        <v>0</v>
      </c>
      <c r="BV391" s="38">
        <f>IFERROR(INDEX(LMH_STEP,MATCH(AH391,LMH_KEY,0)),0)</f>
        <v>0</v>
      </c>
      <c r="BW391" s="38">
        <f>IFERROR(INDEX(LMH_STEP,MATCH(AI391,LMH_KEY,0)),0)</f>
        <v>0</v>
      </c>
      <c r="BX391" s="38">
        <f>IFERROR(INDEX(LMH_STEP,MATCH(AJ391,LMH_KEY,0)),0)</f>
        <v>0</v>
      </c>
      <c r="BY391" s="38">
        <f>IFERROR(INDEX(LMH_STEP,MATCH(AK391,LMH_KEY,0)),0)</f>
        <v>0</v>
      </c>
      <c r="BZ391" s="38">
        <f>IFERROR(INDEX(LMH_STEP,MATCH(AL391,LMH_KEY,0)),0)</f>
        <v>0</v>
      </c>
      <c r="CA391" s="38" t="inlineStr">
        <is>
          <t>Consume|Technology|Lead Software Engineer|B1|B-IC</t>
        </is>
      </c>
    </row>
    <row r="392" ht="110" customHeight="1">
      <c r="A392" s="28" t="inlineStr">
        <is>
          <t>Consume</t>
        </is>
      </c>
      <c r="B392" s="29" t="inlineStr">
        <is>
          <t>Technology</t>
        </is>
      </c>
      <c r="C392" s="29" t="n">
        <v>4</v>
      </c>
      <c r="D392" s="29" t="inlineStr">
        <is>
          <t>IRIS0538</t>
        </is>
      </c>
      <c r="E392" s="29" t="inlineStr">
        <is>
          <t>Waqar Tarique</t>
        </is>
      </c>
      <c r="F392" s="29" t="inlineStr">
        <is>
          <t>Senior Software Engineer</t>
        </is>
      </c>
      <c r="G392" s="29" t="inlineStr">
        <is>
          <t>Technical Specialist</t>
        </is>
      </c>
      <c r="H392" s="29" t="inlineStr">
        <is>
          <t>Engineering &amp; Development</t>
        </is>
      </c>
      <c r="I392" s="29" t="inlineStr">
        <is>
          <t>Application Maintenance &amp; Production Support</t>
        </is>
      </c>
      <c r="J392" s="29" t="inlineStr">
        <is>
          <t>IC</t>
        </is>
      </c>
      <c r="K392" s="29" t="inlineStr">
        <is>
          <t>RC-063</t>
        </is>
      </c>
      <c r="L392" s="29" t="inlineStr">
        <is>
          <t>Zakiruddin Shaikh</t>
        </is>
      </c>
      <c r="M392" s="29" t="inlineStr">
        <is>
          <t>IRIS1952</t>
        </is>
      </c>
      <c r="N392" s="29" t="n">
        <v>16.4</v>
      </c>
      <c r="O392" s="29" t="n">
        <v>15.6</v>
      </c>
      <c r="P392" s="29" t="inlineStr">
        <is>
          <t>MSc</t>
        </is>
      </c>
      <c r="Q392" s="29" t="inlineStr">
        <is>
          <t>L4 – Senior</t>
        </is>
      </c>
      <c r="R392" s="29" t="inlineStr">
        <is>
          <t>B1</t>
        </is>
      </c>
      <c r="S392" s="30" t="inlineStr">
        <is>
          <t>18 of 20</t>
        </is>
      </c>
      <c r="T392" s="31" t="inlineStr">
        <is>
          <t>Complexity: Evidence reads like A3: Develops and maintains the RBI website, administers its database and reviews others' code → matches the start
Autonomy: Evidence reads like A2: Says nothing is decided without approval; every change needs UAT and VAPT/CSRA sign-off → moved down 0.5
Accountability: Evidence reads like A3: Answers for RBI website uptime and …</t>
        </is>
      </c>
      <c r="U392" s="31" t="inlineStr">
        <is>
          <t>Received · manager annual, quarterly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392" s="31" t="inlineStr">
        <is>
          <t>Latest rating: 4 · Potential: High · 9-box: Core Contributor · Readiness: Ready now</t>
        </is>
      </c>
      <c r="W392" s="31" t="inlineStr">
        <is>
          <t>C L · Au L · Ac L · L L · BI M · Exp H · 16.4 yrs vs 4–7 yrs · Edu H · MSc</t>
        </is>
      </c>
      <c r="X392" s="33" t="inlineStr">
        <is>
          <t>Open ▸</t>
        </is>
      </c>
      <c r="Y392" s="34" t="str">
        <f>IFERROR(INDEX(DL_C,MATCH($CA392,DL_KEY,0)),"M")</f>
        <v>H</v>
      </c>
      <c r="Z392" s="35" t="str">
        <f>IFERROR(INDEX(DL_Au,MATCH($CA392,DL_KEY,0)),"M")</f>
        <v>M</v>
      </c>
      <c r="AA392" s="35" t="str">
        <f>IFERROR(INDEX(DL_Ac,MATCH($CA392,DL_KEY,0)),"M")</f>
        <v>L</v>
      </c>
      <c r="AB392" s="35" t="str">
        <f>IFERROR(INDEX(DL_L,MATCH($CA392,DL_KEY,0)),"M")</f>
        <v>L</v>
      </c>
      <c r="AC392" s="35" t="str">
        <f>IFERROR(INDEX(DL_BI,MATCH($CA392,DL_KEY,0)),"M")</f>
        <v>L</v>
      </c>
      <c r="AD392" s="35" t="str">
        <f>IFERROR(INDEX(DL_Exp,MATCH($CA392,DL_KEY,0)),"M")</f>
        <v>L</v>
      </c>
      <c r="AE392" s="35" t="str">
        <f>IFERROR(INDEX(DL_Edu,MATCH($CA392,DL_KEY,0)),"M")</f>
        <v>L</v>
      </c>
      <c r="AF392" s="34" t="inlineStr">
        <is>
          <t>M</t>
        </is>
      </c>
      <c r="AG392" s="35" t="inlineStr">
        <is>
          <t>M</t>
        </is>
      </c>
      <c r="AH392" s="35" t="inlineStr">
        <is>
          <t>M</t>
        </is>
      </c>
      <c r="AI392" s="35" t="inlineStr">
        <is>
          <t>M</t>
        </is>
      </c>
      <c r="AJ392" s="35" t="inlineStr">
        <is>
          <t>M</t>
        </is>
      </c>
      <c r="AK392" s="35" t="inlineStr">
        <is>
          <t>M</t>
        </is>
      </c>
      <c r="AL392" s="35" t="inlineStr">
        <is>
          <t>M</t>
        </is>
      </c>
      <c r="AM392" s="36" t="n">
        <v>0.513</v>
      </c>
      <c r="AN392" s="37" t="n">
        <v>0.173</v>
      </c>
      <c r="AO392" s="37" t="n">
        <v>0.09699999999999999</v>
      </c>
      <c r="AP392" s="37" t="n">
        <v>0.05</v>
      </c>
      <c r="AQ392" s="37" t="n">
        <v>0.07000000000000001</v>
      </c>
      <c r="AR392" s="37" t="n">
        <v>0.06</v>
      </c>
      <c r="AS392" s="37" t="n">
        <v>0.04</v>
      </c>
      <c r="AT392" s="38" t="inlineStr">
        <is>
          <t>4–8</t>
        </is>
      </c>
      <c r="AU392" s="38" t="inlineStr">
        <is>
          <t>Graduate + relevant qualification or certification preferred</t>
        </is>
      </c>
      <c r="AV392" s="38" t="inlineStr">
        <is>
          <t>IC: none · Team Lead: 3–5</t>
        </is>
      </c>
      <c r="AW392" s="38" t="inlineStr">
        <is>
          <t>P3 / M2 · SFIA 4 Enable</t>
        </is>
      </c>
      <c r="AX39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92" s="39" t="inlineStr">
        <is>
          <t>B1</t>
        </is>
      </c>
      <c r="AZ392" s="40" t="inlineStr">
        <is>
          <t>Band B · Specialist / Manager · Specialist</t>
        </is>
      </c>
      <c r="BA392" s="40" t="inlineStr">
        <is>
          <t>Model B1 from the six ratings, the market-derived weights and rules R1–R13 · then No change · already below the manager</t>
        </is>
      </c>
      <c r="BB392" s="41" t="inlineStr">
        <is>
          <t>B1</t>
        </is>
      </c>
      <c r="BC392" s="40" t="inlineStr">
        <is>
          <t>The six ratings on the market-average weights of Band B · Specialist / POD Lead score 3.52 → B1 · Hay, Mercer IPE and public plans · experience 16.4 yrs vs the B1 market range 4–8</t>
        </is>
      </c>
      <c r="BD392" s="42">
        <f>IF(SUM(BM392,BN392,BO392,BP392,BQ392,BR392,BS392)=0,0,(BM392*BT392+BN392*BU392+BO392*BV392+BP392*BW392+BQ392*BX392+BR392*BY392+BS392*BZ392)/SUM(BM392,BN392,BO392,BP392,BQ392,BR392,BS392))</f>
        <v>0</v>
      </c>
      <c r="BE392" s="41" t="str">
        <f>IF(LEFT(AY392,1)="X",AY392,IF(OR(AY392="B+",AY392="C+"),INDEX(LAD_PC,MAX(1,MIN(14,MATCH(AY392,LAD_PC,0)+IF(BD392&gt;=0.5,1,IF(BD392&lt;=-0.5,-1,0))))),INDEX(LAD_STD,MAX(1,MIN(12,MATCH(AY392,LAD_STD,0)+IF(BD392&gt;=0.5,1,IF(BD392&lt;=-0.5,-1,0)))))))</f>
        <v>B1</v>
      </c>
      <c r="BF392" s="43" t="n"/>
      <c r="BG392" s="41" t="str">
        <f>IF(BF392&lt;&gt;"",BF392,BE392)</f>
        <v>B1</v>
      </c>
      <c r="BH392" s="40" t="str">
        <f>IFERROR(CHOOSE(INDEX(B_RANK,MATCH(BG392,B_LVL,0)),"Band A","Band B","B+ · Player-Coach","Band C","C+ · Player-Coach","Band D","Band E"),"Band X · Consultant")</f>
        <v>Band B</v>
      </c>
      <c r="BI392" s="40" t="str">
        <f>IF(BG392=AY392,"• Same",IF(INDEX(B_VAL,MATCH(BG392,B_LVL,0))&gt;INDEX(B_VAL,MATCH(AY392,B_LVL,0)),"▲ Up","▼ Down"))</f>
        <v>• Same</v>
      </c>
      <c r="BJ392" s="40" t="str">
        <f>IF(OR($M392="",$M392="—",$M392="Not in this file"),"",IFERROR(INDEX($BG$7:$BG$592,MATCH($M392,$D$7:$D$592,0)),""))</f>
        <v>B2</v>
      </c>
      <c r="BK392" s="40" t="str">
        <f>IFERROR(IF(BJ392="","—",IF(OR(LEFT(BG392,1)="X",LEFT(BJ392,1)="X"),"—",IF(AND(LEFT(BG392,1)="E",LEFT(BJ392,1)="E"),"Exception · Band E",IF(AND(INDEX(B_VAL,MATCH(BJ392,B_LVL,0))&gt;=7,INDEX(B_RANK,MATCH(BG392,B_LVL,0))&gt;=INDEX(B_RANK,MATCH(BJ392,B_LVL,0))),"⚠ Same band as a head manager",IF(INDEX(B_VAL,MATCH(BG392,B_LVL,0))&gt;=INDEX(B_VAL,MATCH(BJ392,B_LVL,0)),"⚠ At or above the manager's level","OK"))))),"—")</f>
        <v>OK</v>
      </c>
      <c r="BL392" s="43" t="n"/>
      <c r="BM392" s="44">
        <f>IFERROR(INDEX(LMH_PTS,MATCH(Y392,LMH_KEY,0)),0)</f>
        <v>9</v>
      </c>
      <c r="BN392" s="38">
        <f>IFERROR(INDEX(LMH_PTS,MATCH(Z392,LMH_KEY,0)),0)</f>
        <v>3</v>
      </c>
      <c r="BO392" s="38">
        <f>IFERROR(INDEX(LMH_PTS,MATCH(AA392,LMH_KEY,0)),0)</f>
        <v>1</v>
      </c>
      <c r="BP392" s="38">
        <f>IFERROR(INDEX(LMH_PTS,MATCH(AB392,LMH_KEY,0)),0)</f>
        <v>1</v>
      </c>
      <c r="BQ392" s="38">
        <f>IFERROR(INDEX(LMH_PTS,MATCH(AC392,LMH_KEY,0)),0)</f>
        <v>1</v>
      </c>
      <c r="BR392" s="38">
        <f>IFERROR(INDEX(LMH_PTS,MATCH(AD392,LMH_KEY,0)),0)</f>
        <v>1</v>
      </c>
      <c r="BS392" s="38">
        <f>IFERROR(INDEX(LMH_PTS,MATCH(AE392,LMH_KEY,0)),0)</f>
        <v>1</v>
      </c>
      <c r="BT392" s="38">
        <f>IFERROR(INDEX(LMH_STEP,MATCH(AF392,LMH_KEY,0)),0)</f>
        <v>0</v>
      </c>
      <c r="BU392" s="38">
        <f>IFERROR(INDEX(LMH_STEP,MATCH(AG392,LMH_KEY,0)),0)</f>
        <v>0</v>
      </c>
      <c r="BV392" s="38">
        <f>IFERROR(INDEX(LMH_STEP,MATCH(AH392,LMH_KEY,0)),0)</f>
        <v>0</v>
      </c>
      <c r="BW392" s="38">
        <f>IFERROR(INDEX(LMH_STEP,MATCH(AI392,LMH_KEY,0)),0)</f>
        <v>0</v>
      </c>
      <c r="BX392" s="38">
        <f>IFERROR(INDEX(LMH_STEP,MATCH(AJ392,LMH_KEY,0)),0)</f>
        <v>0</v>
      </c>
      <c r="BY392" s="38">
        <f>IFERROR(INDEX(LMH_STEP,MATCH(AK392,LMH_KEY,0)),0)</f>
        <v>0</v>
      </c>
      <c r="BZ392" s="38">
        <f>IFERROR(INDEX(LMH_STEP,MATCH(AL392,LMH_KEY,0)),0)</f>
        <v>0</v>
      </c>
      <c r="CA392" s="38" t="inlineStr">
        <is>
          <t>Consume|Technology|Technical Specialist|B1|B-IC</t>
        </is>
      </c>
    </row>
    <row r="393" ht="110" customHeight="1">
      <c r="A393" s="28" t="inlineStr">
        <is>
          <t>Consume</t>
        </is>
      </c>
      <c r="B393" s="29" t="inlineStr">
        <is>
          <t>Technology</t>
        </is>
      </c>
      <c r="C393" s="29" t="n">
        <v>4</v>
      </c>
      <c r="D393" s="29" t="inlineStr">
        <is>
          <t>IRIS2485</t>
        </is>
      </c>
      <c r="E393" s="29" t="inlineStr">
        <is>
          <t>Safal Gupta</t>
        </is>
      </c>
      <c r="F393" s="29" t="inlineStr">
        <is>
          <t>Senior Software Engineer</t>
        </is>
      </c>
      <c r="G393" s="29" t="inlineStr">
        <is>
          <t>Senior Software Engineer</t>
        </is>
      </c>
      <c r="H393" s="29" t="inlineStr">
        <is>
          <t>Engineering &amp; Development</t>
        </is>
      </c>
      <c r="I393" s="29" t="inlineStr">
        <is>
          <t>Application Maintenance &amp; Production Support</t>
        </is>
      </c>
      <c r="J393" s="29" t="inlineStr">
        <is>
          <t>IC</t>
        </is>
      </c>
      <c r="K393" s="29" t="inlineStr">
        <is>
          <t>RC-062</t>
        </is>
      </c>
      <c r="L393" s="29" t="inlineStr">
        <is>
          <t>Zakiruddin Shaikh</t>
        </is>
      </c>
      <c r="M393" s="29" t="inlineStr">
        <is>
          <t>IRIS1952</t>
        </is>
      </c>
      <c r="N393" s="29" t="n">
        <v>5.8</v>
      </c>
      <c r="O393" s="29" t="n">
        <v>0.6</v>
      </c>
      <c r="P393" s="29" t="inlineStr">
        <is>
          <t>B.E</t>
        </is>
      </c>
      <c r="Q393" s="29" t="inlineStr">
        <is>
          <t>L4 – Senior</t>
        </is>
      </c>
      <c r="R393" s="29" t="inlineStr">
        <is>
          <t>A3</t>
        </is>
      </c>
      <c r="S393" s="30" t="inlineStr">
        <is>
          <t>20 of 20</t>
        </is>
      </c>
      <c r="T393" s="31" t="inlineStr">
        <is>
          <t>Complexity: Evidence reads like A3: Develops and supports RBI web portals; security remediation · VAPT, performance tuning, database work → matches the start
Autonomy: Evidence reads like A3: Decides code implementation, debugging, optimisation and technical fixes → matches the start
Accountability: Evidence reads like A3: Development, security fixes and …</t>
        </is>
      </c>
      <c r="U393" s="31" t="inlineStr">
        <is>
          <t>Received · manager annual, quarterly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393" s="31" t="inlineStr">
        <is>
          <t>Latest rating: 4 · 9-box: Emerging Talent · Readiness: Ready now</t>
        </is>
      </c>
      <c r="W393" s="31" t="inlineStr">
        <is>
          <t>C M · Au M · Ac M · L L · BI M · Exp H · 5.8 yrs vs 2–4 yrs · Edu M · B.E</t>
        </is>
      </c>
      <c r="X393" s="33" t="inlineStr">
        <is>
          <t>Open ▸</t>
        </is>
      </c>
      <c r="Y393" s="34" t="str">
        <f>IFERROR(INDEX(DL_C,MATCH($CA393,DL_KEY,0)),"M")</f>
        <v>H</v>
      </c>
      <c r="Z393" s="35" t="str">
        <f>IFERROR(INDEX(DL_Au,MATCH($CA393,DL_KEY,0)),"M")</f>
        <v>M</v>
      </c>
      <c r="AA393" s="35" t="str">
        <f>IFERROR(INDEX(DL_Ac,MATCH($CA393,DL_KEY,0)),"M")</f>
        <v>L</v>
      </c>
      <c r="AB393" s="35" t="str">
        <f>IFERROR(INDEX(DL_L,MATCH($CA393,DL_KEY,0)),"M")</f>
        <v>L</v>
      </c>
      <c r="AC393" s="35" t="str">
        <f>IFERROR(INDEX(DL_BI,MATCH($CA393,DL_KEY,0)),"M")</f>
        <v>L</v>
      </c>
      <c r="AD393" s="35" t="str">
        <f>IFERROR(INDEX(DL_Exp,MATCH($CA393,DL_KEY,0)),"M")</f>
        <v>L</v>
      </c>
      <c r="AE393" s="35" t="str">
        <f>IFERROR(INDEX(DL_Edu,MATCH($CA393,DL_KEY,0)),"M")</f>
        <v>L</v>
      </c>
      <c r="AF393" s="34" t="inlineStr">
        <is>
          <t>M</t>
        </is>
      </c>
      <c r="AG393" s="35" t="inlineStr">
        <is>
          <t>M</t>
        </is>
      </c>
      <c r="AH393" s="35" t="inlineStr">
        <is>
          <t>M</t>
        </is>
      </c>
      <c r="AI393" s="35" t="inlineStr">
        <is>
          <t>M</t>
        </is>
      </c>
      <c r="AJ393" s="35" t="inlineStr">
        <is>
          <t>M</t>
        </is>
      </c>
      <c r="AK393" s="35" t="inlineStr">
        <is>
          <t>M</t>
        </is>
      </c>
      <c r="AL393" s="35" t="inlineStr">
        <is>
          <t>M</t>
        </is>
      </c>
      <c r="AM393" s="36" t="n">
        <v>0.583</v>
      </c>
      <c r="AN393" s="37" t="n">
        <v>0.16</v>
      </c>
      <c r="AO393" s="37" t="n">
        <v>0.09</v>
      </c>
      <c r="AP393" s="37" t="n">
        <v>0</v>
      </c>
      <c r="AQ393" s="37" t="n">
        <v>0.063</v>
      </c>
      <c r="AR393" s="37" t="n">
        <v>0.06</v>
      </c>
      <c r="AS393" s="37" t="n">
        <v>0.04</v>
      </c>
      <c r="AT393" s="38" t="inlineStr">
        <is>
          <t>2–5</t>
        </is>
      </c>
      <c r="AU393" s="38" t="inlineStr">
        <is>
          <t>Graduate; relevant certification preferred</t>
        </is>
      </c>
      <c r="AV393" s="38" t="inlineStr">
        <is>
          <t>None · guides 1–3 juniors informally</t>
        </is>
      </c>
      <c r="AW393" s="38" t="inlineStr">
        <is>
          <t>P2 · SFIA 3 Apply</t>
        </is>
      </c>
      <c r="AX39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93" s="39" t="inlineStr">
        <is>
          <t>A3</t>
        </is>
      </c>
      <c r="AZ393" s="40" t="inlineStr">
        <is>
          <t>Band A · Practitioner · Senior Associate</t>
        </is>
      </c>
      <c r="BA393" s="40" t="inlineStr">
        <is>
          <t>Model A3 from the six ratings, the market-derived weights and rules R1–R13 · then No change · already below the manager</t>
        </is>
      </c>
      <c r="BB393" s="41" t="inlineStr">
        <is>
          <t>A3</t>
        </is>
      </c>
      <c r="BC393" s="40" t="inlineStr">
        <is>
          <t>The six ratings on the market-average weights of Band A · all tracks score 3.13 → A3 · Hay, Mercer IPE and public plans · experience 5.8 yrs vs the A3 market range 2–5</t>
        </is>
      </c>
      <c r="BD393" s="42">
        <f>IF(SUM(BM393,BN393,BO393,BP393,BQ393,BR393,BS393)=0,0,(BM393*BT393+BN393*BU393+BO393*BV393+BP393*BW393+BQ393*BX393+BR393*BY393+BS393*BZ393)/SUM(BM393,BN393,BO393,BP393,BQ393,BR393,BS393))</f>
        <v>0</v>
      </c>
      <c r="BE393" s="41" t="str">
        <f>IF(LEFT(AY393,1)="X",AY393,IF(OR(AY393="B+",AY393="C+"),INDEX(LAD_PC,MAX(1,MIN(14,MATCH(AY393,LAD_PC,0)+IF(BD393&gt;=0.5,1,IF(BD393&lt;=-0.5,-1,0))))),INDEX(LAD_STD,MAX(1,MIN(12,MATCH(AY393,LAD_STD,0)+IF(BD393&gt;=0.5,1,IF(BD393&lt;=-0.5,-1,0)))))))</f>
        <v>A3</v>
      </c>
      <c r="BF393" s="43" t="n"/>
      <c r="BG393" s="41" t="str">
        <f>IF(BF393&lt;&gt;"",BF393,BE393)</f>
        <v>A3</v>
      </c>
      <c r="BH393" s="40" t="str">
        <f>IFERROR(CHOOSE(INDEX(B_RANK,MATCH(BG393,B_LVL,0)),"Band A","Band B","B+ · Player-Coach","Band C","C+ · Player-Coach","Band D","Band E"),"Band X · Consultant")</f>
        <v>Band A</v>
      </c>
      <c r="BI393" s="40" t="str">
        <f>IF(BG393=AY393,"• Same",IF(INDEX(B_VAL,MATCH(BG393,B_LVL,0))&gt;INDEX(B_VAL,MATCH(AY393,B_LVL,0)),"▲ Up","▼ Down"))</f>
        <v>• Same</v>
      </c>
      <c r="BJ393" s="40" t="str">
        <f>IF(OR($M393="",$M393="—",$M393="Not in this file"),"",IFERROR(INDEX($BG$7:$BG$592,MATCH($M393,$D$7:$D$592,0)),""))</f>
        <v>B2</v>
      </c>
      <c r="BK393" s="40" t="str">
        <f>IFERROR(IF(BJ393="","—",IF(OR(LEFT(BG393,1)="X",LEFT(BJ393,1)="X"),"—",IF(AND(LEFT(BG393,1)="E",LEFT(BJ393,1)="E"),"Exception · Band E",IF(AND(INDEX(B_VAL,MATCH(BJ393,B_LVL,0))&gt;=7,INDEX(B_RANK,MATCH(BG393,B_LVL,0))&gt;=INDEX(B_RANK,MATCH(BJ393,B_LVL,0))),"⚠ Same band as a head manager",IF(INDEX(B_VAL,MATCH(BG393,B_LVL,0))&gt;=INDEX(B_VAL,MATCH(BJ393,B_LVL,0)),"⚠ At or above the manager's level","OK"))))),"—")</f>
        <v>OK</v>
      </c>
      <c r="BL393" s="43" t="n"/>
      <c r="BM393" s="44">
        <f>IFERROR(INDEX(LMH_PTS,MATCH(Y393,LMH_KEY,0)),0)</f>
        <v>9</v>
      </c>
      <c r="BN393" s="38">
        <f>IFERROR(INDEX(LMH_PTS,MATCH(Z393,LMH_KEY,0)),0)</f>
        <v>3</v>
      </c>
      <c r="BO393" s="38">
        <f>IFERROR(INDEX(LMH_PTS,MATCH(AA393,LMH_KEY,0)),0)</f>
        <v>1</v>
      </c>
      <c r="BP393" s="38">
        <f>IFERROR(INDEX(LMH_PTS,MATCH(AB393,LMH_KEY,0)),0)</f>
        <v>1</v>
      </c>
      <c r="BQ393" s="38">
        <f>IFERROR(INDEX(LMH_PTS,MATCH(AC393,LMH_KEY,0)),0)</f>
        <v>1</v>
      </c>
      <c r="BR393" s="38">
        <f>IFERROR(INDEX(LMH_PTS,MATCH(AD393,LMH_KEY,0)),0)</f>
        <v>1</v>
      </c>
      <c r="BS393" s="38">
        <f>IFERROR(INDEX(LMH_PTS,MATCH(AE393,LMH_KEY,0)),0)</f>
        <v>1</v>
      </c>
      <c r="BT393" s="38">
        <f>IFERROR(INDEX(LMH_STEP,MATCH(AF393,LMH_KEY,0)),0)</f>
        <v>0</v>
      </c>
      <c r="BU393" s="38">
        <f>IFERROR(INDEX(LMH_STEP,MATCH(AG393,LMH_KEY,0)),0)</f>
        <v>0</v>
      </c>
      <c r="BV393" s="38">
        <f>IFERROR(INDEX(LMH_STEP,MATCH(AH393,LMH_KEY,0)),0)</f>
        <v>0</v>
      </c>
      <c r="BW393" s="38">
        <f>IFERROR(INDEX(LMH_STEP,MATCH(AI393,LMH_KEY,0)),0)</f>
        <v>0</v>
      </c>
      <c r="BX393" s="38">
        <f>IFERROR(INDEX(LMH_STEP,MATCH(AJ393,LMH_KEY,0)),0)</f>
        <v>0</v>
      </c>
      <c r="BY393" s="38">
        <f>IFERROR(INDEX(LMH_STEP,MATCH(AK393,LMH_KEY,0)),0)</f>
        <v>0</v>
      </c>
      <c r="BZ393" s="38">
        <f>IFERROR(INDEX(LMH_STEP,MATCH(AL393,LMH_KEY,0)),0)</f>
        <v>0</v>
      </c>
      <c r="CA393" s="38" t="inlineStr">
        <is>
          <t>Consume|Technology|Senior Software Engineer|A3|A</t>
        </is>
      </c>
    </row>
    <row r="394" ht="110" customHeight="1">
      <c r="A394" s="28" t="inlineStr">
        <is>
          <t>Consume</t>
        </is>
      </c>
      <c r="B394" s="29" t="inlineStr">
        <is>
          <t>Technology</t>
        </is>
      </c>
      <c r="C394" s="29" t="n">
        <v>4</v>
      </c>
      <c r="D394" s="29" t="inlineStr">
        <is>
          <t>IRIS1901</t>
        </is>
      </c>
      <c r="E394" s="29" t="inlineStr">
        <is>
          <t>Sharad Mane</t>
        </is>
      </c>
      <c r="F394" s="29" t="inlineStr">
        <is>
          <t>Senior Software Engineer</t>
        </is>
      </c>
      <c r="G394" s="29" t="inlineStr">
        <is>
          <t>Technical Specialist</t>
        </is>
      </c>
      <c r="H394" s="29" t="inlineStr">
        <is>
          <t>Engineering &amp; Development</t>
        </is>
      </c>
      <c r="I394" s="29" t="inlineStr">
        <is>
          <t>Application Maintenance &amp; Production Support</t>
        </is>
      </c>
      <c r="J394" s="29" t="inlineStr">
        <is>
          <t>IC</t>
        </is>
      </c>
      <c r="K394" s="29" t="inlineStr">
        <is>
          <t>RC-062</t>
        </is>
      </c>
      <c r="L394" s="29" t="inlineStr">
        <is>
          <t>Zakiruddin Shaikh</t>
        </is>
      </c>
      <c r="M394" s="29" t="inlineStr">
        <is>
          <t>IRIS1952</t>
        </is>
      </c>
      <c r="N394" s="29" t="n">
        <v>11.4</v>
      </c>
      <c r="O394" s="29" t="n">
        <v>5.6</v>
      </c>
      <c r="P394" s="29" t="inlineStr">
        <is>
          <t>B.E</t>
        </is>
      </c>
      <c r="Q394" s="29" t="inlineStr">
        <is>
          <t>L4 – Senior</t>
        </is>
      </c>
      <c r="R394" s="29" t="inlineStr">
        <is>
          <t>A3</t>
        </is>
      </c>
      <c r="S394" s="30" t="inlineStr">
        <is>
          <t>20 of 20</t>
        </is>
      </c>
      <c r="T394" s="31" t="inlineStr">
        <is>
          <t>Complexity: Evidence reads like A3: Develops, tests and deploys.NET changes on RBI application; handles client data requests → matches the start
Autonomy: Evidence reads like A3: Decides coding changes, bug fixes and deployment activity; weighs change impact → matches the start
Accountability: Evidence reads like A3: Own changes through testing to …</t>
        </is>
      </c>
      <c r="U394" s="31" t="inlineStr">
        <is>
          <t>Received · manager annual, quarterly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394" s="31" t="inlineStr">
        <is>
          <t>Latest rating: 4 · Potential: High · 9-box: Core Contributor · Readiness: Ready now</t>
        </is>
      </c>
      <c r="W394" s="31" t="inlineStr">
        <is>
          <t>C M · Au M · Ac M · L L · BI M · Exp H · 11.4 yrs vs 2–4 yrs · Edu M · B.E</t>
        </is>
      </c>
      <c r="X394" s="33" t="inlineStr">
        <is>
          <t>Open ▸</t>
        </is>
      </c>
      <c r="Y394" s="34" t="str">
        <f>IFERROR(INDEX(DL_C,MATCH($CA394,DL_KEY,0)),"M")</f>
        <v>H</v>
      </c>
      <c r="Z394" s="35" t="str">
        <f>IFERROR(INDEX(DL_Au,MATCH($CA394,DL_KEY,0)),"M")</f>
        <v>M</v>
      </c>
      <c r="AA394" s="35" t="str">
        <f>IFERROR(INDEX(DL_Ac,MATCH($CA394,DL_KEY,0)),"M")</f>
        <v>L</v>
      </c>
      <c r="AB394" s="35" t="str">
        <f>IFERROR(INDEX(DL_L,MATCH($CA394,DL_KEY,0)),"M")</f>
        <v>L</v>
      </c>
      <c r="AC394" s="35" t="str">
        <f>IFERROR(INDEX(DL_BI,MATCH($CA394,DL_KEY,0)),"M")</f>
        <v>L</v>
      </c>
      <c r="AD394" s="35" t="str">
        <f>IFERROR(INDEX(DL_Exp,MATCH($CA394,DL_KEY,0)),"M")</f>
        <v>L</v>
      </c>
      <c r="AE394" s="35" t="str">
        <f>IFERROR(INDEX(DL_Edu,MATCH($CA394,DL_KEY,0)),"M")</f>
        <v>L</v>
      </c>
      <c r="AF394" s="34" t="inlineStr">
        <is>
          <t>M</t>
        </is>
      </c>
      <c r="AG394" s="35" t="inlineStr">
        <is>
          <t>M</t>
        </is>
      </c>
      <c r="AH394" s="35" t="inlineStr">
        <is>
          <t>M</t>
        </is>
      </c>
      <c r="AI394" s="35" t="inlineStr">
        <is>
          <t>M</t>
        </is>
      </c>
      <c r="AJ394" s="35" t="inlineStr">
        <is>
          <t>M</t>
        </is>
      </c>
      <c r="AK394" s="35" t="inlineStr">
        <is>
          <t>M</t>
        </is>
      </c>
      <c r="AL394" s="35" t="inlineStr">
        <is>
          <t>M</t>
        </is>
      </c>
      <c r="AM394" s="36" t="n">
        <v>0.583</v>
      </c>
      <c r="AN394" s="37" t="n">
        <v>0.16</v>
      </c>
      <c r="AO394" s="37" t="n">
        <v>0.09</v>
      </c>
      <c r="AP394" s="37" t="n">
        <v>0</v>
      </c>
      <c r="AQ394" s="37" t="n">
        <v>0.063</v>
      </c>
      <c r="AR394" s="37" t="n">
        <v>0.06</v>
      </c>
      <c r="AS394" s="37" t="n">
        <v>0.04</v>
      </c>
      <c r="AT394" s="38" t="inlineStr">
        <is>
          <t>2–5</t>
        </is>
      </c>
      <c r="AU394" s="38" t="inlineStr">
        <is>
          <t>Graduate; relevant certification preferred</t>
        </is>
      </c>
      <c r="AV394" s="38" t="inlineStr">
        <is>
          <t>None · guides 1–3 juniors informally</t>
        </is>
      </c>
      <c r="AW394" s="38" t="inlineStr">
        <is>
          <t>P2 · SFIA 3 Apply</t>
        </is>
      </c>
      <c r="AX39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94" s="39" t="inlineStr">
        <is>
          <t>A3</t>
        </is>
      </c>
      <c r="AZ394" s="40" t="inlineStr">
        <is>
          <t>Band A · Practitioner · Senior Associate</t>
        </is>
      </c>
      <c r="BA394" s="40" t="inlineStr">
        <is>
          <t>Model A3 from the six ratings, the market-derived weights and rules R1–R13 · then No change · already below the manager</t>
        </is>
      </c>
      <c r="BB394" s="41" t="inlineStr">
        <is>
          <t>A3</t>
        </is>
      </c>
      <c r="BC394" s="40" t="inlineStr">
        <is>
          <t>The six ratings on the market-average weights of Band A · all tracks score 3.35 → A3 · Hay, Mercer IPE and public plans · experience 11.4 yrs vs the A3 market range 2–5</t>
        </is>
      </c>
      <c r="BD394" s="42">
        <f>IF(SUM(BM394,BN394,BO394,BP394,BQ394,BR394,BS394)=0,0,(BM394*BT394+BN394*BU394+BO394*BV394+BP394*BW394+BQ394*BX394+BR394*BY394+BS394*BZ394)/SUM(BM394,BN394,BO394,BP394,BQ394,BR394,BS394))</f>
        <v>0</v>
      </c>
      <c r="BE394" s="41" t="str">
        <f>IF(LEFT(AY394,1)="X",AY394,IF(OR(AY394="B+",AY394="C+"),INDEX(LAD_PC,MAX(1,MIN(14,MATCH(AY394,LAD_PC,0)+IF(BD394&gt;=0.5,1,IF(BD394&lt;=-0.5,-1,0))))),INDEX(LAD_STD,MAX(1,MIN(12,MATCH(AY394,LAD_STD,0)+IF(BD394&gt;=0.5,1,IF(BD394&lt;=-0.5,-1,0)))))))</f>
        <v>A3</v>
      </c>
      <c r="BF394" s="43" t="n"/>
      <c r="BG394" s="41" t="str">
        <f>IF(BF394&lt;&gt;"",BF394,BE394)</f>
        <v>A3</v>
      </c>
      <c r="BH394" s="40" t="str">
        <f>IFERROR(CHOOSE(INDEX(B_RANK,MATCH(BG394,B_LVL,0)),"Band A","Band B","B+ · Player-Coach","Band C","C+ · Player-Coach","Band D","Band E"),"Band X · Consultant")</f>
        <v>Band A</v>
      </c>
      <c r="BI394" s="40" t="str">
        <f>IF(BG394=AY394,"• Same",IF(INDEX(B_VAL,MATCH(BG394,B_LVL,0))&gt;INDEX(B_VAL,MATCH(AY394,B_LVL,0)),"▲ Up","▼ Down"))</f>
        <v>• Same</v>
      </c>
      <c r="BJ394" s="40" t="str">
        <f>IF(OR($M394="",$M394="—",$M394="Not in this file"),"",IFERROR(INDEX($BG$7:$BG$592,MATCH($M394,$D$7:$D$592,0)),""))</f>
        <v>B2</v>
      </c>
      <c r="BK394" s="40" t="str">
        <f>IFERROR(IF(BJ394="","—",IF(OR(LEFT(BG394,1)="X",LEFT(BJ394,1)="X"),"—",IF(AND(LEFT(BG394,1)="E",LEFT(BJ394,1)="E"),"Exception · Band E",IF(AND(INDEX(B_VAL,MATCH(BJ394,B_LVL,0))&gt;=7,INDEX(B_RANK,MATCH(BG394,B_LVL,0))&gt;=INDEX(B_RANK,MATCH(BJ394,B_LVL,0))),"⚠ Same band as a head manager",IF(INDEX(B_VAL,MATCH(BG394,B_LVL,0))&gt;=INDEX(B_VAL,MATCH(BJ394,B_LVL,0)),"⚠ At or above the manager's level","OK"))))),"—")</f>
        <v>OK</v>
      </c>
      <c r="BL394" s="43" t="n"/>
      <c r="BM394" s="44">
        <f>IFERROR(INDEX(LMH_PTS,MATCH(Y394,LMH_KEY,0)),0)</f>
        <v>9</v>
      </c>
      <c r="BN394" s="38">
        <f>IFERROR(INDEX(LMH_PTS,MATCH(Z394,LMH_KEY,0)),0)</f>
        <v>3</v>
      </c>
      <c r="BO394" s="38">
        <f>IFERROR(INDEX(LMH_PTS,MATCH(AA394,LMH_KEY,0)),0)</f>
        <v>1</v>
      </c>
      <c r="BP394" s="38">
        <f>IFERROR(INDEX(LMH_PTS,MATCH(AB394,LMH_KEY,0)),0)</f>
        <v>1</v>
      </c>
      <c r="BQ394" s="38">
        <f>IFERROR(INDEX(LMH_PTS,MATCH(AC394,LMH_KEY,0)),0)</f>
        <v>1</v>
      </c>
      <c r="BR394" s="38">
        <f>IFERROR(INDEX(LMH_PTS,MATCH(AD394,LMH_KEY,0)),0)</f>
        <v>1</v>
      </c>
      <c r="BS394" s="38">
        <f>IFERROR(INDEX(LMH_PTS,MATCH(AE394,LMH_KEY,0)),0)</f>
        <v>1</v>
      </c>
      <c r="BT394" s="38">
        <f>IFERROR(INDEX(LMH_STEP,MATCH(AF394,LMH_KEY,0)),0)</f>
        <v>0</v>
      </c>
      <c r="BU394" s="38">
        <f>IFERROR(INDEX(LMH_STEP,MATCH(AG394,LMH_KEY,0)),0)</f>
        <v>0</v>
      </c>
      <c r="BV394" s="38">
        <f>IFERROR(INDEX(LMH_STEP,MATCH(AH394,LMH_KEY,0)),0)</f>
        <v>0</v>
      </c>
      <c r="BW394" s="38">
        <f>IFERROR(INDEX(LMH_STEP,MATCH(AI394,LMH_KEY,0)),0)</f>
        <v>0</v>
      </c>
      <c r="BX394" s="38">
        <f>IFERROR(INDEX(LMH_STEP,MATCH(AJ394,LMH_KEY,0)),0)</f>
        <v>0</v>
      </c>
      <c r="BY394" s="38">
        <f>IFERROR(INDEX(LMH_STEP,MATCH(AK394,LMH_KEY,0)),0)</f>
        <v>0</v>
      </c>
      <c r="BZ394" s="38">
        <f>IFERROR(INDEX(LMH_STEP,MATCH(AL394,LMH_KEY,0)),0)</f>
        <v>0</v>
      </c>
      <c r="CA394" s="38" t="inlineStr">
        <is>
          <t>Consume|Technology|Technical Specialist|A3|A</t>
        </is>
      </c>
    </row>
    <row r="395" ht="110" customHeight="1">
      <c r="A395" s="28" t="inlineStr">
        <is>
          <t>iFile</t>
        </is>
      </c>
      <c r="B395" s="29" t="inlineStr">
        <is>
          <t>Technology</t>
        </is>
      </c>
      <c r="C395" s="29" t="n">
        <v>3</v>
      </c>
      <c r="D395" s="29" t="inlineStr">
        <is>
          <t>IRIS1590</t>
        </is>
      </c>
      <c r="E395" s="29" t="inlineStr">
        <is>
          <t>Nivedita Wagh</t>
        </is>
      </c>
      <c r="F395" s="29" t="inlineStr">
        <is>
          <t>Project Lead</t>
        </is>
      </c>
      <c r="G395" s="29" t="inlineStr">
        <is>
          <t>Project Manager – POD Lead</t>
        </is>
      </c>
      <c r="H395" s="29" t="inlineStr">
        <is>
          <t>Project &amp; Program Management</t>
        </is>
      </c>
      <c r="I395" s="29" t="inlineStr">
        <is>
          <t>Project &amp; Program Delivery</t>
        </is>
      </c>
      <c r="J395" s="29" t="inlineStr">
        <is>
          <t>POD Lead</t>
        </is>
      </c>
      <c r="K395" s="29" t="inlineStr">
        <is>
          <t>RC-134</t>
        </is>
      </c>
      <c r="L395" s="29" t="inlineStr">
        <is>
          <t>Pradip Dey</t>
        </is>
      </c>
      <c r="M395" s="29" t="inlineStr">
        <is>
          <t>IRISC223</t>
        </is>
      </c>
      <c r="N395" s="29" t="n">
        <v>12.1</v>
      </c>
      <c r="O395" s="29" t="n">
        <v>10.1</v>
      </c>
      <c r="P395" s="29" t="inlineStr">
        <is>
          <t>B.E</t>
        </is>
      </c>
      <c r="Q395" s="29" t="inlineStr">
        <is>
          <t>L5 – Lead · IC</t>
        </is>
      </c>
      <c r="R395" s="29" t="inlineStr">
        <is>
          <t>B1</t>
        </is>
      </c>
      <c r="S395" s="30" t="inlineStr">
        <is>
          <t>20 of 20</t>
        </is>
      </c>
      <c r="T395" s="31" t="inlineStr">
        <is>
          <t>Complexity: Evidence reads like B1: Project planning, timelines, monitoring and resource planning for client projects → matches the start
Autonomy: Evidence reads like B2: Decides task allocation and client communication; defines timelines and priorities → moved up 0.5
Accountability: Evidence reads like B2: Project deliverables on time; answers for delayed …</t>
        </is>
      </c>
      <c r="U395" s="31" t="inlineStr">
        <is>
          <t>Received · manager annual, quarterly · 1. Saudi Stock Exchange upgrade project
Proactive communicaions and stakeholder management as per projects requirements
Timely completion of project work as per schedule
Demonstrable team capability upliftment · reduced dependency/improved delivery speed
Client engagement/negotiation as required
2. Bank of …</t>
        </is>
      </c>
      <c r="V395" s="31" t="inlineStr">
        <is>
          <t>Latest rating: 3 · Potential: Medium · 9-box: Reliable Specialist · Readiness: Develop in role</t>
        </is>
      </c>
      <c r="W395" s="31" t="inlineStr">
        <is>
          <t>C M · Au M · Ac M · L M · BI M · Exp H · 12.1 yrs vs 4–7 yrs · Edu M · B.E</t>
        </is>
      </c>
      <c r="X395" s="33" t="inlineStr">
        <is>
          <t>Open ▸</t>
        </is>
      </c>
      <c r="Y395" s="34" t="str">
        <f>IFERROR(INDEX(DL_C,MATCH($CA395,DL_KEY,0)),"M")</f>
        <v>H</v>
      </c>
      <c r="Z395" s="35" t="str">
        <f>IFERROR(INDEX(DL_Au,MATCH($CA395,DL_KEY,0)),"M")</f>
        <v>M</v>
      </c>
      <c r="AA395" s="35" t="str">
        <f>IFERROR(INDEX(DL_Ac,MATCH($CA395,DL_KEY,0)),"M")</f>
        <v>L</v>
      </c>
      <c r="AB395" s="35" t="str">
        <f>IFERROR(INDEX(DL_L,MATCH($CA395,DL_KEY,0)),"M")</f>
        <v>L</v>
      </c>
      <c r="AC395" s="35" t="str">
        <f>IFERROR(INDEX(DL_BI,MATCH($CA395,DL_KEY,0)),"M")</f>
        <v>L</v>
      </c>
      <c r="AD395" s="35" t="str">
        <f>IFERROR(INDEX(DL_Exp,MATCH($CA395,DL_KEY,0)),"M")</f>
        <v>L</v>
      </c>
      <c r="AE395" s="35" t="str">
        <f>IFERROR(INDEX(DL_Edu,MATCH($CA395,DL_KEY,0)),"M")</f>
        <v>L</v>
      </c>
      <c r="AF395" s="34" t="inlineStr">
        <is>
          <t>M</t>
        </is>
      </c>
      <c r="AG395" s="35" t="inlineStr">
        <is>
          <t>M</t>
        </is>
      </c>
      <c r="AH395" s="35" t="inlineStr">
        <is>
          <t>M</t>
        </is>
      </c>
      <c r="AI395" s="35" t="inlineStr">
        <is>
          <t>M</t>
        </is>
      </c>
      <c r="AJ395" s="35" t="inlineStr">
        <is>
          <t>M</t>
        </is>
      </c>
      <c r="AK395" s="35" t="inlineStr">
        <is>
          <t>M</t>
        </is>
      </c>
      <c r="AL395" s="35" t="inlineStr">
        <is>
          <t>M</t>
        </is>
      </c>
      <c r="AM395" s="36" t="n">
        <v>0.513</v>
      </c>
      <c r="AN395" s="37" t="n">
        <v>0.173</v>
      </c>
      <c r="AO395" s="37" t="n">
        <v>0.09699999999999999</v>
      </c>
      <c r="AP395" s="37" t="n">
        <v>0.05</v>
      </c>
      <c r="AQ395" s="37" t="n">
        <v>0.07000000000000001</v>
      </c>
      <c r="AR395" s="37" t="n">
        <v>0.06</v>
      </c>
      <c r="AS395" s="37" t="n">
        <v>0.04</v>
      </c>
      <c r="AT395" s="38" t="inlineStr">
        <is>
          <t>4–8</t>
        </is>
      </c>
      <c r="AU395" s="38" t="inlineStr">
        <is>
          <t>Graduate + relevant qualification or certification preferred</t>
        </is>
      </c>
      <c r="AV395" s="38" t="inlineStr">
        <is>
          <t>IC: none · Team Lead: 3–5</t>
        </is>
      </c>
      <c r="AW395" s="38" t="inlineStr">
        <is>
          <t>P3 / M2 · SFIA 4 Enable</t>
        </is>
      </c>
      <c r="AX39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95" s="39" t="inlineStr">
        <is>
          <t>B1</t>
        </is>
      </c>
      <c r="AZ395" s="40" t="inlineStr">
        <is>
          <t>Band B · Specialist / Manager · Team Lead / Asst Manager</t>
        </is>
      </c>
      <c r="BA395" s="40" t="inlineStr">
        <is>
          <t>Model B1 from the six ratings, the market-derived weights and rules R1–R13 · then No change · already below the manager</t>
        </is>
      </c>
      <c r="BB395" s="41" t="inlineStr">
        <is>
          <t>B1</t>
        </is>
      </c>
      <c r="BC395" s="40" t="inlineStr">
        <is>
          <t>The six ratings on the market-average weights of Band B · Specialist / POD Lead score 4.47 → B1 · Hay, Mercer IPE and public plans · experience 12.1 yrs vs the B1 market range 4–8</t>
        </is>
      </c>
      <c r="BD395" s="42">
        <f>IF(SUM(BM395,BN395,BO395,BP395,BQ395,BR395,BS395)=0,0,(BM395*BT395+BN395*BU395+BO395*BV395+BP395*BW395+BQ395*BX395+BR395*BY395+BS395*BZ395)/SUM(BM395,BN395,BO395,BP395,BQ395,BR395,BS395))</f>
        <v>0</v>
      </c>
      <c r="BE395" s="41" t="str">
        <f>IF(LEFT(AY395,1)="X",AY395,IF(OR(AY395="B+",AY395="C+"),INDEX(LAD_PC,MAX(1,MIN(14,MATCH(AY395,LAD_PC,0)+IF(BD395&gt;=0.5,1,IF(BD395&lt;=-0.5,-1,0))))),INDEX(LAD_STD,MAX(1,MIN(12,MATCH(AY395,LAD_STD,0)+IF(BD395&gt;=0.5,1,IF(BD395&lt;=-0.5,-1,0)))))))</f>
        <v>B1</v>
      </c>
      <c r="BF395" s="43" t="n"/>
      <c r="BG395" s="41" t="str">
        <f>IF(BF395&lt;&gt;"",BF395,BE395)</f>
        <v>B1</v>
      </c>
      <c r="BH395" s="40" t="str">
        <f>IFERROR(CHOOSE(INDEX(B_RANK,MATCH(BG395,B_LVL,0)),"Band A","Band B","B+ · Player-Coach","Band C","C+ · Player-Coach","Band D","Band E"),"Band X · Consultant")</f>
        <v>Band B</v>
      </c>
      <c r="BI395" s="40" t="str">
        <f>IF(BG395=AY395,"• Same",IF(INDEX(B_VAL,MATCH(BG395,B_LVL,0))&gt;INDEX(B_VAL,MATCH(AY395,B_LVL,0)),"▲ Up","▼ Down"))</f>
        <v>• Same</v>
      </c>
      <c r="BJ395" s="40" t="str">
        <f>IF(OR($M395="",$M395="—",$M395="Not in this file"),"",IFERROR(INDEX($BG$7:$BG$592,MATCH($M395,$D$7:$D$592,0)),""))</f>
        <v>C2</v>
      </c>
      <c r="BK395" s="40" t="str">
        <f>IFERROR(IF(BJ395="","—",IF(OR(LEFT(BG395,1)="X",LEFT(BJ395,1)="X"),"—",IF(AND(LEFT(BG395,1)="E",LEFT(BJ395,1)="E"),"Exception · Band E",IF(AND(INDEX(B_VAL,MATCH(BJ395,B_LVL,0))&gt;=7,INDEX(B_RANK,MATCH(BG395,B_LVL,0))&gt;=INDEX(B_RANK,MATCH(BJ395,B_LVL,0))),"⚠ Same band as a head manager",IF(INDEX(B_VAL,MATCH(BG395,B_LVL,0))&gt;=INDEX(B_VAL,MATCH(BJ395,B_LVL,0)),"⚠ At or above the manager's level","OK"))))),"—")</f>
        <v>OK</v>
      </c>
      <c r="BL395" s="43" t="n"/>
      <c r="BM395" s="44">
        <f>IFERROR(INDEX(LMH_PTS,MATCH(Y395,LMH_KEY,0)),0)</f>
        <v>9</v>
      </c>
      <c r="BN395" s="38">
        <f>IFERROR(INDEX(LMH_PTS,MATCH(Z395,LMH_KEY,0)),0)</f>
        <v>3</v>
      </c>
      <c r="BO395" s="38">
        <f>IFERROR(INDEX(LMH_PTS,MATCH(AA395,LMH_KEY,0)),0)</f>
        <v>1</v>
      </c>
      <c r="BP395" s="38">
        <f>IFERROR(INDEX(LMH_PTS,MATCH(AB395,LMH_KEY,0)),0)</f>
        <v>1</v>
      </c>
      <c r="BQ395" s="38">
        <f>IFERROR(INDEX(LMH_PTS,MATCH(AC395,LMH_KEY,0)),0)</f>
        <v>1</v>
      </c>
      <c r="BR395" s="38">
        <f>IFERROR(INDEX(LMH_PTS,MATCH(AD395,LMH_KEY,0)),0)</f>
        <v>1</v>
      </c>
      <c r="BS395" s="38">
        <f>IFERROR(INDEX(LMH_PTS,MATCH(AE395,LMH_KEY,0)),0)</f>
        <v>1</v>
      </c>
      <c r="BT395" s="38">
        <f>IFERROR(INDEX(LMH_STEP,MATCH(AF395,LMH_KEY,0)),0)</f>
        <v>0</v>
      </c>
      <c r="BU395" s="38">
        <f>IFERROR(INDEX(LMH_STEP,MATCH(AG395,LMH_KEY,0)),0)</f>
        <v>0</v>
      </c>
      <c r="BV395" s="38">
        <f>IFERROR(INDEX(LMH_STEP,MATCH(AH395,LMH_KEY,0)),0)</f>
        <v>0</v>
      </c>
      <c r="BW395" s="38">
        <f>IFERROR(INDEX(LMH_STEP,MATCH(AI395,LMH_KEY,0)),0)</f>
        <v>0</v>
      </c>
      <c r="BX395" s="38">
        <f>IFERROR(INDEX(LMH_STEP,MATCH(AJ395,LMH_KEY,0)),0)</f>
        <v>0</v>
      </c>
      <c r="BY395" s="38">
        <f>IFERROR(INDEX(LMH_STEP,MATCH(AK395,LMH_KEY,0)),0)</f>
        <v>0</v>
      </c>
      <c r="BZ395" s="38">
        <f>IFERROR(INDEX(LMH_STEP,MATCH(AL395,LMH_KEY,0)),0)</f>
        <v>0</v>
      </c>
      <c r="CA395" s="38" t="inlineStr">
        <is>
          <t>iFile|Technology|Project Manager – POD Lead|B1|B-IC</t>
        </is>
      </c>
    </row>
    <row r="396" ht="110" customHeight="1">
      <c r="A396" s="28" t="inlineStr">
        <is>
          <t>iFile</t>
        </is>
      </c>
      <c r="B396" s="29" t="inlineStr">
        <is>
          <t>Support</t>
        </is>
      </c>
      <c r="C396" s="29" t="n">
        <v>4</v>
      </c>
      <c r="D396" s="29" t="inlineStr">
        <is>
          <t>IRIS1873</t>
        </is>
      </c>
      <c r="E396" s="29" t="inlineStr">
        <is>
          <t>Sayed Ibrahim</t>
        </is>
      </c>
      <c r="F396" s="29" t="inlineStr">
        <is>
          <t>Analyst</t>
        </is>
      </c>
      <c r="G396" s="29" t="inlineStr">
        <is>
          <t>Senior Support Executive</t>
        </is>
      </c>
      <c r="H396" s="29" t="inlineStr">
        <is>
          <t>Customer Success &amp; Support</t>
        </is>
      </c>
      <c r="I396" s="29" t="inlineStr">
        <is>
          <t>Application &amp; Product Support</t>
        </is>
      </c>
      <c r="J396" s="29" t="inlineStr">
        <is>
          <t>IC</t>
        </is>
      </c>
      <c r="K396" s="29" t="inlineStr">
        <is>
          <t>RC-031</t>
        </is>
      </c>
      <c r="L396" s="29" t="inlineStr">
        <is>
          <t>Nivedita Wagh</t>
        </is>
      </c>
      <c r="M396" s="29" t="inlineStr">
        <is>
          <t>IRIS1590</t>
        </is>
      </c>
      <c r="N396" s="29" t="n">
        <v>10.9</v>
      </c>
      <c r="O396" s="29" t="n">
        <v>6</v>
      </c>
      <c r="P396" s="29" t="inlineStr">
        <is>
          <t>MBA</t>
        </is>
      </c>
      <c r="Q396" s="29" t="inlineStr">
        <is>
          <t>L3 – Professional / Associate</t>
        </is>
      </c>
      <c r="R396" s="29" t="inlineStr">
        <is>
          <t>A3</t>
        </is>
      </c>
      <c r="S396" s="30" t="inlineStr">
        <is>
          <t>20 of 20</t>
        </is>
      </c>
      <c r="T396" s="31" t="inlineStr">
        <is>
          <t>Complexity: Evidence reads like A2: Client demos, email query support, ticket monitoring and a weekly pivot-table ticket report → matches the start
Autonomy: Evidence reads like A2: Assigns tickets to appropriate agents and resolves validation errors; routine decisions → matches the start
Accountability: Evidence reads like A2: Timely monitoring and correct …</t>
        </is>
      </c>
      <c r="U396" s="31" t="inlineStr">
        <is>
          <t>Received · manager annual, quarterly, self · 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t>
        </is>
      </c>
      <c r="V396" s="31" t="inlineStr">
        <is>
          <t>Latest rating: 3 · Potential: Medium · 9-box: Core Contributor · Readiness: Develop in role</t>
        </is>
      </c>
      <c r="W396" s="31" t="inlineStr">
        <is>
          <t>C L · Au L · Ac L · L L · BI L · Exp H · 10.9 yrs vs 2–4 yrs · Edu H · MBA</t>
        </is>
      </c>
      <c r="X396" s="33" t="inlineStr">
        <is>
          <t>Open ▸</t>
        </is>
      </c>
      <c r="Y396" s="34" t="str">
        <f>IFERROR(INDEX(DL_C,MATCH($CA396,DL_KEY,0)),"M")</f>
        <v>H</v>
      </c>
      <c r="Z396" s="35" t="str">
        <f>IFERROR(INDEX(DL_Au,MATCH($CA396,DL_KEY,0)),"M")</f>
        <v>M</v>
      </c>
      <c r="AA396" s="35" t="str">
        <f>IFERROR(INDEX(DL_Ac,MATCH($CA396,DL_KEY,0)),"M")</f>
        <v>M</v>
      </c>
      <c r="AB396" s="35" t="str">
        <f>IFERROR(INDEX(DL_L,MATCH($CA396,DL_KEY,0)),"M")</f>
        <v>L</v>
      </c>
      <c r="AC396" s="35" t="str">
        <f>IFERROR(INDEX(DL_BI,MATCH($CA396,DL_KEY,0)),"M")</f>
        <v>M</v>
      </c>
      <c r="AD396" s="35" t="str">
        <f>IFERROR(INDEX(DL_Exp,MATCH($CA396,DL_KEY,0)),"M")</f>
        <v>L</v>
      </c>
      <c r="AE396" s="35" t="str">
        <f>IFERROR(INDEX(DL_Edu,MATCH($CA396,DL_KEY,0)),"M")</f>
        <v>L</v>
      </c>
      <c r="AF396" s="34" t="inlineStr">
        <is>
          <t>M</t>
        </is>
      </c>
      <c r="AG396" s="35" t="inlineStr">
        <is>
          <t>M</t>
        </is>
      </c>
      <c r="AH396" s="35" t="inlineStr">
        <is>
          <t>M</t>
        </is>
      </c>
      <c r="AI396" s="35" t="inlineStr">
        <is>
          <t>M</t>
        </is>
      </c>
      <c r="AJ396" s="35" t="inlineStr">
        <is>
          <t>M</t>
        </is>
      </c>
      <c r="AK396" s="35" t="inlineStr">
        <is>
          <t>M</t>
        </is>
      </c>
      <c r="AL396" s="35" t="inlineStr">
        <is>
          <t>M</t>
        </is>
      </c>
      <c r="AM396" s="36" t="n">
        <v>0.583</v>
      </c>
      <c r="AN396" s="37" t="n">
        <v>0.16</v>
      </c>
      <c r="AO396" s="37" t="n">
        <v>0.09</v>
      </c>
      <c r="AP396" s="37" t="n">
        <v>0</v>
      </c>
      <c r="AQ396" s="37" t="n">
        <v>0.063</v>
      </c>
      <c r="AR396" s="37" t="n">
        <v>0.06</v>
      </c>
      <c r="AS396" s="37" t="n">
        <v>0.04</v>
      </c>
      <c r="AT396" s="38" t="inlineStr">
        <is>
          <t>2–5</t>
        </is>
      </c>
      <c r="AU396" s="38" t="inlineStr">
        <is>
          <t>Graduate; relevant certification preferred</t>
        </is>
      </c>
      <c r="AV396" s="38" t="inlineStr">
        <is>
          <t>None · guides 1–3 juniors informally</t>
        </is>
      </c>
      <c r="AW396" s="38" t="inlineStr">
        <is>
          <t>P2 · SFIA 3 Apply</t>
        </is>
      </c>
      <c r="AX39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96" s="39" t="inlineStr">
        <is>
          <t>A3</t>
        </is>
      </c>
      <c r="AZ396" s="40" t="inlineStr">
        <is>
          <t>Band A · Practitioner · Senior Associate</t>
        </is>
      </c>
      <c r="BA396" s="40" t="inlineStr">
        <is>
          <t>Model A3 from the six ratings, the market-derived weights and rules R1–R13 · then No change · already below the manager</t>
        </is>
      </c>
      <c r="BB396" s="41" t="inlineStr">
        <is>
          <t>A3</t>
        </is>
      </c>
      <c r="BC396" s="40" t="inlineStr">
        <is>
          <t>The six ratings on the market-average weights of Band A · all tracks score 2.50 → A3 · Hay, Mercer IPE and public plans · experience 10.9 yrs vs the A3 market range 2–5</t>
        </is>
      </c>
      <c r="BD396" s="42">
        <f>IF(SUM(BM396,BN396,BO396,BP396,BQ396,BR396,BS396)=0,0,(BM396*BT396+BN396*BU396+BO396*BV396+BP396*BW396+BQ396*BX396+BR396*BY396+BS396*BZ396)/SUM(BM396,BN396,BO396,BP396,BQ396,BR396,BS396))</f>
        <v>0</v>
      </c>
      <c r="BE396" s="41" t="str">
        <f>IF(LEFT(AY396,1)="X",AY396,IF(OR(AY396="B+",AY396="C+"),INDEX(LAD_PC,MAX(1,MIN(14,MATCH(AY396,LAD_PC,0)+IF(BD396&gt;=0.5,1,IF(BD396&lt;=-0.5,-1,0))))),INDEX(LAD_STD,MAX(1,MIN(12,MATCH(AY396,LAD_STD,0)+IF(BD396&gt;=0.5,1,IF(BD396&lt;=-0.5,-1,0)))))))</f>
        <v>A3</v>
      </c>
      <c r="BF396" s="43" t="n"/>
      <c r="BG396" s="41" t="str">
        <f>IF(BF396&lt;&gt;"",BF396,BE396)</f>
        <v>A3</v>
      </c>
      <c r="BH396" s="40" t="str">
        <f>IFERROR(CHOOSE(INDEX(B_RANK,MATCH(BG396,B_LVL,0)),"Band A","Band B","B+ · Player-Coach","Band C","C+ · Player-Coach","Band D","Band E"),"Band X · Consultant")</f>
        <v>Band A</v>
      </c>
      <c r="BI396" s="40" t="str">
        <f>IF(BG396=AY396,"• Same",IF(INDEX(B_VAL,MATCH(BG396,B_LVL,0))&gt;INDEX(B_VAL,MATCH(AY396,B_LVL,0)),"▲ Up","▼ Down"))</f>
        <v>• Same</v>
      </c>
      <c r="BJ396" s="40" t="str">
        <f>IF(OR($M396="",$M396="—",$M396="Not in this file"),"",IFERROR(INDEX($BG$7:$BG$592,MATCH($M396,$D$7:$D$592,0)),""))</f>
        <v>B1</v>
      </c>
      <c r="BK396" s="40" t="str">
        <f>IFERROR(IF(BJ396="","—",IF(OR(LEFT(BG396,1)="X",LEFT(BJ396,1)="X"),"—",IF(AND(LEFT(BG396,1)="E",LEFT(BJ396,1)="E"),"Exception · Band E",IF(AND(INDEX(B_VAL,MATCH(BJ396,B_LVL,0))&gt;=7,INDEX(B_RANK,MATCH(BG396,B_LVL,0))&gt;=INDEX(B_RANK,MATCH(BJ396,B_LVL,0))),"⚠ Same band as a head manager",IF(INDEX(B_VAL,MATCH(BG396,B_LVL,0))&gt;=INDEX(B_VAL,MATCH(BJ396,B_LVL,0)),"⚠ At or above the manager's level","OK"))))),"—")</f>
        <v>OK</v>
      </c>
      <c r="BL396" s="43" t="n"/>
      <c r="BM396" s="44">
        <f>IFERROR(INDEX(LMH_PTS,MATCH(Y396,LMH_KEY,0)),0)</f>
        <v>9</v>
      </c>
      <c r="BN396" s="38">
        <f>IFERROR(INDEX(LMH_PTS,MATCH(Z396,LMH_KEY,0)),0)</f>
        <v>3</v>
      </c>
      <c r="BO396" s="38">
        <f>IFERROR(INDEX(LMH_PTS,MATCH(AA396,LMH_KEY,0)),0)</f>
        <v>3</v>
      </c>
      <c r="BP396" s="38">
        <f>IFERROR(INDEX(LMH_PTS,MATCH(AB396,LMH_KEY,0)),0)</f>
        <v>1</v>
      </c>
      <c r="BQ396" s="38">
        <f>IFERROR(INDEX(LMH_PTS,MATCH(AC396,LMH_KEY,0)),0)</f>
        <v>3</v>
      </c>
      <c r="BR396" s="38">
        <f>IFERROR(INDEX(LMH_PTS,MATCH(AD396,LMH_KEY,0)),0)</f>
        <v>1</v>
      </c>
      <c r="BS396" s="38">
        <f>IFERROR(INDEX(LMH_PTS,MATCH(AE396,LMH_KEY,0)),0)</f>
        <v>1</v>
      </c>
      <c r="BT396" s="38">
        <f>IFERROR(INDEX(LMH_STEP,MATCH(AF396,LMH_KEY,0)),0)</f>
        <v>0</v>
      </c>
      <c r="BU396" s="38">
        <f>IFERROR(INDEX(LMH_STEP,MATCH(AG396,LMH_KEY,0)),0)</f>
        <v>0</v>
      </c>
      <c r="BV396" s="38">
        <f>IFERROR(INDEX(LMH_STEP,MATCH(AH396,LMH_KEY,0)),0)</f>
        <v>0</v>
      </c>
      <c r="BW396" s="38">
        <f>IFERROR(INDEX(LMH_STEP,MATCH(AI396,LMH_KEY,0)),0)</f>
        <v>0</v>
      </c>
      <c r="BX396" s="38">
        <f>IFERROR(INDEX(LMH_STEP,MATCH(AJ396,LMH_KEY,0)),0)</f>
        <v>0</v>
      </c>
      <c r="BY396" s="38">
        <f>IFERROR(INDEX(LMH_STEP,MATCH(AK396,LMH_KEY,0)),0)</f>
        <v>0</v>
      </c>
      <c r="BZ396" s="38">
        <f>IFERROR(INDEX(LMH_STEP,MATCH(AL396,LMH_KEY,0)),0)</f>
        <v>0</v>
      </c>
      <c r="CA396" s="38" t="inlineStr">
        <is>
          <t>iFile|Support|Senior Support Executive|A3|A</t>
        </is>
      </c>
    </row>
    <row r="397" ht="110" customHeight="1">
      <c r="A397" s="28" t="inlineStr">
        <is>
          <t>iFile</t>
        </is>
      </c>
      <c r="B397" s="29" t="inlineStr">
        <is>
          <t>Technology</t>
        </is>
      </c>
      <c r="C397" s="29" t="n">
        <v>4</v>
      </c>
      <c r="D397" s="29" t="inlineStr">
        <is>
          <t>IRIS2482</t>
        </is>
      </c>
      <c r="E397" s="29" t="inlineStr">
        <is>
          <t>Aquib Shah</t>
        </is>
      </c>
      <c r="F397" s="29" t="inlineStr">
        <is>
          <t>Trainee Software Engineer</t>
        </is>
      </c>
      <c r="G397" s="29" t="inlineStr">
        <is>
          <t>Software Engineer</t>
        </is>
      </c>
      <c r="H397" s="29" t="inlineStr">
        <is>
          <t>Engineering &amp; Development</t>
        </is>
      </c>
      <c r="I397" s="29" t="inlineStr">
        <is>
          <t>Backend Development</t>
        </is>
      </c>
      <c r="J397" s="29" t="inlineStr">
        <is>
          <t>IC</t>
        </is>
      </c>
      <c r="K397" s="29" t="inlineStr">
        <is>
          <t>RC-066</t>
        </is>
      </c>
      <c r="L397" s="29" t="inlineStr">
        <is>
          <t>Nivedita Wagh</t>
        </is>
      </c>
      <c r="M397" s="29" t="inlineStr">
        <is>
          <t>IRIS1590</t>
        </is>
      </c>
      <c r="N397" s="29" t="n">
        <v>2.4</v>
      </c>
      <c r="O397" s="29" t="n">
        <v>0.6</v>
      </c>
      <c r="P397" s="29" t="inlineStr">
        <is>
          <t>B.E</t>
        </is>
      </c>
      <c r="Q397" s="29" t="inlineStr">
        <is>
          <t>L2 – Trainee</t>
        </is>
      </c>
      <c r="R397" s="29" t="inlineStr">
        <is>
          <t>A2</t>
        </is>
      </c>
      <c r="S397" s="30" t="inlineStr">
        <is>
          <t>20 of 20</t>
        </is>
      </c>
      <c r="T397" s="31" t="inlineStr">
        <is>
          <t>Business Impact: No survey or manager-mapping signal on criticality: kept at the start point.</t>
        </is>
      </c>
      <c r="U397" s="31" t="inlineStr">
        <is>
          <t>Received · manager annual, quarterly, self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397" s="31" t="inlineStr">
        <is>
          <t>Latest rating: 2 · Potential: Medium · 9-box: High Impact / Growth Talent · Readiness: Performance first</t>
        </is>
      </c>
      <c r="W397" s="31" t="inlineStr">
        <is>
          <t>C M · Au M · Ac M · L L · BI M · Exp H · 2.4 yrs vs 0–2 yrs · Edu M · B.E</t>
        </is>
      </c>
      <c r="X397" s="33" t="inlineStr">
        <is>
          <t>Open ▸</t>
        </is>
      </c>
      <c r="Y397" s="34" t="str">
        <f>IFERROR(INDEX(DL_C,MATCH($CA397,DL_KEY,0)),"M")</f>
        <v>H</v>
      </c>
      <c r="Z397" s="35" t="str">
        <f>IFERROR(INDEX(DL_Au,MATCH($CA397,DL_KEY,0)),"M")</f>
        <v>M</v>
      </c>
      <c r="AA397" s="35" t="str">
        <f>IFERROR(INDEX(DL_Ac,MATCH($CA397,DL_KEY,0)),"M")</f>
        <v>L</v>
      </c>
      <c r="AB397" s="35" t="str">
        <f>IFERROR(INDEX(DL_L,MATCH($CA397,DL_KEY,0)),"M")</f>
        <v>L</v>
      </c>
      <c r="AC397" s="35" t="str">
        <f>IFERROR(INDEX(DL_BI,MATCH($CA397,DL_KEY,0)),"M")</f>
        <v>L</v>
      </c>
      <c r="AD397" s="35" t="str">
        <f>IFERROR(INDEX(DL_Exp,MATCH($CA397,DL_KEY,0)),"M")</f>
        <v>L</v>
      </c>
      <c r="AE397" s="35" t="str">
        <f>IFERROR(INDEX(DL_Edu,MATCH($CA397,DL_KEY,0)),"M")</f>
        <v>L</v>
      </c>
      <c r="AF397" s="34" t="inlineStr">
        <is>
          <t>M</t>
        </is>
      </c>
      <c r="AG397" s="35" t="inlineStr">
        <is>
          <t>M</t>
        </is>
      </c>
      <c r="AH397" s="35" t="inlineStr">
        <is>
          <t>M</t>
        </is>
      </c>
      <c r="AI397" s="35" t="inlineStr">
        <is>
          <t>M</t>
        </is>
      </c>
      <c r="AJ397" s="35" t="inlineStr">
        <is>
          <t>M</t>
        </is>
      </c>
      <c r="AK397" s="35" t="inlineStr">
        <is>
          <t>M</t>
        </is>
      </c>
      <c r="AL397" s="35" t="inlineStr">
        <is>
          <t>M</t>
        </is>
      </c>
      <c r="AM397" s="36" t="n">
        <v>0.583</v>
      </c>
      <c r="AN397" s="37" t="n">
        <v>0.16</v>
      </c>
      <c r="AO397" s="37" t="n">
        <v>0.09</v>
      </c>
      <c r="AP397" s="37" t="n">
        <v>0</v>
      </c>
      <c r="AQ397" s="37" t="n">
        <v>0.063</v>
      </c>
      <c r="AR397" s="37" t="n">
        <v>0.06</v>
      </c>
      <c r="AS397" s="37" t="n">
        <v>0.04</v>
      </c>
      <c r="AT397" s="38" t="inlineStr">
        <is>
          <t>0–3</t>
        </is>
      </c>
      <c r="AU397" s="38" t="inlineStr">
        <is>
          <t>Graduate · or diploma with experience</t>
        </is>
      </c>
      <c r="AV397" s="38" t="inlineStr">
        <is>
          <t>No direct reports</t>
        </is>
      </c>
      <c r="AW397" s="38" t="inlineStr">
        <is>
          <t>P1–P2 · SFIA 2 Assist</t>
        </is>
      </c>
      <c r="AX39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97" s="39" t="inlineStr">
        <is>
          <t>A2</t>
        </is>
      </c>
      <c r="AZ397" s="40" t="inlineStr">
        <is>
          <t>Band A · Practitioner · Associate</t>
        </is>
      </c>
      <c r="BA397" s="40" t="inlineStr">
        <is>
          <t>Model A2 from the six ratings, the market-derived weights and rules R1–R13 · then No change · already below the manager</t>
        </is>
      </c>
      <c r="BB397" s="41" t="inlineStr">
        <is>
          <t>A2</t>
        </is>
      </c>
      <c r="BC397" s="40" t="inlineStr">
        <is>
          <t>The six ratings on the market-average weights of Band A · all tracks score 1.89 → A2 · Hay, Mercer IPE and public plans · experience 2.4 yrs vs the A2 market range 0–3</t>
        </is>
      </c>
      <c r="BD397" s="42">
        <f>IF(SUM(BM397,BN397,BO397,BP397,BQ397,BR397,BS397)=0,0,(BM397*BT397+BN397*BU397+BO397*BV397+BP397*BW397+BQ397*BX397+BR397*BY397+BS397*BZ397)/SUM(BM397,BN397,BO397,BP397,BQ397,BR397,BS397))</f>
        <v>0</v>
      </c>
      <c r="BE397" s="41" t="str">
        <f>IF(LEFT(AY397,1)="X",AY397,IF(OR(AY397="B+",AY397="C+"),INDEX(LAD_PC,MAX(1,MIN(14,MATCH(AY397,LAD_PC,0)+IF(BD397&gt;=0.5,1,IF(BD397&lt;=-0.5,-1,0))))),INDEX(LAD_STD,MAX(1,MIN(12,MATCH(AY397,LAD_STD,0)+IF(BD397&gt;=0.5,1,IF(BD397&lt;=-0.5,-1,0)))))))</f>
        <v>A2</v>
      </c>
      <c r="BF397" s="43" t="n"/>
      <c r="BG397" s="41" t="str">
        <f>IF(BF397&lt;&gt;"",BF397,BE397)</f>
        <v>A2</v>
      </c>
      <c r="BH397" s="40" t="str">
        <f>IFERROR(CHOOSE(INDEX(B_RANK,MATCH(BG397,B_LVL,0)),"Band A","Band B","B+ · Player-Coach","Band C","C+ · Player-Coach","Band D","Band E"),"Band X · Consultant")</f>
        <v>Band A</v>
      </c>
      <c r="BI397" s="40" t="str">
        <f>IF(BG397=AY397,"• Same",IF(INDEX(B_VAL,MATCH(BG397,B_LVL,0))&gt;INDEX(B_VAL,MATCH(AY397,B_LVL,0)),"▲ Up","▼ Down"))</f>
        <v>• Same</v>
      </c>
      <c r="BJ397" s="40" t="str">
        <f>IF(OR($M397="",$M397="—",$M397="Not in this file"),"",IFERROR(INDEX($BG$7:$BG$592,MATCH($M397,$D$7:$D$592,0)),""))</f>
        <v>B1</v>
      </c>
      <c r="BK397" s="40" t="str">
        <f>IFERROR(IF(BJ397="","—",IF(OR(LEFT(BG397,1)="X",LEFT(BJ397,1)="X"),"—",IF(AND(LEFT(BG397,1)="E",LEFT(BJ397,1)="E"),"Exception · Band E",IF(AND(INDEX(B_VAL,MATCH(BJ397,B_LVL,0))&gt;=7,INDEX(B_RANK,MATCH(BG397,B_LVL,0))&gt;=INDEX(B_RANK,MATCH(BJ397,B_LVL,0))),"⚠ Same band as a head manager",IF(INDEX(B_VAL,MATCH(BG397,B_LVL,0))&gt;=INDEX(B_VAL,MATCH(BJ397,B_LVL,0)),"⚠ At or above the manager's level","OK"))))),"—")</f>
        <v>OK</v>
      </c>
      <c r="BL397" s="43" t="n"/>
      <c r="BM397" s="44">
        <f>IFERROR(INDEX(LMH_PTS,MATCH(Y397,LMH_KEY,0)),0)</f>
        <v>9</v>
      </c>
      <c r="BN397" s="38">
        <f>IFERROR(INDEX(LMH_PTS,MATCH(Z397,LMH_KEY,0)),0)</f>
        <v>3</v>
      </c>
      <c r="BO397" s="38">
        <f>IFERROR(INDEX(LMH_PTS,MATCH(AA397,LMH_KEY,0)),0)</f>
        <v>1</v>
      </c>
      <c r="BP397" s="38">
        <f>IFERROR(INDEX(LMH_PTS,MATCH(AB397,LMH_KEY,0)),0)</f>
        <v>1</v>
      </c>
      <c r="BQ397" s="38">
        <f>IFERROR(INDEX(LMH_PTS,MATCH(AC397,LMH_KEY,0)),0)</f>
        <v>1</v>
      </c>
      <c r="BR397" s="38">
        <f>IFERROR(INDEX(LMH_PTS,MATCH(AD397,LMH_KEY,0)),0)</f>
        <v>1</v>
      </c>
      <c r="BS397" s="38">
        <f>IFERROR(INDEX(LMH_PTS,MATCH(AE397,LMH_KEY,0)),0)</f>
        <v>1</v>
      </c>
      <c r="BT397" s="38">
        <f>IFERROR(INDEX(LMH_STEP,MATCH(AF397,LMH_KEY,0)),0)</f>
        <v>0</v>
      </c>
      <c r="BU397" s="38">
        <f>IFERROR(INDEX(LMH_STEP,MATCH(AG397,LMH_KEY,0)),0)</f>
        <v>0</v>
      </c>
      <c r="BV397" s="38">
        <f>IFERROR(INDEX(LMH_STEP,MATCH(AH397,LMH_KEY,0)),0)</f>
        <v>0</v>
      </c>
      <c r="BW397" s="38">
        <f>IFERROR(INDEX(LMH_STEP,MATCH(AI397,LMH_KEY,0)),0)</f>
        <v>0</v>
      </c>
      <c r="BX397" s="38">
        <f>IFERROR(INDEX(LMH_STEP,MATCH(AJ397,LMH_KEY,0)),0)</f>
        <v>0</v>
      </c>
      <c r="BY397" s="38">
        <f>IFERROR(INDEX(LMH_STEP,MATCH(AK397,LMH_KEY,0)),0)</f>
        <v>0</v>
      </c>
      <c r="BZ397" s="38">
        <f>IFERROR(INDEX(LMH_STEP,MATCH(AL397,LMH_KEY,0)),0)</f>
        <v>0</v>
      </c>
      <c r="CA397" s="38" t="inlineStr">
        <is>
          <t>iFile|Technology|Software Engineer|A2|A</t>
        </is>
      </c>
    </row>
    <row r="398" ht="110" customHeight="1">
      <c r="A398" s="28" t="inlineStr">
        <is>
          <t>iFile</t>
        </is>
      </c>
      <c r="B398" s="29" t="inlineStr">
        <is>
          <t>Technology</t>
        </is>
      </c>
      <c r="C398" s="29" t="n">
        <v>3</v>
      </c>
      <c r="D398" s="29" t="inlineStr">
        <is>
          <t>IRIS2409</t>
        </is>
      </c>
      <c r="E398" s="29" t="inlineStr">
        <is>
          <t>Prabhakar Mhadse</t>
        </is>
      </c>
      <c r="F398" s="29" t="inlineStr">
        <is>
          <t>Senior Software Engineer</t>
        </is>
      </c>
      <c r="G398" s="29" t="inlineStr">
        <is>
          <t>AI/ML Specialist – POD Lead</t>
        </is>
      </c>
      <c r="H398" s="29" t="inlineStr">
        <is>
          <t>Engineering &amp; Development</t>
        </is>
      </c>
      <c r="I398" s="29" t="inlineStr">
        <is>
          <t>AI / ML &amp; GenAI Engineering</t>
        </is>
      </c>
      <c r="J398" s="29" t="inlineStr">
        <is>
          <t>POD Lead</t>
        </is>
      </c>
      <c r="K398" s="29" t="inlineStr">
        <is>
          <t>RC-061</t>
        </is>
      </c>
      <c r="L398" s="29" t="inlineStr">
        <is>
          <t>Pradip Dey</t>
        </is>
      </c>
      <c r="M398" s="29" t="inlineStr">
        <is>
          <t>IRISC223</t>
        </is>
      </c>
      <c r="N398" s="29" t="n">
        <v>8.199999999999999</v>
      </c>
      <c r="O398" s="29" t="n">
        <v>1.2</v>
      </c>
      <c r="P398" s="29" t="inlineStr">
        <is>
          <t>ME</t>
        </is>
      </c>
      <c r="Q398" s="29" t="inlineStr">
        <is>
          <t>L4 – Senior</t>
        </is>
      </c>
      <c r="R398" s="29" t="inlineStr">
        <is>
          <t>B1</t>
        </is>
      </c>
      <c r="S398" s="30" t="inlineStr">
        <is>
          <t>20 of 20</t>
        </is>
      </c>
      <c r="T398" s="31" t="inlineStr">
        <is>
          <t>Complexity: Evidence reads like A3: Builds AI solutions end to end in Python and deploys them with Docker/Podman → matches the start
Autonomy: Evidence reads like A2: Decides technical implementation of own work only → moved down 0.5
Accountability: Evidence reads like A2: own survey / KRA answers · summarised by the rater; not quoted → moved down …</t>
        </is>
      </c>
      <c r="U398" s="32" t="inlineStr">
        <is>
          <t>KRAs not received · manager to supply</t>
        </is>
      </c>
      <c r="V398" s="31" t="inlineStr">
        <is>
          <t>Latest rating: Not rated · manager · 9-box: Not placed · manager · Readiness: No rating data</t>
        </is>
      </c>
      <c r="W398" s="31" t="inlineStr">
        <is>
          <t>C L · Au L · Ac L · L L · BI L · Exp H · 8.2 yrs vs 4–7 yrs · Edu H · ME</t>
        </is>
      </c>
      <c r="X398" s="33" t="inlineStr">
        <is>
          <t>Open ▸</t>
        </is>
      </c>
      <c r="Y398" s="34" t="str">
        <f>IFERROR(INDEX(DL_C,MATCH($CA398,DL_KEY,0)),"M")</f>
        <v>H</v>
      </c>
      <c r="Z398" s="35" t="str">
        <f>IFERROR(INDEX(DL_Au,MATCH($CA398,DL_KEY,0)),"M")</f>
        <v>M</v>
      </c>
      <c r="AA398" s="35" t="str">
        <f>IFERROR(INDEX(DL_Ac,MATCH($CA398,DL_KEY,0)),"M")</f>
        <v>L</v>
      </c>
      <c r="AB398" s="35" t="str">
        <f>IFERROR(INDEX(DL_L,MATCH($CA398,DL_KEY,0)),"M")</f>
        <v>L</v>
      </c>
      <c r="AC398" s="35" t="str">
        <f>IFERROR(INDEX(DL_BI,MATCH($CA398,DL_KEY,0)),"M")</f>
        <v>L</v>
      </c>
      <c r="AD398" s="35" t="str">
        <f>IFERROR(INDEX(DL_Exp,MATCH($CA398,DL_KEY,0)),"M")</f>
        <v>L</v>
      </c>
      <c r="AE398" s="35" t="str">
        <f>IFERROR(INDEX(DL_Edu,MATCH($CA398,DL_KEY,0)),"M")</f>
        <v>L</v>
      </c>
      <c r="AF398" s="34" t="inlineStr">
        <is>
          <t>M</t>
        </is>
      </c>
      <c r="AG398" s="35" t="inlineStr">
        <is>
          <t>M</t>
        </is>
      </c>
      <c r="AH398" s="35" t="inlineStr">
        <is>
          <t>M</t>
        </is>
      </c>
      <c r="AI398" s="35" t="inlineStr">
        <is>
          <t>M</t>
        </is>
      </c>
      <c r="AJ398" s="35" t="inlineStr">
        <is>
          <t>M</t>
        </is>
      </c>
      <c r="AK398" s="35" t="inlineStr">
        <is>
          <t>M</t>
        </is>
      </c>
      <c r="AL398" s="35" t="inlineStr">
        <is>
          <t>M</t>
        </is>
      </c>
      <c r="AM398" s="36" t="n">
        <v>0.513</v>
      </c>
      <c r="AN398" s="37" t="n">
        <v>0.173</v>
      </c>
      <c r="AO398" s="37" t="n">
        <v>0.09699999999999999</v>
      </c>
      <c r="AP398" s="37" t="n">
        <v>0.05</v>
      </c>
      <c r="AQ398" s="37" t="n">
        <v>0.07000000000000001</v>
      </c>
      <c r="AR398" s="37" t="n">
        <v>0.06</v>
      </c>
      <c r="AS398" s="37" t="n">
        <v>0.04</v>
      </c>
      <c r="AT398" s="38" t="inlineStr">
        <is>
          <t>4–8</t>
        </is>
      </c>
      <c r="AU398" s="38" t="inlineStr">
        <is>
          <t>Graduate + relevant qualification or certification preferred</t>
        </is>
      </c>
      <c r="AV398" s="38" t="inlineStr">
        <is>
          <t>IC: none · Team Lead: 3–5</t>
        </is>
      </c>
      <c r="AW398" s="38" t="inlineStr">
        <is>
          <t>P3 / M2 · SFIA 4 Enable</t>
        </is>
      </c>
      <c r="AX39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98" s="39" t="inlineStr">
        <is>
          <t>B1</t>
        </is>
      </c>
      <c r="AZ398" s="40" t="inlineStr">
        <is>
          <t>Band B · Specialist / Manager · Team Lead / Asst Manager</t>
        </is>
      </c>
      <c r="BA398" s="40" t="inlineStr">
        <is>
          <t>Model B1 from the six ratings, the market-derived weights and rules R1–R13 · then No change · already below the manager</t>
        </is>
      </c>
      <c r="BB398" s="41" t="inlineStr">
        <is>
          <t>A3</t>
        </is>
      </c>
      <c r="BC398" s="40" t="inlineStr">
        <is>
          <t>The six ratings on the market-average weights of Band B · Specialist / POD Lead score 3.21 → A3 · Hay, Mercer IPE and public plans · experience 8.2 yrs vs the A3 market range 2–5</t>
        </is>
      </c>
      <c r="BD398" s="42">
        <f>IF(SUM(BM398,BN398,BO398,BP398,BQ398,BR398,BS398)=0,0,(BM398*BT398+BN398*BU398+BO398*BV398+BP398*BW398+BQ398*BX398+BR398*BY398+BS398*BZ398)/SUM(BM398,BN398,BO398,BP398,BQ398,BR398,BS398))</f>
        <v>0</v>
      </c>
      <c r="BE398" s="41" t="str">
        <f>IF(LEFT(AY398,1)="X",AY398,IF(OR(AY398="B+",AY398="C+"),INDEX(LAD_PC,MAX(1,MIN(14,MATCH(AY398,LAD_PC,0)+IF(BD398&gt;=0.5,1,IF(BD398&lt;=-0.5,-1,0))))),INDEX(LAD_STD,MAX(1,MIN(12,MATCH(AY398,LAD_STD,0)+IF(BD398&gt;=0.5,1,IF(BD398&lt;=-0.5,-1,0)))))))</f>
        <v>B1</v>
      </c>
      <c r="BF398" s="43" t="n"/>
      <c r="BG398" s="41" t="str">
        <f>IF(BF398&lt;&gt;"",BF398,BE398)</f>
        <v>B1</v>
      </c>
      <c r="BH398" s="40" t="str">
        <f>IFERROR(CHOOSE(INDEX(B_RANK,MATCH(BG398,B_LVL,0)),"Band A","Band B","B+ · Player-Coach","Band C","C+ · Player-Coach","Band D","Band E"),"Band X · Consultant")</f>
        <v>Band B</v>
      </c>
      <c r="BI398" s="40" t="str">
        <f>IF(BG398=AY398,"• Same",IF(INDEX(B_VAL,MATCH(BG398,B_LVL,0))&gt;INDEX(B_VAL,MATCH(AY398,B_LVL,0)),"▲ Up","▼ Down"))</f>
        <v>• Same</v>
      </c>
      <c r="BJ398" s="40" t="str">
        <f>IF(OR($M398="",$M398="—",$M398="Not in this file"),"",IFERROR(INDEX($BG$7:$BG$592,MATCH($M398,$D$7:$D$592,0)),""))</f>
        <v>C2</v>
      </c>
      <c r="BK398" s="40" t="str">
        <f>IFERROR(IF(BJ398="","—",IF(OR(LEFT(BG398,1)="X",LEFT(BJ398,1)="X"),"—",IF(AND(LEFT(BG398,1)="E",LEFT(BJ398,1)="E"),"Exception · Band E",IF(AND(INDEX(B_VAL,MATCH(BJ398,B_LVL,0))&gt;=7,INDEX(B_RANK,MATCH(BG398,B_LVL,0))&gt;=INDEX(B_RANK,MATCH(BJ398,B_LVL,0))),"⚠ Same band as a head manager",IF(INDEX(B_VAL,MATCH(BG398,B_LVL,0))&gt;=INDEX(B_VAL,MATCH(BJ398,B_LVL,0)),"⚠ At or above the manager's level","OK"))))),"—")</f>
        <v>OK</v>
      </c>
      <c r="BL398" s="43" t="n"/>
      <c r="BM398" s="44">
        <f>IFERROR(INDEX(LMH_PTS,MATCH(Y398,LMH_KEY,0)),0)</f>
        <v>9</v>
      </c>
      <c r="BN398" s="38">
        <f>IFERROR(INDEX(LMH_PTS,MATCH(Z398,LMH_KEY,0)),0)</f>
        <v>3</v>
      </c>
      <c r="BO398" s="38">
        <f>IFERROR(INDEX(LMH_PTS,MATCH(AA398,LMH_KEY,0)),0)</f>
        <v>1</v>
      </c>
      <c r="BP398" s="38">
        <f>IFERROR(INDEX(LMH_PTS,MATCH(AB398,LMH_KEY,0)),0)</f>
        <v>1</v>
      </c>
      <c r="BQ398" s="38">
        <f>IFERROR(INDEX(LMH_PTS,MATCH(AC398,LMH_KEY,0)),0)</f>
        <v>1</v>
      </c>
      <c r="BR398" s="38">
        <f>IFERROR(INDEX(LMH_PTS,MATCH(AD398,LMH_KEY,0)),0)</f>
        <v>1</v>
      </c>
      <c r="BS398" s="38">
        <f>IFERROR(INDEX(LMH_PTS,MATCH(AE398,LMH_KEY,0)),0)</f>
        <v>1</v>
      </c>
      <c r="BT398" s="38">
        <f>IFERROR(INDEX(LMH_STEP,MATCH(AF398,LMH_KEY,0)),0)</f>
        <v>0</v>
      </c>
      <c r="BU398" s="38">
        <f>IFERROR(INDEX(LMH_STEP,MATCH(AG398,LMH_KEY,0)),0)</f>
        <v>0</v>
      </c>
      <c r="BV398" s="38">
        <f>IFERROR(INDEX(LMH_STEP,MATCH(AH398,LMH_KEY,0)),0)</f>
        <v>0</v>
      </c>
      <c r="BW398" s="38">
        <f>IFERROR(INDEX(LMH_STEP,MATCH(AI398,LMH_KEY,0)),0)</f>
        <v>0</v>
      </c>
      <c r="BX398" s="38">
        <f>IFERROR(INDEX(LMH_STEP,MATCH(AJ398,LMH_KEY,0)),0)</f>
        <v>0</v>
      </c>
      <c r="BY398" s="38">
        <f>IFERROR(INDEX(LMH_STEP,MATCH(AK398,LMH_KEY,0)),0)</f>
        <v>0</v>
      </c>
      <c r="BZ398" s="38">
        <f>IFERROR(INDEX(LMH_STEP,MATCH(AL398,LMH_KEY,0)),0)</f>
        <v>0</v>
      </c>
      <c r="CA398" s="38" t="inlineStr">
        <is>
          <t>iFile|Technology|AI/ML Specialist – POD Lead|B1|B-IC</t>
        </is>
      </c>
    </row>
    <row r="399" ht="110" customHeight="1">
      <c r="A399" s="28" t="inlineStr">
        <is>
          <t>iFile</t>
        </is>
      </c>
      <c r="B399" s="29" t="inlineStr">
        <is>
          <t>Technology</t>
        </is>
      </c>
      <c r="C399" s="29" t="n">
        <v>4</v>
      </c>
      <c r="D399" s="29" t="inlineStr">
        <is>
          <t>IRIS2483</t>
        </is>
      </c>
      <c r="E399" s="29" t="inlineStr">
        <is>
          <t>Soham Narsinge</t>
        </is>
      </c>
      <c r="F399" s="29" t="inlineStr">
        <is>
          <t>Trainee Software Engineer</t>
        </is>
      </c>
      <c r="G399" s="29" t="inlineStr">
        <is>
          <t>AI/ML Engineer</t>
        </is>
      </c>
      <c r="H399" s="29" t="inlineStr">
        <is>
          <t>Engineering &amp; Development</t>
        </is>
      </c>
      <c r="I399" s="29" t="inlineStr">
        <is>
          <t>AI / ML &amp; GenAI Engineering</t>
        </is>
      </c>
      <c r="J399" s="29" t="inlineStr">
        <is>
          <t>IC</t>
        </is>
      </c>
      <c r="K399" s="29" t="inlineStr">
        <is>
          <t>RC-059</t>
        </is>
      </c>
      <c r="L399" s="29" t="inlineStr">
        <is>
          <t>Prabhakar Mhadse</t>
        </is>
      </c>
      <c r="M399" s="29" t="inlineStr">
        <is>
          <t>IRIS2409</t>
        </is>
      </c>
      <c r="N399" s="29" t="n">
        <v>1.3</v>
      </c>
      <c r="O399" s="29" t="n">
        <v>0.6</v>
      </c>
      <c r="P399" s="29" t="inlineStr">
        <is>
          <t>B.E</t>
        </is>
      </c>
      <c r="Q399" s="29" t="inlineStr">
        <is>
          <t>Not in current mapping files</t>
        </is>
      </c>
      <c r="R399" s="29" t="inlineStr">
        <is>
          <t>A2</t>
        </is>
      </c>
      <c r="S399" s="30" t="inlineStr">
        <is>
          <t>20 of 20</t>
        </is>
      </c>
      <c r="T399" s="31" t="inlineStr">
        <is>
          <t>Complexity: Evidence reads like A3: Builds AI POCs with RAG, OCR/VLMs, prompt engineering and model evaluation; regulatory research → moved up 1
Autonomy: Evidence reads like A2: Only quality testing of AI POCs named → moved up 0.5
Accountability: Evidence reads like A2: own survey / KRA answers · summarised by the rater; not quoted → moved up …</t>
        </is>
      </c>
      <c r="U399" s="32" t="inlineStr">
        <is>
          <t>KRAs not received · manager to supply</t>
        </is>
      </c>
      <c r="V399" s="31" t="inlineStr">
        <is>
          <t>Latest rating: Not rated · manager · 9-box: Not placed · manager · Readiness: No rating data</t>
        </is>
      </c>
      <c r="W399" s="31" t="inlineStr">
        <is>
          <t>C M · Au M · Ac M · L L · BI M · Exp M · 1.3 yrs vs 0–2 yrs · Edu M · B.E</t>
        </is>
      </c>
      <c r="X399" s="33" t="inlineStr">
        <is>
          <t>Open ▸</t>
        </is>
      </c>
      <c r="Y399" s="34" t="str">
        <f>IFERROR(INDEX(DL_C,MATCH($CA399,DL_KEY,0)),"M")</f>
        <v>H</v>
      </c>
      <c r="Z399" s="35" t="str">
        <f>IFERROR(INDEX(DL_Au,MATCH($CA399,DL_KEY,0)),"M")</f>
        <v>M</v>
      </c>
      <c r="AA399" s="35" t="str">
        <f>IFERROR(INDEX(DL_Ac,MATCH($CA399,DL_KEY,0)),"M")</f>
        <v>L</v>
      </c>
      <c r="AB399" s="35" t="str">
        <f>IFERROR(INDEX(DL_L,MATCH($CA399,DL_KEY,0)),"M")</f>
        <v>L</v>
      </c>
      <c r="AC399" s="35" t="str">
        <f>IFERROR(INDEX(DL_BI,MATCH($CA399,DL_KEY,0)),"M")</f>
        <v>L</v>
      </c>
      <c r="AD399" s="35" t="str">
        <f>IFERROR(INDEX(DL_Exp,MATCH($CA399,DL_KEY,0)),"M")</f>
        <v>L</v>
      </c>
      <c r="AE399" s="35" t="str">
        <f>IFERROR(INDEX(DL_Edu,MATCH($CA399,DL_KEY,0)),"M")</f>
        <v>L</v>
      </c>
      <c r="AF399" s="34" t="inlineStr">
        <is>
          <t>M</t>
        </is>
      </c>
      <c r="AG399" s="35" t="inlineStr">
        <is>
          <t>M</t>
        </is>
      </c>
      <c r="AH399" s="35" t="inlineStr">
        <is>
          <t>M</t>
        </is>
      </c>
      <c r="AI399" s="35" t="inlineStr">
        <is>
          <t>M</t>
        </is>
      </c>
      <c r="AJ399" s="35" t="inlineStr">
        <is>
          <t>M</t>
        </is>
      </c>
      <c r="AK399" s="35" t="inlineStr">
        <is>
          <t>M</t>
        </is>
      </c>
      <c r="AL399" s="35" t="inlineStr">
        <is>
          <t>M</t>
        </is>
      </c>
      <c r="AM399" s="36" t="n">
        <v>0.583</v>
      </c>
      <c r="AN399" s="37" t="n">
        <v>0.16</v>
      </c>
      <c r="AO399" s="37" t="n">
        <v>0.09</v>
      </c>
      <c r="AP399" s="37" t="n">
        <v>0</v>
      </c>
      <c r="AQ399" s="37" t="n">
        <v>0.063</v>
      </c>
      <c r="AR399" s="37" t="n">
        <v>0.06</v>
      </c>
      <c r="AS399" s="37" t="n">
        <v>0.04</v>
      </c>
      <c r="AT399" s="38" t="inlineStr">
        <is>
          <t>0–3</t>
        </is>
      </c>
      <c r="AU399" s="38" t="inlineStr">
        <is>
          <t>Graduate · or diploma with experience</t>
        </is>
      </c>
      <c r="AV399" s="38" t="inlineStr">
        <is>
          <t>No direct reports</t>
        </is>
      </c>
      <c r="AW399" s="38" t="inlineStr">
        <is>
          <t>P1–P2 · SFIA 2 Assist</t>
        </is>
      </c>
      <c r="AX39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399" s="39" t="inlineStr">
        <is>
          <t>A2</t>
        </is>
      </c>
      <c r="AZ399" s="40" t="inlineStr">
        <is>
          <t>Band A · Practitioner · Associate</t>
        </is>
      </c>
      <c r="BA399" s="40" t="inlineStr">
        <is>
          <t>Model A2 from the six ratings, the market-derived weights and rules R1–R13 · then No change · already below the manager</t>
        </is>
      </c>
      <c r="BB399" s="41" t="inlineStr">
        <is>
          <t>A2</t>
        </is>
      </c>
      <c r="BC399" s="40" t="inlineStr">
        <is>
          <t>The six ratings on the market-average weights of Band A · all tracks score 1.84 → A2 · Hay, Mercer IPE and public plans · experience 1.3 yrs vs the A2 market range 0–3</t>
        </is>
      </c>
      <c r="BD399" s="42">
        <f>IF(SUM(BM399,BN399,BO399,BP399,BQ399,BR399,BS399)=0,0,(BM399*BT399+BN399*BU399+BO399*BV399+BP399*BW399+BQ399*BX399+BR399*BY399+BS399*BZ399)/SUM(BM399,BN399,BO399,BP399,BQ399,BR399,BS399))</f>
        <v>0</v>
      </c>
      <c r="BE399" s="41" t="str">
        <f>IF(LEFT(AY399,1)="X",AY399,IF(OR(AY399="B+",AY399="C+"),INDEX(LAD_PC,MAX(1,MIN(14,MATCH(AY399,LAD_PC,0)+IF(BD399&gt;=0.5,1,IF(BD399&lt;=-0.5,-1,0))))),INDEX(LAD_STD,MAX(1,MIN(12,MATCH(AY399,LAD_STD,0)+IF(BD399&gt;=0.5,1,IF(BD399&lt;=-0.5,-1,0)))))))</f>
        <v>A2</v>
      </c>
      <c r="BF399" s="43" t="n"/>
      <c r="BG399" s="41" t="str">
        <f>IF(BF399&lt;&gt;"",BF399,BE399)</f>
        <v>A2</v>
      </c>
      <c r="BH399" s="40" t="str">
        <f>IFERROR(CHOOSE(INDEX(B_RANK,MATCH(BG399,B_LVL,0)),"Band A","Band B","B+ · Player-Coach","Band C","C+ · Player-Coach","Band D","Band E"),"Band X · Consultant")</f>
        <v>Band A</v>
      </c>
      <c r="BI399" s="40" t="str">
        <f>IF(BG399=AY399,"• Same",IF(INDEX(B_VAL,MATCH(BG399,B_LVL,0))&gt;INDEX(B_VAL,MATCH(AY399,B_LVL,0)),"▲ Up","▼ Down"))</f>
        <v>• Same</v>
      </c>
      <c r="BJ399" s="40" t="str">
        <f>IF(OR($M399="",$M399="—",$M399="Not in this file"),"",IFERROR(INDEX($BG$7:$BG$592,MATCH($M399,$D$7:$D$592,0)),""))</f>
        <v>B1</v>
      </c>
      <c r="BK399" s="40" t="str">
        <f>IFERROR(IF(BJ399="","—",IF(OR(LEFT(BG399,1)="X",LEFT(BJ399,1)="X"),"—",IF(AND(LEFT(BG399,1)="E",LEFT(BJ399,1)="E"),"Exception · Band E",IF(AND(INDEX(B_VAL,MATCH(BJ399,B_LVL,0))&gt;=7,INDEX(B_RANK,MATCH(BG399,B_LVL,0))&gt;=INDEX(B_RANK,MATCH(BJ399,B_LVL,0))),"⚠ Same band as a head manager",IF(INDEX(B_VAL,MATCH(BG399,B_LVL,0))&gt;=INDEX(B_VAL,MATCH(BJ399,B_LVL,0)),"⚠ At or above the manager's level","OK"))))),"—")</f>
        <v>OK</v>
      </c>
      <c r="BL399" s="43" t="n"/>
      <c r="BM399" s="44">
        <f>IFERROR(INDEX(LMH_PTS,MATCH(Y399,LMH_KEY,0)),0)</f>
        <v>9</v>
      </c>
      <c r="BN399" s="38">
        <f>IFERROR(INDEX(LMH_PTS,MATCH(Z399,LMH_KEY,0)),0)</f>
        <v>3</v>
      </c>
      <c r="BO399" s="38">
        <f>IFERROR(INDEX(LMH_PTS,MATCH(AA399,LMH_KEY,0)),0)</f>
        <v>1</v>
      </c>
      <c r="BP399" s="38">
        <f>IFERROR(INDEX(LMH_PTS,MATCH(AB399,LMH_KEY,0)),0)</f>
        <v>1</v>
      </c>
      <c r="BQ399" s="38">
        <f>IFERROR(INDEX(LMH_PTS,MATCH(AC399,LMH_KEY,0)),0)</f>
        <v>1</v>
      </c>
      <c r="BR399" s="38">
        <f>IFERROR(INDEX(LMH_PTS,MATCH(AD399,LMH_KEY,0)),0)</f>
        <v>1</v>
      </c>
      <c r="BS399" s="38">
        <f>IFERROR(INDEX(LMH_PTS,MATCH(AE399,LMH_KEY,0)),0)</f>
        <v>1</v>
      </c>
      <c r="BT399" s="38">
        <f>IFERROR(INDEX(LMH_STEP,MATCH(AF399,LMH_KEY,0)),0)</f>
        <v>0</v>
      </c>
      <c r="BU399" s="38">
        <f>IFERROR(INDEX(LMH_STEP,MATCH(AG399,LMH_KEY,0)),0)</f>
        <v>0</v>
      </c>
      <c r="BV399" s="38">
        <f>IFERROR(INDEX(LMH_STEP,MATCH(AH399,LMH_KEY,0)),0)</f>
        <v>0</v>
      </c>
      <c r="BW399" s="38">
        <f>IFERROR(INDEX(LMH_STEP,MATCH(AI399,LMH_KEY,0)),0)</f>
        <v>0</v>
      </c>
      <c r="BX399" s="38">
        <f>IFERROR(INDEX(LMH_STEP,MATCH(AJ399,LMH_KEY,0)),0)</f>
        <v>0</v>
      </c>
      <c r="BY399" s="38">
        <f>IFERROR(INDEX(LMH_STEP,MATCH(AK399,LMH_KEY,0)),0)</f>
        <v>0</v>
      </c>
      <c r="BZ399" s="38">
        <f>IFERROR(INDEX(LMH_STEP,MATCH(AL399,LMH_KEY,0)),0)</f>
        <v>0</v>
      </c>
      <c r="CA399" s="38" t="inlineStr">
        <is>
          <t>iFile|Technology|AI/ML Engineer|A2|A</t>
        </is>
      </c>
    </row>
    <row r="400" ht="110" customHeight="1">
      <c r="A400" s="28" t="inlineStr">
        <is>
          <t>iFile</t>
        </is>
      </c>
      <c r="B400" s="29" t="inlineStr">
        <is>
          <t>Design</t>
        </is>
      </c>
      <c r="C400" s="29" t="n">
        <v>3</v>
      </c>
      <c r="D400" s="29" t="inlineStr">
        <is>
          <t>IRIS1593</t>
        </is>
      </c>
      <c r="E400" s="29" t="inlineStr">
        <is>
          <t>Rajeev Kumar</t>
        </is>
      </c>
      <c r="F400" s="29" t="inlineStr">
        <is>
          <t>Senior UI Developer</t>
        </is>
      </c>
      <c r="G400" s="29" t="inlineStr">
        <is>
          <t>UI Specialist – POD Lead</t>
        </is>
      </c>
      <c r="H400" s="29" t="inlineStr">
        <is>
          <t>Engineering &amp; Development</t>
        </is>
      </c>
      <c r="I400" s="29" t="inlineStr">
        <is>
          <t>Front-End / UI Development</t>
        </is>
      </c>
      <c r="J400" s="29" t="inlineStr">
        <is>
          <t>POD Lead</t>
        </is>
      </c>
      <c r="K400" s="29" t="inlineStr">
        <is>
          <t>RC-082</t>
        </is>
      </c>
      <c r="L400" s="29" t="inlineStr">
        <is>
          <t>Pradip Dey</t>
        </is>
      </c>
      <c r="M400" s="29" t="inlineStr">
        <is>
          <t>IRISC223</t>
        </is>
      </c>
      <c r="N400" s="29" t="n">
        <v>15.6</v>
      </c>
      <c r="O400" s="29" t="n">
        <v>10.1</v>
      </c>
      <c r="P400" s="29" t="inlineStr">
        <is>
          <t>MCA</t>
        </is>
      </c>
      <c r="Q400" s="29" t="inlineStr">
        <is>
          <t>L4 – Senior</t>
        </is>
      </c>
      <c r="R400" s="29" t="inlineStr">
        <is>
          <t>B1</t>
        </is>
      </c>
      <c r="S400" s="30" t="inlineStr">
        <is>
          <t>20 of 20</t>
        </is>
      </c>
      <c r="T400" s="31" t="inlineStr">
        <is>
          <t>Complexity: Evidence reads like A3: Designs interfaces and prototypes plus front-end build across different projects → matches the start
Autonomy: Evidence reads like A2: Says 'project initiative'; works to client requirement → moved down 0.5
Accountability: Evidence reads like A3: Claims whole responsibility for UI design and integration of applications → …</t>
        </is>
      </c>
      <c r="U400" s="31" t="inlineStr">
        <is>
          <t>Received · manager annual, quarterly · 1. UI/UX activities for projects/products 
Provide timely support for ongoing projects and product requirements 
Discuss with the leads and ensure prioritization of work in case of conflicts
Discuss with the clients/leads and ensure UI/UX expereince is getting better
Come out with ideas proactively to suggest and …</t>
        </is>
      </c>
      <c r="V400" s="31" t="inlineStr">
        <is>
          <t>Latest rating: 3 · Potential: Medium · 9-box: Core Contributor · Readiness: Develop in role</t>
        </is>
      </c>
      <c r="W400" s="31" t="inlineStr">
        <is>
          <t>C L · Au L · Ac L · L L · BI M · Exp H · 15.6 yrs vs 4–7 yrs · Edu H · MCA</t>
        </is>
      </c>
      <c r="X400" s="33" t="inlineStr">
        <is>
          <t>Open ▸</t>
        </is>
      </c>
      <c r="Y400" s="34" t="str">
        <f>IFERROR(INDEX(DL_C,MATCH($CA400,DL_KEY,0)),"M")</f>
        <v>H</v>
      </c>
      <c r="Z400" s="35" t="str">
        <f>IFERROR(INDEX(DL_Au,MATCH($CA400,DL_KEY,0)),"M")</f>
        <v>M</v>
      </c>
      <c r="AA400" s="35" t="str">
        <f>IFERROR(INDEX(DL_Ac,MATCH($CA400,DL_KEY,0)),"M")</f>
        <v>L</v>
      </c>
      <c r="AB400" s="35" t="str">
        <f>IFERROR(INDEX(DL_L,MATCH($CA400,DL_KEY,0)),"M")</f>
        <v>L</v>
      </c>
      <c r="AC400" s="35" t="str">
        <f>IFERROR(INDEX(DL_BI,MATCH($CA400,DL_KEY,0)),"M")</f>
        <v>L</v>
      </c>
      <c r="AD400" s="35" t="str">
        <f>IFERROR(INDEX(DL_Exp,MATCH($CA400,DL_KEY,0)),"M")</f>
        <v>L</v>
      </c>
      <c r="AE400" s="35" t="str">
        <f>IFERROR(INDEX(DL_Edu,MATCH($CA400,DL_KEY,0)),"M")</f>
        <v>L</v>
      </c>
      <c r="AF400" s="34" t="inlineStr">
        <is>
          <t>M</t>
        </is>
      </c>
      <c r="AG400" s="35" t="inlineStr">
        <is>
          <t>M</t>
        </is>
      </c>
      <c r="AH400" s="35" t="inlineStr">
        <is>
          <t>M</t>
        </is>
      </c>
      <c r="AI400" s="35" t="inlineStr">
        <is>
          <t>M</t>
        </is>
      </c>
      <c r="AJ400" s="35" t="inlineStr">
        <is>
          <t>M</t>
        </is>
      </c>
      <c r="AK400" s="35" t="inlineStr">
        <is>
          <t>M</t>
        </is>
      </c>
      <c r="AL400" s="35" t="inlineStr">
        <is>
          <t>M</t>
        </is>
      </c>
      <c r="AM400" s="36" t="n">
        <v>0.513</v>
      </c>
      <c r="AN400" s="37" t="n">
        <v>0.173</v>
      </c>
      <c r="AO400" s="37" t="n">
        <v>0.09699999999999999</v>
      </c>
      <c r="AP400" s="37" t="n">
        <v>0.05</v>
      </c>
      <c r="AQ400" s="37" t="n">
        <v>0.07000000000000001</v>
      </c>
      <c r="AR400" s="37" t="n">
        <v>0.06</v>
      </c>
      <c r="AS400" s="37" t="n">
        <v>0.04</v>
      </c>
      <c r="AT400" s="38" t="inlineStr">
        <is>
          <t>4–8</t>
        </is>
      </c>
      <c r="AU400" s="38" t="inlineStr">
        <is>
          <t>Graduate + relevant qualification or certification preferred</t>
        </is>
      </c>
      <c r="AV400" s="38" t="inlineStr">
        <is>
          <t>IC: none · Team Lead: 3–5</t>
        </is>
      </c>
      <c r="AW400" s="38" t="inlineStr">
        <is>
          <t>P3 / M2 · SFIA 4 Enable</t>
        </is>
      </c>
      <c r="AX40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00" s="39" t="inlineStr">
        <is>
          <t>B1</t>
        </is>
      </c>
      <c r="AZ400" s="40" t="inlineStr">
        <is>
          <t>Band B · Specialist / Manager · Team Lead / Asst Manager</t>
        </is>
      </c>
      <c r="BA400" s="40" t="inlineStr">
        <is>
          <t>Model B1 from the six ratings, the market-derived weights and rules R1–R13 · then No change · already below the manager</t>
        </is>
      </c>
      <c r="BB400" s="41" t="inlineStr">
        <is>
          <t>B1</t>
        </is>
      </c>
      <c r="BC400" s="40" t="inlineStr">
        <is>
          <t>The six ratings on the market-average weights of Band B · Specialist / POD Lead score 3.55 → B1 · Hay, Mercer IPE and public plans · experience 15.6 yrs vs the B1 market range 4–8</t>
        </is>
      </c>
      <c r="BD400" s="42">
        <f>IF(SUM(BM400,BN400,BO400,BP400,BQ400,BR400,BS400)=0,0,(BM400*BT400+BN400*BU400+BO400*BV400+BP400*BW400+BQ400*BX400+BR400*BY400+BS400*BZ400)/SUM(BM400,BN400,BO400,BP400,BQ400,BR400,BS400))</f>
        <v>0</v>
      </c>
      <c r="BE400" s="41" t="str">
        <f>IF(LEFT(AY400,1)="X",AY400,IF(OR(AY400="B+",AY400="C+"),INDEX(LAD_PC,MAX(1,MIN(14,MATCH(AY400,LAD_PC,0)+IF(BD400&gt;=0.5,1,IF(BD400&lt;=-0.5,-1,0))))),INDEX(LAD_STD,MAX(1,MIN(12,MATCH(AY400,LAD_STD,0)+IF(BD400&gt;=0.5,1,IF(BD400&lt;=-0.5,-1,0)))))))</f>
        <v>B1</v>
      </c>
      <c r="BF400" s="43" t="n"/>
      <c r="BG400" s="41" t="str">
        <f>IF(BF400&lt;&gt;"",BF400,BE400)</f>
        <v>B1</v>
      </c>
      <c r="BH400" s="40" t="str">
        <f>IFERROR(CHOOSE(INDEX(B_RANK,MATCH(BG400,B_LVL,0)),"Band A","Band B","B+ · Player-Coach","Band C","C+ · Player-Coach","Band D","Band E"),"Band X · Consultant")</f>
        <v>Band B</v>
      </c>
      <c r="BI400" s="40" t="str">
        <f>IF(BG400=AY400,"• Same",IF(INDEX(B_VAL,MATCH(BG400,B_LVL,0))&gt;INDEX(B_VAL,MATCH(AY400,B_LVL,0)),"▲ Up","▼ Down"))</f>
        <v>• Same</v>
      </c>
      <c r="BJ400" s="40" t="str">
        <f>IF(OR($M400="",$M400="—",$M400="Not in this file"),"",IFERROR(INDEX($BG$7:$BG$592,MATCH($M400,$D$7:$D$592,0)),""))</f>
        <v>C2</v>
      </c>
      <c r="BK400" s="40" t="str">
        <f>IFERROR(IF(BJ400="","—",IF(OR(LEFT(BG400,1)="X",LEFT(BJ400,1)="X"),"—",IF(AND(LEFT(BG400,1)="E",LEFT(BJ400,1)="E"),"Exception · Band E",IF(AND(INDEX(B_VAL,MATCH(BJ400,B_LVL,0))&gt;=7,INDEX(B_RANK,MATCH(BG400,B_LVL,0))&gt;=INDEX(B_RANK,MATCH(BJ400,B_LVL,0))),"⚠ Same band as a head manager",IF(INDEX(B_VAL,MATCH(BG400,B_LVL,0))&gt;=INDEX(B_VAL,MATCH(BJ400,B_LVL,0)),"⚠ At or above the manager's level","OK"))))),"—")</f>
        <v>OK</v>
      </c>
      <c r="BL400" s="43" t="n"/>
      <c r="BM400" s="44">
        <f>IFERROR(INDEX(LMH_PTS,MATCH(Y400,LMH_KEY,0)),0)</f>
        <v>9</v>
      </c>
      <c r="BN400" s="38">
        <f>IFERROR(INDEX(LMH_PTS,MATCH(Z400,LMH_KEY,0)),0)</f>
        <v>3</v>
      </c>
      <c r="BO400" s="38">
        <f>IFERROR(INDEX(LMH_PTS,MATCH(AA400,LMH_KEY,0)),0)</f>
        <v>1</v>
      </c>
      <c r="BP400" s="38">
        <f>IFERROR(INDEX(LMH_PTS,MATCH(AB400,LMH_KEY,0)),0)</f>
        <v>1</v>
      </c>
      <c r="BQ400" s="38">
        <f>IFERROR(INDEX(LMH_PTS,MATCH(AC400,LMH_KEY,0)),0)</f>
        <v>1</v>
      </c>
      <c r="BR400" s="38">
        <f>IFERROR(INDEX(LMH_PTS,MATCH(AD400,LMH_KEY,0)),0)</f>
        <v>1</v>
      </c>
      <c r="BS400" s="38">
        <f>IFERROR(INDEX(LMH_PTS,MATCH(AE400,LMH_KEY,0)),0)</f>
        <v>1</v>
      </c>
      <c r="BT400" s="38">
        <f>IFERROR(INDEX(LMH_STEP,MATCH(AF400,LMH_KEY,0)),0)</f>
        <v>0</v>
      </c>
      <c r="BU400" s="38">
        <f>IFERROR(INDEX(LMH_STEP,MATCH(AG400,LMH_KEY,0)),0)</f>
        <v>0</v>
      </c>
      <c r="BV400" s="38">
        <f>IFERROR(INDEX(LMH_STEP,MATCH(AH400,LMH_KEY,0)),0)</f>
        <v>0</v>
      </c>
      <c r="BW400" s="38">
        <f>IFERROR(INDEX(LMH_STEP,MATCH(AI400,LMH_KEY,0)),0)</f>
        <v>0</v>
      </c>
      <c r="BX400" s="38">
        <f>IFERROR(INDEX(LMH_STEP,MATCH(AJ400,LMH_KEY,0)),0)</f>
        <v>0</v>
      </c>
      <c r="BY400" s="38">
        <f>IFERROR(INDEX(LMH_STEP,MATCH(AK400,LMH_KEY,0)),0)</f>
        <v>0</v>
      </c>
      <c r="BZ400" s="38">
        <f>IFERROR(INDEX(LMH_STEP,MATCH(AL400,LMH_KEY,0)),0)</f>
        <v>0</v>
      </c>
      <c r="CA400" s="38" t="inlineStr">
        <is>
          <t>iFile|Design|UI Specialist – POD Lead|B1|B-IC</t>
        </is>
      </c>
    </row>
    <row r="401" ht="110" customHeight="1">
      <c r="A401" s="28" t="inlineStr">
        <is>
          <t>iFile</t>
        </is>
      </c>
      <c r="B401" s="29" t="inlineStr">
        <is>
          <t>Design</t>
        </is>
      </c>
      <c r="C401" s="29" t="n">
        <v>4</v>
      </c>
      <c r="D401" s="29" t="inlineStr">
        <is>
          <t>IRIS2300</t>
        </is>
      </c>
      <c r="E401" s="29" t="inlineStr">
        <is>
          <t>Kishori Rajigare</t>
        </is>
      </c>
      <c r="F401" s="29" t="inlineStr">
        <is>
          <t>UI Developer</t>
        </is>
      </c>
      <c r="G401" s="29" t="inlineStr">
        <is>
          <t>Senior UI Developer</t>
        </is>
      </c>
      <c r="H401" s="29" t="inlineStr">
        <is>
          <t>Engineering &amp; Development</t>
        </is>
      </c>
      <c r="I401" s="29" t="inlineStr">
        <is>
          <t>Front-End / UI Development</t>
        </is>
      </c>
      <c r="J401" s="29" t="inlineStr">
        <is>
          <t>IC</t>
        </is>
      </c>
      <c r="K401" s="29" t="inlineStr">
        <is>
          <t>RC-081</t>
        </is>
      </c>
      <c r="L401" s="29" t="inlineStr">
        <is>
          <t>Rajeev Kumar</t>
        </is>
      </c>
      <c r="M401" s="29" t="inlineStr">
        <is>
          <t>IRIS1593</t>
        </is>
      </c>
      <c r="N401" s="29" t="n">
        <v>6.7</v>
      </c>
      <c r="O401" s="29" t="n">
        <v>2.1</v>
      </c>
      <c r="P401" s="29" t="inlineStr">
        <is>
          <t>B.SC</t>
        </is>
      </c>
      <c r="Q401" s="29" t="inlineStr">
        <is>
          <t>L3 – Professional / Associate</t>
        </is>
      </c>
      <c r="R401" s="29" t="inlineStr">
        <is>
          <t>A3</t>
        </is>
      </c>
      <c r="S401" s="30" t="inlineStr">
        <is>
          <t>20 of 20</t>
        </is>
      </c>
      <c r="T401" s="31" t="inlineStr">
        <is>
          <t>Complexity: Evidence reads like A2: Implements designs as responsive UI components: standard front-end work → matches the start
Autonomy: Evidence reads like A2: Decides UI implementation only → matches the start
Accountability: Evidence reads like A2: Quality of own UI deliverables → matches the start
Leadership: Evidence reads like A1: No guidance or …</t>
        </is>
      </c>
      <c r="U401" s="31" t="inlineStr">
        <is>
          <t>Received · manager annual, quarterly, self · 1. Ensure delivery of all assigned UI features/screens for iFile with &gt;=95% adherence to sprint commitments and design specs
2. Maintain high UI code quality - zero critical bugs post-release and &lt;=2 rework cycles per component on average
3. Improve page load/render performance of key UI modules by &gt;=15% · measured …</t>
        </is>
      </c>
      <c r="V401" s="31" t="inlineStr">
        <is>
          <t>Latest rating: 4 · Potential: High · 9-box: Future Leader · High Performance / High Potential · Readiness: Ready now</t>
        </is>
      </c>
      <c r="W401" s="31" t="inlineStr">
        <is>
          <t>C L · Au L · Ac L · L L · BI M · Exp H · 6.7 yrs vs 2–4 yrs · Edu M · B.SC</t>
        </is>
      </c>
      <c r="X401" s="33" t="inlineStr">
        <is>
          <t>Open ▸</t>
        </is>
      </c>
      <c r="Y401" s="34" t="str">
        <f>IFERROR(INDEX(DL_C,MATCH($CA401,DL_KEY,0)),"M")</f>
        <v>H</v>
      </c>
      <c r="Z401" s="35" t="str">
        <f>IFERROR(INDEX(DL_Au,MATCH($CA401,DL_KEY,0)),"M")</f>
        <v>M</v>
      </c>
      <c r="AA401" s="35" t="str">
        <f>IFERROR(INDEX(DL_Ac,MATCH($CA401,DL_KEY,0)),"M")</f>
        <v>L</v>
      </c>
      <c r="AB401" s="35" t="str">
        <f>IFERROR(INDEX(DL_L,MATCH($CA401,DL_KEY,0)),"M")</f>
        <v>L</v>
      </c>
      <c r="AC401" s="35" t="str">
        <f>IFERROR(INDEX(DL_BI,MATCH($CA401,DL_KEY,0)),"M")</f>
        <v>L</v>
      </c>
      <c r="AD401" s="35" t="str">
        <f>IFERROR(INDEX(DL_Exp,MATCH($CA401,DL_KEY,0)),"M")</f>
        <v>L</v>
      </c>
      <c r="AE401" s="35" t="str">
        <f>IFERROR(INDEX(DL_Edu,MATCH($CA401,DL_KEY,0)),"M")</f>
        <v>L</v>
      </c>
      <c r="AF401" s="34" t="inlineStr">
        <is>
          <t>M</t>
        </is>
      </c>
      <c r="AG401" s="35" t="inlineStr">
        <is>
          <t>M</t>
        </is>
      </c>
      <c r="AH401" s="35" t="inlineStr">
        <is>
          <t>M</t>
        </is>
      </c>
      <c r="AI401" s="35" t="inlineStr">
        <is>
          <t>M</t>
        </is>
      </c>
      <c r="AJ401" s="35" t="inlineStr">
        <is>
          <t>M</t>
        </is>
      </c>
      <c r="AK401" s="35" t="inlineStr">
        <is>
          <t>M</t>
        </is>
      </c>
      <c r="AL401" s="35" t="inlineStr">
        <is>
          <t>M</t>
        </is>
      </c>
      <c r="AM401" s="36" t="n">
        <v>0.583</v>
      </c>
      <c r="AN401" s="37" t="n">
        <v>0.16</v>
      </c>
      <c r="AO401" s="37" t="n">
        <v>0.09</v>
      </c>
      <c r="AP401" s="37" t="n">
        <v>0</v>
      </c>
      <c r="AQ401" s="37" t="n">
        <v>0.063</v>
      </c>
      <c r="AR401" s="37" t="n">
        <v>0.06</v>
      </c>
      <c r="AS401" s="37" t="n">
        <v>0.04</v>
      </c>
      <c r="AT401" s="38" t="inlineStr">
        <is>
          <t>2–5</t>
        </is>
      </c>
      <c r="AU401" s="38" t="inlineStr">
        <is>
          <t>Graduate; relevant certification preferred</t>
        </is>
      </c>
      <c r="AV401" s="38" t="inlineStr">
        <is>
          <t>None · guides 1–3 juniors informally</t>
        </is>
      </c>
      <c r="AW401" s="38" t="inlineStr">
        <is>
          <t>P2 · SFIA 3 Apply</t>
        </is>
      </c>
      <c r="AX40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01" s="39" t="inlineStr">
        <is>
          <t>A3</t>
        </is>
      </c>
      <c r="AZ401" s="40" t="inlineStr">
        <is>
          <t>Band A · Practitioner · Senior Associate</t>
        </is>
      </c>
      <c r="BA401" s="40" t="inlineStr">
        <is>
          <t>Model A3 from the six ratings, the market-derived weights and rules R1–R13 · then No change · already below the manager</t>
        </is>
      </c>
      <c r="BB401" s="41" t="inlineStr">
        <is>
          <t>A2</t>
        </is>
      </c>
      <c r="BC401" s="40" t="inlineStr">
        <is>
          <t>The six ratings on the market-average weights of Band A · all tracks score 2.28 → A2 · Hay, Mercer IPE and public plans · experience 6.7 yrs vs the A2 market range 0–3</t>
        </is>
      </c>
      <c r="BD401" s="42">
        <f>IF(SUM(BM401,BN401,BO401,BP401,BQ401,BR401,BS401)=0,0,(BM401*BT401+BN401*BU401+BO401*BV401+BP401*BW401+BQ401*BX401+BR401*BY401+BS401*BZ401)/SUM(BM401,BN401,BO401,BP401,BQ401,BR401,BS401))</f>
        <v>0</v>
      </c>
      <c r="BE401" s="41" t="str">
        <f>IF(LEFT(AY401,1)="X",AY401,IF(OR(AY401="B+",AY401="C+"),INDEX(LAD_PC,MAX(1,MIN(14,MATCH(AY401,LAD_PC,0)+IF(BD401&gt;=0.5,1,IF(BD401&lt;=-0.5,-1,0))))),INDEX(LAD_STD,MAX(1,MIN(12,MATCH(AY401,LAD_STD,0)+IF(BD401&gt;=0.5,1,IF(BD401&lt;=-0.5,-1,0)))))))</f>
        <v>A3</v>
      </c>
      <c r="BF401" s="43" t="n"/>
      <c r="BG401" s="41" t="str">
        <f>IF(BF401&lt;&gt;"",BF401,BE401)</f>
        <v>A3</v>
      </c>
      <c r="BH401" s="40" t="str">
        <f>IFERROR(CHOOSE(INDEX(B_RANK,MATCH(BG401,B_LVL,0)),"Band A","Band B","B+ · Player-Coach","Band C","C+ · Player-Coach","Band D","Band E"),"Band X · Consultant")</f>
        <v>Band A</v>
      </c>
      <c r="BI401" s="40" t="str">
        <f>IF(BG401=AY401,"• Same",IF(INDEX(B_VAL,MATCH(BG401,B_LVL,0))&gt;INDEX(B_VAL,MATCH(AY401,B_LVL,0)),"▲ Up","▼ Down"))</f>
        <v>• Same</v>
      </c>
      <c r="BJ401" s="40" t="str">
        <f>IF(OR($M401="",$M401="—",$M401="Not in this file"),"",IFERROR(INDEX($BG$7:$BG$592,MATCH($M401,$D$7:$D$592,0)),""))</f>
        <v>B1</v>
      </c>
      <c r="BK401" s="40" t="str">
        <f>IFERROR(IF(BJ401="","—",IF(OR(LEFT(BG401,1)="X",LEFT(BJ401,1)="X"),"—",IF(AND(LEFT(BG401,1)="E",LEFT(BJ401,1)="E"),"Exception · Band E",IF(AND(INDEX(B_VAL,MATCH(BJ401,B_LVL,0))&gt;=7,INDEX(B_RANK,MATCH(BG401,B_LVL,0))&gt;=INDEX(B_RANK,MATCH(BJ401,B_LVL,0))),"⚠ Same band as a head manager",IF(INDEX(B_VAL,MATCH(BG401,B_LVL,0))&gt;=INDEX(B_VAL,MATCH(BJ401,B_LVL,0)),"⚠ At or above the manager's level","OK"))))),"—")</f>
        <v>OK</v>
      </c>
      <c r="BL401" s="43" t="n"/>
      <c r="BM401" s="44">
        <f>IFERROR(INDEX(LMH_PTS,MATCH(Y401,LMH_KEY,0)),0)</f>
        <v>9</v>
      </c>
      <c r="BN401" s="38">
        <f>IFERROR(INDEX(LMH_PTS,MATCH(Z401,LMH_KEY,0)),0)</f>
        <v>3</v>
      </c>
      <c r="BO401" s="38">
        <f>IFERROR(INDEX(LMH_PTS,MATCH(AA401,LMH_KEY,0)),0)</f>
        <v>1</v>
      </c>
      <c r="BP401" s="38">
        <f>IFERROR(INDEX(LMH_PTS,MATCH(AB401,LMH_KEY,0)),0)</f>
        <v>1</v>
      </c>
      <c r="BQ401" s="38">
        <f>IFERROR(INDEX(LMH_PTS,MATCH(AC401,LMH_KEY,0)),0)</f>
        <v>1</v>
      </c>
      <c r="BR401" s="38">
        <f>IFERROR(INDEX(LMH_PTS,MATCH(AD401,LMH_KEY,0)),0)</f>
        <v>1</v>
      </c>
      <c r="BS401" s="38">
        <f>IFERROR(INDEX(LMH_PTS,MATCH(AE401,LMH_KEY,0)),0)</f>
        <v>1</v>
      </c>
      <c r="BT401" s="38">
        <f>IFERROR(INDEX(LMH_STEP,MATCH(AF401,LMH_KEY,0)),0)</f>
        <v>0</v>
      </c>
      <c r="BU401" s="38">
        <f>IFERROR(INDEX(LMH_STEP,MATCH(AG401,LMH_KEY,0)),0)</f>
        <v>0</v>
      </c>
      <c r="BV401" s="38">
        <f>IFERROR(INDEX(LMH_STEP,MATCH(AH401,LMH_KEY,0)),0)</f>
        <v>0</v>
      </c>
      <c r="BW401" s="38">
        <f>IFERROR(INDEX(LMH_STEP,MATCH(AI401,LMH_KEY,0)),0)</f>
        <v>0</v>
      </c>
      <c r="BX401" s="38">
        <f>IFERROR(INDEX(LMH_STEP,MATCH(AJ401,LMH_KEY,0)),0)</f>
        <v>0</v>
      </c>
      <c r="BY401" s="38">
        <f>IFERROR(INDEX(LMH_STEP,MATCH(AK401,LMH_KEY,0)),0)</f>
        <v>0</v>
      </c>
      <c r="BZ401" s="38">
        <f>IFERROR(INDEX(LMH_STEP,MATCH(AL401,LMH_KEY,0)),0)</f>
        <v>0</v>
      </c>
      <c r="CA401" s="38" t="inlineStr">
        <is>
          <t>iFile|Design|Senior UI Developer|A3|A</t>
        </is>
      </c>
    </row>
    <row r="402" ht="110" customHeight="1">
      <c r="A402" s="28" t="inlineStr">
        <is>
          <t>iFile</t>
        </is>
      </c>
      <c r="B402" s="29" t="inlineStr">
        <is>
          <t>Technology</t>
        </is>
      </c>
      <c r="C402" s="29" t="n">
        <v>3</v>
      </c>
      <c r="D402" s="29" t="inlineStr">
        <is>
          <t>IRIS1955</t>
        </is>
      </c>
      <c r="E402" s="29" t="inlineStr">
        <is>
          <t>Akbar Basha</t>
        </is>
      </c>
      <c r="F402" s="29" t="inlineStr">
        <is>
          <t>Senior Software Engineer</t>
        </is>
      </c>
      <c r="G402" s="29" t="inlineStr">
        <is>
          <t>Senior Database Engineer</t>
        </is>
      </c>
      <c r="H402" s="29" t="inlineStr">
        <is>
          <t>Engineering &amp; Development</t>
        </is>
      </c>
      <c r="I402" s="29" t="inlineStr">
        <is>
          <t>Data Engineering &amp; Database Development</t>
        </is>
      </c>
      <c r="J402" s="29" t="inlineStr">
        <is>
          <t>IC</t>
        </is>
      </c>
      <c r="K402" s="29" t="inlineStr">
        <is>
          <t>RC-074</t>
        </is>
      </c>
      <c r="L402" s="29" t="inlineStr">
        <is>
          <t>Pradip Dey</t>
        </is>
      </c>
      <c r="M402" s="29" t="inlineStr">
        <is>
          <t>IRISC223</t>
        </is>
      </c>
      <c r="N402" s="29" t="n">
        <v>8</v>
      </c>
      <c r="O402" s="29" t="n">
        <v>5</v>
      </c>
      <c r="P402" s="29" t="inlineStr">
        <is>
          <t>B.SC</t>
        </is>
      </c>
      <c r="Q402" s="29" t="inlineStr">
        <is>
          <t>L4 – Senior</t>
        </is>
      </c>
      <c r="R402" s="29" t="inlineStr">
        <is>
          <t>A3</t>
        </is>
      </c>
      <c r="S402" s="30" t="inlineStr">
        <is>
          <t>20 of 20</t>
        </is>
      </c>
      <c r="T402" s="31" t="inlineStr">
        <is>
          <t>Complexity: Evidence reads like A3: Builds AI/LLM solutions and POCs, supports RFP solutions, tests and deploys them → matches the start
Autonomy: Evidence reads like A3: Decides technical approach and fixes within agreed scope; major changes go to the manager → matches the start
Accountability: Evidence reads like A3: Quality and delivery of assigned AI …</t>
        </is>
      </c>
      <c r="U402" s="32" t="inlineStr">
        <is>
          <t>KRAs not received · manager to supply</t>
        </is>
      </c>
      <c r="V402" s="31" t="inlineStr">
        <is>
          <t>Latest rating: Not rated · manager · 9-box: Not placed · manager · Readiness: No rating data</t>
        </is>
      </c>
      <c r="W402" s="31" t="inlineStr">
        <is>
          <t>C M · Au M · Ac M · L M · BI M · Exp H · 8 yrs vs 2–4 yrs · Edu M · B.SC</t>
        </is>
      </c>
      <c r="X402" s="33" t="inlineStr">
        <is>
          <t>Open ▸</t>
        </is>
      </c>
      <c r="Y402" s="34" t="str">
        <f>IFERROR(INDEX(DL_C,MATCH($CA402,DL_KEY,0)),"M")</f>
        <v>H</v>
      </c>
      <c r="Z402" s="35" t="str">
        <f>IFERROR(INDEX(DL_Au,MATCH($CA402,DL_KEY,0)),"M")</f>
        <v>M</v>
      </c>
      <c r="AA402" s="35" t="str">
        <f>IFERROR(INDEX(DL_Ac,MATCH($CA402,DL_KEY,0)),"M")</f>
        <v>L</v>
      </c>
      <c r="AB402" s="35" t="str">
        <f>IFERROR(INDEX(DL_L,MATCH($CA402,DL_KEY,0)),"M")</f>
        <v>L</v>
      </c>
      <c r="AC402" s="35" t="str">
        <f>IFERROR(INDEX(DL_BI,MATCH($CA402,DL_KEY,0)),"M")</f>
        <v>L</v>
      </c>
      <c r="AD402" s="35" t="str">
        <f>IFERROR(INDEX(DL_Exp,MATCH($CA402,DL_KEY,0)),"M")</f>
        <v>L</v>
      </c>
      <c r="AE402" s="35" t="str">
        <f>IFERROR(INDEX(DL_Edu,MATCH($CA402,DL_KEY,0)),"M")</f>
        <v>L</v>
      </c>
      <c r="AF402" s="34" t="inlineStr">
        <is>
          <t>M</t>
        </is>
      </c>
      <c r="AG402" s="35" t="inlineStr">
        <is>
          <t>M</t>
        </is>
      </c>
      <c r="AH402" s="35" t="inlineStr">
        <is>
          <t>M</t>
        </is>
      </c>
      <c r="AI402" s="35" t="inlineStr">
        <is>
          <t>M</t>
        </is>
      </c>
      <c r="AJ402" s="35" t="inlineStr">
        <is>
          <t>M</t>
        </is>
      </c>
      <c r="AK402" s="35" t="inlineStr">
        <is>
          <t>M</t>
        </is>
      </c>
      <c r="AL402" s="35" t="inlineStr">
        <is>
          <t>M</t>
        </is>
      </c>
      <c r="AM402" s="36" t="n">
        <v>0.583</v>
      </c>
      <c r="AN402" s="37" t="n">
        <v>0.16</v>
      </c>
      <c r="AO402" s="37" t="n">
        <v>0.09</v>
      </c>
      <c r="AP402" s="37" t="n">
        <v>0</v>
      </c>
      <c r="AQ402" s="37" t="n">
        <v>0.063</v>
      </c>
      <c r="AR402" s="37" t="n">
        <v>0.06</v>
      </c>
      <c r="AS402" s="37" t="n">
        <v>0.04</v>
      </c>
      <c r="AT402" s="38" t="inlineStr">
        <is>
          <t>2–5</t>
        </is>
      </c>
      <c r="AU402" s="38" t="inlineStr">
        <is>
          <t>Graduate; relevant certification preferred</t>
        </is>
      </c>
      <c r="AV402" s="38" t="inlineStr">
        <is>
          <t>None · guides 1–3 juniors informally</t>
        </is>
      </c>
      <c r="AW402" s="38" t="inlineStr">
        <is>
          <t>P2 · SFIA 3 Apply</t>
        </is>
      </c>
      <c r="AX40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02" s="39" t="inlineStr">
        <is>
          <t>A3</t>
        </is>
      </c>
      <c r="AZ402" s="40" t="inlineStr">
        <is>
          <t>Band A · Practitioner · Senior Associate</t>
        </is>
      </c>
      <c r="BA402" s="40" t="inlineStr">
        <is>
          <t>Model A3 from the six ratings, the market-derived weights and rules R1–R13 · then No change · already below the manager</t>
        </is>
      </c>
      <c r="BB402" s="41" t="inlineStr">
        <is>
          <t>A3</t>
        </is>
      </c>
      <c r="BC402" s="40" t="inlineStr">
        <is>
          <t>The six ratings on the market-average weights of Band A · all tracks score 3.20 → A3 · Hay, Mercer IPE and public plans · experience 8 yrs vs the A3 market range 2–5</t>
        </is>
      </c>
      <c r="BD402" s="42">
        <f>IF(SUM(BM402,BN402,BO402,BP402,BQ402,BR402,BS402)=0,0,(BM402*BT402+BN402*BU402+BO402*BV402+BP402*BW402+BQ402*BX402+BR402*BY402+BS402*BZ402)/SUM(BM402,BN402,BO402,BP402,BQ402,BR402,BS402))</f>
        <v>0</v>
      </c>
      <c r="BE402" s="41" t="str">
        <f>IF(LEFT(AY402,1)="X",AY402,IF(OR(AY402="B+",AY402="C+"),INDEX(LAD_PC,MAX(1,MIN(14,MATCH(AY402,LAD_PC,0)+IF(BD402&gt;=0.5,1,IF(BD402&lt;=-0.5,-1,0))))),INDEX(LAD_STD,MAX(1,MIN(12,MATCH(AY402,LAD_STD,0)+IF(BD402&gt;=0.5,1,IF(BD402&lt;=-0.5,-1,0)))))))</f>
        <v>A3</v>
      </c>
      <c r="BF402" s="43" t="n"/>
      <c r="BG402" s="41" t="str">
        <f>IF(BF402&lt;&gt;"",BF402,BE402)</f>
        <v>A3</v>
      </c>
      <c r="BH402" s="40" t="str">
        <f>IFERROR(CHOOSE(INDEX(B_RANK,MATCH(BG402,B_LVL,0)),"Band A","Band B","B+ · Player-Coach","Band C","C+ · Player-Coach","Band D","Band E"),"Band X · Consultant")</f>
        <v>Band A</v>
      </c>
      <c r="BI402" s="40" t="str">
        <f>IF(BG402=AY402,"• Same",IF(INDEX(B_VAL,MATCH(BG402,B_LVL,0))&gt;INDEX(B_VAL,MATCH(AY402,B_LVL,0)),"▲ Up","▼ Down"))</f>
        <v>• Same</v>
      </c>
      <c r="BJ402" s="40" t="str">
        <f>IF(OR($M402="",$M402="—",$M402="Not in this file"),"",IFERROR(INDEX($BG$7:$BG$592,MATCH($M402,$D$7:$D$592,0)),""))</f>
        <v>C2</v>
      </c>
      <c r="BK402" s="40" t="str">
        <f>IFERROR(IF(BJ402="","—",IF(OR(LEFT(BG402,1)="X",LEFT(BJ402,1)="X"),"—",IF(AND(LEFT(BG402,1)="E",LEFT(BJ402,1)="E"),"Exception · Band E",IF(AND(INDEX(B_VAL,MATCH(BJ402,B_LVL,0))&gt;=7,INDEX(B_RANK,MATCH(BG402,B_LVL,0))&gt;=INDEX(B_RANK,MATCH(BJ402,B_LVL,0))),"⚠ Same band as a head manager",IF(INDEX(B_VAL,MATCH(BG402,B_LVL,0))&gt;=INDEX(B_VAL,MATCH(BJ402,B_LVL,0)),"⚠ At or above the manager's level","OK"))))),"—")</f>
        <v>OK</v>
      </c>
      <c r="BL402" s="43" t="n"/>
      <c r="BM402" s="44">
        <f>IFERROR(INDEX(LMH_PTS,MATCH(Y402,LMH_KEY,0)),0)</f>
        <v>9</v>
      </c>
      <c r="BN402" s="38">
        <f>IFERROR(INDEX(LMH_PTS,MATCH(Z402,LMH_KEY,0)),0)</f>
        <v>3</v>
      </c>
      <c r="BO402" s="38">
        <f>IFERROR(INDEX(LMH_PTS,MATCH(AA402,LMH_KEY,0)),0)</f>
        <v>1</v>
      </c>
      <c r="BP402" s="38">
        <f>IFERROR(INDEX(LMH_PTS,MATCH(AB402,LMH_KEY,0)),0)</f>
        <v>1</v>
      </c>
      <c r="BQ402" s="38">
        <f>IFERROR(INDEX(LMH_PTS,MATCH(AC402,LMH_KEY,0)),0)</f>
        <v>1</v>
      </c>
      <c r="BR402" s="38">
        <f>IFERROR(INDEX(LMH_PTS,MATCH(AD402,LMH_KEY,0)),0)</f>
        <v>1</v>
      </c>
      <c r="BS402" s="38">
        <f>IFERROR(INDEX(LMH_PTS,MATCH(AE402,LMH_KEY,0)),0)</f>
        <v>1</v>
      </c>
      <c r="BT402" s="38">
        <f>IFERROR(INDEX(LMH_STEP,MATCH(AF402,LMH_KEY,0)),0)</f>
        <v>0</v>
      </c>
      <c r="BU402" s="38">
        <f>IFERROR(INDEX(LMH_STEP,MATCH(AG402,LMH_KEY,0)),0)</f>
        <v>0</v>
      </c>
      <c r="BV402" s="38">
        <f>IFERROR(INDEX(LMH_STEP,MATCH(AH402,LMH_KEY,0)),0)</f>
        <v>0</v>
      </c>
      <c r="BW402" s="38">
        <f>IFERROR(INDEX(LMH_STEP,MATCH(AI402,LMH_KEY,0)),0)</f>
        <v>0</v>
      </c>
      <c r="BX402" s="38">
        <f>IFERROR(INDEX(LMH_STEP,MATCH(AJ402,LMH_KEY,0)),0)</f>
        <v>0</v>
      </c>
      <c r="BY402" s="38">
        <f>IFERROR(INDEX(LMH_STEP,MATCH(AK402,LMH_KEY,0)),0)</f>
        <v>0</v>
      </c>
      <c r="BZ402" s="38">
        <f>IFERROR(INDEX(LMH_STEP,MATCH(AL402,LMH_KEY,0)),0)</f>
        <v>0</v>
      </c>
      <c r="CA402" s="38" t="inlineStr">
        <is>
          <t>iFile|Technology|Senior Database Engineer|A3|A</t>
        </is>
      </c>
    </row>
    <row r="403" ht="110" customHeight="1">
      <c r="A403" s="28" t="inlineStr">
        <is>
          <t>iFile</t>
        </is>
      </c>
      <c r="B403" s="29" t="inlineStr">
        <is>
          <t>Technology</t>
        </is>
      </c>
      <c r="C403" s="29" t="n">
        <v>4</v>
      </c>
      <c r="D403" s="29" t="inlineStr">
        <is>
          <t>IRIS2484</t>
        </is>
      </c>
      <c r="E403" s="29" t="inlineStr">
        <is>
          <t>Vinay Gajula</t>
        </is>
      </c>
      <c r="F403" s="29" t="inlineStr">
        <is>
          <t>Trainee Software Engineer</t>
        </is>
      </c>
      <c r="G403" s="29" t="inlineStr">
        <is>
          <t>Trainee AI/ML Engineer</t>
        </is>
      </c>
      <c r="H403" s="29" t="inlineStr">
        <is>
          <t>Engineering &amp; Development</t>
        </is>
      </c>
      <c r="I403" s="29" t="inlineStr">
        <is>
          <t>AI / ML &amp; GenAI Engineering</t>
        </is>
      </c>
      <c r="J403" s="29" t="inlineStr">
        <is>
          <t>IC</t>
        </is>
      </c>
      <c r="K403" s="29" t="inlineStr">
        <is>
          <t>RC-058</t>
        </is>
      </c>
      <c r="L403" s="29" t="inlineStr">
        <is>
          <t>Akbar Basha</t>
        </is>
      </c>
      <c r="M403" s="29" t="inlineStr">
        <is>
          <t>IRIS1955</t>
        </is>
      </c>
      <c r="N403" s="29" t="n">
        <v>0.6</v>
      </c>
      <c r="O403" s="29" t="n">
        <v>0.6</v>
      </c>
      <c r="P403" s="29" t="inlineStr">
        <is>
          <t>B.E</t>
        </is>
      </c>
      <c r="Q403" s="29" t="inlineStr">
        <is>
          <t>Not in current mapping files</t>
        </is>
      </c>
      <c r="R403" s="29" t="inlineStr">
        <is>
          <t>A1</t>
        </is>
      </c>
      <c r="S403" s="30" t="inlineStr">
        <is>
          <t>20 of 20</t>
        </is>
      </c>
      <c r="T403" s="32" t="inlineStr">
        <is>
          <t>Full survey answers not in the files received · How We Grow export needed · HR</t>
        </is>
      </c>
      <c r="U403" s="32" t="inlineStr">
        <is>
          <t>KRAs not received · manager to supply</t>
        </is>
      </c>
      <c r="V403" s="31" t="inlineStr">
        <is>
          <t>Latest rating: Not rated · manager · 9-box: Not placed · manager · Readiness: No rating data</t>
        </is>
      </c>
      <c r="W403" s="31" t="inlineStr">
        <is>
          <t>C — · Au — · Ac — · L — · BI — · Exp H · 0.6 yrs vs 0 yrs · fresher / intern · Edu M · B.E</t>
        </is>
      </c>
      <c r="X403" s="33" t="inlineStr">
        <is>
          <t>Open ▸</t>
        </is>
      </c>
      <c r="Y403" s="34" t="str">
        <f>IFERROR(INDEX(DL_C,MATCH($CA403,DL_KEY,0)),"M")</f>
        <v>H</v>
      </c>
      <c r="Z403" s="35" t="str">
        <f>IFERROR(INDEX(DL_Au,MATCH($CA403,DL_KEY,0)),"M")</f>
        <v>M</v>
      </c>
      <c r="AA403" s="35" t="str">
        <f>IFERROR(INDEX(DL_Ac,MATCH($CA403,DL_KEY,0)),"M")</f>
        <v>L</v>
      </c>
      <c r="AB403" s="35" t="str">
        <f>IFERROR(INDEX(DL_L,MATCH($CA403,DL_KEY,0)),"M")</f>
        <v>L</v>
      </c>
      <c r="AC403" s="35" t="str">
        <f>IFERROR(INDEX(DL_BI,MATCH($CA403,DL_KEY,0)),"M")</f>
        <v>L</v>
      </c>
      <c r="AD403" s="35" t="str">
        <f>IFERROR(INDEX(DL_Exp,MATCH($CA403,DL_KEY,0)),"M")</f>
        <v>L</v>
      </c>
      <c r="AE403" s="35" t="str">
        <f>IFERROR(INDEX(DL_Edu,MATCH($CA403,DL_KEY,0)),"M")</f>
        <v>L</v>
      </c>
      <c r="AF403" s="34" t="inlineStr">
        <is>
          <t>M</t>
        </is>
      </c>
      <c r="AG403" s="35" t="inlineStr">
        <is>
          <t>M</t>
        </is>
      </c>
      <c r="AH403" s="35" t="inlineStr">
        <is>
          <t>M</t>
        </is>
      </c>
      <c r="AI403" s="35" t="inlineStr">
        <is>
          <t>M</t>
        </is>
      </c>
      <c r="AJ403" s="35" t="inlineStr">
        <is>
          <t>M</t>
        </is>
      </c>
      <c r="AK403" s="35" t="inlineStr">
        <is>
          <t>M</t>
        </is>
      </c>
      <c r="AL403" s="35" t="inlineStr">
        <is>
          <t>M</t>
        </is>
      </c>
      <c r="AM403" s="36" t="n">
        <v>0.583</v>
      </c>
      <c r="AN403" s="37" t="n">
        <v>0.16</v>
      </c>
      <c r="AO403" s="37" t="n">
        <v>0.09</v>
      </c>
      <c r="AP403" s="37" t="n">
        <v>0</v>
      </c>
      <c r="AQ403" s="37" t="n">
        <v>0.063</v>
      </c>
      <c r="AR403" s="37" t="n">
        <v>0.06</v>
      </c>
      <c r="AS403" s="37" t="n">
        <v>0.04</v>
      </c>
      <c r="AT403" s="38" t="inlineStr">
        <is>
          <t>0 yrs · fresher / intern</t>
        </is>
      </c>
      <c r="AU403" s="38" t="inlineStr">
        <is>
          <t>Pursuing or completed graduation / diploma</t>
        </is>
      </c>
      <c r="AV403" s="38" t="inlineStr">
        <is>
          <t>No direct reports</t>
        </is>
      </c>
      <c r="AW403" s="38" t="inlineStr">
        <is>
          <t>Entry / P1 · intern · SFIA 1 Follow</t>
        </is>
      </c>
      <c r="AX40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03" s="39" t="inlineStr">
        <is>
          <t>A1</t>
        </is>
      </c>
      <c r="AZ403" s="40" t="inlineStr">
        <is>
          <t>Band A · Practitioner · Intern / Trainee</t>
        </is>
      </c>
      <c r="BA403" s="40" t="inlineStr">
        <is>
          <t>Model A1 from the six ratings, the market-derived weights and rules R1–R13 · then No change · already below the manager</t>
        </is>
      </c>
      <c r="BB403" s="41" t="inlineStr">
        <is>
          <t>A1</t>
        </is>
      </c>
      <c r="BC403" s="40" t="inlineStr">
        <is>
          <t>Placed by a category rule — no full set of ratings · benchmark follows the HR proposed level</t>
        </is>
      </c>
      <c r="BD403" s="42">
        <f>IF(SUM(BM403,BN403,BO403,BP403,BQ403,BR403,BS403)=0,0,(BM403*BT403+BN403*BU403+BO403*BV403+BP403*BW403+BQ403*BX403+BR403*BY403+BS403*BZ403)/SUM(BM403,BN403,BO403,BP403,BQ403,BR403,BS403))</f>
        <v>0</v>
      </c>
      <c r="BE403" s="41" t="str">
        <f>IF(LEFT(AY403,1)="X",AY403,IF(OR(AY403="B+",AY403="C+"),INDEX(LAD_PC,MAX(1,MIN(14,MATCH(AY403,LAD_PC,0)+IF(BD403&gt;=0.5,1,IF(BD403&lt;=-0.5,-1,0))))),INDEX(LAD_STD,MAX(1,MIN(12,MATCH(AY403,LAD_STD,0)+IF(BD403&gt;=0.5,1,IF(BD403&lt;=-0.5,-1,0)))))))</f>
        <v>A1</v>
      </c>
      <c r="BF403" s="43" t="n"/>
      <c r="BG403" s="41" t="str">
        <f>IF(BF403&lt;&gt;"",BF403,BE403)</f>
        <v>A1</v>
      </c>
      <c r="BH403" s="40" t="str">
        <f>IFERROR(CHOOSE(INDEX(B_RANK,MATCH(BG403,B_LVL,0)),"Band A","Band B","B+ · Player-Coach","Band C","C+ · Player-Coach","Band D","Band E"),"Band X · Consultant")</f>
        <v>Band A</v>
      </c>
      <c r="BI403" s="40" t="str">
        <f>IF(BG403=AY403,"• Same",IF(INDEX(B_VAL,MATCH(BG403,B_LVL,0))&gt;INDEX(B_VAL,MATCH(AY403,B_LVL,0)),"▲ Up","▼ Down"))</f>
        <v>• Same</v>
      </c>
      <c r="BJ403" s="40" t="str">
        <f>IF(OR($M403="",$M403="—",$M403="Not in this file"),"",IFERROR(INDEX($BG$7:$BG$592,MATCH($M403,$D$7:$D$592,0)),""))</f>
        <v>A3</v>
      </c>
      <c r="BK403" s="40" t="str">
        <f>IFERROR(IF(BJ403="","—",IF(OR(LEFT(BG403,1)="X",LEFT(BJ403,1)="X"),"—",IF(AND(LEFT(BG403,1)="E",LEFT(BJ403,1)="E"),"Exception · Band E",IF(AND(INDEX(B_VAL,MATCH(BJ403,B_LVL,0))&gt;=7,INDEX(B_RANK,MATCH(BG403,B_LVL,0))&gt;=INDEX(B_RANK,MATCH(BJ403,B_LVL,0))),"⚠ Same band as a head manager",IF(INDEX(B_VAL,MATCH(BG403,B_LVL,0))&gt;=INDEX(B_VAL,MATCH(BJ403,B_LVL,0)),"⚠ At or above the manager's level","OK"))))),"—")</f>
        <v>OK</v>
      </c>
      <c r="BL403" s="43" t="n"/>
      <c r="BM403" s="44">
        <f>IFERROR(INDEX(LMH_PTS,MATCH(Y403,LMH_KEY,0)),0)</f>
        <v>9</v>
      </c>
      <c r="BN403" s="38">
        <f>IFERROR(INDEX(LMH_PTS,MATCH(Z403,LMH_KEY,0)),0)</f>
        <v>3</v>
      </c>
      <c r="BO403" s="38">
        <f>IFERROR(INDEX(LMH_PTS,MATCH(AA403,LMH_KEY,0)),0)</f>
        <v>1</v>
      </c>
      <c r="BP403" s="38">
        <f>IFERROR(INDEX(LMH_PTS,MATCH(AB403,LMH_KEY,0)),0)</f>
        <v>1</v>
      </c>
      <c r="BQ403" s="38">
        <f>IFERROR(INDEX(LMH_PTS,MATCH(AC403,LMH_KEY,0)),0)</f>
        <v>1</v>
      </c>
      <c r="BR403" s="38">
        <f>IFERROR(INDEX(LMH_PTS,MATCH(AD403,LMH_KEY,0)),0)</f>
        <v>1</v>
      </c>
      <c r="BS403" s="38">
        <f>IFERROR(INDEX(LMH_PTS,MATCH(AE403,LMH_KEY,0)),0)</f>
        <v>1</v>
      </c>
      <c r="BT403" s="38">
        <f>IFERROR(INDEX(LMH_STEP,MATCH(AF403,LMH_KEY,0)),0)</f>
        <v>0</v>
      </c>
      <c r="BU403" s="38">
        <f>IFERROR(INDEX(LMH_STEP,MATCH(AG403,LMH_KEY,0)),0)</f>
        <v>0</v>
      </c>
      <c r="BV403" s="38">
        <f>IFERROR(INDEX(LMH_STEP,MATCH(AH403,LMH_KEY,0)),0)</f>
        <v>0</v>
      </c>
      <c r="BW403" s="38">
        <f>IFERROR(INDEX(LMH_STEP,MATCH(AI403,LMH_KEY,0)),0)</f>
        <v>0</v>
      </c>
      <c r="BX403" s="38">
        <f>IFERROR(INDEX(LMH_STEP,MATCH(AJ403,LMH_KEY,0)),0)</f>
        <v>0</v>
      </c>
      <c r="BY403" s="38">
        <f>IFERROR(INDEX(LMH_STEP,MATCH(AK403,LMH_KEY,0)),0)</f>
        <v>0</v>
      </c>
      <c r="BZ403" s="38">
        <f>IFERROR(INDEX(LMH_STEP,MATCH(AL403,LMH_KEY,0)),0)</f>
        <v>0</v>
      </c>
      <c r="CA403" s="38" t="inlineStr">
        <is>
          <t>iFile|Technology|Trainee AI/ML Engineer|A1|A</t>
        </is>
      </c>
    </row>
    <row r="404" ht="110" customHeight="1">
      <c r="A404" s="28" t="inlineStr">
        <is>
          <t>iFile</t>
        </is>
      </c>
      <c r="B404" s="29" t="inlineStr">
        <is>
          <t>Sales</t>
        </is>
      </c>
      <c r="C404" s="29" t="n">
        <v>2</v>
      </c>
      <c r="D404" s="29" t="inlineStr">
        <is>
          <t>IRIS1982</t>
        </is>
      </c>
      <c r="E404" s="29" t="inlineStr">
        <is>
          <t>Apurva Kirtikar</t>
        </is>
      </c>
      <c r="F404" s="29" t="inlineStr">
        <is>
          <t>Senior Manager- Pre sales</t>
        </is>
      </c>
      <c r="G404" s="29" t="inlineStr">
        <is>
          <t>Senior Account Executive – POD Lead</t>
        </is>
      </c>
      <c r="H404" s="29" t="inlineStr">
        <is>
          <t>Sales &amp; Business Development</t>
        </is>
      </c>
      <c r="I404" s="29" t="inlineStr">
        <is>
          <t>Sales Leadership</t>
        </is>
      </c>
      <c r="J404" s="29" t="inlineStr">
        <is>
          <t>POD Lead</t>
        </is>
      </c>
      <c r="K404" s="29" t="inlineStr">
        <is>
          <t>RC-168</t>
        </is>
      </c>
      <c r="L404" s="29" t="inlineStr">
        <is>
          <t>Shailesh Gupta</t>
        </is>
      </c>
      <c r="M404" s="29" t="inlineStr">
        <is>
          <t>IRIS0012</t>
        </is>
      </c>
      <c r="N404" s="29" t="n">
        <v>12.7</v>
      </c>
      <c r="O404" s="29" t="n">
        <v>4.7</v>
      </c>
      <c r="P404" s="29" t="inlineStr">
        <is>
          <t>M.Com</t>
        </is>
      </c>
      <c r="Q404" s="29" t="inlineStr">
        <is>
          <t>L6 – Senior Manager</t>
        </is>
      </c>
      <c r="R404" s="29" t="inlineStr">
        <is>
          <t>B2</t>
        </is>
      </c>
      <c r="S404" s="30" t="inlineStr">
        <is>
          <t>20 of 20</t>
        </is>
      </c>
      <c r="T404" s="31" t="inlineStr">
        <is>
          <t>Complexity: Evidence reads like B1: Manages iFile bids: RFP responses, solutioning and client demos in XBRL / SupTech domain → moved down 1
Autonomy: Evidence reads like B1: Decides how to respond to clients and to RFPs for iFile bids → moved down 1
Accountability: Evidence reads like B1: Ultimately responsible for timely iFile RFP submissions; also sales …</t>
        </is>
      </c>
      <c r="U404" s="31" t="inlineStr">
        <is>
          <t>Received · manager annual, quarterly · 1. Maintain healthy win rate · &gt;=20% on qualified opportunities
2. Keep CRM hygiene at 100% · all opportunities &amp; activities logged &amp; current
3. Independently deliver 100% of Product Demos
4. Cordinate with relevant teams to publish 2 case studiesw/white papers/articles per month 
5. Clear Certification courses on …</t>
        </is>
      </c>
      <c r="V404" s="31" t="inlineStr">
        <is>
          <t>Latest rating: 4 · Potential: Medium · 9-box: High Impact / Growth Talent · Readiness: Ready in 6–12 months</t>
        </is>
      </c>
      <c r="W404" s="31" t="inlineStr">
        <is>
          <t>C M · Au M · Ac M · L L · BI M · Exp H · 12.7 yrs vs 6–9 yrs · Edu H · M.Com</t>
        </is>
      </c>
      <c r="X404" s="33" t="inlineStr">
        <is>
          <t>Open ▸</t>
        </is>
      </c>
      <c r="Y404" s="34" t="str">
        <f>IFERROR(INDEX(DL_C,MATCH($CA404,DL_KEY,0)),"M")</f>
        <v>H</v>
      </c>
      <c r="Z404" s="35" t="str">
        <f>IFERROR(INDEX(DL_Au,MATCH($CA404,DL_KEY,0)),"M")</f>
        <v>M</v>
      </c>
      <c r="AA404" s="35" t="str">
        <f>IFERROR(INDEX(DL_Ac,MATCH($CA404,DL_KEY,0)),"M")</f>
        <v>L</v>
      </c>
      <c r="AB404" s="35" t="str">
        <f>IFERROR(INDEX(DL_L,MATCH($CA404,DL_KEY,0)),"M")</f>
        <v>L</v>
      </c>
      <c r="AC404" s="35" t="str">
        <f>IFERROR(INDEX(DL_BI,MATCH($CA404,DL_KEY,0)),"M")</f>
        <v>M</v>
      </c>
      <c r="AD404" s="35" t="str">
        <f>IFERROR(INDEX(DL_Exp,MATCH($CA404,DL_KEY,0)),"M")</f>
        <v>L</v>
      </c>
      <c r="AE404" s="35" t="str">
        <f>IFERROR(INDEX(DL_Edu,MATCH($CA404,DL_KEY,0)),"M")</f>
        <v>L</v>
      </c>
      <c r="AF404" s="34" t="inlineStr">
        <is>
          <t>M</t>
        </is>
      </c>
      <c r="AG404" s="35" t="inlineStr">
        <is>
          <t>M</t>
        </is>
      </c>
      <c r="AH404" s="35" t="inlineStr">
        <is>
          <t>M</t>
        </is>
      </c>
      <c r="AI404" s="35" t="inlineStr">
        <is>
          <t>M</t>
        </is>
      </c>
      <c r="AJ404" s="35" t="inlineStr">
        <is>
          <t>M</t>
        </is>
      </c>
      <c r="AK404" s="35" t="inlineStr">
        <is>
          <t>M</t>
        </is>
      </c>
      <c r="AL404" s="35" t="inlineStr">
        <is>
          <t>M</t>
        </is>
      </c>
      <c r="AM404" s="36" t="n">
        <v>0.513</v>
      </c>
      <c r="AN404" s="37" t="n">
        <v>0.173</v>
      </c>
      <c r="AO404" s="37" t="n">
        <v>0.09699999999999999</v>
      </c>
      <c r="AP404" s="37" t="n">
        <v>0.05</v>
      </c>
      <c r="AQ404" s="37" t="n">
        <v>0.07000000000000001</v>
      </c>
      <c r="AR404" s="37" t="n">
        <v>0.06</v>
      </c>
      <c r="AS404" s="37" t="n">
        <v>0.04</v>
      </c>
      <c r="AT404" s="38" t="inlineStr">
        <is>
          <t>6–10</t>
        </is>
      </c>
      <c r="AU404" s="38" t="inlineStr">
        <is>
          <t>Graduate or postgraduate; professional qualification preferred</t>
        </is>
      </c>
      <c r="AV404" s="38" t="inlineStr">
        <is>
          <t>IC: none · People: 6–8 knowledge work, 8–12 standardised delivery</t>
        </is>
      </c>
      <c r="AW404" s="38" t="inlineStr">
        <is>
          <t>P4 / M3 · SFIA 4–5</t>
        </is>
      </c>
      <c r="AX40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04" s="39" t="inlineStr">
        <is>
          <t>B2</t>
        </is>
      </c>
      <c r="AZ404" s="40" t="inlineStr">
        <is>
          <t>Band B · Specialist / Manager · Manager</t>
        </is>
      </c>
      <c r="BA404" s="40" t="inlineStr">
        <is>
          <t>Model B2 from the six ratings, the market-derived weights and rules R1–R13 · then No change · already below the manager</t>
        </is>
      </c>
      <c r="BB404" s="41" t="inlineStr">
        <is>
          <t>B2</t>
        </is>
      </c>
      <c r="BC404" s="40" t="inlineStr">
        <is>
          <t>The six ratings on the market-average weights of Band B · Specialist / POD Lead score 5.17 → B2 · Hay, Mercer IPE and public plans · experience 12.7 yrs vs the B2 market range 6–10</t>
        </is>
      </c>
      <c r="BD404" s="42">
        <f>IF(SUM(BM404,BN404,BO404,BP404,BQ404,BR404,BS404)=0,0,(BM404*BT404+BN404*BU404+BO404*BV404+BP404*BW404+BQ404*BX404+BR404*BY404+BS404*BZ404)/SUM(BM404,BN404,BO404,BP404,BQ404,BR404,BS404))</f>
        <v>0</v>
      </c>
      <c r="BE404" s="41" t="str">
        <f>IF(LEFT(AY404,1)="X",AY404,IF(OR(AY404="B+",AY404="C+"),INDEX(LAD_PC,MAX(1,MIN(14,MATCH(AY404,LAD_PC,0)+IF(BD404&gt;=0.5,1,IF(BD404&lt;=-0.5,-1,0))))),INDEX(LAD_STD,MAX(1,MIN(12,MATCH(AY404,LAD_STD,0)+IF(BD404&gt;=0.5,1,IF(BD404&lt;=-0.5,-1,0)))))))</f>
        <v>B2</v>
      </c>
      <c r="BF404" s="43" t="n"/>
      <c r="BG404" s="41" t="str">
        <f>IF(BF404&lt;&gt;"",BF404,BE404)</f>
        <v>B2</v>
      </c>
      <c r="BH404" s="40" t="str">
        <f>IFERROR(CHOOSE(INDEX(B_RANK,MATCH(BG404,B_LVL,0)),"Band A","Band B","B+ · Player-Coach","Band C","C+ · Player-Coach","Band D","Band E"),"Band X · Consultant")</f>
        <v>Band B</v>
      </c>
      <c r="BI404" s="40" t="str">
        <f>IF(BG404=AY404,"• Same",IF(INDEX(B_VAL,MATCH(BG404,B_LVL,0))&gt;INDEX(B_VAL,MATCH(AY404,B_LVL,0)),"▲ Up","▼ Down"))</f>
        <v>• Same</v>
      </c>
      <c r="BJ404" s="40" t="str">
        <f>IF(OR($M404="",$M404="—",$M404="Not in this file"),"",IFERROR(INDEX($BG$7:$BG$592,MATCH($M404,$D$7:$D$592,0)),""))</f>
        <v>D2</v>
      </c>
      <c r="BK404" s="40" t="str">
        <f>IFERROR(IF(BJ404="","—",IF(OR(LEFT(BG404,1)="X",LEFT(BJ404,1)="X"),"—",IF(AND(LEFT(BG404,1)="E",LEFT(BJ404,1)="E"),"Exception · Band E",IF(AND(INDEX(B_VAL,MATCH(BJ404,B_LVL,0))&gt;=7,INDEX(B_RANK,MATCH(BG404,B_LVL,0))&gt;=INDEX(B_RANK,MATCH(BJ404,B_LVL,0))),"⚠ Same band as a head manager",IF(INDEX(B_VAL,MATCH(BG404,B_LVL,0))&gt;=INDEX(B_VAL,MATCH(BJ404,B_LVL,0)),"⚠ At or above the manager's level","OK"))))),"—")</f>
        <v>OK</v>
      </c>
      <c r="BL404" s="43" t="n"/>
      <c r="BM404" s="44">
        <f>IFERROR(INDEX(LMH_PTS,MATCH(Y404,LMH_KEY,0)),0)</f>
        <v>9</v>
      </c>
      <c r="BN404" s="38">
        <f>IFERROR(INDEX(LMH_PTS,MATCH(Z404,LMH_KEY,0)),0)</f>
        <v>3</v>
      </c>
      <c r="BO404" s="38">
        <f>IFERROR(INDEX(LMH_PTS,MATCH(AA404,LMH_KEY,0)),0)</f>
        <v>1</v>
      </c>
      <c r="BP404" s="38">
        <f>IFERROR(INDEX(LMH_PTS,MATCH(AB404,LMH_KEY,0)),0)</f>
        <v>1</v>
      </c>
      <c r="BQ404" s="38">
        <f>IFERROR(INDEX(LMH_PTS,MATCH(AC404,LMH_KEY,0)),0)</f>
        <v>3</v>
      </c>
      <c r="BR404" s="38">
        <f>IFERROR(INDEX(LMH_PTS,MATCH(AD404,LMH_KEY,0)),0)</f>
        <v>1</v>
      </c>
      <c r="BS404" s="38">
        <f>IFERROR(INDEX(LMH_PTS,MATCH(AE404,LMH_KEY,0)),0)</f>
        <v>1</v>
      </c>
      <c r="BT404" s="38">
        <f>IFERROR(INDEX(LMH_STEP,MATCH(AF404,LMH_KEY,0)),0)</f>
        <v>0</v>
      </c>
      <c r="BU404" s="38">
        <f>IFERROR(INDEX(LMH_STEP,MATCH(AG404,LMH_KEY,0)),0)</f>
        <v>0</v>
      </c>
      <c r="BV404" s="38">
        <f>IFERROR(INDEX(LMH_STEP,MATCH(AH404,LMH_KEY,0)),0)</f>
        <v>0</v>
      </c>
      <c r="BW404" s="38">
        <f>IFERROR(INDEX(LMH_STEP,MATCH(AI404,LMH_KEY,0)),0)</f>
        <v>0</v>
      </c>
      <c r="BX404" s="38">
        <f>IFERROR(INDEX(LMH_STEP,MATCH(AJ404,LMH_KEY,0)),0)</f>
        <v>0</v>
      </c>
      <c r="BY404" s="38">
        <f>IFERROR(INDEX(LMH_STEP,MATCH(AK404,LMH_KEY,0)),0)</f>
        <v>0</v>
      </c>
      <c r="BZ404" s="38">
        <f>IFERROR(INDEX(LMH_STEP,MATCH(AL404,LMH_KEY,0)),0)</f>
        <v>0</v>
      </c>
      <c r="CA404" s="38" t="inlineStr">
        <is>
          <t>iFile|Sales|Senior Account Executive – POD Lead|B2|B-IC</t>
        </is>
      </c>
    </row>
    <row r="405" ht="110" customHeight="1">
      <c r="A405" s="28" t="inlineStr">
        <is>
          <t>iFile</t>
        </is>
      </c>
      <c r="B405" s="29" t="inlineStr">
        <is>
          <t>Sales</t>
        </is>
      </c>
      <c r="C405" s="29" t="n">
        <v>3</v>
      </c>
      <c r="D405" s="29" t="inlineStr">
        <is>
          <t>IRIS2551</t>
        </is>
      </c>
      <c r="E405" s="29" t="inlineStr">
        <is>
          <t>Devam Khatri</t>
        </is>
      </c>
      <c r="F405" s="29" t="inlineStr">
        <is>
          <t>Manager - Pre Sales</t>
        </is>
      </c>
      <c r="G405" s="29" t="inlineStr">
        <is>
          <t>Pre-Sales Specialist</t>
        </is>
      </c>
      <c r="H405" s="29" t="inlineStr">
        <is>
          <t>Sales &amp; Business Development</t>
        </is>
      </c>
      <c r="I405" s="29" t="inlineStr">
        <is>
          <t>Pre-Sales &amp; Solution Demos</t>
        </is>
      </c>
      <c r="J405" s="29" t="inlineStr">
        <is>
          <t>IC</t>
        </is>
      </c>
      <c r="K405" s="29" t="inlineStr">
        <is>
          <t>RC-161</t>
        </is>
      </c>
      <c r="L405" s="29" t="inlineStr">
        <is>
          <t>Apurva Kirtikar</t>
        </is>
      </c>
      <c r="M405" s="29" t="inlineStr">
        <is>
          <t>IRIS1982</t>
        </is>
      </c>
      <c r="N405" s="29" t="n">
        <v>5.1</v>
      </c>
      <c r="O405" s="29" t="n">
        <v>0.1</v>
      </c>
      <c r="P405" s="29" t="inlineStr">
        <is>
          <t>MBA</t>
        </is>
      </c>
      <c r="Q405" s="29" t="inlineStr">
        <is>
          <t>Not in current mapping files</t>
        </is>
      </c>
      <c r="R405" s="29" t="inlineStr">
        <is>
          <t>B1</t>
        </is>
      </c>
      <c r="S405" s="30" t="inlineStr">
        <is>
          <t>20 of 20</t>
        </is>
      </c>
      <c r="T405" s="31" t="inlineStr">
        <is>
          <t>Complexity: Evidence reads like A3: Maps client requirements to product features; RFP responses, mapping documents and demos across several proposals → moved down 1
Autonomy: Evidence reads like A2: Decides NDA signing and lead follow-ups; nothing larger stated → moved down 1
Accountability: Evidence reads like A3: RFP submissions, weekly meeting and …</t>
        </is>
      </c>
      <c r="U405" s="32" t="inlineStr">
        <is>
          <t>KRAs not received · manager to supply</t>
        </is>
      </c>
      <c r="V405" s="31" t="inlineStr">
        <is>
          <t>Latest rating: Not rated · manager · 9-box: Not placed · manager · Readiness: No rating data</t>
        </is>
      </c>
      <c r="W405" s="31" t="inlineStr">
        <is>
          <t>C M · Au M · Ac M · L L · BI M · Exp M · 5.1 yrs vs 4–7 yrs · Edu H · MBA</t>
        </is>
      </c>
      <c r="X405" s="33" t="inlineStr">
        <is>
          <t>Open ▸</t>
        </is>
      </c>
      <c r="Y405" s="34" t="str">
        <f>IFERROR(INDEX(DL_C,MATCH($CA405,DL_KEY,0)),"M")</f>
        <v>H</v>
      </c>
      <c r="Z405" s="35" t="str">
        <f>IFERROR(INDEX(DL_Au,MATCH($CA405,DL_KEY,0)),"M")</f>
        <v>M</v>
      </c>
      <c r="AA405" s="35" t="str">
        <f>IFERROR(INDEX(DL_Ac,MATCH($CA405,DL_KEY,0)),"M")</f>
        <v>L</v>
      </c>
      <c r="AB405" s="35" t="str">
        <f>IFERROR(INDEX(DL_L,MATCH($CA405,DL_KEY,0)),"M")</f>
        <v>L</v>
      </c>
      <c r="AC405" s="35" t="str">
        <f>IFERROR(INDEX(DL_BI,MATCH($CA405,DL_KEY,0)),"M")</f>
        <v>M</v>
      </c>
      <c r="AD405" s="35" t="str">
        <f>IFERROR(INDEX(DL_Exp,MATCH($CA405,DL_KEY,0)),"M")</f>
        <v>L</v>
      </c>
      <c r="AE405" s="35" t="str">
        <f>IFERROR(INDEX(DL_Edu,MATCH($CA405,DL_KEY,0)),"M")</f>
        <v>L</v>
      </c>
      <c r="AF405" s="34" t="inlineStr">
        <is>
          <t>M</t>
        </is>
      </c>
      <c r="AG405" s="35" t="inlineStr">
        <is>
          <t>M</t>
        </is>
      </c>
      <c r="AH405" s="35" t="inlineStr">
        <is>
          <t>M</t>
        </is>
      </c>
      <c r="AI405" s="35" t="inlineStr">
        <is>
          <t>M</t>
        </is>
      </c>
      <c r="AJ405" s="35" t="inlineStr">
        <is>
          <t>M</t>
        </is>
      </c>
      <c r="AK405" s="35" t="inlineStr">
        <is>
          <t>M</t>
        </is>
      </c>
      <c r="AL405" s="35" t="inlineStr">
        <is>
          <t>M</t>
        </is>
      </c>
      <c r="AM405" s="36" t="n">
        <v>0.513</v>
      </c>
      <c r="AN405" s="37" t="n">
        <v>0.173</v>
      </c>
      <c r="AO405" s="37" t="n">
        <v>0.09699999999999999</v>
      </c>
      <c r="AP405" s="37" t="n">
        <v>0.05</v>
      </c>
      <c r="AQ405" s="37" t="n">
        <v>0.07000000000000001</v>
      </c>
      <c r="AR405" s="37" t="n">
        <v>0.06</v>
      </c>
      <c r="AS405" s="37" t="n">
        <v>0.04</v>
      </c>
      <c r="AT405" s="38" t="inlineStr">
        <is>
          <t>4–8</t>
        </is>
      </c>
      <c r="AU405" s="38" t="inlineStr">
        <is>
          <t>Graduate + relevant qualification or certification preferred</t>
        </is>
      </c>
      <c r="AV405" s="38" t="inlineStr">
        <is>
          <t>IC: none · Team Lead: 3–5</t>
        </is>
      </c>
      <c r="AW405" s="38" t="inlineStr">
        <is>
          <t>P3 / M2 · SFIA 4 Enable</t>
        </is>
      </c>
      <c r="AX40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05" s="39" t="inlineStr">
        <is>
          <t>B1</t>
        </is>
      </c>
      <c r="AZ405" s="40" t="inlineStr">
        <is>
          <t>Band B · Specialist / Manager · Specialist</t>
        </is>
      </c>
      <c r="BA405" s="40" t="inlineStr">
        <is>
          <t>Model B1 from the six ratings, the market-derived weights and rules R1–R13 · then No change · already below the manager</t>
        </is>
      </c>
      <c r="BB405" s="41" t="inlineStr">
        <is>
          <t>B1</t>
        </is>
      </c>
      <c r="BC405" s="40" t="inlineStr">
        <is>
          <t>The six ratings on the market-average weights of Band B · Specialist / POD Lead score 4.00 → B1 · Hay, Mercer IPE and public plans · experience 5.1 yrs vs the B1 market range 4–8</t>
        </is>
      </c>
      <c r="BD405" s="42">
        <f>IF(SUM(BM405,BN405,BO405,BP405,BQ405,BR405,BS405)=0,0,(BM405*BT405+BN405*BU405+BO405*BV405+BP405*BW405+BQ405*BX405+BR405*BY405+BS405*BZ405)/SUM(BM405,BN405,BO405,BP405,BQ405,BR405,BS405))</f>
        <v>0</v>
      </c>
      <c r="BE405" s="41" t="str">
        <f>IF(LEFT(AY405,1)="X",AY405,IF(OR(AY405="B+",AY405="C+"),INDEX(LAD_PC,MAX(1,MIN(14,MATCH(AY405,LAD_PC,0)+IF(BD405&gt;=0.5,1,IF(BD405&lt;=-0.5,-1,0))))),INDEX(LAD_STD,MAX(1,MIN(12,MATCH(AY405,LAD_STD,0)+IF(BD405&gt;=0.5,1,IF(BD405&lt;=-0.5,-1,0)))))))</f>
        <v>B1</v>
      </c>
      <c r="BF405" s="43" t="n"/>
      <c r="BG405" s="41" t="str">
        <f>IF(BF405&lt;&gt;"",BF405,BE405)</f>
        <v>B1</v>
      </c>
      <c r="BH405" s="40" t="str">
        <f>IFERROR(CHOOSE(INDEX(B_RANK,MATCH(BG405,B_LVL,0)),"Band A","Band B","B+ · Player-Coach","Band C","C+ · Player-Coach","Band D","Band E"),"Band X · Consultant")</f>
        <v>Band B</v>
      </c>
      <c r="BI405" s="40" t="str">
        <f>IF(BG405=AY405,"• Same",IF(INDEX(B_VAL,MATCH(BG405,B_LVL,0))&gt;INDEX(B_VAL,MATCH(AY405,B_LVL,0)),"▲ Up","▼ Down"))</f>
        <v>• Same</v>
      </c>
      <c r="BJ405" s="40" t="str">
        <f>IF(OR($M405="",$M405="—",$M405="Not in this file"),"",IFERROR(INDEX($BG$7:$BG$592,MATCH($M405,$D$7:$D$592,0)),""))</f>
        <v>B2</v>
      </c>
      <c r="BK405" s="40" t="str">
        <f>IFERROR(IF(BJ405="","—",IF(OR(LEFT(BG405,1)="X",LEFT(BJ405,1)="X"),"—",IF(AND(LEFT(BG405,1)="E",LEFT(BJ405,1)="E"),"Exception · Band E",IF(AND(INDEX(B_VAL,MATCH(BJ405,B_LVL,0))&gt;=7,INDEX(B_RANK,MATCH(BG405,B_LVL,0))&gt;=INDEX(B_RANK,MATCH(BJ405,B_LVL,0))),"⚠ Same band as a head manager",IF(INDEX(B_VAL,MATCH(BG405,B_LVL,0))&gt;=INDEX(B_VAL,MATCH(BJ405,B_LVL,0)),"⚠ At or above the manager's level","OK"))))),"—")</f>
        <v>OK</v>
      </c>
      <c r="BL405" s="43" t="n"/>
      <c r="BM405" s="44">
        <f>IFERROR(INDEX(LMH_PTS,MATCH(Y405,LMH_KEY,0)),0)</f>
        <v>9</v>
      </c>
      <c r="BN405" s="38">
        <f>IFERROR(INDEX(LMH_PTS,MATCH(Z405,LMH_KEY,0)),0)</f>
        <v>3</v>
      </c>
      <c r="BO405" s="38">
        <f>IFERROR(INDEX(LMH_PTS,MATCH(AA405,LMH_KEY,0)),0)</f>
        <v>1</v>
      </c>
      <c r="BP405" s="38">
        <f>IFERROR(INDEX(LMH_PTS,MATCH(AB405,LMH_KEY,0)),0)</f>
        <v>1</v>
      </c>
      <c r="BQ405" s="38">
        <f>IFERROR(INDEX(LMH_PTS,MATCH(AC405,LMH_KEY,0)),0)</f>
        <v>3</v>
      </c>
      <c r="BR405" s="38">
        <f>IFERROR(INDEX(LMH_PTS,MATCH(AD405,LMH_KEY,0)),0)</f>
        <v>1</v>
      </c>
      <c r="BS405" s="38">
        <f>IFERROR(INDEX(LMH_PTS,MATCH(AE405,LMH_KEY,0)),0)</f>
        <v>1</v>
      </c>
      <c r="BT405" s="38">
        <f>IFERROR(INDEX(LMH_STEP,MATCH(AF405,LMH_KEY,0)),0)</f>
        <v>0</v>
      </c>
      <c r="BU405" s="38">
        <f>IFERROR(INDEX(LMH_STEP,MATCH(AG405,LMH_KEY,0)),0)</f>
        <v>0</v>
      </c>
      <c r="BV405" s="38">
        <f>IFERROR(INDEX(LMH_STEP,MATCH(AH405,LMH_KEY,0)),0)</f>
        <v>0</v>
      </c>
      <c r="BW405" s="38">
        <f>IFERROR(INDEX(LMH_STEP,MATCH(AI405,LMH_KEY,0)),0)</f>
        <v>0</v>
      </c>
      <c r="BX405" s="38">
        <f>IFERROR(INDEX(LMH_STEP,MATCH(AJ405,LMH_KEY,0)),0)</f>
        <v>0</v>
      </c>
      <c r="BY405" s="38">
        <f>IFERROR(INDEX(LMH_STEP,MATCH(AK405,LMH_KEY,0)),0)</f>
        <v>0</v>
      </c>
      <c r="BZ405" s="38">
        <f>IFERROR(INDEX(LMH_STEP,MATCH(AL405,LMH_KEY,0)),0)</f>
        <v>0</v>
      </c>
      <c r="CA405" s="38" t="inlineStr">
        <is>
          <t>iFile|Sales|Pre-Sales Specialist|B1|B-IC</t>
        </is>
      </c>
    </row>
    <row r="406" ht="110" customHeight="1">
      <c r="A406" s="28" t="inlineStr">
        <is>
          <t>Datatech</t>
        </is>
      </c>
      <c r="B406" s="29" t="inlineStr">
        <is>
          <t>Datatech Business Head</t>
        </is>
      </c>
      <c r="C406" s="29" t="n">
        <v>1</v>
      </c>
      <c r="D406" s="29" t="inlineStr">
        <is>
          <t>IRISDT0001</t>
        </is>
      </c>
      <c r="E406" s="29" t="inlineStr">
        <is>
          <t>Shilpa Dhobale</t>
        </is>
      </c>
      <c r="F406" s="29" t="inlineStr">
        <is>
          <t>Business Head - DataTech</t>
        </is>
      </c>
      <c r="G406" s="29" t="inlineStr">
        <is>
          <t>Business Head – DataTech</t>
        </is>
      </c>
      <c r="H406" s="29" t="inlineStr">
        <is>
          <t>Executive Leadership</t>
        </is>
      </c>
      <c r="I406" s="29" t="inlineStr">
        <is>
          <t>Business Head</t>
        </is>
      </c>
      <c r="J406" s="29" t="inlineStr">
        <is>
          <t>People Manager</t>
        </is>
      </c>
      <c r="K406" s="29" t="inlineStr">
        <is>
          <t>RC-EL-BH-D2</t>
        </is>
      </c>
      <c r="L406" s="29" t="inlineStr">
        <is>
          <t>Balachandran K</t>
        </is>
      </c>
      <c r="M406" s="29" t="inlineStr">
        <is>
          <t>IRIS0001</t>
        </is>
      </c>
      <c r="N406" s="29" t="n">
        <v>3.8</v>
      </c>
      <c r="O406" s="29" t="n">
        <v>1.8</v>
      </c>
      <c r="P406" s="29" t="inlineStr">
        <is>
          <t>CWA</t>
        </is>
      </c>
      <c r="Q406" s="29" t="inlineStr">
        <is>
          <t>L7 – Head / Sr Director</t>
        </is>
      </c>
      <c r="R406" s="29" t="inlineStr">
        <is>
          <t>D2</t>
        </is>
      </c>
      <c r="S406" s="30" t="inlineStr">
        <is>
          <t>0 of 20</t>
        </is>
      </c>
      <c r="T406" s="31"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t>
        </is>
      </c>
      <c r="U406" s="32" t="inlineStr">
        <is>
          <t>KRAs not received · manager to supply</t>
        </is>
      </c>
      <c r="V406" s="31" t="inlineStr">
        <is>
          <t>Latest rating: 3 · 9-box: Future Leader · Readiness: Develop in role</t>
        </is>
      </c>
      <c r="W406" s="31" t="inlineStr">
        <is>
          <t>C L · Au L · Ac L · L L · BI M · Exp L · 3.8 yrs vs 18–24 yrs · Edu H · CWA</t>
        </is>
      </c>
      <c r="X406" s="33" t="inlineStr">
        <is>
          <t>Open ▸</t>
        </is>
      </c>
      <c r="Y406" s="34" t="str">
        <f>IFERROR(INDEX(DL_C,MATCH($CA406,DL_KEY,0)),"M")</f>
        <v>H</v>
      </c>
      <c r="Z406" s="35" t="str">
        <f>IFERROR(INDEX(DL_Au,MATCH($CA406,DL_KEY,0)),"M")</f>
        <v>M</v>
      </c>
      <c r="AA406" s="35" t="str">
        <f>IFERROR(INDEX(DL_Ac,MATCH($CA406,DL_KEY,0)),"M")</f>
        <v>M</v>
      </c>
      <c r="AB406" s="35" t="str">
        <f>IFERROR(INDEX(DL_L,MATCH($CA406,DL_KEY,0)),"M")</f>
        <v>M</v>
      </c>
      <c r="AC406" s="35" t="str">
        <f>IFERROR(INDEX(DL_BI,MATCH($CA406,DL_KEY,0)),"M")</f>
        <v>L</v>
      </c>
      <c r="AD406" s="35" t="str">
        <f>IFERROR(INDEX(DL_Exp,MATCH($CA406,DL_KEY,0)),"M")</f>
        <v>L</v>
      </c>
      <c r="AE406" s="35" t="str">
        <f>IFERROR(INDEX(DL_Edu,MATCH($CA406,DL_KEY,0)),"M")</f>
        <v>L</v>
      </c>
      <c r="AF406" s="34" t="inlineStr">
        <is>
          <t>M</t>
        </is>
      </c>
      <c r="AG406" s="35" t="inlineStr">
        <is>
          <t>M</t>
        </is>
      </c>
      <c r="AH406" s="35" t="inlineStr">
        <is>
          <t>M</t>
        </is>
      </c>
      <c r="AI406" s="35" t="inlineStr">
        <is>
          <t>M</t>
        </is>
      </c>
      <c r="AJ406" s="35" t="inlineStr">
        <is>
          <t>M</t>
        </is>
      </c>
      <c r="AK406" s="35" t="inlineStr">
        <is>
          <t>M</t>
        </is>
      </c>
      <c r="AL406" s="35" t="inlineStr">
        <is>
          <t>M</t>
        </is>
      </c>
      <c r="AM406" s="36" t="n">
        <v>0.363</v>
      </c>
      <c r="AN406" s="37" t="n">
        <v>0.19</v>
      </c>
      <c r="AO406" s="37" t="n">
        <v>0.113</v>
      </c>
      <c r="AP406" s="37" t="n">
        <v>0.2</v>
      </c>
      <c r="AQ406" s="37" t="n">
        <v>0.08699999999999999</v>
      </c>
      <c r="AR406" s="37" t="n">
        <v>0.04</v>
      </c>
      <c r="AS406" s="37" t="n">
        <v>0.01</v>
      </c>
      <c r="AT406" s="38" t="inlineStr">
        <is>
          <t>18–24 yrs</t>
        </is>
      </c>
      <c r="AU406" s="38" t="inlineStr">
        <is>
          <t>Postgraduate / professional qualification preferred</t>
        </is>
      </c>
      <c r="AV406" s="38" t="inlineStr">
        <is>
          <t>5–8 AVPs / heads</t>
        </is>
      </c>
      <c r="AW406" s="38" t="inlineStr">
        <is>
          <t>E3–E4 · SFIA 7 Set strategy</t>
        </is>
      </c>
      <c r="AX40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06" s="39" t="inlineStr">
        <is>
          <t>D2</t>
        </is>
      </c>
      <c r="AZ406" s="40" t="inlineStr">
        <is>
          <t>Band D · Business leadership · Senior Vice President / Business Head</t>
        </is>
      </c>
      <c r="BA406" s="40" t="inlineStr">
        <is>
          <t>Model D2 from the six ratings, the market-derived weights and rules R1–R13 · then No change · already below the manager</t>
        </is>
      </c>
      <c r="BB406" s="41" t="inlineStr">
        <is>
          <t>D1</t>
        </is>
      </c>
      <c r="BC406" s="40" t="inlineStr">
        <is>
          <t>The six ratings on the market-average weights of Bands D–E · Leadership score 8.82 → D1 · Hay, Mercer IPE and public plans · experience 3.8 yrs vs the D1 market range 15–20 yrs</t>
        </is>
      </c>
      <c r="BD406" s="42">
        <f>IF(SUM(BM406,BN406,BO406,BP406,BQ406,BR406,BS406)=0,0,(BM406*BT406+BN406*BU406+BO406*BV406+BP406*BW406+BQ406*BX406+BR406*BY406+BS406*BZ406)/SUM(BM406,BN406,BO406,BP406,BQ406,BR406,BS406))</f>
        <v>0</v>
      </c>
      <c r="BE406" s="41" t="str">
        <f>IF(LEFT(AY406,1)="X",AY406,IF(OR(AY406="B+",AY406="C+"),INDEX(LAD_PC,MAX(1,MIN(14,MATCH(AY406,LAD_PC,0)+IF(BD406&gt;=0.5,1,IF(BD406&lt;=-0.5,-1,0))))),INDEX(LAD_STD,MAX(1,MIN(12,MATCH(AY406,LAD_STD,0)+IF(BD406&gt;=0.5,1,IF(BD406&lt;=-0.5,-1,0)))))))</f>
        <v>D2</v>
      </c>
      <c r="BF406" s="43" t="n"/>
      <c r="BG406" s="41" t="str">
        <f>IF(BF406&lt;&gt;"",BF406,BE406)</f>
        <v>D2</v>
      </c>
      <c r="BH406" s="40" t="str">
        <f>IFERROR(CHOOSE(INDEX(B_RANK,MATCH(BG406,B_LVL,0)),"Band A","Band B","B+ · Player-Coach","Band C","C+ · Player-Coach","Band D","Band E"),"Band X · Consultant")</f>
        <v>Band D</v>
      </c>
      <c r="BI406" s="40" t="str">
        <f>IF(BG406=AY406,"• Same",IF(INDEX(B_VAL,MATCH(BG406,B_LVL,0))&gt;INDEX(B_VAL,MATCH(AY406,B_LVL,0)),"▲ Up","▼ Down"))</f>
        <v>• Same</v>
      </c>
      <c r="BJ406" s="40" t="str">
        <f>IF(OR($M406="",$M406="—",$M406="Not in this file"),"",IFERROR(INDEX($BG$7:$BG$592,MATCH($M406,$D$7:$D$592,0)),""))</f>
        <v>E2</v>
      </c>
      <c r="BK406" s="40" t="str">
        <f>IFERROR(IF(BJ406="","—",IF(OR(LEFT(BG406,1)="X",LEFT(BJ406,1)="X"),"—",IF(AND(LEFT(BG406,1)="E",LEFT(BJ406,1)="E"),"Exception · Band E",IF(AND(INDEX(B_VAL,MATCH(BJ406,B_LVL,0))&gt;=7,INDEX(B_RANK,MATCH(BG406,B_LVL,0))&gt;=INDEX(B_RANK,MATCH(BJ406,B_LVL,0))),"⚠ Same band as a head manager",IF(INDEX(B_VAL,MATCH(BG406,B_LVL,0))&gt;=INDEX(B_VAL,MATCH(BJ406,B_LVL,0)),"⚠ At or above the manager's level","OK"))))),"—")</f>
        <v>OK</v>
      </c>
      <c r="BL406" s="43" t="n"/>
      <c r="BM406" s="44">
        <f>IFERROR(INDEX(LMH_PTS,MATCH(Y406,LMH_KEY,0)),0)</f>
        <v>9</v>
      </c>
      <c r="BN406" s="38">
        <f>IFERROR(INDEX(LMH_PTS,MATCH(Z406,LMH_KEY,0)),0)</f>
        <v>3</v>
      </c>
      <c r="BO406" s="38">
        <f>IFERROR(INDEX(LMH_PTS,MATCH(AA406,LMH_KEY,0)),0)</f>
        <v>3</v>
      </c>
      <c r="BP406" s="38">
        <f>IFERROR(INDEX(LMH_PTS,MATCH(AB406,LMH_KEY,0)),0)</f>
        <v>3</v>
      </c>
      <c r="BQ406" s="38">
        <f>IFERROR(INDEX(LMH_PTS,MATCH(AC406,LMH_KEY,0)),0)</f>
        <v>1</v>
      </c>
      <c r="BR406" s="38">
        <f>IFERROR(INDEX(LMH_PTS,MATCH(AD406,LMH_KEY,0)),0)</f>
        <v>1</v>
      </c>
      <c r="BS406" s="38">
        <f>IFERROR(INDEX(LMH_PTS,MATCH(AE406,LMH_KEY,0)),0)</f>
        <v>1</v>
      </c>
      <c r="BT406" s="38">
        <f>IFERROR(INDEX(LMH_STEP,MATCH(AF406,LMH_KEY,0)),0)</f>
        <v>0</v>
      </c>
      <c r="BU406" s="38">
        <f>IFERROR(INDEX(LMH_STEP,MATCH(AG406,LMH_KEY,0)),0)</f>
        <v>0</v>
      </c>
      <c r="BV406" s="38">
        <f>IFERROR(INDEX(LMH_STEP,MATCH(AH406,LMH_KEY,0)),0)</f>
        <v>0</v>
      </c>
      <c r="BW406" s="38">
        <f>IFERROR(INDEX(LMH_STEP,MATCH(AI406,LMH_KEY,0)),0)</f>
        <v>0</v>
      </c>
      <c r="BX406" s="38">
        <f>IFERROR(INDEX(LMH_STEP,MATCH(AJ406,LMH_KEY,0)),0)</f>
        <v>0</v>
      </c>
      <c r="BY406" s="38">
        <f>IFERROR(INDEX(LMH_STEP,MATCH(AK406,LMH_KEY,0)),0)</f>
        <v>0</v>
      </c>
      <c r="BZ406" s="38">
        <f>IFERROR(INDEX(LMH_STEP,MATCH(AL406,LMH_KEY,0)),0)</f>
        <v>0</v>
      </c>
      <c r="CA406" s="38" t="inlineStr">
        <is>
          <t>Datatech|Datatech Business Head|Business Head – DataTech|D2|DE</t>
        </is>
      </c>
    </row>
    <row r="407" ht="110" customHeight="1">
      <c r="A407" s="28" t="inlineStr">
        <is>
          <t>Datatech</t>
        </is>
      </c>
      <c r="B407" s="29" t="inlineStr">
        <is>
          <t>Sales</t>
        </is>
      </c>
      <c r="C407" s="29" t="n">
        <v>2</v>
      </c>
      <c r="D407" s="29" t="inlineStr">
        <is>
          <t>IRISDT0019</t>
        </is>
      </c>
      <c r="E407" s="29" t="inlineStr">
        <is>
          <t>Abhishek Gite</t>
        </is>
      </c>
      <c r="F407" s="29" t="inlineStr">
        <is>
          <t>Head - Sales and Alliances</t>
        </is>
      </c>
      <c r="G407" s="29" t="inlineStr">
        <is>
          <t>Principal – Sales</t>
        </is>
      </c>
      <c r="H407" s="29" t="inlineStr">
        <is>
          <t>Sales &amp; Business Development</t>
        </is>
      </c>
      <c r="I407" s="29" t="inlineStr">
        <is>
          <t>Sales Leadership</t>
        </is>
      </c>
      <c r="J407" s="29" t="inlineStr">
        <is>
          <t>IC</t>
        </is>
      </c>
      <c r="K407" s="29" t="inlineStr">
        <is>
          <t>RC-170</t>
        </is>
      </c>
      <c r="L407" s="29" t="inlineStr">
        <is>
          <t>Shilpa Dhobale</t>
        </is>
      </c>
      <c r="M407" s="29" t="inlineStr">
        <is>
          <t>IRISDT0001</t>
        </is>
      </c>
      <c r="N407" s="29" t="n">
        <v>24.3</v>
      </c>
      <c r="O407" s="29" t="n">
        <v>0.3</v>
      </c>
      <c r="P407" s="29" t="inlineStr">
        <is>
          <t>MBA</t>
        </is>
      </c>
      <c r="Q407" s="29" t="inlineStr">
        <is>
          <t>Not in current mapping files</t>
        </is>
      </c>
      <c r="R407" s="29" t="inlineStr">
        <is>
          <t>C1</t>
        </is>
      </c>
      <c r="S407" s="30" t="inlineStr">
        <is>
          <t>0 of 20</t>
        </is>
      </c>
      <c r="T407" s="31"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t>
        </is>
      </c>
      <c r="U407" s="32" t="inlineStr">
        <is>
          <t>KRAs not received · manager to supply</t>
        </is>
      </c>
      <c r="V407" s="31" t="inlineStr">
        <is>
          <t>Latest rating: 3 · 9-box: Core Contributor · Readiness: Develop in role</t>
        </is>
      </c>
      <c r="W407" s="31" t="inlineStr">
        <is>
          <t>C H · Au H · Ac H · L M · BI H · Exp H · 24.3 yrs vs 10–14 yrs · Edu M · MBA</t>
        </is>
      </c>
      <c r="X407" s="33" t="inlineStr">
        <is>
          <t>Open ▸</t>
        </is>
      </c>
      <c r="Y407" s="34" t="str">
        <f>IFERROR(INDEX(DL_C,MATCH($CA407,DL_KEY,0)),"M")</f>
        <v>H</v>
      </c>
      <c r="Z407" s="35" t="str">
        <f>IFERROR(INDEX(DL_Au,MATCH($CA407,DL_KEY,0)),"M")</f>
        <v>M</v>
      </c>
      <c r="AA407" s="35" t="str">
        <f>IFERROR(INDEX(DL_Ac,MATCH($CA407,DL_KEY,0)),"M")</f>
        <v>L</v>
      </c>
      <c r="AB407" s="35" t="str">
        <f>IFERROR(INDEX(DL_L,MATCH($CA407,DL_KEY,0)),"M")</f>
        <v>L</v>
      </c>
      <c r="AC407" s="35" t="str">
        <f>IFERROR(INDEX(DL_BI,MATCH($CA407,DL_KEY,0)),"M")</f>
        <v>M</v>
      </c>
      <c r="AD407" s="35" t="str">
        <f>IFERROR(INDEX(DL_Exp,MATCH($CA407,DL_KEY,0)),"M")</f>
        <v>L</v>
      </c>
      <c r="AE407" s="35" t="str">
        <f>IFERROR(INDEX(DL_Edu,MATCH($CA407,DL_KEY,0)),"M")</f>
        <v>L</v>
      </c>
      <c r="AF407" s="34" t="inlineStr">
        <is>
          <t>M</t>
        </is>
      </c>
      <c r="AG407" s="35" t="inlineStr">
        <is>
          <t>M</t>
        </is>
      </c>
      <c r="AH407" s="35" t="inlineStr">
        <is>
          <t>M</t>
        </is>
      </c>
      <c r="AI407" s="35" t="inlineStr">
        <is>
          <t>M</t>
        </is>
      </c>
      <c r="AJ407" s="35" t="inlineStr">
        <is>
          <t>M</t>
        </is>
      </c>
      <c r="AK407" s="35" t="inlineStr">
        <is>
          <t>M</t>
        </is>
      </c>
      <c r="AL407" s="35" t="inlineStr">
        <is>
          <t>M</t>
        </is>
      </c>
      <c r="AM407" s="36" t="n">
        <v>0.5429999999999999</v>
      </c>
      <c r="AN407" s="37" t="n">
        <v>0.177</v>
      </c>
      <c r="AO407" s="37" t="n">
        <v>0.103</v>
      </c>
      <c r="AP407" s="37" t="n">
        <v>0.05</v>
      </c>
      <c r="AQ407" s="37" t="n">
        <v>0.077</v>
      </c>
      <c r="AR407" s="37" t="n">
        <v>0.04</v>
      </c>
      <c r="AS407" s="37" t="n">
        <v>0.01</v>
      </c>
      <c r="AT407" s="38" t="inlineStr">
        <is>
          <t>12–17</t>
        </is>
      </c>
      <c r="AU407" s="38" t="inlineStr">
        <is>
          <t>Postgraduate / professional qualification preferred</t>
        </is>
      </c>
      <c r="AV407" s="38" t="inlineStr">
        <is>
          <t>5–8, mostly managers</t>
        </is>
      </c>
      <c r="AW407" s="38" t="inlineStr">
        <is>
          <t>P6 / M5 · SFIA 5–6</t>
        </is>
      </c>
      <c r="AX40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07" s="39" t="inlineStr">
        <is>
          <t>C1</t>
        </is>
      </c>
      <c r="AZ407" s="40" t="inlineStr">
        <is>
          <t>Band C · Principal / Head · Principal</t>
        </is>
      </c>
      <c r="BA407" s="40" t="inlineStr">
        <is>
          <t>Model C1 from the six ratings, the market-derived weights and rules R1–R13 · then No change · already below the manager</t>
        </is>
      </c>
      <c r="BB407" s="41" t="inlineStr">
        <is>
          <t>C2</t>
        </is>
      </c>
      <c r="BC407" s="40" t="inlineStr">
        <is>
          <t>The six ratings on the market-average weights of Band C · Principal specialist score 8.12 → C2 · Hay, Mercer IPE and public plans · experience 24.3 yrs vs the C2 market range 12–17 yrs</t>
        </is>
      </c>
      <c r="BD407" s="42">
        <f>IF(SUM(BM407,BN407,BO407,BP407,BQ407,BR407,BS407)=0,0,(BM407*BT407+BN407*BU407+BO407*BV407+BP407*BW407+BQ407*BX407+BR407*BY407+BS407*BZ407)/SUM(BM407,BN407,BO407,BP407,BQ407,BR407,BS407))</f>
        <v>0</v>
      </c>
      <c r="BE407" s="41" t="str">
        <f>IF(LEFT(AY407,1)="X",AY407,IF(OR(AY407="B+",AY407="C+"),INDEX(LAD_PC,MAX(1,MIN(14,MATCH(AY407,LAD_PC,0)+IF(BD407&gt;=0.5,1,IF(BD407&lt;=-0.5,-1,0))))),INDEX(LAD_STD,MAX(1,MIN(12,MATCH(AY407,LAD_STD,0)+IF(BD407&gt;=0.5,1,IF(BD407&lt;=-0.5,-1,0)))))))</f>
        <v>C1</v>
      </c>
      <c r="BF407" s="43" t="n"/>
      <c r="BG407" s="41" t="str">
        <f>IF(BF407&lt;&gt;"",BF407,BE407)</f>
        <v>C1</v>
      </c>
      <c r="BH407" s="40" t="str">
        <f>IFERROR(CHOOSE(INDEX(B_RANK,MATCH(BG407,B_LVL,0)),"Band A","Band B","B+ · Player-Coach","Band C","C+ · Player-Coach","Band D","Band E"),"Band X · Consultant")</f>
        <v>Band C</v>
      </c>
      <c r="BI407" s="40" t="str">
        <f>IF(BG407=AY407,"• Same",IF(INDEX(B_VAL,MATCH(BG407,B_LVL,0))&gt;INDEX(B_VAL,MATCH(AY407,B_LVL,0)),"▲ Up","▼ Down"))</f>
        <v>• Same</v>
      </c>
      <c r="BJ407" s="40" t="str">
        <f>IF(OR($M407="",$M407="—",$M407="Not in this file"),"",IFERROR(INDEX($BG$7:$BG$592,MATCH($M407,$D$7:$D$592,0)),""))</f>
        <v>D2</v>
      </c>
      <c r="BK407" s="40" t="str">
        <f>IFERROR(IF(BJ407="","—",IF(OR(LEFT(BG407,1)="X",LEFT(BJ407,1)="X"),"—",IF(AND(LEFT(BG407,1)="E",LEFT(BJ407,1)="E"),"Exception · Band E",IF(AND(INDEX(B_VAL,MATCH(BJ407,B_LVL,0))&gt;=7,INDEX(B_RANK,MATCH(BG407,B_LVL,0))&gt;=INDEX(B_RANK,MATCH(BJ407,B_LVL,0))),"⚠ Same band as a head manager",IF(INDEX(B_VAL,MATCH(BG407,B_LVL,0))&gt;=INDEX(B_VAL,MATCH(BJ407,B_LVL,0)),"⚠ At or above the manager's level","OK"))))),"—")</f>
        <v>OK</v>
      </c>
      <c r="BL407" s="43" t="n"/>
      <c r="BM407" s="44">
        <f>IFERROR(INDEX(LMH_PTS,MATCH(Y407,LMH_KEY,0)),0)</f>
        <v>9</v>
      </c>
      <c r="BN407" s="38">
        <f>IFERROR(INDEX(LMH_PTS,MATCH(Z407,LMH_KEY,0)),0)</f>
        <v>3</v>
      </c>
      <c r="BO407" s="38">
        <f>IFERROR(INDEX(LMH_PTS,MATCH(AA407,LMH_KEY,0)),0)</f>
        <v>1</v>
      </c>
      <c r="BP407" s="38">
        <f>IFERROR(INDEX(LMH_PTS,MATCH(AB407,LMH_KEY,0)),0)</f>
        <v>1</v>
      </c>
      <c r="BQ407" s="38">
        <f>IFERROR(INDEX(LMH_PTS,MATCH(AC407,LMH_KEY,0)),0)</f>
        <v>3</v>
      </c>
      <c r="BR407" s="38">
        <f>IFERROR(INDEX(LMH_PTS,MATCH(AD407,LMH_KEY,0)),0)</f>
        <v>1</v>
      </c>
      <c r="BS407" s="38">
        <f>IFERROR(INDEX(LMH_PTS,MATCH(AE407,LMH_KEY,0)),0)</f>
        <v>1</v>
      </c>
      <c r="BT407" s="38">
        <f>IFERROR(INDEX(LMH_STEP,MATCH(AF407,LMH_KEY,0)),0)</f>
        <v>0</v>
      </c>
      <c r="BU407" s="38">
        <f>IFERROR(INDEX(LMH_STEP,MATCH(AG407,LMH_KEY,0)),0)</f>
        <v>0</v>
      </c>
      <c r="BV407" s="38">
        <f>IFERROR(INDEX(LMH_STEP,MATCH(AH407,LMH_KEY,0)),0)</f>
        <v>0</v>
      </c>
      <c r="BW407" s="38">
        <f>IFERROR(INDEX(LMH_STEP,MATCH(AI407,LMH_KEY,0)),0)</f>
        <v>0</v>
      </c>
      <c r="BX407" s="38">
        <f>IFERROR(INDEX(LMH_STEP,MATCH(AJ407,LMH_KEY,0)),0)</f>
        <v>0</v>
      </c>
      <c r="BY407" s="38">
        <f>IFERROR(INDEX(LMH_STEP,MATCH(AK407,LMH_KEY,0)),0)</f>
        <v>0</v>
      </c>
      <c r="BZ407" s="38">
        <f>IFERROR(INDEX(LMH_STEP,MATCH(AL407,LMH_KEY,0)),0)</f>
        <v>0</v>
      </c>
      <c r="CA407" s="38" t="inlineStr">
        <is>
          <t>Datatech|Sales|Principal – Sales|C1|C-IC</t>
        </is>
      </c>
    </row>
    <row r="408" ht="110" customHeight="1">
      <c r="A408" s="28" t="inlineStr">
        <is>
          <t>Datatech</t>
        </is>
      </c>
      <c r="B408" s="29" t="inlineStr">
        <is>
          <t>Technology</t>
        </is>
      </c>
      <c r="C408" s="29" t="n">
        <v>2</v>
      </c>
      <c r="D408" s="29" t="inlineStr">
        <is>
          <t>IRISDT0006</t>
        </is>
      </c>
      <c r="E408" s="29" t="inlineStr">
        <is>
          <t>Sanghamitra Saxena</t>
        </is>
      </c>
      <c r="F408" s="29" t="inlineStr">
        <is>
          <t>Solution Architect</t>
        </is>
      </c>
      <c r="G408" s="29" t="inlineStr">
        <is>
          <t>Solution Architect</t>
        </is>
      </c>
      <c r="H408" s="29" t="inlineStr">
        <is>
          <t>Engineering &amp; Architecture</t>
        </is>
      </c>
      <c r="I408" s="29" t="inlineStr">
        <is>
          <t>Solution &amp; Technical Architecture</t>
        </is>
      </c>
      <c r="J408" s="29" t="inlineStr">
        <is>
          <t>IC</t>
        </is>
      </c>
      <c r="K408" s="29" t="inlineStr">
        <is>
          <t>RC-057</t>
        </is>
      </c>
      <c r="L408" s="29" t="inlineStr">
        <is>
          <t>Shilpa Dhobale</t>
        </is>
      </c>
      <c r="M408" s="29" t="inlineStr">
        <is>
          <t>IRISDT0001</t>
        </is>
      </c>
      <c r="N408" s="29" t="n">
        <v>12.5</v>
      </c>
      <c r="O408" s="29" t="n">
        <v>1.2</v>
      </c>
      <c r="P408" s="29" t="inlineStr">
        <is>
          <t>M.Tech</t>
        </is>
      </c>
      <c r="Q408" s="29" t="inlineStr">
        <is>
          <t>L3 – Professional / Associate</t>
        </is>
      </c>
      <c r="R408" s="29" t="inlineStr">
        <is>
          <t>C1</t>
        </is>
      </c>
      <c r="S408" s="30" t="inlineStr">
        <is>
          <t>0 of 20</t>
        </is>
      </c>
      <c r="T408" s="31"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t>
        </is>
      </c>
      <c r="U408" s="32" t="inlineStr">
        <is>
          <t>KRAs not received · manager to supply</t>
        </is>
      </c>
      <c r="V408" s="31" t="inlineStr">
        <is>
          <t>Latest rating: 3 · 9-box: Future Leader · Readiness: Develop in role</t>
        </is>
      </c>
      <c r="W408" s="31" t="inlineStr">
        <is>
          <t>C M · Au M · Ac M · L L · BI M · Exp M · 12.5 yrs vs 10–14 yrs · Edu M · M.Tech</t>
        </is>
      </c>
      <c r="X408" s="33" t="inlineStr">
        <is>
          <t>Open ▸</t>
        </is>
      </c>
      <c r="Y408" s="34" t="str">
        <f>IFERROR(INDEX(DL_C,MATCH($CA408,DL_KEY,0)),"M")</f>
        <v>H</v>
      </c>
      <c r="Z408" s="35" t="str">
        <f>IFERROR(INDEX(DL_Au,MATCH($CA408,DL_KEY,0)),"M")</f>
        <v>M</v>
      </c>
      <c r="AA408" s="35" t="str">
        <f>IFERROR(INDEX(DL_Ac,MATCH($CA408,DL_KEY,0)),"M")</f>
        <v>L</v>
      </c>
      <c r="AB408" s="35" t="str">
        <f>IFERROR(INDEX(DL_L,MATCH($CA408,DL_KEY,0)),"M")</f>
        <v>L</v>
      </c>
      <c r="AC408" s="35" t="str">
        <f>IFERROR(INDEX(DL_BI,MATCH($CA408,DL_KEY,0)),"M")</f>
        <v>L</v>
      </c>
      <c r="AD408" s="35" t="str">
        <f>IFERROR(INDEX(DL_Exp,MATCH($CA408,DL_KEY,0)),"M")</f>
        <v>L</v>
      </c>
      <c r="AE408" s="35" t="str">
        <f>IFERROR(INDEX(DL_Edu,MATCH($CA408,DL_KEY,0)),"M")</f>
        <v>L</v>
      </c>
      <c r="AF408" s="34" t="inlineStr">
        <is>
          <t>M</t>
        </is>
      </c>
      <c r="AG408" s="35" t="inlineStr">
        <is>
          <t>M</t>
        </is>
      </c>
      <c r="AH408" s="35" t="inlineStr">
        <is>
          <t>M</t>
        </is>
      </c>
      <c r="AI408" s="35" t="inlineStr">
        <is>
          <t>M</t>
        </is>
      </c>
      <c r="AJ408" s="35" t="inlineStr">
        <is>
          <t>M</t>
        </is>
      </c>
      <c r="AK408" s="35" t="inlineStr">
        <is>
          <t>M</t>
        </is>
      </c>
      <c r="AL408" s="35" t="inlineStr">
        <is>
          <t>M</t>
        </is>
      </c>
      <c r="AM408" s="36" t="n">
        <v>0.5429999999999999</v>
      </c>
      <c r="AN408" s="37" t="n">
        <v>0.177</v>
      </c>
      <c r="AO408" s="37" t="n">
        <v>0.103</v>
      </c>
      <c r="AP408" s="37" t="n">
        <v>0.05</v>
      </c>
      <c r="AQ408" s="37" t="n">
        <v>0.077</v>
      </c>
      <c r="AR408" s="37" t="n">
        <v>0.04</v>
      </c>
      <c r="AS408" s="37" t="n">
        <v>0.01</v>
      </c>
      <c r="AT408" s="38" t="inlineStr">
        <is>
          <t>12–17</t>
        </is>
      </c>
      <c r="AU408" s="38" t="inlineStr">
        <is>
          <t>Postgraduate / professional qualification preferred</t>
        </is>
      </c>
      <c r="AV408" s="38" t="inlineStr">
        <is>
          <t>5–8, mostly managers</t>
        </is>
      </c>
      <c r="AW408" s="38" t="inlineStr">
        <is>
          <t>P6 / M5 · SFIA 5–6</t>
        </is>
      </c>
      <c r="AX40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08" s="39" t="inlineStr">
        <is>
          <t>C1</t>
        </is>
      </c>
      <c r="AZ408" s="40" t="inlineStr">
        <is>
          <t>Band C · Principal / Head · Principal</t>
        </is>
      </c>
      <c r="BA408" s="40" t="inlineStr">
        <is>
          <t>Model C1 from the six ratings, the market-derived weights and rules R1–R13 · then No change · already below the manager</t>
        </is>
      </c>
      <c r="BB408" s="41" t="inlineStr">
        <is>
          <t>C1</t>
        </is>
      </c>
      <c r="BC408" s="40" t="inlineStr">
        <is>
          <t>The six ratings on the market-average weights of Band C · Principal specialist score 7.01 → C1 · Hay, Mercer IPE and public plans · experience 12.5 yrs vs the C1 market range 12–17</t>
        </is>
      </c>
      <c r="BD408" s="42">
        <f>IF(SUM(BM408,BN408,BO408,BP408,BQ408,BR408,BS408)=0,0,(BM408*BT408+BN408*BU408+BO408*BV408+BP408*BW408+BQ408*BX408+BR408*BY408+BS408*BZ408)/SUM(BM408,BN408,BO408,BP408,BQ408,BR408,BS408))</f>
        <v>0</v>
      </c>
      <c r="BE408" s="41" t="str">
        <f>IF(LEFT(AY408,1)="X",AY408,IF(OR(AY408="B+",AY408="C+"),INDEX(LAD_PC,MAX(1,MIN(14,MATCH(AY408,LAD_PC,0)+IF(BD408&gt;=0.5,1,IF(BD408&lt;=-0.5,-1,0))))),INDEX(LAD_STD,MAX(1,MIN(12,MATCH(AY408,LAD_STD,0)+IF(BD408&gt;=0.5,1,IF(BD408&lt;=-0.5,-1,0)))))))</f>
        <v>C1</v>
      </c>
      <c r="BF408" s="43" t="n"/>
      <c r="BG408" s="41" t="str">
        <f>IF(BF408&lt;&gt;"",BF408,BE408)</f>
        <v>C1</v>
      </c>
      <c r="BH408" s="40" t="str">
        <f>IFERROR(CHOOSE(INDEX(B_RANK,MATCH(BG408,B_LVL,0)),"Band A","Band B","B+ · Player-Coach","Band C","C+ · Player-Coach","Band D","Band E"),"Band X · Consultant")</f>
        <v>Band C</v>
      </c>
      <c r="BI408" s="40" t="str">
        <f>IF(BG408=AY408,"• Same",IF(INDEX(B_VAL,MATCH(BG408,B_LVL,0))&gt;INDEX(B_VAL,MATCH(AY408,B_LVL,0)),"▲ Up","▼ Down"))</f>
        <v>• Same</v>
      </c>
      <c r="BJ408" s="40" t="str">
        <f>IF(OR($M408="",$M408="—",$M408="Not in this file"),"",IFERROR(INDEX($BG$7:$BG$592,MATCH($M408,$D$7:$D$592,0)),""))</f>
        <v>D2</v>
      </c>
      <c r="BK408" s="40" t="str">
        <f>IFERROR(IF(BJ408="","—",IF(OR(LEFT(BG408,1)="X",LEFT(BJ408,1)="X"),"—",IF(AND(LEFT(BG408,1)="E",LEFT(BJ408,1)="E"),"Exception · Band E",IF(AND(INDEX(B_VAL,MATCH(BJ408,B_LVL,0))&gt;=7,INDEX(B_RANK,MATCH(BG408,B_LVL,0))&gt;=INDEX(B_RANK,MATCH(BJ408,B_LVL,0))),"⚠ Same band as a head manager",IF(INDEX(B_VAL,MATCH(BG408,B_LVL,0))&gt;=INDEX(B_VAL,MATCH(BJ408,B_LVL,0)),"⚠ At or above the manager's level","OK"))))),"—")</f>
        <v>OK</v>
      </c>
      <c r="BL408" s="43" t="n"/>
      <c r="BM408" s="44">
        <f>IFERROR(INDEX(LMH_PTS,MATCH(Y408,LMH_KEY,0)),0)</f>
        <v>9</v>
      </c>
      <c r="BN408" s="38">
        <f>IFERROR(INDEX(LMH_PTS,MATCH(Z408,LMH_KEY,0)),0)</f>
        <v>3</v>
      </c>
      <c r="BO408" s="38">
        <f>IFERROR(INDEX(LMH_PTS,MATCH(AA408,LMH_KEY,0)),0)</f>
        <v>1</v>
      </c>
      <c r="BP408" s="38">
        <f>IFERROR(INDEX(LMH_PTS,MATCH(AB408,LMH_KEY,0)),0)</f>
        <v>1</v>
      </c>
      <c r="BQ408" s="38">
        <f>IFERROR(INDEX(LMH_PTS,MATCH(AC408,LMH_KEY,0)),0)</f>
        <v>1</v>
      </c>
      <c r="BR408" s="38">
        <f>IFERROR(INDEX(LMH_PTS,MATCH(AD408,LMH_KEY,0)),0)</f>
        <v>1</v>
      </c>
      <c r="BS408" s="38">
        <f>IFERROR(INDEX(LMH_PTS,MATCH(AE408,LMH_KEY,0)),0)</f>
        <v>1</v>
      </c>
      <c r="BT408" s="38">
        <f>IFERROR(INDEX(LMH_STEP,MATCH(AF408,LMH_KEY,0)),0)</f>
        <v>0</v>
      </c>
      <c r="BU408" s="38">
        <f>IFERROR(INDEX(LMH_STEP,MATCH(AG408,LMH_KEY,0)),0)</f>
        <v>0</v>
      </c>
      <c r="BV408" s="38">
        <f>IFERROR(INDEX(LMH_STEP,MATCH(AH408,LMH_KEY,0)),0)</f>
        <v>0</v>
      </c>
      <c r="BW408" s="38">
        <f>IFERROR(INDEX(LMH_STEP,MATCH(AI408,LMH_KEY,0)),0)</f>
        <v>0</v>
      </c>
      <c r="BX408" s="38">
        <f>IFERROR(INDEX(LMH_STEP,MATCH(AJ408,LMH_KEY,0)),0)</f>
        <v>0</v>
      </c>
      <c r="BY408" s="38">
        <f>IFERROR(INDEX(LMH_STEP,MATCH(AK408,LMH_KEY,0)),0)</f>
        <v>0</v>
      </c>
      <c r="BZ408" s="38">
        <f>IFERROR(INDEX(LMH_STEP,MATCH(AL408,LMH_KEY,0)),0)</f>
        <v>0</v>
      </c>
      <c r="CA408" s="38" t="inlineStr">
        <is>
          <t>Datatech|Technology|Solution Architect|C1|C-IC</t>
        </is>
      </c>
    </row>
    <row r="409" ht="110" customHeight="1">
      <c r="A409" s="28" t="inlineStr">
        <is>
          <t>Datatech</t>
        </is>
      </c>
      <c r="B409" s="29" t="inlineStr">
        <is>
          <t>Technology</t>
        </is>
      </c>
      <c r="C409" s="29" t="n">
        <v>2</v>
      </c>
      <c r="D409" s="29" t="inlineStr">
        <is>
          <t>IRISDTC002</t>
        </is>
      </c>
      <c r="E409" s="29" t="inlineStr">
        <is>
          <t>Akshay Shetty</t>
        </is>
      </c>
      <c r="F409" s="29" t="inlineStr">
        <is>
          <t>Consultant -Lead Developer</t>
        </is>
      </c>
      <c r="G409" s="29" t="inlineStr">
        <is>
          <t>Senior Technical Specialist – POD Lead</t>
        </is>
      </c>
      <c r="H409" s="29" t="inlineStr">
        <is>
          <t>Engineering &amp; Development</t>
        </is>
      </c>
      <c r="I409" s="29" t="inlineStr">
        <is>
          <t>Backend Development</t>
        </is>
      </c>
      <c r="J409" s="29" t="inlineStr">
        <is>
          <t>POD Lead</t>
        </is>
      </c>
      <c r="K409" s="29" t="inlineStr">
        <is>
          <t>RC-069</t>
        </is>
      </c>
      <c r="L409" s="29" t="inlineStr">
        <is>
          <t>Shilpa Dhobale</t>
        </is>
      </c>
      <c r="M409" s="29" t="inlineStr">
        <is>
          <t>IRISDT0001</t>
        </is>
      </c>
      <c r="N409" s="29" t="n">
        <v>10.1</v>
      </c>
      <c r="O409" s="29" t="n">
        <v>0.9</v>
      </c>
      <c r="P409" s="29" t="inlineStr">
        <is>
          <t>M.Sc</t>
        </is>
      </c>
      <c r="Q409" s="29" t="inlineStr">
        <is>
          <t>L5 – Lead · IC</t>
        </is>
      </c>
      <c r="R409" s="29" t="inlineStr">
        <is>
          <t>B2</t>
        </is>
      </c>
      <c r="S409" s="30" t="inlineStr">
        <is>
          <t>0 of 20</t>
        </is>
      </c>
      <c r="T409" s="31" t="inlineStr">
        <is>
          <t>Complexity: Evidence reads like B1: Manager note only: end-to-end design and deployment of assigned modules with complex or high-risk features → moved down 0.5
Autonomy: Evidence reads like A3: No survey; note implies design calls on own assigned modules, nothing wider → moved down 0.5
Accountability: Evidence reads like A3: Note: assigned modules end to …</t>
        </is>
      </c>
      <c r="U409" s="31" t="inlineStr">
        <is>
          <t>Received · manager annual, quarterly · 1.	End-to-end design and deployment of modules assigned covering complex or high-risk features
2.	Drive significant tech-debt or reliability improvement. Min 2 in the year
3.	Committed scope delivered per sprint — ≥ 85%. Averaged for quarter
4.	Crash-free sessions — ≥ 99.5% · shared with QA
5.	Change failure rate · % …</t>
        </is>
      </c>
      <c r="V409" s="31" t="inlineStr">
        <is>
          <t>Latest rating: 2 · Potential: Low · 9-box: Performance Risk · Readiness: Performance first</t>
        </is>
      </c>
      <c r="W409" s="31" t="inlineStr">
        <is>
          <t>C M · Au M · Ac L · L L · BI L · Exp H · 10.1 yrs vs 6–9 yrs · Edu H · M.Sc</t>
        </is>
      </c>
      <c r="X409" s="33" t="inlineStr">
        <is>
          <t>Open ▸</t>
        </is>
      </c>
      <c r="Y409" s="34" t="str">
        <f>IFERROR(INDEX(DL_C,MATCH($CA409,DL_KEY,0)),"M")</f>
        <v>H</v>
      </c>
      <c r="Z409" s="35" t="str">
        <f>IFERROR(INDEX(DL_Au,MATCH($CA409,DL_KEY,0)),"M")</f>
        <v>M</v>
      </c>
      <c r="AA409" s="35" t="str">
        <f>IFERROR(INDEX(DL_Ac,MATCH($CA409,DL_KEY,0)),"M")</f>
        <v>L</v>
      </c>
      <c r="AB409" s="35" t="str">
        <f>IFERROR(INDEX(DL_L,MATCH($CA409,DL_KEY,0)),"M")</f>
        <v>L</v>
      </c>
      <c r="AC409" s="35" t="str">
        <f>IFERROR(INDEX(DL_BI,MATCH($CA409,DL_KEY,0)),"M")</f>
        <v>L</v>
      </c>
      <c r="AD409" s="35" t="str">
        <f>IFERROR(INDEX(DL_Exp,MATCH($CA409,DL_KEY,0)),"M")</f>
        <v>L</v>
      </c>
      <c r="AE409" s="35" t="str">
        <f>IFERROR(INDEX(DL_Edu,MATCH($CA409,DL_KEY,0)),"M")</f>
        <v>L</v>
      </c>
      <c r="AF409" s="34" t="inlineStr">
        <is>
          <t>M</t>
        </is>
      </c>
      <c r="AG409" s="35" t="inlineStr">
        <is>
          <t>M</t>
        </is>
      </c>
      <c r="AH409" s="35" t="inlineStr">
        <is>
          <t>M</t>
        </is>
      </c>
      <c r="AI409" s="35" t="inlineStr">
        <is>
          <t>M</t>
        </is>
      </c>
      <c r="AJ409" s="35" t="inlineStr">
        <is>
          <t>M</t>
        </is>
      </c>
      <c r="AK409" s="35" t="inlineStr">
        <is>
          <t>M</t>
        </is>
      </c>
      <c r="AL409" s="35" t="inlineStr">
        <is>
          <t>M</t>
        </is>
      </c>
      <c r="AM409" s="36" t="n">
        <v>0.513</v>
      </c>
      <c r="AN409" s="37" t="n">
        <v>0.173</v>
      </c>
      <c r="AO409" s="37" t="n">
        <v>0.09699999999999999</v>
      </c>
      <c r="AP409" s="37" t="n">
        <v>0.05</v>
      </c>
      <c r="AQ409" s="37" t="n">
        <v>0.07000000000000001</v>
      </c>
      <c r="AR409" s="37" t="n">
        <v>0.06</v>
      </c>
      <c r="AS409" s="37" t="n">
        <v>0.04</v>
      </c>
      <c r="AT409" s="38" t="inlineStr">
        <is>
          <t>6–10</t>
        </is>
      </c>
      <c r="AU409" s="38" t="inlineStr">
        <is>
          <t>Graduate or postgraduate; professional qualification preferred</t>
        </is>
      </c>
      <c r="AV409" s="38" t="inlineStr">
        <is>
          <t>IC: none · People: 6–8 knowledge work, 8–12 standardised delivery</t>
        </is>
      </c>
      <c r="AW409" s="38" t="inlineStr">
        <is>
          <t>P4 / M3 · SFIA 4–5</t>
        </is>
      </c>
      <c r="AX40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09" s="39" t="inlineStr">
        <is>
          <t>B2</t>
        </is>
      </c>
      <c r="AZ409" s="40" t="inlineStr">
        <is>
          <t>Band B · Specialist / Manager · Manager</t>
        </is>
      </c>
      <c r="BA409" s="40" t="inlineStr">
        <is>
          <t>Model B2 from the six ratings, the market-derived weights and rules R1–R13 · then No change · already below the manager</t>
        </is>
      </c>
      <c r="BB409" s="41" t="inlineStr">
        <is>
          <t>B2</t>
        </is>
      </c>
      <c r="BC409" s="40" t="inlineStr">
        <is>
          <t>The six ratings on the market-average weights of Band B · Specialist / POD Lead score 4.57 → B2 · Hay, Mercer IPE and public plans · experience 10.1 yrs vs the B2 market range 6–10</t>
        </is>
      </c>
      <c r="BD409" s="42">
        <f>IF(SUM(BM409,BN409,BO409,BP409,BQ409,BR409,BS409)=0,0,(BM409*BT409+BN409*BU409+BO409*BV409+BP409*BW409+BQ409*BX409+BR409*BY409+BS409*BZ409)/SUM(BM409,BN409,BO409,BP409,BQ409,BR409,BS409))</f>
        <v>0</v>
      </c>
      <c r="BE409" s="41" t="str">
        <f>IF(LEFT(AY409,1)="X",AY409,IF(OR(AY409="B+",AY409="C+"),INDEX(LAD_PC,MAX(1,MIN(14,MATCH(AY409,LAD_PC,0)+IF(BD409&gt;=0.5,1,IF(BD409&lt;=-0.5,-1,0))))),INDEX(LAD_STD,MAX(1,MIN(12,MATCH(AY409,LAD_STD,0)+IF(BD409&gt;=0.5,1,IF(BD409&lt;=-0.5,-1,0)))))))</f>
        <v>B2</v>
      </c>
      <c r="BF409" s="43" t="n"/>
      <c r="BG409" s="41" t="str">
        <f>IF(BF409&lt;&gt;"",BF409,BE409)</f>
        <v>B2</v>
      </c>
      <c r="BH409" s="40" t="str">
        <f>IFERROR(CHOOSE(INDEX(B_RANK,MATCH(BG409,B_LVL,0)),"Band A","Band B","B+ · Player-Coach","Band C","C+ · Player-Coach","Band D","Band E"),"Band X · Consultant")</f>
        <v>Band B</v>
      </c>
      <c r="BI409" s="40" t="str">
        <f>IF(BG409=AY409,"• Same",IF(INDEX(B_VAL,MATCH(BG409,B_LVL,0))&gt;INDEX(B_VAL,MATCH(AY409,B_LVL,0)),"▲ Up","▼ Down"))</f>
        <v>• Same</v>
      </c>
      <c r="BJ409" s="40" t="str">
        <f>IF(OR($M409="",$M409="—",$M409="Not in this file"),"",IFERROR(INDEX($BG$7:$BG$592,MATCH($M409,$D$7:$D$592,0)),""))</f>
        <v>D2</v>
      </c>
      <c r="BK409" s="40" t="str">
        <f>IFERROR(IF(BJ409="","—",IF(OR(LEFT(BG409,1)="X",LEFT(BJ409,1)="X"),"—",IF(AND(LEFT(BG409,1)="E",LEFT(BJ409,1)="E"),"Exception · Band E",IF(AND(INDEX(B_VAL,MATCH(BJ409,B_LVL,0))&gt;=7,INDEX(B_RANK,MATCH(BG409,B_LVL,0))&gt;=INDEX(B_RANK,MATCH(BJ409,B_LVL,0))),"⚠ Same band as a head manager",IF(INDEX(B_VAL,MATCH(BG409,B_LVL,0))&gt;=INDEX(B_VAL,MATCH(BJ409,B_LVL,0)),"⚠ At or above the manager's level","OK"))))),"—")</f>
        <v>OK</v>
      </c>
      <c r="BL409" s="43" t="n"/>
      <c r="BM409" s="44">
        <f>IFERROR(INDEX(LMH_PTS,MATCH(Y409,LMH_KEY,0)),0)</f>
        <v>9</v>
      </c>
      <c r="BN409" s="38">
        <f>IFERROR(INDEX(LMH_PTS,MATCH(Z409,LMH_KEY,0)),0)</f>
        <v>3</v>
      </c>
      <c r="BO409" s="38">
        <f>IFERROR(INDEX(LMH_PTS,MATCH(AA409,LMH_KEY,0)),0)</f>
        <v>1</v>
      </c>
      <c r="BP409" s="38">
        <f>IFERROR(INDEX(LMH_PTS,MATCH(AB409,LMH_KEY,0)),0)</f>
        <v>1</v>
      </c>
      <c r="BQ409" s="38">
        <f>IFERROR(INDEX(LMH_PTS,MATCH(AC409,LMH_KEY,0)),0)</f>
        <v>1</v>
      </c>
      <c r="BR409" s="38">
        <f>IFERROR(INDEX(LMH_PTS,MATCH(AD409,LMH_KEY,0)),0)</f>
        <v>1</v>
      </c>
      <c r="BS409" s="38">
        <f>IFERROR(INDEX(LMH_PTS,MATCH(AE409,LMH_KEY,0)),0)</f>
        <v>1</v>
      </c>
      <c r="BT409" s="38">
        <f>IFERROR(INDEX(LMH_STEP,MATCH(AF409,LMH_KEY,0)),0)</f>
        <v>0</v>
      </c>
      <c r="BU409" s="38">
        <f>IFERROR(INDEX(LMH_STEP,MATCH(AG409,LMH_KEY,0)),0)</f>
        <v>0</v>
      </c>
      <c r="BV409" s="38">
        <f>IFERROR(INDEX(LMH_STEP,MATCH(AH409,LMH_KEY,0)),0)</f>
        <v>0</v>
      </c>
      <c r="BW409" s="38">
        <f>IFERROR(INDEX(LMH_STEP,MATCH(AI409,LMH_KEY,0)),0)</f>
        <v>0</v>
      </c>
      <c r="BX409" s="38">
        <f>IFERROR(INDEX(LMH_STEP,MATCH(AJ409,LMH_KEY,0)),0)</f>
        <v>0</v>
      </c>
      <c r="BY409" s="38">
        <f>IFERROR(INDEX(LMH_STEP,MATCH(AK409,LMH_KEY,0)),0)</f>
        <v>0</v>
      </c>
      <c r="BZ409" s="38">
        <f>IFERROR(INDEX(LMH_STEP,MATCH(AL409,LMH_KEY,0)),0)</f>
        <v>0</v>
      </c>
      <c r="CA409" s="38" t="inlineStr">
        <is>
          <t>Datatech|Technology|Senior Technical Specialist – POD Lead|B2|B-IC</t>
        </is>
      </c>
    </row>
    <row r="410" ht="110" customHeight="1">
      <c r="A410" s="28" t="inlineStr">
        <is>
          <t>Datatech</t>
        </is>
      </c>
      <c r="B410" s="29" t="inlineStr">
        <is>
          <t>Technology</t>
        </is>
      </c>
      <c r="C410" s="29" t="n">
        <v>3</v>
      </c>
      <c r="D410" s="29" t="inlineStr">
        <is>
          <t>IRISDT0002</t>
        </is>
      </c>
      <c r="E410" s="29" t="inlineStr">
        <is>
          <t>Niraj Santosh Patil</t>
        </is>
      </c>
      <c r="F410" s="29" t="inlineStr">
        <is>
          <t>Junior Software Engineer</t>
        </is>
      </c>
      <c r="G410" s="29" t="inlineStr">
        <is>
          <t>Senior Software Engineer</t>
        </is>
      </c>
      <c r="H410" s="29" t="inlineStr">
        <is>
          <t>Engineering &amp; Development</t>
        </is>
      </c>
      <c r="I410" s="29" t="inlineStr">
        <is>
          <t>Backend Development</t>
        </is>
      </c>
      <c r="J410" s="29" t="inlineStr">
        <is>
          <t>IC</t>
        </is>
      </c>
      <c r="K410" s="29" t="inlineStr">
        <is>
          <t>RC-067</t>
        </is>
      </c>
      <c r="L410" s="29" t="inlineStr">
        <is>
          <t>Akshay Shetty</t>
        </is>
      </c>
      <c r="M410" s="29" t="inlineStr">
        <is>
          <t>IRISDTC002</t>
        </is>
      </c>
      <c r="N410" s="29" t="n">
        <v>2.3</v>
      </c>
      <c r="O410" s="29" t="n">
        <v>2.3</v>
      </c>
      <c r="P410" s="29" t="inlineStr">
        <is>
          <t>B.Tech</t>
        </is>
      </c>
      <c r="Q410" s="29" t="inlineStr">
        <is>
          <t>L2 – Trainee</t>
        </is>
      </c>
      <c r="R410" s="29" t="inlineStr">
        <is>
          <t>A3</t>
        </is>
      </c>
      <c r="S410" s="30" t="inlineStr">
        <is>
          <t>20 of 20</t>
        </is>
      </c>
      <c r="T410" s="31"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t>
        </is>
      </c>
      <c r="U410" s="31" t="inlineStr">
        <is>
          <t>Received · manager annual, quarterly · 1.	Committed scope delivered per sprint — ≥ 85%. Averaged for quarter
2.	Crash-free sessions — ≥ 99.5% · shared with QA
3.	Change failure rate · % of releases causing an incident/hotfix — &lt; 10%
4.	Documentation kept current for shipped features — ≥ 90% of new modules documented
5.	Unit test coverage - ≥ 75% by end of …</t>
        </is>
      </c>
      <c r="V410" s="31" t="inlineStr">
        <is>
          <t>Latest rating: 2 · Potential: Low · 9-box: Performance Risk · Readiness: Performance first</t>
        </is>
      </c>
      <c r="W410" s="31" t="inlineStr">
        <is>
          <t>C L · Au L · Ac L · L L · BI M · Exp M · 2.3 yrs vs 2–4 yrs · Edu M · B.Tech</t>
        </is>
      </c>
      <c r="X410" s="33" t="inlineStr">
        <is>
          <t>Open ▸</t>
        </is>
      </c>
      <c r="Y410" s="34" t="str">
        <f>IFERROR(INDEX(DL_C,MATCH($CA410,DL_KEY,0)),"M")</f>
        <v>H</v>
      </c>
      <c r="Z410" s="35" t="str">
        <f>IFERROR(INDEX(DL_Au,MATCH($CA410,DL_KEY,0)),"M")</f>
        <v>M</v>
      </c>
      <c r="AA410" s="35" t="str">
        <f>IFERROR(INDEX(DL_Ac,MATCH($CA410,DL_KEY,0)),"M")</f>
        <v>L</v>
      </c>
      <c r="AB410" s="35" t="str">
        <f>IFERROR(INDEX(DL_L,MATCH($CA410,DL_KEY,0)),"M")</f>
        <v>L</v>
      </c>
      <c r="AC410" s="35" t="str">
        <f>IFERROR(INDEX(DL_BI,MATCH($CA410,DL_KEY,0)),"M")</f>
        <v>L</v>
      </c>
      <c r="AD410" s="35" t="str">
        <f>IFERROR(INDEX(DL_Exp,MATCH($CA410,DL_KEY,0)),"M")</f>
        <v>L</v>
      </c>
      <c r="AE410" s="35" t="str">
        <f>IFERROR(INDEX(DL_Edu,MATCH($CA410,DL_KEY,0)),"M")</f>
        <v>L</v>
      </c>
      <c r="AF410" s="34" t="inlineStr">
        <is>
          <t>M</t>
        </is>
      </c>
      <c r="AG410" s="35" t="inlineStr">
        <is>
          <t>M</t>
        </is>
      </c>
      <c r="AH410" s="35" t="inlineStr">
        <is>
          <t>M</t>
        </is>
      </c>
      <c r="AI410" s="35" t="inlineStr">
        <is>
          <t>M</t>
        </is>
      </c>
      <c r="AJ410" s="35" t="inlineStr">
        <is>
          <t>M</t>
        </is>
      </c>
      <c r="AK410" s="35" t="inlineStr">
        <is>
          <t>M</t>
        </is>
      </c>
      <c r="AL410" s="35" t="inlineStr">
        <is>
          <t>M</t>
        </is>
      </c>
      <c r="AM410" s="36" t="n">
        <v>0.583</v>
      </c>
      <c r="AN410" s="37" t="n">
        <v>0.16</v>
      </c>
      <c r="AO410" s="37" t="n">
        <v>0.09</v>
      </c>
      <c r="AP410" s="37" t="n">
        <v>0</v>
      </c>
      <c r="AQ410" s="37" t="n">
        <v>0.063</v>
      </c>
      <c r="AR410" s="37" t="n">
        <v>0.06</v>
      </c>
      <c r="AS410" s="37" t="n">
        <v>0.04</v>
      </c>
      <c r="AT410" s="38" t="inlineStr">
        <is>
          <t>2–5</t>
        </is>
      </c>
      <c r="AU410" s="38" t="inlineStr">
        <is>
          <t>Graduate; relevant certification preferred</t>
        </is>
      </c>
      <c r="AV410" s="38" t="inlineStr">
        <is>
          <t>None · guides 1–3 juniors informally</t>
        </is>
      </c>
      <c r="AW410" s="38" t="inlineStr">
        <is>
          <t>P2 · SFIA 3 Apply</t>
        </is>
      </c>
      <c r="AX41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10" s="39" t="inlineStr">
        <is>
          <t>A3</t>
        </is>
      </c>
      <c r="AZ410" s="40" t="inlineStr">
        <is>
          <t>Band A · Practitioner · Senior Associate</t>
        </is>
      </c>
      <c r="BA410" s="40" t="inlineStr">
        <is>
          <t>Model A3 from the six ratings, the market-derived weights and rules R1–R13 · then No change · already below the manager</t>
        </is>
      </c>
      <c r="BB410" s="41" t="inlineStr">
        <is>
          <t>A2</t>
        </is>
      </c>
      <c r="BC410" s="40" t="inlineStr">
        <is>
          <t>The six ratings on the market-average weights of Band A · all tracks score 2.08 → A2 · Hay, Mercer IPE and public plans · experience 2.3 yrs vs the A2 market range 0–3</t>
        </is>
      </c>
      <c r="BD410" s="42">
        <f>IF(SUM(BM410,BN410,BO410,BP410,BQ410,BR410,BS410)=0,0,(BM410*BT410+BN410*BU410+BO410*BV410+BP410*BW410+BQ410*BX410+BR410*BY410+BS410*BZ410)/SUM(BM410,BN410,BO410,BP410,BQ410,BR410,BS410))</f>
        <v>0</v>
      </c>
      <c r="BE410" s="41" t="str">
        <f>IF(LEFT(AY410,1)="X",AY410,IF(OR(AY410="B+",AY410="C+"),INDEX(LAD_PC,MAX(1,MIN(14,MATCH(AY410,LAD_PC,0)+IF(BD410&gt;=0.5,1,IF(BD410&lt;=-0.5,-1,0))))),INDEX(LAD_STD,MAX(1,MIN(12,MATCH(AY410,LAD_STD,0)+IF(BD410&gt;=0.5,1,IF(BD410&lt;=-0.5,-1,0)))))))</f>
        <v>A3</v>
      </c>
      <c r="BF410" s="43" t="n"/>
      <c r="BG410" s="41" t="str">
        <f>IF(BF410&lt;&gt;"",BF410,BE410)</f>
        <v>A3</v>
      </c>
      <c r="BH410" s="40" t="str">
        <f>IFERROR(CHOOSE(INDEX(B_RANK,MATCH(BG410,B_LVL,0)),"Band A","Band B","B+ · Player-Coach","Band C","C+ · Player-Coach","Band D","Band E"),"Band X · Consultant")</f>
        <v>Band A</v>
      </c>
      <c r="BI410" s="40" t="str">
        <f>IF(BG410=AY410,"• Same",IF(INDEX(B_VAL,MATCH(BG410,B_LVL,0))&gt;INDEX(B_VAL,MATCH(AY410,B_LVL,0)),"▲ Up","▼ Down"))</f>
        <v>• Same</v>
      </c>
      <c r="BJ410" s="40" t="str">
        <f>IF(OR($M410="",$M410="—",$M410="Not in this file"),"",IFERROR(INDEX($BG$7:$BG$592,MATCH($M410,$D$7:$D$592,0)),""))</f>
        <v>B2</v>
      </c>
      <c r="BK410" s="40" t="str">
        <f>IFERROR(IF(BJ410="","—",IF(OR(LEFT(BG410,1)="X",LEFT(BJ410,1)="X"),"—",IF(AND(LEFT(BG410,1)="E",LEFT(BJ410,1)="E"),"Exception · Band E",IF(AND(INDEX(B_VAL,MATCH(BJ410,B_LVL,0))&gt;=7,INDEX(B_RANK,MATCH(BG410,B_LVL,0))&gt;=INDEX(B_RANK,MATCH(BJ410,B_LVL,0))),"⚠ Same band as a head manager",IF(INDEX(B_VAL,MATCH(BG410,B_LVL,0))&gt;=INDEX(B_VAL,MATCH(BJ410,B_LVL,0)),"⚠ At or above the manager's level","OK"))))),"—")</f>
        <v>OK</v>
      </c>
      <c r="BL410" s="43" t="n"/>
      <c r="BM410" s="44">
        <f>IFERROR(INDEX(LMH_PTS,MATCH(Y410,LMH_KEY,0)),0)</f>
        <v>9</v>
      </c>
      <c r="BN410" s="38">
        <f>IFERROR(INDEX(LMH_PTS,MATCH(Z410,LMH_KEY,0)),0)</f>
        <v>3</v>
      </c>
      <c r="BO410" s="38">
        <f>IFERROR(INDEX(LMH_PTS,MATCH(AA410,LMH_KEY,0)),0)</f>
        <v>1</v>
      </c>
      <c r="BP410" s="38">
        <f>IFERROR(INDEX(LMH_PTS,MATCH(AB410,LMH_KEY,0)),0)</f>
        <v>1</v>
      </c>
      <c r="BQ410" s="38">
        <f>IFERROR(INDEX(LMH_PTS,MATCH(AC410,LMH_KEY,0)),0)</f>
        <v>1</v>
      </c>
      <c r="BR410" s="38">
        <f>IFERROR(INDEX(LMH_PTS,MATCH(AD410,LMH_KEY,0)),0)</f>
        <v>1</v>
      </c>
      <c r="BS410" s="38">
        <f>IFERROR(INDEX(LMH_PTS,MATCH(AE410,LMH_KEY,0)),0)</f>
        <v>1</v>
      </c>
      <c r="BT410" s="38">
        <f>IFERROR(INDEX(LMH_STEP,MATCH(AF410,LMH_KEY,0)),0)</f>
        <v>0</v>
      </c>
      <c r="BU410" s="38">
        <f>IFERROR(INDEX(LMH_STEP,MATCH(AG410,LMH_KEY,0)),0)</f>
        <v>0</v>
      </c>
      <c r="BV410" s="38">
        <f>IFERROR(INDEX(LMH_STEP,MATCH(AH410,LMH_KEY,0)),0)</f>
        <v>0</v>
      </c>
      <c r="BW410" s="38">
        <f>IFERROR(INDEX(LMH_STEP,MATCH(AI410,LMH_KEY,0)),0)</f>
        <v>0</v>
      </c>
      <c r="BX410" s="38">
        <f>IFERROR(INDEX(LMH_STEP,MATCH(AJ410,LMH_KEY,0)),0)</f>
        <v>0</v>
      </c>
      <c r="BY410" s="38">
        <f>IFERROR(INDEX(LMH_STEP,MATCH(AK410,LMH_KEY,0)),0)</f>
        <v>0</v>
      </c>
      <c r="BZ410" s="38">
        <f>IFERROR(INDEX(LMH_STEP,MATCH(AL410,LMH_KEY,0)),0)</f>
        <v>0</v>
      </c>
      <c r="CA410" s="38" t="inlineStr">
        <is>
          <t>Datatech|Technology|Senior Software Engineer|A3|A</t>
        </is>
      </c>
    </row>
    <row r="411" ht="110" customHeight="1">
      <c r="A411" s="28" t="inlineStr">
        <is>
          <t>Datatech</t>
        </is>
      </c>
      <c r="B411" s="29" t="inlineStr">
        <is>
          <t>Technology</t>
        </is>
      </c>
      <c r="C411" s="29" t="n">
        <v>3</v>
      </c>
      <c r="D411" s="29" t="inlineStr">
        <is>
          <t>IRISDT0004</t>
        </is>
      </c>
      <c r="E411" s="29" t="inlineStr">
        <is>
          <t>Krishnadev Arya</t>
        </is>
      </c>
      <c r="F411" s="29" t="inlineStr">
        <is>
          <t>Junior Software Engineer</t>
        </is>
      </c>
      <c r="G411" s="29" t="inlineStr">
        <is>
          <t>Software Engineer</t>
        </is>
      </c>
      <c r="H411" s="29" t="inlineStr">
        <is>
          <t>Engineering &amp; Development</t>
        </is>
      </c>
      <c r="I411" s="29" t="inlineStr">
        <is>
          <t>Backend Development</t>
        </is>
      </c>
      <c r="J411" s="29" t="inlineStr">
        <is>
          <t>IC</t>
        </is>
      </c>
      <c r="K411" s="29" t="inlineStr">
        <is>
          <t>RC-066</t>
        </is>
      </c>
      <c r="L411" s="29" t="inlineStr">
        <is>
          <t>Akshay Shetty</t>
        </is>
      </c>
      <c r="M411" s="29" t="inlineStr">
        <is>
          <t>IRISDTC002</t>
        </is>
      </c>
      <c r="N411" s="29" t="n">
        <v>1.7</v>
      </c>
      <c r="O411" s="29" t="n">
        <v>1.7</v>
      </c>
      <c r="P411" s="29" t="inlineStr">
        <is>
          <t>B.E</t>
        </is>
      </c>
      <c r="Q411" s="29" t="inlineStr">
        <is>
          <t>L3 – Professional / Associate</t>
        </is>
      </c>
      <c r="R411" s="29" t="inlineStr">
        <is>
          <t>A2</t>
        </is>
      </c>
      <c r="S411" s="30" t="inlineStr">
        <is>
          <t>20 of 20</t>
        </is>
      </c>
      <c r="T411" s="31"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t>
        </is>
      </c>
      <c r="U411" s="31" t="inlineStr">
        <is>
          <t>Received · manager annual, quarterly · 1.	Committed scope delivered per sprint — ≥ 85%. Averaged for quarter
2.	Crash-free sessions — ≥ 99.5% · shared with QA
3.	Change failure rate · % of releases causing an incident/hotfix — &lt; 10%
4.	Documentation kept current for shipped features — ≥ 90% of new modules documented
5.	Unit test coverage - ≥ 75% by end of …</t>
        </is>
      </c>
      <c r="V411" s="31" t="inlineStr">
        <is>
          <t>Latest rating: 2 · Potential: Low · 9-box: Performance Risk · Readiness: Performance first</t>
        </is>
      </c>
      <c r="W411" s="31" t="inlineStr">
        <is>
          <t>C M · Au M · Ac M · L L · BI M · Exp M · 1.7 yrs vs 0–2 yrs · Edu M · B.E</t>
        </is>
      </c>
      <c r="X411" s="33" t="inlineStr">
        <is>
          <t>Open ▸</t>
        </is>
      </c>
      <c r="Y411" s="34" t="str">
        <f>IFERROR(INDEX(DL_C,MATCH($CA411,DL_KEY,0)),"M")</f>
        <v>H</v>
      </c>
      <c r="Z411" s="35" t="str">
        <f>IFERROR(INDEX(DL_Au,MATCH($CA411,DL_KEY,0)),"M")</f>
        <v>M</v>
      </c>
      <c r="AA411" s="35" t="str">
        <f>IFERROR(INDEX(DL_Ac,MATCH($CA411,DL_KEY,0)),"M")</f>
        <v>L</v>
      </c>
      <c r="AB411" s="35" t="str">
        <f>IFERROR(INDEX(DL_L,MATCH($CA411,DL_KEY,0)),"M")</f>
        <v>L</v>
      </c>
      <c r="AC411" s="35" t="str">
        <f>IFERROR(INDEX(DL_BI,MATCH($CA411,DL_KEY,0)),"M")</f>
        <v>L</v>
      </c>
      <c r="AD411" s="35" t="str">
        <f>IFERROR(INDEX(DL_Exp,MATCH($CA411,DL_KEY,0)),"M")</f>
        <v>L</v>
      </c>
      <c r="AE411" s="35" t="str">
        <f>IFERROR(INDEX(DL_Edu,MATCH($CA411,DL_KEY,0)),"M")</f>
        <v>L</v>
      </c>
      <c r="AF411" s="34" t="inlineStr">
        <is>
          <t>M</t>
        </is>
      </c>
      <c r="AG411" s="35" t="inlineStr">
        <is>
          <t>M</t>
        </is>
      </c>
      <c r="AH411" s="35" t="inlineStr">
        <is>
          <t>M</t>
        </is>
      </c>
      <c r="AI411" s="35" t="inlineStr">
        <is>
          <t>M</t>
        </is>
      </c>
      <c r="AJ411" s="35" t="inlineStr">
        <is>
          <t>M</t>
        </is>
      </c>
      <c r="AK411" s="35" t="inlineStr">
        <is>
          <t>M</t>
        </is>
      </c>
      <c r="AL411" s="35" t="inlineStr">
        <is>
          <t>M</t>
        </is>
      </c>
      <c r="AM411" s="36" t="n">
        <v>0.583</v>
      </c>
      <c r="AN411" s="37" t="n">
        <v>0.16</v>
      </c>
      <c r="AO411" s="37" t="n">
        <v>0.09</v>
      </c>
      <c r="AP411" s="37" t="n">
        <v>0</v>
      </c>
      <c r="AQ411" s="37" t="n">
        <v>0.063</v>
      </c>
      <c r="AR411" s="37" t="n">
        <v>0.06</v>
      </c>
      <c r="AS411" s="37" t="n">
        <v>0.04</v>
      </c>
      <c r="AT411" s="38" t="inlineStr">
        <is>
          <t>0–3</t>
        </is>
      </c>
      <c r="AU411" s="38" t="inlineStr">
        <is>
          <t>Graduate · or diploma with experience</t>
        </is>
      </c>
      <c r="AV411" s="38" t="inlineStr">
        <is>
          <t>No direct reports</t>
        </is>
      </c>
      <c r="AW411" s="38" t="inlineStr">
        <is>
          <t>P1–P2 · SFIA 2 Assist</t>
        </is>
      </c>
      <c r="AX41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11" s="39" t="inlineStr">
        <is>
          <t>A2</t>
        </is>
      </c>
      <c r="AZ411" s="40" t="inlineStr">
        <is>
          <t>Band A · Practitioner · Associate</t>
        </is>
      </c>
      <c r="BA411" s="40" t="inlineStr">
        <is>
          <t>Model A2 from the six ratings, the market-derived weights and rules R1–R13 · then No change · already below the manager</t>
        </is>
      </c>
      <c r="BB411" s="41" t="inlineStr">
        <is>
          <t>A2</t>
        </is>
      </c>
      <c r="BC411" s="40" t="inlineStr">
        <is>
          <t>The six ratings on the market-average weights of Band A · all tracks score 2.08 → A2 · Hay, Mercer IPE and public plans · experience 1.7 yrs vs the A2 market range 0–3</t>
        </is>
      </c>
      <c r="BD411" s="42">
        <f>IF(SUM(BM411,BN411,BO411,BP411,BQ411,BR411,BS411)=0,0,(BM411*BT411+BN411*BU411+BO411*BV411+BP411*BW411+BQ411*BX411+BR411*BY411+BS411*BZ411)/SUM(BM411,BN411,BO411,BP411,BQ411,BR411,BS411))</f>
        <v>0</v>
      </c>
      <c r="BE411" s="41" t="str">
        <f>IF(LEFT(AY411,1)="X",AY411,IF(OR(AY411="B+",AY411="C+"),INDEX(LAD_PC,MAX(1,MIN(14,MATCH(AY411,LAD_PC,0)+IF(BD411&gt;=0.5,1,IF(BD411&lt;=-0.5,-1,0))))),INDEX(LAD_STD,MAX(1,MIN(12,MATCH(AY411,LAD_STD,0)+IF(BD411&gt;=0.5,1,IF(BD411&lt;=-0.5,-1,0)))))))</f>
        <v>A2</v>
      </c>
      <c r="BF411" s="43" t="n"/>
      <c r="BG411" s="41" t="str">
        <f>IF(BF411&lt;&gt;"",BF411,BE411)</f>
        <v>A2</v>
      </c>
      <c r="BH411" s="40" t="str">
        <f>IFERROR(CHOOSE(INDEX(B_RANK,MATCH(BG411,B_LVL,0)),"Band A","Band B","B+ · Player-Coach","Band C","C+ · Player-Coach","Band D","Band E"),"Band X · Consultant")</f>
        <v>Band A</v>
      </c>
      <c r="BI411" s="40" t="str">
        <f>IF(BG411=AY411,"• Same",IF(INDEX(B_VAL,MATCH(BG411,B_LVL,0))&gt;INDEX(B_VAL,MATCH(AY411,B_LVL,0)),"▲ Up","▼ Down"))</f>
        <v>• Same</v>
      </c>
      <c r="BJ411" s="40" t="str">
        <f>IF(OR($M411="",$M411="—",$M411="Not in this file"),"",IFERROR(INDEX($BG$7:$BG$592,MATCH($M411,$D$7:$D$592,0)),""))</f>
        <v>B2</v>
      </c>
      <c r="BK411" s="40" t="str">
        <f>IFERROR(IF(BJ411="","—",IF(OR(LEFT(BG411,1)="X",LEFT(BJ411,1)="X"),"—",IF(AND(LEFT(BG411,1)="E",LEFT(BJ411,1)="E"),"Exception · Band E",IF(AND(INDEX(B_VAL,MATCH(BJ411,B_LVL,0))&gt;=7,INDEX(B_RANK,MATCH(BG411,B_LVL,0))&gt;=INDEX(B_RANK,MATCH(BJ411,B_LVL,0))),"⚠ Same band as a head manager",IF(INDEX(B_VAL,MATCH(BG411,B_LVL,0))&gt;=INDEX(B_VAL,MATCH(BJ411,B_LVL,0)),"⚠ At or above the manager's level","OK"))))),"—")</f>
        <v>OK</v>
      </c>
      <c r="BL411" s="43" t="n"/>
      <c r="BM411" s="44">
        <f>IFERROR(INDEX(LMH_PTS,MATCH(Y411,LMH_KEY,0)),0)</f>
        <v>9</v>
      </c>
      <c r="BN411" s="38">
        <f>IFERROR(INDEX(LMH_PTS,MATCH(Z411,LMH_KEY,0)),0)</f>
        <v>3</v>
      </c>
      <c r="BO411" s="38">
        <f>IFERROR(INDEX(LMH_PTS,MATCH(AA411,LMH_KEY,0)),0)</f>
        <v>1</v>
      </c>
      <c r="BP411" s="38">
        <f>IFERROR(INDEX(LMH_PTS,MATCH(AB411,LMH_KEY,0)),0)</f>
        <v>1</v>
      </c>
      <c r="BQ411" s="38">
        <f>IFERROR(INDEX(LMH_PTS,MATCH(AC411,LMH_KEY,0)),0)</f>
        <v>1</v>
      </c>
      <c r="BR411" s="38">
        <f>IFERROR(INDEX(LMH_PTS,MATCH(AD411,LMH_KEY,0)),0)</f>
        <v>1</v>
      </c>
      <c r="BS411" s="38">
        <f>IFERROR(INDEX(LMH_PTS,MATCH(AE411,LMH_KEY,0)),0)</f>
        <v>1</v>
      </c>
      <c r="BT411" s="38">
        <f>IFERROR(INDEX(LMH_STEP,MATCH(AF411,LMH_KEY,0)),0)</f>
        <v>0</v>
      </c>
      <c r="BU411" s="38">
        <f>IFERROR(INDEX(LMH_STEP,MATCH(AG411,LMH_KEY,0)),0)</f>
        <v>0</v>
      </c>
      <c r="BV411" s="38">
        <f>IFERROR(INDEX(LMH_STEP,MATCH(AH411,LMH_KEY,0)),0)</f>
        <v>0</v>
      </c>
      <c r="BW411" s="38">
        <f>IFERROR(INDEX(LMH_STEP,MATCH(AI411,LMH_KEY,0)),0)</f>
        <v>0</v>
      </c>
      <c r="BX411" s="38">
        <f>IFERROR(INDEX(LMH_STEP,MATCH(AJ411,LMH_KEY,0)),0)</f>
        <v>0</v>
      </c>
      <c r="BY411" s="38">
        <f>IFERROR(INDEX(LMH_STEP,MATCH(AK411,LMH_KEY,0)),0)</f>
        <v>0</v>
      </c>
      <c r="BZ411" s="38">
        <f>IFERROR(INDEX(LMH_STEP,MATCH(AL411,LMH_KEY,0)),0)</f>
        <v>0</v>
      </c>
      <c r="CA411" s="38" t="inlineStr">
        <is>
          <t>Datatech|Technology|Software Engineer|A2|A</t>
        </is>
      </c>
    </row>
    <row r="412" ht="110" customHeight="1">
      <c r="A412" s="28" t="inlineStr">
        <is>
          <t>Datatech</t>
        </is>
      </c>
      <c r="B412" s="29" t="inlineStr">
        <is>
          <t>Marketing</t>
        </is>
      </c>
      <c r="C412" s="29" t="n">
        <v>2</v>
      </c>
      <c r="D412" s="29" t="inlineStr">
        <is>
          <t>IRISDT0009</t>
        </is>
      </c>
      <c r="E412" s="29" t="inlineStr">
        <is>
          <t>Ankita Pathak</t>
        </is>
      </c>
      <c r="F412" s="29" t="inlineStr">
        <is>
          <t>Manager Marketing</t>
        </is>
      </c>
      <c r="G412" s="29" t="inlineStr">
        <is>
          <t>Marketing Specialist – POD Lead</t>
        </is>
      </c>
      <c r="H412" s="29" t="inlineStr">
        <is>
          <t>Marketing &amp; Communications</t>
        </is>
      </c>
      <c r="I412" s="29" t="inlineStr">
        <is>
          <t>Marketing Leadership</t>
        </is>
      </c>
      <c r="J412" s="29" t="inlineStr">
        <is>
          <t>POD Lead</t>
        </is>
      </c>
      <c r="K412" s="29" t="inlineStr">
        <is>
          <t>RC-119</t>
        </is>
      </c>
      <c r="L412" s="29" t="inlineStr">
        <is>
          <t>Shilpa Dhobale</t>
        </is>
      </c>
      <c r="M412" s="29" t="inlineStr">
        <is>
          <t>IRISDT0001</t>
        </is>
      </c>
      <c r="N412" s="29" t="n">
        <v>5.7</v>
      </c>
      <c r="O412" s="29" t="n">
        <v>1.1</v>
      </c>
      <c r="P412" s="29" t="inlineStr">
        <is>
          <t>PGDBM</t>
        </is>
      </c>
      <c r="Q412" s="29" t="inlineStr">
        <is>
          <t>L5 – Manager</t>
        </is>
      </c>
      <c r="R412" s="29" t="inlineStr">
        <is>
          <t>B2</t>
        </is>
      </c>
      <c r="S412" s="30" t="inlineStr">
        <is>
          <t>20 of 20</t>
        </is>
      </c>
      <c r="T412" s="31" t="inlineStr">
        <is>
          <t>Complexity: Evidence reads like B2: Builds MSME marketing from scratch: strategy, performance marketing, ASO, ORM, engagement journeys, analytics → matches the start
Autonomy: Evidence reads like B1: Decides campaigns and the content calendar; prioritises experiments for a small team → moved down 0.5
Accountability: Evidence reads like B1: Marketing …</t>
        </is>
      </c>
      <c r="U412" s="32" t="inlineStr">
        <is>
          <t>KRAs not received · manager to supply</t>
        </is>
      </c>
      <c r="V412" s="31" t="inlineStr">
        <is>
          <t>Latest rating: 3 · 9-box: High Impact / Growth Talent · Readiness: Develop in role</t>
        </is>
      </c>
      <c r="W412" s="31" t="inlineStr">
        <is>
          <t>C M · Au M · Ac L · L L · BI M · Exp L · 5.7 yrs vs 6–9 yrs · Edu H · PGDBM</t>
        </is>
      </c>
      <c r="X412" s="33" t="inlineStr">
        <is>
          <t>Open ▸</t>
        </is>
      </c>
      <c r="Y412" s="34" t="str">
        <f>IFERROR(INDEX(DL_C,MATCH($CA412,DL_KEY,0)),"M")</f>
        <v>H</v>
      </c>
      <c r="Z412" s="35" t="str">
        <f>IFERROR(INDEX(DL_Au,MATCH($CA412,DL_KEY,0)),"M")</f>
        <v>M</v>
      </c>
      <c r="AA412" s="35" t="str">
        <f>IFERROR(INDEX(DL_Ac,MATCH($CA412,DL_KEY,0)),"M")</f>
        <v>L</v>
      </c>
      <c r="AB412" s="35" t="str">
        <f>IFERROR(INDEX(DL_L,MATCH($CA412,DL_KEY,0)),"M")</f>
        <v>L</v>
      </c>
      <c r="AC412" s="35" t="str">
        <f>IFERROR(INDEX(DL_BI,MATCH($CA412,DL_KEY,0)),"M")</f>
        <v>M</v>
      </c>
      <c r="AD412" s="35" t="str">
        <f>IFERROR(INDEX(DL_Exp,MATCH($CA412,DL_KEY,0)),"M")</f>
        <v>L</v>
      </c>
      <c r="AE412" s="35" t="str">
        <f>IFERROR(INDEX(DL_Edu,MATCH($CA412,DL_KEY,0)),"M")</f>
        <v>L</v>
      </c>
      <c r="AF412" s="34" t="inlineStr">
        <is>
          <t>M</t>
        </is>
      </c>
      <c r="AG412" s="35" t="inlineStr">
        <is>
          <t>M</t>
        </is>
      </c>
      <c r="AH412" s="35" t="inlineStr">
        <is>
          <t>M</t>
        </is>
      </c>
      <c r="AI412" s="35" t="inlineStr">
        <is>
          <t>M</t>
        </is>
      </c>
      <c r="AJ412" s="35" t="inlineStr">
        <is>
          <t>M</t>
        </is>
      </c>
      <c r="AK412" s="35" t="inlineStr">
        <is>
          <t>M</t>
        </is>
      </c>
      <c r="AL412" s="35" t="inlineStr">
        <is>
          <t>M</t>
        </is>
      </c>
      <c r="AM412" s="36" t="n">
        <v>0.513</v>
      </c>
      <c r="AN412" s="37" t="n">
        <v>0.173</v>
      </c>
      <c r="AO412" s="37" t="n">
        <v>0.09699999999999999</v>
      </c>
      <c r="AP412" s="37" t="n">
        <v>0.05</v>
      </c>
      <c r="AQ412" s="37" t="n">
        <v>0.07000000000000001</v>
      </c>
      <c r="AR412" s="37" t="n">
        <v>0.06</v>
      </c>
      <c r="AS412" s="37" t="n">
        <v>0.04</v>
      </c>
      <c r="AT412" s="38" t="inlineStr">
        <is>
          <t>6–10</t>
        </is>
      </c>
      <c r="AU412" s="38" t="inlineStr">
        <is>
          <t>Graduate or postgraduate; professional qualification preferred</t>
        </is>
      </c>
      <c r="AV412" s="38" t="inlineStr">
        <is>
          <t>IC: none · People: 6–8 knowledge work, 8–12 standardised delivery</t>
        </is>
      </c>
      <c r="AW412" s="38" t="inlineStr">
        <is>
          <t>P4 / M3 · SFIA 4–5</t>
        </is>
      </c>
      <c r="AX41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12" s="39" t="inlineStr">
        <is>
          <t>B2</t>
        </is>
      </c>
      <c r="AZ412" s="40" t="inlineStr">
        <is>
          <t>Band B · Specialist / Manager · Manager</t>
        </is>
      </c>
      <c r="BA412" s="40" t="inlineStr">
        <is>
          <t>Model B2 from the six ratings, the market-derived weights and rules R1–R13 · then No change · already below the manager</t>
        </is>
      </c>
      <c r="BB412" s="41" t="inlineStr">
        <is>
          <t>B2</t>
        </is>
      </c>
      <c r="BC412" s="40" t="inlineStr">
        <is>
          <t>The six ratings on the market-average weights of Band B · Specialist / POD Lead score 4.68 → B2 · Hay, Mercer IPE and public plans · experience 5.7 yrs vs the B2 market range 6–10</t>
        </is>
      </c>
      <c r="BD412" s="42">
        <f>IF(SUM(BM412,BN412,BO412,BP412,BQ412,BR412,BS412)=0,0,(BM412*BT412+BN412*BU412+BO412*BV412+BP412*BW412+BQ412*BX412+BR412*BY412+BS412*BZ412)/SUM(BM412,BN412,BO412,BP412,BQ412,BR412,BS412))</f>
        <v>0</v>
      </c>
      <c r="BE412" s="41" t="str">
        <f>IF(LEFT(AY412,1)="X",AY412,IF(OR(AY412="B+",AY412="C+"),INDEX(LAD_PC,MAX(1,MIN(14,MATCH(AY412,LAD_PC,0)+IF(BD412&gt;=0.5,1,IF(BD412&lt;=-0.5,-1,0))))),INDEX(LAD_STD,MAX(1,MIN(12,MATCH(AY412,LAD_STD,0)+IF(BD412&gt;=0.5,1,IF(BD412&lt;=-0.5,-1,0)))))))</f>
        <v>B2</v>
      </c>
      <c r="BF412" s="43" t="n"/>
      <c r="BG412" s="41" t="str">
        <f>IF(BF412&lt;&gt;"",BF412,BE412)</f>
        <v>B2</v>
      </c>
      <c r="BH412" s="40" t="str">
        <f>IFERROR(CHOOSE(INDEX(B_RANK,MATCH(BG412,B_LVL,0)),"Band A","Band B","B+ · Player-Coach","Band C","C+ · Player-Coach","Band D","Band E"),"Band X · Consultant")</f>
        <v>Band B</v>
      </c>
      <c r="BI412" s="40" t="str">
        <f>IF(BG412=AY412,"• Same",IF(INDEX(B_VAL,MATCH(BG412,B_LVL,0))&gt;INDEX(B_VAL,MATCH(AY412,B_LVL,0)),"▲ Up","▼ Down"))</f>
        <v>• Same</v>
      </c>
      <c r="BJ412" s="40" t="str">
        <f>IF(OR($M412="",$M412="—",$M412="Not in this file"),"",IFERROR(INDEX($BG$7:$BG$592,MATCH($M412,$D$7:$D$592,0)),""))</f>
        <v>D2</v>
      </c>
      <c r="BK412" s="40" t="str">
        <f>IFERROR(IF(BJ412="","—",IF(OR(LEFT(BG412,1)="X",LEFT(BJ412,1)="X"),"—",IF(AND(LEFT(BG412,1)="E",LEFT(BJ412,1)="E"),"Exception · Band E",IF(AND(INDEX(B_VAL,MATCH(BJ412,B_LVL,0))&gt;=7,INDEX(B_RANK,MATCH(BG412,B_LVL,0))&gt;=INDEX(B_RANK,MATCH(BJ412,B_LVL,0))),"⚠ Same band as a head manager",IF(INDEX(B_VAL,MATCH(BG412,B_LVL,0))&gt;=INDEX(B_VAL,MATCH(BJ412,B_LVL,0)),"⚠ At or above the manager's level","OK"))))),"—")</f>
        <v>OK</v>
      </c>
      <c r="BL412" s="43" t="n"/>
      <c r="BM412" s="44">
        <f>IFERROR(INDEX(LMH_PTS,MATCH(Y412,LMH_KEY,0)),0)</f>
        <v>9</v>
      </c>
      <c r="BN412" s="38">
        <f>IFERROR(INDEX(LMH_PTS,MATCH(Z412,LMH_KEY,0)),0)</f>
        <v>3</v>
      </c>
      <c r="BO412" s="38">
        <f>IFERROR(INDEX(LMH_PTS,MATCH(AA412,LMH_KEY,0)),0)</f>
        <v>1</v>
      </c>
      <c r="BP412" s="38">
        <f>IFERROR(INDEX(LMH_PTS,MATCH(AB412,LMH_KEY,0)),0)</f>
        <v>1</v>
      </c>
      <c r="BQ412" s="38">
        <f>IFERROR(INDEX(LMH_PTS,MATCH(AC412,LMH_KEY,0)),0)</f>
        <v>3</v>
      </c>
      <c r="BR412" s="38">
        <f>IFERROR(INDEX(LMH_PTS,MATCH(AD412,LMH_KEY,0)),0)</f>
        <v>1</v>
      </c>
      <c r="BS412" s="38">
        <f>IFERROR(INDEX(LMH_PTS,MATCH(AE412,LMH_KEY,0)),0)</f>
        <v>1</v>
      </c>
      <c r="BT412" s="38">
        <f>IFERROR(INDEX(LMH_STEP,MATCH(AF412,LMH_KEY,0)),0)</f>
        <v>0</v>
      </c>
      <c r="BU412" s="38">
        <f>IFERROR(INDEX(LMH_STEP,MATCH(AG412,LMH_KEY,0)),0)</f>
        <v>0</v>
      </c>
      <c r="BV412" s="38">
        <f>IFERROR(INDEX(LMH_STEP,MATCH(AH412,LMH_KEY,0)),0)</f>
        <v>0</v>
      </c>
      <c r="BW412" s="38">
        <f>IFERROR(INDEX(LMH_STEP,MATCH(AI412,LMH_KEY,0)),0)</f>
        <v>0</v>
      </c>
      <c r="BX412" s="38">
        <f>IFERROR(INDEX(LMH_STEP,MATCH(AJ412,LMH_KEY,0)),0)</f>
        <v>0</v>
      </c>
      <c r="BY412" s="38">
        <f>IFERROR(INDEX(LMH_STEP,MATCH(AK412,LMH_KEY,0)),0)</f>
        <v>0</v>
      </c>
      <c r="BZ412" s="38">
        <f>IFERROR(INDEX(LMH_STEP,MATCH(AL412,LMH_KEY,0)),0)</f>
        <v>0</v>
      </c>
      <c r="CA412" s="38" t="inlineStr">
        <is>
          <t>Datatech|Marketing|Marketing Specialist – POD Lead|B2|B-IC</t>
        </is>
      </c>
    </row>
    <row r="413" ht="110" customHeight="1">
      <c r="A413" s="28" t="inlineStr">
        <is>
          <t>Datatech</t>
        </is>
      </c>
      <c r="B413" s="29" t="inlineStr">
        <is>
          <t>Marketing</t>
        </is>
      </c>
      <c r="C413" s="29" t="n">
        <v>3</v>
      </c>
      <c r="D413" s="29" t="inlineStr">
        <is>
          <t>IRISDTC001</t>
        </is>
      </c>
      <c r="E413" s="29" t="inlineStr">
        <is>
          <t>Lalit Subhash Dhamale</t>
        </is>
      </c>
      <c r="F413" s="29" t="inlineStr">
        <is>
          <t>Social Media &amp; ORM Specialist</t>
        </is>
      </c>
      <c r="G413" s="29" t="inlineStr">
        <is>
          <t>Senior Digital Marketing Associate</t>
        </is>
      </c>
      <c r="H413" s="29" t="inlineStr">
        <is>
          <t>Marketing &amp; Communications</t>
        </is>
      </c>
      <c r="I413" s="29" t="inlineStr">
        <is>
          <t>Digital Marketing, Web &amp; Social</t>
        </is>
      </c>
      <c r="J413" s="29" t="inlineStr">
        <is>
          <t>IC</t>
        </is>
      </c>
      <c r="K413" s="29" t="inlineStr">
        <is>
          <t>RC-117</t>
        </is>
      </c>
      <c r="L413" s="29" t="inlineStr">
        <is>
          <t>Ankita Pathak</t>
        </is>
      </c>
      <c r="M413" s="29" t="inlineStr">
        <is>
          <t>IRISDT0009</t>
        </is>
      </c>
      <c r="N413" s="29" t="n">
        <v>2.9</v>
      </c>
      <c r="O413" s="29" t="n">
        <v>0.3</v>
      </c>
      <c r="P413" s="29" t="inlineStr">
        <is>
          <t>Diploma in Chemical Engineering</t>
        </is>
      </c>
      <c r="Q413" s="29" t="inlineStr">
        <is>
          <t>Not in current mapping files</t>
        </is>
      </c>
      <c r="R413" s="29" t="inlineStr">
        <is>
          <t>A3</t>
        </is>
      </c>
      <c r="S413" s="30" t="inlineStr">
        <is>
          <t>20 of 20</t>
        </is>
      </c>
      <c r="T413" s="31" t="inlineStr">
        <is>
          <t>Complexity: Evidence reads like A2: Creates social posts and reels, researches trends, tracks followers, reach and engagement for two brands → moved down 1
Autonomy: Evidence reads like A1: States that decisions need approval → moved down 1
Accountability: Evidence reads like A2: Accountable for social media posting and scheduling; errors are wrong captions …</t>
        </is>
      </c>
      <c r="U413" s="31" t="inlineStr">
        <is>
          <t>Received · manager annual · a. Social Media Growth - 30%
b. Humans of MSME - 1 story per week, growth of 100%
c. Social Media Posts - 5 per week 
d. Ideation for B2B &amp; B2C posts 
e. Active LinkedIn &amp; Twitter engagement 
f. Customer Testimonials on SM
g. Creating viral/trend based content / Moment Marketing
h. App Store/ Play Store Reviews and …</t>
        </is>
      </c>
      <c r="V413" s="31" t="inlineStr">
        <is>
          <t>Latest rating: 4 · Potential: High · 9-box: Reliable Specialist · Readiness: Ready now</t>
        </is>
      </c>
      <c r="W413" s="31" t="inlineStr">
        <is>
          <t>C M · Au M · Ac M · L L · BI M · Exp M · 2.9 yrs vs 2–4 yrs · Edu M · Diploma in Chemical Engineering</t>
        </is>
      </c>
      <c r="X413" s="33" t="inlineStr">
        <is>
          <t>Open ▸</t>
        </is>
      </c>
      <c r="Y413" s="34" t="str">
        <f>IFERROR(INDEX(DL_C,MATCH($CA413,DL_KEY,0)),"M")</f>
        <v>H</v>
      </c>
      <c r="Z413" s="35" t="str">
        <f>IFERROR(INDEX(DL_Au,MATCH($CA413,DL_KEY,0)),"M")</f>
        <v>M</v>
      </c>
      <c r="AA413" s="35" t="str">
        <f>IFERROR(INDEX(DL_Ac,MATCH($CA413,DL_KEY,0)),"M")</f>
        <v>L</v>
      </c>
      <c r="AB413" s="35" t="str">
        <f>IFERROR(INDEX(DL_L,MATCH($CA413,DL_KEY,0)),"M")</f>
        <v>L</v>
      </c>
      <c r="AC413" s="35" t="str">
        <f>IFERROR(INDEX(DL_BI,MATCH($CA413,DL_KEY,0)),"M")</f>
        <v>M</v>
      </c>
      <c r="AD413" s="35" t="str">
        <f>IFERROR(INDEX(DL_Exp,MATCH($CA413,DL_KEY,0)),"M")</f>
        <v>L</v>
      </c>
      <c r="AE413" s="35" t="str">
        <f>IFERROR(INDEX(DL_Edu,MATCH($CA413,DL_KEY,0)),"M")</f>
        <v>L</v>
      </c>
      <c r="AF413" s="34" t="inlineStr">
        <is>
          <t>M</t>
        </is>
      </c>
      <c r="AG413" s="35" t="inlineStr">
        <is>
          <t>M</t>
        </is>
      </c>
      <c r="AH413" s="35" t="inlineStr">
        <is>
          <t>M</t>
        </is>
      </c>
      <c r="AI413" s="35" t="inlineStr">
        <is>
          <t>M</t>
        </is>
      </c>
      <c r="AJ413" s="35" t="inlineStr">
        <is>
          <t>M</t>
        </is>
      </c>
      <c r="AK413" s="35" t="inlineStr">
        <is>
          <t>M</t>
        </is>
      </c>
      <c r="AL413" s="35" t="inlineStr">
        <is>
          <t>M</t>
        </is>
      </c>
      <c r="AM413" s="36" t="n">
        <v>0.583</v>
      </c>
      <c r="AN413" s="37" t="n">
        <v>0.16</v>
      </c>
      <c r="AO413" s="37" t="n">
        <v>0.09</v>
      </c>
      <c r="AP413" s="37" t="n">
        <v>0</v>
      </c>
      <c r="AQ413" s="37" t="n">
        <v>0.063</v>
      </c>
      <c r="AR413" s="37" t="n">
        <v>0.06</v>
      </c>
      <c r="AS413" s="37" t="n">
        <v>0.04</v>
      </c>
      <c r="AT413" s="38" t="inlineStr">
        <is>
          <t>2–5</t>
        </is>
      </c>
      <c r="AU413" s="38" t="inlineStr">
        <is>
          <t>Graduate; relevant certification preferred</t>
        </is>
      </c>
      <c r="AV413" s="38" t="inlineStr">
        <is>
          <t>None · guides 1–3 juniors informally</t>
        </is>
      </c>
      <c r="AW413" s="38" t="inlineStr">
        <is>
          <t>P2 · SFIA 3 Apply</t>
        </is>
      </c>
      <c r="AX41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13" s="39" t="inlineStr">
        <is>
          <t>A3</t>
        </is>
      </c>
      <c r="AZ413" s="40" t="inlineStr">
        <is>
          <t>Band A · Practitioner · Senior Associate</t>
        </is>
      </c>
      <c r="BA413" s="40" t="inlineStr">
        <is>
          <t>Model A3 from the six ratings, the market-derived weights and rules R1–R13 · then No change · already below the manager</t>
        </is>
      </c>
      <c r="BB413" s="41" t="inlineStr">
        <is>
          <t>A3</t>
        </is>
      </c>
      <c r="BC413" s="40" t="inlineStr">
        <is>
          <t>The six ratings on the market-average weights of Band A · all tracks score 2.95 → A3 · Hay, Mercer IPE and public plans · experience 2.9 yrs vs the A3 market range 2–5</t>
        </is>
      </c>
      <c r="BD413" s="42">
        <f>IF(SUM(BM413,BN413,BO413,BP413,BQ413,BR413,BS413)=0,0,(BM413*BT413+BN413*BU413+BO413*BV413+BP413*BW413+BQ413*BX413+BR413*BY413+BS413*BZ413)/SUM(BM413,BN413,BO413,BP413,BQ413,BR413,BS413))</f>
        <v>0</v>
      </c>
      <c r="BE413" s="41" t="str">
        <f>IF(LEFT(AY413,1)="X",AY413,IF(OR(AY413="B+",AY413="C+"),INDEX(LAD_PC,MAX(1,MIN(14,MATCH(AY413,LAD_PC,0)+IF(BD413&gt;=0.5,1,IF(BD413&lt;=-0.5,-1,0))))),INDEX(LAD_STD,MAX(1,MIN(12,MATCH(AY413,LAD_STD,0)+IF(BD413&gt;=0.5,1,IF(BD413&lt;=-0.5,-1,0)))))))</f>
        <v>A3</v>
      </c>
      <c r="BF413" s="43" t="n"/>
      <c r="BG413" s="41" t="str">
        <f>IF(BF413&lt;&gt;"",BF413,BE413)</f>
        <v>A3</v>
      </c>
      <c r="BH413" s="40" t="str">
        <f>IFERROR(CHOOSE(INDEX(B_RANK,MATCH(BG413,B_LVL,0)),"Band A","Band B","B+ · Player-Coach","Band C","C+ · Player-Coach","Band D","Band E"),"Band X · Consultant")</f>
        <v>Band A</v>
      </c>
      <c r="BI413" s="40" t="str">
        <f>IF(BG413=AY413,"• Same",IF(INDEX(B_VAL,MATCH(BG413,B_LVL,0))&gt;INDEX(B_VAL,MATCH(AY413,B_LVL,0)),"▲ Up","▼ Down"))</f>
        <v>• Same</v>
      </c>
      <c r="BJ413" s="40" t="str">
        <f>IF(OR($M413="",$M413="—",$M413="Not in this file"),"",IFERROR(INDEX($BG$7:$BG$592,MATCH($M413,$D$7:$D$592,0)),""))</f>
        <v>B2</v>
      </c>
      <c r="BK413" s="40" t="str">
        <f>IFERROR(IF(BJ413="","—",IF(OR(LEFT(BG413,1)="X",LEFT(BJ413,1)="X"),"—",IF(AND(LEFT(BG413,1)="E",LEFT(BJ413,1)="E"),"Exception · Band E",IF(AND(INDEX(B_VAL,MATCH(BJ413,B_LVL,0))&gt;=7,INDEX(B_RANK,MATCH(BG413,B_LVL,0))&gt;=INDEX(B_RANK,MATCH(BJ413,B_LVL,0))),"⚠ Same band as a head manager",IF(INDEX(B_VAL,MATCH(BG413,B_LVL,0))&gt;=INDEX(B_VAL,MATCH(BJ413,B_LVL,0)),"⚠ At or above the manager's level","OK"))))),"—")</f>
        <v>OK</v>
      </c>
      <c r="BL413" s="43" t="n"/>
      <c r="BM413" s="44">
        <f>IFERROR(INDEX(LMH_PTS,MATCH(Y413,LMH_KEY,0)),0)</f>
        <v>9</v>
      </c>
      <c r="BN413" s="38">
        <f>IFERROR(INDEX(LMH_PTS,MATCH(Z413,LMH_KEY,0)),0)</f>
        <v>3</v>
      </c>
      <c r="BO413" s="38">
        <f>IFERROR(INDEX(LMH_PTS,MATCH(AA413,LMH_KEY,0)),0)</f>
        <v>1</v>
      </c>
      <c r="BP413" s="38">
        <f>IFERROR(INDEX(LMH_PTS,MATCH(AB413,LMH_KEY,0)),0)</f>
        <v>1</v>
      </c>
      <c r="BQ413" s="38">
        <f>IFERROR(INDEX(LMH_PTS,MATCH(AC413,LMH_KEY,0)),0)</f>
        <v>3</v>
      </c>
      <c r="BR413" s="38">
        <f>IFERROR(INDEX(LMH_PTS,MATCH(AD413,LMH_KEY,0)),0)</f>
        <v>1</v>
      </c>
      <c r="BS413" s="38">
        <f>IFERROR(INDEX(LMH_PTS,MATCH(AE413,LMH_KEY,0)),0)</f>
        <v>1</v>
      </c>
      <c r="BT413" s="38">
        <f>IFERROR(INDEX(LMH_STEP,MATCH(AF413,LMH_KEY,0)),0)</f>
        <v>0</v>
      </c>
      <c r="BU413" s="38">
        <f>IFERROR(INDEX(LMH_STEP,MATCH(AG413,LMH_KEY,0)),0)</f>
        <v>0</v>
      </c>
      <c r="BV413" s="38">
        <f>IFERROR(INDEX(LMH_STEP,MATCH(AH413,LMH_KEY,0)),0)</f>
        <v>0</v>
      </c>
      <c r="BW413" s="38">
        <f>IFERROR(INDEX(LMH_STEP,MATCH(AI413,LMH_KEY,0)),0)</f>
        <v>0</v>
      </c>
      <c r="BX413" s="38">
        <f>IFERROR(INDEX(LMH_STEP,MATCH(AJ413,LMH_KEY,0)),0)</f>
        <v>0</v>
      </c>
      <c r="BY413" s="38">
        <f>IFERROR(INDEX(LMH_STEP,MATCH(AK413,LMH_KEY,0)),0)</f>
        <v>0</v>
      </c>
      <c r="BZ413" s="38">
        <f>IFERROR(INDEX(LMH_STEP,MATCH(AL413,LMH_KEY,0)),0)</f>
        <v>0</v>
      </c>
      <c r="CA413" s="38" t="inlineStr">
        <is>
          <t>Datatech|Marketing|Senior Digital Marketing Associate|A3|A</t>
        </is>
      </c>
    </row>
    <row r="414" ht="110" customHeight="1">
      <c r="A414" s="28" t="inlineStr">
        <is>
          <t>Datatech</t>
        </is>
      </c>
      <c r="B414" s="29" t="inlineStr">
        <is>
          <t>Marketing</t>
        </is>
      </c>
      <c r="C414" s="29" t="n">
        <v>3</v>
      </c>
      <c r="D414" s="29" t="inlineStr">
        <is>
          <t>IRISDT0007</t>
        </is>
      </c>
      <c r="E414" s="29" t="inlineStr">
        <is>
          <t>Vasundhara Lella</t>
        </is>
      </c>
      <c r="F414" s="29" t="inlineStr">
        <is>
          <t>Content Marketer</t>
        </is>
      </c>
      <c r="G414" s="29" t="inlineStr">
        <is>
          <t>Senior Content Marketing Associate</t>
        </is>
      </c>
      <c r="H414" s="29" t="inlineStr">
        <is>
          <t>Marketing &amp; Communications</t>
        </is>
      </c>
      <c r="I414" s="29" t="inlineStr">
        <is>
          <t>Content Marketing</t>
        </is>
      </c>
      <c r="J414" s="29" t="inlineStr">
        <is>
          <t>IC</t>
        </is>
      </c>
      <c r="K414" s="29" t="inlineStr">
        <is>
          <t>RC-112</t>
        </is>
      </c>
      <c r="L414" s="29" t="inlineStr">
        <is>
          <t>Ankita Pathak</t>
        </is>
      </c>
      <c r="M414" s="29" t="inlineStr">
        <is>
          <t>IRISDT0009</t>
        </is>
      </c>
      <c r="N414" s="29" t="n">
        <v>4.3</v>
      </c>
      <c r="O414" s="29" t="n">
        <v>1.1</v>
      </c>
      <c r="P414" s="29" t="inlineStr">
        <is>
          <t>B.Tech</t>
        </is>
      </c>
      <c r="Q414" s="29" t="inlineStr">
        <is>
          <t>L3 – Professional / Associate</t>
        </is>
      </c>
      <c r="R414" s="29" t="inlineStr">
        <is>
          <t>A3</t>
        </is>
      </c>
      <c r="S414" s="30" t="inlineStr">
        <is>
          <t>20 of 20</t>
        </is>
      </c>
      <c r="T414" s="31" t="inlineStr">
        <is>
          <t>Complexity: Evidence reads like A2: Writes blogs, social and webinar content; tracks traffic in Semrush; newsletter and GST calendar → matches the start
Autonomy: Evidence reads like A2: States she needs approvals; drafts the monthly content plan and reworks posts herself → matches the start
Accountability: Evidence reads like A2: own survey / KRA answers · …</t>
        </is>
      </c>
      <c r="U414" s="31" t="inlineStr">
        <is>
          <t>Received · manager annual · a. Organic Traffic Growth - 30% 
b. Organic Keyword Growth - 50% 
c. AI visibility improved by 10 points 
d. Blogs published - 2 blogs a week  
e. Monthly Newsletter - once a month 
f. News &amp; Snippets added on website - 90% within 24-48 hrs of sharing 
g. MSME TV - 2 Webinars a month - Improve participation and …</t>
        </is>
      </c>
      <c r="V414" s="31" t="inlineStr">
        <is>
          <t>Latest rating: 3 · Potential: Medium · 9-box: Performance Risk · Readiness: Develop in role</t>
        </is>
      </c>
      <c r="W414" s="31" t="inlineStr">
        <is>
          <t>C L · Au L · Ac L · L L · BI M · Exp H · 4.3 yrs vs 2–4 yrs · Edu M · B.Tech</t>
        </is>
      </c>
      <c r="X414" s="33" t="inlineStr">
        <is>
          <t>Open ▸</t>
        </is>
      </c>
      <c r="Y414" s="34" t="str">
        <f>IFERROR(INDEX(DL_C,MATCH($CA414,DL_KEY,0)),"M")</f>
        <v>H</v>
      </c>
      <c r="Z414" s="35" t="str">
        <f>IFERROR(INDEX(DL_Au,MATCH($CA414,DL_KEY,0)),"M")</f>
        <v>M</v>
      </c>
      <c r="AA414" s="35" t="str">
        <f>IFERROR(INDEX(DL_Ac,MATCH($CA414,DL_KEY,0)),"M")</f>
        <v>L</v>
      </c>
      <c r="AB414" s="35" t="str">
        <f>IFERROR(INDEX(DL_L,MATCH($CA414,DL_KEY,0)),"M")</f>
        <v>L</v>
      </c>
      <c r="AC414" s="35" t="str">
        <f>IFERROR(INDEX(DL_BI,MATCH($CA414,DL_KEY,0)),"M")</f>
        <v>M</v>
      </c>
      <c r="AD414" s="35" t="str">
        <f>IFERROR(INDEX(DL_Exp,MATCH($CA414,DL_KEY,0)),"M")</f>
        <v>L</v>
      </c>
      <c r="AE414" s="35" t="str">
        <f>IFERROR(INDEX(DL_Edu,MATCH($CA414,DL_KEY,0)),"M")</f>
        <v>L</v>
      </c>
      <c r="AF414" s="34" t="inlineStr">
        <is>
          <t>M</t>
        </is>
      </c>
      <c r="AG414" s="35" t="inlineStr">
        <is>
          <t>M</t>
        </is>
      </c>
      <c r="AH414" s="35" t="inlineStr">
        <is>
          <t>M</t>
        </is>
      </c>
      <c r="AI414" s="35" t="inlineStr">
        <is>
          <t>M</t>
        </is>
      </c>
      <c r="AJ414" s="35" t="inlineStr">
        <is>
          <t>M</t>
        </is>
      </c>
      <c r="AK414" s="35" t="inlineStr">
        <is>
          <t>M</t>
        </is>
      </c>
      <c r="AL414" s="35" t="inlineStr">
        <is>
          <t>M</t>
        </is>
      </c>
      <c r="AM414" s="36" t="n">
        <v>0.583</v>
      </c>
      <c r="AN414" s="37" t="n">
        <v>0.16</v>
      </c>
      <c r="AO414" s="37" t="n">
        <v>0.09</v>
      </c>
      <c r="AP414" s="37" t="n">
        <v>0</v>
      </c>
      <c r="AQ414" s="37" t="n">
        <v>0.063</v>
      </c>
      <c r="AR414" s="37" t="n">
        <v>0.06</v>
      </c>
      <c r="AS414" s="37" t="n">
        <v>0.04</v>
      </c>
      <c r="AT414" s="38" t="inlineStr">
        <is>
          <t>2–5</t>
        </is>
      </c>
      <c r="AU414" s="38" t="inlineStr">
        <is>
          <t>Graduate; relevant certification preferred</t>
        </is>
      </c>
      <c r="AV414" s="38" t="inlineStr">
        <is>
          <t>None · guides 1–3 juniors informally</t>
        </is>
      </c>
      <c r="AW414" s="38" t="inlineStr">
        <is>
          <t>P2 · SFIA 3 Apply</t>
        </is>
      </c>
      <c r="AX41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14" s="39" t="inlineStr">
        <is>
          <t>A3</t>
        </is>
      </c>
      <c r="AZ414" s="40" t="inlineStr">
        <is>
          <t>Band A · Practitioner · Senior Associate</t>
        </is>
      </c>
      <c r="BA414" s="40" t="inlineStr">
        <is>
          <t>Model A3 from the six ratings, the market-derived weights and rules R1–R13 · then No change · already below the manager</t>
        </is>
      </c>
      <c r="BB414" s="41" t="inlineStr">
        <is>
          <t>A2</t>
        </is>
      </c>
      <c r="BC414" s="40" t="inlineStr">
        <is>
          <t>The six ratings on the market-average weights of Band A · all tracks score 2.18 → A2 · Hay, Mercer IPE and public plans · experience 4.3 yrs vs the A2 market range 0–3</t>
        </is>
      </c>
      <c r="BD414" s="42">
        <f>IF(SUM(BM414,BN414,BO414,BP414,BQ414,BR414,BS414)=0,0,(BM414*BT414+BN414*BU414+BO414*BV414+BP414*BW414+BQ414*BX414+BR414*BY414+BS414*BZ414)/SUM(BM414,BN414,BO414,BP414,BQ414,BR414,BS414))</f>
        <v>0</v>
      </c>
      <c r="BE414" s="41" t="str">
        <f>IF(LEFT(AY414,1)="X",AY414,IF(OR(AY414="B+",AY414="C+"),INDEX(LAD_PC,MAX(1,MIN(14,MATCH(AY414,LAD_PC,0)+IF(BD414&gt;=0.5,1,IF(BD414&lt;=-0.5,-1,0))))),INDEX(LAD_STD,MAX(1,MIN(12,MATCH(AY414,LAD_STD,0)+IF(BD414&gt;=0.5,1,IF(BD414&lt;=-0.5,-1,0)))))))</f>
        <v>A3</v>
      </c>
      <c r="BF414" s="43" t="n"/>
      <c r="BG414" s="41" t="str">
        <f>IF(BF414&lt;&gt;"",BF414,BE414)</f>
        <v>A3</v>
      </c>
      <c r="BH414" s="40" t="str">
        <f>IFERROR(CHOOSE(INDEX(B_RANK,MATCH(BG414,B_LVL,0)),"Band A","Band B","B+ · Player-Coach","Band C","C+ · Player-Coach","Band D","Band E"),"Band X · Consultant")</f>
        <v>Band A</v>
      </c>
      <c r="BI414" s="40" t="str">
        <f>IF(BG414=AY414,"• Same",IF(INDEX(B_VAL,MATCH(BG414,B_LVL,0))&gt;INDEX(B_VAL,MATCH(AY414,B_LVL,0)),"▲ Up","▼ Down"))</f>
        <v>• Same</v>
      </c>
      <c r="BJ414" s="40" t="str">
        <f>IF(OR($M414="",$M414="—",$M414="Not in this file"),"",IFERROR(INDEX($BG$7:$BG$592,MATCH($M414,$D$7:$D$592,0)),""))</f>
        <v>B2</v>
      </c>
      <c r="BK414" s="40" t="str">
        <f>IFERROR(IF(BJ414="","—",IF(OR(LEFT(BG414,1)="X",LEFT(BJ414,1)="X"),"—",IF(AND(LEFT(BG414,1)="E",LEFT(BJ414,1)="E"),"Exception · Band E",IF(AND(INDEX(B_VAL,MATCH(BJ414,B_LVL,0))&gt;=7,INDEX(B_RANK,MATCH(BG414,B_LVL,0))&gt;=INDEX(B_RANK,MATCH(BJ414,B_LVL,0))),"⚠ Same band as a head manager",IF(INDEX(B_VAL,MATCH(BG414,B_LVL,0))&gt;=INDEX(B_VAL,MATCH(BJ414,B_LVL,0)),"⚠ At or above the manager's level","OK"))))),"—")</f>
        <v>OK</v>
      </c>
      <c r="BL414" s="43" t="n"/>
      <c r="BM414" s="44">
        <f>IFERROR(INDEX(LMH_PTS,MATCH(Y414,LMH_KEY,0)),0)</f>
        <v>9</v>
      </c>
      <c r="BN414" s="38">
        <f>IFERROR(INDEX(LMH_PTS,MATCH(Z414,LMH_KEY,0)),0)</f>
        <v>3</v>
      </c>
      <c r="BO414" s="38">
        <f>IFERROR(INDEX(LMH_PTS,MATCH(AA414,LMH_KEY,0)),0)</f>
        <v>1</v>
      </c>
      <c r="BP414" s="38">
        <f>IFERROR(INDEX(LMH_PTS,MATCH(AB414,LMH_KEY,0)),0)</f>
        <v>1</v>
      </c>
      <c r="BQ414" s="38">
        <f>IFERROR(INDEX(LMH_PTS,MATCH(AC414,LMH_KEY,0)),0)</f>
        <v>3</v>
      </c>
      <c r="BR414" s="38">
        <f>IFERROR(INDEX(LMH_PTS,MATCH(AD414,LMH_KEY,0)),0)</f>
        <v>1</v>
      </c>
      <c r="BS414" s="38">
        <f>IFERROR(INDEX(LMH_PTS,MATCH(AE414,LMH_KEY,0)),0)</f>
        <v>1</v>
      </c>
      <c r="BT414" s="38">
        <f>IFERROR(INDEX(LMH_STEP,MATCH(AF414,LMH_KEY,0)),0)</f>
        <v>0</v>
      </c>
      <c r="BU414" s="38">
        <f>IFERROR(INDEX(LMH_STEP,MATCH(AG414,LMH_KEY,0)),0)</f>
        <v>0</v>
      </c>
      <c r="BV414" s="38">
        <f>IFERROR(INDEX(LMH_STEP,MATCH(AH414,LMH_KEY,0)),0)</f>
        <v>0</v>
      </c>
      <c r="BW414" s="38">
        <f>IFERROR(INDEX(LMH_STEP,MATCH(AI414,LMH_KEY,0)),0)</f>
        <v>0</v>
      </c>
      <c r="BX414" s="38">
        <f>IFERROR(INDEX(LMH_STEP,MATCH(AJ414,LMH_KEY,0)),0)</f>
        <v>0</v>
      </c>
      <c r="BY414" s="38">
        <f>IFERROR(INDEX(LMH_STEP,MATCH(AK414,LMH_KEY,0)),0)</f>
        <v>0</v>
      </c>
      <c r="BZ414" s="38">
        <f>IFERROR(INDEX(LMH_STEP,MATCH(AL414,LMH_KEY,0)),0)</f>
        <v>0</v>
      </c>
      <c r="CA414" s="38" t="inlineStr">
        <is>
          <t>Datatech|Marketing|Senior Content Marketing Associate|A3|A</t>
        </is>
      </c>
    </row>
    <row r="415" ht="110" customHeight="1">
      <c r="A415" s="28" t="inlineStr">
        <is>
          <t>Datatech</t>
        </is>
      </c>
      <c r="B415" s="29" t="inlineStr">
        <is>
          <t>Marketing</t>
        </is>
      </c>
      <c r="C415" s="29" t="n">
        <v>3</v>
      </c>
      <c r="D415" s="29" t="inlineStr">
        <is>
          <t>IRISDTC006</t>
        </is>
      </c>
      <c r="E415" s="29" t="inlineStr">
        <is>
          <t>Vaishnavi Dhuri</t>
        </is>
      </c>
      <c r="F415" s="29" t="inlineStr">
        <is>
          <t>Graphic Designer and Video Editor</t>
        </is>
      </c>
      <c r="G415" s="29" t="inlineStr">
        <is>
          <t>Designer</t>
        </is>
      </c>
      <c r="H415" s="29" t="inlineStr">
        <is>
          <t>Design &amp; Creative</t>
        </is>
      </c>
      <c r="I415" s="29" t="inlineStr">
        <is>
          <t>Brand, Graphic &amp; Video Design</t>
        </is>
      </c>
      <c r="J415" s="29" t="inlineStr">
        <is>
          <t>IC</t>
        </is>
      </c>
      <c r="K415" s="29" t="inlineStr">
        <is>
          <t>RC-051</t>
        </is>
      </c>
      <c r="L415" s="29" t="inlineStr">
        <is>
          <t>Ankita Pathak</t>
        </is>
      </c>
      <c r="M415" s="29" t="inlineStr">
        <is>
          <t>IRISDT0009</t>
        </is>
      </c>
      <c r="N415" s="29" t="inlineStr">
        <is>
          <t>Not provided · HRIS</t>
        </is>
      </c>
      <c r="O415" s="29" t="n">
        <v>0.1</v>
      </c>
      <c r="P415" s="29" t="inlineStr">
        <is>
          <t>Bachelor of Science</t>
        </is>
      </c>
      <c r="Q415" s="29" t="inlineStr">
        <is>
          <t>Not in current mapping files</t>
        </is>
      </c>
      <c r="R415" s="29" t="inlineStr">
        <is>
          <t>A2</t>
        </is>
      </c>
      <c r="S415" s="30" t="inlineStr">
        <is>
          <t>20 of 20</t>
        </is>
      </c>
      <c r="T415" s="31" t="inlineStr">
        <is>
          <t>Complexity: Evidence reads like A2: Creates social media creatives and edits videos, including AI videos in After Effects → matches the start
Autonomy: Evidence reads like A1: States that approvals are needed; no independent decisions named → moved down 0.5
Accountability: Evidence reads like A2: Creatives delivered jointly with a co-worker; no personal …</t>
        </is>
      </c>
      <c r="U415" s="32" t="inlineStr">
        <is>
          <t>KRAs not received · manager to supply</t>
        </is>
      </c>
      <c r="V415" s="31" t="inlineStr">
        <is>
          <t>Latest rating: Not rated · manager · 9-box: Not placed · manager · Readiness: No rating data</t>
        </is>
      </c>
      <c r="W415" s="31" t="inlineStr">
        <is>
          <t>C M · Au M · Ac M · L L · BI M · Exp — · not on file · Edu M · Bachelor of Science</t>
        </is>
      </c>
      <c r="X415" s="33" t="inlineStr">
        <is>
          <t>Open ▸</t>
        </is>
      </c>
      <c r="Y415" s="34" t="str">
        <f>IFERROR(INDEX(DL_C,MATCH($CA415,DL_KEY,0)),"M")</f>
        <v>H</v>
      </c>
      <c r="Z415" s="35" t="str">
        <f>IFERROR(INDEX(DL_Au,MATCH($CA415,DL_KEY,0)),"M")</f>
        <v>M</v>
      </c>
      <c r="AA415" s="35" t="str">
        <f>IFERROR(INDEX(DL_Ac,MATCH($CA415,DL_KEY,0)),"M")</f>
        <v>L</v>
      </c>
      <c r="AB415" s="35" t="str">
        <f>IFERROR(INDEX(DL_L,MATCH($CA415,DL_KEY,0)),"M")</f>
        <v>L</v>
      </c>
      <c r="AC415" s="35" t="str">
        <f>IFERROR(INDEX(DL_BI,MATCH($CA415,DL_KEY,0)),"M")</f>
        <v>M</v>
      </c>
      <c r="AD415" s="35" t="str">
        <f>IFERROR(INDEX(DL_Exp,MATCH($CA415,DL_KEY,0)),"M")</f>
        <v>L</v>
      </c>
      <c r="AE415" s="35" t="str">
        <f>IFERROR(INDEX(DL_Edu,MATCH($CA415,DL_KEY,0)),"M")</f>
        <v>L</v>
      </c>
      <c r="AF415" s="34" t="inlineStr">
        <is>
          <t>M</t>
        </is>
      </c>
      <c r="AG415" s="35" t="inlineStr">
        <is>
          <t>M</t>
        </is>
      </c>
      <c r="AH415" s="35" t="inlineStr">
        <is>
          <t>M</t>
        </is>
      </c>
      <c r="AI415" s="35" t="inlineStr">
        <is>
          <t>M</t>
        </is>
      </c>
      <c r="AJ415" s="35" t="inlineStr">
        <is>
          <t>M</t>
        </is>
      </c>
      <c r="AK415" s="35" t="inlineStr">
        <is>
          <t>M</t>
        </is>
      </c>
      <c r="AL415" s="35" t="inlineStr">
        <is>
          <t>M</t>
        </is>
      </c>
      <c r="AM415" s="36" t="n">
        <v>0.583</v>
      </c>
      <c r="AN415" s="37" t="n">
        <v>0.16</v>
      </c>
      <c r="AO415" s="37" t="n">
        <v>0.09</v>
      </c>
      <c r="AP415" s="37" t="n">
        <v>0</v>
      </c>
      <c r="AQ415" s="37" t="n">
        <v>0.063</v>
      </c>
      <c r="AR415" s="37" t="n">
        <v>0.06</v>
      </c>
      <c r="AS415" s="37" t="n">
        <v>0.04</v>
      </c>
      <c r="AT415" s="38" t="inlineStr">
        <is>
          <t>0–3</t>
        </is>
      </c>
      <c r="AU415" s="38" t="inlineStr">
        <is>
          <t>Graduate · or diploma with experience</t>
        </is>
      </c>
      <c r="AV415" s="38" t="inlineStr">
        <is>
          <t>No direct reports</t>
        </is>
      </c>
      <c r="AW415" s="38" t="inlineStr">
        <is>
          <t>P1–P2 · SFIA 2 Assist</t>
        </is>
      </c>
      <c r="AX41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15" s="39" t="inlineStr">
        <is>
          <t>A2</t>
        </is>
      </c>
      <c r="AZ415" s="40" t="inlineStr">
        <is>
          <t>Band A · Practitioner · Associate</t>
        </is>
      </c>
      <c r="BA415" s="40" t="inlineStr">
        <is>
          <t>Model A2 from the six ratings, the market-derived weights and rules R1–R13 · then No change · already below the manager</t>
        </is>
      </c>
      <c r="BB415" s="41" t="inlineStr">
        <is>
          <t>A2</t>
        </is>
      </c>
      <c r="BC415" s="40" t="inlineStr">
        <is>
          <t>The six ratings on the market-average weights of Band A · all tracks score 1.92 → A2 · Hay, Mercer IPE and public plans · experience Not provided · HRIS yrs vs the A2 market range 0–3</t>
        </is>
      </c>
      <c r="BD415" s="42">
        <f>IF(SUM(BM415,BN415,BO415,BP415,BQ415,BR415,BS415)=0,0,(BM415*BT415+BN415*BU415+BO415*BV415+BP415*BW415+BQ415*BX415+BR415*BY415+BS415*BZ415)/SUM(BM415,BN415,BO415,BP415,BQ415,BR415,BS415))</f>
        <v>0</v>
      </c>
      <c r="BE415" s="41" t="str">
        <f>IF(LEFT(AY415,1)="X",AY415,IF(OR(AY415="B+",AY415="C+"),INDEX(LAD_PC,MAX(1,MIN(14,MATCH(AY415,LAD_PC,0)+IF(BD415&gt;=0.5,1,IF(BD415&lt;=-0.5,-1,0))))),INDEX(LAD_STD,MAX(1,MIN(12,MATCH(AY415,LAD_STD,0)+IF(BD415&gt;=0.5,1,IF(BD415&lt;=-0.5,-1,0)))))))</f>
        <v>A2</v>
      </c>
      <c r="BF415" s="43" t="n"/>
      <c r="BG415" s="41" t="str">
        <f>IF(BF415&lt;&gt;"",BF415,BE415)</f>
        <v>A2</v>
      </c>
      <c r="BH415" s="40" t="str">
        <f>IFERROR(CHOOSE(INDEX(B_RANK,MATCH(BG415,B_LVL,0)),"Band A","Band B","B+ · Player-Coach","Band C","C+ · Player-Coach","Band D","Band E"),"Band X · Consultant")</f>
        <v>Band A</v>
      </c>
      <c r="BI415" s="40" t="str">
        <f>IF(BG415=AY415,"• Same",IF(INDEX(B_VAL,MATCH(BG415,B_LVL,0))&gt;INDEX(B_VAL,MATCH(AY415,B_LVL,0)),"▲ Up","▼ Down"))</f>
        <v>• Same</v>
      </c>
      <c r="BJ415" s="40" t="str">
        <f>IF(OR($M415="",$M415="—",$M415="Not in this file"),"",IFERROR(INDEX($BG$7:$BG$592,MATCH($M415,$D$7:$D$592,0)),""))</f>
        <v>B2</v>
      </c>
      <c r="BK415" s="40" t="str">
        <f>IFERROR(IF(BJ415="","—",IF(OR(LEFT(BG415,1)="X",LEFT(BJ415,1)="X"),"—",IF(AND(LEFT(BG415,1)="E",LEFT(BJ415,1)="E"),"Exception · Band E",IF(AND(INDEX(B_VAL,MATCH(BJ415,B_LVL,0))&gt;=7,INDEX(B_RANK,MATCH(BG415,B_LVL,0))&gt;=INDEX(B_RANK,MATCH(BJ415,B_LVL,0))),"⚠ Same band as a head manager",IF(INDEX(B_VAL,MATCH(BG415,B_LVL,0))&gt;=INDEX(B_VAL,MATCH(BJ415,B_LVL,0)),"⚠ At or above the manager's level","OK"))))),"—")</f>
        <v>OK</v>
      </c>
      <c r="BL415" s="43" t="n"/>
      <c r="BM415" s="44">
        <f>IFERROR(INDEX(LMH_PTS,MATCH(Y415,LMH_KEY,0)),0)</f>
        <v>9</v>
      </c>
      <c r="BN415" s="38">
        <f>IFERROR(INDEX(LMH_PTS,MATCH(Z415,LMH_KEY,0)),0)</f>
        <v>3</v>
      </c>
      <c r="BO415" s="38">
        <f>IFERROR(INDEX(LMH_PTS,MATCH(AA415,LMH_KEY,0)),0)</f>
        <v>1</v>
      </c>
      <c r="BP415" s="38">
        <f>IFERROR(INDEX(LMH_PTS,MATCH(AB415,LMH_KEY,0)),0)</f>
        <v>1</v>
      </c>
      <c r="BQ415" s="38">
        <f>IFERROR(INDEX(LMH_PTS,MATCH(AC415,LMH_KEY,0)),0)</f>
        <v>3</v>
      </c>
      <c r="BR415" s="38">
        <f>IFERROR(INDEX(LMH_PTS,MATCH(AD415,LMH_KEY,0)),0)</f>
        <v>1</v>
      </c>
      <c r="BS415" s="38">
        <f>IFERROR(INDEX(LMH_PTS,MATCH(AE415,LMH_KEY,0)),0)</f>
        <v>1</v>
      </c>
      <c r="BT415" s="38">
        <f>IFERROR(INDEX(LMH_STEP,MATCH(AF415,LMH_KEY,0)),0)</f>
        <v>0</v>
      </c>
      <c r="BU415" s="38">
        <f>IFERROR(INDEX(LMH_STEP,MATCH(AG415,LMH_KEY,0)),0)</f>
        <v>0</v>
      </c>
      <c r="BV415" s="38">
        <f>IFERROR(INDEX(LMH_STEP,MATCH(AH415,LMH_KEY,0)),0)</f>
        <v>0</v>
      </c>
      <c r="BW415" s="38">
        <f>IFERROR(INDEX(LMH_STEP,MATCH(AI415,LMH_KEY,0)),0)</f>
        <v>0</v>
      </c>
      <c r="BX415" s="38">
        <f>IFERROR(INDEX(LMH_STEP,MATCH(AJ415,LMH_KEY,0)),0)</f>
        <v>0</v>
      </c>
      <c r="BY415" s="38">
        <f>IFERROR(INDEX(LMH_STEP,MATCH(AK415,LMH_KEY,0)),0)</f>
        <v>0</v>
      </c>
      <c r="BZ415" s="38">
        <f>IFERROR(INDEX(LMH_STEP,MATCH(AL415,LMH_KEY,0)),0)</f>
        <v>0</v>
      </c>
      <c r="CA415" s="38" t="inlineStr">
        <is>
          <t>Datatech|Marketing|Designer|A2|A</t>
        </is>
      </c>
    </row>
    <row r="416" ht="110" customHeight="1">
      <c r="A416" s="28" t="inlineStr">
        <is>
          <t>Datatech</t>
        </is>
      </c>
      <c r="B416" s="29" t="inlineStr">
        <is>
          <t>Product Management</t>
        </is>
      </c>
      <c r="C416" s="29" t="n">
        <v>2</v>
      </c>
      <c r="D416" s="29" t="inlineStr">
        <is>
          <t>IRISDT0008</t>
        </is>
      </c>
      <c r="E416" s="29" t="inlineStr">
        <is>
          <t>Nilesh Majumdar</t>
        </is>
      </c>
      <c r="F416" s="29" t="inlineStr">
        <is>
          <t>Senior Product Manager</t>
        </is>
      </c>
      <c r="G416" s="29" t="inlineStr">
        <is>
          <t>Product Manager</t>
        </is>
      </c>
      <c r="H416" s="29" t="inlineStr">
        <is>
          <t>Product Management</t>
        </is>
      </c>
      <c r="I416" s="29" t="inlineStr">
        <is>
          <t>Product Management</t>
        </is>
      </c>
      <c r="J416" s="29" t="inlineStr">
        <is>
          <t>People Manager</t>
        </is>
      </c>
      <c r="K416" s="29" t="inlineStr">
        <is>
          <t>RC-127</t>
        </is>
      </c>
      <c r="L416" s="29" t="inlineStr">
        <is>
          <t>Shilpa Dhobale</t>
        </is>
      </c>
      <c r="M416" s="29" t="inlineStr">
        <is>
          <t>IRISDT0001</t>
        </is>
      </c>
      <c r="N416" s="29" t="n">
        <v>7.1</v>
      </c>
      <c r="O416" s="29" t="n">
        <v>1.1</v>
      </c>
      <c r="P416" s="29" t="inlineStr">
        <is>
          <t>MBA</t>
        </is>
      </c>
      <c r="Q416" s="29" t="inlineStr">
        <is>
          <t>L5 – Manager</t>
        </is>
      </c>
      <c r="R416" s="29" t="inlineStr">
        <is>
          <t>B2</t>
        </is>
      </c>
      <c r="S416" s="30" t="inlineStr">
        <is>
          <t>20 of 20</t>
        </is>
      </c>
      <c r="T416" s="31" t="inlineStr">
        <is>
          <t>Complexity: Evidence reads like B3: Runs several products for small businesses, lenders and corporates on regulated data; pricing, unit economics → matches the start
Autonomy: Evidence reads like B3: Sets the product roadmap and prioritises across products; decides what gets built → matches the start
Accountability: Evidence reads like B3: Owns product …</t>
        </is>
      </c>
      <c r="U416" s="32" t="inlineStr">
        <is>
          <t>KRAs not received · manager to supply</t>
        </is>
      </c>
      <c r="V416" s="31" t="inlineStr">
        <is>
          <t>Latest rating: 3 · 9-box: Future Leader · Readiness: Develop in role</t>
        </is>
      </c>
      <c r="W416" s="31" t="inlineStr">
        <is>
          <t>C H · Au H · Ac H · L M · BI H · Exp M · 7.1 yrs vs 6–9 yrs · Edu H · MBA</t>
        </is>
      </c>
      <c r="X416" s="33" t="inlineStr">
        <is>
          <t>Open ▸</t>
        </is>
      </c>
      <c r="Y416" s="34" t="str">
        <f>IFERROR(INDEX(DL_C,MATCH($CA416,DL_KEY,0)),"M")</f>
        <v>H</v>
      </c>
      <c r="Z416" s="35" t="str">
        <f>IFERROR(INDEX(DL_Au,MATCH($CA416,DL_KEY,0)),"M")</f>
        <v>M</v>
      </c>
      <c r="AA416" s="35" t="str">
        <f>IFERROR(INDEX(DL_Ac,MATCH($CA416,DL_KEY,0)),"M")</f>
        <v>M</v>
      </c>
      <c r="AB416" s="35" t="str">
        <f>IFERROR(INDEX(DL_L,MATCH($CA416,DL_KEY,0)),"M")</f>
        <v>M</v>
      </c>
      <c r="AC416" s="35" t="str">
        <f>IFERROR(INDEX(DL_BI,MATCH($CA416,DL_KEY,0)),"M")</f>
        <v>L</v>
      </c>
      <c r="AD416" s="35" t="str">
        <f>IFERROR(INDEX(DL_Exp,MATCH($CA416,DL_KEY,0)),"M")</f>
        <v>L</v>
      </c>
      <c r="AE416" s="35" t="str">
        <f>IFERROR(INDEX(DL_Edu,MATCH($CA416,DL_KEY,0)),"M")</f>
        <v>L</v>
      </c>
      <c r="AF416" s="34" t="inlineStr">
        <is>
          <t>M</t>
        </is>
      </c>
      <c r="AG416" s="35" t="inlineStr">
        <is>
          <t>M</t>
        </is>
      </c>
      <c r="AH416" s="35" t="inlineStr">
        <is>
          <t>M</t>
        </is>
      </c>
      <c r="AI416" s="35" t="inlineStr">
        <is>
          <t>M</t>
        </is>
      </c>
      <c r="AJ416" s="35" t="inlineStr">
        <is>
          <t>M</t>
        </is>
      </c>
      <c r="AK416" s="35" t="inlineStr">
        <is>
          <t>M</t>
        </is>
      </c>
      <c r="AL416" s="35" t="inlineStr">
        <is>
          <t>M</t>
        </is>
      </c>
      <c r="AM416" s="36" t="n">
        <v>0.37</v>
      </c>
      <c r="AN416" s="37" t="n">
        <v>0.183</v>
      </c>
      <c r="AO416" s="37" t="n">
        <v>0.113</v>
      </c>
      <c r="AP416" s="37" t="n">
        <v>0.15</v>
      </c>
      <c r="AQ416" s="37" t="n">
        <v>0.08699999999999999</v>
      </c>
      <c r="AR416" s="37" t="n">
        <v>0.06</v>
      </c>
      <c r="AS416" s="37" t="n">
        <v>0.04</v>
      </c>
      <c r="AT416" s="38" t="inlineStr">
        <is>
          <t>6–10</t>
        </is>
      </c>
      <c r="AU416" s="38" t="inlineStr">
        <is>
          <t>Graduate or postgraduate; professional qualification preferred</t>
        </is>
      </c>
      <c r="AV416" s="38" t="inlineStr">
        <is>
          <t>IC: none · People: 6–8 knowledge work, 8–12 standardised delivery</t>
        </is>
      </c>
      <c r="AW416" s="38" t="inlineStr">
        <is>
          <t>P4 / M3 · SFIA 4–5</t>
        </is>
      </c>
      <c r="AX41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16" s="39" t="inlineStr">
        <is>
          <t>B2</t>
        </is>
      </c>
      <c r="AZ416" s="40" t="inlineStr">
        <is>
          <t>Band B · Specialist / Manager · Manager</t>
        </is>
      </c>
      <c r="BA416" s="40" t="inlineStr">
        <is>
          <t>Model B2 from the six ratings, the market-derived weights and rules R1–R13 · then No change · already below the manager</t>
        </is>
      </c>
      <c r="BB416" s="41" t="inlineStr">
        <is>
          <t>B3</t>
        </is>
      </c>
      <c r="BC416" s="40" t="inlineStr">
        <is>
          <t>The six ratings on the market-average weights of Band B · People Manager score 5.84 → B3 · Hay, Mercer IPE and public plans · experience 7.1 yrs vs the B3 market range 8–13</t>
        </is>
      </c>
      <c r="BD416" s="42">
        <f>IF(SUM(BM416,BN416,BO416,BP416,BQ416,BR416,BS416)=0,0,(BM416*BT416+BN416*BU416+BO416*BV416+BP416*BW416+BQ416*BX416+BR416*BY416+BS416*BZ416)/SUM(BM416,BN416,BO416,BP416,BQ416,BR416,BS416))</f>
        <v>0</v>
      </c>
      <c r="BE416" s="41" t="str">
        <f>IF(LEFT(AY416,1)="X",AY416,IF(OR(AY416="B+",AY416="C+"),INDEX(LAD_PC,MAX(1,MIN(14,MATCH(AY416,LAD_PC,0)+IF(BD416&gt;=0.5,1,IF(BD416&lt;=-0.5,-1,0))))),INDEX(LAD_STD,MAX(1,MIN(12,MATCH(AY416,LAD_STD,0)+IF(BD416&gt;=0.5,1,IF(BD416&lt;=-0.5,-1,0)))))))</f>
        <v>B2</v>
      </c>
      <c r="BF416" s="43" t="n"/>
      <c r="BG416" s="41" t="str">
        <f>IF(BF416&lt;&gt;"",BF416,BE416)</f>
        <v>B2</v>
      </c>
      <c r="BH416" s="40" t="str">
        <f>IFERROR(CHOOSE(INDEX(B_RANK,MATCH(BG416,B_LVL,0)),"Band A","Band B","B+ · Player-Coach","Band C","C+ · Player-Coach","Band D","Band E"),"Band X · Consultant")</f>
        <v>Band B</v>
      </c>
      <c r="BI416" s="40" t="str">
        <f>IF(BG416=AY416,"• Same",IF(INDEX(B_VAL,MATCH(BG416,B_LVL,0))&gt;INDEX(B_VAL,MATCH(AY416,B_LVL,0)),"▲ Up","▼ Down"))</f>
        <v>• Same</v>
      </c>
      <c r="BJ416" s="40" t="str">
        <f>IF(OR($M416="",$M416="—",$M416="Not in this file"),"",IFERROR(INDEX($BG$7:$BG$592,MATCH($M416,$D$7:$D$592,0)),""))</f>
        <v>D2</v>
      </c>
      <c r="BK416" s="40" t="str">
        <f>IFERROR(IF(BJ416="","—",IF(OR(LEFT(BG416,1)="X",LEFT(BJ416,1)="X"),"—",IF(AND(LEFT(BG416,1)="E",LEFT(BJ416,1)="E"),"Exception · Band E",IF(AND(INDEX(B_VAL,MATCH(BJ416,B_LVL,0))&gt;=7,INDEX(B_RANK,MATCH(BG416,B_LVL,0))&gt;=INDEX(B_RANK,MATCH(BJ416,B_LVL,0))),"⚠ Same band as a head manager",IF(INDEX(B_VAL,MATCH(BG416,B_LVL,0))&gt;=INDEX(B_VAL,MATCH(BJ416,B_LVL,0)),"⚠ At or above the manager's level","OK"))))),"—")</f>
        <v>OK</v>
      </c>
      <c r="BL416" s="43" t="n"/>
      <c r="BM416" s="44">
        <f>IFERROR(INDEX(LMH_PTS,MATCH(Y416,LMH_KEY,0)),0)</f>
        <v>9</v>
      </c>
      <c r="BN416" s="38">
        <f>IFERROR(INDEX(LMH_PTS,MATCH(Z416,LMH_KEY,0)),0)</f>
        <v>3</v>
      </c>
      <c r="BO416" s="38">
        <f>IFERROR(INDEX(LMH_PTS,MATCH(AA416,LMH_KEY,0)),0)</f>
        <v>3</v>
      </c>
      <c r="BP416" s="38">
        <f>IFERROR(INDEX(LMH_PTS,MATCH(AB416,LMH_KEY,0)),0)</f>
        <v>3</v>
      </c>
      <c r="BQ416" s="38">
        <f>IFERROR(INDEX(LMH_PTS,MATCH(AC416,LMH_KEY,0)),0)</f>
        <v>1</v>
      </c>
      <c r="BR416" s="38">
        <f>IFERROR(INDEX(LMH_PTS,MATCH(AD416,LMH_KEY,0)),0)</f>
        <v>1</v>
      </c>
      <c r="BS416" s="38">
        <f>IFERROR(INDEX(LMH_PTS,MATCH(AE416,LMH_KEY,0)),0)</f>
        <v>1</v>
      </c>
      <c r="BT416" s="38">
        <f>IFERROR(INDEX(LMH_STEP,MATCH(AF416,LMH_KEY,0)),0)</f>
        <v>0</v>
      </c>
      <c r="BU416" s="38">
        <f>IFERROR(INDEX(LMH_STEP,MATCH(AG416,LMH_KEY,0)),0)</f>
        <v>0</v>
      </c>
      <c r="BV416" s="38">
        <f>IFERROR(INDEX(LMH_STEP,MATCH(AH416,LMH_KEY,0)),0)</f>
        <v>0</v>
      </c>
      <c r="BW416" s="38">
        <f>IFERROR(INDEX(LMH_STEP,MATCH(AI416,LMH_KEY,0)),0)</f>
        <v>0</v>
      </c>
      <c r="BX416" s="38">
        <f>IFERROR(INDEX(LMH_STEP,MATCH(AJ416,LMH_KEY,0)),0)</f>
        <v>0</v>
      </c>
      <c r="BY416" s="38">
        <f>IFERROR(INDEX(LMH_STEP,MATCH(AK416,LMH_KEY,0)),0)</f>
        <v>0</v>
      </c>
      <c r="BZ416" s="38">
        <f>IFERROR(INDEX(LMH_STEP,MATCH(AL416,LMH_KEY,0)),0)</f>
        <v>0</v>
      </c>
      <c r="CA416" s="38" t="inlineStr">
        <is>
          <t>Datatech|Product Management|Product Manager|B2|B-M</t>
        </is>
      </c>
    </row>
    <row r="417" ht="110" customHeight="1">
      <c r="A417" s="28" t="inlineStr">
        <is>
          <t>Datatech</t>
        </is>
      </c>
      <c r="B417" s="29" t="inlineStr">
        <is>
          <t>Product Management</t>
        </is>
      </c>
      <c r="C417" s="29" t="n">
        <v>3</v>
      </c>
      <c r="D417" s="29" t="inlineStr">
        <is>
          <t>IRISDT0010</t>
        </is>
      </c>
      <c r="E417" s="29" t="inlineStr">
        <is>
          <t>Piyush Raj</t>
        </is>
      </c>
      <c r="F417" s="29" t="inlineStr">
        <is>
          <t>Product Manager</t>
        </is>
      </c>
      <c r="G417" s="29" t="inlineStr">
        <is>
          <t>Product Manager</t>
        </is>
      </c>
      <c r="H417" s="29" t="inlineStr">
        <is>
          <t>Product Management</t>
        </is>
      </c>
      <c r="I417" s="29" t="inlineStr">
        <is>
          <t>Product Management</t>
        </is>
      </c>
      <c r="J417" s="29" t="inlineStr">
        <is>
          <t>IC</t>
        </is>
      </c>
      <c r="K417" s="29" t="inlineStr">
        <is>
          <t>RC-126</t>
        </is>
      </c>
      <c r="L417" s="29" t="inlineStr">
        <is>
          <t>Nilesh Majumdar</t>
        </is>
      </c>
      <c r="M417" s="29" t="inlineStr">
        <is>
          <t>IRISDT0008</t>
        </is>
      </c>
      <c r="N417" s="29" t="n">
        <v>8.1</v>
      </c>
      <c r="O417" s="29" t="n">
        <v>1.1</v>
      </c>
      <c r="P417" s="29" t="inlineStr">
        <is>
          <t>PGDM</t>
        </is>
      </c>
      <c r="Q417" s="29" t="inlineStr">
        <is>
          <t>L5 – Manager</t>
        </is>
      </c>
      <c r="R417" s="29" t="inlineStr">
        <is>
          <t>B2</t>
        </is>
      </c>
      <c r="S417" s="30" t="inlineStr">
        <is>
          <t>20 of 20</t>
        </is>
      </c>
      <c r="T417" s="31" t="inlineStr">
        <is>
          <t>Business Impact: Moved +0.5: the survey / manager mapping marks it business-critical.</t>
        </is>
      </c>
      <c r="U417" s="31" t="inlineStr">
        <is>
          <t>Received · manager annual, quarterly, self · "% of users · Existing + new who have completed the Onboarding/Acquisition since
launch of the new onboarding journey on 28th May 2026 should be by March 2027 should be atleast 50% of the overall user base till then"
GSTIN attach rate in profile in D0 for every new users installing the app in the same day should be …</t>
        </is>
      </c>
      <c r="V417" s="31" t="inlineStr">
        <is>
          <t>Latest rating: 4 · Potential: High · 9-box: High Impact / Growth Talent · Readiness: Ready now</t>
        </is>
      </c>
      <c r="W417" s="31" t="inlineStr">
        <is>
          <t>C M · Au M · Ac H · L M · BI H · Exp H · 8.1 yrs vs 4–7 yrs · Edu H · PGDM</t>
        </is>
      </c>
      <c r="X417" s="33" t="inlineStr">
        <is>
          <t>Open ▸</t>
        </is>
      </c>
      <c r="Y417" s="34" t="str">
        <f>IFERROR(INDEX(DL_C,MATCH($CA417,DL_KEY,0)),"M")</f>
        <v>H</v>
      </c>
      <c r="Z417" s="35" t="str">
        <f>IFERROR(INDEX(DL_Au,MATCH($CA417,DL_KEY,0)),"M")</f>
        <v>M</v>
      </c>
      <c r="AA417" s="35" t="str">
        <f>IFERROR(INDEX(DL_Ac,MATCH($CA417,DL_KEY,0)),"M")</f>
        <v>M</v>
      </c>
      <c r="AB417" s="35" t="str">
        <f>IFERROR(INDEX(DL_L,MATCH($CA417,DL_KEY,0)),"M")</f>
        <v>L</v>
      </c>
      <c r="AC417" s="35" t="str">
        <f>IFERROR(INDEX(DL_BI,MATCH($CA417,DL_KEY,0)),"M")</f>
        <v>L</v>
      </c>
      <c r="AD417" s="35" t="str">
        <f>IFERROR(INDEX(DL_Exp,MATCH($CA417,DL_KEY,0)),"M")</f>
        <v>L</v>
      </c>
      <c r="AE417" s="35" t="str">
        <f>IFERROR(INDEX(DL_Edu,MATCH($CA417,DL_KEY,0)),"M")</f>
        <v>L</v>
      </c>
      <c r="AF417" s="34" t="inlineStr">
        <is>
          <t>M</t>
        </is>
      </c>
      <c r="AG417" s="35" t="inlineStr">
        <is>
          <t>M</t>
        </is>
      </c>
      <c r="AH417" s="35" t="inlineStr">
        <is>
          <t>M</t>
        </is>
      </c>
      <c r="AI417" s="35" t="inlineStr">
        <is>
          <t>M</t>
        </is>
      </c>
      <c r="AJ417" s="35" t="inlineStr">
        <is>
          <t>M</t>
        </is>
      </c>
      <c r="AK417" s="35" t="inlineStr">
        <is>
          <t>M</t>
        </is>
      </c>
      <c r="AL417" s="35" t="inlineStr">
        <is>
          <t>M</t>
        </is>
      </c>
      <c r="AM417" s="36" t="n">
        <v>0.513</v>
      </c>
      <c r="AN417" s="37" t="n">
        <v>0.173</v>
      </c>
      <c r="AO417" s="37" t="n">
        <v>0.09699999999999999</v>
      </c>
      <c r="AP417" s="37" t="n">
        <v>0.05</v>
      </c>
      <c r="AQ417" s="37" t="n">
        <v>0.07000000000000001</v>
      </c>
      <c r="AR417" s="37" t="n">
        <v>0.06</v>
      </c>
      <c r="AS417" s="37" t="n">
        <v>0.04</v>
      </c>
      <c r="AT417" s="38" t="inlineStr">
        <is>
          <t>4–8</t>
        </is>
      </c>
      <c r="AU417" s="38" t="inlineStr">
        <is>
          <t>Graduate + relevant qualification or certification preferred</t>
        </is>
      </c>
      <c r="AV417" s="38" t="inlineStr">
        <is>
          <t>IC: none · Team Lead: 3–5</t>
        </is>
      </c>
      <c r="AW417" s="38" t="inlineStr">
        <is>
          <t>P3 / M2 · SFIA 4 Enable</t>
        </is>
      </c>
      <c r="AX41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17" s="39" t="inlineStr">
        <is>
          <t>B1</t>
        </is>
      </c>
      <c r="AZ417" s="40" t="inlineStr">
        <is>
          <t>Band B · Specialist / Manager · Specialist</t>
        </is>
      </c>
      <c r="BA417" s="40" t="inlineStr">
        <is>
          <t>Model B2 from the six ratings, the market-derived weights and rules R1–R13 · then Level rule: manager B2; a reportee sits at least one level below · B2 → B1 · move down · pay and title protected for one cycle</t>
        </is>
      </c>
      <c r="BB417" s="41" t="inlineStr">
        <is>
          <t>B2</t>
        </is>
      </c>
      <c r="BC417" s="40" t="inlineStr">
        <is>
          <t>The six ratings on the market-average weights of Band B · Specialist / POD Lead score 4.67 → B2 · Hay, Mercer IPE and public plans · experience 8.1 yrs vs the B2 market range 6–10</t>
        </is>
      </c>
      <c r="BD417" s="42">
        <f>IF(SUM(BM417,BN417,BO417,BP417,BQ417,BR417,BS417)=0,0,(BM417*BT417+BN417*BU417+BO417*BV417+BP417*BW417+BQ417*BX417+BR417*BY417+BS417*BZ417)/SUM(BM417,BN417,BO417,BP417,BQ417,BR417,BS417))</f>
        <v>0</v>
      </c>
      <c r="BE417" s="41" t="str">
        <f>IF(LEFT(AY417,1)="X",AY417,IF(OR(AY417="B+",AY417="C+"),INDEX(LAD_PC,MAX(1,MIN(14,MATCH(AY417,LAD_PC,0)+IF(BD417&gt;=0.5,1,IF(BD417&lt;=-0.5,-1,0))))),INDEX(LAD_STD,MAX(1,MIN(12,MATCH(AY417,LAD_STD,0)+IF(BD417&gt;=0.5,1,IF(BD417&lt;=-0.5,-1,0)))))))</f>
        <v>B1</v>
      </c>
      <c r="BF417" s="43" t="n"/>
      <c r="BG417" s="41" t="str">
        <f>IF(BF417&lt;&gt;"",BF417,BE417)</f>
        <v>B1</v>
      </c>
      <c r="BH417" s="40" t="str">
        <f>IFERROR(CHOOSE(INDEX(B_RANK,MATCH(BG417,B_LVL,0)),"Band A","Band B","B+ · Player-Coach","Band C","C+ · Player-Coach","Band D","Band E"),"Band X · Consultant")</f>
        <v>Band B</v>
      </c>
      <c r="BI417" s="40" t="str">
        <f>IF(BG417=AY417,"• Same",IF(INDEX(B_VAL,MATCH(BG417,B_LVL,0))&gt;INDEX(B_VAL,MATCH(AY417,B_LVL,0)),"▲ Up","▼ Down"))</f>
        <v>• Same</v>
      </c>
      <c r="BJ417" s="40" t="str">
        <f>IF(OR($M417="",$M417="—",$M417="Not in this file"),"",IFERROR(INDEX($BG$7:$BG$592,MATCH($M417,$D$7:$D$592,0)),""))</f>
        <v>B2</v>
      </c>
      <c r="BK417" s="40" t="str">
        <f>IFERROR(IF(BJ417="","—",IF(OR(LEFT(BG417,1)="X",LEFT(BJ417,1)="X"),"—",IF(AND(LEFT(BG417,1)="E",LEFT(BJ417,1)="E"),"Exception · Band E",IF(AND(INDEX(B_VAL,MATCH(BJ417,B_LVL,0))&gt;=7,INDEX(B_RANK,MATCH(BG417,B_LVL,0))&gt;=INDEX(B_RANK,MATCH(BJ417,B_LVL,0))),"⚠ Same band as a head manager",IF(INDEX(B_VAL,MATCH(BG417,B_LVL,0))&gt;=INDEX(B_VAL,MATCH(BJ417,B_LVL,0)),"⚠ At or above the manager's level","OK"))))),"—")</f>
        <v>OK</v>
      </c>
      <c r="BL417" s="43" t="n"/>
      <c r="BM417" s="44">
        <f>IFERROR(INDEX(LMH_PTS,MATCH(Y417,LMH_KEY,0)),0)</f>
        <v>9</v>
      </c>
      <c r="BN417" s="38">
        <f>IFERROR(INDEX(LMH_PTS,MATCH(Z417,LMH_KEY,0)),0)</f>
        <v>3</v>
      </c>
      <c r="BO417" s="38">
        <f>IFERROR(INDEX(LMH_PTS,MATCH(AA417,LMH_KEY,0)),0)</f>
        <v>3</v>
      </c>
      <c r="BP417" s="38">
        <f>IFERROR(INDEX(LMH_PTS,MATCH(AB417,LMH_KEY,0)),0)</f>
        <v>1</v>
      </c>
      <c r="BQ417" s="38">
        <f>IFERROR(INDEX(LMH_PTS,MATCH(AC417,LMH_KEY,0)),0)</f>
        <v>1</v>
      </c>
      <c r="BR417" s="38">
        <f>IFERROR(INDEX(LMH_PTS,MATCH(AD417,LMH_KEY,0)),0)</f>
        <v>1</v>
      </c>
      <c r="BS417" s="38">
        <f>IFERROR(INDEX(LMH_PTS,MATCH(AE417,LMH_KEY,0)),0)</f>
        <v>1</v>
      </c>
      <c r="BT417" s="38">
        <f>IFERROR(INDEX(LMH_STEP,MATCH(AF417,LMH_KEY,0)),0)</f>
        <v>0</v>
      </c>
      <c r="BU417" s="38">
        <f>IFERROR(INDEX(LMH_STEP,MATCH(AG417,LMH_KEY,0)),0)</f>
        <v>0</v>
      </c>
      <c r="BV417" s="38">
        <f>IFERROR(INDEX(LMH_STEP,MATCH(AH417,LMH_KEY,0)),0)</f>
        <v>0</v>
      </c>
      <c r="BW417" s="38">
        <f>IFERROR(INDEX(LMH_STEP,MATCH(AI417,LMH_KEY,0)),0)</f>
        <v>0</v>
      </c>
      <c r="BX417" s="38">
        <f>IFERROR(INDEX(LMH_STEP,MATCH(AJ417,LMH_KEY,0)),0)</f>
        <v>0</v>
      </c>
      <c r="BY417" s="38">
        <f>IFERROR(INDEX(LMH_STEP,MATCH(AK417,LMH_KEY,0)),0)</f>
        <v>0</v>
      </c>
      <c r="BZ417" s="38">
        <f>IFERROR(INDEX(LMH_STEP,MATCH(AL417,LMH_KEY,0)),0)</f>
        <v>0</v>
      </c>
      <c r="CA417" s="38" t="inlineStr">
        <is>
          <t>Datatech|Product Management|Product Manager|B1|B-IC</t>
        </is>
      </c>
    </row>
    <row r="418" ht="110" customHeight="1">
      <c r="A418" s="28" t="inlineStr">
        <is>
          <t>Datatech</t>
        </is>
      </c>
      <c r="B418" s="29" t="inlineStr">
        <is>
          <t>Product Management</t>
        </is>
      </c>
      <c r="C418" s="29" t="n">
        <v>3</v>
      </c>
      <c r="D418" s="29" t="inlineStr">
        <is>
          <t>IRISDT0024</t>
        </is>
      </c>
      <c r="E418" s="29" t="inlineStr">
        <is>
          <t>Ayushi Maurya</t>
        </is>
      </c>
      <c r="F418" s="29" t="inlineStr">
        <is>
          <t>Product Manager</t>
        </is>
      </c>
      <c r="G418" s="29" t="inlineStr">
        <is>
          <t>Associate Product Manager</t>
        </is>
      </c>
      <c r="H418" s="29" t="inlineStr">
        <is>
          <t>Product Management</t>
        </is>
      </c>
      <c r="I418" s="29" t="inlineStr">
        <is>
          <t>Product Management</t>
        </is>
      </c>
      <c r="J418" s="29" t="inlineStr">
        <is>
          <t>IC</t>
        </is>
      </c>
      <c r="K418" s="29" t="inlineStr">
        <is>
          <t>RC-125</t>
        </is>
      </c>
      <c r="L418" s="29" t="inlineStr">
        <is>
          <t>Nilesh Majumdar</t>
        </is>
      </c>
      <c r="M418" s="29" t="inlineStr">
        <is>
          <t>IRISDT0008</t>
        </is>
      </c>
      <c r="N418" s="29" t="inlineStr">
        <is>
          <t>Not provided · HRIS</t>
        </is>
      </c>
      <c r="O418" s="29" t="n">
        <v>0.1</v>
      </c>
      <c r="P418" s="29" t="inlineStr">
        <is>
          <t>M.Tech</t>
        </is>
      </c>
      <c r="Q418" s="29" t="inlineStr">
        <is>
          <t>Not in current mapping files</t>
        </is>
      </c>
      <c r="R418" s="29" t="inlineStr">
        <is>
          <t>B1</t>
        </is>
      </c>
      <c r="S418" s="30" t="inlineStr">
        <is>
          <t>20 of 20</t>
        </is>
      </c>
      <c r="T418" s="31" t="inlineStr">
        <is>
          <t>Complexity: Evidence reads like A3: Primary and secondary research on new sectors, app engagement analysis, communication planning, sprint management → moved down 1
Autonomy: Evidence reads like A2: Only stated independent decision is communication experiments → moved down 1
Accountability: Evidence reads like A3: Accountable for app engagement and …</t>
        </is>
      </c>
      <c r="U418" s="32" t="inlineStr">
        <is>
          <t>KRAs not received · manager to supply</t>
        </is>
      </c>
      <c r="V418" s="31" t="inlineStr">
        <is>
          <t>Latest rating: Not rated · manager · 9-box: Not placed · manager · Readiness: No rating data</t>
        </is>
      </c>
      <c r="W418" s="31" t="inlineStr">
        <is>
          <t>C M · Au M · Ac M · L L · BI M · Exp — · not on file · Edu H · M.Tech</t>
        </is>
      </c>
      <c r="X418" s="33" t="inlineStr">
        <is>
          <t>Open ▸</t>
        </is>
      </c>
      <c r="Y418" s="34" t="str">
        <f>IFERROR(INDEX(DL_C,MATCH($CA418,DL_KEY,0)),"M")</f>
        <v>H</v>
      </c>
      <c r="Z418" s="35" t="str">
        <f>IFERROR(INDEX(DL_Au,MATCH($CA418,DL_KEY,0)),"M")</f>
        <v>M</v>
      </c>
      <c r="AA418" s="35" t="str">
        <f>IFERROR(INDEX(DL_Ac,MATCH($CA418,DL_KEY,0)),"M")</f>
        <v>M</v>
      </c>
      <c r="AB418" s="35" t="str">
        <f>IFERROR(INDEX(DL_L,MATCH($CA418,DL_KEY,0)),"M")</f>
        <v>L</v>
      </c>
      <c r="AC418" s="35" t="str">
        <f>IFERROR(INDEX(DL_BI,MATCH($CA418,DL_KEY,0)),"M")</f>
        <v>L</v>
      </c>
      <c r="AD418" s="35" t="str">
        <f>IFERROR(INDEX(DL_Exp,MATCH($CA418,DL_KEY,0)),"M")</f>
        <v>L</v>
      </c>
      <c r="AE418" s="35" t="str">
        <f>IFERROR(INDEX(DL_Edu,MATCH($CA418,DL_KEY,0)),"M")</f>
        <v>L</v>
      </c>
      <c r="AF418" s="34" t="inlineStr">
        <is>
          <t>M</t>
        </is>
      </c>
      <c r="AG418" s="35" t="inlineStr">
        <is>
          <t>M</t>
        </is>
      </c>
      <c r="AH418" s="35" t="inlineStr">
        <is>
          <t>M</t>
        </is>
      </c>
      <c r="AI418" s="35" t="inlineStr">
        <is>
          <t>M</t>
        </is>
      </c>
      <c r="AJ418" s="35" t="inlineStr">
        <is>
          <t>M</t>
        </is>
      </c>
      <c r="AK418" s="35" t="inlineStr">
        <is>
          <t>M</t>
        </is>
      </c>
      <c r="AL418" s="35" t="inlineStr">
        <is>
          <t>M</t>
        </is>
      </c>
      <c r="AM418" s="36" t="n">
        <v>0.513</v>
      </c>
      <c r="AN418" s="37" t="n">
        <v>0.173</v>
      </c>
      <c r="AO418" s="37" t="n">
        <v>0.09699999999999999</v>
      </c>
      <c r="AP418" s="37" t="n">
        <v>0.05</v>
      </c>
      <c r="AQ418" s="37" t="n">
        <v>0.07000000000000001</v>
      </c>
      <c r="AR418" s="37" t="n">
        <v>0.06</v>
      </c>
      <c r="AS418" s="37" t="n">
        <v>0.04</v>
      </c>
      <c r="AT418" s="38" t="inlineStr">
        <is>
          <t>4–8</t>
        </is>
      </c>
      <c r="AU418" s="38" t="inlineStr">
        <is>
          <t>Graduate + relevant qualification or certification preferred</t>
        </is>
      </c>
      <c r="AV418" s="38" t="inlineStr">
        <is>
          <t>IC: none · Team Lead: 3–5</t>
        </is>
      </c>
      <c r="AW418" s="38" t="inlineStr">
        <is>
          <t>P3 / M2 · SFIA 4 Enable</t>
        </is>
      </c>
      <c r="AX41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18" s="39" t="inlineStr">
        <is>
          <t>B1</t>
        </is>
      </c>
      <c r="AZ418" s="40" t="inlineStr">
        <is>
          <t>Band B · Specialist / Manager · Specialist</t>
        </is>
      </c>
      <c r="BA418" s="40" t="inlineStr">
        <is>
          <t>Model B1 from the six ratings, the market-derived weights and rules R1–R13 · then No change · already below the manager</t>
        </is>
      </c>
      <c r="BB418" s="41" t="inlineStr">
        <is>
          <t>B1</t>
        </is>
      </c>
      <c r="BC418" s="40" t="inlineStr">
        <is>
          <t>The six ratings on the market-average weights of Band B · Specialist / POD Lead score 4.00 → B1 · Hay, Mercer IPE and public plans · experience Not provided · HRIS yrs vs the B1 market range 4–8</t>
        </is>
      </c>
      <c r="BD418" s="42">
        <f>IF(SUM(BM418,BN418,BO418,BP418,BQ418,BR418,BS418)=0,0,(BM418*BT418+BN418*BU418+BO418*BV418+BP418*BW418+BQ418*BX418+BR418*BY418+BS418*BZ418)/SUM(BM418,BN418,BO418,BP418,BQ418,BR418,BS418))</f>
        <v>0</v>
      </c>
      <c r="BE418" s="41" t="str">
        <f>IF(LEFT(AY418,1)="X",AY418,IF(OR(AY418="B+",AY418="C+"),INDEX(LAD_PC,MAX(1,MIN(14,MATCH(AY418,LAD_PC,0)+IF(BD418&gt;=0.5,1,IF(BD418&lt;=-0.5,-1,0))))),INDEX(LAD_STD,MAX(1,MIN(12,MATCH(AY418,LAD_STD,0)+IF(BD418&gt;=0.5,1,IF(BD418&lt;=-0.5,-1,0)))))))</f>
        <v>B1</v>
      </c>
      <c r="BF418" s="43" t="n"/>
      <c r="BG418" s="41" t="str">
        <f>IF(BF418&lt;&gt;"",BF418,BE418)</f>
        <v>B1</v>
      </c>
      <c r="BH418" s="40" t="str">
        <f>IFERROR(CHOOSE(INDEX(B_RANK,MATCH(BG418,B_LVL,0)),"Band A","Band B","B+ · Player-Coach","Band C","C+ · Player-Coach","Band D","Band E"),"Band X · Consultant")</f>
        <v>Band B</v>
      </c>
      <c r="BI418" s="40" t="str">
        <f>IF(BG418=AY418,"• Same",IF(INDEX(B_VAL,MATCH(BG418,B_LVL,0))&gt;INDEX(B_VAL,MATCH(AY418,B_LVL,0)),"▲ Up","▼ Down"))</f>
        <v>• Same</v>
      </c>
      <c r="BJ418" s="40" t="str">
        <f>IF(OR($M418="",$M418="—",$M418="Not in this file"),"",IFERROR(INDEX($BG$7:$BG$592,MATCH($M418,$D$7:$D$592,0)),""))</f>
        <v>B2</v>
      </c>
      <c r="BK418" s="40" t="str">
        <f>IFERROR(IF(BJ418="","—",IF(OR(LEFT(BG418,1)="X",LEFT(BJ418,1)="X"),"—",IF(AND(LEFT(BG418,1)="E",LEFT(BJ418,1)="E"),"Exception · Band E",IF(AND(INDEX(B_VAL,MATCH(BJ418,B_LVL,0))&gt;=7,INDEX(B_RANK,MATCH(BG418,B_LVL,0))&gt;=INDEX(B_RANK,MATCH(BJ418,B_LVL,0))),"⚠ Same band as a head manager",IF(INDEX(B_VAL,MATCH(BG418,B_LVL,0))&gt;=INDEX(B_VAL,MATCH(BJ418,B_LVL,0)),"⚠ At or above the manager's level","OK"))))),"—")</f>
        <v>OK</v>
      </c>
      <c r="BL418" s="43" t="n"/>
      <c r="BM418" s="44">
        <f>IFERROR(INDEX(LMH_PTS,MATCH(Y418,LMH_KEY,0)),0)</f>
        <v>9</v>
      </c>
      <c r="BN418" s="38">
        <f>IFERROR(INDEX(LMH_PTS,MATCH(Z418,LMH_KEY,0)),0)</f>
        <v>3</v>
      </c>
      <c r="BO418" s="38">
        <f>IFERROR(INDEX(LMH_PTS,MATCH(AA418,LMH_KEY,0)),0)</f>
        <v>3</v>
      </c>
      <c r="BP418" s="38">
        <f>IFERROR(INDEX(LMH_PTS,MATCH(AB418,LMH_KEY,0)),0)</f>
        <v>1</v>
      </c>
      <c r="BQ418" s="38">
        <f>IFERROR(INDEX(LMH_PTS,MATCH(AC418,LMH_KEY,0)),0)</f>
        <v>1</v>
      </c>
      <c r="BR418" s="38">
        <f>IFERROR(INDEX(LMH_PTS,MATCH(AD418,LMH_KEY,0)),0)</f>
        <v>1</v>
      </c>
      <c r="BS418" s="38">
        <f>IFERROR(INDEX(LMH_PTS,MATCH(AE418,LMH_KEY,0)),0)</f>
        <v>1</v>
      </c>
      <c r="BT418" s="38">
        <f>IFERROR(INDEX(LMH_STEP,MATCH(AF418,LMH_KEY,0)),0)</f>
        <v>0</v>
      </c>
      <c r="BU418" s="38">
        <f>IFERROR(INDEX(LMH_STEP,MATCH(AG418,LMH_KEY,0)),0)</f>
        <v>0</v>
      </c>
      <c r="BV418" s="38">
        <f>IFERROR(INDEX(LMH_STEP,MATCH(AH418,LMH_KEY,0)),0)</f>
        <v>0</v>
      </c>
      <c r="BW418" s="38">
        <f>IFERROR(INDEX(LMH_STEP,MATCH(AI418,LMH_KEY,0)),0)</f>
        <v>0</v>
      </c>
      <c r="BX418" s="38">
        <f>IFERROR(INDEX(LMH_STEP,MATCH(AJ418,LMH_KEY,0)),0)</f>
        <v>0</v>
      </c>
      <c r="BY418" s="38">
        <f>IFERROR(INDEX(LMH_STEP,MATCH(AK418,LMH_KEY,0)),0)</f>
        <v>0</v>
      </c>
      <c r="BZ418" s="38">
        <f>IFERROR(INDEX(LMH_STEP,MATCH(AL418,LMH_KEY,0)),0)</f>
        <v>0</v>
      </c>
      <c r="CA418" s="38" t="inlineStr">
        <is>
          <t>Datatech|Product Management|Associate Product Manager|B1|B-IC</t>
        </is>
      </c>
    </row>
    <row r="419" ht="110" customHeight="1">
      <c r="A419" s="28" t="inlineStr">
        <is>
          <t>Datatech</t>
        </is>
      </c>
      <c r="B419" s="29" t="inlineStr">
        <is>
          <t>Product Management</t>
        </is>
      </c>
      <c r="C419" s="29" t="n">
        <v>3</v>
      </c>
      <c r="D419" s="29" t="inlineStr">
        <is>
          <t>IRISDT0021</t>
        </is>
      </c>
      <c r="E419" s="29" t="inlineStr">
        <is>
          <t>Gaurav Bansal</t>
        </is>
      </c>
      <c r="F419" s="29" t="inlineStr">
        <is>
          <t>Product Manager</t>
        </is>
      </c>
      <c r="G419" s="29" t="inlineStr">
        <is>
          <t>Associate Product Manager</t>
        </is>
      </c>
      <c r="H419" s="29" t="inlineStr">
        <is>
          <t>Product Management</t>
        </is>
      </c>
      <c r="I419" s="29" t="inlineStr">
        <is>
          <t>Product Management</t>
        </is>
      </c>
      <c r="J419" s="29" t="inlineStr">
        <is>
          <t>IC</t>
        </is>
      </c>
      <c r="K419" s="29" t="inlineStr">
        <is>
          <t>RC-125</t>
        </is>
      </c>
      <c r="L419" s="29" t="inlineStr">
        <is>
          <t>Nilesh Majumdar</t>
        </is>
      </c>
      <c r="M419" s="29" t="inlineStr">
        <is>
          <t>IRISDT0008</t>
        </is>
      </c>
      <c r="N419" s="29" t="n">
        <v>2.4</v>
      </c>
      <c r="O419" s="29" t="n">
        <v>0.2</v>
      </c>
      <c r="P419" s="29" t="inlineStr">
        <is>
          <t>B.Tech</t>
        </is>
      </c>
      <c r="Q419" s="29" t="inlineStr">
        <is>
          <t>Not in current mapping files</t>
        </is>
      </c>
      <c r="R419" s="29" t="inlineStr">
        <is>
          <t>B1</t>
        </is>
      </c>
      <c r="S419" s="30" t="inlineStr">
        <is>
          <t>20 of 20</t>
        </is>
      </c>
      <c r="T419" s="31" t="inlineStr">
        <is>
          <t>Complexity: Evidence reads like A3: Product work for the SCF vertical: research, target audience, performance tracking, QA; few specifics → moved down 0.5
Autonomy: Evidence reads like A3: Decides the target audience for the SCF product → moved down 0.5
Accountability: Evidence reads like B1: Owns the supply chain finance product and its monetisation → …</t>
        </is>
      </c>
      <c r="U419" s="32" t="inlineStr">
        <is>
          <t>KRAs not received · manager to supply</t>
        </is>
      </c>
      <c r="V419" s="31" t="inlineStr">
        <is>
          <t>Latest rating: Not rated · manager · 9-box: Not placed · manager · Readiness: No rating data</t>
        </is>
      </c>
      <c r="W419" s="31" t="inlineStr">
        <is>
          <t>C M · Au M · Ac M · L M · BI M · Exp L · 2.4 yrs vs 4–7 yrs · Edu M · B.Tech</t>
        </is>
      </c>
      <c r="X419" s="33" t="inlineStr">
        <is>
          <t>Open ▸</t>
        </is>
      </c>
      <c r="Y419" s="34" t="str">
        <f>IFERROR(INDEX(DL_C,MATCH($CA419,DL_KEY,0)),"M")</f>
        <v>H</v>
      </c>
      <c r="Z419" s="35" t="str">
        <f>IFERROR(INDEX(DL_Au,MATCH($CA419,DL_KEY,0)),"M")</f>
        <v>M</v>
      </c>
      <c r="AA419" s="35" t="str">
        <f>IFERROR(INDEX(DL_Ac,MATCH($CA419,DL_KEY,0)),"M")</f>
        <v>M</v>
      </c>
      <c r="AB419" s="35" t="str">
        <f>IFERROR(INDEX(DL_L,MATCH($CA419,DL_KEY,0)),"M")</f>
        <v>L</v>
      </c>
      <c r="AC419" s="35" t="str">
        <f>IFERROR(INDEX(DL_BI,MATCH($CA419,DL_KEY,0)),"M")</f>
        <v>L</v>
      </c>
      <c r="AD419" s="35" t="str">
        <f>IFERROR(INDEX(DL_Exp,MATCH($CA419,DL_KEY,0)),"M")</f>
        <v>L</v>
      </c>
      <c r="AE419" s="35" t="str">
        <f>IFERROR(INDEX(DL_Edu,MATCH($CA419,DL_KEY,0)),"M")</f>
        <v>L</v>
      </c>
      <c r="AF419" s="34" t="inlineStr">
        <is>
          <t>M</t>
        </is>
      </c>
      <c r="AG419" s="35" t="inlineStr">
        <is>
          <t>M</t>
        </is>
      </c>
      <c r="AH419" s="35" t="inlineStr">
        <is>
          <t>M</t>
        </is>
      </c>
      <c r="AI419" s="35" t="inlineStr">
        <is>
          <t>M</t>
        </is>
      </c>
      <c r="AJ419" s="35" t="inlineStr">
        <is>
          <t>M</t>
        </is>
      </c>
      <c r="AK419" s="35" t="inlineStr">
        <is>
          <t>M</t>
        </is>
      </c>
      <c r="AL419" s="35" t="inlineStr">
        <is>
          <t>M</t>
        </is>
      </c>
      <c r="AM419" s="36" t="n">
        <v>0.513</v>
      </c>
      <c r="AN419" s="37" t="n">
        <v>0.173</v>
      </c>
      <c r="AO419" s="37" t="n">
        <v>0.09699999999999999</v>
      </c>
      <c r="AP419" s="37" t="n">
        <v>0.05</v>
      </c>
      <c r="AQ419" s="37" t="n">
        <v>0.07000000000000001</v>
      </c>
      <c r="AR419" s="37" t="n">
        <v>0.06</v>
      </c>
      <c r="AS419" s="37" t="n">
        <v>0.04</v>
      </c>
      <c r="AT419" s="38" t="inlineStr">
        <is>
          <t>4–8</t>
        </is>
      </c>
      <c r="AU419" s="38" t="inlineStr">
        <is>
          <t>Graduate + relevant qualification or certification preferred</t>
        </is>
      </c>
      <c r="AV419" s="38" t="inlineStr">
        <is>
          <t>IC: none · Team Lead: 3–5</t>
        </is>
      </c>
      <c r="AW419" s="38" t="inlineStr">
        <is>
          <t>P3 / M2 · SFIA 4 Enable</t>
        </is>
      </c>
      <c r="AX41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19" s="39" t="inlineStr">
        <is>
          <t>B1</t>
        </is>
      </c>
      <c r="AZ419" s="40" t="inlineStr">
        <is>
          <t>Band B · Specialist / Manager · Specialist</t>
        </is>
      </c>
      <c r="BA419" s="40" t="inlineStr">
        <is>
          <t>Model B1 from the six ratings, the market-derived weights and rules R1–R13 · then No change · already below the manager</t>
        </is>
      </c>
      <c r="BB419" s="41" t="inlineStr">
        <is>
          <t>B1</t>
        </is>
      </c>
      <c r="BC419" s="40" t="inlineStr">
        <is>
          <t>The six ratings on the market-average weights of Band B · Specialist / POD Lead score 4.25 → B1 · Hay, Mercer IPE and public plans · experience 2.4 yrs vs the B1 market range 4–8</t>
        </is>
      </c>
      <c r="BD419" s="42">
        <f>IF(SUM(BM419,BN419,BO419,BP419,BQ419,BR419,BS419)=0,0,(BM419*BT419+BN419*BU419+BO419*BV419+BP419*BW419+BQ419*BX419+BR419*BY419+BS419*BZ419)/SUM(BM419,BN419,BO419,BP419,BQ419,BR419,BS419))</f>
        <v>0</v>
      </c>
      <c r="BE419" s="41" t="str">
        <f>IF(LEFT(AY419,1)="X",AY419,IF(OR(AY419="B+",AY419="C+"),INDEX(LAD_PC,MAX(1,MIN(14,MATCH(AY419,LAD_PC,0)+IF(BD419&gt;=0.5,1,IF(BD419&lt;=-0.5,-1,0))))),INDEX(LAD_STD,MAX(1,MIN(12,MATCH(AY419,LAD_STD,0)+IF(BD419&gt;=0.5,1,IF(BD419&lt;=-0.5,-1,0)))))))</f>
        <v>B1</v>
      </c>
      <c r="BF419" s="43" t="n"/>
      <c r="BG419" s="41" t="str">
        <f>IF(BF419&lt;&gt;"",BF419,BE419)</f>
        <v>B1</v>
      </c>
      <c r="BH419" s="40" t="str">
        <f>IFERROR(CHOOSE(INDEX(B_RANK,MATCH(BG419,B_LVL,0)),"Band A","Band B","B+ · Player-Coach","Band C","C+ · Player-Coach","Band D","Band E"),"Band X · Consultant")</f>
        <v>Band B</v>
      </c>
      <c r="BI419" s="40" t="str">
        <f>IF(BG419=AY419,"• Same",IF(INDEX(B_VAL,MATCH(BG419,B_LVL,0))&gt;INDEX(B_VAL,MATCH(AY419,B_LVL,0)),"▲ Up","▼ Down"))</f>
        <v>• Same</v>
      </c>
      <c r="BJ419" s="40" t="str">
        <f>IF(OR($M419="",$M419="—",$M419="Not in this file"),"",IFERROR(INDEX($BG$7:$BG$592,MATCH($M419,$D$7:$D$592,0)),""))</f>
        <v>B2</v>
      </c>
      <c r="BK419" s="40" t="str">
        <f>IFERROR(IF(BJ419="","—",IF(OR(LEFT(BG419,1)="X",LEFT(BJ419,1)="X"),"—",IF(AND(LEFT(BG419,1)="E",LEFT(BJ419,1)="E"),"Exception · Band E",IF(AND(INDEX(B_VAL,MATCH(BJ419,B_LVL,0))&gt;=7,INDEX(B_RANK,MATCH(BG419,B_LVL,0))&gt;=INDEX(B_RANK,MATCH(BJ419,B_LVL,0))),"⚠ Same band as a head manager",IF(INDEX(B_VAL,MATCH(BG419,B_LVL,0))&gt;=INDEX(B_VAL,MATCH(BJ419,B_LVL,0)),"⚠ At or above the manager's level","OK"))))),"—")</f>
        <v>OK</v>
      </c>
      <c r="BL419" s="43" t="n"/>
      <c r="BM419" s="44">
        <f>IFERROR(INDEX(LMH_PTS,MATCH(Y419,LMH_KEY,0)),0)</f>
        <v>9</v>
      </c>
      <c r="BN419" s="38">
        <f>IFERROR(INDEX(LMH_PTS,MATCH(Z419,LMH_KEY,0)),0)</f>
        <v>3</v>
      </c>
      <c r="BO419" s="38">
        <f>IFERROR(INDEX(LMH_PTS,MATCH(AA419,LMH_KEY,0)),0)</f>
        <v>3</v>
      </c>
      <c r="BP419" s="38">
        <f>IFERROR(INDEX(LMH_PTS,MATCH(AB419,LMH_KEY,0)),0)</f>
        <v>1</v>
      </c>
      <c r="BQ419" s="38">
        <f>IFERROR(INDEX(LMH_PTS,MATCH(AC419,LMH_KEY,0)),0)</f>
        <v>1</v>
      </c>
      <c r="BR419" s="38">
        <f>IFERROR(INDEX(LMH_PTS,MATCH(AD419,LMH_KEY,0)),0)</f>
        <v>1</v>
      </c>
      <c r="BS419" s="38">
        <f>IFERROR(INDEX(LMH_PTS,MATCH(AE419,LMH_KEY,0)),0)</f>
        <v>1</v>
      </c>
      <c r="BT419" s="38">
        <f>IFERROR(INDEX(LMH_STEP,MATCH(AF419,LMH_KEY,0)),0)</f>
        <v>0</v>
      </c>
      <c r="BU419" s="38">
        <f>IFERROR(INDEX(LMH_STEP,MATCH(AG419,LMH_KEY,0)),0)</f>
        <v>0</v>
      </c>
      <c r="BV419" s="38">
        <f>IFERROR(INDEX(LMH_STEP,MATCH(AH419,LMH_KEY,0)),0)</f>
        <v>0</v>
      </c>
      <c r="BW419" s="38">
        <f>IFERROR(INDEX(LMH_STEP,MATCH(AI419,LMH_KEY,0)),0)</f>
        <v>0</v>
      </c>
      <c r="BX419" s="38">
        <f>IFERROR(INDEX(LMH_STEP,MATCH(AJ419,LMH_KEY,0)),0)</f>
        <v>0</v>
      </c>
      <c r="BY419" s="38">
        <f>IFERROR(INDEX(LMH_STEP,MATCH(AK419,LMH_KEY,0)),0)</f>
        <v>0</v>
      </c>
      <c r="BZ419" s="38">
        <f>IFERROR(INDEX(LMH_STEP,MATCH(AL419,LMH_KEY,0)),0)</f>
        <v>0</v>
      </c>
      <c r="CA419" s="38" t="inlineStr">
        <is>
          <t>Datatech|Product Management|Associate Product Manager|B1|B-IC</t>
        </is>
      </c>
    </row>
    <row r="420" ht="110" customHeight="1">
      <c r="A420" s="28" t="inlineStr">
        <is>
          <t>Datatech</t>
        </is>
      </c>
      <c r="B420" s="29" t="inlineStr">
        <is>
          <t>Quality Assurance</t>
        </is>
      </c>
      <c r="C420" s="29" t="n">
        <v>3</v>
      </c>
      <c r="D420" s="29" t="inlineStr">
        <is>
          <t>IRISDT0014</t>
        </is>
      </c>
      <c r="E420" s="29" t="inlineStr">
        <is>
          <t>Supriya Patil</t>
        </is>
      </c>
      <c r="F420" s="29" t="inlineStr">
        <is>
          <t>QA Engineer</t>
        </is>
      </c>
      <c r="G420" s="29" t="inlineStr">
        <is>
          <t>Senior QA Engineer</t>
        </is>
      </c>
      <c r="H420" s="29" t="inlineStr">
        <is>
          <t>Quality Assurance</t>
        </is>
      </c>
      <c r="I420" s="29" t="inlineStr">
        <is>
          <t>Functional &amp; Domain Testing</t>
        </is>
      </c>
      <c r="J420" s="29" t="inlineStr">
        <is>
          <t>IC</t>
        </is>
      </c>
      <c r="K420" s="29" t="inlineStr">
        <is>
          <t>RC-141</t>
        </is>
      </c>
      <c r="L420" s="29" t="inlineStr">
        <is>
          <t>Nilesh Majumdar</t>
        </is>
      </c>
      <c r="M420" s="29" t="inlineStr">
        <is>
          <t>IRISDT0008</t>
        </is>
      </c>
      <c r="N420" s="29" t="n">
        <v>7.3</v>
      </c>
      <c r="O420" s="29" t="n">
        <v>0.6</v>
      </c>
      <c r="P420" s="29" t="inlineStr">
        <is>
          <t>B.E</t>
        </is>
      </c>
      <c r="Q420" s="29" t="inlineStr">
        <is>
          <t>L3 – Professional / Associate</t>
        </is>
      </c>
      <c r="R420" s="29" t="inlineStr">
        <is>
          <t>A3</t>
        </is>
      </c>
      <c r="S420" s="30" t="inlineStr">
        <is>
          <t>20 of 20</t>
        </is>
      </c>
      <c r="T420" s="31" t="inlineStr">
        <is>
          <t>Complexity: Evidence reads like A2: Analyses requirements, writes and executes test cases, logs and verifies bugs; manual, API, mobile testing → matches the start
Autonomy: Evidence reads like A2: Decides prioritisation of bug retests; escalates when needed → matches the start
Accountability: Evidence reads like A3: Owns sign-off decisions; a signed-off …</t>
        </is>
      </c>
      <c r="U420" s="31" t="inlineStr">
        <is>
          <t>Received · manager annual, quarterly · 1.	Defect Leakage Rate: defects found in production ÷ total defects for that release. Target: &lt; 5%. Reviewed per release, averaged quarterly.
2.	Defect Removal Efficiency · DRE: defects caught pre-release ÷ total defects × 100. Target: ≥ 90%.
3.	P0/P1 flow coverage: % of critical Peridot user journeys with executed …</t>
        </is>
      </c>
      <c r="V420" s="31" t="inlineStr">
        <is>
          <t>Latest rating: 3 · Potential: Medium · 9-box: Core Contributor · Readiness: Develop in role</t>
        </is>
      </c>
      <c r="W420" s="31" t="inlineStr">
        <is>
          <t>C L · Au L · Ac M · L L · BI M · Exp H · 7.3 yrs vs 2–4 yrs · Edu M · B.E</t>
        </is>
      </c>
      <c r="X420" s="33" t="inlineStr">
        <is>
          <t>Open ▸</t>
        </is>
      </c>
      <c r="Y420" s="34" t="str">
        <f>IFERROR(INDEX(DL_C,MATCH($CA420,DL_KEY,0)),"M")</f>
        <v>H</v>
      </c>
      <c r="Z420" s="35" t="str">
        <f>IFERROR(INDEX(DL_Au,MATCH($CA420,DL_KEY,0)),"M")</f>
        <v>M</v>
      </c>
      <c r="AA420" s="35" t="str">
        <f>IFERROR(INDEX(DL_Ac,MATCH($CA420,DL_KEY,0)),"M")</f>
        <v>L</v>
      </c>
      <c r="AB420" s="35" t="str">
        <f>IFERROR(INDEX(DL_L,MATCH($CA420,DL_KEY,0)),"M")</f>
        <v>L</v>
      </c>
      <c r="AC420" s="35" t="str">
        <f>IFERROR(INDEX(DL_BI,MATCH($CA420,DL_KEY,0)),"M")</f>
        <v>L</v>
      </c>
      <c r="AD420" s="35" t="str">
        <f>IFERROR(INDEX(DL_Exp,MATCH($CA420,DL_KEY,0)),"M")</f>
        <v>L</v>
      </c>
      <c r="AE420" s="35" t="str">
        <f>IFERROR(INDEX(DL_Edu,MATCH($CA420,DL_KEY,0)),"M")</f>
        <v>L</v>
      </c>
      <c r="AF420" s="34" t="inlineStr">
        <is>
          <t>M</t>
        </is>
      </c>
      <c r="AG420" s="35" t="inlineStr">
        <is>
          <t>M</t>
        </is>
      </c>
      <c r="AH420" s="35" t="inlineStr">
        <is>
          <t>M</t>
        </is>
      </c>
      <c r="AI420" s="35" t="inlineStr">
        <is>
          <t>M</t>
        </is>
      </c>
      <c r="AJ420" s="35" t="inlineStr">
        <is>
          <t>M</t>
        </is>
      </c>
      <c r="AK420" s="35" t="inlineStr">
        <is>
          <t>M</t>
        </is>
      </c>
      <c r="AL420" s="35" t="inlineStr">
        <is>
          <t>M</t>
        </is>
      </c>
      <c r="AM420" s="36" t="n">
        <v>0.583</v>
      </c>
      <c r="AN420" s="37" t="n">
        <v>0.16</v>
      </c>
      <c r="AO420" s="37" t="n">
        <v>0.09</v>
      </c>
      <c r="AP420" s="37" t="n">
        <v>0</v>
      </c>
      <c r="AQ420" s="37" t="n">
        <v>0.063</v>
      </c>
      <c r="AR420" s="37" t="n">
        <v>0.06</v>
      </c>
      <c r="AS420" s="37" t="n">
        <v>0.04</v>
      </c>
      <c r="AT420" s="38" t="inlineStr">
        <is>
          <t>2–5</t>
        </is>
      </c>
      <c r="AU420" s="38" t="inlineStr">
        <is>
          <t>Graduate; relevant certification preferred</t>
        </is>
      </c>
      <c r="AV420" s="38" t="inlineStr">
        <is>
          <t>None · guides 1–3 juniors informally</t>
        </is>
      </c>
      <c r="AW420" s="38" t="inlineStr">
        <is>
          <t>P2 · SFIA 3 Apply</t>
        </is>
      </c>
      <c r="AX42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20" s="39" t="inlineStr">
        <is>
          <t>A3</t>
        </is>
      </c>
      <c r="AZ420" s="40" t="inlineStr">
        <is>
          <t>Band A · Practitioner · Senior Associate</t>
        </is>
      </c>
      <c r="BA420" s="40" t="inlineStr">
        <is>
          <t>Model A3 from the six ratings, the market-derived weights and rules R1–R13 · then No change · already below the manager</t>
        </is>
      </c>
      <c r="BB420" s="41" t="inlineStr">
        <is>
          <t>A2</t>
        </is>
      </c>
      <c r="BC420" s="40" t="inlineStr">
        <is>
          <t>The six ratings on the market-average weights of Band A · all tracks score 2.41 → A2 · Hay, Mercer IPE and public plans · experience 7.3 yrs vs the A2 market range 0–3</t>
        </is>
      </c>
      <c r="BD420" s="42">
        <f>IF(SUM(BM420,BN420,BO420,BP420,BQ420,BR420,BS420)=0,0,(BM420*BT420+BN420*BU420+BO420*BV420+BP420*BW420+BQ420*BX420+BR420*BY420+BS420*BZ420)/SUM(BM420,BN420,BO420,BP420,BQ420,BR420,BS420))</f>
        <v>0</v>
      </c>
      <c r="BE420" s="41" t="str">
        <f>IF(LEFT(AY420,1)="X",AY420,IF(OR(AY420="B+",AY420="C+"),INDEX(LAD_PC,MAX(1,MIN(14,MATCH(AY420,LAD_PC,0)+IF(BD420&gt;=0.5,1,IF(BD420&lt;=-0.5,-1,0))))),INDEX(LAD_STD,MAX(1,MIN(12,MATCH(AY420,LAD_STD,0)+IF(BD420&gt;=0.5,1,IF(BD420&lt;=-0.5,-1,0)))))))</f>
        <v>A3</v>
      </c>
      <c r="BF420" s="43" t="n"/>
      <c r="BG420" s="41" t="str">
        <f>IF(BF420&lt;&gt;"",BF420,BE420)</f>
        <v>A3</v>
      </c>
      <c r="BH420" s="40" t="str">
        <f>IFERROR(CHOOSE(INDEX(B_RANK,MATCH(BG420,B_LVL,0)),"Band A","Band B","B+ · Player-Coach","Band C","C+ · Player-Coach","Band D","Band E"),"Band X · Consultant")</f>
        <v>Band A</v>
      </c>
      <c r="BI420" s="40" t="str">
        <f>IF(BG420=AY420,"• Same",IF(INDEX(B_VAL,MATCH(BG420,B_LVL,0))&gt;INDEX(B_VAL,MATCH(AY420,B_LVL,0)),"▲ Up","▼ Down"))</f>
        <v>• Same</v>
      </c>
      <c r="BJ420" s="40" t="str">
        <f>IF(OR($M420="",$M420="—",$M420="Not in this file"),"",IFERROR(INDEX($BG$7:$BG$592,MATCH($M420,$D$7:$D$592,0)),""))</f>
        <v>B2</v>
      </c>
      <c r="BK420" s="40" t="str">
        <f>IFERROR(IF(BJ420="","—",IF(OR(LEFT(BG420,1)="X",LEFT(BJ420,1)="X"),"—",IF(AND(LEFT(BG420,1)="E",LEFT(BJ420,1)="E"),"Exception · Band E",IF(AND(INDEX(B_VAL,MATCH(BJ420,B_LVL,0))&gt;=7,INDEX(B_RANK,MATCH(BG420,B_LVL,0))&gt;=INDEX(B_RANK,MATCH(BJ420,B_LVL,0))),"⚠ Same band as a head manager",IF(INDEX(B_VAL,MATCH(BG420,B_LVL,0))&gt;=INDEX(B_VAL,MATCH(BJ420,B_LVL,0)),"⚠ At or above the manager's level","OK"))))),"—")</f>
        <v>OK</v>
      </c>
      <c r="BL420" s="43" t="n"/>
      <c r="BM420" s="44">
        <f>IFERROR(INDEX(LMH_PTS,MATCH(Y420,LMH_KEY,0)),0)</f>
        <v>9</v>
      </c>
      <c r="BN420" s="38">
        <f>IFERROR(INDEX(LMH_PTS,MATCH(Z420,LMH_KEY,0)),0)</f>
        <v>3</v>
      </c>
      <c r="BO420" s="38">
        <f>IFERROR(INDEX(LMH_PTS,MATCH(AA420,LMH_KEY,0)),0)</f>
        <v>1</v>
      </c>
      <c r="BP420" s="38">
        <f>IFERROR(INDEX(LMH_PTS,MATCH(AB420,LMH_KEY,0)),0)</f>
        <v>1</v>
      </c>
      <c r="BQ420" s="38">
        <f>IFERROR(INDEX(LMH_PTS,MATCH(AC420,LMH_KEY,0)),0)</f>
        <v>1</v>
      </c>
      <c r="BR420" s="38">
        <f>IFERROR(INDEX(LMH_PTS,MATCH(AD420,LMH_KEY,0)),0)</f>
        <v>1</v>
      </c>
      <c r="BS420" s="38">
        <f>IFERROR(INDEX(LMH_PTS,MATCH(AE420,LMH_KEY,0)),0)</f>
        <v>1</v>
      </c>
      <c r="BT420" s="38">
        <f>IFERROR(INDEX(LMH_STEP,MATCH(AF420,LMH_KEY,0)),0)</f>
        <v>0</v>
      </c>
      <c r="BU420" s="38">
        <f>IFERROR(INDEX(LMH_STEP,MATCH(AG420,LMH_KEY,0)),0)</f>
        <v>0</v>
      </c>
      <c r="BV420" s="38">
        <f>IFERROR(INDEX(LMH_STEP,MATCH(AH420,LMH_KEY,0)),0)</f>
        <v>0</v>
      </c>
      <c r="BW420" s="38">
        <f>IFERROR(INDEX(LMH_STEP,MATCH(AI420,LMH_KEY,0)),0)</f>
        <v>0</v>
      </c>
      <c r="BX420" s="38">
        <f>IFERROR(INDEX(LMH_STEP,MATCH(AJ420,LMH_KEY,0)),0)</f>
        <v>0</v>
      </c>
      <c r="BY420" s="38">
        <f>IFERROR(INDEX(LMH_STEP,MATCH(AK420,LMH_KEY,0)),0)</f>
        <v>0</v>
      </c>
      <c r="BZ420" s="38">
        <f>IFERROR(INDEX(LMH_STEP,MATCH(AL420,LMH_KEY,0)),0)</f>
        <v>0</v>
      </c>
      <c r="CA420" s="38" t="inlineStr">
        <is>
          <t>Datatech|Quality Assurance|Senior QA Engineer|A3|A</t>
        </is>
      </c>
    </row>
    <row r="421" ht="110" customHeight="1">
      <c r="A421" s="28" t="inlineStr">
        <is>
          <t>Datatech</t>
        </is>
      </c>
      <c r="B421" s="29" t="inlineStr">
        <is>
          <t>Technology</t>
        </is>
      </c>
      <c r="C421" s="29" t="n">
        <v>3</v>
      </c>
      <c r="D421" s="29" t="inlineStr">
        <is>
          <t>IRISDT0020</t>
        </is>
      </c>
      <c r="E421" s="29" t="inlineStr">
        <is>
          <t>Utkarsh Sagar Bafana</t>
        </is>
      </c>
      <c r="F421" s="29" t="inlineStr">
        <is>
          <t>UX Designer</t>
        </is>
      </c>
      <c r="G421" s="29" t="inlineStr">
        <is>
          <t>Senior Product Designer</t>
        </is>
      </c>
      <c r="H421" s="29" t="inlineStr">
        <is>
          <t>Design &amp; Creative</t>
        </is>
      </c>
      <c r="I421" s="29" t="inlineStr">
        <is>
          <t>UX / UI Design</t>
        </is>
      </c>
      <c r="J421" s="29" t="inlineStr">
        <is>
          <t>IC</t>
        </is>
      </c>
      <c r="K421" s="29" t="inlineStr">
        <is>
          <t>RC-054</t>
        </is>
      </c>
      <c r="L421" s="29" t="inlineStr">
        <is>
          <t>Nilesh Majumdar</t>
        </is>
      </c>
      <c r="M421" s="29" t="inlineStr">
        <is>
          <t>IRISDT0008</t>
        </is>
      </c>
      <c r="N421" s="29" t="n">
        <v>4.6</v>
      </c>
      <c r="O421" s="29" t="n">
        <v>0.2</v>
      </c>
      <c r="P421" s="29" t="inlineStr">
        <is>
          <t>Bachelors of Vocational Studies</t>
        </is>
      </c>
      <c r="Q421" s="29" t="inlineStr">
        <is>
          <t>Not in current mapping files</t>
        </is>
      </c>
      <c r="R421" s="29" t="inlineStr">
        <is>
          <t>A3</t>
        </is>
      </c>
      <c r="S421" s="30" t="inlineStr">
        <is>
          <t>20 of 20</t>
        </is>
      </c>
      <c r="T421" s="31" t="inlineStr">
        <is>
          <t>Complexity: Evidence reads like A2: Research, information architecture, wireframes, UI and interaction design in Figma; no harder cases shown → moved down 0.5
Autonomy: Evidence reads like A2: Only 'ideating solutions' named; changes design on feedback → moved down 0.5
Accountability: Evidence reads like A2: Wireframes and UI designs handed to developers → …</t>
        </is>
      </c>
      <c r="U421" s="32" t="inlineStr">
        <is>
          <t>KRAs not received · manager to supply</t>
        </is>
      </c>
      <c r="V421" s="31" t="inlineStr">
        <is>
          <t>Latest rating: Not rated · manager · 9-box: Not placed · manager · Readiness: No rating data</t>
        </is>
      </c>
      <c r="W421" s="31" t="inlineStr">
        <is>
          <t>C M · Au M · Ac M · L L · BI M · Exp H · 4.6 yrs vs 2–4 yrs · Edu M · Bachelors of Vocational Studies</t>
        </is>
      </c>
      <c r="X421" s="33" t="inlineStr">
        <is>
          <t>Open ▸</t>
        </is>
      </c>
      <c r="Y421" s="34" t="str">
        <f>IFERROR(INDEX(DL_C,MATCH($CA421,DL_KEY,0)),"M")</f>
        <v>H</v>
      </c>
      <c r="Z421" s="35" t="str">
        <f>IFERROR(INDEX(DL_Au,MATCH($CA421,DL_KEY,0)),"M")</f>
        <v>M</v>
      </c>
      <c r="AA421" s="35" t="str">
        <f>IFERROR(INDEX(DL_Ac,MATCH($CA421,DL_KEY,0)),"M")</f>
        <v>L</v>
      </c>
      <c r="AB421" s="35" t="str">
        <f>IFERROR(INDEX(DL_L,MATCH($CA421,DL_KEY,0)),"M")</f>
        <v>L</v>
      </c>
      <c r="AC421" s="35" t="str">
        <f>IFERROR(INDEX(DL_BI,MATCH($CA421,DL_KEY,0)),"M")</f>
        <v>M</v>
      </c>
      <c r="AD421" s="35" t="str">
        <f>IFERROR(INDEX(DL_Exp,MATCH($CA421,DL_KEY,0)),"M")</f>
        <v>L</v>
      </c>
      <c r="AE421" s="35" t="str">
        <f>IFERROR(INDEX(DL_Edu,MATCH($CA421,DL_KEY,0)),"M")</f>
        <v>L</v>
      </c>
      <c r="AF421" s="34" t="inlineStr">
        <is>
          <t>M</t>
        </is>
      </c>
      <c r="AG421" s="35" t="inlineStr">
        <is>
          <t>M</t>
        </is>
      </c>
      <c r="AH421" s="35" t="inlineStr">
        <is>
          <t>M</t>
        </is>
      </c>
      <c r="AI421" s="35" t="inlineStr">
        <is>
          <t>M</t>
        </is>
      </c>
      <c r="AJ421" s="35" t="inlineStr">
        <is>
          <t>M</t>
        </is>
      </c>
      <c r="AK421" s="35" t="inlineStr">
        <is>
          <t>M</t>
        </is>
      </c>
      <c r="AL421" s="35" t="inlineStr">
        <is>
          <t>M</t>
        </is>
      </c>
      <c r="AM421" s="36" t="n">
        <v>0.583</v>
      </c>
      <c r="AN421" s="37" t="n">
        <v>0.16</v>
      </c>
      <c r="AO421" s="37" t="n">
        <v>0.09</v>
      </c>
      <c r="AP421" s="37" t="n">
        <v>0</v>
      </c>
      <c r="AQ421" s="37" t="n">
        <v>0.063</v>
      </c>
      <c r="AR421" s="37" t="n">
        <v>0.06</v>
      </c>
      <c r="AS421" s="37" t="n">
        <v>0.04</v>
      </c>
      <c r="AT421" s="38" t="inlineStr">
        <is>
          <t>2–5</t>
        </is>
      </c>
      <c r="AU421" s="38" t="inlineStr">
        <is>
          <t>Graduate; relevant certification preferred</t>
        </is>
      </c>
      <c r="AV421" s="38" t="inlineStr">
        <is>
          <t>None · guides 1–3 juniors informally</t>
        </is>
      </c>
      <c r="AW421" s="38" t="inlineStr">
        <is>
          <t>P2 · SFIA 3 Apply</t>
        </is>
      </c>
      <c r="AX42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21" s="39" t="inlineStr">
        <is>
          <t>A3</t>
        </is>
      </c>
      <c r="AZ421" s="40" t="inlineStr">
        <is>
          <t>Band A · Practitioner · Senior Associate</t>
        </is>
      </c>
      <c r="BA421" s="40" t="inlineStr">
        <is>
          <t>Model A3 from the six ratings, the market-derived weights and rules R1–R13 · then No change · already below the manager</t>
        </is>
      </c>
      <c r="BB421" s="41" t="inlineStr">
        <is>
          <t>A3</t>
        </is>
      </c>
      <c r="BC421" s="40" t="inlineStr">
        <is>
          <t>The six ratings on the market-average weights of Band A · all tracks score 2.60 → A3 · Hay, Mercer IPE and public plans · experience 4.6 yrs vs the A3 market range 2–5</t>
        </is>
      </c>
      <c r="BD421" s="42">
        <f>IF(SUM(BM421,BN421,BO421,BP421,BQ421,BR421,BS421)=0,0,(BM421*BT421+BN421*BU421+BO421*BV421+BP421*BW421+BQ421*BX421+BR421*BY421+BS421*BZ421)/SUM(BM421,BN421,BO421,BP421,BQ421,BR421,BS421))</f>
        <v>0</v>
      </c>
      <c r="BE421" s="41" t="str">
        <f>IF(LEFT(AY421,1)="X",AY421,IF(OR(AY421="B+",AY421="C+"),INDEX(LAD_PC,MAX(1,MIN(14,MATCH(AY421,LAD_PC,0)+IF(BD421&gt;=0.5,1,IF(BD421&lt;=-0.5,-1,0))))),INDEX(LAD_STD,MAX(1,MIN(12,MATCH(AY421,LAD_STD,0)+IF(BD421&gt;=0.5,1,IF(BD421&lt;=-0.5,-1,0)))))))</f>
        <v>A3</v>
      </c>
      <c r="BF421" s="43" t="n"/>
      <c r="BG421" s="41" t="str">
        <f>IF(BF421&lt;&gt;"",BF421,BE421)</f>
        <v>A3</v>
      </c>
      <c r="BH421" s="40" t="str">
        <f>IFERROR(CHOOSE(INDEX(B_RANK,MATCH(BG421,B_LVL,0)),"Band A","Band B","B+ · Player-Coach","Band C","C+ · Player-Coach","Band D","Band E"),"Band X · Consultant")</f>
        <v>Band A</v>
      </c>
      <c r="BI421" s="40" t="str">
        <f>IF(BG421=AY421,"• Same",IF(INDEX(B_VAL,MATCH(BG421,B_LVL,0))&gt;INDEX(B_VAL,MATCH(AY421,B_LVL,0)),"▲ Up","▼ Down"))</f>
        <v>• Same</v>
      </c>
      <c r="BJ421" s="40" t="str">
        <f>IF(OR($M421="",$M421="—",$M421="Not in this file"),"",IFERROR(INDEX($BG$7:$BG$592,MATCH($M421,$D$7:$D$592,0)),""))</f>
        <v>B2</v>
      </c>
      <c r="BK421" s="40" t="str">
        <f>IFERROR(IF(BJ421="","—",IF(OR(LEFT(BG421,1)="X",LEFT(BJ421,1)="X"),"—",IF(AND(LEFT(BG421,1)="E",LEFT(BJ421,1)="E"),"Exception · Band E",IF(AND(INDEX(B_VAL,MATCH(BJ421,B_LVL,0))&gt;=7,INDEX(B_RANK,MATCH(BG421,B_LVL,0))&gt;=INDEX(B_RANK,MATCH(BJ421,B_LVL,0))),"⚠ Same band as a head manager",IF(INDEX(B_VAL,MATCH(BG421,B_LVL,0))&gt;=INDEX(B_VAL,MATCH(BJ421,B_LVL,0)),"⚠ At or above the manager's level","OK"))))),"—")</f>
        <v>OK</v>
      </c>
      <c r="BL421" s="43" t="n"/>
      <c r="BM421" s="44">
        <f>IFERROR(INDEX(LMH_PTS,MATCH(Y421,LMH_KEY,0)),0)</f>
        <v>9</v>
      </c>
      <c r="BN421" s="38">
        <f>IFERROR(INDEX(LMH_PTS,MATCH(Z421,LMH_KEY,0)),0)</f>
        <v>3</v>
      </c>
      <c r="BO421" s="38">
        <f>IFERROR(INDEX(LMH_PTS,MATCH(AA421,LMH_KEY,0)),0)</f>
        <v>1</v>
      </c>
      <c r="BP421" s="38">
        <f>IFERROR(INDEX(LMH_PTS,MATCH(AB421,LMH_KEY,0)),0)</f>
        <v>1</v>
      </c>
      <c r="BQ421" s="38">
        <f>IFERROR(INDEX(LMH_PTS,MATCH(AC421,LMH_KEY,0)),0)</f>
        <v>3</v>
      </c>
      <c r="BR421" s="38">
        <f>IFERROR(INDEX(LMH_PTS,MATCH(AD421,LMH_KEY,0)),0)</f>
        <v>1</v>
      </c>
      <c r="BS421" s="38">
        <f>IFERROR(INDEX(LMH_PTS,MATCH(AE421,LMH_KEY,0)),0)</f>
        <v>1</v>
      </c>
      <c r="BT421" s="38">
        <f>IFERROR(INDEX(LMH_STEP,MATCH(AF421,LMH_KEY,0)),0)</f>
        <v>0</v>
      </c>
      <c r="BU421" s="38">
        <f>IFERROR(INDEX(LMH_STEP,MATCH(AG421,LMH_KEY,0)),0)</f>
        <v>0</v>
      </c>
      <c r="BV421" s="38">
        <f>IFERROR(INDEX(LMH_STEP,MATCH(AH421,LMH_KEY,0)),0)</f>
        <v>0</v>
      </c>
      <c r="BW421" s="38">
        <f>IFERROR(INDEX(LMH_STEP,MATCH(AI421,LMH_KEY,0)),0)</f>
        <v>0</v>
      </c>
      <c r="BX421" s="38">
        <f>IFERROR(INDEX(LMH_STEP,MATCH(AJ421,LMH_KEY,0)),0)</f>
        <v>0</v>
      </c>
      <c r="BY421" s="38">
        <f>IFERROR(INDEX(LMH_STEP,MATCH(AK421,LMH_KEY,0)),0)</f>
        <v>0</v>
      </c>
      <c r="BZ421" s="38">
        <f>IFERROR(INDEX(LMH_STEP,MATCH(AL421,LMH_KEY,0)),0)</f>
        <v>0</v>
      </c>
      <c r="CA421" s="38" t="inlineStr">
        <is>
          <t>Datatech|Technology|Senior Product Designer|A3|A</t>
        </is>
      </c>
    </row>
    <row r="422" ht="110" customHeight="1">
      <c r="A422" s="28" t="inlineStr">
        <is>
          <t>Datatech</t>
        </is>
      </c>
      <c r="B422" s="29" t="inlineStr">
        <is>
          <t>Technology</t>
        </is>
      </c>
      <c r="C422" s="29" t="n">
        <v>3</v>
      </c>
      <c r="D422" s="29" t="inlineStr">
        <is>
          <t>IRISDTN001</t>
        </is>
      </c>
      <c r="E422" s="29" t="inlineStr">
        <is>
          <t>Riyanka Dey</t>
        </is>
      </c>
      <c r="F422" s="29" t="inlineStr">
        <is>
          <t>Intern</t>
        </is>
      </c>
      <c r="G422" s="29" t="inlineStr">
        <is>
          <t>Intern – Product Operations &amp; Research</t>
        </is>
      </c>
      <c r="H422" s="29" t="inlineStr">
        <is>
          <t>Product Management</t>
        </is>
      </c>
      <c r="I422" s="29" t="inlineStr">
        <is>
          <t>Product Operations &amp; Research</t>
        </is>
      </c>
      <c r="J422" s="29" t="inlineStr">
        <is>
          <t>IC</t>
        </is>
      </c>
      <c r="K422" s="29" t="inlineStr">
        <is>
          <t>RC-129</t>
        </is>
      </c>
      <c r="L422" s="29" t="inlineStr">
        <is>
          <t>Nilesh Majumdar</t>
        </is>
      </c>
      <c r="M422" s="29" t="inlineStr">
        <is>
          <t>IRISDT0008</t>
        </is>
      </c>
      <c r="N422" s="29" t="n">
        <v>0.6</v>
      </c>
      <c r="O422" s="29" t="n">
        <v>0.1</v>
      </c>
      <c r="P422" s="29" t="inlineStr">
        <is>
          <t>B.E</t>
        </is>
      </c>
      <c r="Q422" s="29" t="inlineStr">
        <is>
          <t>Not in current mapping files</t>
        </is>
      </c>
      <c r="R422" s="29" t="inlineStr">
        <is>
          <t>A1</t>
        </is>
      </c>
      <c r="S422" s="30" t="inlineStr">
        <is>
          <t>20 of 20</t>
        </is>
      </c>
      <c r="T422" s="32" t="inlineStr">
        <is>
          <t>Full survey answers not in the files received · How We Grow export needed · HR</t>
        </is>
      </c>
      <c r="U422" s="32" t="inlineStr">
        <is>
          <t>KRAs not received · manager to supply</t>
        </is>
      </c>
      <c r="V422" s="31" t="inlineStr">
        <is>
          <t>Latest rating: Not rated · manager · 9-box: Not placed · manager · Readiness: No rating data</t>
        </is>
      </c>
      <c r="W422" s="31" t="inlineStr">
        <is>
          <t>C — · Au — · Ac — · L — · BI — · Exp H · 0.6 yrs vs 0 yrs · fresher / intern · Edu M · B.E</t>
        </is>
      </c>
      <c r="X422" s="33" t="inlineStr">
        <is>
          <t>Open ▸</t>
        </is>
      </c>
      <c r="Y422" s="34" t="str">
        <f>IFERROR(INDEX(DL_C,MATCH($CA422,DL_KEY,0)),"M")</f>
        <v>H</v>
      </c>
      <c r="Z422" s="35" t="str">
        <f>IFERROR(INDEX(DL_Au,MATCH($CA422,DL_KEY,0)),"M")</f>
        <v>M</v>
      </c>
      <c r="AA422" s="35" t="str">
        <f>IFERROR(INDEX(DL_Ac,MATCH($CA422,DL_KEY,0)),"M")</f>
        <v>M</v>
      </c>
      <c r="AB422" s="35" t="str">
        <f>IFERROR(INDEX(DL_L,MATCH($CA422,DL_KEY,0)),"M")</f>
        <v>L</v>
      </c>
      <c r="AC422" s="35" t="str">
        <f>IFERROR(INDEX(DL_BI,MATCH($CA422,DL_KEY,0)),"M")</f>
        <v>L</v>
      </c>
      <c r="AD422" s="35" t="str">
        <f>IFERROR(INDEX(DL_Exp,MATCH($CA422,DL_KEY,0)),"M")</f>
        <v>L</v>
      </c>
      <c r="AE422" s="35" t="str">
        <f>IFERROR(INDEX(DL_Edu,MATCH($CA422,DL_KEY,0)),"M")</f>
        <v>L</v>
      </c>
      <c r="AF422" s="34" t="inlineStr">
        <is>
          <t>M</t>
        </is>
      </c>
      <c r="AG422" s="35" t="inlineStr">
        <is>
          <t>M</t>
        </is>
      </c>
      <c r="AH422" s="35" t="inlineStr">
        <is>
          <t>M</t>
        </is>
      </c>
      <c r="AI422" s="35" t="inlineStr">
        <is>
          <t>M</t>
        </is>
      </c>
      <c r="AJ422" s="35" t="inlineStr">
        <is>
          <t>M</t>
        </is>
      </c>
      <c r="AK422" s="35" t="inlineStr">
        <is>
          <t>M</t>
        </is>
      </c>
      <c r="AL422" s="35" t="inlineStr">
        <is>
          <t>M</t>
        </is>
      </c>
      <c r="AM422" s="36" t="n">
        <v>0.583</v>
      </c>
      <c r="AN422" s="37" t="n">
        <v>0.16</v>
      </c>
      <c r="AO422" s="37" t="n">
        <v>0.09</v>
      </c>
      <c r="AP422" s="37" t="n">
        <v>0</v>
      </c>
      <c r="AQ422" s="37" t="n">
        <v>0.063</v>
      </c>
      <c r="AR422" s="37" t="n">
        <v>0.06</v>
      </c>
      <c r="AS422" s="37" t="n">
        <v>0.04</v>
      </c>
      <c r="AT422" s="38" t="inlineStr">
        <is>
          <t>0 yrs · fresher / intern</t>
        </is>
      </c>
      <c r="AU422" s="38" t="inlineStr">
        <is>
          <t>Pursuing or completed graduation / diploma</t>
        </is>
      </c>
      <c r="AV422" s="38" t="inlineStr">
        <is>
          <t>No direct reports</t>
        </is>
      </c>
      <c r="AW422" s="38" t="inlineStr">
        <is>
          <t>Entry / P1 · intern · SFIA 1 Follow</t>
        </is>
      </c>
      <c r="AX42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22" s="39" t="inlineStr">
        <is>
          <t>A1</t>
        </is>
      </c>
      <c r="AZ422" s="40" t="inlineStr">
        <is>
          <t>Band A · Practitioner · Intern / Trainee</t>
        </is>
      </c>
      <c r="BA422" s="40" t="inlineStr">
        <is>
          <t>Model A1 from the six ratings, the market-derived weights and rules R1–R13 · then No change · already below the manager</t>
        </is>
      </c>
      <c r="BB422" s="41" t="inlineStr">
        <is>
          <t>A1</t>
        </is>
      </c>
      <c r="BC422" s="40" t="inlineStr">
        <is>
          <t>Placed by a category rule — no full set of ratings · benchmark follows the HR proposed level</t>
        </is>
      </c>
      <c r="BD422" s="42">
        <f>IF(SUM(BM422,BN422,BO422,BP422,BQ422,BR422,BS422)=0,0,(BM422*BT422+BN422*BU422+BO422*BV422+BP422*BW422+BQ422*BX422+BR422*BY422+BS422*BZ422)/SUM(BM422,BN422,BO422,BP422,BQ422,BR422,BS422))</f>
        <v>0</v>
      </c>
      <c r="BE422" s="41" t="str">
        <f>IF(LEFT(AY422,1)="X",AY422,IF(OR(AY422="B+",AY422="C+"),INDEX(LAD_PC,MAX(1,MIN(14,MATCH(AY422,LAD_PC,0)+IF(BD422&gt;=0.5,1,IF(BD422&lt;=-0.5,-1,0))))),INDEX(LAD_STD,MAX(1,MIN(12,MATCH(AY422,LAD_STD,0)+IF(BD422&gt;=0.5,1,IF(BD422&lt;=-0.5,-1,0)))))))</f>
        <v>A1</v>
      </c>
      <c r="BF422" s="43" t="n"/>
      <c r="BG422" s="41" t="str">
        <f>IF(BF422&lt;&gt;"",BF422,BE422)</f>
        <v>A1</v>
      </c>
      <c r="BH422" s="40" t="str">
        <f>IFERROR(CHOOSE(INDEX(B_RANK,MATCH(BG422,B_LVL,0)),"Band A","Band B","B+ · Player-Coach","Band C","C+ · Player-Coach","Band D","Band E"),"Band X · Consultant")</f>
        <v>Band A</v>
      </c>
      <c r="BI422" s="40" t="str">
        <f>IF(BG422=AY422,"• Same",IF(INDEX(B_VAL,MATCH(BG422,B_LVL,0))&gt;INDEX(B_VAL,MATCH(AY422,B_LVL,0)),"▲ Up","▼ Down"))</f>
        <v>• Same</v>
      </c>
      <c r="BJ422" s="40" t="str">
        <f>IF(OR($M422="",$M422="—",$M422="Not in this file"),"",IFERROR(INDEX($BG$7:$BG$592,MATCH($M422,$D$7:$D$592,0)),""))</f>
        <v>B2</v>
      </c>
      <c r="BK422" s="40" t="str">
        <f>IFERROR(IF(BJ422="","—",IF(OR(LEFT(BG422,1)="X",LEFT(BJ422,1)="X"),"—",IF(AND(LEFT(BG422,1)="E",LEFT(BJ422,1)="E"),"Exception · Band E",IF(AND(INDEX(B_VAL,MATCH(BJ422,B_LVL,0))&gt;=7,INDEX(B_RANK,MATCH(BG422,B_LVL,0))&gt;=INDEX(B_RANK,MATCH(BJ422,B_LVL,0))),"⚠ Same band as a head manager",IF(INDEX(B_VAL,MATCH(BG422,B_LVL,0))&gt;=INDEX(B_VAL,MATCH(BJ422,B_LVL,0)),"⚠ At or above the manager's level","OK"))))),"—")</f>
        <v>OK</v>
      </c>
      <c r="BL422" s="43" t="n"/>
      <c r="BM422" s="44">
        <f>IFERROR(INDEX(LMH_PTS,MATCH(Y422,LMH_KEY,0)),0)</f>
        <v>9</v>
      </c>
      <c r="BN422" s="38">
        <f>IFERROR(INDEX(LMH_PTS,MATCH(Z422,LMH_KEY,0)),0)</f>
        <v>3</v>
      </c>
      <c r="BO422" s="38">
        <f>IFERROR(INDEX(LMH_PTS,MATCH(AA422,LMH_KEY,0)),0)</f>
        <v>3</v>
      </c>
      <c r="BP422" s="38">
        <f>IFERROR(INDEX(LMH_PTS,MATCH(AB422,LMH_KEY,0)),0)</f>
        <v>1</v>
      </c>
      <c r="BQ422" s="38">
        <f>IFERROR(INDEX(LMH_PTS,MATCH(AC422,LMH_KEY,0)),0)</f>
        <v>1</v>
      </c>
      <c r="BR422" s="38">
        <f>IFERROR(INDEX(LMH_PTS,MATCH(AD422,LMH_KEY,0)),0)</f>
        <v>1</v>
      </c>
      <c r="BS422" s="38">
        <f>IFERROR(INDEX(LMH_PTS,MATCH(AE422,LMH_KEY,0)),0)</f>
        <v>1</v>
      </c>
      <c r="BT422" s="38">
        <f>IFERROR(INDEX(LMH_STEP,MATCH(AF422,LMH_KEY,0)),0)</f>
        <v>0</v>
      </c>
      <c r="BU422" s="38">
        <f>IFERROR(INDEX(LMH_STEP,MATCH(AG422,LMH_KEY,0)),0)</f>
        <v>0</v>
      </c>
      <c r="BV422" s="38">
        <f>IFERROR(INDEX(LMH_STEP,MATCH(AH422,LMH_KEY,0)),0)</f>
        <v>0</v>
      </c>
      <c r="BW422" s="38">
        <f>IFERROR(INDEX(LMH_STEP,MATCH(AI422,LMH_KEY,0)),0)</f>
        <v>0</v>
      </c>
      <c r="BX422" s="38">
        <f>IFERROR(INDEX(LMH_STEP,MATCH(AJ422,LMH_KEY,0)),0)</f>
        <v>0</v>
      </c>
      <c r="BY422" s="38">
        <f>IFERROR(INDEX(LMH_STEP,MATCH(AK422,LMH_KEY,0)),0)</f>
        <v>0</v>
      </c>
      <c r="BZ422" s="38">
        <f>IFERROR(INDEX(LMH_STEP,MATCH(AL422,LMH_KEY,0)),0)</f>
        <v>0</v>
      </c>
      <c r="CA422" s="38" t="inlineStr">
        <is>
          <t>Datatech|Technology|Intern – Product Operations &amp; Research|A1|A</t>
        </is>
      </c>
    </row>
    <row r="423" ht="110" customHeight="1">
      <c r="A423" s="28" t="inlineStr">
        <is>
          <t>Datatech</t>
        </is>
      </c>
      <c r="B423" s="29" t="inlineStr">
        <is>
          <t>Datatech - Outreach</t>
        </is>
      </c>
      <c r="C423" s="29" t="n">
        <v>2</v>
      </c>
      <c r="D423" s="29" t="inlineStr">
        <is>
          <t>IRISDT0011</t>
        </is>
      </c>
      <c r="E423" s="29" t="inlineStr">
        <is>
          <t>Raghin Nair</t>
        </is>
      </c>
      <c r="F423" s="29" t="inlineStr">
        <is>
          <t>Program Lead</t>
        </is>
      </c>
      <c r="G423" s="29" t="inlineStr">
        <is>
          <t>Program Manager – Outreach</t>
        </is>
      </c>
      <c r="H423" s="29" t="inlineStr">
        <is>
          <t>Sales &amp; Business Development</t>
        </is>
      </c>
      <c r="I423" s="29" t="inlineStr">
        <is>
          <t>Field Outreach &amp; Programme Sales</t>
        </is>
      </c>
      <c r="J423" s="29" t="inlineStr">
        <is>
          <t>People Manager</t>
        </is>
      </c>
      <c r="K423" s="29" t="inlineStr">
        <is>
          <t>RC-158</t>
        </is>
      </c>
      <c r="L423" s="29" t="inlineStr">
        <is>
          <t>Shilpa Dhobale</t>
        </is>
      </c>
      <c r="M423" s="29" t="inlineStr">
        <is>
          <t>IRISDT0001</t>
        </is>
      </c>
      <c r="N423" s="29" t="n">
        <v>19.4</v>
      </c>
      <c r="O423" s="29" t="n">
        <v>0.9</v>
      </c>
      <c r="P423" s="29" t="inlineStr">
        <is>
          <t>B.Com</t>
        </is>
      </c>
      <c r="Q423" s="29" t="inlineStr">
        <is>
          <t>L5 – Lead · IC</t>
        </is>
      </c>
      <c r="R423" s="29" t="inlineStr">
        <is>
          <t>B2</t>
        </is>
      </c>
      <c r="S423" s="30" t="inlineStr">
        <is>
          <t>20 of 20</t>
        </is>
      </c>
      <c r="T423" s="31" t="inlineStr">
        <is>
          <t>Complexity: Evidence reads like B1: Runs MSME programme sales and operations with product / marketing and partner coordination → moved down 0.5
Autonomy: Evidence reads like B1: States 'operational decisions' for programme and team; nothing on budget or pricing → moved down 0.5
Accountability: Evidence reads like B2: Programme growth, team performance and …</t>
        </is>
      </c>
      <c r="U423" s="32" t="inlineStr">
        <is>
          <t>KRAs not received · manager to supply</t>
        </is>
      </c>
      <c r="V423" s="31" t="inlineStr">
        <is>
          <t>Latest rating: 3 · 9-box: Core Contributor · Readiness: Develop in role</t>
        </is>
      </c>
      <c r="W423" s="31" t="inlineStr">
        <is>
          <t>C M · Au M · Ac M · L M · BI M · Exp H · 19.4 yrs vs 6–9 yrs · Edu M · B.Com</t>
        </is>
      </c>
      <c r="X423" s="33" t="inlineStr">
        <is>
          <t>Open ▸</t>
        </is>
      </c>
      <c r="Y423" s="34" t="str">
        <f>IFERROR(INDEX(DL_C,MATCH($CA423,DL_KEY,0)),"M")</f>
        <v>H</v>
      </c>
      <c r="Z423" s="35" t="str">
        <f>IFERROR(INDEX(DL_Au,MATCH($CA423,DL_KEY,0)),"M")</f>
        <v>M</v>
      </c>
      <c r="AA423" s="35" t="str">
        <f>IFERROR(INDEX(DL_Ac,MATCH($CA423,DL_KEY,0)),"M")</f>
        <v>L</v>
      </c>
      <c r="AB423" s="35" t="str">
        <f>IFERROR(INDEX(DL_L,MATCH($CA423,DL_KEY,0)),"M")</f>
        <v>M</v>
      </c>
      <c r="AC423" s="35" t="str">
        <f>IFERROR(INDEX(DL_BI,MATCH($CA423,DL_KEY,0)),"M")</f>
        <v>M</v>
      </c>
      <c r="AD423" s="35" t="str">
        <f>IFERROR(INDEX(DL_Exp,MATCH($CA423,DL_KEY,0)),"M")</f>
        <v>L</v>
      </c>
      <c r="AE423" s="35" t="str">
        <f>IFERROR(INDEX(DL_Edu,MATCH($CA423,DL_KEY,0)),"M")</f>
        <v>L</v>
      </c>
      <c r="AF423" s="34" t="inlineStr">
        <is>
          <t>M</t>
        </is>
      </c>
      <c r="AG423" s="35" t="inlineStr">
        <is>
          <t>M</t>
        </is>
      </c>
      <c r="AH423" s="35" t="inlineStr">
        <is>
          <t>M</t>
        </is>
      </c>
      <c r="AI423" s="35" t="inlineStr">
        <is>
          <t>M</t>
        </is>
      </c>
      <c r="AJ423" s="35" t="inlineStr">
        <is>
          <t>M</t>
        </is>
      </c>
      <c r="AK423" s="35" t="inlineStr">
        <is>
          <t>M</t>
        </is>
      </c>
      <c r="AL423" s="35" t="inlineStr">
        <is>
          <t>M</t>
        </is>
      </c>
      <c r="AM423" s="36" t="n">
        <v>0.37</v>
      </c>
      <c r="AN423" s="37" t="n">
        <v>0.183</v>
      </c>
      <c r="AO423" s="37" t="n">
        <v>0.113</v>
      </c>
      <c r="AP423" s="37" t="n">
        <v>0.15</v>
      </c>
      <c r="AQ423" s="37" t="n">
        <v>0.08699999999999999</v>
      </c>
      <c r="AR423" s="37" t="n">
        <v>0.06</v>
      </c>
      <c r="AS423" s="37" t="n">
        <v>0.04</v>
      </c>
      <c r="AT423" s="38" t="inlineStr">
        <is>
          <t>6–10</t>
        </is>
      </c>
      <c r="AU423" s="38" t="inlineStr">
        <is>
          <t>Graduate or postgraduate; professional qualification preferred</t>
        </is>
      </c>
      <c r="AV423" s="38" t="inlineStr">
        <is>
          <t>IC: none · People: 6–8 knowledge work, 8–12 standardised delivery</t>
        </is>
      </c>
      <c r="AW423" s="38" t="inlineStr">
        <is>
          <t>P4 / M3 · SFIA 4–5</t>
        </is>
      </c>
      <c r="AX42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23" s="39" t="inlineStr">
        <is>
          <t>B2</t>
        </is>
      </c>
      <c r="AZ423" s="40" t="inlineStr">
        <is>
          <t>Band B · Specialist / Manager · Manager</t>
        </is>
      </c>
      <c r="BA423" s="40" t="inlineStr">
        <is>
          <t>Model B2 from the six ratings, the market-derived weights and rules R1–R13 · then No change · already below the manager</t>
        </is>
      </c>
      <c r="BB423" s="41" t="inlineStr">
        <is>
          <t>B2</t>
        </is>
      </c>
      <c r="BC423" s="40" t="inlineStr">
        <is>
          <t>The six ratings on the market-average weights of Band B · People Manager score 5.22 → B2 · Hay, Mercer IPE and public plans · experience 19.4 yrs vs the B2 market range 6–10</t>
        </is>
      </c>
      <c r="BD423" s="42">
        <f>IF(SUM(BM423,BN423,BO423,BP423,BQ423,BR423,BS423)=0,0,(BM423*BT423+BN423*BU423+BO423*BV423+BP423*BW423+BQ423*BX423+BR423*BY423+BS423*BZ423)/SUM(BM423,BN423,BO423,BP423,BQ423,BR423,BS423))</f>
        <v>0</v>
      </c>
      <c r="BE423" s="41" t="str">
        <f>IF(LEFT(AY423,1)="X",AY423,IF(OR(AY423="B+",AY423="C+"),INDEX(LAD_PC,MAX(1,MIN(14,MATCH(AY423,LAD_PC,0)+IF(BD423&gt;=0.5,1,IF(BD423&lt;=-0.5,-1,0))))),INDEX(LAD_STD,MAX(1,MIN(12,MATCH(AY423,LAD_STD,0)+IF(BD423&gt;=0.5,1,IF(BD423&lt;=-0.5,-1,0)))))))</f>
        <v>B2</v>
      </c>
      <c r="BF423" s="43" t="n"/>
      <c r="BG423" s="41" t="str">
        <f>IF(BF423&lt;&gt;"",BF423,BE423)</f>
        <v>B2</v>
      </c>
      <c r="BH423" s="40" t="str">
        <f>IFERROR(CHOOSE(INDEX(B_RANK,MATCH(BG423,B_LVL,0)),"Band A","Band B","B+ · Player-Coach","Band C","C+ · Player-Coach","Band D","Band E"),"Band X · Consultant")</f>
        <v>Band B</v>
      </c>
      <c r="BI423" s="40" t="str">
        <f>IF(BG423=AY423,"• Same",IF(INDEX(B_VAL,MATCH(BG423,B_LVL,0))&gt;INDEX(B_VAL,MATCH(AY423,B_LVL,0)),"▲ Up","▼ Down"))</f>
        <v>• Same</v>
      </c>
      <c r="BJ423" s="40" t="str">
        <f>IF(OR($M423="",$M423="—",$M423="Not in this file"),"",IFERROR(INDEX($BG$7:$BG$592,MATCH($M423,$D$7:$D$592,0)),""))</f>
        <v>D2</v>
      </c>
      <c r="BK423" s="40" t="str">
        <f>IFERROR(IF(BJ423="","—",IF(OR(LEFT(BG423,1)="X",LEFT(BJ423,1)="X"),"—",IF(AND(LEFT(BG423,1)="E",LEFT(BJ423,1)="E"),"Exception · Band E",IF(AND(INDEX(B_VAL,MATCH(BJ423,B_LVL,0))&gt;=7,INDEX(B_RANK,MATCH(BG423,B_LVL,0))&gt;=INDEX(B_RANK,MATCH(BJ423,B_LVL,0))),"⚠ Same band as a head manager",IF(INDEX(B_VAL,MATCH(BG423,B_LVL,0))&gt;=INDEX(B_VAL,MATCH(BJ423,B_LVL,0)),"⚠ At or above the manager's level","OK"))))),"—")</f>
        <v>OK</v>
      </c>
      <c r="BL423" s="43" t="n"/>
      <c r="BM423" s="44">
        <f>IFERROR(INDEX(LMH_PTS,MATCH(Y423,LMH_KEY,0)),0)</f>
        <v>9</v>
      </c>
      <c r="BN423" s="38">
        <f>IFERROR(INDEX(LMH_PTS,MATCH(Z423,LMH_KEY,0)),0)</f>
        <v>3</v>
      </c>
      <c r="BO423" s="38">
        <f>IFERROR(INDEX(LMH_PTS,MATCH(AA423,LMH_KEY,0)),0)</f>
        <v>1</v>
      </c>
      <c r="BP423" s="38">
        <f>IFERROR(INDEX(LMH_PTS,MATCH(AB423,LMH_KEY,0)),0)</f>
        <v>3</v>
      </c>
      <c r="BQ423" s="38">
        <f>IFERROR(INDEX(LMH_PTS,MATCH(AC423,LMH_KEY,0)),0)</f>
        <v>3</v>
      </c>
      <c r="BR423" s="38">
        <f>IFERROR(INDEX(LMH_PTS,MATCH(AD423,LMH_KEY,0)),0)</f>
        <v>1</v>
      </c>
      <c r="BS423" s="38">
        <f>IFERROR(INDEX(LMH_PTS,MATCH(AE423,LMH_KEY,0)),0)</f>
        <v>1</v>
      </c>
      <c r="BT423" s="38">
        <f>IFERROR(INDEX(LMH_STEP,MATCH(AF423,LMH_KEY,0)),0)</f>
        <v>0</v>
      </c>
      <c r="BU423" s="38">
        <f>IFERROR(INDEX(LMH_STEP,MATCH(AG423,LMH_KEY,0)),0)</f>
        <v>0</v>
      </c>
      <c r="BV423" s="38">
        <f>IFERROR(INDEX(LMH_STEP,MATCH(AH423,LMH_KEY,0)),0)</f>
        <v>0</v>
      </c>
      <c r="BW423" s="38">
        <f>IFERROR(INDEX(LMH_STEP,MATCH(AI423,LMH_KEY,0)),0)</f>
        <v>0</v>
      </c>
      <c r="BX423" s="38">
        <f>IFERROR(INDEX(LMH_STEP,MATCH(AJ423,LMH_KEY,0)),0)</f>
        <v>0</v>
      </c>
      <c r="BY423" s="38">
        <f>IFERROR(INDEX(LMH_STEP,MATCH(AK423,LMH_KEY,0)),0)</f>
        <v>0</v>
      </c>
      <c r="BZ423" s="38">
        <f>IFERROR(INDEX(LMH_STEP,MATCH(AL423,LMH_KEY,0)),0)</f>
        <v>0</v>
      </c>
      <c r="CA423" s="38" t="inlineStr">
        <is>
          <t>Datatech|Datatech - Outreach|Program Manager – Outreach|B2|B-M</t>
        </is>
      </c>
    </row>
    <row r="424" ht="110" customHeight="1">
      <c r="A424" s="28" t="inlineStr">
        <is>
          <t>Datatech</t>
        </is>
      </c>
      <c r="B424" s="29" t="inlineStr">
        <is>
          <t>Datatech - Outreach</t>
        </is>
      </c>
      <c r="C424" s="29" t="n">
        <v>3</v>
      </c>
      <c r="D424" s="29" t="inlineStr">
        <is>
          <t>IRISDT0012</t>
        </is>
      </c>
      <c r="E424" s="29" t="inlineStr">
        <is>
          <t>Jeevan Khokale</t>
        </is>
      </c>
      <c r="F424" s="29" t="inlineStr">
        <is>
          <t>Program Manager</t>
        </is>
      </c>
      <c r="G424" s="29" t="inlineStr">
        <is>
          <t>Senior Program Specialist – POD Lead</t>
        </is>
      </c>
      <c r="H424" s="29" t="inlineStr">
        <is>
          <t>Sales &amp; Business Development</t>
        </is>
      </c>
      <c r="I424" s="29" t="inlineStr">
        <is>
          <t>Field Outreach &amp; Programme Sales</t>
        </is>
      </c>
      <c r="J424" s="29" t="inlineStr">
        <is>
          <t>POD Lead</t>
        </is>
      </c>
      <c r="K424" s="29" t="inlineStr">
        <is>
          <t>RC-157</t>
        </is>
      </c>
      <c r="L424" s="29" t="inlineStr">
        <is>
          <t>Raghin Nair</t>
        </is>
      </c>
      <c r="M424" s="29" t="inlineStr">
        <is>
          <t>IRISDT0011</t>
        </is>
      </c>
      <c r="N424" s="29" t="n">
        <v>7.9</v>
      </c>
      <c r="O424" s="29" t="n">
        <v>0.7</v>
      </c>
      <c r="P424" s="29" t="inlineStr">
        <is>
          <t>MBA</t>
        </is>
      </c>
      <c r="Q424" s="29" t="inlineStr">
        <is>
          <t>L5 – Manager</t>
        </is>
      </c>
      <c r="R424" s="29" t="inlineStr">
        <is>
          <t>B2</t>
        </is>
      </c>
      <c r="S424" s="30" t="inlineStr">
        <is>
          <t>20 of 20</t>
        </is>
      </c>
      <c r="T424" s="31" t="inlineStr">
        <is>
          <t>Complexity: Evidence reads like A3: Combines MSME sales, DIC / association engagement, channel partners; verifies GST / Udyam data → moved down 1
Autonomy: Evidence reads like A2: Identifies and approaches prospects, initiates conversations, follows up leads → moved down 1
Accountability: Evidence reads like A3: Customer acquisition and customer …</t>
        </is>
      </c>
      <c r="U424" s="31" t="inlineStr">
        <is>
          <t>Received · manager annual, quarterly · 1. MSME Onboarding - Onboard minimum 70 MSMEs per month, 210 per quarter  - Weightage: 20%
2. Business Loan Applications - Submit 90 loan applications per quarter  - Weightage: 20%
3. BHR Sales - Sell 30 BHR units per quarter - Weightage: 20%
4. Government/DIC Connect - Maintain active contact with named government …</t>
        </is>
      </c>
      <c r="V424" s="31" t="inlineStr">
        <is>
          <t>Latest rating: 3 · Potential: Medium · 9-box: Core Contributor · Readiness: Develop in role</t>
        </is>
      </c>
      <c r="W424" s="31" t="inlineStr">
        <is>
          <t>C H · Au H · Ac M · L M · BI M · Exp H · 7.9 yrs vs 4–7 yrs · Edu H · MBA</t>
        </is>
      </c>
      <c r="X424" s="33" t="inlineStr">
        <is>
          <t>Open ▸</t>
        </is>
      </c>
      <c r="Y424" s="34" t="str">
        <f>IFERROR(INDEX(DL_C,MATCH($CA424,DL_KEY,0)),"M")</f>
        <v>H</v>
      </c>
      <c r="Z424" s="35" t="str">
        <f>IFERROR(INDEX(DL_Au,MATCH($CA424,DL_KEY,0)),"M")</f>
        <v>M</v>
      </c>
      <c r="AA424" s="35" t="str">
        <f>IFERROR(INDEX(DL_Ac,MATCH($CA424,DL_KEY,0)),"M")</f>
        <v>L</v>
      </c>
      <c r="AB424" s="35" t="str">
        <f>IFERROR(INDEX(DL_L,MATCH($CA424,DL_KEY,0)),"M")</f>
        <v>L</v>
      </c>
      <c r="AC424" s="35" t="str">
        <f>IFERROR(INDEX(DL_BI,MATCH($CA424,DL_KEY,0)),"M")</f>
        <v>M</v>
      </c>
      <c r="AD424" s="35" t="str">
        <f>IFERROR(INDEX(DL_Exp,MATCH($CA424,DL_KEY,0)),"M")</f>
        <v>L</v>
      </c>
      <c r="AE424" s="35" t="str">
        <f>IFERROR(INDEX(DL_Edu,MATCH($CA424,DL_KEY,0)),"M")</f>
        <v>L</v>
      </c>
      <c r="AF424" s="34" t="inlineStr">
        <is>
          <t>M</t>
        </is>
      </c>
      <c r="AG424" s="35" t="inlineStr">
        <is>
          <t>M</t>
        </is>
      </c>
      <c r="AH424" s="35" t="inlineStr">
        <is>
          <t>M</t>
        </is>
      </c>
      <c r="AI424" s="35" t="inlineStr">
        <is>
          <t>M</t>
        </is>
      </c>
      <c r="AJ424" s="35" t="inlineStr">
        <is>
          <t>M</t>
        </is>
      </c>
      <c r="AK424" s="35" t="inlineStr">
        <is>
          <t>M</t>
        </is>
      </c>
      <c r="AL424" s="35" t="inlineStr">
        <is>
          <t>M</t>
        </is>
      </c>
      <c r="AM424" s="36" t="n">
        <v>0.513</v>
      </c>
      <c r="AN424" s="37" t="n">
        <v>0.173</v>
      </c>
      <c r="AO424" s="37" t="n">
        <v>0.09699999999999999</v>
      </c>
      <c r="AP424" s="37" t="n">
        <v>0.05</v>
      </c>
      <c r="AQ424" s="37" t="n">
        <v>0.07000000000000001</v>
      </c>
      <c r="AR424" s="37" t="n">
        <v>0.06</v>
      </c>
      <c r="AS424" s="37" t="n">
        <v>0.04</v>
      </c>
      <c r="AT424" s="38" t="inlineStr">
        <is>
          <t>4–8</t>
        </is>
      </c>
      <c r="AU424" s="38" t="inlineStr">
        <is>
          <t>Graduate + relevant qualification or certification preferred</t>
        </is>
      </c>
      <c r="AV424" s="38" t="inlineStr">
        <is>
          <t>IC: none · Team Lead: 3–5</t>
        </is>
      </c>
      <c r="AW424" s="38" t="inlineStr">
        <is>
          <t>P3 / M2 · SFIA 4 Enable</t>
        </is>
      </c>
      <c r="AX42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24" s="39" t="inlineStr">
        <is>
          <t>B1</t>
        </is>
      </c>
      <c r="AZ424" s="40" t="inlineStr">
        <is>
          <t>Band B · Specialist / Manager · Team Lead / Asst Manager</t>
        </is>
      </c>
      <c r="BA424" s="40" t="inlineStr">
        <is>
          <t>Model B2 from the six ratings, the market-derived weights and rules R1–R13 · then Level rule: manager B2; a reportee sits at least one level below · B2 → B1 · move down · pay and title protected for one cycle</t>
        </is>
      </c>
      <c r="BB424" s="41" t="inlineStr">
        <is>
          <t>B2</t>
        </is>
      </c>
      <c r="BC424" s="40" t="inlineStr">
        <is>
          <t>The six ratings on the market-average weights of Band B · Specialist / POD Lead score 4.83 → B2 · Hay, Mercer IPE and public plans · experience 7.9 yrs vs the B2 market range 6–10</t>
        </is>
      </c>
      <c r="BD424" s="42">
        <f>IF(SUM(BM424,BN424,BO424,BP424,BQ424,BR424,BS424)=0,0,(BM424*BT424+BN424*BU424+BO424*BV424+BP424*BW424+BQ424*BX424+BR424*BY424+BS424*BZ424)/SUM(BM424,BN424,BO424,BP424,BQ424,BR424,BS424))</f>
        <v>0</v>
      </c>
      <c r="BE424" s="41" t="str">
        <f>IF(LEFT(AY424,1)="X",AY424,IF(OR(AY424="B+",AY424="C+"),INDEX(LAD_PC,MAX(1,MIN(14,MATCH(AY424,LAD_PC,0)+IF(BD424&gt;=0.5,1,IF(BD424&lt;=-0.5,-1,0))))),INDEX(LAD_STD,MAX(1,MIN(12,MATCH(AY424,LAD_STD,0)+IF(BD424&gt;=0.5,1,IF(BD424&lt;=-0.5,-1,0)))))))</f>
        <v>B1</v>
      </c>
      <c r="BF424" s="43" t="n"/>
      <c r="BG424" s="41" t="str">
        <f>IF(BF424&lt;&gt;"",BF424,BE424)</f>
        <v>B1</v>
      </c>
      <c r="BH424" s="40" t="str">
        <f>IFERROR(CHOOSE(INDEX(B_RANK,MATCH(BG424,B_LVL,0)),"Band A","Band B","B+ · Player-Coach","Band C","C+ · Player-Coach","Band D","Band E"),"Band X · Consultant")</f>
        <v>Band B</v>
      </c>
      <c r="BI424" s="40" t="str">
        <f>IF(BG424=AY424,"• Same",IF(INDEX(B_VAL,MATCH(BG424,B_LVL,0))&gt;INDEX(B_VAL,MATCH(AY424,B_LVL,0)),"▲ Up","▼ Down"))</f>
        <v>• Same</v>
      </c>
      <c r="BJ424" s="40" t="str">
        <f>IF(OR($M424="",$M424="—",$M424="Not in this file"),"",IFERROR(INDEX($BG$7:$BG$592,MATCH($M424,$D$7:$D$592,0)),""))</f>
        <v>B2</v>
      </c>
      <c r="BK424" s="40" t="str">
        <f>IFERROR(IF(BJ424="","—",IF(OR(LEFT(BG424,1)="X",LEFT(BJ424,1)="X"),"—",IF(AND(LEFT(BG424,1)="E",LEFT(BJ424,1)="E"),"Exception · Band E",IF(AND(INDEX(B_VAL,MATCH(BJ424,B_LVL,0))&gt;=7,INDEX(B_RANK,MATCH(BG424,B_LVL,0))&gt;=INDEX(B_RANK,MATCH(BJ424,B_LVL,0))),"⚠ Same band as a head manager",IF(INDEX(B_VAL,MATCH(BG424,B_LVL,0))&gt;=INDEX(B_VAL,MATCH(BJ424,B_LVL,0)),"⚠ At or above the manager's level","OK"))))),"—")</f>
        <v>OK</v>
      </c>
      <c r="BL424" s="43" t="n"/>
      <c r="BM424" s="44">
        <f>IFERROR(INDEX(LMH_PTS,MATCH(Y424,LMH_KEY,0)),0)</f>
        <v>9</v>
      </c>
      <c r="BN424" s="38">
        <f>IFERROR(INDEX(LMH_PTS,MATCH(Z424,LMH_KEY,0)),0)</f>
        <v>3</v>
      </c>
      <c r="BO424" s="38">
        <f>IFERROR(INDEX(LMH_PTS,MATCH(AA424,LMH_KEY,0)),0)</f>
        <v>1</v>
      </c>
      <c r="BP424" s="38">
        <f>IFERROR(INDEX(LMH_PTS,MATCH(AB424,LMH_KEY,0)),0)</f>
        <v>1</v>
      </c>
      <c r="BQ424" s="38">
        <f>IFERROR(INDEX(LMH_PTS,MATCH(AC424,LMH_KEY,0)),0)</f>
        <v>3</v>
      </c>
      <c r="BR424" s="38">
        <f>IFERROR(INDEX(LMH_PTS,MATCH(AD424,LMH_KEY,0)),0)</f>
        <v>1</v>
      </c>
      <c r="BS424" s="38">
        <f>IFERROR(INDEX(LMH_PTS,MATCH(AE424,LMH_KEY,0)),0)</f>
        <v>1</v>
      </c>
      <c r="BT424" s="38">
        <f>IFERROR(INDEX(LMH_STEP,MATCH(AF424,LMH_KEY,0)),0)</f>
        <v>0</v>
      </c>
      <c r="BU424" s="38">
        <f>IFERROR(INDEX(LMH_STEP,MATCH(AG424,LMH_KEY,0)),0)</f>
        <v>0</v>
      </c>
      <c r="BV424" s="38">
        <f>IFERROR(INDEX(LMH_STEP,MATCH(AH424,LMH_KEY,0)),0)</f>
        <v>0</v>
      </c>
      <c r="BW424" s="38">
        <f>IFERROR(INDEX(LMH_STEP,MATCH(AI424,LMH_KEY,0)),0)</f>
        <v>0</v>
      </c>
      <c r="BX424" s="38">
        <f>IFERROR(INDEX(LMH_STEP,MATCH(AJ424,LMH_KEY,0)),0)</f>
        <v>0</v>
      </c>
      <c r="BY424" s="38">
        <f>IFERROR(INDEX(LMH_STEP,MATCH(AK424,LMH_KEY,0)),0)</f>
        <v>0</v>
      </c>
      <c r="BZ424" s="38">
        <f>IFERROR(INDEX(LMH_STEP,MATCH(AL424,LMH_KEY,0)),0)</f>
        <v>0</v>
      </c>
      <c r="CA424" s="38" t="inlineStr">
        <is>
          <t>Datatech|Datatech - Outreach|Senior Program Specialist – POD Lead|B1|B-IC</t>
        </is>
      </c>
    </row>
    <row r="425" ht="110" customHeight="1">
      <c r="A425" s="28" t="inlineStr">
        <is>
          <t>Datatech</t>
        </is>
      </c>
      <c r="B425" s="29" t="inlineStr">
        <is>
          <t>Datatech - Outreach</t>
        </is>
      </c>
      <c r="C425" s="29" t="n">
        <v>4</v>
      </c>
      <c r="D425" s="29" t="inlineStr">
        <is>
          <t>IRISDT0017</t>
        </is>
      </c>
      <c r="E425" s="29" t="inlineStr">
        <is>
          <t>Lakshmikantha RN</t>
        </is>
      </c>
      <c r="F425" s="29" t="inlineStr">
        <is>
          <t>Program Executive - MSME</t>
        </is>
      </c>
      <c r="G425" s="29" t="inlineStr">
        <is>
          <t>Senior Program Executive</t>
        </is>
      </c>
      <c r="H425" s="29" t="inlineStr">
        <is>
          <t>Sales &amp; Business Development</t>
        </is>
      </c>
      <c r="I425" s="29" t="inlineStr">
        <is>
          <t>Field Outreach &amp; Programme Sales</t>
        </is>
      </c>
      <c r="J425" s="29" t="inlineStr">
        <is>
          <t>IC</t>
        </is>
      </c>
      <c r="K425" s="29" t="inlineStr">
        <is>
          <t>RC-156</t>
        </is>
      </c>
      <c r="L425" s="29" t="inlineStr">
        <is>
          <t>Jeevan Khokale</t>
        </is>
      </c>
      <c r="M425" s="29" t="inlineStr">
        <is>
          <t>IRISDT0012</t>
        </is>
      </c>
      <c r="N425" s="29" t="n">
        <v>2.9</v>
      </c>
      <c r="O425" s="29" t="n">
        <v>0.6</v>
      </c>
      <c r="P425" s="29" t="inlineStr">
        <is>
          <t>MBA</t>
        </is>
      </c>
      <c r="Q425" s="29" t="inlineStr">
        <is>
          <t>L3 – Professional / Associate</t>
        </is>
      </c>
      <c r="R425" s="29" t="inlineStr">
        <is>
          <t>A3</t>
        </is>
      </c>
      <c r="S425" s="30" t="inlineStr">
        <is>
          <t>20 of 20</t>
        </is>
      </c>
      <c r="T425" s="31" t="inlineStr">
        <is>
          <t>Complexity: Evidence reads like A2: own survey / KRA answers · summarised by the rater; not quoted → matches the start
Autonomy: Evidence reads like A2: Plans own field visits, initial discussions and follow-ups → matches the start
Accountability: Evidence reads like A2: Own onboardings, leads, partner follow-ups and timely activity reports → matches the …</t>
        </is>
      </c>
      <c r="U425" s="31" t="inlineStr">
        <is>
          <t>Received · manager annual, quarterly · 1. MSME Onboarding - Onboard minimum 70 MSMEs per month, 210 per quarter- Weightage: 40%
2. Business Loan Applications - Submit 60 loan applications to bank per quarter  - Weightage: 35%
3. BHR Sales - Sell 30 BHR units per quarter - Weightage: 25% · Reports to Jeevan; no government-connect KRA</t>
        </is>
      </c>
      <c r="V425" s="31" t="inlineStr">
        <is>
          <t>Latest rating: 3 · Potential: Medium · 9-box: Core Contributor · Readiness: Develop in role</t>
        </is>
      </c>
      <c r="W425" s="31" t="inlineStr">
        <is>
          <t>C L · Au L · Ac L · L L · BI L · Exp M · 2.9 yrs vs 2–4 yrs · Edu H · MBA</t>
        </is>
      </c>
      <c r="X425" s="33" t="inlineStr">
        <is>
          <t>Open ▸</t>
        </is>
      </c>
      <c r="Y425" s="34" t="str">
        <f>IFERROR(INDEX(DL_C,MATCH($CA425,DL_KEY,0)),"M")</f>
        <v>H</v>
      </c>
      <c r="Z425" s="35" t="str">
        <f>IFERROR(INDEX(DL_Au,MATCH($CA425,DL_KEY,0)),"M")</f>
        <v>M</v>
      </c>
      <c r="AA425" s="35" t="str">
        <f>IFERROR(INDEX(DL_Ac,MATCH($CA425,DL_KEY,0)),"M")</f>
        <v>L</v>
      </c>
      <c r="AB425" s="35" t="str">
        <f>IFERROR(INDEX(DL_L,MATCH($CA425,DL_KEY,0)),"M")</f>
        <v>L</v>
      </c>
      <c r="AC425" s="35" t="str">
        <f>IFERROR(INDEX(DL_BI,MATCH($CA425,DL_KEY,0)),"M")</f>
        <v>M</v>
      </c>
      <c r="AD425" s="35" t="str">
        <f>IFERROR(INDEX(DL_Exp,MATCH($CA425,DL_KEY,0)),"M")</f>
        <v>L</v>
      </c>
      <c r="AE425" s="35" t="str">
        <f>IFERROR(INDEX(DL_Edu,MATCH($CA425,DL_KEY,0)),"M")</f>
        <v>L</v>
      </c>
      <c r="AF425" s="34" t="inlineStr">
        <is>
          <t>M</t>
        </is>
      </c>
      <c r="AG425" s="35" t="inlineStr">
        <is>
          <t>M</t>
        </is>
      </c>
      <c r="AH425" s="35" t="inlineStr">
        <is>
          <t>M</t>
        </is>
      </c>
      <c r="AI425" s="35" t="inlineStr">
        <is>
          <t>M</t>
        </is>
      </c>
      <c r="AJ425" s="35" t="inlineStr">
        <is>
          <t>M</t>
        </is>
      </c>
      <c r="AK425" s="35" t="inlineStr">
        <is>
          <t>M</t>
        </is>
      </c>
      <c r="AL425" s="35" t="inlineStr">
        <is>
          <t>M</t>
        </is>
      </c>
      <c r="AM425" s="36" t="n">
        <v>0.583</v>
      </c>
      <c r="AN425" s="37" t="n">
        <v>0.16</v>
      </c>
      <c r="AO425" s="37" t="n">
        <v>0.09</v>
      </c>
      <c r="AP425" s="37" t="n">
        <v>0</v>
      </c>
      <c r="AQ425" s="37" t="n">
        <v>0.063</v>
      </c>
      <c r="AR425" s="37" t="n">
        <v>0.06</v>
      </c>
      <c r="AS425" s="37" t="n">
        <v>0.04</v>
      </c>
      <c r="AT425" s="38" t="inlineStr">
        <is>
          <t>2–5</t>
        </is>
      </c>
      <c r="AU425" s="38" t="inlineStr">
        <is>
          <t>Graduate; relevant certification preferred</t>
        </is>
      </c>
      <c r="AV425" s="38" t="inlineStr">
        <is>
          <t>None · guides 1–3 juniors informally</t>
        </is>
      </c>
      <c r="AW425" s="38" t="inlineStr">
        <is>
          <t>P2 · SFIA 3 Apply</t>
        </is>
      </c>
      <c r="AX42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25" s="39" t="inlineStr">
        <is>
          <t>A3</t>
        </is>
      </c>
      <c r="AZ425" s="40" t="inlineStr">
        <is>
          <t>Band A · Practitioner · Senior Associate</t>
        </is>
      </c>
      <c r="BA425" s="40" t="inlineStr">
        <is>
          <t>Model A3 from the six ratings, the market-derived weights and rules R1–R13 · then No change · already below the manager</t>
        </is>
      </c>
      <c r="BB425" s="41" t="inlineStr">
        <is>
          <t>A2</t>
        </is>
      </c>
      <c r="BC425" s="40" t="inlineStr">
        <is>
          <t>The six ratings on the market-average weights of Band A · all tracks score 2.15 → A2 · Hay, Mercer IPE and public plans · experience 2.9 yrs vs the A2 market range 0–3</t>
        </is>
      </c>
      <c r="BD425" s="42">
        <f>IF(SUM(BM425,BN425,BO425,BP425,BQ425,BR425,BS425)=0,0,(BM425*BT425+BN425*BU425+BO425*BV425+BP425*BW425+BQ425*BX425+BR425*BY425+BS425*BZ425)/SUM(BM425,BN425,BO425,BP425,BQ425,BR425,BS425))</f>
        <v>0</v>
      </c>
      <c r="BE425" s="41" t="str">
        <f>IF(LEFT(AY425,1)="X",AY425,IF(OR(AY425="B+",AY425="C+"),INDEX(LAD_PC,MAX(1,MIN(14,MATCH(AY425,LAD_PC,0)+IF(BD425&gt;=0.5,1,IF(BD425&lt;=-0.5,-1,0))))),INDEX(LAD_STD,MAX(1,MIN(12,MATCH(AY425,LAD_STD,0)+IF(BD425&gt;=0.5,1,IF(BD425&lt;=-0.5,-1,0)))))))</f>
        <v>A3</v>
      </c>
      <c r="BF425" s="43" t="n"/>
      <c r="BG425" s="41" t="str">
        <f>IF(BF425&lt;&gt;"",BF425,BE425)</f>
        <v>A3</v>
      </c>
      <c r="BH425" s="40" t="str">
        <f>IFERROR(CHOOSE(INDEX(B_RANK,MATCH(BG425,B_LVL,0)),"Band A","Band B","B+ · Player-Coach","Band C","C+ · Player-Coach","Band D","Band E"),"Band X · Consultant")</f>
        <v>Band A</v>
      </c>
      <c r="BI425" s="40" t="str">
        <f>IF(BG425=AY425,"• Same",IF(INDEX(B_VAL,MATCH(BG425,B_LVL,0))&gt;INDEX(B_VAL,MATCH(AY425,B_LVL,0)),"▲ Up","▼ Down"))</f>
        <v>• Same</v>
      </c>
      <c r="BJ425" s="40" t="str">
        <f>IF(OR($M425="",$M425="—",$M425="Not in this file"),"",IFERROR(INDEX($BG$7:$BG$592,MATCH($M425,$D$7:$D$592,0)),""))</f>
        <v>B1</v>
      </c>
      <c r="BK425" s="40" t="str">
        <f>IFERROR(IF(BJ425="","—",IF(OR(LEFT(BG425,1)="X",LEFT(BJ425,1)="X"),"—",IF(AND(LEFT(BG425,1)="E",LEFT(BJ425,1)="E"),"Exception · Band E",IF(AND(INDEX(B_VAL,MATCH(BJ425,B_LVL,0))&gt;=7,INDEX(B_RANK,MATCH(BG425,B_LVL,0))&gt;=INDEX(B_RANK,MATCH(BJ425,B_LVL,0))),"⚠ Same band as a head manager",IF(INDEX(B_VAL,MATCH(BG425,B_LVL,0))&gt;=INDEX(B_VAL,MATCH(BJ425,B_LVL,0)),"⚠ At or above the manager's level","OK"))))),"—")</f>
        <v>OK</v>
      </c>
      <c r="BL425" s="43" t="n"/>
      <c r="BM425" s="44">
        <f>IFERROR(INDEX(LMH_PTS,MATCH(Y425,LMH_KEY,0)),0)</f>
        <v>9</v>
      </c>
      <c r="BN425" s="38">
        <f>IFERROR(INDEX(LMH_PTS,MATCH(Z425,LMH_KEY,0)),0)</f>
        <v>3</v>
      </c>
      <c r="BO425" s="38">
        <f>IFERROR(INDEX(LMH_PTS,MATCH(AA425,LMH_KEY,0)),0)</f>
        <v>1</v>
      </c>
      <c r="BP425" s="38">
        <f>IFERROR(INDEX(LMH_PTS,MATCH(AB425,LMH_KEY,0)),0)</f>
        <v>1</v>
      </c>
      <c r="BQ425" s="38">
        <f>IFERROR(INDEX(LMH_PTS,MATCH(AC425,LMH_KEY,0)),0)</f>
        <v>3</v>
      </c>
      <c r="BR425" s="38">
        <f>IFERROR(INDEX(LMH_PTS,MATCH(AD425,LMH_KEY,0)),0)</f>
        <v>1</v>
      </c>
      <c r="BS425" s="38">
        <f>IFERROR(INDEX(LMH_PTS,MATCH(AE425,LMH_KEY,0)),0)</f>
        <v>1</v>
      </c>
      <c r="BT425" s="38">
        <f>IFERROR(INDEX(LMH_STEP,MATCH(AF425,LMH_KEY,0)),0)</f>
        <v>0</v>
      </c>
      <c r="BU425" s="38">
        <f>IFERROR(INDEX(LMH_STEP,MATCH(AG425,LMH_KEY,0)),0)</f>
        <v>0</v>
      </c>
      <c r="BV425" s="38">
        <f>IFERROR(INDEX(LMH_STEP,MATCH(AH425,LMH_KEY,0)),0)</f>
        <v>0</v>
      </c>
      <c r="BW425" s="38">
        <f>IFERROR(INDEX(LMH_STEP,MATCH(AI425,LMH_KEY,0)),0)</f>
        <v>0</v>
      </c>
      <c r="BX425" s="38">
        <f>IFERROR(INDEX(LMH_STEP,MATCH(AJ425,LMH_KEY,0)),0)</f>
        <v>0</v>
      </c>
      <c r="BY425" s="38">
        <f>IFERROR(INDEX(LMH_STEP,MATCH(AK425,LMH_KEY,0)),0)</f>
        <v>0</v>
      </c>
      <c r="BZ425" s="38">
        <f>IFERROR(INDEX(LMH_STEP,MATCH(AL425,LMH_KEY,0)),0)</f>
        <v>0</v>
      </c>
      <c r="CA425" s="38" t="inlineStr">
        <is>
          <t>Datatech|Datatech - Outreach|Senior Program Executive|A3|A</t>
        </is>
      </c>
    </row>
    <row r="426" ht="110" customHeight="1">
      <c r="A426" s="28" t="inlineStr">
        <is>
          <t>Datatech</t>
        </is>
      </c>
      <c r="B426" s="29" t="inlineStr">
        <is>
          <t>Datatech - Outreach</t>
        </is>
      </c>
      <c r="C426" s="29" t="n">
        <v>3</v>
      </c>
      <c r="D426" s="29" t="inlineStr">
        <is>
          <t>IRISDT0013</t>
        </is>
      </c>
      <c r="E426" s="29" t="inlineStr">
        <is>
          <t>Bharati Durgaprasad Paranjape</t>
        </is>
      </c>
      <c r="F426" s="29" t="inlineStr">
        <is>
          <t>Program Executive - MSME</t>
        </is>
      </c>
      <c r="G426" s="29" t="inlineStr">
        <is>
          <t>Senior Program Executive</t>
        </is>
      </c>
      <c r="H426" s="29" t="inlineStr">
        <is>
          <t>Sales &amp; Business Development</t>
        </is>
      </c>
      <c r="I426" s="29" t="inlineStr">
        <is>
          <t>Field Outreach &amp; Programme Sales</t>
        </is>
      </c>
      <c r="J426" s="29" t="inlineStr">
        <is>
          <t>IC</t>
        </is>
      </c>
      <c r="K426" s="29" t="inlineStr">
        <is>
          <t>RC-156</t>
        </is>
      </c>
      <c r="L426" s="29" t="inlineStr">
        <is>
          <t>Raghin Nair</t>
        </is>
      </c>
      <c r="M426" s="29" t="inlineStr">
        <is>
          <t>IRISDT0011</t>
        </is>
      </c>
      <c r="N426" s="29" t="n">
        <v>4.4</v>
      </c>
      <c r="O426" s="29" t="n">
        <v>0.7</v>
      </c>
      <c r="P426" s="29" t="inlineStr">
        <is>
          <t>MA</t>
        </is>
      </c>
      <c r="Q426" s="29" t="inlineStr">
        <is>
          <t>L3 – Professional / Associate</t>
        </is>
      </c>
      <c r="R426" s="29" t="inlineStr">
        <is>
          <t>A3</t>
        </is>
      </c>
      <c r="S426" s="30" t="inlineStr">
        <is>
          <t>19 of 20</t>
        </is>
      </c>
      <c r="T426" s="31" t="inlineStr">
        <is>
          <t>Complexity: Evidence reads like A2: Engages government officers and industry bodies to sell company services; little detail → matches the start
Autonomy: Evidence reads like A2: Decides own engagement and sales activity; nothing beyond own work → matches the start
Accountability: Evidence reads like A2: States only 'engagement' as accountability → matches …</t>
        </is>
      </c>
      <c r="U426" s="31" t="inlineStr">
        <is>
          <t>Received · manager annual, quarterly · 1. MSME Onboarding - Onboard minimum 30 MSMEs per month, 90 per quarter  - Weightage: 30%
2. Business Loan Applications - Submit 35 loan applications per month, 115 per quarter  Weightage: 30%
3. BHR Sales - Sell 50 BHR units per quarter - Weightage: 30%
4. Government/MOU Connect - Maintain active contact with named …</t>
        </is>
      </c>
      <c r="V426" s="31" t="inlineStr">
        <is>
          <t>Latest rating: 3 · Potential: Medium · 9-box: Emerging Talent · Readiness: Develop in role</t>
        </is>
      </c>
      <c r="W426" s="31" t="inlineStr">
        <is>
          <t>C L · Au L · Ac L · L L · BI L · Exp H · 4.4 yrs vs 2–4 yrs · Edu H · MA</t>
        </is>
      </c>
      <c r="X426" s="33" t="inlineStr">
        <is>
          <t>Open ▸</t>
        </is>
      </c>
      <c r="Y426" s="34" t="str">
        <f>IFERROR(INDEX(DL_C,MATCH($CA426,DL_KEY,0)),"M")</f>
        <v>H</v>
      </c>
      <c r="Z426" s="35" t="str">
        <f>IFERROR(INDEX(DL_Au,MATCH($CA426,DL_KEY,0)),"M")</f>
        <v>M</v>
      </c>
      <c r="AA426" s="35" t="str">
        <f>IFERROR(INDEX(DL_Ac,MATCH($CA426,DL_KEY,0)),"M")</f>
        <v>L</v>
      </c>
      <c r="AB426" s="35" t="str">
        <f>IFERROR(INDEX(DL_L,MATCH($CA426,DL_KEY,0)),"M")</f>
        <v>L</v>
      </c>
      <c r="AC426" s="35" t="str">
        <f>IFERROR(INDEX(DL_BI,MATCH($CA426,DL_KEY,0)),"M")</f>
        <v>M</v>
      </c>
      <c r="AD426" s="35" t="str">
        <f>IFERROR(INDEX(DL_Exp,MATCH($CA426,DL_KEY,0)),"M")</f>
        <v>L</v>
      </c>
      <c r="AE426" s="35" t="str">
        <f>IFERROR(INDEX(DL_Edu,MATCH($CA426,DL_KEY,0)),"M")</f>
        <v>L</v>
      </c>
      <c r="AF426" s="34" t="inlineStr">
        <is>
          <t>M</t>
        </is>
      </c>
      <c r="AG426" s="35" t="inlineStr">
        <is>
          <t>M</t>
        </is>
      </c>
      <c r="AH426" s="35" t="inlineStr">
        <is>
          <t>M</t>
        </is>
      </c>
      <c r="AI426" s="35" t="inlineStr">
        <is>
          <t>M</t>
        </is>
      </c>
      <c r="AJ426" s="35" t="inlineStr">
        <is>
          <t>M</t>
        </is>
      </c>
      <c r="AK426" s="35" t="inlineStr">
        <is>
          <t>M</t>
        </is>
      </c>
      <c r="AL426" s="35" t="inlineStr">
        <is>
          <t>M</t>
        </is>
      </c>
      <c r="AM426" s="36" t="n">
        <v>0.583</v>
      </c>
      <c r="AN426" s="37" t="n">
        <v>0.16</v>
      </c>
      <c r="AO426" s="37" t="n">
        <v>0.09</v>
      </c>
      <c r="AP426" s="37" t="n">
        <v>0</v>
      </c>
      <c r="AQ426" s="37" t="n">
        <v>0.063</v>
      </c>
      <c r="AR426" s="37" t="n">
        <v>0.06</v>
      </c>
      <c r="AS426" s="37" t="n">
        <v>0.04</v>
      </c>
      <c r="AT426" s="38" t="inlineStr">
        <is>
          <t>2–5</t>
        </is>
      </c>
      <c r="AU426" s="38" t="inlineStr">
        <is>
          <t>Graduate; relevant certification preferred</t>
        </is>
      </c>
      <c r="AV426" s="38" t="inlineStr">
        <is>
          <t>None · guides 1–3 juniors informally</t>
        </is>
      </c>
      <c r="AW426" s="38" t="inlineStr">
        <is>
          <t>P2 · SFIA 3 Apply</t>
        </is>
      </c>
      <c r="AX42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26" s="39" t="inlineStr">
        <is>
          <t>A3</t>
        </is>
      </c>
      <c r="AZ426" s="40" t="inlineStr">
        <is>
          <t>Band A · Practitioner · Senior Associate</t>
        </is>
      </c>
      <c r="BA426" s="40" t="inlineStr">
        <is>
          <t>Model A3 from the six ratings, the market-derived weights and rules R1–R13 · then No change · already below the manager</t>
        </is>
      </c>
      <c r="BB426" s="41" t="inlineStr">
        <is>
          <t>A2</t>
        </is>
      </c>
      <c r="BC426" s="40" t="inlineStr">
        <is>
          <t>The six ratings on the market-average weights of Band A · all tracks score 2.20 → A2 · Hay, Mercer IPE and public plans · experience 4.4 yrs vs the A2 market range 0–3</t>
        </is>
      </c>
      <c r="BD426" s="42">
        <f>IF(SUM(BM426,BN426,BO426,BP426,BQ426,BR426,BS426)=0,0,(BM426*BT426+BN426*BU426+BO426*BV426+BP426*BW426+BQ426*BX426+BR426*BY426+BS426*BZ426)/SUM(BM426,BN426,BO426,BP426,BQ426,BR426,BS426))</f>
        <v>0</v>
      </c>
      <c r="BE426" s="41" t="str">
        <f>IF(LEFT(AY426,1)="X",AY426,IF(OR(AY426="B+",AY426="C+"),INDEX(LAD_PC,MAX(1,MIN(14,MATCH(AY426,LAD_PC,0)+IF(BD426&gt;=0.5,1,IF(BD426&lt;=-0.5,-1,0))))),INDEX(LAD_STD,MAX(1,MIN(12,MATCH(AY426,LAD_STD,0)+IF(BD426&gt;=0.5,1,IF(BD426&lt;=-0.5,-1,0)))))))</f>
        <v>A3</v>
      </c>
      <c r="BF426" s="43" t="n"/>
      <c r="BG426" s="41" t="str">
        <f>IF(BF426&lt;&gt;"",BF426,BE426)</f>
        <v>A3</v>
      </c>
      <c r="BH426" s="40" t="str">
        <f>IFERROR(CHOOSE(INDEX(B_RANK,MATCH(BG426,B_LVL,0)),"Band A","Band B","B+ · Player-Coach","Band C","C+ · Player-Coach","Band D","Band E"),"Band X · Consultant")</f>
        <v>Band A</v>
      </c>
      <c r="BI426" s="40" t="str">
        <f>IF(BG426=AY426,"• Same",IF(INDEX(B_VAL,MATCH(BG426,B_LVL,0))&gt;INDEX(B_VAL,MATCH(AY426,B_LVL,0)),"▲ Up","▼ Down"))</f>
        <v>• Same</v>
      </c>
      <c r="BJ426" s="40" t="str">
        <f>IF(OR($M426="",$M426="—",$M426="Not in this file"),"",IFERROR(INDEX($BG$7:$BG$592,MATCH($M426,$D$7:$D$592,0)),""))</f>
        <v>B2</v>
      </c>
      <c r="BK426" s="40" t="str">
        <f>IFERROR(IF(BJ426="","—",IF(OR(LEFT(BG426,1)="X",LEFT(BJ426,1)="X"),"—",IF(AND(LEFT(BG426,1)="E",LEFT(BJ426,1)="E"),"Exception · Band E",IF(AND(INDEX(B_VAL,MATCH(BJ426,B_LVL,0))&gt;=7,INDEX(B_RANK,MATCH(BG426,B_LVL,0))&gt;=INDEX(B_RANK,MATCH(BJ426,B_LVL,0))),"⚠ Same band as a head manager",IF(INDEX(B_VAL,MATCH(BG426,B_LVL,0))&gt;=INDEX(B_VAL,MATCH(BJ426,B_LVL,0)),"⚠ At or above the manager's level","OK"))))),"—")</f>
        <v>OK</v>
      </c>
      <c r="BL426" s="43" t="n"/>
      <c r="BM426" s="44">
        <f>IFERROR(INDEX(LMH_PTS,MATCH(Y426,LMH_KEY,0)),0)</f>
        <v>9</v>
      </c>
      <c r="BN426" s="38">
        <f>IFERROR(INDEX(LMH_PTS,MATCH(Z426,LMH_KEY,0)),0)</f>
        <v>3</v>
      </c>
      <c r="BO426" s="38">
        <f>IFERROR(INDEX(LMH_PTS,MATCH(AA426,LMH_KEY,0)),0)</f>
        <v>1</v>
      </c>
      <c r="BP426" s="38">
        <f>IFERROR(INDEX(LMH_PTS,MATCH(AB426,LMH_KEY,0)),0)</f>
        <v>1</v>
      </c>
      <c r="BQ426" s="38">
        <f>IFERROR(INDEX(LMH_PTS,MATCH(AC426,LMH_KEY,0)),0)</f>
        <v>3</v>
      </c>
      <c r="BR426" s="38">
        <f>IFERROR(INDEX(LMH_PTS,MATCH(AD426,LMH_KEY,0)),0)</f>
        <v>1</v>
      </c>
      <c r="BS426" s="38">
        <f>IFERROR(INDEX(LMH_PTS,MATCH(AE426,LMH_KEY,0)),0)</f>
        <v>1</v>
      </c>
      <c r="BT426" s="38">
        <f>IFERROR(INDEX(LMH_STEP,MATCH(AF426,LMH_KEY,0)),0)</f>
        <v>0</v>
      </c>
      <c r="BU426" s="38">
        <f>IFERROR(INDEX(LMH_STEP,MATCH(AG426,LMH_KEY,0)),0)</f>
        <v>0</v>
      </c>
      <c r="BV426" s="38">
        <f>IFERROR(INDEX(LMH_STEP,MATCH(AH426,LMH_KEY,0)),0)</f>
        <v>0</v>
      </c>
      <c r="BW426" s="38">
        <f>IFERROR(INDEX(LMH_STEP,MATCH(AI426,LMH_KEY,0)),0)</f>
        <v>0</v>
      </c>
      <c r="BX426" s="38">
        <f>IFERROR(INDEX(LMH_STEP,MATCH(AJ426,LMH_KEY,0)),0)</f>
        <v>0</v>
      </c>
      <c r="BY426" s="38">
        <f>IFERROR(INDEX(LMH_STEP,MATCH(AK426,LMH_KEY,0)),0)</f>
        <v>0</v>
      </c>
      <c r="BZ426" s="38">
        <f>IFERROR(INDEX(LMH_STEP,MATCH(AL426,LMH_KEY,0)),0)</f>
        <v>0</v>
      </c>
      <c r="CA426" s="38" t="inlineStr">
        <is>
          <t>Datatech|Datatech - Outreach|Senior Program Executive|A3|A</t>
        </is>
      </c>
    </row>
    <row r="427" ht="110" customHeight="1">
      <c r="A427" s="28" t="inlineStr">
        <is>
          <t>Datatech</t>
        </is>
      </c>
      <c r="B427" s="29" t="inlineStr">
        <is>
          <t>Datatech - Outreach</t>
        </is>
      </c>
      <c r="C427" s="29" t="n">
        <v>3</v>
      </c>
      <c r="D427" s="29" t="inlineStr">
        <is>
          <t>IRISDT0003</t>
        </is>
      </c>
      <c r="E427" s="29" t="inlineStr">
        <is>
          <t>Nalini Niranjan Damisetti</t>
        </is>
      </c>
      <c r="F427" s="29" t="inlineStr">
        <is>
          <t>Program Coordinator</t>
        </is>
      </c>
      <c r="G427" s="29" t="inlineStr">
        <is>
          <t>Senior Program Executive</t>
        </is>
      </c>
      <c r="H427" s="29" t="inlineStr">
        <is>
          <t>Sales &amp; Business Development</t>
        </is>
      </c>
      <c r="I427" s="29" t="inlineStr">
        <is>
          <t>Field Outreach &amp; Programme Sales</t>
        </is>
      </c>
      <c r="J427" s="29" t="inlineStr">
        <is>
          <t>IC</t>
        </is>
      </c>
      <c r="K427" s="29" t="inlineStr">
        <is>
          <t>RC-156</t>
        </is>
      </c>
      <c r="L427" s="29" t="inlineStr">
        <is>
          <t>Raghin Nair</t>
        </is>
      </c>
      <c r="M427" s="29" t="inlineStr">
        <is>
          <t>IRISDT0011</t>
        </is>
      </c>
      <c r="N427" s="29" t="n">
        <v>7.3</v>
      </c>
      <c r="O427" s="29" t="n">
        <v>1.8</v>
      </c>
      <c r="P427" s="29" t="inlineStr">
        <is>
          <t>PGDM</t>
        </is>
      </c>
      <c r="Q427" s="29" t="inlineStr">
        <is>
          <t>L3 – Professional / Associate</t>
        </is>
      </c>
      <c r="R427" s="29" t="inlineStr">
        <is>
          <t>A3</t>
        </is>
      </c>
      <c r="S427" s="30" t="inlineStr">
        <is>
          <t>20 of 20</t>
        </is>
      </c>
      <c r="T427" s="31" t="inlineStr">
        <is>
          <t>Complexity: Evidence reads like A2: Processes MSME loan leads as DSA for several lenders; checks GST, CIBIL, banking → matches the start
Autonomy: Evidence reads like A2: Only decision named is punching in leads → matches the start
Accountability: Evidence reads like A2: Names loan disbursement; missed work loses the customer or adds backlog → matches the …</t>
        </is>
      </c>
      <c r="U427" s="31" t="inlineStr">
        <is>
          <t>Received · manager annual, quarterly · 1. MSME Onboarding - Onboard minimum 70 MSMEs per month, 210 per quarter  - Weightage: 30%
2. Business Loan Applications - Submit 25 loan applications per month, 90 per quarter  Weightage: 30%
3. BHR Sales - Sell 30 BHR units per quarter - Weightage: 30%
4. Government/MOU Connect - Maintain active contact with named …</t>
        </is>
      </c>
      <c r="V427" s="31" t="inlineStr">
        <is>
          <t>Latest rating: 3 · Potential: Medium · 9-box: Performance Risk · Readiness: Develop in role</t>
        </is>
      </c>
      <c r="W427" s="31" t="inlineStr">
        <is>
          <t>C L · Au L · Ac L · L L · BI L · Exp H · 7.3 yrs vs 2–4 yrs · Edu H · PGDM</t>
        </is>
      </c>
      <c r="X427" s="33" t="inlineStr">
        <is>
          <t>Open ▸</t>
        </is>
      </c>
      <c r="Y427" s="34" t="str">
        <f>IFERROR(INDEX(DL_C,MATCH($CA427,DL_KEY,0)),"M")</f>
        <v>H</v>
      </c>
      <c r="Z427" s="35" t="str">
        <f>IFERROR(INDEX(DL_Au,MATCH($CA427,DL_KEY,0)),"M")</f>
        <v>M</v>
      </c>
      <c r="AA427" s="35" t="str">
        <f>IFERROR(INDEX(DL_Ac,MATCH($CA427,DL_KEY,0)),"M")</f>
        <v>L</v>
      </c>
      <c r="AB427" s="35" t="str">
        <f>IFERROR(INDEX(DL_L,MATCH($CA427,DL_KEY,0)),"M")</f>
        <v>L</v>
      </c>
      <c r="AC427" s="35" t="str">
        <f>IFERROR(INDEX(DL_BI,MATCH($CA427,DL_KEY,0)),"M")</f>
        <v>M</v>
      </c>
      <c r="AD427" s="35" t="str">
        <f>IFERROR(INDEX(DL_Exp,MATCH($CA427,DL_KEY,0)),"M")</f>
        <v>L</v>
      </c>
      <c r="AE427" s="35" t="str">
        <f>IFERROR(INDEX(DL_Edu,MATCH($CA427,DL_KEY,0)),"M")</f>
        <v>L</v>
      </c>
      <c r="AF427" s="34" t="inlineStr">
        <is>
          <t>M</t>
        </is>
      </c>
      <c r="AG427" s="35" t="inlineStr">
        <is>
          <t>M</t>
        </is>
      </c>
      <c r="AH427" s="35" t="inlineStr">
        <is>
          <t>M</t>
        </is>
      </c>
      <c r="AI427" s="35" t="inlineStr">
        <is>
          <t>M</t>
        </is>
      </c>
      <c r="AJ427" s="35" t="inlineStr">
        <is>
          <t>M</t>
        </is>
      </c>
      <c r="AK427" s="35" t="inlineStr">
        <is>
          <t>M</t>
        </is>
      </c>
      <c r="AL427" s="35" t="inlineStr">
        <is>
          <t>M</t>
        </is>
      </c>
      <c r="AM427" s="36" t="n">
        <v>0.583</v>
      </c>
      <c r="AN427" s="37" t="n">
        <v>0.16</v>
      </c>
      <c r="AO427" s="37" t="n">
        <v>0.09</v>
      </c>
      <c r="AP427" s="37" t="n">
        <v>0</v>
      </c>
      <c r="AQ427" s="37" t="n">
        <v>0.063</v>
      </c>
      <c r="AR427" s="37" t="n">
        <v>0.06</v>
      </c>
      <c r="AS427" s="37" t="n">
        <v>0.04</v>
      </c>
      <c r="AT427" s="38" t="inlineStr">
        <is>
          <t>2–5</t>
        </is>
      </c>
      <c r="AU427" s="38" t="inlineStr">
        <is>
          <t>Graduate; relevant certification preferred</t>
        </is>
      </c>
      <c r="AV427" s="38" t="inlineStr">
        <is>
          <t>None · guides 1–3 juniors informally</t>
        </is>
      </c>
      <c r="AW427" s="38" t="inlineStr">
        <is>
          <t>P2 · SFIA 3 Apply</t>
        </is>
      </c>
      <c r="AX42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27" s="39" t="inlineStr">
        <is>
          <t>A3</t>
        </is>
      </c>
      <c r="AZ427" s="40" t="inlineStr">
        <is>
          <t>Band A · Practitioner · Senior Associate</t>
        </is>
      </c>
      <c r="BA427" s="40" t="inlineStr">
        <is>
          <t>Model A3 from the six ratings, the market-derived weights and rules R1–R13 · then No change · already below the manager</t>
        </is>
      </c>
      <c r="BB427" s="41" t="inlineStr">
        <is>
          <t>A2</t>
        </is>
      </c>
      <c r="BC427" s="40" t="inlineStr">
        <is>
          <t>The six ratings on the market-average weights of Band A · all tracks score 2.35 → A2 · Hay, Mercer IPE and public plans · experience 7.3 yrs vs the A2 market range 0–3</t>
        </is>
      </c>
      <c r="BD427" s="42">
        <f>IF(SUM(BM427,BN427,BO427,BP427,BQ427,BR427,BS427)=0,0,(BM427*BT427+BN427*BU427+BO427*BV427+BP427*BW427+BQ427*BX427+BR427*BY427+BS427*BZ427)/SUM(BM427,BN427,BO427,BP427,BQ427,BR427,BS427))</f>
        <v>0</v>
      </c>
      <c r="BE427" s="41" t="str">
        <f>IF(LEFT(AY427,1)="X",AY427,IF(OR(AY427="B+",AY427="C+"),INDEX(LAD_PC,MAX(1,MIN(14,MATCH(AY427,LAD_PC,0)+IF(BD427&gt;=0.5,1,IF(BD427&lt;=-0.5,-1,0))))),INDEX(LAD_STD,MAX(1,MIN(12,MATCH(AY427,LAD_STD,0)+IF(BD427&gt;=0.5,1,IF(BD427&lt;=-0.5,-1,0)))))))</f>
        <v>A3</v>
      </c>
      <c r="BF427" s="43" t="n"/>
      <c r="BG427" s="41" t="str">
        <f>IF(BF427&lt;&gt;"",BF427,BE427)</f>
        <v>A3</v>
      </c>
      <c r="BH427" s="40" t="str">
        <f>IFERROR(CHOOSE(INDEX(B_RANK,MATCH(BG427,B_LVL,0)),"Band A","Band B","B+ · Player-Coach","Band C","C+ · Player-Coach","Band D","Band E"),"Band X · Consultant")</f>
        <v>Band A</v>
      </c>
      <c r="BI427" s="40" t="str">
        <f>IF(BG427=AY427,"• Same",IF(INDEX(B_VAL,MATCH(BG427,B_LVL,0))&gt;INDEX(B_VAL,MATCH(AY427,B_LVL,0)),"▲ Up","▼ Down"))</f>
        <v>• Same</v>
      </c>
      <c r="BJ427" s="40" t="str">
        <f>IF(OR($M427="",$M427="—",$M427="Not in this file"),"",IFERROR(INDEX($BG$7:$BG$592,MATCH($M427,$D$7:$D$592,0)),""))</f>
        <v>B2</v>
      </c>
      <c r="BK427" s="40" t="str">
        <f>IFERROR(IF(BJ427="","—",IF(OR(LEFT(BG427,1)="X",LEFT(BJ427,1)="X"),"—",IF(AND(LEFT(BG427,1)="E",LEFT(BJ427,1)="E"),"Exception · Band E",IF(AND(INDEX(B_VAL,MATCH(BJ427,B_LVL,0))&gt;=7,INDEX(B_RANK,MATCH(BG427,B_LVL,0))&gt;=INDEX(B_RANK,MATCH(BJ427,B_LVL,0))),"⚠ Same band as a head manager",IF(INDEX(B_VAL,MATCH(BG427,B_LVL,0))&gt;=INDEX(B_VAL,MATCH(BJ427,B_LVL,0)),"⚠ At or above the manager's level","OK"))))),"—")</f>
        <v>OK</v>
      </c>
      <c r="BL427" s="43" t="n"/>
      <c r="BM427" s="44">
        <f>IFERROR(INDEX(LMH_PTS,MATCH(Y427,LMH_KEY,0)),0)</f>
        <v>9</v>
      </c>
      <c r="BN427" s="38">
        <f>IFERROR(INDEX(LMH_PTS,MATCH(Z427,LMH_KEY,0)),0)</f>
        <v>3</v>
      </c>
      <c r="BO427" s="38">
        <f>IFERROR(INDEX(LMH_PTS,MATCH(AA427,LMH_KEY,0)),0)</f>
        <v>1</v>
      </c>
      <c r="BP427" s="38">
        <f>IFERROR(INDEX(LMH_PTS,MATCH(AB427,LMH_KEY,0)),0)</f>
        <v>1</v>
      </c>
      <c r="BQ427" s="38">
        <f>IFERROR(INDEX(LMH_PTS,MATCH(AC427,LMH_KEY,0)),0)</f>
        <v>3</v>
      </c>
      <c r="BR427" s="38">
        <f>IFERROR(INDEX(LMH_PTS,MATCH(AD427,LMH_KEY,0)),0)</f>
        <v>1</v>
      </c>
      <c r="BS427" s="38">
        <f>IFERROR(INDEX(LMH_PTS,MATCH(AE427,LMH_KEY,0)),0)</f>
        <v>1</v>
      </c>
      <c r="BT427" s="38">
        <f>IFERROR(INDEX(LMH_STEP,MATCH(AF427,LMH_KEY,0)),0)</f>
        <v>0</v>
      </c>
      <c r="BU427" s="38">
        <f>IFERROR(INDEX(LMH_STEP,MATCH(AG427,LMH_KEY,0)),0)</f>
        <v>0</v>
      </c>
      <c r="BV427" s="38">
        <f>IFERROR(INDEX(LMH_STEP,MATCH(AH427,LMH_KEY,0)),0)</f>
        <v>0</v>
      </c>
      <c r="BW427" s="38">
        <f>IFERROR(INDEX(LMH_STEP,MATCH(AI427,LMH_KEY,0)),0)</f>
        <v>0</v>
      </c>
      <c r="BX427" s="38">
        <f>IFERROR(INDEX(LMH_STEP,MATCH(AJ427,LMH_KEY,0)),0)</f>
        <v>0</v>
      </c>
      <c r="BY427" s="38">
        <f>IFERROR(INDEX(LMH_STEP,MATCH(AK427,LMH_KEY,0)),0)</f>
        <v>0</v>
      </c>
      <c r="BZ427" s="38">
        <f>IFERROR(INDEX(LMH_STEP,MATCH(AL427,LMH_KEY,0)),0)</f>
        <v>0</v>
      </c>
      <c r="CA427" s="38" t="inlineStr">
        <is>
          <t>Datatech|Datatech - Outreach|Senior Program Executive|A3|A</t>
        </is>
      </c>
    </row>
    <row r="428" ht="110" customHeight="1">
      <c r="A428" s="28" t="inlineStr">
        <is>
          <t>Datatech</t>
        </is>
      </c>
      <c r="B428" s="29" t="inlineStr">
        <is>
          <t>Datatech - Outreach</t>
        </is>
      </c>
      <c r="C428" s="29" t="n">
        <v>3</v>
      </c>
      <c r="D428" s="29" t="inlineStr">
        <is>
          <t>IRISDT0015</t>
        </is>
      </c>
      <c r="E428" s="29" t="inlineStr">
        <is>
          <t>Jothi Pillai</t>
        </is>
      </c>
      <c r="F428" s="29" t="inlineStr">
        <is>
          <t>Operations Executive</t>
        </is>
      </c>
      <c r="G428" s="29" t="inlineStr">
        <is>
          <t>Program Executive</t>
        </is>
      </c>
      <c r="H428" s="29" t="inlineStr">
        <is>
          <t>Sales &amp; Business Development</t>
        </is>
      </c>
      <c r="I428" s="29" t="inlineStr">
        <is>
          <t>Field Outreach &amp; Programme Sales</t>
        </is>
      </c>
      <c r="J428" s="29" t="inlineStr">
        <is>
          <t>IC</t>
        </is>
      </c>
      <c r="K428" s="29" t="inlineStr">
        <is>
          <t>RC-155</t>
        </is>
      </c>
      <c r="L428" s="29" t="inlineStr">
        <is>
          <t>Raghin Nair</t>
        </is>
      </c>
      <c r="M428" s="29" t="inlineStr">
        <is>
          <t>IRISDT0011</t>
        </is>
      </c>
      <c r="N428" s="29" t="n">
        <v>1.2</v>
      </c>
      <c r="O428" s="29" t="n">
        <v>0.6</v>
      </c>
      <c r="P428" s="29" t="inlineStr">
        <is>
          <t>B.Com</t>
        </is>
      </c>
      <c r="Q428" s="29" t="inlineStr">
        <is>
          <t>L3 – Professional / Associate</t>
        </is>
      </c>
      <c r="R428" s="29" t="inlineStr">
        <is>
          <t>A2</t>
        </is>
      </c>
      <c r="S428" s="30" t="inlineStr">
        <is>
          <t>0 of 20</t>
        </is>
      </c>
      <c r="T428" s="31" t="inlineStr">
        <is>
          <t>Complexity: Evidence reads like A2: Manager KRA only: bank submission of loan applications and BHR unit sales → matches the start
Autonomy: Evidence: no survey answers or KRAs on file → rating stays at the start
Accountability: Evidence reads like A2: Individual KRA targets: 40% submit-to-bank ratio, 60 BHR units a quarter → matches the start
Leadership: …</t>
        </is>
      </c>
      <c r="U428" s="31" t="inlineStr">
        <is>
          <t>Received · manager annual, quarterly · 1. Business Loan Applications - Achieve 40% Submit-to-Bank ratio, ramping quarter over quarter to 40% · Baseline: ~10% - Weightage: 55%
2. BHR Sales - Sell 240 BHR units per quarter - Weightage: 45%</t>
        </is>
      </c>
      <c r="V428" s="31" t="inlineStr">
        <is>
          <t>Latest rating: 2 · Potential: Low · 9-box: Underperformer / Exit Risk · Readiness: Performance first</t>
        </is>
      </c>
      <c r="W428" s="31" t="inlineStr">
        <is>
          <t>C M · Au M · Ac M · L L · BI M · Exp M · 1.2 yrs vs 0–2 yrs · Edu M · B.Com</t>
        </is>
      </c>
      <c r="X428" s="33" t="inlineStr">
        <is>
          <t>Open ▸</t>
        </is>
      </c>
      <c r="Y428" s="34" t="str">
        <f>IFERROR(INDEX(DL_C,MATCH($CA428,DL_KEY,0)),"M")</f>
        <v>H</v>
      </c>
      <c r="Z428" s="35" t="str">
        <f>IFERROR(INDEX(DL_Au,MATCH($CA428,DL_KEY,0)),"M")</f>
        <v>M</v>
      </c>
      <c r="AA428" s="35" t="str">
        <f>IFERROR(INDEX(DL_Ac,MATCH($CA428,DL_KEY,0)),"M")</f>
        <v>L</v>
      </c>
      <c r="AB428" s="35" t="str">
        <f>IFERROR(INDEX(DL_L,MATCH($CA428,DL_KEY,0)),"M")</f>
        <v>L</v>
      </c>
      <c r="AC428" s="35" t="str">
        <f>IFERROR(INDEX(DL_BI,MATCH($CA428,DL_KEY,0)),"M")</f>
        <v>M</v>
      </c>
      <c r="AD428" s="35" t="str">
        <f>IFERROR(INDEX(DL_Exp,MATCH($CA428,DL_KEY,0)),"M")</f>
        <v>L</v>
      </c>
      <c r="AE428" s="35" t="str">
        <f>IFERROR(INDEX(DL_Edu,MATCH($CA428,DL_KEY,0)),"M")</f>
        <v>L</v>
      </c>
      <c r="AF428" s="34" t="inlineStr">
        <is>
          <t>M</t>
        </is>
      </c>
      <c r="AG428" s="35" t="inlineStr">
        <is>
          <t>M</t>
        </is>
      </c>
      <c r="AH428" s="35" t="inlineStr">
        <is>
          <t>M</t>
        </is>
      </c>
      <c r="AI428" s="35" t="inlineStr">
        <is>
          <t>M</t>
        </is>
      </c>
      <c r="AJ428" s="35" t="inlineStr">
        <is>
          <t>M</t>
        </is>
      </c>
      <c r="AK428" s="35" t="inlineStr">
        <is>
          <t>M</t>
        </is>
      </c>
      <c r="AL428" s="35" t="inlineStr">
        <is>
          <t>M</t>
        </is>
      </c>
      <c r="AM428" s="36" t="n">
        <v>0.583</v>
      </c>
      <c r="AN428" s="37" t="n">
        <v>0.16</v>
      </c>
      <c r="AO428" s="37" t="n">
        <v>0.09</v>
      </c>
      <c r="AP428" s="37" t="n">
        <v>0</v>
      </c>
      <c r="AQ428" s="37" t="n">
        <v>0.063</v>
      </c>
      <c r="AR428" s="37" t="n">
        <v>0.06</v>
      </c>
      <c r="AS428" s="37" t="n">
        <v>0.04</v>
      </c>
      <c r="AT428" s="38" t="inlineStr">
        <is>
          <t>0–3</t>
        </is>
      </c>
      <c r="AU428" s="38" t="inlineStr">
        <is>
          <t>Graduate · or diploma with experience</t>
        </is>
      </c>
      <c r="AV428" s="38" t="inlineStr">
        <is>
          <t>No direct reports</t>
        </is>
      </c>
      <c r="AW428" s="38" t="inlineStr">
        <is>
          <t>P1–P2 · SFIA 2 Assist</t>
        </is>
      </c>
      <c r="AX42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28" s="39" t="inlineStr">
        <is>
          <t>A2</t>
        </is>
      </c>
      <c r="AZ428" s="40" t="inlineStr">
        <is>
          <t>Band A · Practitioner · Associate</t>
        </is>
      </c>
      <c r="BA428" s="40" t="inlineStr">
        <is>
          <t>Model A2 from the six ratings, the market-derived weights and rules R1–R13 · then No change · already below the manager</t>
        </is>
      </c>
      <c r="BB428" s="41" t="inlineStr">
        <is>
          <t>A2</t>
        </is>
      </c>
      <c r="BC428" s="40" t="inlineStr">
        <is>
          <t>The six ratings on the market-average weights of Band A · all tracks score 2.03 → A2 · Hay, Mercer IPE and public plans · experience 1.2 yrs vs the A2 market range 0–3</t>
        </is>
      </c>
      <c r="BD428" s="42">
        <f>IF(SUM(BM428,BN428,BO428,BP428,BQ428,BR428,BS428)=0,0,(BM428*BT428+BN428*BU428+BO428*BV428+BP428*BW428+BQ428*BX428+BR428*BY428+BS428*BZ428)/SUM(BM428,BN428,BO428,BP428,BQ428,BR428,BS428))</f>
        <v>0</v>
      </c>
      <c r="BE428" s="41" t="str">
        <f>IF(LEFT(AY428,1)="X",AY428,IF(OR(AY428="B+",AY428="C+"),INDEX(LAD_PC,MAX(1,MIN(14,MATCH(AY428,LAD_PC,0)+IF(BD428&gt;=0.5,1,IF(BD428&lt;=-0.5,-1,0))))),INDEX(LAD_STD,MAX(1,MIN(12,MATCH(AY428,LAD_STD,0)+IF(BD428&gt;=0.5,1,IF(BD428&lt;=-0.5,-1,0)))))))</f>
        <v>A2</v>
      </c>
      <c r="BF428" s="43" t="n"/>
      <c r="BG428" s="41" t="str">
        <f>IF(BF428&lt;&gt;"",BF428,BE428)</f>
        <v>A2</v>
      </c>
      <c r="BH428" s="40" t="str">
        <f>IFERROR(CHOOSE(INDEX(B_RANK,MATCH(BG428,B_LVL,0)),"Band A","Band B","B+ · Player-Coach","Band C","C+ · Player-Coach","Band D","Band E"),"Band X · Consultant")</f>
        <v>Band A</v>
      </c>
      <c r="BI428" s="40" t="str">
        <f>IF(BG428=AY428,"• Same",IF(INDEX(B_VAL,MATCH(BG428,B_LVL,0))&gt;INDEX(B_VAL,MATCH(AY428,B_LVL,0)),"▲ Up","▼ Down"))</f>
        <v>• Same</v>
      </c>
      <c r="BJ428" s="40" t="str">
        <f>IF(OR($M428="",$M428="—",$M428="Not in this file"),"",IFERROR(INDEX($BG$7:$BG$592,MATCH($M428,$D$7:$D$592,0)),""))</f>
        <v>B2</v>
      </c>
      <c r="BK428" s="40" t="str">
        <f>IFERROR(IF(BJ428="","—",IF(OR(LEFT(BG428,1)="X",LEFT(BJ428,1)="X"),"—",IF(AND(LEFT(BG428,1)="E",LEFT(BJ428,1)="E"),"Exception · Band E",IF(AND(INDEX(B_VAL,MATCH(BJ428,B_LVL,0))&gt;=7,INDEX(B_RANK,MATCH(BG428,B_LVL,0))&gt;=INDEX(B_RANK,MATCH(BJ428,B_LVL,0))),"⚠ Same band as a head manager",IF(INDEX(B_VAL,MATCH(BG428,B_LVL,0))&gt;=INDEX(B_VAL,MATCH(BJ428,B_LVL,0)),"⚠ At or above the manager's level","OK"))))),"—")</f>
        <v>OK</v>
      </c>
      <c r="BL428" s="43" t="n"/>
      <c r="BM428" s="44">
        <f>IFERROR(INDEX(LMH_PTS,MATCH(Y428,LMH_KEY,0)),0)</f>
        <v>9</v>
      </c>
      <c r="BN428" s="38">
        <f>IFERROR(INDEX(LMH_PTS,MATCH(Z428,LMH_KEY,0)),0)</f>
        <v>3</v>
      </c>
      <c r="BO428" s="38">
        <f>IFERROR(INDEX(LMH_PTS,MATCH(AA428,LMH_KEY,0)),0)</f>
        <v>1</v>
      </c>
      <c r="BP428" s="38">
        <f>IFERROR(INDEX(LMH_PTS,MATCH(AB428,LMH_KEY,0)),0)</f>
        <v>1</v>
      </c>
      <c r="BQ428" s="38">
        <f>IFERROR(INDEX(LMH_PTS,MATCH(AC428,LMH_KEY,0)),0)</f>
        <v>3</v>
      </c>
      <c r="BR428" s="38">
        <f>IFERROR(INDEX(LMH_PTS,MATCH(AD428,LMH_KEY,0)),0)</f>
        <v>1</v>
      </c>
      <c r="BS428" s="38">
        <f>IFERROR(INDEX(LMH_PTS,MATCH(AE428,LMH_KEY,0)),0)</f>
        <v>1</v>
      </c>
      <c r="BT428" s="38">
        <f>IFERROR(INDEX(LMH_STEP,MATCH(AF428,LMH_KEY,0)),0)</f>
        <v>0</v>
      </c>
      <c r="BU428" s="38">
        <f>IFERROR(INDEX(LMH_STEP,MATCH(AG428,LMH_KEY,0)),0)</f>
        <v>0</v>
      </c>
      <c r="BV428" s="38">
        <f>IFERROR(INDEX(LMH_STEP,MATCH(AH428,LMH_KEY,0)),0)</f>
        <v>0</v>
      </c>
      <c r="BW428" s="38">
        <f>IFERROR(INDEX(LMH_STEP,MATCH(AI428,LMH_KEY,0)),0)</f>
        <v>0</v>
      </c>
      <c r="BX428" s="38">
        <f>IFERROR(INDEX(LMH_STEP,MATCH(AJ428,LMH_KEY,0)),0)</f>
        <v>0</v>
      </c>
      <c r="BY428" s="38">
        <f>IFERROR(INDEX(LMH_STEP,MATCH(AK428,LMH_KEY,0)),0)</f>
        <v>0</v>
      </c>
      <c r="BZ428" s="38">
        <f>IFERROR(INDEX(LMH_STEP,MATCH(AL428,LMH_KEY,0)),0)</f>
        <v>0</v>
      </c>
      <c r="CA428" s="38" t="inlineStr">
        <is>
          <t>Datatech|Datatech - Outreach|Program Executive|A2|A</t>
        </is>
      </c>
    </row>
    <row r="429" ht="110" customHeight="1">
      <c r="A429" s="28" t="inlineStr">
        <is>
          <t>Datatech</t>
        </is>
      </c>
      <c r="B429" s="29" t="inlineStr">
        <is>
          <t>Datatech - Outreach</t>
        </is>
      </c>
      <c r="C429" s="29" t="n">
        <v>3</v>
      </c>
      <c r="D429" s="29" t="inlineStr">
        <is>
          <t>IRISDTC004</t>
        </is>
      </c>
      <c r="E429" s="29" t="inlineStr">
        <is>
          <t>Sameeksha More</t>
        </is>
      </c>
      <c r="F429" s="29" t="inlineStr">
        <is>
          <t>MIS Associate</t>
        </is>
      </c>
      <c r="G429" s="29" t="inlineStr">
        <is>
          <t>MIS Associate</t>
        </is>
      </c>
      <c r="H429" s="29" t="inlineStr">
        <is>
          <t>Data &amp; Analytics</t>
        </is>
      </c>
      <c r="I429" s="29" t="inlineStr">
        <is>
          <t>MIS &amp; Business Reporting</t>
        </is>
      </c>
      <c r="J429" s="29" t="inlineStr">
        <is>
          <t>IC</t>
        </is>
      </c>
      <c r="K429" s="29" t="inlineStr">
        <is>
          <t>RC-043</t>
        </is>
      </c>
      <c r="L429" s="29" t="inlineStr">
        <is>
          <t>Raghin Nair</t>
        </is>
      </c>
      <c r="M429" s="29" t="inlineStr">
        <is>
          <t>IRISDT0011</t>
        </is>
      </c>
      <c r="N429" s="29" t="n">
        <v>0.5</v>
      </c>
      <c r="O429" s="29" t="n">
        <v>0.3</v>
      </c>
      <c r="P429" s="29" t="inlineStr">
        <is>
          <t>Diploma In Computer Technology</t>
        </is>
      </c>
      <c r="Q429" s="29" t="inlineStr">
        <is>
          <t>Not in current mapping files</t>
        </is>
      </c>
      <c r="R429" s="29" t="inlineStr">
        <is>
          <t>A2</t>
        </is>
      </c>
      <c r="S429" s="30" t="inlineStr">
        <is>
          <t>20 of 20</t>
        </is>
      </c>
      <c r="T429" s="31" t="inlineStr">
        <is>
          <t>Complexity: Evidence reads like A2: Excel reporting, dashboards, data cleaning and CRM support for loan operations → matches the start
Autonomy: Evidence reads like A2: Decides data organisation, report formatting, cleaning and updates → matches the start
Accountability: Evidence reads like A2: Accuracy and timeliness of own reports and data → matches the …</t>
        </is>
      </c>
      <c r="U429" s="31" t="inlineStr">
        <is>
          <t>Received · manager annual, quarterly · 1. Accuracy - Maintain report error rate below 20% - Weightage: 50%
2. Turnaround Time · TAT - Deliver reports within 24 hours of request, no exceptions - Weightage: 50%</t>
        </is>
      </c>
      <c r="V429" s="31" t="inlineStr">
        <is>
          <t>Latest rating: 4 · Potential: Medium · 9-box: Core Contributor · Readiness: Ready in 6–12 months</t>
        </is>
      </c>
      <c r="W429" s="31" t="inlineStr">
        <is>
          <t>C M · Au M · Ac M · L L · BI M · Exp M · 0.5 yrs vs 0–2 yrs · Edu L · Diploma In Computer Technology</t>
        </is>
      </c>
      <c r="X429" s="33" t="inlineStr">
        <is>
          <t>Open ▸</t>
        </is>
      </c>
      <c r="Y429" s="34" t="str">
        <f>IFERROR(INDEX(DL_C,MATCH($CA429,DL_KEY,0)),"M")</f>
        <v>H</v>
      </c>
      <c r="Z429" s="35" t="str">
        <f>IFERROR(INDEX(DL_Au,MATCH($CA429,DL_KEY,0)),"M")</f>
        <v>M</v>
      </c>
      <c r="AA429" s="35" t="str">
        <f>IFERROR(INDEX(DL_Ac,MATCH($CA429,DL_KEY,0)),"M")</f>
        <v>M</v>
      </c>
      <c r="AB429" s="35" t="str">
        <f>IFERROR(INDEX(DL_L,MATCH($CA429,DL_KEY,0)),"M")</f>
        <v>L</v>
      </c>
      <c r="AC429" s="35" t="str">
        <f>IFERROR(INDEX(DL_BI,MATCH($CA429,DL_KEY,0)),"M")</f>
        <v>L</v>
      </c>
      <c r="AD429" s="35" t="str">
        <f>IFERROR(INDEX(DL_Exp,MATCH($CA429,DL_KEY,0)),"M")</f>
        <v>L</v>
      </c>
      <c r="AE429" s="35" t="str">
        <f>IFERROR(INDEX(DL_Edu,MATCH($CA429,DL_KEY,0)),"M")</f>
        <v>L</v>
      </c>
      <c r="AF429" s="34" t="inlineStr">
        <is>
          <t>M</t>
        </is>
      </c>
      <c r="AG429" s="35" t="inlineStr">
        <is>
          <t>M</t>
        </is>
      </c>
      <c r="AH429" s="35" t="inlineStr">
        <is>
          <t>M</t>
        </is>
      </c>
      <c r="AI429" s="35" t="inlineStr">
        <is>
          <t>M</t>
        </is>
      </c>
      <c r="AJ429" s="35" t="inlineStr">
        <is>
          <t>M</t>
        </is>
      </c>
      <c r="AK429" s="35" t="inlineStr">
        <is>
          <t>M</t>
        </is>
      </c>
      <c r="AL429" s="35" t="inlineStr">
        <is>
          <t>M</t>
        </is>
      </c>
      <c r="AM429" s="36" t="n">
        <v>0.583</v>
      </c>
      <c r="AN429" s="37" t="n">
        <v>0.16</v>
      </c>
      <c r="AO429" s="37" t="n">
        <v>0.09</v>
      </c>
      <c r="AP429" s="37" t="n">
        <v>0</v>
      </c>
      <c r="AQ429" s="37" t="n">
        <v>0.063</v>
      </c>
      <c r="AR429" s="37" t="n">
        <v>0.06</v>
      </c>
      <c r="AS429" s="37" t="n">
        <v>0.04</v>
      </c>
      <c r="AT429" s="38" t="inlineStr">
        <is>
          <t>0–3</t>
        </is>
      </c>
      <c r="AU429" s="38" t="inlineStr">
        <is>
          <t>Graduate · or diploma with experience</t>
        </is>
      </c>
      <c r="AV429" s="38" t="inlineStr">
        <is>
          <t>No direct reports</t>
        </is>
      </c>
      <c r="AW429" s="38" t="inlineStr">
        <is>
          <t>P1–P2 · SFIA 2 Assist</t>
        </is>
      </c>
      <c r="AX42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29" s="39" t="inlineStr">
        <is>
          <t>A2</t>
        </is>
      </c>
      <c r="AZ429" s="40" t="inlineStr">
        <is>
          <t>Band A · Practitioner · Associate</t>
        </is>
      </c>
      <c r="BA429" s="40" t="inlineStr">
        <is>
          <t>Model A2 from the six ratings, the market-derived weights and rules R1–R13 · then No change · already below the manager</t>
        </is>
      </c>
      <c r="BB429" s="41" t="inlineStr">
        <is>
          <t>A2</t>
        </is>
      </c>
      <c r="BC429" s="40" t="inlineStr">
        <is>
          <t>The six ratings on the market-average weights of Band A · all tracks score 1.93 → A2 · Hay, Mercer IPE and public plans · experience 0.5 yrs vs the A2 market range 0–3</t>
        </is>
      </c>
      <c r="BD429" s="42">
        <f>IF(SUM(BM429,BN429,BO429,BP429,BQ429,BR429,BS429)=0,0,(BM429*BT429+BN429*BU429+BO429*BV429+BP429*BW429+BQ429*BX429+BR429*BY429+BS429*BZ429)/SUM(BM429,BN429,BO429,BP429,BQ429,BR429,BS429))</f>
        <v>0</v>
      </c>
      <c r="BE429" s="41" t="str">
        <f>IF(LEFT(AY429,1)="X",AY429,IF(OR(AY429="B+",AY429="C+"),INDEX(LAD_PC,MAX(1,MIN(14,MATCH(AY429,LAD_PC,0)+IF(BD429&gt;=0.5,1,IF(BD429&lt;=-0.5,-1,0))))),INDEX(LAD_STD,MAX(1,MIN(12,MATCH(AY429,LAD_STD,0)+IF(BD429&gt;=0.5,1,IF(BD429&lt;=-0.5,-1,0)))))))</f>
        <v>A2</v>
      </c>
      <c r="BF429" s="43" t="n"/>
      <c r="BG429" s="41" t="str">
        <f>IF(BF429&lt;&gt;"",BF429,BE429)</f>
        <v>A2</v>
      </c>
      <c r="BH429" s="40" t="str">
        <f>IFERROR(CHOOSE(INDEX(B_RANK,MATCH(BG429,B_LVL,0)),"Band A","Band B","B+ · Player-Coach","Band C","C+ · Player-Coach","Band D","Band E"),"Band X · Consultant")</f>
        <v>Band A</v>
      </c>
      <c r="BI429" s="40" t="str">
        <f>IF(BG429=AY429,"• Same",IF(INDEX(B_VAL,MATCH(BG429,B_LVL,0))&gt;INDEX(B_VAL,MATCH(AY429,B_LVL,0)),"▲ Up","▼ Down"))</f>
        <v>• Same</v>
      </c>
      <c r="BJ429" s="40" t="str">
        <f>IF(OR($M429="",$M429="—",$M429="Not in this file"),"",IFERROR(INDEX($BG$7:$BG$592,MATCH($M429,$D$7:$D$592,0)),""))</f>
        <v>B2</v>
      </c>
      <c r="BK429" s="40" t="str">
        <f>IFERROR(IF(BJ429="","—",IF(OR(LEFT(BG429,1)="X",LEFT(BJ429,1)="X"),"—",IF(AND(LEFT(BG429,1)="E",LEFT(BJ429,1)="E"),"Exception · Band E",IF(AND(INDEX(B_VAL,MATCH(BJ429,B_LVL,0))&gt;=7,INDEX(B_RANK,MATCH(BG429,B_LVL,0))&gt;=INDEX(B_RANK,MATCH(BJ429,B_LVL,0))),"⚠ Same band as a head manager",IF(INDEX(B_VAL,MATCH(BG429,B_LVL,0))&gt;=INDEX(B_VAL,MATCH(BJ429,B_LVL,0)),"⚠ At or above the manager's level","OK"))))),"—")</f>
        <v>OK</v>
      </c>
      <c r="BL429" s="43" t="n"/>
      <c r="BM429" s="44">
        <f>IFERROR(INDEX(LMH_PTS,MATCH(Y429,LMH_KEY,0)),0)</f>
        <v>9</v>
      </c>
      <c r="BN429" s="38">
        <f>IFERROR(INDEX(LMH_PTS,MATCH(Z429,LMH_KEY,0)),0)</f>
        <v>3</v>
      </c>
      <c r="BO429" s="38">
        <f>IFERROR(INDEX(LMH_PTS,MATCH(AA429,LMH_KEY,0)),0)</f>
        <v>3</v>
      </c>
      <c r="BP429" s="38">
        <f>IFERROR(INDEX(LMH_PTS,MATCH(AB429,LMH_KEY,0)),0)</f>
        <v>1</v>
      </c>
      <c r="BQ429" s="38">
        <f>IFERROR(INDEX(LMH_PTS,MATCH(AC429,LMH_KEY,0)),0)</f>
        <v>1</v>
      </c>
      <c r="BR429" s="38">
        <f>IFERROR(INDEX(LMH_PTS,MATCH(AD429,LMH_KEY,0)),0)</f>
        <v>1</v>
      </c>
      <c r="BS429" s="38">
        <f>IFERROR(INDEX(LMH_PTS,MATCH(AE429,LMH_KEY,0)),0)</f>
        <v>1</v>
      </c>
      <c r="BT429" s="38">
        <f>IFERROR(INDEX(LMH_STEP,MATCH(AF429,LMH_KEY,0)),0)</f>
        <v>0</v>
      </c>
      <c r="BU429" s="38">
        <f>IFERROR(INDEX(LMH_STEP,MATCH(AG429,LMH_KEY,0)),0)</f>
        <v>0</v>
      </c>
      <c r="BV429" s="38">
        <f>IFERROR(INDEX(LMH_STEP,MATCH(AH429,LMH_KEY,0)),0)</f>
        <v>0</v>
      </c>
      <c r="BW429" s="38">
        <f>IFERROR(INDEX(LMH_STEP,MATCH(AI429,LMH_KEY,0)),0)</f>
        <v>0</v>
      </c>
      <c r="BX429" s="38">
        <f>IFERROR(INDEX(LMH_STEP,MATCH(AJ429,LMH_KEY,0)),0)</f>
        <v>0</v>
      </c>
      <c r="BY429" s="38">
        <f>IFERROR(INDEX(LMH_STEP,MATCH(AK429,LMH_KEY,0)),0)</f>
        <v>0</v>
      </c>
      <c r="BZ429" s="38">
        <f>IFERROR(INDEX(LMH_STEP,MATCH(AL429,LMH_KEY,0)),0)</f>
        <v>0</v>
      </c>
      <c r="CA429" s="38" t="inlineStr">
        <is>
          <t>Datatech|Datatech - Outreach|MIS Associate|A2|A</t>
        </is>
      </c>
    </row>
    <row r="430" ht="110" customHeight="1">
      <c r="A430" s="28" t="inlineStr">
        <is>
          <t>Datatech</t>
        </is>
      </c>
      <c r="B430" s="29" t="inlineStr">
        <is>
          <t>Datatech - Outreach</t>
        </is>
      </c>
      <c r="C430" s="29" t="n">
        <v>3</v>
      </c>
      <c r="D430" s="29" t="inlineStr">
        <is>
          <t>IRISDTC003</t>
        </is>
      </c>
      <c r="E430" s="29" t="inlineStr">
        <is>
          <t>Vaibhav Dukare</t>
        </is>
      </c>
      <c r="F430" s="29" t="inlineStr">
        <is>
          <t>Customer Engagement Executive</t>
        </is>
      </c>
      <c r="G430" s="29" t="inlineStr">
        <is>
          <t>Program Executive</t>
        </is>
      </c>
      <c r="H430" s="29" t="inlineStr">
        <is>
          <t>Sales &amp; Business Development</t>
        </is>
      </c>
      <c r="I430" s="29" t="inlineStr">
        <is>
          <t>Field Outreach &amp; Programme Sales</t>
        </is>
      </c>
      <c r="J430" s="29" t="inlineStr">
        <is>
          <t>IC</t>
        </is>
      </c>
      <c r="K430" s="29" t="inlineStr">
        <is>
          <t>RC-155</t>
        </is>
      </c>
      <c r="L430" s="29" t="inlineStr">
        <is>
          <t>Raghin Nair</t>
        </is>
      </c>
      <c r="M430" s="29" t="inlineStr">
        <is>
          <t>IRISDT0011</t>
        </is>
      </c>
      <c r="N430" s="29" t="n">
        <v>1.7</v>
      </c>
      <c r="O430" s="29" t="n">
        <v>0.5</v>
      </c>
      <c r="P430" s="29" t="inlineStr">
        <is>
          <t>B.E</t>
        </is>
      </c>
      <c r="Q430" s="29" t="inlineStr">
        <is>
          <t>L3 – Professional / Associate</t>
        </is>
      </c>
      <c r="R430" s="29" t="inlineStr">
        <is>
          <t>A2</t>
        </is>
      </c>
      <c r="S430" s="30" t="inlineStr">
        <is>
          <t>19 of 20</t>
        </is>
      </c>
      <c r="T430" s="31" t="inlineStr">
        <is>
          <t>Complexity: Evidence reads like A2: Cold calls MSMEs, files loan applications on Peridot, maintains Excel sheet → matches the start
Autonomy: Evidence reads like A2: Decision answer vague · 'Sales', 'moderate load'; routine customer guidance only → matches the start
Accountability: Evidence reads like A2: Own loan applications and Business Health Report …</t>
        </is>
      </c>
      <c r="U430" s="31" t="inlineStr">
        <is>
          <t>Received · manager annual, quarterly · 1. Business Loan Applications - Achieve 40% Submit-to-Bank ratio, ramping quarter over quarter to 40% · Baseline: ~10% - Weightage: 55%
2. BHR Sales - Sell 240 BHR units per quarter - Weightage: 45%</t>
        </is>
      </c>
      <c r="V430" s="31" t="inlineStr">
        <is>
          <t>Latest rating: 3 · Potential: Medium · 9-box: Core Contributor · Readiness: Develop in role</t>
        </is>
      </c>
      <c r="W430" s="31" t="inlineStr">
        <is>
          <t>C M · Au M · Ac M · L L · BI M · Exp M · 1.7 yrs vs 0–2 yrs · Edu M · B.E</t>
        </is>
      </c>
      <c r="X430" s="33" t="inlineStr">
        <is>
          <t>Open ▸</t>
        </is>
      </c>
      <c r="Y430" s="34" t="str">
        <f>IFERROR(INDEX(DL_C,MATCH($CA430,DL_KEY,0)),"M")</f>
        <v>H</v>
      </c>
      <c r="Z430" s="35" t="str">
        <f>IFERROR(INDEX(DL_Au,MATCH($CA430,DL_KEY,0)),"M")</f>
        <v>M</v>
      </c>
      <c r="AA430" s="35" t="str">
        <f>IFERROR(INDEX(DL_Ac,MATCH($CA430,DL_KEY,0)),"M")</f>
        <v>L</v>
      </c>
      <c r="AB430" s="35" t="str">
        <f>IFERROR(INDEX(DL_L,MATCH($CA430,DL_KEY,0)),"M")</f>
        <v>L</v>
      </c>
      <c r="AC430" s="35" t="str">
        <f>IFERROR(INDEX(DL_BI,MATCH($CA430,DL_KEY,0)),"M")</f>
        <v>M</v>
      </c>
      <c r="AD430" s="35" t="str">
        <f>IFERROR(INDEX(DL_Exp,MATCH($CA430,DL_KEY,0)),"M")</f>
        <v>L</v>
      </c>
      <c r="AE430" s="35" t="str">
        <f>IFERROR(INDEX(DL_Edu,MATCH($CA430,DL_KEY,0)),"M")</f>
        <v>L</v>
      </c>
      <c r="AF430" s="34" t="inlineStr">
        <is>
          <t>M</t>
        </is>
      </c>
      <c r="AG430" s="35" t="inlineStr">
        <is>
          <t>M</t>
        </is>
      </c>
      <c r="AH430" s="35" t="inlineStr">
        <is>
          <t>M</t>
        </is>
      </c>
      <c r="AI430" s="35" t="inlineStr">
        <is>
          <t>M</t>
        </is>
      </c>
      <c r="AJ430" s="35" t="inlineStr">
        <is>
          <t>M</t>
        </is>
      </c>
      <c r="AK430" s="35" t="inlineStr">
        <is>
          <t>M</t>
        </is>
      </c>
      <c r="AL430" s="35" t="inlineStr">
        <is>
          <t>M</t>
        </is>
      </c>
      <c r="AM430" s="36" t="n">
        <v>0.583</v>
      </c>
      <c r="AN430" s="37" t="n">
        <v>0.16</v>
      </c>
      <c r="AO430" s="37" t="n">
        <v>0.09</v>
      </c>
      <c r="AP430" s="37" t="n">
        <v>0</v>
      </c>
      <c r="AQ430" s="37" t="n">
        <v>0.063</v>
      </c>
      <c r="AR430" s="37" t="n">
        <v>0.06</v>
      </c>
      <c r="AS430" s="37" t="n">
        <v>0.04</v>
      </c>
      <c r="AT430" s="38" t="inlineStr">
        <is>
          <t>0–3</t>
        </is>
      </c>
      <c r="AU430" s="38" t="inlineStr">
        <is>
          <t>Graduate · or diploma with experience</t>
        </is>
      </c>
      <c r="AV430" s="38" t="inlineStr">
        <is>
          <t>No direct reports</t>
        </is>
      </c>
      <c r="AW430" s="38" t="inlineStr">
        <is>
          <t>P1–P2 · SFIA 2 Assist</t>
        </is>
      </c>
      <c r="AX43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30" s="39" t="inlineStr">
        <is>
          <t>A2</t>
        </is>
      </c>
      <c r="AZ430" s="40" t="inlineStr">
        <is>
          <t>Band A · Practitioner · Associate</t>
        </is>
      </c>
      <c r="BA430" s="40" t="inlineStr">
        <is>
          <t>Model A2 from the six ratings, the market-derived weights and rules R1–R13 · then No change · already below the manager</t>
        </is>
      </c>
      <c r="BB430" s="41" t="inlineStr">
        <is>
          <t>A2</t>
        </is>
      </c>
      <c r="BC430" s="40" t="inlineStr">
        <is>
          <t>The six ratings on the market-average weights of Band A · all tracks score 2.08 → A2 · Hay, Mercer IPE and public plans · experience 1.7 yrs vs the A2 market range 0–3</t>
        </is>
      </c>
      <c r="BD430" s="42">
        <f>IF(SUM(BM430,BN430,BO430,BP430,BQ430,BR430,BS430)=0,0,(BM430*BT430+BN430*BU430+BO430*BV430+BP430*BW430+BQ430*BX430+BR430*BY430+BS430*BZ430)/SUM(BM430,BN430,BO430,BP430,BQ430,BR430,BS430))</f>
        <v>0</v>
      </c>
      <c r="BE430" s="41" t="str">
        <f>IF(LEFT(AY430,1)="X",AY430,IF(OR(AY430="B+",AY430="C+"),INDEX(LAD_PC,MAX(1,MIN(14,MATCH(AY430,LAD_PC,0)+IF(BD430&gt;=0.5,1,IF(BD430&lt;=-0.5,-1,0))))),INDEX(LAD_STD,MAX(1,MIN(12,MATCH(AY430,LAD_STD,0)+IF(BD430&gt;=0.5,1,IF(BD430&lt;=-0.5,-1,0)))))))</f>
        <v>A2</v>
      </c>
      <c r="BF430" s="43" t="n"/>
      <c r="BG430" s="41" t="str">
        <f>IF(BF430&lt;&gt;"",BF430,BE430)</f>
        <v>A2</v>
      </c>
      <c r="BH430" s="40" t="str">
        <f>IFERROR(CHOOSE(INDEX(B_RANK,MATCH(BG430,B_LVL,0)),"Band A","Band B","B+ · Player-Coach","Band C","C+ · Player-Coach","Band D","Band E"),"Band X · Consultant")</f>
        <v>Band A</v>
      </c>
      <c r="BI430" s="40" t="str">
        <f>IF(BG430=AY430,"• Same",IF(INDEX(B_VAL,MATCH(BG430,B_LVL,0))&gt;INDEX(B_VAL,MATCH(AY430,B_LVL,0)),"▲ Up","▼ Down"))</f>
        <v>• Same</v>
      </c>
      <c r="BJ430" s="40" t="str">
        <f>IF(OR($M430="",$M430="—",$M430="Not in this file"),"",IFERROR(INDEX($BG$7:$BG$592,MATCH($M430,$D$7:$D$592,0)),""))</f>
        <v>B2</v>
      </c>
      <c r="BK430" s="40" t="str">
        <f>IFERROR(IF(BJ430="","—",IF(OR(LEFT(BG430,1)="X",LEFT(BJ430,1)="X"),"—",IF(AND(LEFT(BG430,1)="E",LEFT(BJ430,1)="E"),"Exception · Band E",IF(AND(INDEX(B_VAL,MATCH(BJ430,B_LVL,0))&gt;=7,INDEX(B_RANK,MATCH(BG430,B_LVL,0))&gt;=INDEX(B_RANK,MATCH(BJ430,B_LVL,0))),"⚠ Same band as a head manager",IF(INDEX(B_VAL,MATCH(BG430,B_LVL,0))&gt;=INDEX(B_VAL,MATCH(BJ430,B_LVL,0)),"⚠ At or above the manager's level","OK"))))),"—")</f>
        <v>OK</v>
      </c>
      <c r="BL430" s="43" t="n"/>
      <c r="BM430" s="44">
        <f>IFERROR(INDEX(LMH_PTS,MATCH(Y430,LMH_KEY,0)),0)</f>
        <v>9</v>
      </c>
      <c r="BN430" s="38">
        <f>IFERROR(INDEX(LMH_PTS,MATCH(Z430,LMH_KEY,0)),0)</f>
        <v>3</v>
      </c>
      <c r="BO430" s="38">
        <f>IFERROR(INDEX(LMH_PTS,MATCH(AA430,LMH_KEY,0)),0)</f>
        <v>1</v>
      </c>
      <c r="BP430" s="38">
        <f>IFERROR(INDEX(LMH_PTS,MATCH(AB430,LMH_KEY,0)),0)</f>
        <v>1</v>
      </c>
      <c r="BQ430" s="38">
        <f>IFERROR(INDEX(LMH_PTS,MATCH(AC430,LMH_KEY,0)),0)</f>
        <v>3</v>
      </c>
      <c r="BR430" s="38">
        <f>IFERROR(INDEX(LMH_PTS,MATCH(AD430,LMH_KEY,0)),0)</f>
        <v>1</v>
      </c>
      <c r="BS430" s="38">
        <f>IFERROR(INDEX(LMH_PTS,MATCH(AE430,LMH_KEY,0)),0)</f>
        <v>1</v>
      </c>
      <c r="BT430" s="38">
        <f>IFERROR(INDEX(LMH_STEP,MATCH(AF430,LMH_KEY,0)),0)</f>
        <v>0</v>
      </c>
      <c r="BU430" s="38">
        <f>IFERROR(INDEX(LMH_STEP,MATCH(AG430,LMH_KEY,0)),0)</f>
        <v>0</v>
      </c>
      <c r="BV430" s="38">
        <f>IFERROR(INDEX(LMH_STEP,MATCH(AH430,LMH_KEY,0)),0)</f>
        <v>0</v>
      </c>
      <c r="BW430" s="38">
        <f>IFERROR(INDEX(LMH_STEP,MATCH(AI430,LMH_KEY,0)),0)</f>
        <v>0</v>
      </c>
      <c r="BX430" s="38">
        <f>IFERROR(INDEX(LMH_STEP,MATCH(AJ430,LMH_KEY,0)),0)</f>
        <v>0</v>
      </c>
      <c r="BY430" s="38">
        <f>IFERROR(INDEX(LMH_STEP,MATCH(AK430,LMH_KEY,0)),0)</f>
        <v>0</v>
      </c>
      <c r="BZ430" s="38">
        <f>IFERROR(INDEX(LMH_STEP,MATCH(AL430,LMH_KEY,0)),0)</f>
        <v>0</v>
      </c>
      <c r="CA430" s="38" t="inlineStr">
        <is>
          <t>Datatech|Datatech - Outreach|Program Executive|A2|A</t>
        </is>
      </c>
    </row>
    <row r="431" ht="110" customHeight="1">
      <c r="A431" s="28" t="inlineStr">
        <is>
          <t>Datatech</t>
        </is>
      </c>
      <c r="B431" s="29" t="inlineStr">
        <is>
          <t>Product Management</t>
        </is>
      </c>
      <c r="C431" s="29" t="n">
        <v>2</v>
      </c>
      <c r="D431" s="29" t="inlineStr">
        <is>
          <t>IRISDT0023</t>
        </is>
      </c>
      <c r="E431" s="29" t="inlineStr">
        <is>
          <t>Sachinam Sawant</t>
        </is>
      </c>
      <c r="F431" s="29" t="inlineStr">
        <is>
          <t>Regulatory &amp; Policy Lead</t>
        </is>
      </c>
      <c r="G431" s="29" t="inlineStr">
        <is>
          <t>Product Manager</t>
        </is>
      </c>
      <c r="H431" s="29" t="inlineStr">
        <is>
          <t>Product Management</t>
        </is>
      </c>
      <c r="I431" s="29" t="inlineStr">
        <is>
          <t>Product Management</t>
        </is>
      </c>
      <c r="J431" s="29" t="inlineStr">
        <is>
          <t>IC</t>
        </is>
      </c>
      <c r="K431" s="29" t="inlineStr">
        <is>
          <t>RC-126</t>
        </is>
      </c>
      <c r="L431" s="29" t="inlineStr">
        <is>
          <t>Shilpa Dhobale</t>
        </is>
      </c>
      <c r="M431" s="29" t="inlineStr">
        <is>
          <t>IRISDT0001</t>
        </is>
      </c>
      <c r="N431" s="29" t="inlineStr">
        <is>
          <t>Not provided · HRIS</t>
        </is>
      </c>
      <c r="O431" s="29" t="n">
        <v>0.1</v>
      </c>
      <c r="P431" s="29" t="inlineStr">
        <is>
          <t>CA</t>
        </is>
      </c>
      <c r="Q431" s="29" t="inlineStr">
        <is>
          <t>Not in current mapping files</t>
        </is>
      </c>
      <c r="R431" s="29" t="inlineStr">
        <is>
          <t>B2</t>
        </is>
      </c>
      <c r="S431" s="30" t="inlineStr">
        <is>
          <t>20 of 20</t>
        </is>
      </c>
      <c r="T431" s="31" t="inlineStr">
        <is>
          <t>Complexity: Evidence reads like B1: Interprets regulatory law changes, specifies software changes to developers, tests output, liaises with GSTIN → moved down 0.5
Autonomy: Evidence reads like A2: Only stated independent decision is attending knowledge webinars → moved down 0.5
Accountability: Evidence reads like A3: A wrong reading of the law leads to …</t>
        </is>
      </c>
      <c r="U431" s="32" t="inlineStr">
        <is>
          <t>KRAs not received · manager to supply</t>
        </is>
      </c>
      <c r="V431" s="31" t="inlineStr">
        <is>
          <t>Latest rating: Not rated · manager · 9-box: Not placed · manager · Readiness: No rating data</t>
        </is>
      </c>
      <c r="W431" s="31" t="inlineStr">
        <is>
          <t>C M · Au M · Ac M · L L · BI M · Exp — · not on file · Edu H · CA</t>
        </is>
      </c>
      <c r="X431" s="33" t="inlineStr">
        <is>
          <t>Open ▸</t>
        </is>
      </c>
      <c r="Y431" s="34" t="str">
        <f>IFERROR(INDEX(DL_C,MATCH($CA431,DL_KEY,0)),"M")</f>
        <v>H</v>
      </c>
      <c r="Z431" s="35" t="str">
        <f>IFERROR(INDEX(DL_Au,MATCH($CA431,DL_KEY,0)),"M")</f>
        <v>M</v>
      </c>
      <c r="AA431" s="35" t="str">
        <f>IFERROR(INDEX(DL_Ac,MATCH($CA431,DL_KEY,0)),"M")</f>
        <v>M</v>
      </c>
      <c r="AB431" s="35" t="str">
        <f>IFERROR(INDEX(DL_L,MATCH($CA431,DL_KEY,0)),"M")</f>
        <v>L</v>
      </c>
      <c r="AC431" s="35" t="str">
        <f>IFERROR(INDEX(DL_BI,MATCH($CA431,DL_KEY,0)),"M")</f>
        <v>L</v>
      </c>
      <c r="AD431" s="35" t="str">
        <f>IFERROR(INDEX(DL_Exp,MATCH($CA431,DL_KEY,0)),"M")</f>
        <v>L</v>
      </c>
      <c r="AE431" s="35" t="str">
        <f>IFERROR(INDEX(DL_Edu,MATCH($CA431,DL_KEY,0)),"M")</f>
        <v>L</v>
      </c>
      <c r="AF431" s="34" t="inlineStr">
        <is>
          <t>M</t>
        </is>
      </c>
      <c r="AG431" s="35" t="inlineStr">
        <is>
          <t>M</t>
        </is>
      </c>
      <c r="AH431" s="35" t="inlineStr">
        <is>
          <t>M</t>
        </is>
      </c>
      <c r="AI431" s="35" t="inlineStr">
        <is>
          <t>M</t>
        </is>
      </c>
      <c r="AJ431" s="35" t="inlineStr">
        <is>
          <t>M</t>
        </is>
      </c>
      <c r="AK431" s="35" t="inlineStr">
        <is>
          <t>M</t>
        </is>
      </c>
      <c r="AL431" s="35" t="inlineStr">
        <is>
          <t>M</t>
        </is>
      </c>
      <c r="AM431" s="36" t="n">
        <v>0.513</v>
      </c>
      <c r="AN431" s="37" t="n">
        <v>0.173</v>
      </c>
      <c r="AO431" s="37" t="n">
        <v>0.09699999999999999</v>
      </c>
      <c r="AP431" s="37" t="n">
        <v>0.05</v>
      </c>
      <c r="AQ431" s="37" t="n">
        <v>0.07000000000000001</v>
      </c>
      <c r="AR431" s="37" t="n">
        <v>0.06</v>
      </c>
      <c r="AS431" s="37" t="n">
        <v>0.04</v>
      </c>
      <c r="AT431" s="38" t="inlineStr">
        <is>
          <t>6–10</t>
        </is>
      </c>
      <c r="AU431" s="38" t="inlineStr">
        <is>
          <t>Graduate or postgraduate; professional qualification preferred</t>
        </is>
      </c>
      <c r="AV431" s="38" t="inlineStr">
        <is>
          <t>IC: none · People: 6–8 knowledge work, 8–12 standardised delivery</t>
        </is>
      </c>
      <c r="AW431" s="38" t="inlineStr">
        <is>
          <t>P4 / M3 · SFIA 4–5</t>
        </is>
      </c>
      <c r="AX43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31" s="39" t="inlineStr">
        <is>
          <t>B2</t>
        </is>
      </c>
      <c r="AZ431" s="40" t="inlineStr">
        <is>
          <t>Band B · Specialist / Manager · Senior Specialist</t>
        </is>
      </c>
      <c r="BA431" s="40" t="inlineStr">
        <is>
          <t>Model B2 from the six ratings, the market-derived weights and rules R1–R13 · then No change · already below the manager</t>
        </is>
      </c>
      <c r="BB431" s="41" t="inlineStr">
        <is>
          <t>B2</t>
        </is>
      </c>
      <c r="BC431" s="40" t="inlineStr">
        <is>
          <t>The six ratings on the market-average weights of Band B · Specialist / POD Lead score 4.55 → B2 · Hay, Mercer IPE and public plans · experience Not provided · HRIS yrs vs the B2 market range 6–10</t>
        </is>
      </c>
      <c r="BD431" s="42">
        <f>IF(SUM(BM431,BN431,BO431,BP431,BQ431,BR431,BS431)=0,0,(BM431*BT431+BN431*BU431+BO431*BV431+BP431*BW431+BQ431*BX431+BR431*BY431+BS431*BZ431)/SUM(BM431,BN431,BO431,BP431,BQ431,BR431,BS431))</f>
        <v>0</v>
      </c>
      <c r="BE431" s="41" t="str">
        <f>IF(LEFT(AY431,1)="X",AY431,IF(OR(AY431="B+",AY431="C+"),INDEX(LAD_PC,MAX(1,MIN(14,MATCH(AY431,LAD_PC,0)+IF(BD431&gt;=0.5,1,IF(BD431&lt;=-0.5,-1,0))))),INDEX(LAD_STD,MAX(1,MIN(12,MATCH(AY431,LAD_STD,0)+IF(BD431&gt;=0.5,1,IF(BD431&lt;=-0.5,-1,0)))))))</f>
        <v>B2</v>
      </c>
      <c r="BF431" s="43" t="n"/>
      <c r="BG431" s="41" t="str">
        <f>IF(BF431&lt;&gt;"",BF431,BE431)</f>
        <v>B2</v>
      </c>
      <c r="BH431" s="40" t="str">
        <f>IFERROR(CHOOSE(INDEX(B_RANK,MATCH(BG431,B_LVL,0)),"Band A","Band B","B+ · Player-Coach","Band C","C+ · Player-Coach","Band D","Band E"),"Band X · Consultant")</f>
        <v>Band B</v>
      </c>
      <c r="BI431" s="40" t="str">
        <f>IF(BG431=AY431,"• Same",IF(INDEX(B_VAL,MATCH(BG431,B_LVL,0))&gt;INDEX(B_VAL,MATCH(AY431,B_LVL,0)),"▲ Up","▼ Down"))</f>
        <v>• Same</v>
      </c>
      <c r="BJ431" s="40" t="str">
        <f>IF(OR($M431="",$M431="—",$M431="Not in this file"),"",IFERROR(INDEX($BG$7:$BG$592,MATCH($M431,$D$7:$D$592,0)),""))</f>
        <v>D2</v>
      </c>
      <c r="BK431" s="40" t="str">
        <f>IFERROR(IF(BJ431="","—",IF(OR(LEFT(BG431,1)="X",LEFT(BJ431,1)="X"),"—",IF(AND(LEFT(BG431,1)="E",LEFT(BJ431,1)="E"),"Exception · Band E",IF(AND(INDEX(B_VAL,MATCH(BJ431,B_LVL,0))&gt;=7,INDEX(B_RANK,MATCH(BG431,B_LVL,0))&gt;=INDEX(B_RANK,MATCH(BJ431,B_LVL,0))),"⚠ Same band as a head manager",IF(INDEX(B_VAL,MATCH(BG431,B_LVL,0))&gt;=INDEX(B_VAL,MATCH(BJ431,B_LVL,0)),"⚠ At or above the manager's level","OK"))))),"—")</f>
        <v>OK</v>
      </c>
      <c r="BL431" s="43" t="n"/>
      <c r="BM431" s="44">
        <f>IFERROR(INDEX(LMH_PTS,MATCH(Y431,LMH_KEY,0)),0)</f>
        <v>9</v>
      </c>
      <c r="BN431" s="38">
        <f>IFERROR(INDEX(LMH_PTS,MATCH(Z431,LMH_KEY,0)),0)</f>
        <v>3</v>
      </c>
      <c r="BO431" s="38">
        <f>IFERROR(INDEX(LMH_PTS,MATCH(AA431,LMH_KEY,0)),0)</f>
        <v>3</v>
      </c>
      <c r="BP431" s="38">
        <f>IFERROR(INDEX(LMH_PTS,MATCH(AB431,LMH_KEY,0)),0)</f>
        <v>1</v>
      </c>
      <c r="BQ431" s="38">
        <f>IFERROR(INDEX(LMH_PTS,MATCH(AC431,LMH_KEY,0)),0)</f>
        <v>1</v>
      </c>
      <c r="BR431" s="38">
        <f>IFERROR(INDEX(LMH_PTS,MATCH(AD431,LMH_KEY,0)),0)</f>
        <v>1</v>
      </c>
      <c r="BS431" s="38">
        <f>IFERROR(INDEX(LMH_PTS,MATCH(AE431,LMH_KEY,0)),0)</f>
        <v>1</v>
      </c>
      <c r="BT431" s="38">
        <f>IFERROR(INDEX(LMH_STEP,MATCH(AF431,LMH_KEY,0)),0)</f>
        <v>0</v>
      </c>
      <c r="BU431" s="38">
        <f>IFERROR(INDEX(LMH_STEP,MATCH(AG431,LMH_KEY,0)),0)</f>
        <v>0</v>
      </c>
      <c r="BV431" s="38">
        <f>IFERROR(INDEX(LMH_STEP,MATCH(AH431,LMH_KEY,0)),0)</f>
        <v>0</v>
      </c>
      <c r="BW431" s="38">
        <f>IFERROR(INDEX(LMH_STEP,MATCH(AI431,LMH_KEY,0)),0)</f>
        <v>0</v>
      </c>
      <c r="BX431" s="38">
        <f>IFERROR(INDEX(LMH_STEP,MATCH(AJ431,LMH_KEY,0)),0)</f>
        <v>0</v>
      </c>
      <c r="BY431" s="38">
        <f>IFERROR(INDEX(LMH_STEP,MATCH(AK431,LMH_KEY,0)),0)</f>
        <v>0</v>
      </c>
      <c r="BZ431" s="38">
        <f>IFERROR(INDEX(LMH_STEP,MATCH(AL431,LMH_KEY,0)),0)</f>
        <v>0</v>
      </c>
      <c r="CA431" s="38" t="inlineStr">
        <is>
          <t>Datatech|Product Management|Product Manager|B2|B-IC</t>
        </is>
      </c>
    </row>
    <row r="432" ht="110" customHeight="1">
      <c r="A432" s="28" t="inlineStr">
        <is>
          <t>Datatech</t>
        </is>
      </c>
      <c r="B432" s="29" t="inlineStr">
        <is>
          <t>Technology</t>
        </is>
      </c>
      <c r="C432" s="29" t="n">
        <v>2</v>
      </c>
      <c r="D432" s="29" t="inlineStr">
        <is>
          <t>IRISDT0018</t>
        </is>
      </c>
      <c r="E432" s="29" t="inlineStr">
        <is>
          <t>Shivam Dhumal</t>
        </is>
      </c>
      <c r="F432" s="29" t="inlineStr">
        <is>
          <t>Software Engineer</t>
        </is>
      </c>
      <c r="G432" s="29" t="inlineStr">
        <is>
          <t>Senior Software Engineer</t>
        </is>
      </c>
      <c r="H432" s="29" t="inlineStr">
        <is>
          <t>Engineering &amp; Development</t>
        </is>
      </c>
      <c r="I432" s="29" t="inlineStr">
        <is>
          <t>Backend Development</t>
        </is>
      </c>
      <c r="J432" s="29" t="inlineStr">
        <is>
          <t>IC</t>
        </is>
      </c>
      <c r="K432" s="29" t="inlineStr">
        <is>
          <t>RC-067</t>
        </is>
      </c>
      <c r="L432" s="29" t="inlineStr">
        <is>
          <t>Shilpa Dhobale</t>
        </is>
      </c>
      <c r="M432" s="29" t="inlineStr">
        <is>
          <t>IRISDT0001</t>
        </is>
      </c>
      <c r="N432" s="29" t="n">
        <v>4.6</v>
      </c>
      <c r="O432" s="29" t="n">
        <v>0.5</v>
      </c>
      <c r="P432" s="29" t="inlineStr">
        <is>
          <t>B.Tech</t>
        </is>
      </c>
      <c r="Q432" s="29" t="inlineStr">
        <is>
          <t>L3 – Professional / Associate</t>
        </is>
      </c>
      <c r="R432" s="29" t="inlineStr">
        <is>
          <t>A3</t>
        </is>
      </c>
      <c r="S432" s="30" t="inlineStr">
        <is>
          <t>20 of 20</t>
        </is>
      </c>
      <c r="T432" s="31" t="inlineStr">
        <is>
          <t>Business Impact: Moved +0.5: the survey / manager mapping marks it business-critical.</t>
        </is>
      </c>
      <c r="U432" s="31" t="inlineStr">
        <is>
          <t>Received · manager annual, quarterly · 1.	Committed scope delivered per sprint — ≥ 85%. Averaged for quarter
2.	Crash-free sessions — ≥ 99.5% · shared with QA
3.	Change failure rate · % of releases causing an incident/hotfix — &lt; 10%
4.	Documentation kept current for shipped features — ≥ 90% of new modules documented
5.	Unit test coverage - ≥ 75% by end of …</t>
        </is>
      </c>
      <c r="V432" s="31" t="inlineStr">
        <is>
          <t>Latest rating: 3 · Potential: Medium · 9-box: Emerging Talent · Readiness: Develop in role</t>
        </is>
      </c>
      <c r="W432" s="31" t="inlineStr">
        <is>
          <t>C M · Au L · Ac M · L L · BI M · Exp H · 4.6 yrs vs 2–4 yrs · Edu M · B.Tech</t>
        </is>
      </c>
      <c r="X432" s="33" t="inlineStr">
        <is>
          <t>Open ▸</t>
        </is>
      </c>
      <c r="Y432" s="34" t="str">
        <f>IFERROR(INDEX(DL_C,MATCH($CA432,DL_KEY,0)),"M")</f>
        <v>H</v>
      </c>
      <c r="Z432" s="35" t="str">
        <f>IFERROR(INDEX(DL_Au,MATCH($CA432,DL_KEY,0)),"M")</f>
        <v>M</v>
      </c>
      <c r="AA432" s="35" t="str">
        <f>IFERROR(INDEX(DL_Ac,MATCH($CA432,DL_KEY,0)),"M")</f>
        <v>L</v>
      </c>
      <c r="AB432" s="35" t="str">
        <f>IFERROR(INDEX(DL_L,MATCH($CA432,DL_KEY,0)),"M")</f>
        <v>L</v>
      </c>
      <c r="AC432" s="35" t="str">
        <f>IFERROR(INDEX(DL_BI,MATCH($CA432,DL_KEY,0)),"M")</f>
        <v>L</v>
      </c>
      <c r="AD432" s="35" t="str">
        <f>IFERROR(INDEX(DL_Exp,MATCH($CA432,DL_KEY,0)),"M")</f>
        <v>L</v>
      </c>
      <c r="AE432" s="35" t="str">
        <f>IFERROR(INDEX(DL_Edu,MATCH($CA432,DL_KEY,0)),"M")</f>
        <v>L</v>
      </c>
      <c r="AF432" s="34" t="inlineStr">
        <is>
          <t>M</t>
        </is>
      </c>
      <c r="AG432" s="35" t="inlineStr">
        <is>
          <t>M</t>
        </is>
      </c>
      <c r="AH432" s="35" t="inlineStr">
        <is>
          <t>M</t>
        </is>
      </c>
      <c r="AI432" s="35" t="inlineStr">
        <is>
          <t>M</t>
        </is>
      </c>
      <c r="AJ432" s="35" t="inlineStr">
        <is>
          <t>M</t>
        </is>
      </c>
      <c r="AK432" s="35" t="inlineStr">
        <is>
          <t>M</t>
        </is>
      </c>
      <c r="AL432" s="35" t="inlineStr">
        <is>
          <t>M</t>
        </is>
      </c>
      <c r="AM432" s="36" t="n">
        <v>0.583</v>
      </c>
      <c r="AN432" s="37" t="n">
        <v>0.16</v>
      </c>
      <c r="AO432" s="37" t="n">
        <v>0.09</v>
      </c>
      <c r="AP432" s="37" t="n">
        <v>0</v>
      </c>
      <c r="AQ432" s="37" t="n">
        <v>0.063</v>
      </c>
      <c r="AR432" s="37" t="n">
        <v>0.06</v>
      </c>
      <c r="AS432" s="37" t="n">
        <v>0.04</v>
      </c>
      <c r="AT432" s="38" t="inlineStr">
        <is>
          <t>2–5</t>
        </is>
      </c>
      <c r="AU432" s="38" t="inlineStr">
        <is>
          <t>Graduate; relevant certification preferred</t>
        </is>
      </c>
      <c r="AV432" s="38" t="inlineStr">
        <is>
          <t>None · guides 1–3 juniors informally</t>
        </is>
      </c>
      <c r="AW432" s="38" t="inlineStr">
        <is>
          <t>P2 · SFIA 3 Apply</t>
        </is>
      </c>
      <c r="AX43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32" s="39" t="inlineStr">
        <is>
          <t>A3</t>
        </is>
      </c>
      <c r="AZ432" s="40" t="inlineStr">
        <is>
          <t>Band A · Practitioner · Senior Associate</t>
        </is>
      </c>
      <c r="BA432" s="40" t="inlineStr">
        <is>
          <t>Model A3 from the six ratings, the market-derived weights and rules R1–R13 · then No change · already below the manager</t>
        </is>
      </c>
      <c r="BB432" s="41" t="inlineStr">
        <is>
          <t>A3</t>
        </is>
      </c>
      <c r="BC432" s="40" t="inlineStr">
        <is>
          <t>The six ratings on the market-average weights of Band A · all tracks score 2.55 → A3 · Hay, Mercer IPE and public plans · experience 4.6 yrs vs the A3 market range 2–5</t>
        </is>
      </c>
      <c r="BD432" s="42">
        <f>IF(SUM(BM432,BN432,BO432,BP432,BQ432,BR432,BS432)=0,0,(BM432*BT432+BN432*BU432+BO432*BV432+BP432*BW432+BQ432*BX432+BR432*BY432+BS432*BZ432)/SUM(BM432,BN432,BO432,BP432,BQ432,BR432,BS432))</f>
        <v>0</v>
      </c>
      <c r="BE432" s="41" t="str">
        <f>IF(LEFT(AY432,1)="X",AY432,IF(OR(AY432="B+",AY432="C+"),INDEX(LAD_PC,MAX(1,MIN(14,MATCH(AY432,LAD_PC,0)+IF(BD432&gt;=0.5,1,IF(BD432&lt;=-0.5,-1,0))))),INDEX(LAD_STD,MAX(1,MIN(12,MATCH(AY432,LAD_STD,0)+IF(BD432&gt;=0.5,1,IF(BD432&lt;=-0.5,-1,0)))))))</f>
        <v>A3</v>
      </c>
      <c r="BF432" s="43" t="n"/>
      <c r="BG432" s="41" t="str">
        <f>IF(BF432&lt;&gt;"",BF432,BE432)</f>
        <v>A3</v>
      </c>
      <c r="BH432" s="40" t="str">
        <f>IFERROR(CHOOSE(INDEX(B_RANK,MATCH(BG432,B_LVL,0)),"Band A","Band B","B+ · Player-Coach","Band C","C+ · Player-Coach","Band D","Band E"),"Band X · Consultant")</f>
        <v>Band A</v>
      </c>
      <c r="BI432" s="40" t="str">
        <f>IF(BG432=AY432,"• Same",IF(INDEX(B_VAL,MATCH(BG432,B_LVL,0))&gt;INDEX(B_VAL,MATCH(AY432,B_LVL,0)),"▲ Up","▼ Down"))</f>
        <v>• Same</v>
      </c>
      <c r="BJ432" s="40" t="str">
        <f>IF(OR($M432="",$M432="—",$M432="Not in this file"),"",IFERROR(INDEX($BG$7:$BG$592,MATCH($M432,$D$7:$D$592,0)),""))</f>
        <v>D2</v>
      </c>
      <c r="BK432" s="40" t="str">
        <f>IFERROR(IF(BJ432="","—",IF(OR(LEFT(BG432,1)="X",LEFT(BJ432,1)="X"),"—",IF(AND(LEFT(BG432,1)="E",LEFT(BJ432,1)="E"),"Exception · Band E",IF(AND(INDEX(B_VAL,MATCH(BJ432,B_LVL,0))&gt;=7,INDEX(B_RANK,MATCH(BG432,B_LVL,0))&gt;=INDEX(B_RANK,MATCH(BJ432,B_LVL,0))),"⚠ Same band as a head manager",IF(INDEX(B_VAL,MATCH(BG432,B_LVL,0))&gt;=INDEX(B_VAL,MATCH(BJ432,B_LVL,0)),"⚠ At or above the manager's level","OK"))))),"—")</f>
        <v>OK</v>
      </c>
      <c r="BL432" s="43" t="n"/>
      <c r="BM432" s="44">
        <f>IFERROR(INDEX(LMH_PTS,MATCH(Y432,LMH_KEY,0)),0)</f>
        <v>9</v>
      </c>
      <c r="BN432" s="38">
        <f>IFERROR(INDEX(LMH_PTS,MATCH(Z432,LMH_KEY,0)),0)</f>
        <v>3</v>
      </c>
      <c r="BO432" s="38">
        <f>IFERROR(INDEX(LMH_PTS,MATCH(AA432,LMH_KEY,0)),0)</f>
        <v>1</v>
      </c>
      <c r="BP432" s="38">
        <f>IFERROR(INDEX(LMH_PTS,MATCH(AB432,LMH_KEY,0)),0)</f>
        <v>1</v>
      </c>
      <c r="BQ432" s="38">
        <f>IFERROR(INDEX(LMH_PTS,MATCH(AC432,LMH_KEY,0)),0)</f>
        <v>1</v>
      </c>
      <c r="BR432" s="38">
        <f>IFERROR(INDEX(LMH_PTS,MATCH(AD432,LMH_KEY,0)),0)</f>
        <v>1</v>
      </c>
      <c r="BS432" s="38">
        <f>IFERROR(INDEX(LMH_PTS,MATCH(AE432,LMH_KEY,0)),0)</f>
        <v>1</v>
      </c>
      <c r="BT432" s="38">
        <f>IFERROR(INDEX(LMH_STEP,MATCH(AF432,LMH_KEY,0)),0)</f>
        <v>0</v>
      </c>
      <c r="BU432" s="38">
        <f>IFERROR(INDEX(LMH_STEP,MATCH(AG432,LMH_KEY,0)),0)</f>
        <v>0</v>
      </c>
      <c r="BV432" s="38">
        <f>IFERROR(INDEX(LMH_STEP,MATCH(AH432,LMH_KEY,0)),0)</f>
        <v>0</v>
      </c>
      <c r="BW432" s="38">
        <f>IFERROR(INDEX(LMH_STEP,MATCH(AI432,LMH_KEY,0)),0)</f>
        <v>0</v>
      </c>
      <c r="BX432" s="38">
        <f>IFERROR(INDEX(LMH_STEP,MATCH(AJ432,LMH_KEY,0)),0)</f>
        <v>0</v>
      </c>
      <c r="BY432" s="38">
        <f>IFERROR(INDEX(LMH_STEP,MATCH(AK432,LMH_KEY,0)),0)</f>
        <v>0</v>
      </c>
      <c r="BZ432" s="38">
        <f>IFERROR(INDEX(LMH_STEP,MATCH(AL432,LMH_KEY,0)),0)</f>
        <v>0</v>
      </c>
      <c r="CA432" s="38" t="inlineStr">
        <is>
          <t>Datatech|Technology|Senior Software Engineer|A3|A</t>
        </is>
      </c>
    </row>
    <row r="433" ht="110" customHeight="1">
      <c r="A433" s="28" t="inlineStr">
        <is>
          <t>Datatech</t>
        </is>
      </c>
      <c r="B433" s="29" t="inlineStr">
        <is>
          <t>Quality Assurance</t>
        </is>
      </c>
      <c r="C433" s="29" t="n">
        <v>2</v>
      </c>
      <c r="D433" s="29" t="inlineStr">
        <is>
          <t>IRISDTC005</t>
        </is>
      </c>
      <c r="E433" s="29" t="inlineStr">
        <is>
          <t>Smita Londhe</t>
        </is>
      </c>
      <c r="F433" s="29" t="inlineStr">
        <is>
          <t>QA Engineer</t>
        </is>
      </c>
      <c r="G433" s="29" t="inlineStr">
        <is>
          <t>Senior QA Automation Engineer</t>
        </is>
      </c>
      <c r="H433" s="29" t="inlineStr">
        <is>
          <t>Quality Assurance</t>
        </is>
      </c>
      <c r="I433" s="29" t="inlineStr">
        <is>
          <t>Test Automation</t>
        </is>
      </c>
      <c r="J433" s="29" t="inlineStr">
        <is>
          <t>IC</t>
        </is>
      </c>
      <c r="K433" s="29" t="inlineStr">
        <is>
          <t>RC-146</t>
        </is>
      </c>
      <c r="L433" s="29" t="inlineStr">
        <is>
          <t>Shilpa Dhobale</t>
        </is>
      </c>
      <c r="M433" s="29" t="inlineStr">
        <is>
          <t>IRISDT0001</t>
        </is>
      </c>
      <c r="N433" s="29" t="n">
        <v>3.7</v>
      </c>
      <c r="O433" s="29" t="n">
        <v>0.1</v>
      </c>
      <c r="P433" s="29" t="inlineStr">
        <is>
          <t>M.E</t>
        </is>
      </c>
      <c r="Q433" s="29" t="inlineStr">
        <is>
          <t>Not in current mapping files</t>
        </is>
      </c>
      <c r="R433" s="29" t="inlineStr">
        <is>
          <t>A3</t>
        </is>
      </c>
      <c r="S433" s="30" t="inlineStr">
        <is>
          <t>20 of 20</t>
        </is>
      </c>
      <c r="T433" s="31" t="inlineStr">
        <is>
          <t>Complexity: Evidence reads like A2: Manual, API, mobile, functional and regression testing with some automation; described generically → matches the start
Autonomy: Evidence reads like A2: States 'scope and defect decision' only; no detail → matches the start
Accountability: Evidence reads like A3: Accountable for release validation and QA sign-off before …</t>
        </is>
      </c>
      <c r="U433" s="32" t="inlineStr">
        <is>
          <t>KRAs not received · manager to supply</t>
        </is>
      </c>
      <c r="V433" s="31" t="inlineStr">
        <is>
          <t>Latest rating: Not rated · manager · 9-box: Not placed · manager · Readiness: No rating data</t>
        </is>
      </c>
      <c r="W433" s="31" t="inlineStr">
        <is>
          <t>C L · Au L · Ac M · L L · BI M · Exp M · 3.7 yrs vs 2–4 yrs · Edu H · M.E</t>
        </is>
      </c>
      <c r="X433" s="33" t="inlineStr">
        <is>
          <t>Open ▸</t>
        </is>
      </c>
      <c r="Y433" s="34" t="str">
        <f>IFERROR(INDEX(DL_C,MATCH($CA433,DL_KEY,0)),"M")</f>
        <v>H</v>
      </c>
      <c r="Z433" s="35" t="str">
        <f>IFERROR(INDEX(DL_Au,MATCH($CA433,DL_KEY,0)),"M")</f>
        <v>M</v>
      </c>
      <c r="AA433" s="35" t="str">
        <f>IFERROR(INDEX(DL_Ac,MATCH($CA433,DL_KEY,0)),"M")</f>
        <v>L</v>
      </c>
      <c r="AB433" s="35" t="str">
        <f>IFERROR(INDEX(DL_L,MATCH($CA433,DL_KEY,0)),"M")</f>
        <v>L</v>
      </c>
      <c r="AC433" s="35" t="str">
        <f>IFERROR(INDEX(DL_BI,MATCH($CA433,DL_KEY,0)),"M")</f>
        <v>L</v>
      </c>
      <c r="AD433" s="35" t="str">
        <f>IFERROR(INDEX(DL_Exp,MATCH($CA433,DL_KEY,0)),"M")</f>
        <v>L</v>
      </c>
      <c r="AE433" s="35" t="str">
        <f>IFERROR(INDEX(DL_Edu,MATCH($CA433,DL_KEY,0)),"M")</f>
        <v>L</v>
      </c>
      <c r="AF433" s="34" t="inlineStr">
        <is>
          <t>M</t>
        </is>
      </c>
      <c r="AG433" s="35" t="inlineStr">
        <is>
          <t>M</t>
        </is>
      </c>
      <c r="AH433" s="35" t="inlineStr">
        <is>
          <t>M</t>
        </is>
      </c>
      <c r="AI433" s="35" t="inlineStr">
        <is>
          <t>M</t>
        </is>
      </c>
      <c r="AJ433" s="35" t="inlineStr">
        <is>
          <t>M</t>
        </is>
      </c>
      <c r="AK433" s="35" t="inlineStr">
        <is>
          <t>M</t>
        </is>
      </c>
      <c r="AL433" s="35" t="inlineStr">
        <is>
          <t>M</t>
        </is>
      </c>
      <c r="AM433" s="36" t="n">
        <v>0.583</v>
      </c>
      <c r="AN433" s="37" t="n">
        <v>0.16</v>
      </c>
      <c r="AO433" s="37" t="n">
        <v>0.09</v>
      </c>
      <c r="AP433" s="37" t="n">
        <v>0</v>
      </c>
      <c r="AQ433" s="37" t="n">
        <v>0.063</v>
      </c>
      <c r="AR433" s="37" t="n">
        <v>0.06</v>
      </c>
      <c r="AS433" s="37" t="n">
        <v>0.04</v>
      </c>
      <c r="AT433" s="38" t="inlineStr">
        <is>
          <t>2–5</t>
        </is>
      </c>
      <c r="AU433" s="38" t="inlineStr">
        <is>
          <t>Graduate; relevant certification preferred</t>
        </is>
      </c>
      <c r="AV433" s="38" t="inlineStr">
        <is>
          <t>None · guides 1–3 juniors informally</t>
        </is>
      </c>
      <c r="AW433" s="38" t="inlineStr">
        <is>
          <t>P2 · SFIA 3 Apply</t>
        </is>
      </c>
      <c r="AX43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33" s="39" t="inlineStr">
        <is>
          <t>A3</t>
        </is>
      </c>
      <c r="AZ433" s="40" t="inlineStr">
        <is>
          <t>Band A · Practitioner · Senior Associate</t>
        </is>
      </c>
      <c r="BA433" s="40" t="inlineStr">
        <is>
          <t>Model A3 from the six ratings, the market-derived weights and rules R1–R13 · then No change · already below the manager</t>
        </is>
      </c>
      <c r="BB433" s="41" t="inlineStr">
        <is>
          <t>A2</t>
        </is>
      </c>
      <c r="BC433" s="40" t="inlineStr">
        <is>
          <t>The six ratings on the market-average weights of Band A · all tracks score 2.28 → A2 · Hay, Mercer IPE and public plans · experience 3.7 yrs vs the A2 market range 0–3</t>
        </is>
      </c>
      <c r="BD433" s="42">
        <f>IF(SUM(BM433,BN433,BO433,BP433,BQ433,BR433,BS433)=0,0,(BM433*BT433+BN433*BU433+BO433*BV433+BP433*BW433+BQ433*BX433+BR433*BY433+BS433*BZ433)/SUM(BM433,BN433,BO433,BP433,BQ433,BR433,BS433))</f>
        <v>0</v>
      </c>
      <c r="BE433" s="41" t="str">
        <f>IF(LEFT(AY433,1)="X",AY433,IF(OR(AY433="B+",AY433="C+"),INDEX(LAD_PC,MAX(1,MIN(14,MATCH(AY433,LAD_PC,0)+IF(BD433&gt;=0.5,1,IF(BD433&lt;=-0.5,-1,0))))),INDEX(LAD_STD,MAX(1,MIN(12,MATCH(AY433,LAD_STD,0)+IF(BD433&gt;=0.5,1,IF(BD433&lt;=-0.5,-1,0)))))))</f>
        <v>A3</v>
      </c>
      <c r="BF433" s="43" t="n"/>
      <c r="BG433" s="41" t="str">
        <f>IF(BF433&lt;&gt;"",BF433,BE433)</f>
        <v>A3</v>
      </c>
      <c r="BH433" s="40" t="str">
        <f>IFERROR(CHOOSE(INDEX(B_RANK,MATCH(BG433,B_LVL,0)),"Band A","Band B","B+ · Player-Coach","Band C","C+ · Player-Coach","Band D","Band E"),"Band X · Consultant")</f>
        <v>Band A</v>
      </c>
      <c r="BI433" s="40" t="str">
        <f>IF(BG433=AY433,"• Same",IF(INDEX(B_VAL,MATCH(BG433,B_LVL,0))&gt;INDEX(B_VAL,MATCH(AY433,B_LVL,0)),"▲ Up","▼ Down"))</f>
        <v>• Same</v>
      </c>
      <c r="BJ433" s="40" t="str">
        <f>IF(OR($M433="",$M433="—",$M433="Not in this file"),"",IFERROR(INDEX($BG$7:$BG$592,MATCH($M433,$D$7:$D$592,0)),""))</f>
        <v>D2</v>
      </c>
      <c r="BK433" s="40" t="str">
        <f>IFERROR(IF(BJ433="","—",IF(OR(LEFT(BG433,1)="X",LEFT(BJ433,1)="X"),"—",IF(AND(LEFT(BG433,1)="E",LEFT(BJ433,1)="E"),"Exception · Band E",IF(AND(INDEX(B_VAL,MATCH(BJ433,B_LVL,0))&gt;=7,INDEX(B_RANK,MATCH(BG433,B_LVL,0))&gt;=INDEX(B_RANK,MATCH(BJ433,B_LVL,0))),"⚠ Same band as a head manager",IF(INDEX(B_VAL,MATCH(BG433,B_LVL,0))&gt;=INDEX(B_VAL,MATCH(BJ433,B_LVL,0)),"⚠ At or above the manager's level","OK"))))),"—")</f>
        <v>OK</v>
      </c>
      <c r="BL433" s="43" t="n"/>
      <c r="BM433" s="44">
        <f>IFERROR(INDEX(LMH_PTS,MATCH(Y433,LMH_KEY,0)),0)</f>
        <v>9</v>
      </c>
      <c r="BN433" s="38">
        <f>IFERROR(INDEX(LMH_PTS,MATCH(Z433,LMH_KEY,0)),0)</f>
        <v>3</v>
      </c>
      <c r="BO433" s="38">
        <f>IFERROR(INDEX(LMH_PTS,MATCH(AA433,LMH_KEY,0)),0)</f>
        <v>1</v>
      </c>
      <c r="BP433" s="38">
        <f>IFERROR(INDEX(LMH_PTS,MATCH(AB433,LMH_KEY,0)),0)</f>
        <v>1</v>
      </c>
      <c r="BQ433" s="38">
        <f>IFERROR(INDEX(LMH_PTS,MATCH(AC433,LMH_KEY,0)),0)</f>
        <v>1</v>
      </c>
      <c r="BR433" s="38">
        <f>IFERROR(INDEX(LMH_PTS,MATCH(AD433,LMH_KEY,0)),0)</f>
        <v>1</v>
      </c>
      <c r="BS433" s="38">
        <f>IFERROR(INDEX(LMH_PTS,MATCH(AE433,LMH_KEY,0)),0)</f>
        <v>1</v>
      </c>
      <c r="BT433" s="38">
        <f>IFERROR(INDEX(LMH_STEP,MATCH(AF433,LMH_KEY,0)),0)</f>
        <v>0</v>
      </c>
      <c r="BU433" s="38">
        <f>IFERROR(INDEX(LMH_STEP,MATCH(AG433,LMH_KEY,0)),0)</f>
        <v>0</v>
      </c>
      <c r="BV433" s="38">
        <f>IFERROR(INDEX(LMH_STEP,MATCH(AH433,LMH_KEY,0)),0)</f>
        <v>0</v>
      </c>
      <c r="BW433" s="38">
        <f>IFERROR(INDEX(LMH_STEP,MATCH(AI433,LMH_KEY,0)),0)</f>
        <v>0</v>
      </c>
      <c r="BX433" s="38">
        <f>IFERROR(INDEX(LMH_STEP,MATCH(AJ433,LMH_KEY,0)),0)</f>
        <v>0</v>
      </c>
      <c r="BY433" s="38">
        <f>IFERROR(INDEX(LMH_STEP,MATCH(AK433,LMH_KEY,0)),0)</f>
        <v>0</v>
      </c>
      <c r="BZ433" s="38">
        <f>IFERROR(INDEX(LMH_STEP,MATCH(AL433,LMH_KEY,0)),0)</f>
        <v>0</v>
      </c>
      <c r="CA433" s="38" t="inlineStr">
        <is>
          <t>Datatech|Quality Assurance|Senior QA Automation Engineer|A3|A</t>
        </is>
      </c>
    </row>
    <row r="434" ht="110" customHeight="1">
      <c r="A434" s="28" t="inlineStr">
        <is>
          <t>iFile</t>
        </is>
      </c>
      <c r="B434" s="29" t="inlineStr">
        <is>
          <t>XBRL Consulting</t>
        </is>
      </c>
      <c r="C434" s="29" t="n">
        <v>1</v>
      </c>
      <c r="D434" s="29" t="inlineStr">
        <is>
          <t>IRIS0362</t>
        </is>
      </c>
      <c r="E434" s="29" t="inlineStr">
        <is>
          <t>Rahul Dhamne</t>
        </is>
      </c>
      <c r="F434" s="29" t="inlineStr">
        <is>
          <t>Head Consulting</t>
        </is>
      </c>
      <c r="G434" s="29" t="inlineStr">
        <is>
          <t>Head – Consulting</t>
        </is>
      </c>
      <c r="H434" s="29" t="inlineStr">
        <is>
          <t>Executive Leadership</t>
        </is>
      </c>
      <c r="I434" s="29" t="inlineStr">
        <is>
          <t>Business Head</t>
        </is>
      </c>
      <c r="J434" s="29" t="inlineStr">
        <is>
          <t>People Manager</t>
        </is>
      </c>
      <c r="K434" s="29" t="inlineStr">
        <is>
          <t>RC-EL-BH-C2</t>
        </is>
      </c>
      <c r="L434" s="29" t="inlineStr">
        <is>
          <t>Balachandran K</t>
        </is>
      </c>
      <c r="M434" s="29" t="inlineStr">
        <is>
          <t>IRIS0001</t>
        </is>
      </c>
      <c r="N434" s="29" t="n">
        <v>16.9</v>
      </c>
      <c r="O434" s="29" t="n">
        <v>16.5</v>
      </c>
      <c r="P434" s="29" t="inlineStr">
        <is>
          <t>CA</t>
        </is>
      </c>
      <c r="Q434" s="29" t="inlineStr">
        <is>
          <t>L7 – Head / Sr Director</t>
        </is>
      </c>
      <c r="R434" s="29" t="inlineStr">
        <is>
          <t>C2</t>
        </is>
      </c>
      <c r="S434" s="30" t="inlineStr">
        <is>
          <t>0 of 20</t>
        </is>
      </c>
      <c r="T434" s="31"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t>
        </is>
      </c>
      <c r="U434" s="31" t="inlineStr">
        <is>
          <t>Received · manager annual, quarterly · N/A – span owner · assessor</t>
        </is>
      </c>
      <c r="V434" s="31" t="inlineStr">
        <is>
          <t>Latest rating: Not rated · manager · 9-box: Not placed · manager · Readiness: No rating data</t>
        </is>
      </c>
      <c r="W434" s="31" t="inlineStr">
        <is>
          <t>C M · Au M · Ac M · L L · BI M · Exp M · 16.9 yrs vs 12–17 yrs · Edu H · CA</t>
        </is>
      </c>
      <c r="X434" s="33" t="inlineStr">
        <is>
          <t>Open ▸</t>
        </is>
      </c>
      <c r="Y434" s="34" t="str">
        <f>IFERROR(INDEX(DL_C,MATCH($CA434,DL_KEY,0)),"M")</f>
        <v>H</v>
      </c>
      <c r="Z434" s="35" t="str">
        <f>IFERROR(INDEX(DL_Au,MATCH($CA434,DL_KEY,0)),"M")</f>
        <v>M</v>
      </c>
      <c r="AA434" s="35" t="str">
        <f>IFERROR(INDEX(DL_Ac,MATCH($CA434,DL_KEY,0)),"M")</f>
        <v>M</v>
      </c>
      <c r="AB434" s="35" t="str">
        <f>IFERROR(INDEX(DL_L,MATCH($CA434,DL_KEY,0)),"M")</f>
        <v>M</v>
      </c>
      <c r="AC434" s="35" t="str">
        <f>IFERROR(INDEX(DL_BI,MATCH($CA434,DL_KEY,0)),"M")</f>
        <v>L</v>
      </c>
      <c r="AD434" s="35" t="str">
        <f>IFERROR(INDEX(DL_Exp,MATCH($CA434,DL_KEY,0)),"M")</f>
        <v>L</v>
      </c>
      <c r="AE434" s="35" t="str">
        <f>IFERROR(INDEX(DL_Edu,MATCH($CA434,DL_KEY,0)),"M")</f>
        <v>L</v>
      </c>
      <c r="AF434" s="34" t="inlineStr">
        <is>
          <t>M</t>
        </is>
      </c>
      <c r="AG434" s="35" t="inlineStr">
        <is>
          <t>M</t>
        </is>
      </c>
      <c r="AH434" s="35" t="inlineStr">
        <is>
          <t>M</t>
        </is>
      </c>
      <c r="AI434" s="35" t="inlineStr">
        <is>
          <t>M</t>
        </is>
      </c>
      <c r="AJ434" s="35" t="inlineStr">
        <is>
          <t>M</t>
        </is>
      </c>
      <c r="AK434" s="35" t="inlineStr">
        <is>
          <t>M</t>
        </is>
      </c>
      <c r="AL434" s="35" t="inlineStr">
        <is>
          <t>M</t>
        </is>
      </c>
      <c r="AM434" s="36" t="n">
        <v>0.433</v>
      </c>
      <c r="AN434" s="37" t="n">
        <v>0.18</v>
      </c>
      <c r="AO434" s="37" t="n">
        <v>0.107</v>
      </c>
      <c r="AP434" s="37" t="n">
        <v>0.15</v>
      </c>
      <c r="AQ434" s="37" t="n">
        <v>0.08</v>
      </c>
      <c r="AR434" s="37" t="n">
        <v>0.04</v>
      </c>
      <c r="AS434" s="37" t="n">
        <v>0.01</v>
      </c>
      <c r="AT434" s="38" t="inlineStr">
        <is>
          <t>12–17 yrs</t>
        </is>
      </c>
      <c r="AU434" s="38" t="inlineStr">
        <is>
          <t>Postgraduate / professional qualification preferred</t>
        </is>
      </c>
      <c r="AV434" s="38" t="inlineStr">
        <is>
          <t>5–8 managers / associate heads</t>
        </is>
      </c>
      <c r="AW434" s="38" t="inlineStr">
        <is>
          <t>P7 / M6 · SFIA 6 Initiate, influence</t>
        </is>
      </c>
      <c r="AX43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34" s="39" t="inlineStr">
        <is>
          <t>C2</t>
        </is>
      </c>
      <c r="AZ434" s="40" t="inlineStr">
        <is>
          <t>Band C · Principal / Head · Head of Function</t>
        </is>
      </c>
      <c r="BA434" s="40" t="inlineStr">
        <is>
          <t>Model C2 from the six ratings, the market-derived weights and rules R1–R13 · then No change · already below the manager</t>
        </is>
      </c>
      <c r="BB434" s="41" t="inlineStr">
        <is>
          <t>C2</t>
        </is>
      </c>
      <c r="BC434" s="40" t="inlineStr">
        <is>
          <t>The six ratings on the market-average weights of Band C · Head / manager score 7.86 → C2 · Hay, Mercer IPE and public plans · experience 16.9 yrs vs the C2 market range 12–17 yrs</t>
        </is>
      </c>
      <c r="BD434" s="42">
        <f>IF(SUM(BM434,BN434,BO434,BP434,BQ434,BR434,BS434)=0,0,(BM434*BT434+BN434*BU434+BO434*BV434+BP434*BW434+BQ434*BX434+BR434*BY434+BS434*BZ434)/SUM(BM434,BN434,BO434,BP434,BQ434,BR434,BS434))</f>
        <v>0</v>
      </c>
      <c r="BE434" s="41" t="str">
        <f>IF(LEFT(AY434,1)="X",AY434,IF(OR(AY434="B+",AY434="C+"),INDEX(LAD_PC,MAX(1,MIN(14,MATCH(AY434,LAD_PC,0)+IF(BD434&gt;=0.5,1,IF(BD434&lt;=-0.5,-1,0))))),INDEX(LAD_STD,MAX(1,MIN(12,MATCH(AY434,LAD_STD,0)+IF(BD434&gt;=0.5,1,IF(BD434&lt;=-0.5,-1,0)))))))</f>
        <v>C2</v>
      </c>
      <c r="BF434" s="43" t="n"/>
      <c r="BG434" s="41" t="str">
        <f>IF(BF434&lt;&gt;"",BF434,BE434)</f>
        <v>C2</v>
      </c>
      <c r="BH434" s="40" t="str">
        <f>IFERROR(CHOOSE(INDEX(B_RANK,MATCH(BG434,B_LVL,0)),"Band A","Band B","B+ · Player-Coach","Band C","C+ · Player-Coach","Band D","Band E"),"Band X · Consultant")</f>
        <v>Band C</v>
      </c>
      <c r="BI434" s="40" t="str">
        <f>IF(BG434=AY434,"• Same",IF(INDEX(B_VAL,MATCH(BG434,B_LVL,0))&gt;INDEX(B_VAL,MATCH(AY434,B_LVL,0)),"▲ Up","▼ Down"))</f>
        <v>• Same</v>
      </c>
      <c r="BJ434" s="40" t="str">
        <f>IF(OR($M434="",$M434="—",$M434="Not in this file"),"",IFERROR(INDEX($BG$7:$BG$592,MATCH($M434,$D$7:$D$592,0)),""))</f>
        <v>E2</v>
      </c>
      <c r="BK434" s="40" t="str">
        <f>IFERROR(IF(BJ434="","—",IF(OR(LEFT(BG434,1)="X",LEFT(BJ434,1)="X"),"—",IF(AND(LEFT(BG434,1)="E",LEFT(BJ434,1)="E"),"Exception · Band E",IF(AND(INDEX(B_VAL,MATCH(BJ434,B_LVL,0))&gt;=7,INDEX(B_RANK,MATCH(BG434,B_LVL,0))&gt;=INDEX(B_RANK,MATCH(BJ434,B_LVL,0))),"⚠ Same band as a head manager",IF(INDEX(B_VAL,MATCH(BG434,B_LVL,0))&gt;=INDEX(B_VAL,MATCH(BJ434,B_LVL,0)),"⚠ At or above the manager's level","OK"))))),"—")</f>
        <v>OK</v>
      </c>
      <c r="BL434" s="43" t="n"/>
      <c r="BM434" s="44">
        <f>IFERROR(INDEX(LMH_PTS,MATCH(Y434,LMH_KEY,0)),0)</f>
        <v>9</v>
      </c>
      <c r="BN434" s="38">
        <f>IFERROR(INDEX(LMH_PTS,MATCH(Z434,LMH_KEY,0)),0)</f>
        <v>3</v>
      </c>
      <c r="BO434" s="38">
        <f>IFERROR(INDEX(LMH_PTS,MATCH(AA434,LMH_KEY,0)),0)</f>
        <v>3</v>
      </c>
      <c r="BP434" s="38">
        <f>IFERROR(INDEX(LMH_PTS,MATCH(AB434,LMH_KEY,0)),0)</f>
        <v>3</v>
      </c>
      <c r="BQ434" s="38">
        <f>IFERROR(INDEX(LMH_PTS,MATCH(AC434,LMH_KEY,0)),0)</f>
        <v>1</v>
      </c>
      <c r="BR434" s="38">
        <f>IFERROR(INDEX(LMH_PTS,MATCH(AD434,LMH_KEY,0)),0)</f>
        <v>1</v>
      </c>
      <c r="BS434" s="38">
        <f>IFERROR(INDEX(LMH_PTS,MATCH(AE434,LMH_KEY,0)),0)</f>
        <v>1</v>
      </c>
      <c r="BT434" s="38">
        <f>IFERROR(INDEX(LMH_STEP,MATCH(AF434,LMH_KEY,0)),0)</f>
        <v>0</v>
      </c>
      <c r="BU434" s="38">
        <f>IFERROR(INDEX(LMH_STEP,MATCH(AG434,LMH_KEY,0)),0)</f>
        <v>0</v>
      </c>
      <c r="BV434" s="38">
        <f>IFERROR(INDEX(LMH_STEP,MATCH(AH434,LMH_KEY,0)),0)</f>
        <v>0</v>
      </c>
      <c r="BW434" s="38">
        <f>IFERROR(INDEX(LMH_STEP,MATCH(AI434,LMH_KEY,0)),0)</f>
        <v>0</v>
      </c>
      <c r="BX434" s="38">
        <f>IFERROR(INDEX(LMH_STEP,MATCH(AJ434,LMH_KEY,0)),0)</f>
        <v>0</v>
      </c>
      <c r="BY434" s="38">
        <f>IFERROR(INDEX(LMH_STEP,MATCH(AK434,LMH_KEY,0)),0)</f>
        <v>0</v>
      </c>
      <c r="BZ434" s="38">
        <f>IFERROR(INDEX(LMH_STEP,MATCH(AL434,LMH_KEY,0)),0)</f>
        <v>0</v>
      </c>
      <c r="CA434" s="38" t="inlineStr">
        <is>
          <t>iFile|XBRL Consulting|Head – Consulting|C2|C-M</t>
        </is>
      </c>
    </row>
    <row r="435" ht="110" customHeight="1">
      <c r="A435" s="28" t="inlineStr">
        <is>
          <t>iFile</t>
        </is>
      </c>
      <c r="B435" s="29" t="inlineStr">
        <is>
          <t>XBRL Consulting</t>
        </is>
      </c>
      <c r="C435" s="29" t="n">
        <v>2</v>
      </c>
      <c r="D435" s="29" t="inlineStr">
        <is>
          <t>IRIS2306</t>
        </is>
      </c>
      <c r="E435" s="29" t="inlineStr">
        <is>
          <t>Akshay Jain</t>
        </is>
      </c>
      <c r="F435" s="29" t="inlineStr">
        <is>
          <t>Lead Consultant</t>
        </is>
      </c>
      <c r="G435" s="29" t="inlineStr">
        <is>
          <t>Senior Taxonomy Specialist</t>
        </is>
      </c>
      <c r="H435" s="29" t="inlineStr">
        <is>
          <t>Consulting &amp; Professional Services</t>
        </is>
      </c>
      <c r="I435" s="29" t="inlineStr">
        <is>
          <t>Taxonomy Design &amp; Regulatory Consulting</t>
        </is>
      </c>
      <c r="J435" s="29" t="inlineStr">
        <is>
          <t>IC</t>
        </is>
      </c>
      <c r="K435" s="29" t="inlineStr">
        <is>
          <t>RC-021</t>
        </is>
      </c>
      <c r="L435" s="29" t="inlineStr">
        <is>
          <t>Rahul Dhamne</t>
        </is>
      </c>
      <c r="M435" s="29" t="inlineStr">
        <is>
          <t>IRIS0362</t>
        </is>
      </c>
      <c r="N435" s="29" t="n">
        <v>13.8</v>
      </c>
      <c r="O435" s="29" t="n">
        <v>2</v>
      </c>
      <c r="P435" s="29" t="inlineStr">
        <is>
          <t>CWA</t>
        </is>
      </c>
      <c r="Q435" s="29" t="inlineStr">
        <is>
          <t>L5 – Lead · IC</t>
        </is>
      </c>
      <c r="R435" s="29" t="inlineStr">
        <is>
          <t>B2</t>
        </is>
      </c>
      <c r="S435" s="30" t="inlineStr">
        <is>
          <t>14 of 20</t>
        </is>
      </c>
      <c r="T435" s="31" t="inlineStr">
        <is>
          <t>Complexity: Evidence reads like A3: Requirement gathering, data dictionary development, testing and R&amp;D; one-line answers → moved down 0.5
Autonomy: Evidence reads like A2: Decides the data dictionary; nothing wider described → moved down 0.5
Accountability: Evidence reads like A2: Accountable for the data dictionary; errors mean rework and escalation → …</t>
        </is>
      </c>
      <c r="U435" s="31" t="inlineStr">
        <is>
          <t>Received · manager annual, quarterly · 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t>
        </is>
      </c>
      <c r="V435" s="31" t="inlineStr">
        <is>
          <t>Latest rating: 4 · Potential: High · 9-box: Future Leader · Readiness: Ready now</t>
        </is>
      </c>
      <c r="W435" s="31" t="inlineStr">
        <is>
          <t>C M · Au M · Ac M · L L · BI M · Exp H · 13.8 yrs vs 6–9 yrs · Edu H · CWA</t>
        </is>
      </c>
      <c r="X435" s="33" t="inlineStr">
        <is>
          <t>Open ▸</t>
        </is>
      </c>
      <c r="Y435" s="34" t="str">
        <f>IFERROR(INDEX(DL_C,MATCH($CA435,DL_KEY,0)),"M")</f>
        <v>H</v>
      </c>
      <c r="Z435" s="35" t="str">
        <f>IFERROR(INDEX(DL_Au,MATCH($CA435,DL_KEY,0)),"M")</f>
        <v>M</v>
      </c>
      <c r="AA435" s="35" t="str">
        <f>IFERROR(INDEX(DL_Ac,MATCH($CA435,DL_KEY,0)),"M")</f>
        <v>M</v>
      </c>
      <c r="AB435" s="35" t="str">
        <f>IFERROR(INDEX(DL_L,MATCH($CA435,DL_KEY,0)),"M")</f>
        <v>L</v>
      </c>
      <c r="AC435" s="35" t="str">
        <f>IFERROR(INDEX(DL_BI,MATCH($CA435,DL_KEY,0)),"M")</f>
        <v>L</v>
      </c>
      <c r="AD435" s="35" t="str">
        <f>IFERROR(INDEX(DL_Exp,MATCH($CA435,DL_KEY,0)),"M")</f>
        <v>L</v>
      </c>
      <c r="AE435" s="35" t="str">
        <f>IFERROR(INDEX(DL_Edu,MATCH($CA435,DL_KEY,0)),"M")</f>
        <v>L</v>
      </c>
      <c r="AF435" s="34" t="inlineStr">
        <is>
          <t>M</t>
        </is>
      </c>
      <c r="AG435" s="35" t="inlineStr">
        <is>
          <t>M</t>
        </is>
      </c>
      <c r="AH435" s="35" t="inlineStr">
        <is>
          <t>M</t>
        </is>
      </c>
      <c r="AI435" s="35" t="inlineStr">
        <is>
          <t>M</t>
        </is>
      </c>
      <c r="AJ435" s="35" t="inlineStr">
        <is>
          <t>M</t>
        </is>
      </c>
      <c r="AK435" s="35" t="inlineStr">
        <is>
          <t>M</t>
        </is>
      </c>
      <c r="AL435" s="35" t="inlineStr">
        <is>
          <t>M</t>
        </is>
      </c>
      <c r="AM435" s="36" t="n">
        <v>0.513</v>
      </c>
      <c r="AN435" s="37" t="n">
        <v>0.173</v>
      </c>
      <c r="AO435" s="37" t="n">
        <v>0.09699999999999999</v>
      </c>
      <c r="AP435" s="37" t="n">
        <v>0.05</v>
      </c>
      <c r="AQ435" s="37" t="n">
        <v>0.07000000000000001</v>
      </c>
      <c r="AR435" s="37" t="n">
        <v>0.06</v>
      </c>
      <c r="AS435" s="37" t="n">
        <v>0.04</v>
      </c>
      <c r="AT435" s="38" t="inlineStr">
        <is>
          <t>6–10</t>
        </is>
      </c>
      <c r="AU435" s="38" t="inlineStr">
        <is>
          <t>Graduate or postgraduate; professional qualification preferred</t>
        </is>
      </c>
      <c r="AV435" s="38" t="inlineStr">
        <is>
          <t>IC: none · People: 6–8 knowledge work, 8–12 standardised delivery</t>
        </is>
      </c>
      <c r="AW435" s="38" t="inlineStr">
        <is>
          <t>P4 / M3 · SFIA 4–5</t>
        </is>
      </c>
      <c r="AX43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35" s="39" t="inlineStr">
        <is>
          <t>B2</t>
        </is>
      </c>
      <c r="AZ435" s="40" t="inlineStr">
        <is>
          <t>Band B · Specialist / Manager · Senior Specialist</t>
        </is>
      </c>
      <c r="BA435" s="40" t="inlineStr">
        <is>
          <t>Model B2 from the six ratings, the market-derived weights and rules R1–R13 · then No change · already below the manager</t>
        </is>
      </c>
      <c r="BB435" s="41" t="inlineStr">
        <is>
          <t>B2</t>
        </is>
      </c>
      <c r="BC435" s="40" t="inlineStr">
        <is>
          <t>The six ratings on the market-average weights of Band B · Specialist / POD Lead score 4.85 → B2 · Hay, Mercer IPE and public plans · experience 13.8 yrs vs the B2 market range 6–10</t>
        </is>
      </c>
      <c r="BD435" s="42">
        <f>IF(SUM(BM435,BN435,BO435,BP435,BQ435,BR435,BS435)=0,0,(BM435*BT435+BN435*BU435+BO435*BV435+BP435*BW435+BQ435*BX435+BR435*BY435+BS435*BZ435)/SUM(BM435,BN435,BO435,BP435,BQ435,BR435,BS435))</f>
        <v>0</v>
      </c>
      <c r="BE435" s="41" t="str">
        <f>IF(LEFT(AY435,1)="X",AY435,IF(OR(AY435="B+",AY435="C+"),INDEX(LAD_PC,MAX(1,MIN(14,MATCH(AY435,LAD_PC,0)+IF(BD435&gt;=0.5,1,IF(BD435&lt;=-0.5,-1,0))))),INDEX(LAD_STD,MAX(1,MIN(12,MATCH(AY435,LAD_STD,0)+IF(BD435&gt;=0.5,1,IF(BD435&lt;=-0.5,-1,0)))))))</f>
        <v>B2</v>
      </c>
      <c r="BF435" s="43" t="n"/>
      <c r="BG435" s="41" t="str">
        <f>IF(BF435&lt;&gt;"",BF435,BE435)</f>
        <v>B2</v>
      </c>
      <c r="BH435" s="40" t="str">
        <f>IFERROR(CHOOSE(INDEX(B_RANK,MATCH(BG435,B_LVL,0)),"Band A","Band B","B+ · Player-Coach","Band C","C+ · Player-Coach","Band D","Band E"),"Band X · Consultant")</f>
        <v>Band B</v>
      </c>
      <c r="BI435" s="40" t="str">
        <f>IF(BG435=AY435,"• Same",IF(INDEX(B_VAL,MATCH(BG435,B_LVL,0))&gt;INDEX(B_VAL,MATCH(AY435,B_LVL,0)),"▲ Up","▼ Down"))</f>
        <v>• Same</v>
      </c>
      <c r="BJ435" s="40" t="str">
        <f>IF(OR($M435="",$M435="—",$M435="Not in this file"),"",IFERROR(INDEX($BG$7:$BG$592,MATCH($M435,$D$7:$D$592,0)),""))</f>
        <v>C2</v>
      </c>
      <c r="BK435" s="40" t="str">
        <f>IFERROR(IF(BJ435="","—",IF(OR(LEFT(BG435,1)="X",LEFT(BJ435,1)="X"),"—",IF(AND(LEFT(BG435,1)="E",LEFT(BJ435,1)="E"),"Exception · Band E",IF(AND(INDEX(B_VAL,MATCH(BJ435,B_LVL,0))&gt;=7,INDEX(B_RANK,MATCH(BG435,B_LVL,0))&gt;=INDEX(B_RANK,MATCH(BJ435,B_LVL,0))),"⚠ Same band as a head manager",IF(INDEX(B_VAL,MATCH(BG435,B_LVL,0))&gt;=INDEX(B_VAL,MATCH(BJ435,B_LVL,0)),"⚠ At or above the manager's level","OK"))))),"—")</f>
        <v>OK</v>
      </c>
      <c r="BL435" s="43" t="n"/>
      <c r="BM435" s="44">
        <f>IFERROR(INDEX(LMH_PTS,MATCH(Y435,LMH_KEY,0)),0)</f>
        <v>9</v>
      </c>
      <c r="BN435" s="38">
        <f>IFERROR(INDEX(LMH_PTS,MATCH(Z435,LMH_KEY,0)),0)</f>
        <v>3</v>
      </c>
      <c r="BO435" s="38">
        <f>IFERROR(INDEX(LMH_PTS,MATCH(AA435,LMH_KEY,0)),0)</f>
        <v>3</v>
      </c>
      <c r="BP435" s="38">
        <f>IFERROR(INDEX(LMH_PTS,MATCH(AB435,LMH_KEY,0)),0)</f>
        <v>1</v>
      </c>
      <c r="BQ435" s="38">
        <f>IFERROR(INDEX(LMH_PTS,MATCH(AC435,LMH_KEY,0)),0)</f>
        <v>1</v>
      </c>
      <c r="BR435" s="38">
        <f>IFERROR(INDEX(LMH_PTS,MATCH(AD435,LMH_KEY,0)),0)</f>
        <v>1</v>
      </c>
      <c r="BS435" s="38">
        <f>IFERROR(INDEX(LMH_PTS,MATCH(AE435,LMH_KEY,0)),0)</f>
        <v>1</v>
      </c>
      <c r="BT435" s="38">
        <f>IFERROR(INDEX(LMH_STEP,MATCH(AF435,LMH_KEY,0)),0)</f>
        <v>0</v>
      </c>
      <c r="BU435" s="38">
        <f>IFERROR(INDEX(LMH_STEP,MATCH(AG435,LMH_KEY,0)),0)</f>
        <v>0</v>
      </c>
      <c r="BV435" s="38">
        <f>IFERROR(INDEX(LMH_STEP,MATCH(AH435,LMH_KEY,0)),0)</f>
        <v>0</v>
      </c>
      <c r="BW435" s="38">
        <f>IFERROR(INDEX(LMH_STEP,MATCH(AI435,LMH_KEY,0)),0)</f>
        <v>0</v>
      </c>
      <c r="BX435" s="38">
        <f>IFERROR(INDEX(LMH_STEP,MATCH(AJ435,LMH_KEY,0)),0)</f>
        <v>0</v>
      </c>
      <c r="BY435" s="38">
        <f>IFERROR(INDEX(LMH_STEP,MATCH(AK435,LMH_KEY,0)),0)</f>
        <v>0</v>
      </c>
      <c r="BZ435" s="38">
        <f>IFERROR(INDEX(LMH_STEP,MATCH(AL435,LMH_KEY,0)),0)</f>
        <v>0</v>
      </c>
      <c r="CA435" s="38" t="inlineStr">
        <is>
          <t>iFile|XBRL Consulting|Senior Taxonomy Specialist|B2|B-IC</t>
        </is>
      </c>
    </row>
    <row r="436" ht="110" customHeight="1">
      <c r="A436" s="28" t="inlineStr">
        <is>
          <t>iFile</t>
        </is>
      </c>
      <c r="B436" s="29" t="inlineStr">
        <is>
          <t>XBRL Consulting</t>
        </is>
      </c>
      <c r="C436" s="29" t="n">
        <v>2</v>
      </c>
      <c r="D436" s="29" t="inlineStr">
        <is>
          <t>IRIS0448</t>
        </is>
      </c>
      <c r="E436" s="29" t="inlineStr">
        <is>
          <t>Kulanand Rupani</t>
        </is>
      </c>
      <c r="F436" s="29" t="inlineStr">
        <is>
          <t>Consultant</t>
        </is>
      </c>
      <c r="G436" s="29" t="inlineStr">
        <is>
          <t>Senior Taxonomy Specialist</t>
        </is>
      </c>
      <c r="H436" s="29" t="inlineStr">
        <is>
          <t>Consulting &amp; Professional Services</t>
        </is>
      </c>
      <c r="I436" s="29" t="inlineStr">
        <is>
          <t>Taxonomy Design &amp; Regulatory Consulting</t>
        </is>
      </c>
      <c r="J436" s="29" t="inlineStr">
        <is>
          <t>IC</t>
        </is>
      </c>
      <c r="K436" s="29" t="inlineStr">
        <is>
          <t>RC-021</t>
        </is>
      </c>
      <c r="L436" s="29" t="inlineStr">
        <is>
          <t>Rahul Dhamne</t>
        </is>
      </c>
      <c r="M436" s="29" t="inlineStr">
        <is>
          <t>IRIS0362</t>
        </is>
      </c>
      <c r="N436" s="29" t="n">
        <v>16.2</v>
      </c>
      <c r="O436" s="29" t="n">
        <v>16.2</v>
      </c>
      <c r="P436" s="29" t="inlineStr">
        <is>
          <t>ICWA</t>
        </is>
      </c>
      <c r="Q436" s="29" t="inlineStr">
        <is>
          <t>L3 – Professional / Associate</t>
        </is>
      </c>
      <c r="R436" s="29" t="inlineStr">
        <is>
          <t>B2</t>
        </is>
      </c>
      <c r="S436" s="30" t="inlineStr">
        <is>
          <t>20 of 20</t>
        </is>
      </c>
      <c r="T436" s="31" t="inlineStr">
        <is>
          <t>Complexity: Evidence reads like B2: Leads RBI CIMS taxonomy: new returns, change requests, modelling, validation, technical problem-solving → moved up 1
Autonomy: Evidence reads like B2: Plans and prioritises taxonomy work, assigns work within team, makes technical and implementation decisions → moved up 1
Accountability: Evidence reads like B2: Personally …</t>
        </is>
      </c>
      <c r="U436" s="31" t="inlineStr">
        <is>
          <t>Received · manager annual, quarterly · 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t>
        </is>
      </c>
      <c r="V436" s="31" t="inlineStr">
        <is>
          <t>Latest rating: 3 · Potential: Medium · 9-box: Trusted Professional · Readiness: Develop in role</t>
        </is>
      </c>
      <c r="W436" s="31" t="inlineStr">
        <is>
          <t>C L · Au L · Ac L · L L · BI L · Exp H · 16.2 yrs vs 6–9 yrs · Edu H · ICWA</t>
        </is>
      </c>
      <c r="X436" s="33" t="inlineStr">
        <is>
          <t>Open ▸</t>
        </is>
      </c>
      <c r="Y436" s="34" t="str">
        <f>IFERROR(INDEX(DL_C,MATCH($CA436,DL_KEY,0)),"M")</f>
        <v>H</v>
      </c>
      <c r="Z436" s="35" t="str">
        <f>IFERROR(INDEX(DL_Au,MATCH($CA436,DL_KEY,0)),"M")</f>
        <v>M</v>
      </c>
      <c r="AA436" s="35" t="str">
        <f>IFERROR(INDEX(DL_Ac,MATCH($CA436,DL_KEY,0)),"M")</f>
        <v>M</v>
      </c>
      <c r="AB436" s="35" t="str">
        <f>IFERROR(INDEX(DL_L,MATCH($CA436,DL_KEY,0)),"M")</f>
        <v>L</v>
      </c>
      <c r="AC436" s="35" t="str">
        <f>IFERROR(INDEX(DL_BI,MATCH($CA436,DL_KEY,0)),"M")</f>
        <v>L</v>
      </c>
      <c r="AD436" s="35" t="str">
        <f>IFERROR(INDEX(DL_Exp,MATCH($CA436,DL_KEY,0)),"M")</f>
        <v>L</v>
      </c>
      <c r="AE436" s="35" t="str">
        <f>IFERROR(INDEX(DL_Edu,MATCH($CA436,DL_KEY,0)),"M")</f>
        <v>L</v>
      </c>
      <c r="AF436" s="34" t="inlineStr">
        <is>
          <t>M</t>
        </is>
      </c>
      <c r="AG436" s="35" t="inlineStr">
        <is>
          <t>M</t>
        </is>
      </c>
      <c r="AH436" s="35" t="inlineStr">
        <is>
          <t>M</t>
        </is>
      </c>
      <c r="AI436" s="35" t="inlineStr">
        <is>
          <t>M</t>
        </is>
      </c>
      <c r="AJ436" s="35" t="inlineStr">
        <is>
          <t>M</t>
        </is>
      </c>
      <c r="AK436" s="35" t="inlineStr">
        <is>
          <t>M</t>
        </is>
      </c>
      <c r="AL436" s="35" t="inlineStr">
        <is>
          <t>M</t>
        </is>
      </c>
      <c r="AM436" s="36" t="n">
        <v>0.513</v>
      </c>
      <c r="AN436" s="37" t="n">
        <v>0.173</v>
      </c>
      <c r="AO436" s="37" t="n">
        <v>0.09699999999999999</v>
      </c>
      <c r="AP436" s="37" t="n">
        <v>0.05</v>
      </c>
      <c r="AQ436" s="37" t="n">
        <v>0.07000000000000001</v>
      </c>
      <c r="AR436" s="37" t="n">
        <v>0.06</v>
      </c>
      <c r="AS436" s="37" t="n">
        <v>0.04</v>
      </c>
      <c r="AT436" s="38" t="inlineStr">
        <is>
          <t>6–10</t>
        </is>
      </c>
      <c r="AU436" s="38" t="inlineStr">
        <is>
          <t>Graduate or postgraduate; professional qualification preferred</t>
        </is>
      </c>
      <c r="AV436" s="38" t="inlineStr">
        <is>
          <t>IC: none · People: 6–8 knowledge work, 8–12 standardised delivery</t>
        </is>
      </c>
      <c r="AW436" s="38" t="inlineStr">
        <is>
          <t>P4 / M3 · SFIA 4–5</t>
        </is>
      </c>
      <c r="AX43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36" s="39" t="inlineStr">
        <is>
          <t>B2</t>
        </is>
      </c>
      <c r="AZ436" s="40" t="inlineStr">
        <is>
          <t>Band B · Specialist / Manager · Senior Specialist</t>
        </is>
      </c>
      <c r="BA436" s="40" t="inlineStr">
        <is>
          <t>Model B2 from the six ratings, the market-derived weights and rules R1–R13 · then No change · already below the manager</t>
        </is>
      </c>
      <c r="BB436" s="41" t="inlineStr">
        <is>
          <t>B1</t>
        </is>
      </c>
      <c r="BC436" s="40" t="inlineStr">
        <is>
          <t>The six ratings on the market-average weights of Band B · Specialist / POD Lead score 4.50 → B1 · Hay, Mercer IPE and public plans · experience 16.2 yrs vs the B1 market range 4–8</t>
        </is>
      </c>
      <c r="BD436" s="42">
        <f>IF(SUM(BM436,BN436,BO436,BP436,BQ436,BR436,BS436)=0,0,(BM436*BT436+BN436*BU436+BO436*BV436+BP436*BW436+BQ436*BX436+BR436*BY436+BS436*BZ436)/SUM(BM436,BN436,BO436,BP436,BQ436,BR436,BS436))</f>
        <v>0</v>
      </c>
      <c r="BE436" s="41" t="str">
        <f>IF(LEFT(AY436,1)="X",AY436,IF(OR(AY436="B+",AY436="C+"),INDEX(LAD_PC,MAX(1,MIN(14,MATCH(AY436,LAD_PC,0)+IF(BD436&gt;=0.5,1,IF(BD436&lt;=-0.5,-1,0))))),INDEX(LAD_STD,MAX(1,MIN(12,MATCH(AY436,LAD_STD,0)+IF(BD436&gt;=0.5,1,IF(BD436&lt;=-0.5,-1,0)))))))</f>
        <v>B2</v>
      </c>
      <c r="BF436" s="43" t="n"/>
      <c r="BG436" s="41" t="str">
        <f>IF(BF436&lt;&gt;"",BF436,BE436)</f>
        <v>B2</v>
      </c>
      <c r="BH436" s="40" t="str">
        <f>IFERROR(CHOOSE(INDEX(B_RANK,MATCH(BG436,B_LVL,0)),"Band A","Band B","B+ · Player-Coach","Band C","C+ · Player-Coach","Band D","Band E"),"Band X · Consultant")</f>
        <v>Band B</v>
      </c>
      <c r="BI436" s="40" t="str">
        <f>IF(BG436=AY436,"• Same",IF(INDEX(B_VAL,MATCH(BG436,B_LVL,0))&gt;INDEX(B_VAL,MATCH(AY436,B_LVL,0)),"▲ Up","▼ Down"))</f>
        <v>• Same</v>
      </c>
      <c r="BJ436" s="40" t="str">
        <f>IF(OR($M436="",$M436="—",$M436="Not in this file"),"",IFERROR(INDEX($BG$7:$BG$592,MATCH($M436,$D$7:$D$592,0)),""))</f>
        <v>C2</v>
      </c>
      <c r="BK436" s="40" t="str">
        <f>IFERROR(IF(BJ436="","—",IF(OR(LEFT(BG436,1)="X",LEFT(BJ436,1)="X"),"—",IF(AND(LEFT(BG436,1)="E",LEFT(BJ436,1)="E"),"Exception · Band E",IF(AND(INDEX(B_VAL,MATCH(BJ436,B_LVL,0))&gt;=7,INDEX(B_RANK,MATCH(BG436,B_LVL,0))&gt;=INDEX(B_RANK,MATCH(BJ436,B_LVL,0))),"⚠ Same band as a head manager",IF(INDEX(B_VAL,MATCH(BG436,B_LVL,0))&gt;=INDEX(B_VAL,MATCH(BJ436,B_LVL,0)),"⚠ At or above the manager's level","OK"))))),"—")</f>
        <v>OK</v>
      </c>
      <c r="BL436" s="43" t="n"/>
      <c r="BM436" s="44">
        <f>IFERROR(INDEX(LMH_PTS,MATCH(Y436,LMH_KEY,0)),0)</f>
        <v>9</v>
      </c>
      <c r="BN436" s="38">
        <f>IFERROR(INDEX(LMH_PTS,MATCH(Z436,LMH_KEY,0)),0)</f>
        <v>3</v>
      </c>
      <c r="BO436" s="38">
        <f>IFERROR(INDEX(LMH_PTS,MATCH(AA436,LMH_KEY,0)),0)</f>
        <v>3</v>
      </c>
      <c r="BP436" s="38">
        <f>IFERROR(INDEX(LMH_PTS,MATCH(AB436,LMH_KEY,0)),0)</f>
        <v>1</v>
      </c>
      <c r="BQ436" s="38">
        <f>IFERROR(INDEX(LMH_PTS,MATCH(AC436,LMH_KEY,0)),0)</f>
        <v>1</v>
      </c>
      <c r="BR436" s="38">
        <f>IFERROR(INDEX(LMH_PTS,MATCH(AD436,LMH_KEY,0)),0)</f>
        <v>1</v>
      </c>
      <c r="BS436" s="38">
        <f>IFERROR(INDEX(LMH_PTS,MATCH(AE436,LMH_KEY,0)),0)</f>
        <v>1</v>
      </c>
      <c r="BT436" s="38">
        <f>IFERROR(INDEX(LMH_STEP,MATCH(AF436,LMH_KEY,0)),0)</f>
        <v>0</v>
      </c>
      <c r="BU436" s="38">
        <f>IFERROR(INDEX(LMH_STEP,MATCH(AG436,LMH_KEY,0)),0)</f>
        <v>0</v>
      </c>
      <c r="BV436" s="38">
        <f>IFERROR(INDEX(LMH_STEP,MATCH(AH436,LMH_KEY,0)),0)</f>
        <v>0</v>
      </c>
      <c r="BW436" s="38">
        <f>IFERROR(INDEX(LMH_STEP,MATCH(AI436,LMH_KEY,0)),0)</f>
        <v>0</v>
      </c>
      <c r="BX436" s="38">
        <f>IFERROR(INDEX(LMH_STEP,MATCH(AJ436,LMH_KEY,0)),0)</f>
        <v>0</v>
      </c>
      <c r="BY436" s="38">
        <f>IFERROR(INDEX(LMH_STEP,MATCH(AK436,LMH_KEY,0)),0)</f>
        <v>0</v>
      </c>
      <c r="BZ436" s="38">
        <f>IFERROR(INDEX(LMH_STEP,MATCH(AL436,LMH_KEY,0)),0)</f>
        <v>0</v>
      </c>
      <c r="CA436" s="38" t="inlineStr">
        <is>
          <t>iFile|XBRL Consulting|Senior Taxonomy Specialist|B2|B-IC</t>
        </is>
      </c>
    </row>
    <row r="437" ht="110" customHeight="1">
      <c r="A437" s="28" t="inlineStr">
        <is>
          <t>iFile</t>
        </is>
      </c>
      <c r="B437" s="29" t="inlineStr">
        <is>
          <t>XBRL Consulting</t>
        </is>
      </c>
      <c r="C437" s="29" t="n">
        <v>2</v>
      </c>
      <c r="D437" s="29" t="inlineStr">
        <is>
          <t>IRIS1035</t>
        </is>
      </c>
      <c r="E437" s="29" t="inlineStr">
        <is>
          <t>Shraddha Bagul</t>
        </is>
      </c>
      <c r="F437" s="29" t="inlineStr">
        <is>
          <t>Lead Consultant</t>
        </is>
      </c>
      <c r="G437" s="29" t="inlineStr">
        <is>
          <t>Senior Manager – Taxonomy Consulting</t>
        </is>
      </c>
      <c r="H437" s="29" t="inlineStr">
        <is>
          <t>Consulting &amp; Professional Services</t>
        </is>
      </c>
      <c r="I437" s="29" t="inlineStr">
        <is>
          <t>Taxonomy Design &amp; Regulatory Consulting</t>
        </is>
      </c>
      <c r="J437" s="29" t="inlineStr">
        <is>
          <t>People Manager</t>
        </is>
      </c>
      <c r="K437" s="29" t="inlineStr">
        <is>
          <t>RC-022</t>
        </is>
      </c>
      <c r="L437" s="29" t="inlineStr">
        <is>
          <t>Rahul Dhamne</t>
        </is>
      </c>
      <c r="M437" s="29" t="inlineStr">
        <is>
          <t>IRIS0362</t>
        </is>
      </c>
      <c r="N437" s="29" t="n">
        <v>14.8</v>
      </c>
      <c r="O437" s="29" t="n">
        <v>14.8</v>
      </c>
      <c r="P437" s="29" t="inlineStr">
        <is>
          <t>CA</t>
        </is>
      </c>
      <c r="Q437" s="29" t="inlineStr">
        <is>
          <t>L5 – Lead · IC</t>
        </is>
      </c>
      <c r="R437" s="29" t="inlineStr">
        <is>
          <t>B2</t>
        </is>
      </c>
      <c r="S437" s="30" t="inlineStr">
        <is>
          <t>20 of 20</t>
        </is>
      </c>
      <c r="T437" s="31" t="inlineStr">
        <is>
          <t>Complexity: Evidence reads like B2: own survey / KRA answers · summarised by the rater; not quoted → matches the start
Autonomy: Evidence reads like B2: Decides project and resource plans and taxonomy modelling → matches the start
Accountability: Evidence reads like B2: Taxonomy packages, RFP responses and on-time project delivery through a 13-person team → …</t>
        </is>
      </c>
      <c r="U437" s="31" t="inlineStr">
        <is>
          <t>Received · manager annual, quarterly · 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t>
        </is>
      </c>
      <c r="V437" s="31" t="inlineStr">
        <is>
          <t>Latest rating: 5 · Potential: High · 9-box: Future Leader · Readiness: Ready now</t>
        </is>
      </c>
      <c r="W437" s="31" t="inlineStr">
        <is>
          <t>C M · Au M · Ac M · L M · BI M · Exp H · 14.8 yrs vs 6–9 yrs · Edu H · CA</t>
        </is>
      </c>
      <c r="X437" s="33" t="inlineStr">
        <is>
          <t>Open ▸</t>
        </is>
      </c>
      <c r="Y437" s="34" t="str">
        <f>IFERROR(INDEX(DL_C,MATCH($CA437,DL_KEY,0)),"M")</f>
        <v>H</v>
      </c>
      <c r="Z437" s="35" t="str">
        <f>IFERROR(INDEX(DL_Au,MATCH($CA437,DL_KEY,0)),"M")</f>
        <v>M</v>
      </c>
      <c r="AA437" s="35" t="str">
        <f>IFERROR(INDEX(DL_Ac,MATCH($CA437,DL_KEY,0)),"M")</f>
        <v>M</v>
      </c>
      <c r="AB437" s="35" t="str">
        <f>IFERROR(INDEX(DL_L,MATCH($CA437,DL_KEY,0)),"M")</f>
        <v>M</v>
      </c>
      <c r="AC437" s="35" t="str">
        <f>IFERROR(INDEX(DL_BI,MATCH($CA437,DL_KEY,0)),"M")</f>
        <v>L</v>
      </c>
      <c r="AD437" s="35" t="str">
        <f>IFERROR(INDEX(DL_Exp,MATCH($CA437,DL_KEY,0)),"M")</f>
        <v>L</v>
      </c>
      <c r="AE437" s="35" t="str">
        <f>IFERROR(INDEX(DL_Edu,MATCH($CA437,DL_KEY,0)),"M")</f>
        <v>L</v>
      </c>
      <c r="AF437" s="34" t="inlineStr">
        <is>
          <t>M</t>
        </is>
      </c>
      <c r="AG437" s="35" t="inlineStr">
        <is>
          <t>M</t>
        </is>
      </c>
      <c r="AH437" s="35" t="inlineStr">
        <is>
          <t>M</t>
        </is>
      </c>
      <c r="AI437" s="35" t="inlineStr">
        <is>
          <t>M</t>
        </is>
      </c>
      <c r="AJ437" s="35" t="inlineStr">
        <is>
          <t>M</t>
        </is>
      </c>
      <c r="AK437" s="35" t="inlineStr">
        <is>
          <t>M</t>
        </is>
      </c>
      <c r="AL437" s="35" t="inlineStr">
        <is>
          <t>M</t>
        </is>
      </c>
      <c r="AM437" s="36" t="n">
        <v>0.37</v>
      </c>
      <c r="AN437" s="37" t="n">
        <v>0.183</v>
      </c>
      <c r="AO437" s="37" t="n">
        <v>0.113</v>
      </c>
      <c r="AP437" s="37" t="n">
        <v>0.15</v>
      </c>
      <c r="AQ437" s="37" t="n">
        <v>0.08699999999999999</v>
      </c>
      <c r="AR437" s="37" t="n">
        <v>0.06</v>
      </c>
      <c r="AS437" s="37" t="n">
        <v>0.04</v>
      </c>
      <c r="AT437" s="38" t="inlineStr">
        <is>
          <t>6–10</t>
        </is>
      </c>
      <c r="AU437" s="38" t="inlineStr">
        <is>
          <t>Graduate or postgraduate; professional qualification preferred</t>
        </is>
      </c>
      <c r="AV437" s="38" t="inlineStr">
        <is>
          <t>IC: none · People: 6–8 knowledge work, 8–12 standardised delivery</t>
        </is>
      </c>
      <c r="AW437" s="38" t="inlineStr">
        <is>
          <t>P4 / M3 · SFIA 4–5</t>
        </is>
      </c>
      <c r="AX43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37" s="39" t="inlineStr">
        <is>
          <t>B2</t>
        </is>
      </c>
      <c r="AZ437" s="40" t="inlineStr">
        <is>
          <t>Band B · Specialist / Manager · Manager</t>
        </is>
      </c>
      <c r="BA437" s="40" t="inlineStr">
        <is>
          <t>Model B2 from the six ratings, the market-derived weights and rules R1–R13 · then No change · already below the manager</t>
        </is>
      </c>
      <c r="BB437" s="41" t="inlineStr">
        <is>
          <t>B2</t>
        </is>
      </c>
      <c r="BC437" s="40" t="inlineStr">
        <is>
          <t>The six ratings on the market-average weights of Band B · People Manager score 5.40 → B2 · Hay, Mercer IPE and public plans · experience 14.8 yrs vs the B2 market range 6–10</t>
        </is>
      </c>
      <c r="BD437" s="42">
        <f>IF(SUM(BM437,BN437,BO437,BP437,BQ437,BR437,BS437)=0,0,(BM437*BT437+BN437*BU437+BO437*BV437+BP437*BW437+BQ437*BX437+BR437*BY437+BS437*BZ437)/SUM(BM437,BN437,BO437,BP437,BQ437,BR437,BS437))</f>
        <v>0</v>
      </c>
      <c r="BE437" s="41" t="str">
        <f>IF(LEFT(AY437,1)="X",AY437,IF(OR(AY437="B+",AY437="C+"),INDEX(LAD_PC,MAX(1,MIN(14,MATCH(AY437,LAD_PC,0)+IF(BD437&gt;=0.5,1,IF(BD437&lt;=-0.5,-1,0))))),INDEX(LAD_STD,MAX(1,MIN(12,MATCH(AY437,LAD_STD,0)+IF(BD437&gt;=0.5,1,IF(BD437&lt;=-0.5,-1,0)))))))</f>
        <v>B2</v>
      </c>
      <c r="BF437" s="43" t="n"/>
      <c r="BG437" s="41" t="str">
        <f>IF(BF437&lt;&gt;"",BF437,BE437)</f>
        <v>B2</v>
      </c>
      <c r="BH437" s="40" t="str">
        <f>IFERROR(CHOOSE(INDEX(B_RANK,MATCH(BG437,B_LVL,0)),"Band A","Band B","B+ · Player-Coach","Band C","C+ · Player-Coach","Band D","Band E"),"Band X · Consultant")</f>
        <v>Band B</v>
      </c>
      <c r="BI437" s="40" t="str">
        <f>IF(BG437=AY437,"• Same",IF(INDEX(B_VAL,MATCH(BG437,B_LVL,0))&gt;INDEX(B_VAL,MATCH(AY437,B_LVL,0)),"▲ Up","▼ Down"))</f>
        <v>• Same</v>
      </c>
      <c r="BJ437" s="40" t="str">
        <f>IF(OR($M437="",$M437="—",$M437="Not in this file"),"",IFERROR(INDEX($BG$7:$BG$592,MATCH($M437,$D$7:$D$592,0)),""))</f>
        <v>C2</v>
      </c>
      <c r="BK437" s="40" t="str">
        <f>IFERROR(IF(BJ437="","—",IF(OR(LEFT(BG437,1)="X",LEFT(BJ437,1)="X"),"—",IF(AND(LEFT(BG437,1)="E",LEFT(BJ437,1)="E"),"Exception · Band E",IF(AND(INDEX(B_VAL,MATCH(BJ437,B_LVL,0))&gt;=7,INDEX(B_RANK,MATCH(BG437,B_LVL,0))&gt;=INDEX(B_RANK,MATCH(BJ437,B_LVL,0))),"⚠ Same band as a head manager",IF(INDEX(B_VAL,MATCH(BG437,B_LVL,0))&gt;=INDEX(B_VAL,MATCH(BJ437,B_LVL,0)),"⚠ At or above the manager's level","OK"))))),"—")</f>
        <v>OK</v>
      </c>
      <c r="BL437" s="43" t="n"/>
      <c r="BM437" s="44">
        <f>IFERROR(INDEX(LMH_PTS,MATCH(Y437,LMH_KEY,0)),0)</f>
        <v>9</v>
      </c>
      <c r="BN437" s="38">
        <f>IFERROR(INDEX(LMH_PTS,MATCH(Z437,LMH_KEY,0)),0)</f>
        <v>3</v>
      </c>
      <c r="BO437" s="38">
        <f>IFERROR(INDEX(LMH_PTS,MATCH(AA437,LMH_KEY,0)),0)</f>
        <v>3</v>
      </c>
      <c r="BP437" s="38">
        <f>IFERROR(INDEX(LMH_PTS,MATCH(AB437,LMH_KEY,0)),0)</f>
        <v>3</v>
      </c>
      <c r="BQ437" s="38">
        <f>IFERROR(INDEX(LMH_PTS,MATCH(AC437,LMH_KEY,0)),0)</f>
        <v>1</v>
      </c>
      <c r="BR437" s="38">
        <f>IFERROR(INDEX(LMH_PTS,MATCH(AD437,LMH_KEY,0)),0)</f>
        <v>1</v>
      </c>
      <c r="BS437" s="38">
        <f>IFERROR(INDEX(LMH_PTS,MATCH(AE437,LMH_KEY,0)),0)</f>
        <v>1</v>
      </c>
      <c r="BT437" s="38">
        <f>IFERROR(INDEX(LMH_STEP,MATCH(AF437,LMH_KEY,0)),0)</f>
        <v>0</v>
      </c>
      <c r="BU437" s="38">
        <f>IFERROR(INDEX(LMH_STEP,MATCH(AG437,LMH_KEY,0)),0)</f>
        <v>0</v>
      </c>
      <c r="BV437" s="38">
        <f>IFERROR(INDEX(LMH_STEP,MATCH(AH437,LMH_KEY,0)),0)</f>
        <v>0</v>
      </c>
      <c r="BW437" s="38">
        <f>IFERROR(INDEX(LMH_STEP,MATCH(AI437,LMH_KEY,0)),0)</f>
        <v>0</v>
      </c>
      <c r="BX437" s="38">
        <f>IFERROR(INDEX(LMH_STEP,MATCH(AJ437,LMH_KEY,0)),0)</f>
        <v>0</v>
      </c>
      <c r="BY437" s="38">
        <f>IFERROR(INDEX(LMH_STEP,MATCH(AK437,LMH_KEY,0)),0)</f>
        <v>0</v>
      </c>
      <c r="BZ437" s="38">
        <f>IFERROR(INDEX(LMH_STEP,MATCH(AL437,LMH_KEY,0)),0)</f>
        <v>0</v>
      </c>
      <c r="CA437" s="38" t="inlineStr">
        <is>
          <t>iFile|XBRL Consulting|Senior Manager – Taxonomy Consulting|B2|B-M</t>
        </is>
      </c>
    </row>
    <row r="438" ht="110" customHeight="1">
      <c r="A438" s="28" t="inlineStr">
        <is>
          <t>iFile</t>
        </is>
      </c>
      <c r="B438" s="29" t="inlineStr">
        <is>
          <t>XBRL Consulting</t>
        </is>
      </c>
      <c r="C438" s="29" t="n">
        <v>3</v>
      </c>
      <c r="D438" s="29" t="inlineStr">
        <is>
          <t>IRIS0828</t>
        </is>
      </c>
      <c r="E438" s="29" t="inlineStr">
        <is>
          <t>Anirudh Singh Bartwal</t>
        </is>
      </c>
      <c r="F438" s="29" t="inlineStr">
        <is>
          <t>Senior consultant</t>
        </is>
      </c>
      <c r="G438" s="29" t="inlineStr">
        <is>
          <t>Senior Taxonomy Specialist</t>
        </is>
      </c>
      <c r="H438" s="29" t="inlineStr">
        <is>
          <t>Consulting &amp; Professional Services</t>
        </is>
      </c>
      <c r="I438" s="29" t="inlineStr">
        <is>
          <t>Taxonomy Design &amp; Regulatory Consulting</t>
        </is>
      </c>
      <c r="J438" s="29" t="inlineStr">
        <is>
          <t>IC</t>
        </is>
      </c>
      <c r="K438" s="29" t="inlineStr">
        <is>
          <t>RC-020</t>
        </is>
      </c>
      <c r="L438" s="29" t="inlineStr">
        <is>
          <t>Shraddha Bagul</t>
        </is>
      </c>
      <c r="M438" s="29" t="inlineStr">
        <is>
          <t>IRIS1035</t>
        </is>
      </c>
      <c r="N438" s="29" t="n">
        <v>16.8</v>
      </c>
      <c r="O438" s="29" t="n">
        <v>15.1</v>
      </c>
      <c r="P438" s="29" t="inlineStr">
        <is>
          <t>B.Com</t>
        </is>
      </c>
      <c r="Q438" s="29" t="inlineStr">
        <is>
          <t>L4 – Senior</t>
        </is>
      </c>
      <c r="R438" s="29" t="inlineStr">
        <is>
          <t>B1</t>
        </is>
      </c>
      <c r="S438" s="30" t="inlineStr">
        <is>
          <t>20 of 20</t>
        </is>
      </c>
      <c r="T438" s="31" t="inlineStr">
        <is>
          <t>Complexity: Evidence reads like A3: Taxonomy modelling with business rules, table linkbase issues, software testing and test data → moved down 1
Autonomy: Evidence reads like A3: Decides taxonomy modelling and business rule development → moved down 1
Accountability: Evidence reads like A2: Business rule taxonomy of own development; errors mean rework and …</t>
        </is>
      </c>
      <c r="U438" s="31" t="inlineStr">
        <is>
          <t>Received · manager annual, quarterly · 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t>
        </is>
      </c>
      <c r="V438" s="31" t="inlineStr">
        <is>
          <t>Latest rating: 3 · Potential: Medium · 9-box: Trusted Professional · Readiness: Develop in role</t>
        </is>
      </c>
      <c r="W438" s="31" t="inlineStr">
        <is>
          <t>C M · Au M · Ac M · L M · BI M · Exp H · 16.8 yrs vs 4–7 yrs · Edu M · B.Com</t>
        </is>
      </c>
      <c r="X438" s="33" t="inlineStr">
        <is>
          <t>Open ▸</t>
        </is>
      </c>
      <c r="Y438" s="34" t="str">
        <f>IFERROR(INDEX(DL_C,MATCH($CA438,DL_KEY,0)),"M")</f>
        <v>H</v>
      </c>
      <c r="Z438" s="35" t="str">
        <f>IFERROR(INDEX(DL_Au,MATCH($CA438,DL_KEY,0)),"M")</f>
        <v>M</v>
      </c>
      <c r="AA438" s="35" t="str">
        <f>IFERROR(INDEX(DL_Ac,MATCH($CA438,DL_KEY,0)),"M")</f>
        <v>M</v>
      </c>
      <c r="AB438" s="35" t="str">
        <f>IFERROR(INDEX(DL_L,MATCH($CA438,DL_KEY,0)),"M")</f>
        <v>L</v>
      </c>
      <c r="AC438" s="35" t="str">
        <f>IFERROR(INDEX(DL_BI,MATCH($CA438,DL_KEY,0)),"M")</f>
        <v>L</v>
      </c>
      <c r="AD438" s="35" t="str">
        <f>IFERROR(INDEX(DL_Exp,MATCH($CA438,DL_KEY,0)),"M")</f>
        <v>L</v>
      </c>
      <c r="AE438" s="35" t="str">
        <f>IFERROR(INDEX(DL_Edu,MATCH($CA438,DL_KEY,0)),"M")</f>
        <v>L</v>
      </c>
      <c r="AF438" s="34" t="inlineStr">
        <is>
          <t>M</t>
        </is>
      </c>
      <c r="AG438" s="35" t="inlineStr">
        <is>
          <t>M</t>
        </is>
      </c>
      <c r="AH438" s="35" t="inlineStr">
        <is>
          <t>M</t>
        </is>
      </c>
      <c r="AI438" s="35" t="inlineStr">
        <is>
          <t>M</t>
        </is>
      </c>
      <c r="AJ438" s="35" t="inlineStr">
        <is>
          <t>M</t>
        </is>
      </c>
      <c r="AK438" s="35" t="inlineStr">
        <is>
          <t>M</t>
        </is>
      </c>
      <c r="AL438" s="35" t="inlineStr">
        <is>
          <t>M</t>
        </is>
      </c>
      <c r="AM438" s="36" t="n">
        <v>0.513</v>
      </c>
      <c r="AN438" s="37" t="n">
        <v>0.173</v>
      </c>
      <c r="AO438" s="37" t="n">
        <v>0.09699999999999999</v>
      </c>
      <c r="AP438" s="37" t="n">
        <v>0.05</v>
      </c>
      <c r="AQ438" s="37" t="n">
        <v>0.07000000000000001</v>
      </c>
      <c r="AR438" s="37" t="n">
        <v>0.06</v>
      </c>
      <c r="AS438" s="37" t="n">
        <v>0.04</v>
      </c>
      <c r="AT438" s="38" t="inlineStr">
        <is>
          <t>4–8</t>
        </is>
      </c>
      <c r="AU438" s="38" t="inlineStr">
        <is>
          <t>Graduate + relevant qualification or certification preferred</t>
        </is>
      </c>
      <c r="AV438" s="38" t="inlineStr">
        <is>
          <t>IC: none · Team Lead: 3–5</t>
        </is>
      </c>
      <c r="AW438" s="38" t="inlineStr">
        <is>
          <t>P3 / M2 · SFIA 4 Enable</t>
        </is>
      </c>
      <c r="AX43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38" s="39" t="inlineStr">
        <is>
          <t>B1</t>
        </is>
      </c>
      <c r="AZ438" s="40" t="inlineStr">
        <is>
          <t>Band B · Specialist / Manager · Specialist</t>
        </is>
      </c>
      <c r="BA438" s="40" t="inlineStr">
        <is>
          <t>Model B1 from the six ratings, the market-derived weights and rules R1–R13 · then No change · already below the manager</t>
        </is>
      </c>
      <c r="BB438" s="41" t="inlineStr">
        <is>
          <t>B1</t>
        </is>
      </c>
      <c r="BC438" s="40" t="inlineStr">
        <is>
          <t>The six ratings on the market-average weights of Band B · Specialist / POD Lead score 4.47 → B1 · Hay, Mercer IPE and public plans · experience 16.8 yrs vs the B1 market range 4–8</t>
        </is>
      </c>
      <c r="BD438" s="42">
        <f>IF(SUM(BM438,BN438,BO438,BP438,BQ438,BR438,BS438)=0,0,(BM438*BT438+BN438*BU438+BO438*BV438+BP438*BW438+BQ438*BX438+BR438*BY438+BS438*BZ438)/SUM(BM438,BN438,BO438,BP438,BQ438,BR438,BS438))</f>
        <v>0</v>
      </c>
      <c r="BE438" s="41" t="str">
        <f>IF(LEFT(AY438,1)="X",AY438,IF(OR(AY438="B+",AY438="C+"),INDEX(LAD_PC,MAX(1,MIN(14,MATCH(AY438,LAD_PC,0)+IF(BD438&gt;=0.5,1,IF(BD438&lt;=-0.5,-1,0))))),INDEX(LAD_STD,MAX(1,MIN(12,MATCH(AY438,LAD_STD,0)+IF(BD438&gt;=0.5,1,IF(BD438&lt;=-0.5,-1,0)))))))</f>
        <v>B1</v>
      </c>
      <c r="BF438" s="43" t="n"/>
      <c r="BG438" s="41" t="str">
        <f>IF(BF438&lt;&gt;"",BF438,BE438)</f>
        <v>B1</v>
      </c>
      <c r="BH438" s="40" t="str">
        <f>IFERROR(CHOOSE(INDEX(B_RANK,MATCH(BG438,B_LVL,0)),"Band A","Band B","B+ · Player-Coach","Band C","C+ · Player-Coach","Band D","Band E"),"Band X · Consultant")</f>
        <v>Band B</v>
      </c>
      <c r="BI438" s="40" t="str">
        <f>IF(BG438=AY438,"• Same",IF(INDEX(B_VAL,MATCH(BG438,B_LVL,0))&gt;INDEX(B_VAL,MATCH(AY438,B_LVL,0)),"▲ Up","▼ Down"))</f>
        <v>• Same</v>
      </c>
      <c r="BJ438" s="40" t="str">
        <f>IF(OR($M438="",$M438="—",$M438="Not in this file"),"",IFERROR(INDEX($BG$7:$BG$592,MATCH($M438,$D$7:$D$592,0)),""))</f>
        <v>B2</v>
      </c>
      <c r="BK438" s="40" t="str">
        <f>IFERROR(IF(BJ438="","—",IF(OR(LEFT(BG438,1)="X",LEFT(BJ438,1)="X"),"—",IF(AND(LEFT(BG438,1)="E",LEFT(BJ438,1)="E"),"Exception · Band E",IF(AND(INDEX(B_VAL,MATCH(BJ438,B_LVL,0))&gt;=7,INDEX(B_RANK,MATCH(BG438,B_LVL,0))&gt;=INDEX(B_RANK,MATCH(BJ438,B_LVL,0))),"⚠ Same band as a head manager",IF(INDEX(B_VAL,MATCH(BG438,B_LVL,0))&gt;=INDEX(B_VAL,MATCH(BJ438,B_LVL,0)),"⚠ At or above the manager's level","OK"))))),"—")</f>
        <v>OK</v>
      </c>
      <c r="BL438" s="43" t="n"/>
      <c r="BM438" s="44">
        <f>IFERROR(INDEX(LMH_PTS,MATCH(Y438,LMH_KEY,0)),0)</f>
        <v>9</v>
      </c>
      <c r="BN438" s="38">
        <f>IFERROR(INDEX(LMH_PTS,MATCH(Z438,LMH_KEY,0)),0)</f>
        <v>3</v>
      </c>
      <c r="BO438" s="38">
        <f>IFERROR(INDEX(LMH_PTS,MATCH(AA438,LMH_KEY,0)),0)</f>
        <v>3</v>
      </c>
      <c r="BP438" s="38">
        <f>IFERROR(INDEX(LMH_PTS,MATCH(AB438,LMH_KEY,0)),0)</f>
        <v>1</v>
      </c>
      <c r="BQ438" s="38">
        <f>IFERROR(INDEX(LMH_PTS,MATCH(AC438,LMH_KEY,0)),0)</f>
        <v>1</v>
      </c>
      <c r="BR438" s="38">
        <f>IFERROR(INDEX(LMH_PTS,MATCH(AD438,LMH_KEY,0)),0)</f>
        <v>1</v>
      </c>
      <c r="BS438" s="38">
        <f>IFERROR(INDEX(LMH_PTS,MATCH(AE438,LMH_KEY,0)),0)</f>
        <v>1</v>
      </c>
      <c r="BT438" s="38">
        <f>IFERROR(INDEX(LMH_STEP,MATCH(AF438,LMH_KEY,0)),0)</f>
        <v>0</v>
      </c>
      <c r="BU438" s="38">
        <f>IFERROR(INDEX(LMH_STEP,MATCH(AG438,LMH_KEY,0)),0)</f>
        <v>0</v>
      </c>
      <c r="BV438" s="38">
        <f>IFERROR(INDEX(LMH_STEP,MATCH(AH438,LMH_KEY,0)),0)</f>
        <v>0</v>
      </c>
      <c r="BW438" s="38">
        <f>IFERROR(INDEX(LMH_STEP,MATCH(AI438,LMH_KEY,0)),0)</f>
        <v>0</v>
      </c>
      <c r="BX438" s="38">
        <f>IFERROR(INDEX(LMH_STEP,MATCH(AJ438,LMH_KEY,0)),0)</f>
        <v>0</v>
      </c>
      <c r="BY438" s="38">
        <f>IFERROR(INDEX(LMH_STEP,MATCH(AK438,LMH_KEY,0)),0)</f>
        <v>0</v>
      </c>
      <c r="BZ438" s="38">
        <f>IFERROR(INDEX(LMH_STEP,MATCH(AL438,LMH_KEY,0)),0)</f>
        <v>0</v>
      </c>
      <c r="CA438" s="38" t="inlineStr">
        <is>
          <t>iFile|XBRL Consulting|Senior Taxonomy Specialist|B1|B-IC</t>
        </is>
      </c>
    </row>
    <row r="439" ht="110" customHeight="1">
      <c r="A439" s="28" t="inlineStr">
        <is>
          <t>iFile</t>
        </is>
      </c>
      <c r="B439" s="29" t="inlineStr">
        <is>
          <t>XBRL Consulting</t>
        </is>
      </c>
      <c r="C439" s="29" t="n">
        <v>3</v>
      </c>
      <c r="D439" s="29" t="inlineStr">
        <is>
          <t>IRIS2457</t>
        </is>
      </c>
      <c r="E439" s="29" t="inlineStr">
        <is>
          <t>Mayuri Ashok Mhetar</t>
        </is>
      </c>
      <c r="F439" s="29" t="inlineStr">
        <is>
          <t>XBRL Conversion Specialist</t>
        </is>
      </c>
      <c r="G439" s="29" t="inlineStr">
        <is>
          <t>Senior Financial Analyst</t>
        </is>
      </c>
      <c r="H439" s="29" t="inlineStr">
        <is>
          <t>Consulting &amp; Professional Services</t>
        </is>
      </c>
      <c r="I439" s="29" t="inlineStr">
        <is>
          <t>XBRL Tagging, Conversion &amp; Filing</t>
        </is>
      </c>
      <c r="J439" s="29" t="inlineStr">
        <is>
          <t>IC</t>
        </is>
      </c>
      <c r="K439" s="29" t="inlineStr">
        <is>
          <t>RC-025</t>
        </is>
      </c>
      <c r="L439" s="29" t="inlineStr">
        <is>
          <t>Shraddha Bagul</t>
        </is>
      </c>
      <c r="M439" s="29" t="inlineStr">
        <is>
          <t>IRIS1035</t>
        </is>
      </c>
      <c r="N439" s="29" t="n">
        <v>3.2</v>
      </c>
      <c r="O439" s="29" t="n">
        <v>0.7</v>
      </c>
      <c r="P439" s="29" t="inlineStr">
        <is>
          <t>B.Com</t>
        </is>
      </c>
      <c r="Q439" s="29" t="inlineStr">
        <is>
          <t>L3 – Professional / Associate</t>
        </is>
      </c>
      <c r="R439" s="29" t="inlineStr">
        <is>
          <t>A3</t>
        </is>
      </c>
      <c r="S439" s="30" t="inlineStr">
        <is>
          <t>20 of 20</t>
        </is>
      </c>
      <c r="T439" s="31" t="inlineStr">
        <is>
          <t>Complexity: Evidence reads like A2: iFile webform and formula testing, test scenarios and scenario-specific test data creation → matches the start
Autonomy: Evidence reads like A2: Decides test data scenarios and how to validate formula calculations → matches the start
Accountability: Evidence reads like A2: Own testing of iFile and formula functionality; …</t>
        </is>
      </c>
      <c r="U439" s="31" t="inlineStr">
        <is>
          <t>Received · manager annual, quarterly · 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t>
        </is>
      </c>
      <c r="V439" s="31" t="inlineStr">
        <is>
          <t>Latest rating: 3 · Potential: Medium · 9-box: Core Contributor · Readiness: Develop in role</t>
        </is>
      </c>
      <c r="W439" s="31" t="inlineStr">
        <is>
          <t>C L · Au L · Ac L · L L · BI L · Exp M · 3.2 yrs vs 2–4 yrs · Edu M · B.Com</t>
        </is>
      </c>
      <c r="X439" s="33" t="inlineStr">
        <is>
          <t>Open ▸</t>
        </is>
      </c>
      <c r="Y439" s="34" t="str">
        <f>IFERROR(INDEX(DL_C,MATCH($CA439,DL_KEY,0)),"M")</f>
        <v>H</v>
      </c>
      <c r="Z439" s="35" t="str">
        <f>IFERROR(INDEX(DL_Au,MATCH($CA439,DL_KEY,0)),"M")</f>
        <v>M</v>
      </c>
      <c r="AA439" s="35" t="str">
        <f>IFERROR(INDEX(DL_Ac,MATCH($CA439,DL_KEY,0)),"M")</f>
        <v>M</v>
      </c>
      <c r="AB439" s="35" t="str">
        <f>IFERROR(INDEX(DL_L,MATCH($CA439,DL_KEY,0)),"M")</f>
        <v>L</v>
      </c>
      <c r="AC439" s="35" t="str">
        <f>IFERROR(INDEX(DL_BI,MATCH($CA439,DL_KEY,0)),"M")</f>
        <v>L</v>
      </c>
      <c r="AD439" s="35" t="str">
        <f>IFERROR(INDEX(DL_Exp,MATCH($CA439,DL_KEY,0)),"M")</f>
        <v>L</v>
      </c>
      <c r="AE439" s="35" t="str">
        <f>IFERROR(INDEX(DL_Edu,MATCH($CA439,DL_KEY,0)),"M")</f>
        <v>L</v>
      </c>
      <c r="AF439" s="34" t="inlineStr">
        <is>
          <t>M</t>
        </is>
      </c>
      <c r="AG439" s="35" t="inlineStr">
        <is>
          <t>M</t>
        </is>
      </c>
      <c r="AH439" s="35" t="inlineStr">
        <is>
          <t>M</t>
        </is>
      </c>
      <c r="AI439" s="35" t="inlineStr">
        <is>
          <t>M</t>
        </is>
      </c>
      <c r="AJ439" s="35" t="inlineStr">
        <is>
          <t>M</t>
        </is>
      </c>
      <c r="AK439" s="35" t="inlineStr">
        <is>
          <t>M</t>
        </is>
      </c>
      <c r="AL439" s="35" t="inlineStr">
        <is>
          <t>M</t>
        </is>
      </c>
      <c r="AM439" s="36" t="n">
        <v>0.583</v>
      </c>
      <c r="AN439" s="37" t="n">
        <v>0.16</v>
      </c>
      <c r="AO439" s="37" t="n">
        <v>0.09</v>
      </c>
      <c r="AP439" s="37" t="n">
        <v>0</v>
      </c>
      <c r="AQ439" s="37" t="n">
        <v>0.063</v>
      </c>
      <c r="AR439" s="37" t="n">
        <v>0.06</v>
      </c>
      <c r="AS439" s="37" t="n">
        <v>0.04</v>
      </c>
      <c r="AT439" s="38" t="inlineStr">
        <is>
          <t>2–5</t>
        </is>
      </c>
      <c r="AU439" s="38" t="inlineStr">
        <is>
          <t>Graduate; relevant certification preferred</t>
        </is>
      </c>
      <c r="AV439" s="38" t="inlineStr">
        <is>
          <t>None · guides 1–3 juniors informally</t>
        </is>
      </c>
      <c r="AW439" s="38" t="inlineStr">
        <is>
          <t>P2 · SFIA 3 Apply</t>
        </is>
      </c>
      <c r="AX43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39" s="39" t="inlineStr">
        <is>
          <t>A3</t>
        </is>
      </c>
      <c r="AZ439" s="40" t="inlineStr">
        <is>
          <t>Band A · Practitioner · Senior Associate</t>
        </is>
      </c>
      <c r="BA439" s="40" t="inlineStr">
        <is>
          <t>Model A3 from the six ratings, the market-derived weights and rules R1–R13 · then No change · already below the manager</t>
        </is>
      </c>
      <c r="BB439" s="41" t="inlineStr">
        <is>
          <t>A2</t>
        </is>
      </c>
      <c r="BC439" s="40" t="inlineStr">
        <is>
          <t>The six ratings on the market-average weights of Band A · all tracks score 2.10 → A2 · Hay, Mercer IPE and public plans · experience 3.2 yrs vs the A2 market range 0–3</t>
        </is>
      </c>
      <c r="BD439" s="42">
        <f>IF(SUM(BM439,BN439,BO439,BP439,BQ439,BR439,BS439)=0,0,(BM439*BT439+BN439*BU439+BO439*BV439+BP439*BW439+BQ439*BX439+BR439*BY439+BS439*BZ439)/SUM(BM439,BN439,BO439,BP439,BQ439,BR439,BS439))</f>
        <v>0</v>
      </c>
      <c r="BE439" s="41" t="str">
        <f>IF(LEFT(AY439,1)="X",AY439,IF(OR(AY439="B+",AY439="C+"),INDEX(LAD_PC,MAX(1,MIN(14,MATCH(AY439,LAD_PC,0)+IF(BD439&gt;=0.5,1,IF(BD439&lt;=-0.5,-1,0))))),INDEX(LAD_STD,MAX(1,MIN(12,MATCH(AY439,LAD_STD,0)+IF(BD439&gt;=0.5,1,IF(BD439&lt;=-0.5,-1,0)))))))</f>
        <v>A3</v>
      </c>
      <c r="BF439" s="43" t="n"/>
      <c r="BG439" s="41" t="str">
        <f>IF(BF439&lt;&gt;"",BF439,BE439)</f>
        <v>A3</v>
      </c>
      <c r="BH439" s="40" t="str">
        <f>IFERROR(CHOOSE(INDEX(B_RANK,MATCH(BG439,B_LVL,0)),"Band A","Band B","B+ · Player-Coach","Band C","C+ · Player-Coach","Band D","Band E"),"Band X · Consultant")</f>
        <v>Band A</v>
      </c>
      <c r="BI439" s="40" t="str">
        <f>IF(BG439=AY439,"• Same",IF(INDEX(B_VAL,MATCH(BG439,B_LVL,0))&gt;INDEX(B_VAL,MATCH(AY439,B_LVL,0)),"▲ Up","▼ Down"))</f>
        <v>• Same</v>
      </c>
      <c r="BJ439" s="40" t="str">
        <f>IF(OR($M439="",$M439="—",$M439="Not in this file"),"",IFERROR(INDEX($BG$7:$BG$592,MATCH($M439,$D$7:$D$592,0)),""))</f>
        <v>B2</v>
      </c>
      <c r="BK439" s="40" t="str">
        <f>IFERROR(IF(BJ439="","—",IF(OR(LEFT(BG439,1)="X",LEFT(BJ439,1)="X"),"—",IF(AND(LEFT(BG439,1)="E",LEFT(BJ439,1)="E"),"Exception · Band E",IF(AND(INDEX(B_VAL,MATCH(BJ439,B_LVL,0))&gt;=7,INDEX(B_RANK,MATCH(BG439,B_LVL,0))&gt;=INDEX(B_RANK,MATCH(BJ439,B_LVL,0))),"⚠ Same band as a head manager",IF(INDEX(B_VAL,MATCH(BG439,B_LVL,0))&gt;=INDEX(B_VAL,MATCH(BJ439,B_LVL,0)),"⚠ At or above the manager's level","OK"))))),"—")</f>
        <v>OK</v>
      </c>
      <c r="BL439" s="43" t="n"/>
      <c r="BM439" s="44">
        <f>IFERROR(INDEX(LMH_PTS,MATCH(Y439,LMH_KEY,0)),0)</f>
        <v>9</v>
      </c>
      <c r="BN439" s="38">
        <f>IFERROR(INDEX(LMH_PTS,MATCH(Z439,LMH_KEY,0)),0)</f>
        <v>3</v>
      </c>
      <c r="BO439" s="38">
        <f>IFERROR(INDEX(LMH_PTS,MATCH(AA439,LMH_KEY,0)),0)</f>
        <v>3</v>
      </c>
      <c r="BP439" s="38">
        <f>IFERROR(INDEX(LMH_PTS,MATCH(AB439,LMH_KEY,0)),0)</f>
        <v>1</v>
      </c>
      <c r="BQ439" s="38">
        <f>IFERROR(INDEX(LMH_PTS,MATCH(AC439,LMH_KEY,0)),0)</f>
        <v>1</v>
      </c>
      <c r="BR439" s="38">
        <f>IFERROR(INDEX(LMH_PTS,MATCH(AD439,LMH_KEY,0)),0)</f>
        <v>1</v>
      </c>
      <c r="BS439" s="38">
        <f>IFERROR(INDEX(LMH_PTS,MATCH(AE439,LMH_KEY,0)),0)</f>
        <v>1</v>
      </c>
      <c r="BT439" s="38">
        <f>IFERROR(INDEX(LMH_STEP,MATCH(AF439,LMH_KEY,0)),0)</f>
        <v>0</v>
      </c>
      <c r="BU439" s="38">
        <f>IFERROR(INDEX(LMH_STEP,MATCH(AG439,LMH_KEY,0)),0)</f>
        <v>0</v>
      </c>
      <c r="BV439" s="38">
        <f>IFERROR(INDEX(LMH_STEP,MATCH(AH439,LMH_KEY,0)),0)</f>
        <v>0</v>
      </c>
      <c r="BW439" s="38">
        <f>IFERROR(INDEX(LMH_STEP,MATCH(AI439,LMH_KEY,0)),0)</f>
        <v>0</v>
      </c>
      <c r="BX439" s="38">
        <f>IFERROR(INDEX(LMH_STEP,MATCH(AJ439,LMH_KEY,0)),0)</f>
        <v>0</v>
      </c>
      <c r="BY439" s="38">
        <f>IFERROR(INDEX(LMH_STEP,MATCH(AK439,LMH_KEY,0)),0)</f>
        <v>0</v>
      </c>
      <c r="BZ439" s="38">
        <f>IFERROR(INDEX(LMH_STEP,MATCH(AL439,LMH_KEY,0)),0)</f>
        <v>0</v>
      </c>
      <c r="CA439" s="38" t="inlineStr">
        <is>
          <t>iFile|XBRL Consulting|Senior Financial Analyst|A3|A</t>
        </is>
      </c>
    </row>
    <row r="440" ht="110" customHeight="1">
      <c r="A440" s="28" t="inlineStr">
        <is>
          <t>iFile</t>
        </is>
      </c>
      <c r="B440" s="29" t="inlineStr">
        <is>
          <t>XBRL Consulting</t>
        </is>
      </c>
      <c r="C440" s="29" t="n">
        <v>3</v>
      </c>
      <c r="D440" s="29" t="inlineStr">
        <is>
          <t>IRIS2458</t>
        </is>
      </c>
      <c r="E440" s="29" t="inlineStr">
        <is>
          <t>Musaf Shaikh</t>
        </is>
      </c>
      <c r="F440" s="29" t="inlineStr">
        <is>
          <t>XBRL Conversion Specialist</t>
        </is>
      </c>
      <c r="G440" s="29" t="inlineStr">
        <is>
          <t>Senior Financial Analyst</t>
        </is>
      </c>
      <c r="H440" s="29" t="inlineStr">
        <is>
          <t>Consulting &amp; Professional Services</t>
        </is>
      </c>
      <c r="I440" s="29" t="inlineStr">
        <is>
          <t>XBRL Tagging, Conversion &amp; Filing</t>
        </is>
      </c>
      <c r="J440" s="29" t="inlineStr">
        <is>
          <t>IC</t>
        </is>
      </c>
      <c r="K440" s="29" t="inlineStr">
        <is>
          <t>RC-025</t>
        </is>
      </c>
      <c r="L440" s="29" t="inlineStr">
        <is>
          <t>Shraddha Bagul</t>
        </is>
      </c>
      <c r="M440" s="29" t="inlineStr">
        <is>
          <t>IRIS1035</t>
        </is>
      </c>
      <c r="N440" s="29" t="n">
        <v>2.2</v>
      </c>
      <c r="O440" s="29" t="n">
        <v>0.7</v>
      </c>
      <c r="P440" s="29" t="inlineStr">
        <is>
          <t>B.Com</t>
        </is>
      </c>
      <c r="Q440" s="29" t="inlineStr">
        <is>
          <t>L3 – Professional / Associate</t>
        </is>
      </c>
      <c r="R440" s="29" t="inlineStr">
        <is>
          <t>A3</t>
        </is>
      </c>
      <c r="S440" s="30" t="inlineStr">
        <is>
          <t>0 of 20</t>
        </is>
      </c>
      <c r="T440" s="31" t="inlineStr">
        <is>
          <t>Complexity: Evidence reads like A2: KRA note only: outsourced XBRL conversions and IRIS Instant release testing to set targets → matches the start
Autonomy: Evidence reads like A2: KRA note only: works to set accuracy, turnaround and SLA standards; no decisions described → matches the start
Accountability: Evidence reads like A2: KRA note only: accuracy, …</t>
        </is>
      </c>
      <c r="U440" s="31" t="inlineStr">
        <is>
          <t>Received · manager annual, quarterly · 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t>
        </is>
      </c>
      <c r="V440" s="31" t="inlineStr">
        <is>
          <t>Latest rating: 3 · Potential: Medium · 9-box: Core Contributor · Readiness: Develop in role</t>
        </is>
      </c>
      <c r="W440" s="31" t="inlineStr">
        <is>
          <t>C L · Au L · Ac L · L L · BI L · Exp M · 2.2 yrs vs 2–4 yrs · Edu M · B.Com</t>
        </is>
      </c>
      <c r="X440" s="33" t="inlineStr">
        <is>
          <t>Open ▸</t>
        </is>
      </c>
      <c r="Y440" s="34" t="str">
        <f>IFERROR(INDEX(DL_C,MATCH($CA440,DL_KEY,0)),"M")</f>
        <v>H</v>
      </c>
      <c r="Z440" s="35" t="str">
        <f>IFERROR(INDEX(DL_Au,MATCH($CA440,DL_KEY,0)),"M")</f>
        <v>M</v>
      </c>
      <c r="AA440" s="35" t="str">
        <f>IFERROR(INDEX(DL_Ac,MATCH($CA440,DL_KEY,0)),"M")</f>
        <v>M</v>
      </c>
      <c r="AB440" s="35" t="str">
        <f>IFERROR(INDEX(DL_L,MATCH($CA440,DL_KEY,0)),"M")</f>
        <v>L</v>
      </c>
      <c r="AC440" s="35" t="str">
        <f>IFERROR(INDEX(DL_BI,MATCH($CA440,DL_KEY,0)),"M")</f>
        <v>L</v>
      </c>
      <c r="AD440" s="35" t="str">
        <f>IFERROR(INDEX(DL_Exp,MATCH($CA440,DL_KEY,0)),"M")</f>
        <v>L</v>
      </c>
      <c r="AE440" s="35" t="str">
        <f>IFERROR(INDEX(DL_Edu,MATCH($CA440,DL_KEY,0)),"M")</f>
        <v>L</v>
      </c>
      <c r="AF440" s="34" t="inlineStr">
        <is>
          <t>M</t>
        </is>
      </c>
      <c r="AG440" s="35" t="inlineStr">
        <is>
          <t>M</t>
        </is>
      </c>
      <c r="AH440" s="35" t="inlineStr">
        <is>
          <t>M</t>
        </is>
      </c>
      <c r="AI440" s="35" t="inlineStr">
        <is>
          <t>M</t>
        </is>
      </c>
      <c r="AJ440" s="35" t="inlineStr">
        <is>
          <t>M</t>
        </is>
      </c>
      <c r="AK440" s="35" t="inlineStr">
        <is>
          <t>M</t>
        </is>
      </c>
      <c r="AL440" s="35" t="inlineStr">
        <is>
          <t>M</t>
        </is>
      </c>
      <c r="AM440" s="36" t="n">
        <v>0.583</v>
      </c>
      <c r="AN440" s="37" t="n">
        <v>0.16</v>
      </c>
      <c r="AO440" s="37" t="n">
        <v>0.09</v>
      </c>
      <c r="AP440" s="37" t="n">
        <v>0</v>
      </c>
      <c r="AQ440" s="37" t="n">
        <v>0.063</v>
      </c>
      <c r="AR440" s="37" t="n">
        <v>0.06</v>
      </c>
      <c r="AS440" s="37" t="n">
        <v>0.04</v>
      </c>
      <c r="AT440" s="38" t="inlineStr">
        <is>
          <t>2–5</t>
        </is>
      </c>
      <c r="AU440" s="38" t="inlineStr">
        <is>
          <t>Graduate; relevant certification preferred</t>
        </is>
      </c>
      <c r="AV440" s="38" t="inlineStr">
        <is>
          <t>None · guides 1–3 juniors informally</t>
        </is>
      </c>
      <c r="AW440" s="38" t="inlineStr">
        <is>
          <t>P2 · SFIA 3 Apply</t>
        </is>
      </c>
      <c r="AX44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40" s="39" t="inlineStr">
        <is>
          <t>A3</t>
        </is>
      </c>
      <c r="AZ440" s="40" t="inlineStr">
        <is>
          <t>Band A · Practitioner · Senior Associate</t>
        </is>
      </c>
      <c r="BA440" s="40" t="inlineStr">
        <is>
          <t>Model A3 from the six ratings, the market-derived weights and rules R1–R13 · then No change · already below the manager</t>
        </is>
      </c>
      <c r="BB440" s="41" t="inlineStr">
        <is>
          <t>A2</t>
        </is>
      </c>
      <c r="BC440" s="40" t="inlineStr">
        <is>
          <t>The six ratings on the market-average weights of Band A · all tracks score 2.05 → A2 · Hay, Mercer IPE and public plans · experience 2.2 yrs vs the A2 market range 0–3</t>
        </is>
      </c>
      <c r="BD440" s="42">
        <f>IF(SUM(BM440,BN440,BO440,BP440,BQ440,BR440,BS440)=0,0,(BM440*BT440+BN440*BU440+BO440*BV440+BP440*BW440+BQ440*BX440+BR440*BY440+BS440*BZ440)/SUM(BM440,BN440,BO440,BP440,BQ440,BR440,BS440))</f>
        <v>0</v>
      </c>
      <c r="BE440" s="41" t="str">
        <f>IF(LEFT(AY440,1)="X",AY440,IF(OR(AY440="B+",AY440="C+"),INDEX(LAD_PC,MAX(1,MIN(14,MATCH(AY440,LAD_PC,0)+IF(BD440&gt;=0.5,1,IF(BD440&lt;=-0.5,-1,0))))),INDEX(LAD_STD,MAX(1,MIN(12,MATCH(AY440,LAD_STD,0)+IF(BD440&gt;=0.5,1,IF(BD440&lt;=-0.5,-1,0)))))))</f>
        <v>A3</v>
      </c>
      <c r="BF440" s="43" t="n"/>
      <c r="BG440" s="41" t="str">
        <f>IF(BF440&lt;&gt;"",BF440,BE440)</f>
        <v>A3</v>
      </c>
      <c r="BH440" s="40" t="str">
        <f>IFERROR(CHOOSE(INDEX(B_RANK,MATCH(BG440,B_LVL,0)),"Band A","Band B","B+ · Player-Coach","Band C","C+ · Player-Coach","Band D","Band E"),"Band X · Consultant")</f>
        <v>Band A</v>
      </c>
      <c r="BI440" s="40" t="str">
        <f>IF(BG440=AY440,"• Same",IF(INDEX(B_VAL,MATCH(BG440,B_LVL,0))&gt;INDEX(B_VAL,MATCH(AY440,B_LVL,0)),"▲ Up","▼ Down"))</f>
        <v>• Same</v>
      </c>
      <c r="BJ440" s="40" t="str">
        <f>IF(OR($M440="",$M440="—",$M440="Not in this file"),"",IFERROR(INDEX($BG$7:$BG$592,MATCH($M440,$D$7:$D$592,0)),""))</f>
        <v>B2</v>
      </c>
      <c r="BK440" s="40" t="str">
        <f>IFERROR(IF(BJ440="","—",IF(OR(LEFT(BG440,1)="X",LEFT(BJ440,1)="X"),"—",IF(AND(LEFT(BG440,1)="E",LEFT(BJ440,1)="E"),"Exception · Band E",IF(AND(INDEX(B_VAL,MATCH(BJ440,B_LVL,0))&gt;=7,INDEX(B_RANK,MATCH(BG440,B_LVL,0))&gt;=INDEX(B_RANK,MATCH(BJ440,B_LVL,0))),"⚠ Same band as a head manager",IF(INDEX(B_VAL,MATCH(BG440,B_LVL,0))&gt;=INDEX(B_VAL,MATCH(BJ440,B_LVL,0)),"⚠ At or above the manager's level","OK"))))),"—")</f>
        <v>OK</v>
      </c>
      <c r="BL440" s="43" t="n"/>
      <c r="BM440" s="44">
        <f>IFERROR(INDEX(LMH_PTS,MATCH(Y440,LMH_KEY,0)),0)</f>
        <v>9</v>
      </c>
      <c r="BN440" s="38">
        <f>IFERROR(INDEX(LMH_PTS,MATCH(Z440,LMH_KEY,0)),0)</f>
        <v>3</v>
      </c>
      <c r="BO440" s="38">
        <f>IFERROR(INDEX(LMH_PTS,MATCH(AA440,LMH_KEY,0)),0)</f>
        <v>3</v>
      </c>
      <c r="BP440" s="38">
        <f>IFERROR(INDEX(LMH_PTS,MATCH(AB440,LMH_KEY,0)),0)</f>
        <v>1</v>
      </c>
      <c r="BQ440" s="38">
        <f>IFERROR(INDEX(LMH_PTS,MATCH(AC440,LMH_KEY,0)),0)</f>
        <v>1</v>
      </c>
      <c r="BR440" s="38">
        <f>IFERROR(INDEX(LMH_PTS,MATCH(AD440,LMH_KEY,0)),0)</f>
        <v>1</v>
      </c>
      <c r="BS440" s="38">
        <f>IFERROR(INDEX(LMH_PTS,MATCH(AE440,LMH_KEY,0)),0)</f>
        <v>1</v>
      </c>
      <c r="BT440" s="38">
        <f>IFERROR(INDEX(LMH_STEP,MATCH(AF440,LMH_KEY,0)),0)</f>
        <v>0</v>
      </c>
      <c r="BU440" s="38">
        <f>IFERROR(INDEX(LMH_STEP,MATCH(AG440,LMH_KEY,0)),0)</f>
        <v>0</v>
      </c>
      <c r="BV440" s="38">
        <f>IFERROR(INDEX(LMH_STEP,MATCH(AH440,LMH_KEY,0)),0)</f>
        <v>0</v>
      </c>
      <c r="BW440" s="38">
        <f>IFERROR(INDEX(LMH_STEP,MATCH(AI440,LMH_KEY,0)),0)</f>
        <v>0</v>
      </c>
      <c r="BX440" s="38">
        <f>IFERROR(INDEX(LMH_STEP,MATCH(AJ440,LMH_KEY,0)),0)</f>
        <v>0</v>
      </c>
      <c r="BY440" s="38">
        <f>IFERROR(INDEX(LMH_STEP,MATCH(AK440,LMH_KEY,0)),0)</f>
        <v>0</v>
      </c>
      <c r="BZ440" s="38">
        <f>IFERROR(INDEX(LMH_STEP,MATCH(AL440,LMH_KEY,0)),0)</f>
        <v>0</v>
      </c>
      <c r="CA440" s="38" t="inlineStr">
        <is>
          <t>iFile|XBRL Consulting|Senior Financial Analyst|A3|A</t>
        </is>
      </c>
    </row>
    <row r="441" ht="110" customHeight="1">
      <c r="A441" s="28" t="inlineStr">
        <is>
          <t>iFile</t>
        </is>
      </c>
      <c r="B441" s="29" t="inlineStr">
        <is>
          <t>XBRL Consulting</t>
        </is>
      </c>
      <c r="C441" s="29" t="n">
        <v>3</v>
      </c>
      <c r="D441" s="29" t="inlineStr">
        <is>
          <t>IRIS2088</t>
        </is>
      </c>
      <c r="E441" s="29" t="inlineStr">
        <is>
          <t>Pawan Khot</t>
        </is>
      </c>
      <c r="F441" s="29" t="inlineStr">
        <is>
          <t>Image Processing Specialist</t>
        </is>
      </c>
      <c r="G441" s="29" t="inlineStr">
        <is>
          <t>Senior Taxonomy Analyst</t>
        </is>
      </c>
      <c r="H441" s="29" t="inlineStr">
        <is>
          <t>Consulting &amp; Professional Services</t>
        </is>
      </c>
      <c r="I441" s="29" t="inlineStr">
        <is>
          <t>Taxonomy Design &amp; Regulatory Consulting</t>
        </is>
      </c>
      <c r="J441" s="29" t="inlineStr">
        <is>
          <t>IC</t>
        </is>
      </c>
      <c r="K441" s="29" t="inlineStr">
        <is>
          <t>RC-019</t>
        </is>
      </c>
      <c r="L441" s="29" t="inlineStr">
        <is>
          <t>Shraddha Bagul</t>
        </is>
      </c>
      <c r="M441" s="29" t="inlineStr">
        <is>
          <t>IRIS1035</t>
        </is>
      </c>
      <c r="N441" s="29" t="n">
        <v>3.7</v>
      </c>
      <c r="O441" s="29" t="n">
        <v>3.7</v>
      </c>
      <c r="P441" s="29" t="inlineStr">
        <is>
          <t>B.Com</t>
        </is>
      </c>
      <c r="Q441" s="29" t="inlineStr">
        <is>
          <t>Not in current mapping files</t>
        </is>
      </c>
      <c r="R441" s="29" t="inlineStr">
        <is>
          <t>A3</t>
        </is>
      </c>
      <c r="S441" s="30" t="inlineStr">
        <is>
          <t>20 of 20</t>
        </is>
      </c>
      <c r="T441" s="31" t="inlineStr">
        <is>
          <t>Complexity: Evidence reads like A2: Analyses company reports and tags them into XBRL using Mtool and Excel → moved down 0.5
Autonomy: Evidence reads like A2: Decides tagging only → moved down 0.5
Accountability: Evidence reads like A2: All company data properly tagged and quality of own output reports → moved down 0.5
Leadership: Evidence reads like A1: …</t>
        </is>
      </c>
      <c r="U441" s="32" t="inlineStr">
        <is>
          <t>KRAs not received · manager to supply</t>
        </is>
      </c>
      <c r="V441" s="31" t="inlineStr">
        <is>
          <t>Latest rating: Not rated · manager · 9-box: Not placed · manager · Readiness: No rating data</t>
        </is>
      </c>
      <c r="W441" s="31" t="inlineStr">
        <is>
          <t>C M · Au M · Ac M · L L · BI M · Exp M · 3.7 yrs vs 2–4 yrs · Edu M · B.Com</t>
        </is>
      </c>
      <c r="X441" s="33" t="inlineStr">
        <is>
          <t>Open ▸</t>
        </is>
      </c>
      <c r="Y441" s="34" t="str">
        <f>IFERROR(INDEX(DL_C,MATCH($CA441,DL_KEY,0)),"M")</f>
        <v>H</v>
      </c>
      <c r="Z441" s="35" t="str">
        <f>IFERROR(INDEX(DL_Au,MATCH($CA441,DL_KEY,0)),"M")</f>
        <v>M</v>
      </c>
      <c r="AA441" s="35" t="str">
        <f>IFERROR(INDEX(DL_Ac,MATCH($CA441,DL_KEY,0)),"M")</f>
        <v>M</v>
      </c>
      <c r="AB441" s="35" t="str">
        <f>IFERROR(INDEX(DL_L,MATCH($CA441,DL_KEY,0)),"M")</f>
        <v>L</v>
      </c>
      <c r="AC441" s="35" t="str">
        <f>IFERROR(INDEX(DL_BI,MATCH($CA441,DL_KEY,0)),"M")</f>
        <v>L</v>
      </c>
      <c r="AD441" s="35" t="str">
        <f>IFERROR(INDEX(DL_Exp,MATCH($CA441,DL_KEY,0)),"M")</f>
        <v>L</v>
      </c>
      <c r="AE441" s="35" t="str">
        <f>IFERROR(INDEX(DL_Edu,MATCH($CA441,DL_KEY,0)),"M")</f>
        <v>L</v>
      </c>
      <c r="AF441" s="34" t="inlineStr">
        <is>
          <t>M</t>
        </is>
      </c>
      <c r="AG441" s="35" t="inlineStr">
        <is>
          <t>M</t>
        </is>
      </c>
      <c r="AH441" s="35" t="inlineStr">
        <is>
          <t>M</t>
        </is>
      </c>
      <c r="AI441" s="35" t="inlineStr">
        <is>
          <t>M</t>
        </is>
      </c>
      <c r="AJ441" s="35" t="inlineStr">
        <is>
          <t>M</t>
        </is>
      </c>
      <c r="AK441" s="35" t="inlineStr">
        <is>
          <t>M</t>
        </is>
      </c>
      <c r="AL441" s="35" t="inlineStr">
        <is>
          <t>M</t>
        </is>
      </c>
      <c r="AM441" s="36" t="n">
        <v>0.583</v>
      </c>
      <c r="AN441" s="37" t="n">
        <v>0.16</v>
      </c>
      <c r="AO441" s="37" t="n">
        <v>0.09</v>
      </c>
      <c r="AP441" s="37" t="n">
        <v>0</v>
      </c>
      <c r="AQ441" s="37" t="n">
        <v>0.063</v>
      </c>
      <c r="AR441" s="37" t="n">
        <v>0.06</v>
      </c>
      <c r="AS441" s="37" t="n">
        <v>0.04</v>
      </c>
      <c r="AT441" s="38" t="inlineStr">
        <is>
          <t>2–5</t>
        </is>
      </c>
      <c r="AU441" s="38" t="inlineStr">
        <is>
          <t>Graduate; relevant certification preferred</t>
        </is>
      </c>
      <c r="AV441" s="38" t="inlineStr">
        <is>
          <t>None · guides 1–3 juniors informally</t>
        </is>
      </c>
      <c r="AW441" s="38" t="inlineStr">
        <is>
          <t>P2 · SFIA 3 Apply</t>
        </is>
      </c>
      <c r="AX44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41" s="39" t="inlineStr">
        <is>
          <t>A3</t>
        </is>
      </c>
      <c r="AZ441" s="40" t="inlineStr">
        <is>
          <t>Band A · Practitioner · Senior Associate</t>
        </is>
      </c>
      <c r="BA441" s="40" t="inlineStr">
        <is>
          <t>Model A3 from the six ratings, the market-derived weights and rules R1–R13 · then No change · already below the manager</t>
        </is>
      </c>
      <c r="BB441" s="41" t="inlineStr">
        <is>
          <t>A3</t>
        </is>
      </c>
      <c r="BC441" s="40" t="inlineStr">
        <is>
          <t>The six ratings on the market-average weights of Band A · all tracks score 2.60 → A3 · Hay, Mercer IPE and public plans · experience 3.7 yrs vs the A3 market range 2–5</t>
        </is>
      </c>
      <c r="BD441" s="42">
        <f>IF(SUM(BM441,BN441,BO441,BP441,BQ441,BR441,BS441)=0,0,(BM441*BT441+BN441*BU441+BO441*BV441+BP441*BW441+BQ441*BX441+BR441*BY441+BS441*BZ441)/SUM(BM441,BN441,BO441,BP441,BQ441,BR441,BS441))</f>
        <v>0</v>
      </c>
      <c r="BE441" s="41" t="str">
        <f>IF(LEFT(AY441,1)="X",AY441,IF(OR(AY441="B+",AY441="C+"),INDEX(LAD_PC,MAX(1,MIN(14,MATCH(AY441,LAD_PC,0)+IF(BD441&gt;=0.5,1,IF(BD441&lt;=-0.5,-1,0))))),INDEX(LAD_STD,MAX(1,MIN(12,MATCH(AY441,LAD_STD,0)+IF(BD441&gt;=0.5,1,IF(BD441&lt;=-0.5,-1,0)))))))</f>
        <v>A3</v>
      </c>
      <c r="BF441" s="43" t="n"/>
      <c r="BG441" s="41" t="str">
        <f>IF(BF441&lt;&gt;"",BF441,BE441)</f>
        <v>A3</v>
      </c>
      <c r="BH441" s="40" t="str">
        <f>IFERROR(CHOOSE(INDEX(B_RANK,MATCH(BG441,B_LVL,0)),"Band A","Band B","B+ · Player-Coach","Band C","C+ · Player-Coach","Band D","Band E"),"Band X · Consultant")</f>
        <v>Band A</v>
      </c>
      <c r="BI441" s="40" t="str">
        <f>IF(BG441=AY441,"• Same",IF(INDEX(B_VAL,MATCH(BG441,B_LVL,0))&gt;INDEX(B_VAL,MATCH(AY441,B_LVL,0)),"▲ Up","▼ Down"))</f>
        <v>• Same</v>
      </c>
      <c r="BJ441" s="40" t="str">
        <f>IF(OR($M441="",$M441="—",$M441="Not in this file"),"",IFERROR(INDEX($BG$7:$BG$592,MATCH($M441,$D$7:$D$592,0)),""))</f>
        <v>B2</v>
      </c>
      <c r="BK441" s="40" t="str">
        <f>IFERROR(IF(BJ441="","—",IF(OR(LEFT(BG441,1)="X",LEFT(BJ441,1)="X"),"—",IF(AND(LEFT(BG441,1)="E",LEFT(BJ441,1)="E"),"Exception · Band E",IF(AND(INDEX(B_VAL,MATCH(BJ441,B_LVL,0))&gt;=7,INDEX(B_RANK,MATCH(BG441,B_LVL,0))&gt;=INDEX(B_RANK,MATCH(BJ441,B_LVL,0))),"⚠ Same band as a head manager",IF(INDEX(B_VAL,MATCH(BG441,B_LVL,0))&gt;=INDEX(B_VAL,MATCH(BJ441,B_LVL,0)),"⚠ At or above the manager's level","OK"))))),"—")</f>
        <v>OK</v>
      </c>
      <c r="BL441" s="43" t="n"/>
      <c r="BM441" s="44">
        <f>IFERROR(INDEX(LMH_PTS,MATCH(Y441,LMH_KEY,0)),0)</f>
        <v>9</v>
      </c>
      <c r="BN441" s="38">
        <f>IFERROR(INDEX(LMH_PTS,MATCH(Z441,LMH_KEY,0)),0)</f>
        <v>3</v>
      </c>
      <c r="BO441" s="38">
        <f>IFERROR(INDEX(LMH_PTS,MATCH(AA441,LMH_KEY,0)),0)</f>
        <v>3</v>
      </c>
      <c r="BP441" s="38">
        <f>IFERROR(INDEX(LMH_PTS,MATCH(AB441,LMH_KEY,0)),0)</f>
        <v>1</v>
      </c>
      <c r="BQ441" s="38">
        <f>IFERROR(INDEX(LMH_PTS,MATCH(AC441,LMH_KEY,0)),0)</f>
        <v>1</v>
      </c>
      <c r="BR441" s="38">
        <f>IFERROR(INDEX(LMH_PTS,MATCH(AD441,LMH_KEY,0)),0)</f>
        <v>1</v>
      </c>
      <c r="BS441" s="38">
        <f>IFERROR(INDEX(LMH_PTS,MATCH(AE441,LMH_KEY,0)),0)</f>
        <v>1</v>
      </c>
      <c r="BT441" s="38">
        <f>IFERROR(INDEX(LMH_STEP,MATCH(AF441,LMH_KEY,0)),0)</f>
        <v>0</v>
      </c>
      <c r="BU441" s="38">
        <f>IFERROR(INDEX(LMH_STEP,MATCH(AG441,LMH_KEY,0)),0)</f>
        <v>0</v>
      </c>
      <c r="BV441" s="38">
        <f>IFERROR(INDEX(LMH_STEP,MATCH(AH441,LMH_KEY,0)),0)</f>
        <v>0</v>
      </c>
      <c r="BW441" s="38">
        <f>IFERROR(INDEX(LMH_STEP,MATCH(AI441,LMH_KEY,0)),0)</f>
        <v>0</v>
      </c>
      <c r="BX441" s="38">
        <f>IFERROR(INDEX(LMH_STEP,MATCH(AJ441,LMH_KEY,0)),0)</f>
        <v>0</v>
      </c>
      <c r="BY441" s="38">
        <f>IFERROR(INDEX(LMH_STEP,MATCH(AK441,LMH_KEY,0)),0)</f>
        <v>0</v>
      </c>
      <c r="BZ441" s="38">
        <f>IFERROR(INDEX(LMH_STEP,MATCH(AL441,LMH_KEY,0)),0)</f>
        <v>0</v>
      </c>
      <c r="CA441" s="38" t="inlineStr">
        <is>
          <t>iFile|XBRL Consulting|Senior Taxonomy Analyst|A3|A</t>
        </is>
      </c>
    </row>
    <row r="442" ht="110" customHeight="1">
      <c r="A442" s="28" t="inlineStr">
        <is>
          <t>iFile</t>
        </is>
      </c>
      <c r="B442" s="29" t="inlineStr">
        <is>
          <t>XBRL Consulting</t>
        </is>
      </c>
      <c r="C442" s="29" t="n">
        <v>3</v>
      </c>
      <c r="D442" s="29" t="inlineStr">
        <is>
          <t>IRISC339</t>
        </is>
      </c>
      <c r="E442" s="29" t="inlineStr">
        <is>
          <t>Pranali Khanavkar</t>
        </is>
      </c>
      <c r="F442" s="29" t="inlineStr">
        <is>
          <t>Consultant</t>
        </is>
      </c>
      <c r="G442" s="29" t="inlineStr">
        <is>
          <t>Senior Taxonomy Analyst</t>
        </is>
      </c>
      <c r="H442" s="29" t="inlineStr">
        <is>
          <t>Consulting &amp; Professional Services</t>
        </is>
      </c>
      <c r="I442" s="29" t="inlineStr">
        <is>
          <t>Taxonomy Design &amp; Regulatory Consulting</t>
        </is>
      </c>
      <c r="J442" s="29" t="inlineStr">
        <is>
          <t>IC</t>
        </is>
      </c>
      <c r="K442" s="29" t="inlineStr">
        <is>
          <t>RC-019</t>
        </is>
      </c>
      <c r="L442" s="29" t="inlineStr">
        <is>
          <t>Shraddha Bagul</t>
        </is>
      </c>
      <c r="M442" s="29" t="inlineStr">
        <is>
          <t>IRIS1035</t>
        </is>
      </c>
      <c r="N442" s="29" t="n">
        <v>7.8</v>
      </c>
      <c r="O442" s="29" t="n">
        <v>0.6</v>
      </c>
      <c r="P442" s="29" t="inlineStr">
        <is>
          <t>B.Com</t>
        </is>
      </c>
      <c r="Q442" s="29" t="inlineStr">
        <is>
          <t>L3 – Professional / Associate</t>
        </is>
      </c>
      <c r="R442" s="29" t="inlineStr">
        <is>
          <t>A3</t>
        </is>
      </c>
      <c r="S442" s="30" t="inlineStr">
        <is>
          <t>20 of 20</t>
        </is>
      </c>
      <c r="T442" s="31" t="inlineStr">
        <is>
          <t>Complexity: Evidence reads like A2: iXBRL tagging, MBRS validation checks and ACRA testing; standard conversion work → matches the start
Autonomy: Evidence reads like A2: Decides data validation; rates own latitude as 'moderate' → matches the start
Accountability: Evidence reads like A2: Quality check and accuracy of own tagging; poor QC causes client …</t>
        </is>
      </c>
      <c r="U442" s="31" t="inlineStr">
        <is>
          <t>Received · manager annual, quarterly · 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t>
        </is>
      </c>
      <c r="V442" s="31" t="inlineStr">
        <is>
          <t>Latest rating: 3 · Potential: Low · 9-box: Core Contributor · Readiness: Develop in role</t>
        </is>
      </c>
      <c r="W442" s="31" t="inlineStr">
        <is>
          <t>C L · Au L · Ac L · L L · BI L · Exp H · 7.8 yrs vs 2–4 yrs · Edu M · B.Com</t>
        </is>
      </c>
      <c r="X442" s="33" t="inlineStr">
        <is>
          <t>Open ▸</t>
        </is>
      </c>
      <c r="Y442" s="34" t="str">
        <f>IFERROR(INDEX(DL_C,MATCH($CA442,DL_KEY,0)),"M")</f>
        <v>H</v>
      </c>
      <c r="Z442" s="35" t="str">
        <f>IFERROR(INDEX(DL_Au,MATCH($CA442,DL_KEY,0)),"M")</f>
        <v>M</v>
      </c>
      <c r="AA442" s="35" t="str">
        <f>IFERROR(INDEX(DL_Ac,MATCH($CA442,DL_KEY,0)),"M")</f>
        <v>M</v>
      </c>
      <c r="AB442" s="35" t="str">
        <f>IFERROR(INDEX(DL_L,MATCH($CA442,DL_KEY,0)),"M")</f>
        <v>L</v>
      </c>
      <c r="AC442" s="35" t="str">
        <f>IFERROR(INDEX(DL_BI,MATCH($CA442,DL_KEY,0)),"M")</f>
        <v>L</v>
      </c>
      <c r="AD442" s="35" t="str">
        <f>IFERROR(INDEX(DL_Exp,MATCH($CA442,DL_KEY,0)),"M")</f>
        <v>L</v>
      </c>
      <c r="AE442" s="35" t="str">
        <f>IFERROR(INDEX(DL_Edu,MATCH($CA442,DL_KEY,0)),"M")</f>
        <v>L</v>
      </c>
      <c r="AF442" s="34" t="inlineStr">
        <is>
          <t>M</t>
        </is>
      </c>
      <c r="AG442" s="35" t="inlineStr">
        <is>
          <t>M</t>
        </is>
      </c>
      <c r="AH442" s="35" t="inlineStr">
        <is>
          <t>M</t>
        </is>
      </c>
      <c r="AI442" s="35" t="inlineStr">
        <is>
          <t>M</t>
        </is>
      </c>
      <c r="AJ442" s="35" t="inlineStr">
        <is>
          <t>M</t>
        </is>
      </c>
      <c r="AK442" s="35" t="inlineStr">
        <is>
          <t>M</t>
        </is>
      </c>
      <c r="AL442" s="35" t="inlineStr">
        <is>
          <t>M</t>
        </is>
      </c>
      <c r="AM442" s="36" t="n">
        <v>0.583</v>
      </c>
      <c r="AN442" s="37" t="n">
        <v>0.16</v>
      </c>
      <c r="AO442" s="37" t="n">
        <v>0.09</v>
      </c>
      <c r="AP442" s="37" t="n">
        <v>0</v>
      </c>
      <c r="AQ442" s="37" t="n">
        <v>0.063</v>
      </c>
      <c r="AR442" s="37" t="n">
        <v>0.06</v>
      </c>
      <c r="AS442" s="37" t="n">
        <v>0.04</v>
      </c>
      <c r="AT442" s="38" t="inlineStr">
        <is>
          <t>2–5</t>
        </is>
      </c>
      <c r="AU442" s="38" t="inlineStr">
        <is>
          <t>Graduate; relevant certification preferred</t>
        </is>
      </c>
      <c r="AV442" s="38" t="inlineStr">
        <is>
          <t>None · guides 1–3 juniors informally</t>
        </is>
      </c>
      <c r="AW442" s="38" t="inlineStr">
        <is>
          <t>P2 · SFIA 3 Apply</t>
        </is>
      </c>
      <c r="AX44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42" s="39" t="inlineStr">
        <is>
          <t>A3</t>
        </is>
      </c>
      <c r="AZ442" s="40" t="inlineStr">
        <is>
          <t>Band A · Practitioner · Senior Associate</t>
        </is>
      </c>
      <c r="BA442" s="40" t="inlineStr">
        <is>
          <t>Model A3 from the six ratings, the market-derived weights and rules R1–R13 · then No change · already below the manager</t>
        </is>
      </c>
      <c r="BB442" s="41" t="inlineStr">
        <is>
          <t>A2</t>
        </is>
      </c>
      <c r="BC442" s="40" t="inlineStr">
        <is>
          <t>The six ratings on the market-average weights of Band A · all tracks score 2.20 → A2 · Hay, Mercer IPE and public plans · experience 7.8 yrs vs the A2 market range 0–3</t>
        </is>
      </c>
      <c r="BD442" s="42">
        <f>IF(SUM(BM442,BN442,BO442,BP442,BQ442,BR442,BS442)=0,0,(BM442*BT442+BN442*BU442+BO442*BV442+BP442*BW442+BQ442*BX442+BR442*BY442+BS442*BZ442)/SUM(BM442,BN442,BO442,BP442,BQ442,BR442,BS442))</f>
        <v>0</v>
      </c>
      <c r="BE442" s="41" t="str">
        <f>IF(LEFT(AY442,1)="X",AY442,IF(OR(AY442="B+",AY442="C+"),INDEX(LAD_PC,MAX(1,MIN(14,MATCH(AY442,LAD_PC,0)+IF(BD442&gt;=0.5,1,IF(BD442&lt;=-0.5,-1,0))))),INDEX(LAD_STD,MAX(1,MIN(12,MATCH(AY442,LAD_STD,0)+IF(BD442&gt;=0.5,1,IF(BD442&lt;=-0.5,-1,0)))))))</f>
        <v>A3</v>
      </c>
      <c r="BF442" s="43" t="n"/>
      <c r="BG442" s="41" t="str">
        <f>IF(BF442&lt;&gt;"",BF442,BE442)</f>
        <v>A3</v>
      </c>
      <c r="BH442" s="40" t="str">
        <f>IFERROR(CHOOSE(INDEX(B_RANK,MATCH(BG442,B_LVL,0)),"Band A","Band B","B+ · Player-Coach","Band C","C+ · Player-Coach","Band D","Band E"),"Band X · Consultant")</f>
        <v>Band A</v>
      </c>
      <c r="BI442" s="40" t="str">
        <f>IF(BG442=AY442,"• Same",IF(INDEX(B_VAL,MATCH(BG442,B_LVL,0))&gt;INDEX(B_VAL,MATCH(AY442,B_LVL,0)),"▲ Up","▼ Down"))</f>
        <v>• Same</v>
      </c>
      <c r="BJ442" s="40" t="str">
        <f>IF(OR($M442="",$M442="—",$M442="Not in this file"),"",IFERROR(INDEX($BG$7:$BG$592,MATCH($M442,$D$7:$D$592,0)),""))</f>
        <v>B2</v>
      </c>
      <c r="BK442" s="40" t="str">
        <f>IFERROR(IF(BJ442="","—",IF(OR(LEFT(BG442,1)="X",LEFT(BJ442,1)="X"),"—",IF(AND(LEFT(BG442,1)="E",LEFT(BJ442,1)="E"),"Exception · Band E",IF(AND(INDEX(B_VAL,MATCH(BJ442,B_LVL,0))&gt;=7,INDEX(B_RANK,MATCH(BG442,B_LVL,0))&gt;=INDEX(B_RANK,MATCH(BJ442,B_LVL,0))),"⚠ Same band as a head manager",IF(INDEX(B_VAL,MATCH(BG442,B_LVL,0))&gt;=INDEX(B_VAL,MATCH(BJ442,B_LVL,0)),"⚠ At or above the manager's level","OK"))))),"—")</f>
        <v>OK</v>
      </c>
      <c r="BL442" s="43" t="n"/>
      <c r="BM442" s="44">
        <f>IFERROR(INDEX(LMH_PTS,MATCH(Y442,LMH_KEY,0)),0)</f>
        <v>9</v>
      </c>
      <c r="BN442" s="38">
        <f>IFERROR(INDEX(LMH_PTS,MATCH(Z442,LMH_KEY,0)),0)</f>
        <v>3</v>
      </c>
      <c r="BO442" s="38">
        <f>IFERROR(INDEX(LMH_PTS,MATCH(AA442,LMH_KEY,0)),0)</f>
        <v>3</v>
      </c>
      <c r="BP442" s="38">
        <f>IFERROR(INDEX(LMH_PTS,MATCH(AB442,LMH_KEY,0)),0)</f>
        <v>1</v>
      </c>
      <c r="BQ442" s="38">
        <f>IFERROR(INDEX(LMH_PTS,MATCH(AC442,LMH_KEY,0)),0)</f>
        <v>1</v>
      </c>
      <c r="BR442" s="38">
        <f>IFERROR(INDEX(LMH_PTS,MATCH(AD442,LMH_KEY,0)),0)</f>
        <v>1</v>
      </c>
      <c r="BS442" s="38">
        <f>IFERROR(INDEX(LMH_PTS,MATCH(AE442,LMH_KEY,0)),0)</f>
        <v>1</v>
      </c>
      <c r="BT442" s="38">
        <f>IFERROR(INDEX(LMH_STEP,MATCH(AF442,LMH_KEY,0)),0)</f>
        <v>0</v>
      </c>
      <c r="BU442" s="38">
        <f>IFERROR(INDEX(LMH_STEP,MATCH(AG442,LMH_KEY,0)),0)</f>
        <v>0</v>
      </c>
      <c r="BV442" s="38">
        <f>IFERROR(INDEX(LMH_STEP,MATCH(AH442,LMH_KEY,0)),0)</f>
        <v>0</v>
      </c>
      <c r="BW442" s="38">
        <f>IFERROR(INDEX(LMH_STEP,MATCH(AI442,LMH_KEY,0)),0)</f>
        <v>0</v>
      </c>
      <c r="BX442" s="38">
        <f>IFERROR(INDEX(LMH_STEP,MATCH(AJ442,LMH_KEY,0)),0)</f>
        <v>0</v>
      </c>
      <c r="BY442" s="38">
        <f>IFERROR(INDEX(LMH_STEP,MATCH(AK442,LMH_KEY,0)),0)</f>
        <v>0</v>
      </c>
      <c r="BZ442" s="38">
        <f>IFERROR(INDEX(LMH_STEP,MATCH(AL442,LMH_KEY,0)),0)</f>
        <v>0</v>
      </c>
      <c r="CA442" s="38" t="inlineStr">
        <is>
          <t>iFile|XBRL Consulting|Senior Taxonomy Analyst|A3|A</t>
        </is>
      </c>
    </row>
    <row r="443" ht="110" customHeight="1">
      <c r="A443" s="28" t="inlineStr">
        <is>
          <t>iFile</t>
        </is>
      </c>
      <c r="B443" s="29" t="inlineStr">
        <is>
          <t>XBRL Consulting</t>
        </is>
      </c>
      <c r="C443" s="29" t="n">
        <v>3</v>
      </c>
      <c r="D443" s="29" t="inlineStr">
        <is>
          <t>IRISC343</t>
        </is>
      </c>
      <c r="E443" s="29" t="inlineStr">
        <is>
          <t>Tuku Deb</t>
        </is>
      </c>
      <c r="F443" s="29" t="inlineStr">
        <is>
          <t>XBRL Conversion Specialist</t>
        </is>
      </c>
      <c r="G443" s="29" t="inlineStr">
        <is>
          <t>Senior Financial Analyst</t>
        </is>
      </c>
      <c r="H443" s="29" t="inlineStr">
        <is>
          <t>Consulting &amp; Professional Services</t>
        </is>
      </c>
      <c r="I443" s="29" t="inlineStr">
        <is>
          <t>XBRL Tagging, Conversion &amp; Filing</t>
        </is>
      </c>
      <c r="J443" s="29" t="inlineStr">
        <is>
          <t>IC</t>
        </is>
      </c>
      <c r="K443" s="29" t="inlineStr">
        <is>
          <t>RC-025</t>
        </is>
      </c>
      <c r="L443" s="29" t="inlineStr">
        <is>
          <t>Shraddha Bagul</t>
        </is>
      </c>
      <c r="M443" s="29" t="inlineStr">
        <is>
          <t>IRIS1035</t>
        </is>
      </c>
      <c r="N443" s="29" t="n">
        <v>2.8</v>
      </c>
      <c r="O443" s="29" t="n">
        <v>0.6</v>
      </c>
      <c r="P443" s="29" t="inlineStr">
        <is>
          <t>PGDM</t>
        </is>
      </c>
      <c r="Q443" s="29" t="inlineStr">
        <is>
          <t>L3 – Professional / Associate</t>
        </is>
      </c>
      <c r="R443" s="29" t="inlineStr">
        <is>
          <t>A3</t>
        </is>
      </c>
      <c r="S443" s="30" t="inlineStr">
        <is>
          <t>20 of 20</t>
        </is>
      </c>
      <c r="T443" s="31" t="inlineStr">
        <is>
          <t>Complexity: Evidence reads like A2: XBRL tagging and data validation of client financial reports in IRIS Instant → matches the start
Autonomy: Evidence reads like A2: Identifies issues and raises them → matches the start
Accountability: Evidence reads like A2: own survey / KRA answers · summarised by the rater; not quoted → matches the start
Leadership: …</t>
        </is>
      </c>
      <c r="U443" s="31" t="inlineStr">
        <is>
          <t>Received · manager annual, quarterly · 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t>
        </is>
      </c>
      <c r="V443" s="31" t="inlineStr">
        <is>
          <t>Latest rating: 3 · Potential: Medium · 9-box: Core Contributor · Readiness: Develop in role</t>
        </is>
      </c>
      <c r="W443" s="31" t="inlineStr">
        <is>
          <t>C L · Au L · Ac L · L L · BI L · Exp M · 2.8 yrs vs 2–4 yrs · Edu H · PGDM</t>
        </is>
      </c>
      <c r="X443" s="33" t="inlineStr">
        <is>
          <t>Open ▸</t>
        </is>
      </c>
      <c r="Y443" s="34" t="str">
        <f>IFERROR(INDEX(DL_C,MATCH($CA443,DL_KEY,0)),"M")</f>
        <v>H</v>
      </c>
      <c r="Z443" s="35" t="str">
        <f>IFERROR(INDEX(DL_Au,MATCH($CA443,DL_KEY,0)),"M")</f>
        <v>M</v>
      </c>
      <c r="AA443" s="35" t="str">
        <f>IFERROR(INDEX(DL_Ac,MATCH($CA443,DL_KEY,0)),"M")</f>
        <v>M</v>
      </c>
      <c r="AB443" s="35" t="str">
        <f>IFERROR(INDEX(DL_L,MATCH($CA443,DL_KEY,0)),"M")</f>
        <v>L</v>
      </c>
      <c r="AC443" s="35" t="str">
        <f>IFERROR(INDEX(DL_BI,MATCH($CA443,DL_KEY,0)),"M")</f>
        <v>L</v>
      </c>
      <c r="AD443" s="35" t="str">
        <f>IFERROR(INDEX(DL_Exp,MATCH($CA443,DL_KEY,0)),"M")</f>
        <v>L</v>
      </c>
      <c r="AE443" s="35" t="str">
        <f>IFERROR(INDEX(DL_Edu,MATCH($CA443,DL_KEY,0)),"M")</f>
        <v>L</v>
      </c>
      <c r="AF443" s="34" t="inlineStr">
        <is>
          <t>M</t>
        </is>
      </c>
      <c r="AG443" s="35" t="inlineStr">
        <is>
          <t>M</t>
        </is>
      </c>
      <c r="AH443" s="35" t="inlineStr">
        <is>
          <t>M</t>
        </is>
      </c>
      <c r="AI443" s="35" t="inlineStr">
        <is>
          <t>M</t>
        </is>
      </c>
      <c r="AJ443" s="35" t="inlineStr">
        <is>
          <t>M</t>
        </is>
      </c>
      <c r="AK443" s="35" t="inlineStr">
        <is>
          <t>M</t>
        </is>
      </c>
      <c r="AL443" s="35" t="inlineStr">
        <is>
          <t>M</t>
        </is>
      </c>
      <c r="AM443" s="36" t="n">
        <v>0.583</v>
      </c>
      <c r="AN443" s="37" t="n">
        <v>0.16</v>
      </c>
      <c r="AO443" s="37" t="n">
        <v>0.09</v>
      </c>
      <c r="AP443" s="37" t="n">
        <v>0</v>
      </c>
      <c r="AQ443" s="37" t="n">
        <v>0.063</v>
      </c>
      <c r="AR443" s="37" t="n">
        <v>0.06</v>
      </c>
      <c r="AS443" s="37" t="n">
        <v>0.04</v>
      </c>
      <c r="AT443" s="38" t="inlineStr">
        <is>
          <t>2–5</t>
        </is>
      </c>
      <c r="AU443" s="38" t="inlineStr">
        <is>
          <t>Graduate; relevant certification preferred</t>
        </is>
      </c>
      <c r="AV443" s="38" t="inlineStr">
        <is>
          <t>None · guides 1–3 juniors informally</t>
        </is>
      </c>
      <c r="AW443" s="38" t="inlineStr">
        <is>
          <t>P2 · SFIA 3 Apply</t>
        </is>
      </c>
      <c r="AX44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43" s="39" t="inlineStr">
        <is>
          <t>A3</t>
        </is>
      </c>
      <c r="AZ443" s="40" t="inlineStr">
        <is>
          <t>Band A · Practitioner · Senior Associate</t>
        </is>
      </c>
      <c r="BA443" s="40" t="inlineStr">
        <is>
          <t>Model A3 from the six ratings, the market-derived weights and rules R1–R13 · then No change · already below the manager</t>
        </is>
      </c>
      <c r="BB443" s="41" t="inlineStr">
        <is>
          <t>A2</t>
        </is>
      </c>
      <c r="BC443" s="40" t="inlineStr">
        <is>
          <t>The six ratings on the market-average weights of Band A · all tracks score 2.15 → A2 · Hay, Mercer IPE and public plans · experience 2.8 yrs vs the A2 market range 0–3</t>
        </is>
      </c>
      <c r="BD443" s="42">
        <f>IF(SUM(BM443,BN443,BO443,BP443,BQ443,BR443,BS443)=0,0,(BM443*BT443+BN443*BU443+BO443*BV443+BP443*BW443+BQ443*BX443+BR443*BY443+BS443*BZ443)/SUM(BM443,BN443,BO443,BP443,BQ443,BR443,BS443))</f>
        <v>0</v>
      </c>
      <c r="BE443" s="41" t="str">
        <f>IF(LEFT(AY443,1)="X",AY443,IF(OR(AY443="B+",AY443="C+"),INDEX(LAD_PC,MAX(1,MIN(14,MATCH(AY443,LAD_PC,0)+IF(BD443&gt;=0.5,1,IF(BD443&lt;=-0.5,-1,0))))),INDEX(LAD_STD,MAX(1,MIN(12,MATCH(AY443,LAD_STD,0)+IF(BD443&gt;=0.5,1,IF(BD443&lt;=-0.5,-1,0)))))))</f>
        <v>A3</v>
      </c>
      <c r="BF443" s="43" t="n"/>
      <c r="BG443" s="41" t="str">
        <f>IF(BF443&lt;&gt;"",BF443,BE443)</f>
        <v>A3</v>
      </c>
      <c r="BH443" s="40" t="str">
        <f>IFERROR(CHOOSE(INDEX(B_RANK,MATCH(BG443,B_LVL,0)),"Band A","Band B","B+ · Player-Coach","Band C","C+ · Player-Coach","Band D","Band E"),"Band X · Consultant")</f>
        <v>Band A</v>
      </c>
      <c r="BI443" s="40" t="str">
        <f>IF(BG443=AY443,"• Same",IF(INDEX(B_VAL,MATCH(BG443,B_LVL,0))&gt;INDEX(B_VAL,MATCH(AY443,B_LVL,0)),"▲ Up","▼ Down"))</f>
        <v>• Same</v>
      </c>
      <c r="BJ443" s="40" t="str">
        <f>IF(OR($M443="",$M443="—",$M443="Not in this file"),"",IFERROR(INDEX($BG$7:$BG$592,MATCH($M443,$D$7:$D$592,0)),""))</f>
        <v>B2</v>
      </c>
      <c r="BK443" s="40" t="str">
        <f>IFERROR(IF(BJ443="","—",IF(OR(LEFT(BG443,1)="X",LEFT(BJ443,1)="X"),"—",IF(AND(LEFT(BG443,1)="E",LEFT(BJ443,1)="E"),"Exception · Band E",IF(AND(INDEX(B_VAL,MATCH(BJ443,B_LVL,0))&gt;=7,INDEX(B_RANK,MATCH(BG443,B_LVL,0))&gt;=INDEX(B_RANK,MATCH(BJ443,B_LVL,0))),"⚠ Same band as a head manager",IF(INDEX(B_VAL,MATCH(BG443,B_LVL,0))&gt;=INDEX(B_VAL,MATCH(BJ443,B_LVL,0)),"⚠ At or above the manager's level","OK"))))),"—")</f>
        <v>OK</v>
      </c>
      <c r="BL443" s="43" t="n"/>
      <c r="BM443" s="44">
        <f>IFERROR(INDEX(LMH_PTS,MATCH(Y443,LMH_KEY,0)),0)</f>
        <v>9</v>
      </c>
      <c r="BN443" s="38">
        <f>IFERROR(INDEX(LMH_PTS,MATCH(Z443,LMH_KEY,0)),0)</f>
        <v>3</v>
      </c>
      <c r="BO443" s="38">
        <f>IFERROR(INDEX(LMH_PTS,MATCH(AA443,LMH_KEY,0)),0)</f>
        <v>3</v>
      </c>
      <c r="BP443" s="38">
        <f>IFERROR(INDEX(LMH_PTS,MATCH(AB443,LMH_KEY,0)),0)</f>
        <v>1</v>
      </c>
      <c r="BQ443" s="38">
        <f>IFERROR(INDEX(LMH_PTS,MATCH(AC443,LMH_KEY,0)),0)</f>
        <v>1</v>
      </c>
      <c r="BR443" s="38">
        <f>IFERROR(INDEX(LMH_PTS,MATCH(AD443,LMH_KEY,0)),0)</f>
        <v>1</v>
      </c>
      <c r="BS443" s="38">
        <f>IFERROR(INDEX(LMH_PTS,MATCH(AE443,LMH_KEY,0)),0)</f>
        <v>1</v>
      </c>
      <c r="BT443" s="38">
        <f>IFERROR(INDEX(LMH_STEP,MATCH(AF443,LMH_KEY,0)),0)</f>
        <v>0</v>
      </c>
      <c r="BU443" s="38">
        <f>IFERROR(INDEX(LMH_STEP,MATCH(AG443,LMH_KEY,0)),0)</f>
        <v>0</v>
      </c>
      <c r="BV443" s="38">
        <f>IFERROR(INDEX(LMH_STEP,MATCH(AH443,LMH_KEY,0)),0)</f>
        <v>0</v>
      </c>
      <c r="BW443" s="38">
        <f>IFERROR(INDEX(LMH_STEP,MATCH(AI443,LMH_KEY,0)),0)</f>
        <v>0</v>
      </c>
      <c r="BX443" s="38">
        <f>IFERROR(INDEX(LMH_STEP,MATCH(AJ443,LMH_KEY,0)),0)</f>
        <v>0</v>
      </c>
      <c r="BY443" s="38">
        <f>IFERROR(INDEX(LMH_STEP,MATCH(AK443,LMH_KEY,0)),0)</f>
        <v>0</v>
      </c>
      <c r="BZ443" s="38">
        <f>IFERROR(INDEX(LMH_STEP,MATCH(AL443,LMH_KEY,0)),0)</f>
        <v>0</v>
      </c>
      <c r="CA443" s="38" t="inlineStr">
        <is>
          <t>iFile|XBRL Consulting|Senior Financial Analyst|A3|A</t>
        </is>
      </c>
    </row>
    <row r="444" ht="110" customHeight="1">
      <c r="A444" s="28" t="inlineStr">
        <is>
          <t>iFile</t>
        </is>
      </c>
      <c r="B444" s="29" t="inlineStr">
        <is>
          <t>XBRL Consulting</t>
        </is>
      </c>
      <c r="C444" s="29" t="n">
        <v>3</v>
      </c>
      <c r="D444" s="29" t="inlineStr">
        <is>
          <t>IRIS2247</t>
        </is>
      </c>
      <c r="E444" s="29" t="inlineStr">
        <is>
          <t>Unnati Kamble</t>
        </is>
      </c>
      <c r="F444" s="29" t="inlineStr">
        <is>
          <t>Consultant</t>
        </is>
      </c>
      <c r="G444" s="29" t="inlineStr">
        <is>
          <t>Senior Taxonomy Analyst</t>
        </is>
      </c>
      <c r="H444" s="29" t="inlineStr">
        <is>
          <t>Consulting &amp; Professional Services</t>
        </is>
      </c>
      <c r="I444" s="29" t="inlineStr">
        <is>
          <t>Taxonomy Design &amp; Regulatory Consulting</t>
        </is>
      </c>
      <c r="J444" s="29" t="inlineStr">
        <is>
          <t>IC</t>
        </is>
      </c>
      <c r="K444" s="29" t="inlineStr">
        <is>
          <t>RC-019</t>
        </is>
      </c>
      <c r="L444" s="29" t="inlineStr">
        <is>
          <t>Shraddha Bagul</t>
        </is>
      </c>
      <c r="M444" s="29" t="inlineStr">
        <is>
          <t>IRIS1035</t>
        </is>
      </c>
      <c r="N444" s="29" t="n">
        <v>7.5</v>
      </c>
      <c r="O444" s="29" t="n">
        <v>2.4</v>
      </c>
      <c r="P444" s="29" t="inlineStr">
        <is>
          <t>CA</t>
        </is>
      </c>
      <c r="Q444" s="29" t="inlineStr">
        <is>
          <t>L3 – Professional / Associate</t>
        </is>
      </c>
      <c r="R444" s="29" t="inlineStr">
        <is>
          <t>A3</t>
        </is>
      </c>
      <c r="S444" s="30" t="inlineStr">
        <is>
          <t>19 of 20</t>
        </is>
      </c>
      <c r="T444" s="31" t="inlineStr">
        <is>
          <t>Complexity: Evidence reads like A3: Analyses regulator data points, develops SRS and CMS, creates validations, tests front end across regulations → matches the start
Autonomy: Evidence reads like A2: Decides tagging and creating validations within assigned projects → moved down 0.5
Accountability: Evidence reads like A2: Accountable for own tagging and …</t>
        </is>
      </c>
      <c r="U444" s="31" t="inlineStr">
        <is>
          <t>Received · manager annual, quarterly · 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t>
        </is>
      </c>
      <c r="V444" s="31" t="inlineStr">
        <is>
          <t>Latest rating: 3 · Potential: Low · 9-box: Misplaced Talent / Enigma · Readiness: Develop in role</t>
        </is>
      </c>
      <c r="W444" s="31" t="inlineStr">
        <is>
          <t>C M · Au M · Ac M · L L · BI M · Exp H · 7.5 yrs vs 2–4 yrs · Edu H · CA</t>
        </is>
      </c>
      <c r="X444" s="33" t="inlineStr">
        <is>
          <t>Open ▸</t>
        </is>
      </c>
      <c r="Y444" s="34" t="str">
        <f>IFERROR(INDEX(DL_C,MATCH($CA444,DL_KEY,0)),"M")</f>
        <v>H</v>
      </c>
      <c r="Z444" s="35" t="str">
        <f>IFERROR(INDEX(DL_Au,MATCH($CA444,DL_KEY,0)),"M")</f>
        <v>M</v>
      </c>
      <c r="AA444" s="35" t="str">
        <f>IFERROR(INDEX(DL_Ac,MATCH($CA444,DL_KEY,0)),"M")</f>
        <v>M</v>
      </c>
      <c r="AB444" s="35" t="str">
        <f>IFERROR(INDEX(DL_L,MATCH($CA444,DL_KEY,0)),"M")</f>
        <v>L</v>
      </c>
      <c r="AC444" s="35" t="str">
        <f>IFERROR(INDEX(DL_BI,MATCH($CA444,DL_KEY,0)),"M")</f>
        <v>L</v>
      </c>
      <c r="AD444" s="35" t="str">
        <f>IFERROR(INDEX(DL_Exp,MATCH($CA444,DL_KEY,0)),"M")</f>
        <v>L</v>
      </c>
      <c r="AE444" s="35" t="str">
        <f>IFERROR(INDEX(DL_Edu,MATCH($CA444,DL_KEY,0)),"M")</f>
        <v>L</v>
      </c>
      <c r="AF444" s="34" t="inlineStr">
        <is>
          <t>M</t>
        </is>
      </c>
      <c r="AG444" s="35" t="inlineStr">
        <is>
          <t>M</t>
        </is>
      </c>
      <c r="AH444" s="35" t="inlineStr">
        <is>
          <t>M</t>
        </is>
      </c>
      <c r="AI444" s="35" t="inlineStr">
        <is>
          <t>M</t>
        </is>
      </c>
      <c r="AJ444" s="35" t="inlineStr">
        <is>
          <t>M</t>
        </is>
      </c>
      <c r="AK444" s="35" t="inlineStr">
        <is>
          <t>M</t>
        </is>
      </c>
      <c r="AL444" s="35" t="inlineStr">
        <is>
          <t>M</t>
        </is>
      </c>
      <c r="AM444" s="36" t="n">
        <v>0.583</v>
      </c>
      <c r="AN444" s="37" t="n">
        <v>0.16</v>
      </c>
      <c r="AO444" s="37" t="n">
        <v>0.09</v>
      </c>
      <c r="AP444" s="37" t="n">
        <v>0</v>
      </c>
      <c r="AQ444" s="37" t="n">
        <v>0.063</v>
      </c>
      <c r="AR444" s="37" t="n">
        <v>0.06</v>
      </c>
      <c r="AS444" s="37" t="n">
        <v>0.04</v>
      </c>
      <c r="AT444" s="38" t="inlineStr">
        <is>
          <t>2–5</t>
        </is>
      </c>
      <c r="AU444" s="38" t="inlineStr">
        <is>
          <t>Graduate; relevant certification preferred</t>
        </is>
      </c>
      <c r="AV444" s="38" t="inlineStr">
        <is>
          <t>None · guides 1–3 juniors informally</t>
        </is>
      </c>
      <c r="AW444" s="38" t="inlineStr">
        <is>
          <t>P2 · SFIA 3 Apply</t>
        </is>
      </c>
      <c r="AX44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44" s="39" t="inlineStr">
        <is>
          <t>A3</t>
        </is>
      </c>
      <c r="AZ444" s="40" t="inlineStr">
        <is>
          <t>Band A · Practitioner · Senior Associate</t>
        </is>
      </c>
      <c r="BA444" s="40" t="inlineStr">
        <is>
          <t>Model A3 from the six ratings, the market-derived weights and rules R1–R13 · then No change · already below the manager</t>
        </is>
      </c>
      <c r="BB444" s="41" t="inlineStr">
        <is>
          <t>A3</t>
        </is>
      </c>
      <c r="BC444" s="40" t="inlineStr">
        <is>
          <t>The six ratings on the market-average weights of Band A · all tracks score 3.14 → A3 · Hay, Mercer IPE and public plans · experience 7.5 yrs vs the A3 market range 2–5</t>
        </is>
      </c>
      <c r="BD444" s="42">
        <f>IF(SUM(BM444,BN444,BO444,BP444,BQ444,BR444,BS444)=0,0,(BM444*BT444+BN444*BU444+BO444*BV444+BP444*BW444+BQ444*BX444+BR444*BY444+BS444*BZ444)/SUM(BM444,BN444,BO444,BP444,BQ444,BR444,BS444))</f>
        <v>0</v>
      </c>
      <c r="BE444" s="41" t="str">
        <f>IF(LEFT(AY444,1)="X",AY444,IF(OR(AY444="B+",AY444="C+"),INDEX(LAD_PC,MAX(1,MIN(14,MATCH(AY444,LAD_PC,0)+IF(BD444&gt;=0.5,1,IF(BD444&lt;=-0.5,-1,0))))),INDEX(LAD_STD,MAX(1,MIN(12,MATCH(AY444,LAD_STD,0)+IF(BD444&gt;=0.5,1,IF(BD444&lt;=-0.5,-1,0)))))))</f>
        <v>A3</v>
      </c>
      <c r="BF444" s="43" t="n"/>
      <c r="BG444" s="41" t="str">
        <f>IF(BF444&lt;&gt;"",BF444,BE444)</f>
        <v>A3</v>
      </c>
      <c r="BH444" s="40" t="str">
        <f>IFERROR(CHOOSE(INDEX(B_RANK,MATCH(BG444,B_LVL,0)),"Band A","Band B","B+ · Player-Coach","Band C","C+ · Player-Coach","Band D","Band E"),"Band X · Consultant")</f>
        <v>Band A</v>
      </c>
      <c r="BI444" s="40" t="str">
        <f>IF(BG444=AY444,"• Same",IF(INDEX(B_VAL,MATCH(BG444,B_LVL,0))&gt;INDEX(B_VAL,MATCH(AY444,B_LVL,0)),"▲ Up","▼ Down"))</f>
        <v>• Same</v>
      </c>
      <c r="BJ444" s="40" t="str">
        <f>IF(OR($M444="",$M444="—",$M444="Not in this file"),"",IFERROR(INDEX($BG$7:$BG$592,MATCH($M444,$D$7:$D$592,0)),""))</f>
        <v>B2</v>
      </c>
      <c r="BK444" s="40" t="str">
        <f>IFERROR(IF(BJ444="","—",IF(OR(LEFT(BG444,1)="X",LEFT(BJ444,1)="X"),"—",IF(AND(LEFT(BG444,1)="E",LEFT(BJ444,1)="E"),"Exception · Band E",IF(AND(INDEX(B_VAL,MATCH(BJ444,B_LVL,0))&gt;=7,INDEX(B_RANK,MATCH(BG444,B_LVL,0))&gt;=INDEX(B_RANK,MATCH(BJ444,B_LVL,0))),"⚠ Same band as a head manager",IF(INDEX(B_VAL,MATCH(BG444,B_LVL,0))&gt;=INDEX(B_VAL,MATCH(BJ444,B_LVL,0)),"⚠ At or above the manager's level","OK"))))),"—")</f>
        <v>OK</v>
      </c>
      <c r="BL444" s="43" t="n"/>
      <c r="BM444" s="44">
        <f>IFERROR(INDEX(LMH_PTS,MATCH(Y444,LMH_KEY,0)),0)</f>
        <v>9</v>
      </c>
      <c r="BN444" s="38">
        <f>IFERROR(INDEX(LMH_PTS,MATCH(Z444,LMH_KEY,0)),0)</f>
        <v>3</v>
      </c>
      <c r="BO444" s="38">
        <f>IFERROR(INDEX(LMH_PTS,MATCH(AA444,LMH_KEY,0)),0)</f>
        <v>3</v>
      </c>
      <c r="BP444" s="38">
        <f>IFERROR(INDEX(LMH_PTS,MATCH(AB444,LMH_KEY,0)),0)</f>
        <v>1</v>
      </c>
      <c r="BQ444" s="38">
        <f>IFERROR(INDEX(LMH_PTS,MATCH(AC444,LMH_KEY,0)),0)</f>
        <v>1</v>
      </c>
      <c r="BR444" s="38">
        <f>IFERROR(INDEX(LMH_PTS,MATCH(AD444,LMH_KEY,0)),0)</f>
        <v>1</v>
      </c>
      <c r="BS444" s="38">
        <f>IFERROR(INDEX(LMH_PTS,MATCH(AE444,LMH_KEY,0)),0)</f>
        <v>1</v>
      </c>
      <c r="BT444" s="38">
        <f>IFERROR(INDEX(LMH_STEP,MATCH(AF444,LMH_KEY,0)),0)</f>
        <v>0</v>
      </c>
      <c r="BU444" s="38">
        <f>IFERROR(INDEX(LMH_STEP,MATCH(AG444,LMH_KEY,0)),0)</f>
        <v>0</v>
      </c>
      <c r="BV444" s="38">
        <f>IFERROR(INDEX(LMH_STEP,MATCH(AH444,LMH_KEY,0)),0)</f>
        <v>0</v>
      </c>
      <c r="BW444" s="38">
        <f>IFERROR(INDEX(LMH_STEP,MATCH(AI444,LMH_KEY,0)),0)</f>
        <v>0</v>
      </c>
      <c r="BX444" s="38">
        <f>IFERROR(INDEX(LMH_STEP,MATCH(AJ444,LMH_KEY,0)),0)</f>
        <v>0</v>
      </c>
      <c r="BY444" s="38">
        <f>IFERROR(INDEX(LMH_STEP,MATCH(AK444,LMH_KEY,0)),0)</f>
        <v>0</v>
      </c>
      <c r="BZ444" s="38">
        <f>IFERROR(INDEX(LMH_STEP,MATCH(AL444,LMH_KEY,0)),0)</f>
        <v>0</v>
      </c>
      <c r="CA444" s="38" t="inlineStr">
        <is>
          <t>iFile|XBRL Consulting|Senior Taxonomy Analyst|A3|A</t>
        </is>
      </c>
    </row>
    <row r="445" ht="110" customHeight="1">
      <c r="A445" s="28" t="inlineStr">
        <is>
          <t>iFile</t>
        </is>
      </c>
      <c r="B445" s="29" t="inlineStr">
        <is>
          <t>XBRL Consulting</t>
        </is>
      </c>
      <c r="C445" s="29" t="n">
        <v>3</v>
      </c>
      <c r="D445" s="29" t="inlineStr">
        <is>
          <t>IRIS2144</t>
        </is>
      </c>
      <c r="E445" s="29" t="inlineStr">
        <is>
          <t>Vaishnavi Deshpande</t>
        </is>
      </c>
      <c r="F445" s="29" t="inlineStr">
        <is>
          <t>Consultant</t>
        </is>
      </c>
      <c r="G445" s="29" t="inlineStr">
        <is>
          <t>Taxonomy Specialist</t>
        </is>
      </c>
      <c r="H445" s="29" t="inlineStr">
        <is>
          <t>Consulting &amp; Professional Services</t>
        </is>
      </c>
      <c r="I445" s="29" t="inlineStr">
        <is>
          <t>Taxonomy Design &amp; Regulatory Consulting</t>
        </is>
      </c>
      <c r="J445" s="29" t="inlineStr">
        <is>
          <t>IC</t>
        </is>
      </c>
      <c r="K445" s="29" t="inlineStr">
        <is>
          <t>RC-019</t>
        </is>
      </c>
      <c r="L445" s="29" t="inlineStr">
        <is>
          <t>Shraddha Bagul</t>
        </is>
      </c>
      <c r="M445" s="29" t="inlineStr">
        <is>
          <t>IRIS1035</t>
        </is>
      </c>
      <c r="N445" s="29" t="n">
        <v>9.199999999999999</v>
      </c>
      <c r="O445" s="29" t="n">
        <v>3.3</v>
      </c>
      <c r="P445" s="29" t="inlineStr">
        <is>
          <t>Cost Accountant</t>
        </is>
      </c>
      <c r="Q445" s="29" t="inlineStr">
        <is>
          <t>L3 – Professional / Associate</t>
        </is>
      </c>
      <c r="R445" s="29" t="inlineStr">
        <is>
          <t>A3</t>
        </is>
      </c>
      <c r="S445" s="30" t="inlineStr">
        <is>
          <t>20 of 20</t>
        </is>
      </c>
      <c r="T445" s="31" t="inlineStr">
        <is>
          <t>Complexity: Evidence reads like A3: Requirement gathering, SRS creation, taxonomy development, client training and support across differing regulator projects → matches the start
Autonomy: Evidence reads like A2: Independent decision named is SRS creation only → moved down 0.5
Accountability: Evidence reads like A3: Requirements and SRS feed taxonomy …</t>
        </is>
      </c>
      <c r="U445" s="31" t="inlineStr">
        <is>
          <t>Received · manager annual, quarterly · 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t>
        </is>
      </c>
      <c r="V445" s="31" t="inlineStr">
        <is>
          <t>Latest rating: 4 · Potential: High · 9-box: High Impact / Growth Talent · Readiness: Ready now</t>
        </is>
      </c>
      <c r="W445" s="31" t="inlineStr">
        <is>
          <t>C M · Au M · Ac M · L L · BI M · Exp H · 9.2 yrs vs 2–4 yrs · Edu H · Cost Accountant</t>
        </is>
      </c>
      <c r="X445" s="33" t="inlineStr">
        <is>
          <t>Open ▸</t>
        </is>
      </c>
      <c r="Y445" s="34" t="str">
        <f>IFERROR(INDEX(DL_C,MATCH($CA445,DL_KEY,0)),"M")</f>
        <v>H</v>
      </c>
      <c r="Z445" s="35" t="str">
        <f>IFERROR(INDEX(DL_Au,MATCH($CA445,DL_KEY,0)),"M")</f>
        <v>M</v>
      </c>
      <c r="AA445" s="35" t="str">
        <f>IFERROR(INDEX(DL_Ac,MATCH($CA445,DL_KEY,0)),"M")</f>
        <v>M</v>
      </c>
      <c r="AB445" s="35" t="str">
        <f>IFERROR(INDEX(DL_L,MATCH($CA445,DL_KEY,0)),"M")</f>
        <v>L</v>
      </c>
      <c r="AC445" s="35" t="str">
        <f>IFERROR(INDEX(DL_BI,MATCH($CA445,DL_KEY,0)),"M")</f>
        <v>L</v>
      </c>
      <c r="AD445" s="35" t="str">
        <f>IFERROR(INDEX(DL_Exp,MATCH($CA445,DL_KEY,0)),"M")</f>
        <v>L</v>
      </c>
      <c r="AE445" s="35" t="str">
        <f>IFERROR(INDEX(DL_Edu,MATCH($CA445,DL_KEY,0)),"M")</f>
        <v>L</v>
      </c>
      <c r="AF445" s="34" t="inlineStr">
        <is>
          <t>M</t>
        </is>
      </c>
      <c r="AG445" s="35" t="inlineStr">
        <is>
          <t>M</t>
        </is>
      </c>
      <c r="AH445" s="35" t="inlineStr">
        <is>
          <t>M</t>
        </is>
      </c>
      <c r="AI445" s="35" t="inlineStr">
        <is>
          <t>M</t>
        </is>
      </c>
      <c r="AJ445" s="35" t="inlineStr">
        <is>
          <t>M</t>
        </is>
      </c>
      <c r="AK445" s="35" t="inlineStr">
        <is>
          <t>M</t>
        </is>
      </c>
      <c r="AL445" s="35" t="inlineStr">
        <is>
          <t>M</t>
        </is>
      </c>
      <c r="AM445" s="36" t="n">
        <v>0.583</v>
      </c>
      <c r="AN445" s="37" t="n">
        <v>0.16</v>
      </c>
      <c r="AO445" s="37" t="n">
        <v>0.09</v>
      </c>
      <c r="AP445" s="37" t="n">
        <v>0</v>
      </c>
      <c r="AQ445" s="37" t="n">
        <v>0.063</v>
      </c>
      <c r="AR445" s="37" t="n">
        <v>0.06</v>
      </c>
      <c r="AS445" s="37" t="n">
        <v>0.04</v>
      </c>
      <c r="AT445" s="38" t="inlineStr">
        <is>
          <t>2–5</t>
        </is>
      </c>
      <c r="AU445" s="38" t="inlineStr">
        <is>
          <t>Graduate; relevant certification preferred</t>
        </is>
      </c>
      <c r="AV445" s="38" t="inlineStr">
        <is>
          <t>None · guides 1–3 juniors informally</t>
        </is>
      </c>
      <c r="AW445" s="38" t="inlineStr">
        <is>
          <t>P2 · SFIA 3 Apply</t>
        </is>
      </c>
      <c r="AX44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45" s="39" t="inlineStr">
        <is>
          <t>A3</t>
        </is>
      </c>
      <c r="AZ445" s="40" t="inlineStr">
        <is>
          <t>Band A · Practitioner · Senior Associate</t>
        </is>
      </c>
      <c r="BA445" s="40" t="inlineStr">
        <is>
          <t>Model A3 from the six ratings, the market-derived weights and rules R1–R13 · then No change · already below the manager</t>
        </is>
      </c>
      <c r="BB445" s="41" t="inlineStr">
        <is>
          <t>A3</t>
        </is>
      </c>
      <c r="BC445" s="40" t="inlineStr">
        <is>
          <t>The six ratings on the market-average weights of Band A · all tracks score 3.27 → A3 · Hay, Mercer IPE and public plans · experience 9.2 yrs vs the A3 market range 2–5</t>
        </is>
      </c>
      <c r="BD445" s="42">
        <f>IF(SUM(BM445,BN445,BO445,BP445,BQ445,BR445,BS445)=0,0,(BM445*BT445+BN445*BU445+BO445*BV445+BP445*BW445+BQ445*BX445+BR445*BY445+BS445*BZ445)/SUM(BM445,BN445,BO445,BP445,BQ445,BR445,BS445))</f>
        <v>0</v>
      </c>
      <c r="BE445" s="41" t="str">
        <f>IF(LEFT(AY445,1)="X",AY445,IF(OR(AY445="B+",AY445="C+"),INDEX(LAD_PC,MAX(1,MIN(14,MATCH(AY445,LAD_PC,0)+IF(BD445&gt;=0.5,1,IF(BD445&lt;=-0.5,-1,0))))),INDEX(LAD_STD,MAX(1,MIN(12,MATCH(AY445,LAD_STD,0)+IF(BD445&gt;=0.5,1,IF(BD445&lt;=-0.5,-1,0)))))))</f>
        <v>A3</v>
      </c>
      <c r="BF445" s="43" t="n"/>
      <c r="BG445" s="41" t="str">
        <f>IF(BF445&lt;&gt;"",BF445,BE445)</f>
        <v>A3</v>
      </c>
      <c r="BH445" s="40" t="str">
        <f>IFERROR(CHOOSE(INDEX(B_RANK,MATCH(BG445,B_LVL,0)),"Band A","Band B","B+ · Player-Coach","Band C","C+ · Player-Coach","Band D","Band E"),"Band X · Consultant")</f>
        <v>Band A</v>
      </c>
      <c r="BI445" s="40" t="str">
        <f>IF(BG445=AY445,"• Same",IF(INDEX(B_VAL,MATCH(BG445,B_LVL,0))&gt;INDEX(B_VAL,MATCH(AY445,B_LVL,0)),"▲ Up","▼ Down"))</f>
        <v>• Same</v>
      </c>
      <c r="BJ445" s="40" t="str">
        <f>IF(OR($M445="",$M445="—",$M445="Not in this file"),"",IFERROR(INDEX($BG$7:$BG$592,MATCH($M445,$D$7:$D$592,0)),""))</f>
        <v>B2</v>
      </c>
      <c r="BK445" s="40" t="str">
        <f>IFERROR(IF(BJ445="","—",IF(OR(LEFT(BG445,1)="X",LEFT(BJ445,1)="X"),"—",IF(AND(LEFT(BG445,1)="E",LEFT(BJ445,1)="E"),"Exception · Band E",IF(AND(INDEX(B_VAL,MATCH(BJ445,B_LVL,0))&gt;=7,INDEX(B_RANK,MATCH(BG445,B_LVL,0))&gt;=INDEX(B_RANK,MATCH(BJ445,B_LVL,0))),"⚠ Same band as a head manager",IF(INDEX(B_VAL,MATCH(BG445,B_LVL,0))&gt;=INDEX(B_VAL,MATCH(BJ445,B_LVL,0)),"⚠ At or above the manager's level","OK"))))),"—")</f>
        <v>OK</v>
      </c>
      <c r="BL445" s="43" t="n"/>
      <c r="BM445" s="44">
        <f>IFERROR(INDEX(LMH_PTS,MATCH(Y445,LMH_KEY,0)),0)</f>
        <v>9</v>
      </c>
      <c r="BN445" s="38">
        <f>IFERROR(INDEX(LMH_PTS,MATCH(Z445,LMH_KEY,0)),0)</f>
        <v>3</v>
      </c>
      <c r="BO445" s="38">
        <f>IFERROR(INDEX(LMH_PTS,MATCH(AA445,LMH_KEY,0)),0)</f>
        <v>3</v>
      </c>
      <c r="BP445" s="38">
        <f>IFERROR(INDEX(LMH_PTS,MATCH(AB445,LMH_KEY,0)),0)</f>
        <v>1</v>
      </c>
      <c r="BQ445" s="38">
        <f>IFERROR(INDEX(LMH_PTS,MATCH(AC445,LMH_KEY,0)),0)</f>
        <v>1</v>
      </c>
      <c r="BR445" s="38">
        <f>IFERROR(INDEX(LMH_PTS,MATCH(AD445,LMH_KEY,0)),0)</f>
        <v>1</v>
      </c>
      <c r="BS445" s="38">
        <f>IFERROR(INDEX(LMH_PTS,MATCH(AE445,LMH_KEY,0)),0)</f>
        <v>1</v>
      </c>
      <c r="BT445" s="38">
        <f>IFERROR(INDEX(LMH_STEP,MATCH(AF445,LMH_KEY,0)),0)</f>
        <v>0</v>
      </c>
      <c r="BU445" s="38">
        <f>IFERROR(INDEX(LMH_STEP,MATCH(AG445,LMH_KEY,0)),0)</f>
        <v>0</v>
      </c>
      <c r="BV445" s="38">
        <f>IFERROR(INDEX(LMH_STEP,MATCH(AH445,LMH_KEY,0)),0)</f>
        <v>0</v>
      </c>
      <c r="BW445" s="38">
        <f>IFERROR(INDEX(LMH_STEP,MATCH(AI445,LMH_KEY,0)),0)</f>
        <v>0</v>
      </c>
      <c r="BX445" s="38">
        <f>IFERROR(INDEX(LMH_STEP,MATCH(AJ445,LMH_KEY,0)),0)</f>
        <v>0</v>
      </c>
      <c r="BY445" s="38">
        <f>IFERROR(INDEX(LMH_STEP,MATCH(AK445,LMH_KEY,0)),0)</f>
        <v>0</v>
      </c>
      <c r="BZ445" s="38">
        <f>IFERROR(INDEX(LMH_STEP,MATCH(AL445,LMH_KEY,0)),0)</f>
        <v>0</v>
      </c>
      <c r="CA445" s="38" t="inlineStr">
        <is>
          <t>iFile|XBRL Consulting|Taxonomy Specialist|A3|A</t>
        </is>
      </c>
    </row>
    <row r="446" ht="110" customHeight="1">
      <c r="A446" s="28" t="inlineStr">
        <is>
          <t>iFile</t>
        </is>
      </c>
      <c r="B446" s="29" t="inlineStr">
        <is>
          <t>XBRL Consulting</t>
        </is>
      </c>
      <c r="C446" s="29" t="n">
        <v>3</v>
      </c>
      <c r="D446" s="29" t="inlineStr">
        <is>
          <t>IRISC322</t>
        </is>
      </c>
      <c r="E446" s="29" t="inlineStr">
        <is>
          <t>Bhanu Vardhan Nelly</t>
        </is>
      </c>
      <c r="F446" s="29" t="inlineStr">
        <is>
          <t>XBRL Conversion Specialist</t>
        </is>
      </c>
      <c r="G446" s="29" t="inlineStr">
        <is>
          <t>Financial Analyst</t>
        </is>
      </c>
      <c r="H446" s="29" t="inlineStr">
        <is>
          <t>Consulting &amp; Professional Services</t>
        </is>
      </c>
      <c r="I446" s="29" t="inlineStr">
        <is>
          <t>XBRL Tagging, Conversion &amp; Filing</t>
        </is>
      </c>
      <c r="J446" s="29" t="inlineStr">
        <is>
          <t>IC</t>
        </is>
      </c>
      <c r="K446" s="29" t="inlineStr">
        <is>
          <t>RC-024</t>
        </is>
      </c>
      <c r="L446" s="29" t="inlineStr">
        <is>
          <t>Shraddha Bagul</t>
        </is>
      </c>
      <c r="M446" s="29" t="inlineStr">
        <is>
          <t>IRIS1035</t>
        </is>
      </c>
      <c r="N446" s="29" t="n">
        <v>1.4</v>
      </c>
      <c r="O446" s="29" t="n">
        <v>0.8</v>
      </c>
      <c r="P446" s="29" t="inlineStr">
        <is>
          <t>Bachelor in Accounting &amp; Finance</t>
        </is>
      </c>
      <c r="Q446" s="29" t="inlineStr">
        <is>
          <t>L3 – Professional / Associate</t>
        </is>
      </c>
      <c r="R446" s="29" t="inlineStr">
        <is>
          <t>A2</t>
        </is>
      </c>
      <c r="S446" s="30" t="inlineStr">
        <is>
          <t>20 of 20</t>
        </is>
      </c>
      <c r="T446" s="31" t="inlineStr">
        <is>
          <t>Complexity: Evidence reads like A2: Analyses financial statements of Malaysian clients and tags them into XBRL for MBRS → matches the start
Autonomy: Evidence reads like A2: Decides data validation only → matches the start
Accountability: Evidence reads like A2: Own XBRL reports and their compliance → matches the start
Leadership: Evidence reads like A1: …</t>
        </is>
      </c>
      <c r="U446" s="31" t="inlineStr">
        <is>
          <t>Received · manager annual, quarterly · 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t>
        </is>
      </c>
      <c r="V446" s="31" t="inlineStr">
        <is>
          <t>Latest rating: 3 · Potential: Medium · 9-box: Core Contributor · Readiness: Develop in role</t>
        </is>
      </c>
      <c r="W446" s="31" t="inlineStr">
        <is>
          <t>C M · Au M · Ac M · L L · BI M · Exp M · 1.4 yrs vs 0–2 yrs · Edu M · Bachelor in Accounting &amp; Finance</t>
        </is>
      </c>
      <c r="X446" s="33" t="inlineStr">
        <is>
          <t>Open ▸</t>
        </is>
      </c>
      <c r="Y446" s="34" t="str">
        <f>IFERROR(INDEX(DL_C,MATCH($CA446,DL_KEY,0)),"M")</f>
        <v>H</v>
      </c>
      <c r="Z446" s="35" t="str">
        <f>IFERROR(INDEX(DL_Au,MATCH($CA446,DL_KEY,0)),"M")</f>
        <v>M</v>
      </c>
      <c r="AA446" s="35" t="str">
        <f>IFERROR(INDEX(DL_Ac,MATCH($CA446,DL_KEY,0)),"M")</f>
        <v>M</v>
      </c>
      <c r="AB446" s="35" t="str">
        <f>IFERROR(INDEX(DL_L,MATCH($CA446,DL_KEY,0)),"M")</f>
        <v>L</v>
      </c>
      <c r="AC446" s="35" t="str">
        <f>IFERROR(INDEX(DL_BI,MATCH($CA446,DL_KEY,0)),"M")</f>
        <v>L</v>
      </c>
      <c r="AD446" s="35" t="str">
        <f>IFERROR(INDEX(DL_Exp,MATCH($CA446,DL_KEY,0)),"M")</f>
        <v>L</v>
      </c>
      <c r="AE446" s="35" t="str">
        <f>IFERROR(INDEX(DL_Edu,MATCH($CA446,DL_KEY,0)),"M")</f>
        <v>L</v>
      </c>
      <c r="AF446" s="34" t="inlineStr">
        <is>
          <t>M</t>
        </is>
      </c>
      <c r="AG446" s="35" t="inlineStr">
        <is>
          <t>M</t>
        </is>
      </c>
      <c r="AH446" s="35" t="inlineStr">
        <is>
          <t>M</t>
        </is>
      </c>
      <c r="AI446" s="35" t="inlineStr">
        <is>
          <t>M</t>
        </is>
      </c>
      <c r="AJ446" s="35" t="inlineStr">
        <is>
          <t>M</t>
        </is>
      </c>
      <c r="AK446" s="35" t="inlineStr">
        <is>
          <t>M</t>
        </is>
      </c>
      <c r="AL446" s="35" t="inlineStr">
        <is>
          <t>M</t>
        </is>
      </c>
      <c r="AM446" s="36" t="n">
        <v>0.583</v>
      </c>
      <c r="AN446" s="37" t="n">
        <v>0.16</v>
      </c>
      <c r="AO446" s="37" t="n">
        <v>0.09</v>
      </c>
      <c r="AP446" s="37" t="n">
        <v>0</v>
      </c>
      <c r="AQ446" s="37" t="n">
        <v>0.063</v>
      </c>
      <c r="AR446" s="37" t="n">
        <v>0.06</v>
      </c>
      <c r="AS446" s="37" t="n">
        <v>0.04</v>
      </c>
      <c r="AT446" s="38" t="inlineStr">
        <is>
          <t>0–3</t>
        </is>
      </c>
      <c r="AU446" s="38" t="inlineStr">
        <is>
          <t>Graduate · or diploma with experience</t>
        </is>
      </c>
      <c r="AV446" s="38" t="inlineStr">
        <is>
          <t>No direct reports</t>
        </is>
      </c>
      <c r="AW446" s="38" t="inlineStr">
        <is>
          <t>P1–P2 · SFIA 2 Assist</t>
        </is>
      </c>
      <c r="AX44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46" s="39" t="inlineStr">
        <is>
          <t>A2</t>
        </is>
      </c>
      <c r="AZ446" s="40" t="inlineStr">
        <is>
          <t>Band A · Practitioner · Associate</t>
        </is>
      </c>
      <c r="BA446" s="40" t="inlineStr">
        <is>
          <t>Model A2 from the six ratings, the market-derived weights and rules R1–R13 · then No change · already below the manager</t>
        </is>
      </c>
      <c r="BB446" s="41" t="inlineStr">
        <is>
          <t>A2</t>
        </is>
      </c>
      <c r="BC446" s="40" t="inlineStr">
        <is>
          <t>The six ratings on the market-average weights of Band A · all tracks score 2.00 → A2 · Hay, Mercer IPE and public plans · experience 1.4 yrs vs the A2 market range 0–3</t>
        </is>
      </c>
      <c r="BD446" s="42">
        <f>IF(SUM(BM446,BN446,BO446,BP446,BQ446,BR446,BS446)=0,0,(BM446*BT446+BN446*BU446+BO446*BV446+BP446*BW446+BQ446*BX446+BR446*BY446+BS446*BZ446)/SUM(BM446,BN446,BO446,BP446,BQ446,BR446,BS446))</f>
        <v>0</v>
      </c>
      <c r="BE446" s="41" t="str">
        <f>IF(LEFT(AY446,1)="X",AY446,IF(OR(AY446="B+",AY446="C+"),INDEX(LAD_PC,MAX(1,MIN(14,MATCH(AY446,LAD_PC,0)+IF(BD446&gt;=0.5,1,IF(BD446&lt;=-0.5,-1,0))))),INDEX(LAD_STD,MAX(1,MIN(12,MATCH(AY446,LAD_STD,0)+IF(BD446&gt;=0.5,1,IF(BD446&lt;=-0.5,-1,0)))))))</f>
        <v>A2</v>
      </c>
      <c r="BF446" s="43" t="n"/>
      <c r="BG446" s="41" t="str">
        <f>IF(BF446&lt;&gt;"",BF446,BE446)</f>
        <v>A2</v>
      </c>
      <c r="BH446" s="40" t="str">
        <f>IFERROR(CHOOSE(INDEX(B_RANK,MATCH(BG446,B_LVL,0)),"Band A","Band B","B+ · Player-Coach","Band C","C+ · Player-Coach","Band D","Band E"),"Band X · Consultant")</f>
        <v>Band A</v>
      </c>
      <c r="BI446" s="40" t="str">
        <f>IF(BG446=AY446,"• Same",IF(INDEX(B_VAL,MATCH(BG446,B_LVL,0))&gt;INDEX(B_VAL,MATCH(AY446,B_LVL,0)),"▲ Up","▼ Down"))</f>
        <v>• Same</v>
      </c>
      <c r="BJ446" s="40" t="str">
        <f>IF(OR($M446="",$M446="—",$M446="Not in this file"),"",IFERROR(INDEX($BG$7:$BG$592,MATCH($M446,$D$7:$D$592,0)),""))</f>
        <v>B2</v>
      </c>
      <c r="BK446" s="40" t="str">
        <f>IFERROR(IF(BJ446="","—",IF(OR(LEFT(BG446,1)="X",LEFT(BJ446,1)="X"),"—",IF(AND(LEFT(BG446,1)="E",LEFT(BJ446,1)="E"),"Exception · Band E",IF(AND(INDEX(B_VAL,MATCH(BJ446,B_LVL,0))&gt;=7,INDEX(B_RANK,MATCH(BG446,B_LVL,0))&gt;=INDEX(B_RANK,MATCH(BJ446,B_LVL,0))),"⚠ Same band as a head manager",IF(INDEX(B_VAL,MATCH(BG446,B_LVL,0))&gt;=INDEX(B_VAL,MATCH(BJ446,B_LVL,0)),"⚠ At or above the manager's level","OK"))))),"—")</f>
        <v>OK</v>
      </c>
      <c r="BL446" s="43" t="n"/>
      <c r="BM446" s="44">
        <f>IFERROR(INDEX(LMH_PTS,MATCH(Y446,LMH_KEY,0)),0)</f>
        <v>9</v>
      </c>
      <c r="BN446" s="38">
        <f>IFERROR(INDEX(LMH_PTS,MATCH(Z446,LMH_KEY,0)),0)</f>
        <v>3</v>
      </c>
      <c r="BO446" s="38">
        <f>IFERROR(INDEX(LMH_PTS,MATCH(AA446,LMH_KEY,0)),0)</f>
        <v>3</v>
      </c>
      <c r="BP446" s="38">
        <f>IFERROR(INDEX(LMH_PTS,MATCH(AB446,LMH_KEY,0)),0)</f>
        <v>1</v>
      </c>
      <c r="BQ446" s="38">
        <f>IFERROR(INDEX(LMH_PTS,MATCH(AC446,LMH_KEY,0)),0)</f>
        <v>1</v>
      </c>
      <c r="BR446" s="38">
        <f>IFERROR(INDEX(LMH_PTS,MATCH(AD446,LMH_KEY,0)),0)</f>
        <v>1</v>
      </c>
      <c r="BS446" s="38">
        <f>IFERROR(INDEX(LMH_PTS,MATCH(AE446,LMH_KEY,0)),0)</f>
        <v>1</v>
      </c>
      <c r="BT446" s="38">
        <f>IFERROR(INDEX(LMH_STEP,MATCH(AF446,LMH_KEY,0)),0)</f>
        <v>0</v>
      </c>
      <c r="BU446" s="38">
        <f>IFERROR(INDEX(LMH_STEP,MATCH(AG446,LMH_KEY,0)),0)</f>
        <v>0</v>
      </c>
      <c r="BV446" s="38">
        <f>IFERROR(INDEX(LMH_STEP,MATCH(AH446,LMH_KEY,0)),0)</f>
        <v>0</v>
      </c>
      <c r="BW446" s="38">
        <f>IFERROR(INDEX(LMH_STEP,MATCH(AI446,LMH_KEY,0)),0)</f>
        <v>0</v>
      </c>
      <c r="BX446" s="38">
        <f>IFERROR(INDEX(LMH_STEP,MATCH(AJ446,LMH_KEY,0)),0)</f>
        <v>0</v>
      </c>
      <c r="BY446" s="38">
        <f>IFERROR(INDEX(LMH_STEP,MATCH(AK446,LMH_KEY,0)),0)</f>
        <v>0</v>
      </c>
      <c r="BZ446" s="38">
        <f>IFERROR(INDEX(LMH_STEP,MATCH(AL446,LMH_KEY,0)),0)</f>
        <v>0</v>
      </c>
      <c r="CA446" s="38" t="inlineStr">
        <is>
          <t>iFile|XBRL Consulting|Financial Analyst|A2|A</t>
        </is>
      </c>
    </row>
    <row r="447" ht="110" customHeight="1">
      <c r="A447" s="28" t="inlineStr">
        <is>
          <t>iFile</t>
        </is>
      </c>
      <c r="B447" s="29" t="inlineStr">
        <is>
          <t>XBRL Consulting</t>
        </is>
      </c>
      <c r="C447" s="29" t="n">
        <v>3</v>
      </c>
      <c r="D447" s="29" t="inlineStr">
        <is>
          <t>IRISC328</t>
        </is>
      </c>
      <c r="E447" s="29" t="inlineStr">
        <is>
          <t>Omkar Parab</t>
        </is>
      </c>
      <c r="F447" s="29" t="inlineStr">
        <is>
          <t>Consultant</t>
        </is>
      </c>
      <c r="G447" s="29" t="inlineStr">
        <is>
          <t>Taxonomy Analyst</t>
        </is>
      </c>
      <c r="H447" s="29" t="inlineStr">
        <is>
          <t>Consulting &amp; Professional Services</t>
        </is>
      </c>
      <c r="I447" s="29" t="inlineStr">
        <is>
          <t>Taxonomy Design &amp; Regulatory Consulting</t>
        </is>
      </c>
      <c r="J447" s="29" t="inlineStr">
        <is>
          <t>IC</t>
        </is>
      </c>
      <c r="K447" s="29" t="inlineStr">
        <is>
          <t>RC-018</t>
        </is>
      </c>
      <c r="L447" s="29" t="inlineStr">
        <is>
          <t>Shraddha Bagul</t>
        </is>
      </c>
      <c r="M447" s="29" t="inlineStr">
        <is>
          <t>IRIS1035</t>
        </is>
      </c>
      <c r="N447" s="29" t="n">
        <v>0.8</v>
      </c>
      <c r="O447" s="29" t="n">
        <v>0.8</v>
      </c>
      <c r="P447" s="29" t="inlineStr">
        <is>
          <t>B.Com</t>
        </is>
      </c>
      <c r="Q447" s="29" t="inlineStr">
        <is>
          <t>L3 – Professional / Associate</t>
        </is>
      </c>
      <c r="R447" s="29" t="inlineStr">
        <is>
          <t>A2</t>
        </is>
      </c>
      <c r="S447" s="30" t="inlineStr">
        <is>
          <t>20 of 20</t>
        </is>
      </c>
      <c r="T447" s="31" t="inlineStr">
        <is>
          <t>Complexity: Evidence reads like A2: Client edit corrections and data validation on XBRL financial reports in Instant → matches the start
Autonomy: Evidence reads like A2: Decides error identification only; routine corrections → matches the start
Accountability: Evidence reads like A2: Accuracy, classification and validation of the financial reports they …</t>
        </is>
      </c>
      <c r="U447" s="31" t="inlineStr">
        <is>
          <t>Received · manager annual, quarterly · 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t>
        </is>
      </c>
      <c r="V447" s="31" t="inlineStr">
        <is>
          <t>Latest rating: 3 · Potential: Low · 9-box: Core Contributor · Readiness: Develop in role</t>
        </is>
      </c>
      <c r="W447" s="31" t="inlineStr">
        <is>
          <t>C M · Au M · Ac M · L L · BI M · Exp M · 0.8 yrs vs 0–2 yrs · Edu M · B.Com</t>
        </is>
      </c>
      <c r="X447" s="33" t="inlineStr">
        <is>
          <t>Open ▸</t>
        </is>
      </c>
      <c r="Y447" s="34" t="str">
        <f>IFERROR(INDEX(DL_C,MATCH($CA447,DL_KEY,0)),"M")</f>
        <v>H</v>
      </c>
      <c r="Z447" s="35" t="str">
        <f>IFERROR(INDEX(DL_Au,MATCH($CA447,DL_KEY,0)),"M")</f>
        <v>M</v>
      </c>
      <c r="AA447" s="35" t="str">
        <f>IFERROR(INDEX(DL_Ac,MATCH($CA447,DL_KEY,0)),"M")</f>
        <v>M</v>
      </c>
      <c r="AB447" s="35" t="str">
        <f>IFERROR(INDEX(DL_L,MATCH($CA447,DL_KEY,0)),"M")</f>
        <v>L</v>
      </c>
      <c r="AC447" s="35" t="str">
        <f>IFERROR(INDEX(DL_BI,MATCH($CA447,DL_KEY,0)),"M")</f>
        <v>L</v>
      </c>
      <c r="AD447" s="35" t="str">
        <f>IFERROR(INDEX(DL_Exp,MATCH($CA447,DL_KEY,0)),"M")</f>
        <v>L</v>
      </c>
      <c r="AE447" s="35" t="str">
        <f>IFERROR(INDEX(DL_Edu,MATCH($CA447,DL_KEY,0)),"M")</f>
        <v>L</v>
      </c>
      <c r="AF447" s="34" t="inlineStr">
        <is>
          <t>M</t>
        </is>
      </c>
      <c r="AG447" s="35" t="inlineStr">
        <is>
          <t>M</t>
        </is>
      </c>
      <c r="AH447" s="35" t="inlineStr">
        <is>
          <t>M</t>
        </is>
      </c>
      <c r="AI447" s="35" t="inlineStr">
        <is>
          <t>M</t>
        </is>
      </c>
      <c r="AJ447" s="35" t="inlineStr">
        <is>
          <t>M</t>
        </is>
      </c>
      <c r="AK447" s="35" t="inlineStr">
        <is>
          <t>M</t>
        </is>
      </c>
      <c r="AL447" s="35" t="inlineStr">
        <is>
          <t>M</t>
        </is>
      </c>
      <c r="AM447" s="36" t="n">
        <v>0.583</v>
      </c>
      <c r="AN447" s="37" t="n">
        <v>0.16</v>
      </c>
      <c r="AO447" s="37" t="n">
        <v>0.09</v>
      </c>
      <c r="AP447" s="37" t="n">
        <v>0</v>
      </c>
      <c r="AQ447" s="37" t="n">
        <v>0.063</v>
      </c>
      <c r="AR447" s="37" t="n">
        <v>0.06</v>
      </c>
      <c r="AS447" s="37" t="n">
        <v>0.04</v>
      </c>
      <c r="AT447" s="38" t="inlineStr">
        <is>
          <t>0–3</t>
        </is>
      </c>
      <c r="AU447" s="38" t="inlineStr">
        <is>
          <t>Graduate · or diploma with experience</t>
        </is>
      </c>
      <c r="AV447" s="38" t="inlineStr">
        <is>
          <t>No direct reports</t>
        </is>
      </c>
      <c r="AW447" s="38" t="inlineStr">
        <is>
          <t>P1–P2 · SFIA 2 Assist</t>
        </is>
      </c>
      <c r="AX44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47" s="39" t="inlineStr">
        <is>
          <t>A2</t>
        </is>
      </c>
      <c r="AZ447" s="40" t="inlineStr">
        <is>
          <t>Band A · Practitioner · Associate</t>
        </is>
      </c>
      <c r="BA447" s="40" t="inlineStr">
        <is>
          <t>Model A2 from the six ratings, the market-derived weights and rules R1–R13 · then No change · already below the manager</t>
        </is>
      </c>
      <c r="BB447" s="41" t="inlineStr">
        <is>
          <t>A2</t>
        </is>
      </c>
      <c r="BC447" s="40" t="inlineStr">
        <is>
          <t>The six ratings on the market-average weights of Band A · all tracks score 2.00 → A2 · Hay, Mercer IPE and public plans · experience 0.8 yrs vs the A2 market range 0–3</t>
        </is>
      </c>
      <c r="BD447" s="42">
        <f>IF(SUM(BM447,BN447,BO447,BP447,BQ447,BR447,BS447)=0,0,(BM447*BT447+BN447*BU447+BO447*BV447+BP447*BW447+BQ447*BX447+BR447*BY447+BS447*BZ447)/SUM(BM447,BN447,BO447,BP447,BQ447,BR447,BS447))</f>
        <v>0</v>
      </c>
      <c r="BE447" s="41" t="str">
        <f>IF(LEFT(AY447,1)="X",AY447,IF(OR(AY447="B+",AY447="C+"),INDEX(LAD_PC,MAX(1,MIN(14,MATCH(AY447,LAD_PC,0)+IF(BD447&gt;=0.5,1,IF(BD447&lt;=-0.5,-1,0))))),INDEX(LAD_STD,MAX(1,MIN(12,MATCH(AY447,LAD_STD,0)+IF(BD447&gt;=0.5,1,IF(BD447&lt;=-0.5,-1,0)))))))</f>
        <v>A2</v>
      </c>
      <c r="BF447" s="43" t="n"/>
      <c r="BG447" s="41" t="str">
        <f>IF(BF447&lt;&gt;"",BF447,BE447)</f>
        <v>A2</v>
      </c>
      <c r="BH447" s="40" t="str">
        <f>IFERROR(CHOOSE(INDEX(B_RANK,MATCH(BG447,B_LVL,0)),"Band A","Band B","B+ · Player-Coach","Band C","C+ · Player-Coach","Band D","Band E"),"Band X · Consultant")</f>
        <v>Band A</v>
      </c>
      <c r="BI447" s="40" t="str">
        <f>IF(BG447=AY447,"• Same",IF(INDEX(B_VAL,MATCH(BG447,B_LVL,0))&gt;INDEX(B_VAL,MATCH(AY447,B_LVL,0)),"▲ Up","▼ Down"))</f>
        <v>• Same</v>
      </c>
      <c r="BJ447" s="40" t="str">
        <f>IF(OR($M447="",$M447="—",$M447="Not in this file"),"",IFERROR(INDEX($BG$7:$BG$592,MATCH($M447,$D$7:$D$592,0)),""))</f>
        <v>B2</v>
      </c>
      <c r="BK447" s="40" t="str">
        <f>IFERROR(IF(BJ447="","—",IF(OR(LEFT(BG447,1)="X",LEFT(BJ447,1)="X"),"—",IF(AND(LEFT(BG447,1)="E",LEFT(BJ447,1)="E"),"Exception · Band E",IF(AND(INDEX(B_VAL,MATCH(BJ447,B_LVL,0))&gt;=7,INDEX(B_RANK,MATCH(BG447,B_LVL,0))&gt;=INDEX(B_RANK,MATCH(BJ447,B_LVL,0))),"⚠ Same band as a head manager",IF(INDEX(B_VAL,MATCH(BG447,B_LVL,0))&gt;=INDEX(B_VAL,MATCH(BJ447,B_LVL,0)),"⚠ At or above the manager's level","OK"))))),"—")</f>
        <v>OK</v>
      </c>
      <c r="BL447" s="43" t="n"/>
      <c r="BM447" s="44">
        <f>IFERROR(INDEX(LMH_PTS,MATCH(Y447,LMH_KEY,0)),0)</f>
        <v>9</v>
      </c>
      <c r="BN447" s="38">
        <f>IFERROR(INDEX(LMH_PTS,MATCH(Z447,LMH_KEY,0)),0)</f>
        <v>3</v>
      </c>
      <c r="BO447" s="38">
        <f>IFERROR(INDEX(LMH_PTS,MATCH(AA447,LMH_KEY,0)),0)</f>
        <v>3</v>
      </c>
      <c r="BP447" s="38">
        <f>IFERROR(INDEX(LMH_PTS,MATCH(AB447,LMH_KEY,0)),0)</f>
        <v>1</v>
      </c>
      <c r="BQ447" s="38">
        <f>IFERROR(INDEX(LMH_PTS,MATCH(AC447,LMH_KEY,0)),0)</f>
        <v>1</v>
      </c>
      <c r="BR447" s="38">
        <f>IFERROR(INDEX(LMH_PTS,MATCH(AD447,LMH_KEY,0)),0)</f>
        <v>1</v>
      </c>
      <c r="BS447" s="38">
        <f>IFERROR(INDEX(LMH_PTS,MATCH(AE447,LMH_KEY,0)),0)</f>
        <v>1</v>
      </c>
      <c r="BT447" s="38">
        <f>IFERROR(INDEX(LMH_STEP,MATCH(AF447,LMH_KEY,0)),0)</f>
        <v>0</v>
      </c>
      <c r="BU447" s="38">
        <f>IFERROR(INDEX(LMH_STEP,MATCH(AG447,LMH_KEY,0)),0)</f>
        <v>0</v>
      </c>
      <c r="BV447" s="38">
        <f>IFERROR(INDEX(LMH_STEP,MATCH(AH447,LMH_KEY,0)),0)</f>
        <v>0</v>
      </c>
      <c r="BW447" s="38">
        <f>IFERROR(INDEX(LMH_STEP,MATCH(AI447,LMH_KEY,0)),0)</f>
        <v>0</v>
      </c>
      <c r="BX447" s="38">
        <f>IFERROR(INDEX(LMH_STEP,MATCH(AJ447,LMH_KEY,0)),0)</f>
        <v>0</v>
      </c>
      <c r="BY447" s="38">
        <f>IFERROR(INDEX(LMH_STEP,MATCH(AK447,LMH_KEY,0)),0)</f>
        <v>0</v>
      </c>
      <c r="BZ447" s="38">
        <f>IFERROR(INDEX(LMH_STEP,MATCH(AL447,LMH_KEY,0)),0)</f>
        <v>0</v>
      </c>
      <c r="CA447" s="38" t="inlineStr">
        <is>
          <t>iFile|XBRL Consulting|Taxonomy Analyst|A2|A</t>
        </is>
      </c>
    </row>
    <row r="448" ht="110" customHeight="1">
      <c r="A448" s="28" t="inlineStr">
        <is>
          <t>iFile</t>
        </is>
      </c>
      <c r="B448" s="29" t="inlineStr">
        <is>
          <t>XBRL Consulting</t>
        </is>
      </c>
      <c r="C448" s="29" t="n">
        <v>3</v>
      </c>
      <c r="D448" s="29" t="inlineStr">
        <is>
          <t>IRISC342</t>
        </is>
      </c>
      <c r="E448" s="29" t="inlineStr">
        <is>
          <t>Prabhash Rajput</t>
        </is>
      </c>
      <c r="F448" s="29" t="inlineStr">
        <is>
          <t>Consultant</t>
        </is>
      </c>
      <c r="G448" s="29" t="inlineStr">
        <is>
          <t>Taxonomy Analyst</t>
        </is>
      </c>
      <c r="H448" s="29" t="inlineStr">
        <is>
          <t>Consulting &amp; Professional Services</t>
        </is>
      </c>
      <c r="I448" s="29" t="inlineStr">
        <is>
          <t>Taxonomy Design &amp; Regulatory Consulting</t>
        </is>
      </c>
      <c r="J448" s="29" t="inlineStr">
        <is>
          <t>IC</t>
        </is>
      </c>
      <c r="K448" s="29" t="inlineStr">
        <is>
          <t>RC-018</t>
        </is>
      </c>
      <c r="L448" s="29" t="inlineStr">
        <is>
          <t>Shraddha Bagul</t>
        </is>
      </c>
      <c r="M448" s="29" t="inlineStr">
        <is>
          <t>IRIS1035</t>
        </is>
      </c>
      <c r="N448" s="29" t="n">
        <v>1.1</v>
      </c>
      <c r="O448" s="29" t="n">
        <v>0.6</v>
      </c>
      <c r="P448" s="29" t="inlineStr">
        <is>
          <t>B.Com</t>
        </is>
      </c>
      <c r="Q448" s="29" t="inlineStr">
        <is>
          <t>L3 – Professional / Associate</t>
        </is>
      </c>
      <c r="R448" s="29" t="inlineStr">
        <is>
          <t>A2</t>
        </is>
      </c>
      <c r="S448" s="30" t="inlineStr">
        <is>
          <t>20 of 20</t>
        </is>
      </c>
      <c r="T448" s="31" t="inlineStr">
        <is>
          <t>Complexity: Evidence reads like A3: Tags annual reports to taxonomy, validates on Bushchat, QCs, explains tagging choices to clients → moved up 0.5
Autonomy: Evidence reads like A2: Decides prior-year report comparison; works to taxonomy mapping and QC steps → matches the start
Accountability: Evidence reads like A2: Accuracy and quality of own XBRL …</t>
        </is>
      </c>
      <c r="U448" s="31" t="inlineStr">
        <is>
          <t>Received · manager annual, quarterly · 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t>
        </is>
      </c>
      <c r="V448" s="31" t="inlineStr">
        <is>
          <t>Latest rating: 3 · Potential: Low · 9-box: Core Contributor · Readiness: Develop in role</t>
        </is>
      </c>
      <c r="W448" s="31" t="inlineStr">
        <is>
          <t>C M · Au M · Ac M · L L · BI M · Exp M · 1.1 yrs vs 0–2 yrs · Edu M · B.Com</t>
        </is>
      </c>
      <c r="X448" s="33" t="inlineStr">
        <is>
          <t>Open ▸</t>
        </is>
      </c>
      <c r="Y448" s="34" t="str">
        <f>IFERROR(INDEX(DL_C,MATCH($CA448,DL_KEY,0)),"M")</f>
        <v>H</v>
      </c>
      <c r="Z448" s="35" t="str">
        <f>IFERROR(INDEX(DL_Au,MATCH($CA448,DL_KEY,0)),"M")</f>
        <v>M</v>
      </c>
      <c r="AA448" s="35" t="str">
        <f>IFERROR(INDEX(DL_Ac,MATCH($CA448,DL_KEY,0)),"M")</f>
        <v>M</v>
      </c>
      <c r="AB448" s="35" t="str">
        <f>IFERROR(INDEX(DL_L,MATCH($CA448,DL_KEY,0)),"M")</f>
        <v>L</v>
      </c>
      <c r="AC448" s="35" t="str">
        <f>IFERROR(INDEX(DL_BI,MATCH($CA448,DL_KEY,0)),"M")</f>
        <v>L</v>
      </c>
      <c r="AD448" s="35" t="str">
        <f>IFERROR(INDEX(DL_Exp,MATCH($CA448,DL_KEY,0)),"M")</f>
        <v>L</v>
      </c>
      <c r="AE448" s="35" t="str">
        <f>IFERROR(INDEX(DL_Edu,MATCH($CA448,DL_KEY,0)),"M")</f>
        <v>L</v>
      </c>
      <c r="AF448" s="34" t="inlineStr">
        <is>
          <t>M</t>
        </is>
      </c>
      <c r="AG448" s="35" t="inlineStr">
        <is>
          <t>M</t>
        </is>
      </c>
      <c r="AH448" s="35" t="inlineStr">
        <is>
          <t>M</t>
        </is>
      </c>
      <c r="AI448" s="35" t="inlineStr">
        <is>
          <t>M</t>
        </is>
      </c>
      <c r="AJ448" s="35" t="inlineStr">
        <is>
          <t>M</t>
        </is>
      </c>
      <c r="AK448" s="35" t="inlineStr">
        <is>
          <t>M</t>
        </is>
      </c>
      <c r="AL448" s="35" t="inlineStr">
        <is>
          <t>M</t>
        </is>
      </c>
      <c r="AM448" s="36" t="n">
        <v>0.583</v>
      </c>
      <c r="AN448" s="37" t="n">
        <v>0.16</v>
      </c>
      <c r="AO448" s="37" t="n">
        <v>0.09</v>
      </c>
      <c r="AP448" s="37" t="n">
        <v>0</v>
      </c>
      <c r="AQ448" s="37" t="n">
        <v>0.063</v>
      </c>
      <c r="AR448" s="37" t="n">
        <v>0.06</v>
      </c>
      <c r="AS448" s="37" t="n">
        <v>0.04</v>
      </c>
      <c r="AT448" s="38" t="inlineStr">
        <is>
          <t>0–3</t>
        </is>
      </c>
      <c r="AU448" s="38" t="inlineStr">
        <is>
          <t>Graduate · or diploma with experience</t>
        </is>
      </c>
      <c r="AV448" s="38" t="inlineStr">
        <is>
          <t>No direct reports</t>
        </is>
      </c>
      <c r="AW448" s="38" t="inlineStr">
        <is>
          <t>P1–P2 · SFIA 2 Assist</t>
        </is>
      </c>
      <c r="AX44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48" s="39" t="inlineStr">
        <is>
          <t>A2</t>
        </is>
      </c>
      <c r="AZ448" s="40" t="inlineStr">
        <is>
          <t>Band A · Practitioner · Associate</t>
        </is>
      </c>
      <c r="BA448" s="40" t="inlineStr">
        <is>
          <t>Model A2 from the six ratings, the market-derived weights and rules R1–R13 · then No change · already below the manager</t>
        </is>
      </c>
      <c r="BB448" s="41" t="inlineStr">
        <is>
          <t>A2</t>
        </is>
      </c>
      <c r="BC448" s="40" t="inlineStr">
        <is>
          <t>The six ratings on the market-average weights of Band A · all tracks score 2.29 → A2 · Hay, Mercer IPE and public plans · experience 1.1 yrs vs the A2 market range 0–3</t>
        </is>
      </c>
      <c r="BD448" s="42">
        <f>IF(SUM(BM448,BN448,BO448,BP448,BQ448,BR448,BS448)=0,0,(BM448*BT448+BN448*BU448+BO448*BV448+BP448*BW448+BQ448*BX448+BR448*BY448+BS448*BZ448)/SUM(BM448,BN448,BO448,BP448,BQ448,BR448,BS448))</f>
        <v>0</v>
      </c>
      <c r="BE448" s="41" t="str">
        <f>IF(LEFT(AY448,1)="X",AY448,IF(OR(AY448="B+",AY448="C+"),INDEX(LAD_PC,MAX(1,MIN(14,MATCH(AY448,LAD_PC,0)+IF(BD448&gt;=0.5,1,IF(BD448&lt;=-0.5,-1,0))))),INDEX(LAD_STD,MAX(1,MIN(12,MATCH(AY448,LAD_STD,0)+IF(BD448&gt;=0.5,1,IF(BD448&lt;=-0.5,-1,0)))))))</f>
        <v>A2</v>
      </c>
      <c r="BF448" s="43" t="n"/>
      <c r="BG448" s="41" t="str">
        <f>IF(BF448&lt;&gt;"",BF448,BE448)</f>
        <v>A2</v>
      </c>
      <c r="BH448" s="40" t="str">
        <f>IFERROR(CHOOSE(INDEX(B_RANK,MATCH(BG448,B_LVL,0)),"Band A","Band B","B+ · Player-Coach","Band C","C+ · Player-Coach","Band D","Band E"),"Band X · Consultant")</f>
        <v>Band A</v>
      </c>
      <c r="BI448" s="40" t="str">
        <f>IF(BG448=AY448,"• Same",IF(INDEX(B_VAL,MATCH(BG448,B_LVL,0))&gt;INDEX(B_VAL,MATCH(AY448,B_LVL,0)),"▲ Up","▼ Down"))</f>
        <v>• Same</v>
      </c>
      <c r="BJ448" s="40" t="str">
        <f>IF(OR($M448="",$M448="—",$M448="Not in this file"),"",IFERROR(INDEX($BG$7:$BG$592,MATCH($M448,$D$7:$D$592,0)),""))</f>
        <v>B2</v>
      </c>
      <c r="BK448" s="40" t="str">
        <f>IFERROR(IF(BJ448="","—",IF(OR(LEFT(BG448,1)="X",LEFT(BJ448,1)="X"),"—",IF(AND(LEFT(BG448,1)="E",LEFT(BJ448,1)="E"),"Exception · Band E",IF(AND(INDEX(B_VAL,MATCH(BJ448,B_LVL,0))&gt;=7,INDEX(B_RANK,MATCH(BG448,B_LVL,0))&gt;=INDEX(B_RANK,MATCH(BJ448,B_LVL,0))),"⚠ Same band as a head manager",IF(INDEX(B_VAL,MATCH(BG448,B_LVL,0))&gt;=INDEX(B_VAL,MATCH(BJ448,B_LVL,0)),"⚠ At or above the manager's level","OK"))))),"—")</f>
        <v>OK</v>
      </c>
      <c r="BL448" s="43" t="n"/>
      <c r="BM448" s="44">
        <f>IFERROR(INDEX(LMH_PTS,MATCH(Y448,LMH_KEY,0)),0)</f>
        <v>9</v>
      </c>
      <c r="BN448" s="38">
        <f>IFERROR(INDEX(LMH_PTS,MATCH(Z448,LMH_KEY,0)),0)</f>
        <v>3</v>
      </c>
      <c r="BO448" s="38">
        <f>IFERROR(INDEX(LMH_PTS,MATCH(AA448,LMH_KEY,0)),0)</f>
        <v>3</v>
      </c>
      <c r="BP448" s="38">
        <f>IFERROR(INDEX(LMH_PTS,MATCH(AB448,LMH_KEY,0)),0)</f>
        <v>1</v>
      </c>
      <c r="BQ448" s="38">
        <f>IFERROR(INDEX(LMH_PTS,MATCH(AC448,LMH_KEY,0)),0)</f>
        <v>1</v>
      </c>
      <c r="BR448" s="38">
        <f>IFERROR(INDEX(LMH_PTS,MATCH(AD448,LMH_KEY,0)),0)</f>
        <v>1</v>
      </c>
      <c r="BS448" s="38">
        <f>IFERROR(INDEX(LMH_PTS,MATCH(AE448,LMH_KEY,0)),0)</f>
        <v>1</v>
      </c>
      <c r="BT448" s="38">
        <f>IFERROR(INDEX(LMH_STEP,MATCH(AF448,LMH_KEY,0)),0)</f>
        <v>0</v>
      </c>
      <c r="BU448" s="38">
        <f>IFERROR(INDEX(LMH_STEP,MATCH(AG448,LMH_KEY,0)),0)</f>
        <v>0</v>
      </c>
      <c r="BV448" s="38">
        <f>IFERROR(INDEX(LMH_STEP,MATCH(AH448,LMH_KEY,0)),0)</f>
        <v>0</v>
      </c>
      <c r="BW448" s="38">
        <f>IFERROR(INDEX(LMH_STEP,MATCH(AI448,LMH_KEY,0)),0)</f>
        <v>0</v>
      </c>
      <c r="BX448" s="38">
        <f>IFERROR(INDEX(LMH_STEP,MATCH(AJ448,LMH_KEY,0)),0)</f>
        <v>0</v>
      </c>
      <c r="BY448" s="38">
        <f>IFERROR(INDEX(LMH_STEP,MATCH(AK448,LMH_KEY,0)),0)</f>
        <v>0</v>
      </c>
      <c r="BZ448" s="38">
        <f>IFERROR(INDEX(LMH_STEP,MATCH(AL448,LMH_KEY,0)),0)</f>
        <v>0</v>
      </c>
      <c r="CA448" s="38" t="inlineStr">
        <is>
          <t>iFile|XBRL Consulting|Taxonomy Analyst|A2|A</t>
        </is>
      </c>
    </row>
    <row r="449" ht="110" customHeight="1">
      <c r="A449" s="28" t="inlineStr">
        <is>
          <t>iFile</t>
        </is>
      </c>
      <c r="B449" s="29" t="inlineStr">
        <is>
          <t>XBRL Consulting</t>
        </is>
      </c>
      <c r="C449" s="29" t="n">
        <v>3</v>
      </c>
      <c r="D449" s="29" t="inlineStr">
        <is>
          <t>IRISC317</t>
        </is>
      </c>
      <c r="E449" s="29" t="inlineStr">
        <is>
          <t>Prajakta Athalye</t>
        </is>
      </c>
      <c r="F449" s="29" t="inlineStr">
        <is>
          <t>XBRL Conversion Specialist</t>
        </is>
      </c>
      <c r="G449" s="29" t="inlineStr">
        <is>
          <t>Financial Analyst</t>
        </is>
      </c>
      <c r="H449" s="29" t="inlineStr">
        <is>
          <t>Consulting &amp; Professional Services</t>
        </is>
      </c>
      <c r="I449" s="29" t="inlineStr">
        <is>
          <t>XBRL Tagging, Conversion &amp; Filing</t>
        </is>
      </c>
      <c r="J449" s="29" t="inlineStr">
        <is>
          <t>IC</t>
        </is>
      </c>
      <c r="K449" s="29" t="inlineStr">
        <is>
          <t>RC-024</t>
        </is>
      </c>
      <c r="L449" s="29" t="inlineStr">
        <is>
          <t>Shraddha Bagul</t>
        </is>
      </c>
      <c r="M449" s="29" t="inlineStr">
        <is>
          <t>IRIS1035</t>
        </is>
      </c>
      <c r="N449" s="29" t="n">
        <v>0.9</v>
      </c>
      <c r="O449" s="29" t="n">
        <v>0.9</v>
      </c>
      <c r="P449" s="29" t="inlineStr">
        <is>
          <t>BBA</t>
        </is>
      </c>
      <c r="Q449" s="29" t="inlineStr">
        <is>
          <t>L3 – Professional / Associate</t>
        </is>
      </c>
      <c r="R449" s="29" t="inlineStr">
        <is>
          <t>A2</t>
        </is>
      </c>
      <c r="S449" s="30" t="inlineStr">
        <is>
          <t>20 of 20</t>
        </is>
      </c>
      <c r="T449" s="31" t="inlineStr">
        <is>
          <t>Complexity: Evidence reads like A2: Converts financial statements to XBRL: mapping, tagging, validation and formatting checks → matches the start
Autonomy: Evidence reads like A2: Performs mapping, tagging, validations and resolves routine errors independently → matches the start
Accountability: Evidence reads like A2: Accuracy of own mapping, tagging, …</t>
        </is>
      </c>
      <c r="U449" s="31" t="inlineStr">
        <is>
          <t>Received · manager annual, quarterly · 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t>
        </is>
      </c>
      <c r="V449" s="31" t="inlineStr">
        <is>
          <t>Latest rating: 3 · Potential: Low · 9-box: Core Contributor · Readiness: Develop in role</t>
        </is>
      </c>
      <c r="W449" s="31" t="inlineStr">
        <is>
          <t>C M · Au M · Ac M · L L · BI M · Exp M · 0.9 yrs vs 0–2 yrs · Edu M · BBA</t>
        </is>
      </c>
      <c r="X449" s="33" t="inlineStr">
        <is>
          <t>Open ▸</t>
        </is>
      </c>
      <c r="Y449" s="34" t="str">
        <f>IFERROR(INDEX(DL_C,MATCH($CA449,DL_KEY,0)),"M")</f>
        <v>H</v>
      </c>
      <c r="Z449" s="35" t="str">
        <f>IFERROR(INDEX(DL_Au,MATCH($CA449,DL_KEY,0)),"M")</f>
        <v>M</v>
      </c>
      <c r="AA449" s="35" t="str">
        <f>IFERROR(INDEX(DL_Ac,MATCH($CA449,DL_KEY,0)),"M")</f>
        <v>M</v>
      </c>
      <c r="AB449" s="35" t="str">
        <f>IFERROR(INDEX(DL_L,MATCH($CA449,DL_KEY,0)),"M")</f>
        <v>L</v>
      </c>
      <c r="AC449" s="35" t="str">
        <f>IFERROR(INDEX(DL_BI,MATCH($CA449,DL_KEY,0)),"M")</f>
        <v>L</v>
      </c>
      <c r="AD449" s="35" t="str">
        <f>IFERROR(INDEX(DL_Exp,MATCH($CA449,DL_KEY,0)),"M")</f>
        <v>L</v>
      </c>
      <c r="AE449" s="35" t="str">
        <f>IFERROR(INDEX(DL_Edu,MATCH($CA449,DL_KEY,0)),"M")</f>
        <v>L</v>
      </c>
      <c r="AF449" s="34" t="inlineStr">
        <is>
          <t>M</t>
        </is>
      </c>
      <c r="AG449" s="35" t="inlineStr">
        <is>
          <t>M</t>
        </is>
      </c>
      <c r="AH449" s="35" t="inlineStr">
        <is>
          <t>M</t>
        </is>
      </c>
      <c r="AI449" s="35" t="inlineStr">
        <is>
          <t>M</t>
        </is>
      </c>
      <c r="AJ449" s="35" t="inlineStr">
        <is>
          <t>M</t>
        </is>
      </c>
      <c r="AK449" s="35" t="inlineStr">
        <is>
          <t>M</t>
        </is>
      </c>
      <c r="AL449" s="35" t="inlineStr">
        <is>
          <t>M</t>
        </is>
      </c>
      <c r="AM449" s="36" t="n">
        <v>0.583</v>
      </c>
      <c r="AN449" s="37" t="n">
        <v>0.16</v>
      </c>
      <c r="AO449" s="37" t="n">
        <v>0.09</v>
      </c>
      <c r="AP449" s="37" t="n">
        <v>0</v>
      </c>
      <c r="AQ449" s="37" t="n">
        <v>0.063</v>
      </c>
      <c r="AR449" s="37" t="n">
        <v>0.06</v>
      </c>
      <c r="AS449" s="37" t="n">
        <v>0.04</v>
      </c>
      <c r="AT449" s="38" t="inlineStr">
        <is>
          <t>0–3</t>
        </is>
      </c>
      <c r="AU449" s="38" t="inlineStr">
        <is>
          <t>Graduate · or diploma with experience</t>
        </is>
      </c>
      <c r="AV449" s="38" t="inlineStr">
        <is>
          <t>No direct reports</t>
        </is>
      </c>
      <c r="AW449" s="38" t="inlineStr">
        <is>
          <t>P1–P2 · SFIA 2 Assist</t>
        </is>
      </c>
      <c r="AX44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49" s="39" t="inlineStr">
        <is>
          <t>A2</t>
        </is>
      </c>
      <c r="AZ449" s="40" t="inlineStr">
        <is>
          <t>Band A · Practitioner · Associate</t>
        </is>
      </c>
      <c r="BA449" s="40" t="inlineStr">
        <is>
          <t>Model A2 from the six ratings, the market-derived weights and rules R1–R13 · then No change · already below the manager</t>
        </is>
      </c>
      <c r="BB449" s="41" t="inlineStr">
        <is>
          <t>A2</t>
        </is>
      </c>
      <c r="BC449" s="40" t="inlineStr">
        <is>
          <t>The six ratings on the market-average weights of Band A · all tracks score 2.00 → A2 · Hay, Mercer IPE and public plans · experience 0.9 yrs vs the A2 market range 0–3</t>
        </is>
      </c>
      <c r="BD449" s="42">
        <f>IF(SUM(BM449,BN449,BO449,BP449,BQ449,BR449,BS449)=0,0,(BM449*BT449+BN449*BU449+BO449*BV449+BP449*BW449+BQ449*BX449+BR449*BY449+BS449*BZ449)/SUM(BM449,BN449,BO449,BP449,BQ449,BR449,BS449))</f>
        <v>0</v>
      </c>
      <c r="BE449" s="41" t="str">
        <f>IF(LEFT(AY449,1)="X",AY449,IF(OR(AY449="B+",AY449="C+"),INDEX(LAD_PC,MAX(1,MIN(14,MATCH(AY449,LAD_PC,0)+IF(BD449&gt;=0.5,1,IF(BD449&lt;=-0.5,-1,0))))),INDEX(LAD_STD,MAX(1,MIN(12,MATCH(AY449,LAD_STD,0)+IF(BD449&gt;=0.5,1,IF(BD449&lt;=-0.5,-1,0)))))))</f>
        <v>A2</v>
      </c>
      <c r="BF449" s="43" t="n"/>
      <c r="BG449" s="41" t="str">
        <f>IF(BF449&lt;&gt;"",BF449,BE449)</f>
        <v>A2</v>
      </c>
      <c r="BH449" s="40" t="str">
        <f>IFERROR(CHOOSE(INDEX(B_RANK,MATCH(BG449,B_LVL,0)),"Band A","Band B","B+ · Player-Coach","Band C","C+ · Player-Coach","Band D","Band E"),"Band X · Consultant")</f>
        <v>Band A</v>
      </c>
      <c r="BI449" s="40" t="str">
        <f>IF(BG449=AY449,"• Same",IF(INDEX(B_VAL,MATCH(BG449,B_LVL,0))&gt;INDEX(B_VAL,MATCH(AY449,B_LVL,0)),"▲ Up","▼ Down"))</f>
        <v>• Same</v>
      </c>
      <c r="BJ449" s="40" t="str">
        <f>IF(OR($M449="",$M449="—",$M449="Not in this file"),"",IFERROR(INDEX($BG$7:$BG$592,MATCH($M449,$D$7:$D$592,0)),""))</f>
        <v>B2</v>
      </c>
      <c r="BK449" s="40" t="str">
        <f>IFERROR(IF(BJ449="","—",IF(OR(LEFT(BG449,1)="X",LEFT(BJ449,1)="X"),"—",IF(AND(LEFT(BG449,1)="E",LEFT(BJ449,1)="E"),"Exception · Band E",IF(AND(INDEX(B_VAL,MATCH(BJ449,B_LVL,0))&gt;=7,INDEX(B_RANK,MATCH(BG449,B_LVL,0))&gt;=INDEX(B_RANK,MATCH(BJ449,B_LVL,0))),"⚠ Same band as a head manager",IF(INDEX(B_VAL,MATCH(BG449,B_LVL,0))&gt;=INDEX(B_VAL,MATCH(BJ449,B_LVL,0)),"⚠ At or above the manager's level","OK"))))),"—")</f>
        <v>OK</v>
      </c>
      <c r="BL449" s="43" t="n"/>
      <c r="BM449" s="44">
        <f>IFERROR(INDEX(LMH_PTS,MATCH(Y449,LMH_KEY,0)),0)</f>
        <v>9</v>
      </c>
      <c r="BN449" s="38">
        <f>IFERROR(INDEX(LMH_PTS,MATCH(Z449,LMH_KEY,0)),0)</f>
        <v>3</v>
      </c>
      <c r="BO449" s="38">
        <f>IFERROR(INDEX(LMH_PTS,MATCH(AA449,LMH_KEY,0)),0)</f>
        <v>3</v>
      </c>
      <c r="BP449" s="38">
        <f>IFERROR(INDEX(LMH_PTS,MATCH(AB449,LMH_KEY,0)),0)</f>
        <v>1</v>
      </c>
      <c r="BQ449" s="38">
        <f>IFERROR(INDEX(LMH_PTS,MATCH(AC449,LMH_KEY,0)),0)</f>
        <v>1</v>
      </c>
      <c r="BR449" s="38">
        <f>IFERROR(INDEX(LMH_PTS,MATCH(AD449,LMH_KEY,0)),0)</f>
        <v>1</v>
      </c>
      <c r="BS449" s="38">
        <f>IFERROR(INDEX(LMH_PTS,MATCH(AE449,LMH_KEY,0)),0)</f>
        <v>1</v>
      </c>
      <c r="BT449" s="38">
        <f>IFERROR(INDEX(LMH_STEP,MATCH(AF449,LMH_KEY,0)),0)</f>
        <v>0</v>
      </c>
      <c r="BU449" s="38">
        <f>IFERROR(INDEX(LMH_STEP,MATCH(AG449,LMH_KEY,0)),0)</f>
        <v>0</v>
      </c>
      <c r="BV449" s="38">
        <f>IFERROR(INDEX(LMH_STEP,MATCH(AH449,LMH_KEY,0)),0)</f>
        <v>0</v>
      </c>
      <c r="BW449" s="38">
        <f>IFERROR(INDEX(LMH_STEP,MATCH(AI449,LMH_KEY,0)),0)</f>
        <v>0</v>
      </c>
      <c r="BX449" s="38">
        <f>IFERROR(INDEX(LMH_STEP,MATCH(AJ449,LMH_KEY,0)),0)</f>
        <v>0</v>
      </c>
      <c r="BY449" s="38">
        <f>IFERROR(INDEX(LMH_STEP,MATCH(AK449,LMH_KEY,0)),0)</f>
        <v>0</v>
      </c>
      <c r="BZ449" s="38">
        <f>IFERROR(INDEX(LMH_STEP,MATCH(AL449,LMH_KEY,0)),0)</f>
        <v>0</v>
      </c>
      <c r="CA449" s="38" t="inlineStr">
        <is>
          <t>iFile|XBRL Consulting|Financial Analyst|A2|A</t>
        </is>
      </c>
    </row>
    <row r="450" ht="110" customHeight="1">
      <c r="A450" s="28" t="inlineStr">
        <is>
          <t>iFile</t>
        </is>
      </c>
      <c r="B450" s="29" t="inlineStr">
        <is>
          <t>XBRL Consulting</t>
        </is>
      </c>
      <c r="C450" s="29" t="n">
        <v>3</v>
      </c>
      <c r="D450" s="29" t="inlineStr">
        <is>
          <t>IRIS2549</t>
        </is>
      </c>
      <c r="E450" s="29" t="inlineStr">
        <is>
          <t>Rinku Pukharam Choudhary</t>
        </is>
      </c>
      <c r="F450" s="29" t="inlineStr">
        <is>
          <t>XBRL Conversion Specialist</t>
        </is>
      </c>
      <c r="G450" s="29" t="inlineStr">
        <is>
          <t>Financial Analyst</t>
        </is>
      </c>
      <c r="H450" s="29" t="inlineStr">
        <is>
          <t>Consulting &amp; Professional Services</t>
        </is>
      </c>
      <c r="I450" s="29" t="inlineStr">
        <is>
          <t>XBRL Tagging, Conversion &amp; Filing</t>
        </is>
      </c>
      <c r="J450" s="29" t="inlineStr">
        <is>
          <t>IC</t>
        </is>
      </c>
      <c r="K450" s="29" t="inlineStr">
        <is>
          <t>RC-024</t>
        </is>
      </c>
      <c r="L450" s="29" t="inlineStr">
        <is>
          <t>Shraddha Bagul</t>
        </is>
      </c>
      <c r="M450" s="29" t="inlineStr">
        <is>
          <t>IRIS1035</t>
        </is>
      </c>
      <c r="N450" s="29" t="n">
        <v>0.2</v>
      </c>
      <c r="O450" s="29" t="n">
        <v>0.2</v>
      </c>
      <c r="P450" s="29" t="inlineStr">
        <is>
          <t>Bachelor of Accounting and Finance</t>
        </is>
      </c>
      <c r="Q450" s="29" t="inlineStr">
        <is>
          <t>L3 – Professional / Associate</t>
        </is>
      </c>
      <c r="R450" s="29" t="inlineStr">
        <is>
          <t>A2</t>
        </is>
      </c>
      <c r="S450" s="30" t="inlineStr">
        <is>
          <t>20 of 20</t>
        </is>
      </c>
      <c r="T450" s="31" t="inlineStr">
        <is>
          <t>Complexity: Evidence reads like A2: Tags Malaysian company filings into XBRL, ACRA testing, text-block and review-copy quality checks → matches the start
Autonomy: Evidence reads like A2: Only independent decision named is downloading company files → matches the start
Accountability: Evidence reads like A2: Accuracy and formatting of reports shared with the …</t>
        </is>
      </c>
      <c r="U450" s="31" t="inlineStr">
        <is>
          <t>Received · manager annual, quarterly · 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t>
        </is>
      </c>
      <c r="V450" s="31" t="inlineStr">
        <is>
          <t>Latest rating: 3 · Potential: Medium · 9-box: Core Contributor · Readiness: Develop in role</t>
        </is>
      </c>
      <c r="W450" s="31" t="inlineStr">
        <is>
          <t>C M · Au M · Ac M · L L · BI M · Exp M · 0.2 yrs vs 0–2 yrs · Edu M · Bachelor of Accounting and Finance</t>
        </is>
      </c>
      <c r="X450" s="33" t="inlineStr">
        <is>
          <t>Open ▸</t>
        </is>
      </c>
      <c r="Y450" s="34" t="str">
        <f>IFERROR(INDEX(DL_C,MATCH($CA450,DL_KEY,0)),"M")</f>
        <v>H</v>
      </c>
      <c r="Z450" s="35" t="str">
        <f>IFERROR(INDEX(DL_Au,MATCH($CA450,DL_KEY,0)),"M")</f>
        <v>M</v>
      </c>
      <c r="AA450" s="35" t="str">
        <f>IFERROR(INDEX(DL_Ac,MATCH($CA450,DL_KEY,0)),"M")</f>
        <v>M</v>
      </c>
      <c r="AB450" s="35" t="str">
        <f>IFERROR(INDEX(DL_L,MATCH($CA450,DL_KEY,0)),"M")</f>
        <v>L</v>
      </c>
      <c r="AC450" s="35" t="str">
        <f>IFERROR(INDEX(DL_BI,MATCH($CA450,DL_KEY,0)),"M")</f>
        <v>L</v>
      </c>
      <c r="AD450" s="35" t="str">
        <f>IFERROR(INDEX(DL_Exp,MATCH($CA450,DL_KEY,0)),"M")</f>
        <v>L</v>
      </c>
      <c r="AE450" s="35" t="str">
        <f>IFERROR(INDEX(DL_Edu,MATCH($CA450,DL_KEY,0)),"M")</f>
        <v>L</v>
      </c>
      <c r="AF450" s="34" t="inlineStr">
        <is>
          <t>M</t>
        </is>
      </c>
      <c r="AG450" s="35" t="inlineStr">
        <is>
          <t>M</t>
        </is>
      </c>
      <c r="AH450" s="35" t="inlineStr">
        <is>
          <t>M</t>
        </is>
      </c>
      <c r="AI450" s="35" t="inlineStr">
        <is>
          <t>M</t>
        </is>
      </c>
      <c r="AJ450" s="35" t="inlineStr">
        <is>
          <t>M</t>
        </is>
      </c>
      <c r="AK450" s="35" t="inlineStr">
        <is>
          <t>M</t>
        </is>
      </c>
      <c r="AL450" s="35" t="inlineStr">
        <is>
          <t>M</t>
        </is>
      </c>
      <c r="AM450" s="36" t="n">
        <v>0.583</v>
      </c>
      <c r="AN450" s="37" t="n">
        <v>0.16</v>
      </c>
      <c r="AO450" s="37" t="n">
        <v>0.09</v>
      </c>
      <c r="AP450" s="37" t="n">
        <v>0</v>
      </c>
      <c r="AQ450" s="37" t="n">
        <v>0.063</v>
      </c>
      <c r="AR450" s="37" t="n">
        <v>0.06</v>
      </c>
      <c r="AS450" s="37" t="n">
        <v>0.04</v>
      </c>
      <c r="AT450" s="38" t="inlineStr">
        <is>
          <t>0–3</t>
        </is>
      </c>
      <c r="AU450" s="38" t="inlineStr">
        <is>
          <t>Graduate · or diploma with experience</t>
        </is>
      </c>
      <c r="AV450" s="38" t="inlineStr">
        <is>
          <t>No direct reports</t>
        </is>
      </c>
      <c r="AW450" s="38" t="inlineStr">
        <is>
          <t>P1–P2 · SFIA 2 Assist</t>
        </is>
      </c>
      <c r="AX45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50" s="39" t="inlineStr">
        <is>
          <t>A2</t>
        </is>
      </c>
      <c r="AZ450" s="40" t="inlineStr">
        <is>
          <t>Band A · Practitioner · Associate</t>
        </is>
      </c>
      <c r="BA450" s="40" t="inlineStr">
        <is>
          <t>Model A2 from the six ratings, the market-derived weights and rules R1–R13 · then No change · already below the manager</t>
        </is>
      </c>
      <c r="BB450" s="41" t="inlineStr">
        <is>
          <t>A2</t>
        </is>
      </c>
      <c r="BC450" s="40" t="inlineStr">
        <is>
          <t>The six ratings on the market-average weights of Band A · all tracks score 1.90 → A2 · Hay, Mercer IPE and public plans · experience 0.2 yrs vs the A2 market range 0–3</t>
        </is>
      </c>
      <c r="BD450" s="42">
        <f>IF(SUM(BM450,BN450,BO450,BP450,BQ450,BR450,BS450)=0,0,(BM450*BT450+BN450*BU450+BO450*BV450+BP450*BW450+BQ450*BX450+BR450*BY450+BS450*BZ450)/SUM(BM450,BN450,BO450,BP450,BQ450,BR450,BS450))</f>
        <v>0</v>
      </c>
      <c r="BE450" s="41" t="str">
        <f>IF(LEFT(AY450,1)="X",AY450,IF(OR(AY450="B+",AY450="C+"),INDEX(LAD_PC,MAX(1,MIN(14,MATCH(AY450,LAD_PC,0)+IF(BD450&gt;=0.5,1,IF(BD450&lt;=-0.5,-1,0))))),INDEX(LAD_STD,MAX(1,MIN(12,MATCH(AY450,LAD_STD,0)+IF(BD450&gt;=0.5,1,IF(BD450&lt;=-0.5,-1,0)))))))</f>
        <v>A2</v>
      </c>
      <c r="BF450" s="43" t="n"/>
      <c r="BG450" s="41" t="str">
        <f>IF(BF450&lt;&gt;"",BF450,BE450)</f>
        <v>A2</v>
      </c>
      <c r="BH450" s="40" t="str">
        <f>IFERROR(CHOOSE(INDEX(B_RANK,MATCH(BG450,B_LVL,0)),"Band A","Band B","B+ · Player-Coach","Band C","C+ · Player-Coach","Band D","Band E"),"Band X · Consultant")</f>
        <v>Band A</v>
      </c>
      <c r="BI450" s="40" t="str">
        <f>IF(BG450=AY450,"• Same",IF(INDEX(B_VAL,MATCH(BG450,B_LVL,0))&gt;INDEX(B_VAL,MATCH(AY450,B_LVL,0)),"▲ Up","▼ Down"))</f>
        <v>• Same</v>
      </c>
      <c r="BJ450" s="40" t="str">
        <f>IF(OR($M450="",$M450="—",$M450="Not in this file"),"",IFERROR(INDEX($BG$7:$BG$592,MATCH($M450,$D$7:$D$592,0)),""))</f>
        <v>B2</v>
      </c>
      <c r="BK450" s="40" t="str">
        <f>IFERROR(IF(BJ450="","—",IF(OR(LEFT(BG450,1)="X",LEFT(BJ450,1)="X"),"—",IF(AND(LEFT(BG450,1)="E",LEFT(BJ450,1)="E"),"Exception · Band E",IF(AND(INDEX(B_VAL,MATCH(BJ450,B_LVL,0))&gt;=7,INDEX(B_RANK,MATCH(BG450,B_LVL,0))&gt;=INDEX(B_RANK,MATCH(BJ450,B_LVL,0))),"⚠ Same band as a head manager",IF(INDEX(B_VAL,MATCH(BG450,B_LVL,0))&gt;=INDEX(B_VAL,MATCH(BJ450,B_LVL,0)),"⚠ At or above the manager's level","OK"))))),"—")</f>
        <v>OK</v>
      </c>
      <c r="BL450" s="43" t="n"/>
      <c r="BM450" s="44">
        <f>IFERROR(INDEX(LMH_PTS,MATCH(Y450,LMH_KEY,0)),0)</f>
        <v>9</v>
      </c>
      <c r="BN450" s="38">
        <f>IFERROR(INDEX(LMH_PTS,MATCH(Z450,LMH_KEY,0)),0)</f>
        <v>3</v>
      </c>
      <c r="BO450" s="38">
        <f>IFERROR(INDEX(LMH_PTS,MATCH(AA450,LMH_KEY,0)),0)</f>
        <v>3</v>
      </c>
      <c r="BP450" s="38">
        <f>IFERROR(INDEX(LMH_PTS,MATCH(AB450,LMH_KEY,0)),0)</f>
        <v>1</v>
      </c>
      <c r="BQ450" s="38">
        <f>IFERROR(INDEX(LMH_PTS,MATCH(AC450,LMH_KEY,0)),0)</f>
        <v>1</v>
      </c>
      <c r="BR450" s="38">
        <f>IFERROR(INDEX(LMH_PTS,MATCH(AD450,LMH_KEY,0)),0)</f>
        <v>1</v>
      </c>
      <c r="BS450" s="38">
        <f>IFERROR(INDEX(LMH_PTS,MATCH(AE450,LMH_KEY,0)),0)</f>
        <v>1</v>
      </c>
      <c r="BT450" s="38">
        <f>IFERROR(INDEX(LMH_STEP,MATCH(AF450,LMH_KEY,0)),0)</f>
        <v>0</v>
      </c>
      <c r="BU450" s="38">
        <f>IFERROR(INDEX(LMH_STEP,MATCH(AG450,LMH_KEY,0)),0)</f>
        <v>0</v>
      </c>
      <c r="BV450" s="38">
        <f>IFERROR(INDEX(LMH_STEP,MATCH(AH450,LMH_KEY,0)),0)</f>
        <v>0</v>
      </c>
      <c r="BW450" s="38">
        <f>IFERROR(INDEX(LMH_STEP,MATCH(AI450,LMH_KEY,0)),0)</f>
        <v>0</v>
      </c>
      <c r="BX450" s="38">
        <f>IFERROR(INDEX(LMH_STEP,MATCH(AJ450,LMH_KEY,0)),0)</f>
        <v>0</v>
      </c>
      <c r="BY450" s="38">
        <f>IFERROR(INDEX(LMH_STEP,MATCH(AK450,LMH_KEY,0)),0)</f>
        <v>0</v>
      </c>
      <c r="BZ450" s="38">
        <f>IFERROR(INDEX(LMH_STEP,MATCH(AL450,LMH_KEY,0)),0)</f>
        <v>0</v>
      </c>
      <c r="CA450" s="38" t="inlineStr">
        <is>
          <t>iFile|XBRL Consulting|Financial Analyst|A2|A</t>
        </is>
      </c>
    </row>
    <row r="451" ht="110" customHeight="1">
      <c r="A451" s="28" t="inlineStr">
        <is>
          <t>iFile</t>
        </is>
      </c>
      <c r="B451" s="29" t="inlineStr">
        <is>
          <t>XBRL Consulting</t>
        </is>
      </c>
      <c r="C451" s="29" t="n">
        <v>2</v>
      </c>
      <c r="D451" s="29" t="inlineStr">
        <is>
          <t>IRIS1618</t>
        </is>
      </c>
      <c r="E451" s="29" t="inlineStr">
        <is>
          <t>Sujeet Rathod</t>
        </is>
      </c>
      <c r="F451" s="29" t="inlineStr">
        <is>
          <t>Lead Consultant</t>
        </is>
      </c>
      <c r="G451" s="29" t="inlineStr">
        <is>
          <t>Manager – Taxonomy Consulting</t>
        </is>
      </c>
      <c r="H451" s="29" t="inlineStr">
        <is>
          <t>Consulting &amp; Professional Services</t>
        </is>
      </c>
      <c r="I451" s="29" t="inlineStr">
        <is>
          <t>Taxonomy Design &amp; Regulatory Consulting</t>
        </is>
      </c>
      <c r="J451" s="29" t="inlineStr">
        <is>
          <t>People Manager</t>
        </is>
      </c>
      <c r="K451" s="29" t="inlineStr">
        <is>
          <t>RC-022</t>
        </is>
      </c>
      <c r="L451" s="29" t="inlineStr">
        <is>
          <t>Rahul Dhamne</t>
        </is>
      </c>
      <c r="M451" s="29" t="inlineStr">
        <is>
          <t>IRIS0362</t>
        </is>
      </c>
      <c r="N451" s="29" t="n">
        <v>14.6</v>
      </c>
      <c r="O451" s="29" t="n">
        <v>9.6</v>
      </c>
      <c r="P451" s="29" t="inlineStr">
        <is>
          <t>ICWA</t>
        </is>
      </c>
      <c r="Q451" s="29" t="inlineStr">
        <is>
          <t>L5 – Lead · IC</t>
        </is>
      </c>
      <c r="R451" s="29" t="inlineStr">
        <is>
          <t>B2</t>
        </is>
      </c>
      <c r="S451" s="30" t="inlineStr">
        <is>
          <t>20 of 20</t>
        </is>
      </c>
      <c r="T451" s="31" t="inlineStr">
        <is>
          <t>Complexity: Evidence reads like B1: Decides taxonomy architecture; XBRL and financial expertise; client training. Very brief answers → moved down 0.5
Autonomy: Evidence reads like B1: Taxonomy architecture decided independently for projects delivered by the team → moved down 0.5
Accountability: Evidence reads like B1: Project deliverables and taxonomy …</t>
        </is>
      </c>
      <c r="U451" s="31" t="inlineStr">
        <is>
          <t>Received · manager annual, quarterly · 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t>
        </is>
      </c>
      <c r="V451" s="31" t="inlineStr">
        <is>
          <t>Latest rating: 5 · Potential: High · 9-box: Future Leader · Readiness: Ready now</t>
        </is>
      </c>
      <c r="W451" s="31" t="inlineStr">
        <is>
          <t>C M · Au M · Ac L · L L · BI M · Exp H · 14.6 yrs vs 6–9 yrs · Edu H · ICWA</t>
        </is>
      </c>
      <c r="X451" s="33" t="inlineStr">
        <is>
          <t>Open ▸</t>
        </is>
      </c>
      <c r="Y451" s="34" t="str">
        <f>IFERROR(INDEX(DL_C,MATCH($CA451,DL_KEY,0)),"M")</f>
        <v>H</v>
      </c>
      <c r="Z451" s="35" t="str">
        <f>IFERROR(INDEX(DL_Au,MATCH($CA451,DL_KEY,0)),"M")</f>
        <v>M</v>
      </c>
      <c r="AA451" s="35" t="str">
        <f>IFERROR(INDEX(DL_Ac,MATCH($CA451,DL_KEY,0)),"M")</f>
        <v>M</v>
      </c>
      <c r="AB451" s="35" t="str">
        <f>IFERROR(INDEX(DL_L,MATCH($CA451,DL_KEY,0)),"M")</f>
        <v>M</v>
      </c>
      <c r="AC451" s="35" t="str">
        <f>IFERROR(INDEX(DL_BI,MATCH($CA451,DL_KEY,0)),"M")</f>
        <v>L</v>
      </c>
      <c r="AD451" s="35" t="str">
        <f>IFERROR(INDEX(DL_Exp,MATCH($CA451,DL_KEY,0)),"M")</f>
        <v>L</v>
      </c>
      <c r="AE451" s="35" t="str">
        <f>IFERROR(INDEX(DL_Edu,MATCH($CA451,DL_KEY,0)),"M")</f>
        <v>L</v>
      </c>
      <c r="AF451" s="34" t="inlineStr">
        <is>
          <t>M</t>
        </is>
      </c>
      <c r="AG451" s="35" t="inlineStr">
        <is>
          <t>M</t>
        </is>
      </c>
      <c r="AH451" s="35" t="inlineStr">
        <is>
          <t>M</t>
        </is>
      </c>
      <c r="AI451" s="35" t="inlineStr">
        <is>
          <t>M</t>
        </is>
      </c>
      <c r="AJ451" s="35" t="inlineStr">
        <is>
          <t>M</t>
        </is>
      </c>
      <c r="AK451" s="35" t="inlineStr">
        <is>
          <t>M</t>
        </is>
      </c>
      <c r="AL451" s="35" t="inlineStr">
        <is>
          <t>M</t>
        </is>
      </c>
      <c r="AM451" s="36" t="n">
        <v>0.37</v>
      </c>
      <c r="AN451" s="37" t="n">
        <v>0.183</v>
      </c>
      <c r="AO451" s="37" t="n">
        <v>0.113</v>
      </c>
      <c r="AP451" s="37" t="n">
        <v>0.15</v>
      </c>
      <c r="AQ451" s="37" t="n">
        <v>0.08699999999999999</v>
      </c>
      <c r="AR451" s="37" t="n">
        <v>0.06</v>
      </c>
      <c r="AS451" s="37" t="n">
        <v>0.04</v>
      </c>
      <c r="AT451" s="38" t="inlineStr">
        <is>
          <t>6–10</t>
        </is>
      </c>
      <c r="AU451" s="38" t="inlineStr">
        <is>
          <t>Graduate or postgraduate; professional qualification preferred</t>
        </is>
      </c>
      <c r="AV451" s="38" t="inlineStr">
        <is>
          <t>IC: none · People: 6–8 knowledge work, 8–12 standardised delivery</t>
        </is>
      </c>
      <c r="AW451" s="38" t="inlineStr">
        <is>
          <t>P4 / M3 · SFIA 4–5</t>
        </is>
      </c>
      <c r="AX45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51" s="39" t="inlineStr">
        <is>
          <t>B2</t>
        </is>
      </c>
      <c r="AZ451" s="40" t="inlineStr">
        <is>
          <t>Band B · Specialist / Manager · Manager</t>
        </is>
      </c>
      <c r="BA451" s="40" t="inlineStr">
        <is>
          <t>Model B2 from the six ratings, the market-derived weights and rules R1–R13 · then No change · already below the manager</t>
        </is>
      </c>
      <c r="BB451" s="41" t="inlineStr">
        <is>
          <t>B2</t>
        </is>
      </c>
      <c r="BC451" s="40" t="inlineStr">
        <is>
          <t>The six ratings on the market-average weights of Band B · People Manager score 4.82 → B2 · Hay, Mercer IPE and public plans · experience 14.6 yrs vs the B2 market range 6–10</t>
        </is>
      </c>
      <c r="BD451" s="42">
        <f>IF(SUM(BM451,BN451,BO451,BP451,BQ451,BR451,BS451)=0,0,(BM451*BT451+BN451*BU451+BO451*BV451+BP451*BW451+BQ451*BX451+BR451*BY451+BS451*BZ451)/SUM(BM451,BN451,BO451,BP451,BQ451,BR451,BS451))</f>
        <v>0</v>
      </c>
      <c r="BE451" s="41" t="str">
        <f>IF(LEFT(AY451,1)="X",AY451,IF(OR(AY451="B+",AY451="C+"),INDEX(LAD_PC,MAX(1,MIN(14,MATCH(AY451,LAD_PC,0)+IF(BD451&gt;=0.5,1,IF(BD451&lt;=-0.5,-1,0))))),INDEX(LAD_STD,MAX(1,MIN(12,MATCH(AY451,LAD_STD,0)+IF(BD451&gt;=0.5,1,IF(BD451&lt;=-0.5,-1,0)))))))</f>
        <v>B2</v>
      </c>
      <c r="BF451" s="43" t="n"/>
      <c r="BG451" s="41" t="str">
        <f>IF(BF451&lt;&gt;"",BF451,BE451)</f>
        <v>B2</v>
      </c>
      <c r="BH451" s="40" t="str">
        <f>IFERROR(CHOOSE(INDEX(B_RANK,MATCH(BG451,B_LVL,0)),"Band A","Band B","B+ · Player-Coach","Band C","C+ · Player-Coach","Band D","Band E"),"Band X · Consultant")</f>
        <v>Band B</v>
      </c>
      <c r="BI451" s="40" t="str">
        <f>IF(BG451=AY451,"• Same",IF(INDEX(B_VAL,MATCH(BG451,B_LVL,0))&gt;INDEX(B_VAL,MATCH(AY451,B_LVL,0)),"▲ Up","▼ Down"))</f>
        <v>• Same</v>
      </c>
      <c r="BJ451" s="40" t="str">
        <f>IF(OR($M451="",$M451="—",$M451="Not in this file"),"",IFERROR(INDEX($BG$7:$BG$592,MATCH($M451,$D$7:$D$592,0)),""))</f>
        <v>C2</v>
      </c>
      <c r="BK451" s="40" t="str">
        <f>IFERROR(IF(BJ451="","—",IF(OR(LEFT(BG451,1)="X",LEFT(BJ451,1)="X"),"—",IF(AND(LEFT(BG451,1)="E",LEFT(BJ451,1)="E"),"Exception · Band E",IF(AND(INDEX(B_VAL,MATCH(BJ451,B_LVL,0))&gt;=7,INDEX(B_RANK,MATCH(BG451,B_LVL,0))&gt;=INDEX(B_RANK,MATCH(BJ451,B_LVL,0))),"⚠ Same band as a head manager",IF(INDEX(B_VAL,MATCH(BG451,B_LVL,0))&gt;=INDEX(B_VAL,MATCH(BJ451,B_LVL,0)),"⚠ At or above the manager's level","OK"))))),"—")</f>
        <v>OK</v>
      </c>
      <c r="BL451" s="43" t="n"/>
      <c r="BM451" s="44">
        <f>IFERROR(INDEX(LMH_PTS,MATCH(Y451,LMH_KEY,0)),0)</f>
        <v>9</v>
      </c>
      <c r="BN451" s="38">
        <f>IFERROR(INDEX(LMH_PTS,MATCH(Z451,LMH_KEY,0)),0)</f>
        <v>3</v>
      </c>
      <c r="BO451" s="38">
        <f>IFERROR(INDEX(LMH_PTS,MATCH(AA451,LMH_KEY,0)),0)</f>
        <v>3</v>
      </c>
      <c r="BP451" s="38">
        <f>IFERROR(INDEX(LMH_PTS,MATCH(AB451,LMH_KEY,0)),0)</f>
        <v>3</v>
      </c>
      <c r="BQ451" s="38">
        <f>IFERROR(INDEX(LMH_PTS,MATCH(AC451,LMH_KEY,0)),0)</f>
        <v>1</v>
      </c>
      <c r="BR451" s="38">
        <f>IFERROR(INDEX(LMH_PTS,MATCH(AD451,LMH_KEY,0)),0)</f>
        <v>1</v>
      </c>
      <c r="BS451" s="38">
        <f>IFERROR(INDEX(LMH_PTS,MATCH(AE451,LMH_KEY,0)),0)</f>
        <v>1</v>
      </c>
      <c r="BT451" s="38">
        <f>IFERROR(INDEX(LMH_STEP,MATCH(AF451,LMH_KEY,0)),0)</f>
        <v>0</v>
      </c>
      <c r="BU451" s="38">
        <f>IFERROR(INDEX(LMH_STEP,MATCH(AG451,LMH_KEY,0)),0)</f>
        <v>0</v>
      </c>
      <c r="BV451" s="38">
        <f>IFERROR(INDEX(LMH_STEP,MATCH(AH451,LMH_KEY,0)),0)</f>
        <v>0</v>
      </c>
      <c r="BW451" s="38">
        <f>IFERROR(INDEX(LMH_STEP,MATCH(AI451,LMH_KEY,0)),0)</f>
        <v>0</v>
      </c>
      <c r="BX451" s="38">
        <f>IFERROR(INDEX(LMH_STEP,MATCH(AJ451,LMH_KEY,0)),0)</f>
        <v>0</v>
      </c>
      <c r="BY451" s="38">
        <f>IFERROR(INDEX(LMH_STEP,MATCH(AK451,LMH_KEY,0)),0)</f>
        <v>0</v>
      </c>
      <c r="BZ451" s="38">
        <f>IFERROR(INDEX(LMH_STEP,MATCH(AL451,LMH_KEY,0)),0)</f>
        <v>0</v>
      </c>
      <c r="CA451" s="38" t="inlineStr">
        <is>
          <t>iFile|XBRL Consulting|Manager – Taxonomy Consulting|B2|B-M</t>
        </is>
      </c>
    </row>
    <row r="452" ht="110" customHeight="1">
      <c r="A452" s="28" t="inlineStr">
        <is>
          <t>iFile</t>
        </is>
      </c>
      <c r="B452" s="29" t="inlineStr">
        <is>
          <t>XBRL Consulting</t>
        </is>
      </c>
      <c r="C452" s="29" t="n">
        <v>3</v>
      </c>
      <c r="D452" s="29" t="inlineStr">
        <is>
          <t>IRIS0050</t>
        </is>
      </c>
      <c r="E452" s="29" t="inlineStr">
        <is>
          <t>Prashant Ramakant Wagh</t>
        </is>
      </c>
      <c r="F452" s="29" t="inlineStr">
        <is>
          <t>Consultant</t>
        </is>
      </c>
      <c r="G452" s="29" t="inlineStr">
        <is>
          <t>Taxonomy Specialist</t>
        </is>
      </c>
      <c r="H452" s="29" t="inlineStr">
        <is>
          <t>Consulting &amp; Professional Services</t>
        </is>
      </c>
      <c r="I452" s="29" t="inlineStr">
        <is>
          <t>Taxonomy Design &amp; Regulatory Consulting</t>
        </is>
      </c>
      <c r="J452" s="29" t="inlineStr">
        <is>
          <t>IC</t>
        </is>
      </c>
      <c r="K452" s="29" t="inlineStr">
        <is>
          <t>RC-020</t>
        </is>
      </c>
      <c r="L452" s="29" t="inlineStr">
        <is>
          <t>Sujeet Rathod</t>
        </is>
      </c>
      <c r="M452" s="29" t="inlineStr">
        <is>
          <t>IRIS1618</t>
        </is>
      </c>
      <c r="N452" s="29" t="n">
        <v>20.4</v>
      </c>
      <c r="O452" s="29" t="n">
        <v>20</v>
      </c>
      <c r="P452" s="29" t="inlineStr">
        <is>
          <t>B.Com</t>
        </is>
      </c>
      <c r="Q452" s="29" t="inlineStr">
        <is>
          <t>L3 – Professional / Associate</t>
        </is>
      </c>
      <c r="R452" s="29" t="inlineStr">
        <is>
          <t>B1</t>
        </is>
      </c>
      <c r="S452" s="30" t="inlineStr">
        <is>
          <t>20 of 20</t>
        </is>
      </c>
      <c r="T452" s="31" t="inlineStr">
        <is>
          <t>Complexity: Evidence reads like A3: Gathers regulator requirements, develops taxonomies, CMS and business validations across several projects at once → matches the start
Autonomy: Evidence reads like A2: Decides own approach to completing tasks → moved down 0.5
Accountability: Evidence reads like A3: own survey / KRA answers · summarised by the rater; not …</t>
        </is>
      </c>
      <c r="U452" s="31" t="inlineStr">
        <is>
          <t>Received · manager annual, quarterly · 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t>
        </is>
      </c>
      <c r="V452" s="31" t="inlineStr">
        <is>
          <t>Latest rating: 4 · Potential: Medium · 9-box: Trusted Professional · Readiness: Ready in 6–12 months</t>
        </is>
      </c>
      <c r="W452" s="31" t="inlineStr">
        <is>
          <t>C L · Au L · Ac L · L L · BI L · Exp H · 20.4 yrs vs 4–7 yrs · Edu M · B.Com</t>
        </is>
      </c>
      <c r="X452" s="33" t="inlineStr">
        <is>
          <t>Open ▸</t>
        </is>
      </c>
      <c r="Y452" s="34" t="str">
        <f>IFERROR(INDEX(DL_C,MATCH($CA452,DL_KEY,0)),"M")</f>
        <v>H</v>
      </c>
      <c r="Z452" s="35" t="str">
        <f>IFERROR(INDEX(DL_Au,MATCH($CA452,DL_KEY,0)),"M")</f>
        <v>M</v>
      </c>
      <c r="AA452" s="35" t="str">
        <f>IFERROR(INDEX(DL_Ac,MATCH($CA452,DL_KEY,0)),"M")</f>
        <v>M</v>
      </c>
      <c r="AB452" s="35" t="str">
        <f>IFERROR(INDEX(DL_L,MATCH($CA452,DL_KEY,0)),"M")</f>
        <v>L</v>
      </c>
      <c r="AC452" s="35" t="str">
        <f>IFERROR(INDEX(DL_BI,MATCH($CA452,DL_KEY,0)),"M")</f>
        <v>L</v>
      </c>
      <c r="AD452" s="35" t="str">
        <f>IFERROR(INDEX(DL_Exp,MATCH($CA452,DL_KEY,0)),"M")</f>
        <v>L</v>
      </c>
      <c r="AE452" s="35" t="str">
        <f>IFERROR(INDEX(DL_Edu,MATCH($CA452,DL_KEY,0)),"M")</f>
        <v>L</v>
      </c>
      <c r="AF452" s="34" t="inlineStr">
        <is>
          <t>M</t>
        </is>
      </c>
      <c r="AG452" s="35" t="inlineStr">
        <is>
          <t>M</t>
        </is>
      </c>
      <c r="AH452" s="35" t="inlineStr">
        <is>
          <t>M</t>
        </is>
      </c>
      <c r="AI452" s="35" t="inlineStr">
        <is>
          <t>M</t>
        </is>
      </c>
      <c r="AJ452" s="35" t="inlineStr">
        <is>
          <t>M</t>
        </is>
      </c>
      <c r="AK452" s="35" t="inlineStr">
        <is>
          <t>M</t>
        </is>
      </c>
      <c r="AL452" s="35" t="inlineStr">
        <is>
          <t>M</t>
        </is>
      </c>
      <c r="AM452" s="36" t="n">
        <v>0.513</v>
      </c>
      <c r="AN452" s="37" t="n">
        <v>0.173</v>
      </c>
      <c r="AO452" s="37" t="n">
        <v>0.09699999999999999</v>
      </c>
      <c r="AP452" s="37" t="n">
        <v>0.05</v>
      </c>
      <c r="AQ452" s="37" t="n">
        <v>0.07000000000000001</v>
      </c>
      <c r="AR452" s="37" t="n">
        <v>0.06</v>
      </c>
      <c r="AS452" s="37" t="n">
        <v>0.04</v>
      </c>
      <c r="AT452" s="38" t="inlineStr">
        <is>
          <t>4–8</t>
        </is>
      </c>
      <c r="AU452" s="38" t="inlineStr">
        <is>
          <t>Graduate + relevant qualification or certification preferred</t>
        </is>
      </c>
      <c r="AV452" s="38" t="inlineStr">
        <is>
          <t>IC: none · Team Lead: 3–5</t>
        </is>
      </c>
      <c r="AW452" s="38" t="inlineStr">
        <is>
          <t>P3 / M2 · SFIA 4 Enable</t>
        </is>
      </c>
      <c r="AX45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52" s="39" t="inlineStr">
        <is>
          <t>B1</t>
        </is>
      </c>
      <c r="AZ452" s="40" t="inlineStr">
        <is>
          <t>Band B · Specialist / Manager · Specialist</t>
        </is>
      </c>
      <c r="BA452" s="40" t="inlineStr">
        <is>
          <t>Model B1 from the six ratings, the market-derived weights and rules R1–R13 · then No change · already below the manager</t>
        </is>
      </c>
      <c r="BB452" s="41" t="inlineStr">
        <is>
          <t>B1</t>
        </is>
      </c>
      <c r="BC452" s="40" t="inlineStr">
        <is>
          <t>The six ratings on the market-average weights of Band B · Specialist / POD Lead score 3.54 → B1 · Hay, Mercer IPE and public plans · experience 20.4 yrs vs the B1 market range 4–8</t>
        </is>
      </c>
      <c r="BD452" s="42">
        <f>IF(SUM(BM452,BN452,BO452,BP452,BQ452,BR452,BS452)=0,0,(BM452*BT452+BN452*BU452+BO452*BV452+BP452*BW452+BQ452*BX452+BR452*BY452+BS452*BZ452)/SUM(BM452,BN452,BO452,BP452,BQ452,BR452,BS452))</f>
        <v>0</v>
      </c>
      <c r="BE452" s="41" t="str">
        <f>IF(LEFT(AY452,1)="X",AY452,IF(OR(AY452="B+",AY452="C+"),INDEX(LAD_PC,MAX(1,MIN(14,MATCH(AY452,LAD_PC,0)+IF(BD452&gt;=0.5,1,IF(BD452&lt;=-0.5,-1,0))))),INDEX(LAD_STD,MAX(1,MIN(12,MATCH(AY452,LAD_STD,0)+IF(BD452&gt;=0.5,1,IF(BD452&lt;=-0.5,-1,0)))))))</f>
        <v>B1</v>
      </c>
      <c r="BF452" s="43" t="n"/>
      <c r="BG452" s="41" t="str">
        <f>IF(BF452&lt;&gt;"",BF452,BE452)</f>
        <v>B1</v>
      </c>
      <c r="BH452" s="40" t="str">
        <f>IFERROR(CHOOSE(INDEX(B_RANK,MATCH(BG452,B_LVL,0)),"Band A","Band B","B+ · Player-Coach","Band C","C+ · Player-Coach","Band D","Band E"),"Band X · Consultant")</f>
        <v>Band B</v>
      </c>
      <c r="BI452" s="40" t="str">
        <f>IF(BG452=AY452,"• Same",IF(INDEX(B_VAL,MATCH(BG452,B_LVL,0))&gt;INDEX(B_VAL,MATCH(AY452,B_LVL,0)),"▲ Up","▼ Down"))</f>
        <v>• Same</v>
      </c>
      <c r="BJ452" s="40" t="str">
        <f>IF(OR($M452="",$M452="—",$M452="Not in this file"),"",IFERROR(INDEX($BG$7:$BG$592,MATCH($M452,$D$7:$D$592,0)),""))</f>
        <v>B2</v>
      </c>
      <c r="BK452" s="40" t="str">
        <f>IFERROR(IF(BJ452="","—",IF(OR(LEFT(BG452,1)="X",LEFT(BJ452,1)="X"),"—",IF(AND(LEFT(BG452,1)="E",LEFT(BJ452,1)="E"),"Exception · Band E",IF(AND(INDEX(B_VAL,MATCH(BJ452,B_LVL,0))&gt;=7,INDEX(B_RANK,MATCH(BG452,B_LVL,0))&gt;=INDEX(B_RANK,MATCH(BJ452,B_LVL,0))),"⚠ Same band as a head manager",IF(INDEX(B_VAL,MATCH(BG452,B_LVL,0))&gt;=INDEX(B_VAL,MATCH(BJ452,B_LVL,0)),"⚠ At or above the manager's level","OK"))))),"—")</f>
        <v>OK</v>
      </c>
      <c r="BL452" s="43" t="n"/>
      <c r="BM452" s="44">
        <f>IFERROR(INDEX(LMH_PTS,MATCH(Y452,LMH_KEY,0)),0)</f>
        <v>9</v>
      </c>
      <c r="BN452" s="38">
        <f>IFERROR(INDEX(LMH_PTS,MATCH(Z452,LMH_KEY,0)),0)</f>
        <v>3</v>
      </c>
      <c r="BO452" s="38">
        <f>IFERROR(INDEX(LMH_PTS,MATCH(AA452,LMH_KEY,0)),0)</f>
        <v>3</v>
      </c>
      <c r="BP452" s="38">
        <f>IFERROR(INDEX(LMH_PTS,MATCH(AB452,LMH_KEY,0)),0)</f>
        <v>1</v>
      </c>
      <c r="BQ452" s="38">
        <f>IFERROR(INDEX(LMH_PTS,MATCH(AC452,LMH_KEY,0)),0)</f>
        <v>1</v>
      </c>
      <c r="BR452" s="38">
        <f>IFERROR(INDEX(LMH_PTS,MATCH(AD452,LMH_KEY,0)),0)</f>
        <v>1</v>
      </c>
      <c r="BS452" s="38">
        <f>IFERROR(INDEX(LMH_PTS,MATCH(AE452,LMH_KEY,0)),0)</f>
        <v>1</v>
      </c>
      <c r="BT452" s="38">
        <f>IFERROR(INDEX(LMH_STEP,MATCH(AF452,LMH_KEY,0)),0)</f>
        <v>0</v>
      </c>
      <c r="BU452" s="38">
        <f>IFERROR(INDEX(LMH_STEP,MATCH(AG452,LMH_KEY,0)),0)</f>
        <v>0</v>
      </c>
      <c r="BV452" s="38">
        <f>IFERROR(INDEX(LMH_STEP,MATCH(AH452,LMH_KEY,0)),0)</f>
        <v>0</v>
      </c>
      <c r="BW452" s="38">
        <f>IFERROR(INDEX(LMH_STEP,MATCH(AI452,LMH_KEY,0)),0)</f>
        <v>0</v>
      </c>
      <c r="BX452" s="38">
        <f>IFERROR(INDEX(LMH_STEP,MATCH(AJ452,LMH_KEY,0)),0)</f>
        <v>0</v>
      </c>
      <c r="BY452" s="38">
        <f>IFERROR(INDEX(LMH_STEP,MATCH(AK452,LMH_KEY,0)),0)</f>
        <v>0</v>
      </c>
      <c r="BZ452" s="38">
        <f>IFERROR(INDEX(LMH_STEP,MATCH(AL452,LMH_KEY,0)),0)</f>
        <v>0</v>
      </c>
      <c r="CA452" s="38" t="inlineStr">
        <is>
          <t>iFile|XBRL Consulting|Taxonomy Specialist|B1|B-IC</t>
        </is>
      </c>
    </row>
    <row r="453" ht="110" customHeight="1">
      <c r="A453" s="28" t="inlineStr">
        <is>
          <t>iFile</t>
        </is>
      </c>
      <c r="B453" s="29" t="inlineStr">
        <is>
          <t>XBRL Consulting</t>
        </is>
      </c>
      <c r="C453" s="29" t="n">
        <v>3</v>
      </c>
      <c r="D453" s="29" t="inlineStr">
        <is>
          <t>IRIS0022</t>
        </is>
      </c>
      <c r="E453" s="29" t="inlineStr">
        <is>
          <t>Bhushan Patkar</t>
        </is>
      </c>
      <c r="F453" s="29" t="inlineStr">
        <is>
          <t>Senior Analyst</t>
        </is>
      </c>
      <c r="G453" s="29" t="inlineStr">
        <is>
          <t>Senior Taxonomy Analyst</t>
        </is>
      </c>
      <c r="H453" s="29" t="inlineStr">
        <is>
          <t>Consulting &amp; Professional Services</t>
        </is>
      </c>
      <c r="I453" s="29" t="inlineStr">
        <is>
          <t>Taxonomy Design &amp; Regulatory Consulting</t>
        </is>
      </c>
      <c r="J453" s="29" t="inlineStr">
        <is>
          <t>IC</t>
        </is>
      </c>
      <c r="K453" s="29" t="inlineStr">
        <is>
          <t>RC-019</t>
        </is>
      </c>
      <c r="L453" s="29" t="inlineStr">
        <is>
          <t>Sujeet Rathod</t>
        </is>
      </c>
      <c r="M453" s="29" t="inlineStr">
        <is>
          <t>IRIS1618</t>
        </is>
      </c>
      <c r="N453" s="29" t="n">
        <v>21.6</v>
      </c>
      <c r="O453" s="29" t="n">
        <v>21.6</v>
      </c>
      <c r="P453" s="29" t="inlineStr">
        <is>
          <t>B.Com</t>
        </is>
      </c>
      <c r="Q453" s="29" t="inlineStr">
        <is>
          <t>L4 – Senior</t>
        </is>
      </c>
      <c r="R453" s="29" t="inlineStr">
        <is>
          <t>A3</t>
        </is>
      </c>
      <c r="S453" s="30" t="inlineStr">
        <is>
          <t>19 of 20</t>
        </is>
      </c>
      <c r="T453" s="31" t="inlineStr">
        <is>
          <t>Complexity: Evidence reads like A3: Template creation, requirement gathering, formula creation, client query solving, tool testing; terse → matches the start
Autonomy: Evidence reads like A2: Decides formula creation only → moved down 0.5
Accountability: Evidence reads like A2: Taxonomy package named without detail; consequence is rework and retesting → …</t>
        </is>
      </c>
      <c r="U453" s="31" t="inlineStr">
        <is>
          <t>Received · manager annual, quarterly · 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t>
        </is>
      </c>
      <c r="V453" s="31" t="inlineStr">
        <is>
          <t>Latest rating: 3 · Potential: Medium · 9-box: Trusted Professional · Readiness: Develop in role</t>
        </is>
      </c>
      <c r="W453" s="31" t="inlineStr">
        <is>
          <t>C M · Au M · Ac M · L L · BI M · Exp H · 21.6 yrs vs 2–4 yrs · Edu M · B.Com</t>
        </is>
      </c>
      <c r="X453" s="33" t="inlineStr">
        <is>
          <t>Open ▸</t>
        </is>
      </c>
      <c r="Y453" s="34" t="str">
        <f>IFERROR(INDEX(DL_C,MATCH($CA453,DL_KEY,0)),"M")</f>
        <v>H</v>
      </c>
      <c r="Z453" s="35" t="str">
        <f>IFERROR(INDEX(DL_Au,MATCH($CA453,DL_KEY,0)),"M")</f>
        <v>M</v>
      </c>
      <c r="AA453" s="35" t="str">
        <f>IFERROR(INDEX(DL_Ac,MATCH($CA453,DL_KEY,0)),"M")</f>
        <v>M</v>
      </c>
      <c r="AB453" s="35" t="str">
        <f>IFERROR(INDEX(DL_L,MATCH($CA453,DL_KEY,0)),"M")</f>
        <v>L</v>
      </c>
      <c r="AC453" s="35" t="str">
        <f>IFERROR(INDEX(DL_BI,MATCH($CA453,DL_KEY,0)),"M")</f>
        <v>L</v>
      </c>
      <c r="AD453" s="35" t="str">
        <f>IFERROR(INDEX(DL_Exp,MATCH($CA453,DL_KEY,0)),"M")</f>
        <v>L</v>
      </c>
      <c r="AE453" s="35" t="str">
        <f>IFERROR(INDEX(DL_Edu,MATCH($CA453,DL_KEY,0)),"M")</f>
        <v>L</v>
      </c>
      <c r="AF453" s="34" t="inlineStr">
        <is>
          <t>M</t>
        </is>
      </c>
      <c r="AG453" s="35" t="inlineStr">
        <is>
          <t>M</t>
        </is>
      </c>
      <c r="AH453" s="35" t="inlineStr">
        <is>
          <t>M</t>
        </is>
      </c>
      <c r="AI453" s="35" t="inlineStr">
        <is>
          <t>M</t>
        </is>
      </c>
      <c r="AJ453" s="35" t="inlineStr">
        <is>
          <t>M</t>
        </is>
      </c>
      <c r="AK453" s="35" t="inlineStr">
        <is>
          <t>M</t>
        </is>
      </c>
      <c r="AL453" s="35" t="inlineStr">
        <is>
          <t>M</t>
        </is>
      </c>
      <c r="AM453" s="36" t="n">
        <v>0.583</v>
      </c>
      <c r="AN453" s="37" t="n">
        <v>0.16</v>
      </c>
      <c r="AO453" s="37" t="n">
        <v>0.09</v>
      </c>
      <c r="AP453" s="37" t="n">
        <v>0</v>
      </c>
      <c r="AQ453" s="37" t="n">
        <v>0.063</v>
      </c>
      <c r="AR453" s="37" t="n">
        <v>0.06</v>
      </c>
      <c r="AS453" s="37" t="n">
        <v>0.04</v>
      </c>
      <c r="AT453" s="38" t="inlineStr">
        <is>
          <t>2–5</t>
        </is>
      </c>
      <c r="AU453" s="38" t="inlineStr">
        <is>
          <t>Graduate; relevant certification preferred</t>
        </is>
      </c>
      <c r="AV453" s="38" t="inlineStr">
        <is>
          <t>None · guides 1–3 juniors informally</t>
        </is>
      </c>
      <c r="AW453" s="38" t="inlineStr">
        <is>
          <t>P2 · SFIA 3 Apply</t>
        </is>
      </c>
      <c r="AX45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53" s="39" t="inlineStr">
        <is>
          <t>A3</t>
        </is>
      </c>
      <c r="AZ453" s="40" t="inlineStr">
        <is>
          <t>Band A · Practitioner · Senior Associate</t>
        </is>
      </c>
      <c r="BA453" s="40" t="inlineStr">
        <is>
          <t>Model A3 from the six ratings, the market-derived weights and rules R1–R13 · then No change · already below the manager</t>
        </is>
      </c>
      <c r="BB453" s="41" t="inlineStr">
        <is>
          <t>B1</t>
        </is>
      </c>
      <c r="BC453" s="40" t="inlineStr">
        <is>
          <t>The six ratings on the market-average weights of Band A · all tracks score 3.55 → B1 · Hay, Mercer IPE and public plans · experience 21.6 yrs vs the B1 market range 4–8</t>
        </is>
      </c>
      <c r="BD453" s="42">
        <f>IF(SUM(BM453,BN453,BO453,BP453,BQ453,BR453,BS453)=0,0,(BM453*BT453+BN453*BU453+BO453*BV453+BP453*BW453+BQ453*BX453+BR453*BY453+BS453*BZ453)/SUM(BM453,BN453,BO453,BP453,BQ453,BR453,BS453))</f>
        <v>0</v>
      </c>
      <c r="BE453" s="41" t="str">
        <f>IF(LEFT(AY453,1)="X",AY453,IF(OR(AY453="B+",AY453="C+"),INDEX(LAD_PC,MAX(1,MIN(14,MATCH(AY453,LAD_PC,0)+IF(BD453&gt;=0.5,1,IF(BD453&lt;=-0.5,-1,0))))),INDEX(LAD_STD,MAX(1,MIN(12,MATCH(AY453,LAD_STD,0)+IF(BD453&gt;=0.5,1,IF(BD453&lt;=-0.5,-1,0)))))))</f>
        <v>A3</v>
      </c>
      <c r="BF453" s="43" t="n"/>
      <c r="BG453" s="41" t="str">
        <f>IF(BF453&lt;&gt;"",BF453,BE453)</f>
        <v>A3</v>
      </c>
      <c r="BH453" s="40" t="str">
        <f>IFERROR(CHOOSE(INDEX(B_RANK,MATCH(BG453,B_LVL,0)),"Band A","Band B","B+ · Player-Coach","Band C","C+ · Player-Coach","Band D","Band E"),"Band X · Consultant")</f>
        <v>Band A</v>
      </c>
      <c r="BI453" s="40" t="str">
        <f>IF(BG453=AY453,"• Same",IF(INDEX(B_VAL,MATCH(BG453,B_LVL,0))&gt;INDEX(B_VAL,MATCH(AY453,B_LVL,0)),"▲ Up","▼ Down"))</f>
        <v>• Same</v>
      </c>
      <c r="BJ453" s="40" t="str">
        <f>IF(OR($M453="",$M453="—",$M453="Not in this file"),"",IFERROR(INDEX($BG$7:$BG$592,MATCH($M453,$D$7:$D$592,0)),""))</f>
        <v>B2</v>
      </c>
      <c r="BK453" s="40" t="str">
        <f>IFERROR(IF(BJ453="","—",IF(OR(LEFT(BG453,1)="X",LEFT(BJ453,1)="X"),"—",IF(AND(LEFT(BG453,1)="E",LEFT(BJ453,1)="E"),"Exception · Band E",IF(AND(INDEX(B_VAL,MATCH(BJ453,B_LVL,0))&gt;=7,INDEX(B_RANK,MATCH(BG453,B_LVL,0))&gt;=INDEX(B_RANK,MATCH(BJ453,B_LVL,0))),"⚠ Same band as a head manager",IF(INDEX(B_VAL,MATCH(BG453,B_LVL,0))&gt;=INDEX(B_VAL,MATCH(BJ453,B_LVL,0)),"⚠ At or above the manager's level","OK"))))),"—")</f>
        <v>OK</v>
      </c>
      <c r="BL453" s="43" t="n"/>
      <c r="BM453" s="44">
        <f>IFERROR(INDEX(LMH_PTS,MATCH(Y453,LMH_KEY,0)),0)</f>
        <v>9</v>
      </c>
      <c r="BN453" s="38">
        <f>IFERROR(INDEX(LMH_PTS,MATCH(Z453,LMH_KEY,0)),0)</f>
        <v>3</v>
      </c>
      <c r="BO453" s="38">
        <f>IFERROR(INDEX(LMH_PTS,MATCH(AA453,LMH_KEY,0)),0)</f>
        <v>3</v>
      </c>
      <c r="BP453" s="38">
        <f>IFERROR(INDEX(LMH_PTS,MATCH(AB453,LMH_KEY,0)),0)</f>
        <v>1</v>
      </c>
      <c r="BQ453" s="38">
        <f>IFERROR(INDEX(LMH_PTS,MATCH(AC453,LMH_KEY,0)),0)</f>
        <v>1</v>
      </c>
      <c r="BR453" s="38">
        <f>IFERROR(INDEX(LMH_PTS,MATCH(AD453,LMH_KEY,0)),0)</f>
        <v>1</v>
      </c>
      <c r="BS453" s="38">
        <f>IFERROR(INDEX(LMH_PTS,MATCH(AE453,LMH_KEY,0)),0)</f>
        <v>1</v>
      </c>
      <c r="BT453" s="38">
        <f>IFERROR(INDEX(LMH_STEP,MATCH(AF453,LMH_KEY,0)),0)</f>
        <v>0</v>
      </c>
      <c r="BU453" s="38">
        <f>IFERROR(INDEX(LMH_STEP,MATCH(AG453,LMH_KEY,0)),0)</f>
        <v>0</v>
      </c>
      <c r="BV453" s="38">
        <f>IFERROR(INDEX(LMH_STEP,MATCH(AH453,LMH_KEY,0)),0)</f>
        <v>0</v>
      </c>
      <c r="BW453" s="38">
        <f>IFERROR(INDEX(LMH_STEP,MATCH(AI453,LMH_KEY,0)),0)</f>
        <v>0</v>
      </c>
      <c r="BX453" s="38">
        <f>IFERROR(INDEX(LMH_STEP,MATCH(AJ453,LMH_KEY,0)),0)</f>
        <v>0</v>
      </c>
      <c r="BY453" s="38">
        <f>IFERROR(INDEX(LMH_STEP,MATCH(AK453,LMH_KEY,0)),0)</f>
        <v>0</v>
      </c>
      <c r="BZ453" s="38">
        <f>IFERROR(INDEX(LMH_STEP,MATCH(AL453,LMH_KEY,0)),0)</f>
        <v>0</v>
      </c>
      <c r="CA453" s="38" t="inlineStr">
        <is>
          <t>iFile|XBRL Consulting|Senior Taxonomy Analyst|A3|A</t>
        </is>
      </c>
    </row>
    <row r="454" ht="110" customHeight="1">
      <c r="A454" s="28" t="inlineStr">
        <is>
          <t>iFile</t>
        </is>
      </c>
      <c r="B454" s="29" t="inlineStr">
        <is>
          <t>XBRL Consulting</t>
        </is>
      </c>
      <c r="C454" s="29" t="n">
        <v>3</v>
      </c>
      <c r="D454" s="29" t="inlineStr">
        <is>
          <t>IRIS2563</t>
        </is>
      </c>
      <c r="E454" s="29" t="inlineStr">
        <is>
          <t>Isheekka Gupta</t>
        </is>
      </c>
      <c r="F454" s="29" t="inlineStr">
        <is>
          <t>Consultant</t>
        </is>
      </c>
      <c r="G454" s="29" t="inlineStr">
        <is>
          <t>Senior Taxonomy Analyst</t>
        </is>
      </c>
      <c r="H454" s="29" t="inlineStr">
        <is>
          <t>Consulting &amp; Professional Services</t>
        </is>
      </c>
      <c r="I454" s="29" t="inlineStr">
        <is>
          <t>Taxonomy Design &amp; Regulatory Consulting</t>
        </is>
      </c>
      <c r="J454" s="29" t="inlineStr">
        <is>
          <t>IC</t>
        </is>
      </c>
      <c r="K454" s="29" t="inlineStr">
        <is>
          <t>RC-019</t>
        </is>
      </c>
      <c r="L454" s="29" t="inlineStr">
        <is>
          <t>Sujeet Rathod</t>
        </is>
      </c>
      <c r="M454" s="29" t="inlineStr">
        <is>
          <t>IRIS1618</t>
        </is>
      </c>
      <c r="N454" s="29" t="inlineStr">
        <is>
          <t>Not provided · HRIS</t>
        </is>
      </c>
      <c r="O454" s="29" t="n">
        <v>0</v>
      </c>
      <c r="P454" s="29" t="inlineStr">
        <is>
          <t>CA</t>
        </is>
      </c>
      <c r="Q454" s="29" t="inlineStr">
        <is>
          <t>Not in current mapping files</t>
        </is>
      </c>
      <c r="R454" s="29" t="inlineStr">
        <is>
          <t>A3</t>
        </is>
      </c>
      <c r="S454" s="30" t="inlineStr">
        <is>
          <t>16 of 20</t>
        </is>
      </c>
      <c r="T454" s="31" t="inlineStr">
        <is>
          <t>Complexity: Evidence reads like A2: own survey / KRA answers · summarised by the rater; not quoted → moved down 0.5
Autonomy: Evidence reads like A2: Decides: 'cms'; no real decision described → moved down 0.5
Accountability: Evidence reads like A2: States accountable for 'none'; no end-to-end ownership shown → moved down 0.5
Leadership: Evidence reads like …</t>
        </is>
      </c>
      <c r="U454" s="32" t="inlineStr">
        <is>
          <t>KRAs not received · manager to supply</t>
        </is>
      </c>
      <c r="V454" s="31" t="inlineStr">
        <is>
          <t>Latest rating: Not rated · manager · 9-box: Not placed · manager · Readiness: No rating data</t>
        </is>
      </c>
      <c r="W454" s="31" t="inlineStr">
        <is>
          <t>C M · Au M · Ac M · L L · BI M · Exp — · not on file · Edu H · CA</t>
        </is>
      </c>
      <c r="X454" s="33" t="inlineStr">
        <is>
          <t>Open ▸</t>
        </is>
      </c>
      <c r="Y454" s="34" t="str">
        <f>IFERROR(INDEX(DL_C,MATCH($CA454,DL_KEY,0)),"M")</f>
        <v>H</v>
      </c>
      <c r="Z454" s="35" t="str">
        <f>IFERROR(INDEX(DL_Au,MATCH($CA454,DL_KEY,0)),"M")</f>
        <v>M</v>
      </c>
      <c r="AA454" s="35" t="str">
        <f>IFERROR(INDEX(DL_Ac,MATCH($CA454,DL_KEY,0)),"M")</f>
        <v>M</v>
      </c>
      <c r="AB454" s="35" t="str">
        <f>IFERROR(INDEX(DL_L,MATCH($CA454,DL_KEY,0)),"M")</f>
        <v>L</v>
      </c>
      <c r="AC454" s="35" t="str">
        <f>IFERROR(INDEX(DL_BI,MATCH($CA454,DL_KEY,0)),"M")</f>
        <v>L</v>
      </c>
      <c r="AD454" s="35" t="str">
        <f>IFERROR(INDEX(DL_Exp,MATCH($CA454,DL_KEY,0)),"M")</f>
        <v>L</v>
      </c>
      <c r="AE454" s="35" t="str">
        <f>IFERROR(INDEX(DL_Edu,MATCH($CA454,DL_KEY,0)),"M")</f>
        <v>L</v>
      </c>
      <c r="AF454" s="34" t="inlineStr">
        <is>
          <t>M</t>
        </is>
      </c>
      <c r="AG454" s="35" t="inlineStr">
        <is>
          <t>M</t>
        </is>
      </c>
      <c r="AH454" s="35" t="inlineStr">
        <is>
          <t>M</t>
        </is>
      </c>
      <c r="AI454" s="35" t="inlineStr">
        <is>
          <t>M</t>
        </is>
      </c>
      <c r="AJ454" s="35" t="inlineStr">
        <is>
          <t>M</t>
        </is>
      </c>
      <c r="AK454" s="35" t="inlineStr">
        <is>
          <t>M</t>
        </is>
      </c>
      <c r="AL454" s="35" t="inlineStr">
        <is>
          <t>M</t>
        </is>
      </c>
      <c r="AM454" s="36" t="n">
        <v>0.583</v>
      </c>
      <c r="AN454" s="37" t="n">
        <v>0.16</v>
      </c>
      <c r="AO454" s="37" t="n">
        <v>0.09</v>
      </c>
      <c r="AP454" s="37" t="n">
        <v>0</v>
      </c>
      <c r="AQ454" s="37" t="n">
        <v>0.063</v>
      </c>
      <c r="AR454" s="37" t="n">
        <v>0.06</v>
      </c>
      <c r="AS454" s="37" t="n">
        <v>0.04</v>
      </c>
      <c r="AT454" s="38" t="inlineStr">
        <is>
          <t>2–5</t>
        </is>
      </c>
      <c r="AU454" s="38" t="inlineStr">
        <is>
          <t>Graduate; relevant certification preferred</t>
        </is>
      </c>
      <c r="AV454" s="38" t="inlineStr">
        <is>
          <t>None · guides 1–3 juniors informally</t>
        </is>
      </c>
      <c r="AW454" s="38" t="inlineStr">
        <is>
          <t>P2 · SFIA 3 Apply</t>
        </is>
      </c>
      <c r="AX45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54" s="39" t="inlineStr">
        <is>
          <t>A3</t>
        </is>
      </c>
      <c r="AZ454" s="40" t="inlineStr">
        <is>
          <t>Band A · Practitioner · Senior Associate</t>
        </is>
      </c>
      <c r="BA454" s="40" t="inlineStr">
        <is>
          <t>Model A3 from the six ratings, the market-derived weights and rules R1–R13 · then No change · already below the manager</t>
        </is>
      </c>
      <c r="BB454" s="41" t="inlineStr">
        <is>
          <t>A3</t>
        </is>
      </c>
      <c r="BC454" s="40" t="inlineStr">
        <is>
          <t>The six ratings on the market-average weights of Band A · all tracks score 2.60 → A3 · Hay, Mercer IPE and public plans · experience Not provided · HRIS yrs vs the A3 market range 2–5</t>
        </is>
      </c>
      <c r="BD454" s="42">
        <f>IF(SUM(BM454,BN454,BO454,BP454,BQ454,BR454,BS454)=0,0,(BM454*BT454+BN454*BU454+BO454*BV454+BP454*BW454+BQ454*BX454+BR454*BY454+BS454*BZ454)/SUM(BM454,BN454,BO454,BP454,BQ454,BR454,BS454))</f>
        <v>0</v>
      </c>
      <c r="BE454" s="41" t="str">
        <f>IF(LEFT(AY454,1)="X",AY454,IF(OR(AY454="B+",AY454="C+"),INDEX(LAD_PC,MAX(1,MIN(14,MATCH(AY454,LAD_PC,0)+IF(BD454&gt;=0.5,1,IF(BD454&lt;=-0.5,-1,0))))),INDEX(LAD_STD,MAX(1,MIN(12,MATCH(AY454,LAD_STD,0)+IF(BD454&gt;=0.5,1,IF(BD454&lt;=-0.5,-1,0)))))))</f>
        <v>A3</v>
      </c>
      <c r="BF454" s="43" t="n"/>
      <c r="BG454" s="41" t="str">
        <f>IF(BF454&lt;&gt;"",BF454,BE454)</f>
        <v>A3</v>
      </c>
      <c r="BH454" s="40" t="str">
        <f>IFERROR(CHOOSE(INDEX(B_RANK,MATCH(BG454,B_LVL,0)),"Band A","Band B","B+ · Player-Coach","Band C","C+ · Player-Coach","Band D","Band E"),"Band X · Consultant")</f>
        <v>Band A</v>
      </c>
      <c r="BI454" s="40" t="str">
        <f>IF(BG454=AY454,"• Same",IF(INDEX(B_VAL,MATCH(BG454,B_LVL,0))&gt;INDEX(B_VAL,MATCH(AY454,B_LVL,0)),"▲ Up","▼ Down"))</f>
        <v>• Same</v>
      </c>
      <c r="BJ454" s="40" t="str">
        <f>IF(OR($M454="",$M454="—",$M454="Not in this file"),"",IFERROR(INDEX($BG$7:$BG$592,MATCH($M454,$D$7:$D$592,0)),""))</f>
        <v>B2</v>
      </c>
      <c r="BK454" s="40" t="str">
        <f>IFERROR(IF(BJ454="","—",IF(OR(LEFT(BG454,1)="X",LEFT(BJ454,1)="X"),"—",IF(AND(LEFT(BG454,1)="E",LEFT(BJ454,1)="E"),"Exception · Band E",IF(AND(INDEX(B_VAL,MATCH(BJ454,B_LVL,0))&gt;=7,INDEX(B_RANK,MATCH(BG454,B_LVL,0))&gt;=INDEX(B_RANK,MATCH(BJ454,B_LVL,0))),"⚠ Same band as a head manager",IF(INDEX(B_VAL,MATCH(BG454,B_LVL,0))&gt;=INDEX(B_VAL,MATCH(BJ454,B_LVL,0)),"⚠ At or above the manager's level","OK"))))),"—")</f>
        <v>OK</v>
      </c>
      <c r="BL454" s="43" t="n"/>
      <c r="BM454" s="44">
        <f>IFERROR(INDEX(LMH_PTS,MATCH(Y454,LMH_KEY,0)),0)</f>
        <v>9</v>
      </c>
      <c r="BN454" s="38">
        <f>IFERROR(INDEX(LMH_PTS,MATCH(Z454,LMH_KEY,0)),0)</f>
        <v>3</v>
      </c>
      <c r="BO454" s="38">
        <f>IFERROR(INDEX(LMH_PTS,MATCH(AA454,LMH_KEY,0)),0)</f>
        <v>3</v>
      </c>
      <c r="BP454" s="38">
        <f>IFERROR(INDEX(LMH_PTS,MATCH(AB454,LMH_KEY,0)),0)</f>
        <v>1</v>
      </c>
      <c r="BQ454" s="38">
        <f>IFERROR(INDEX(LMH_PTS,MATCH(AC454,LMH_KEY,0)),0)</f>
        <v>1</v>
      </c>
      <c r="BR454" s="38">
        <f>IFERROR(INDEX(LMH_PTS,MATCH(AD454,LMH_KEY,0)),0)</f>
        <v>1</v>
      </c>
      <c r="BS454" s="38">
        <f>IFERROR(INDEX(LMH_PTS,MATCH(AE454,LMH_KEY,0)),0)</f>
        <v>1</v>
      </c>
      <c r="BT454" s="38">
        <f>IFERROR(INDEX(LMH_STEP,MATCH(AF454,LMH_KEY,0)),0)</f>
        <v>0</v>
      </c>
      <c r="BU454" s="38">
        <f>IFERROR(INDEX(LMH_STEP,MATCH(AG454,LMH_KEY,0)),0)</f>
        <v>0</v>
      </c>
      <c r="BV454" s="38">
        <f>IFERROR(INDEX(LMH_STEP,MATCH(AH454,LMH_KEY,0)),0)</f>
        <v>0</v>
      </c>
      <c r="BW454" s="38">
        <f>IFERROR(INDEX(LMH_STEP,MATCH(AI454,LMH_KEY,0)),0)</f>
        <v>0</v>
      </c>
      <c r="BX454" s="38">
        <f>IFERROR(INDEX(LMH_STEP,MATCH(AJ454,LMH_KEY,0)),0)</f>
        <v>0</v>
      </c>
      <c r="BY454" s="38">
        <f>IFERROR(INDEX(LMH_STEP,MATCH(AK454,LMH_KEY,0)),0)</f>
        <v>0</v>
      </c>
      <c r="BZ454" s="38">
        <f>IFERROR(INDEX(LMH_STEP,MATCH(AL454,LMH_KEY,0)),0)</f>
        <v>0</v>
      </c>
      <c r="CA454" s="38" t="inlineStr">
        <is>
          <t>iFile|XBRL Consulting|Senior Taxonomy Analyst|A3|A</t>
        </is>
      </c>
    </row>
    <row r="455" ht="110" customHeight="1">
      <c r="A455" s="28" t="inlineStr">
        <is>
          <t>iFile</t>
        </is>
      </c>
      <c r="B455" s="29" t="inlineStr">
        <is>
          <t>XBRL Consulting</t>
        </is>
      </c>
      <c r="C455" s="29" t="n">
        <v>3</v>
      </c>
      <c r="D455" s="29" t="inlineStr">
        <is>
          <t>IRIS0359</t>
        </is>
      </c>
      <c r="E455" s="29" t="inlineStr">
        <is>
          <t>Prasad Chavan</t>
        </is>
      </c>
      <c r="F455" s="29" t="inlineStr">
        <is>
          <t>Consultant</t>
        </is>
      </c>
      <c r="G455" s="29" t="inlineStr">
        <is>
          <t>Senior Taxonomy Analyst</t>
        </is>
      </c>
      <c r="H455" s="29" t="inlineStr">
        <is>
          <t>Consulting &amp; Professional Services</t>
        </is>
      </c>
      <c r="I455" s="29" t="inlineStr">
        <is>
          <t>Taxonomy Design &amp; Regulatory Consulting</t>
        </is>
      </c>
      <c r="J455" s="29" t="inlineStr">
        <is>
          <t>IC</t>
        </is>
      </c>
      <c r="K455" s="29" t="inlineStr">
        <is>
          <t>RC-019</t>
        </is>
      </c>
      <c r="L455" s="29" t="inlineStr">
        <is>
          <t>Sujeet Rathod</t>
        </is>
      </c>
      <c r="M455" s="29" t="inlineStr">
        <is>
          <t>IRIS1618</t>
        </is>
      </c>
      <c r="N455" s="29" t="n">
        <v>16.2</v>
      </c>
      <c r="O455" s="29" t="n">
        <v>16.2</v>
      </c>
      <c r="P455" s="29" t="inlineStr">
        <is>
          <t>B.Com</t>
        </is>
      </c>
      <c r="Q455" s="29" t="inlineStr">
        <is>
          <t>L3 – Professional / Associate</t>
        </is>
      </c>
      <c r="R455" s="29" t="inlineStr">
        <is>
          <t>A3</t>
        </is>
      </c>
      <c r="S455" s="30" t="inlineStr">
        <is>
          <t>20 of 20</t>
        </is>
      </c>
      <c r="T455" s="31" t="inlineStr">
        <is>
          <t>Complexity: Evidence reads like A3: Taxonomy structure development with formula linkbase in Noah; client engagement; little detail → matches the start
Autonomy: Evidence reads like A2: 'Structure process define'; says approach is discussed with team members before proceeding → moved down 0.5
Accountability: Evidence reads like A2: Consistent, scalable …</t>
        </is>
      </c>
      <c r="U455" s="31" t="inlineStr">
        <is>
          <t>Received · manager annual, quarterly · 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t>
        </is>
      </c>
      <c r="V455" s="31" t="inlineStr">
        <is>
          <t>Latest rating: 3 · Potential: Low · 9-box: Trusted Professional · Readiness: Develop in role</t>
        </is>
      </c>
      <c r="W455" s="31" t="inlineStr">
        <is>
          <t>C M · Au M · Ac M · L L · BI M · Exp H · 16.2 yrs vs 2–4 yrs · Edu M · B.Com</t>
        </is>
      </c>
      <c r="X455" s="33" t="inlineStr">
        <is>
          <t>Open ▸</t>
        </is>
      </c>
      <c r="Y455" s="34" t="str">
        <f>IFERROR(INDEX(DL_C,MATCH($CA455,DL_KEY,0)),"M")</f>
        <v>H</v>
      </c>
      <c r="Z455" s="35" t="str">
        <f>IFERROR(INDEX(DL_Au,MATCH($CA455,DL_KEY,0)),"M")</f>
        <v>M</v>
      </c>
      <c r="AA455" s="35" t="str">
        <f>IFERROR(INDEX(DL_Ac,MATCH($CA455,DL_KEY,0)),"M")</f>
        <v>M</v>
      </c>
      <c r="AB455" s="35" t="str">
        <f>IFERROR(INDEX(DL_L,MATCH($CA455,DL_KEY,0)),"M")</f>
        <v>L</v>
      </c>
      <c r="AC455" s="35" t="str">
        <f>IFERROR(INDEX(DL_BI,MATCH($CA455,DL_KEY,0)),"M")</f>
        <v>L</v>
      </c>
      <c r="AD455" s="35" t="str">
        <f>IFERROR(INDEX(DL_Exp,MATCH($CA455,DL_KEY,0)),"M")</f>
        <v>L</v>
      </c>
      <c r="AE455" s="35" t="str">
        <f>IFERROR(INDEX(DL_Edu,MATCH($CA455,DL_KEY,0)),"M")</f>
        <v>L</v>
      </c>
      <c r="AF455" s="34" t="inlineStr">
        <is>
          <t>M</t>
        </is>
      </c>
      <c r="AG455" s="35" t="inlineStr">
        <is>
          <t>M</t>
        </is>
      </c>
      <c r="AH455" s="35" t="inlineStr">
        <is>
          <t>M</t>
        </is>
      </c>
      <c r="AI455" s="35" t="inlineStr">
        <is>
          <t>M</t>
        </is>
      </c>
      <c r="AJ455" s="35" t="inlineStr">
        <is>
          <t>M</t>
        </is>
      </c>
      <c r="AK455" s="35" t="inlineStr">
        <is>
          <t>M</t>
        </is>
      </c>
      <c r="AL455" s="35" t="inlineStr">
        <is>
          <t>M</t>
        </is>
      </c>
      <c r="AM455" s="36" t="n">
        <v>0.583</v>
      </c>
      <c r="AN455" s="37" t="n">
        <v>0.16</v>
      </c>
      <c r="AO455" s="37" t="n">
        <v>0.09</v>
      </c>
      <c r="AP455" s="37" t="n">
        <v>0</v>
      </c>
      <c r="AQ455" s="37" t="n">
        <v>0.063</v>
      </c>
      <c r="AR455" s="37" t="n">
        <v>0.06</v>
      </c>
      <c r="AS455" s="37" t="n">
        <v>0.04</v>
      </c>
      <c r="AT455" s="38" t="inlineStr">
        <is>
          <t>2–5</t>
        </is>
      </c>
      <c r="AU455" s="38" t="inlineStr">
        <is>
          <t>Graduate; relevant certification preferred</t>
        </is>
      </c>
      <c r="AV455" s="38" t="inlineStr">
        <is>
          <t>None · guides 1–3 juniors informally</t>
        </is>
      </c>
      <c r="AW455" s="38" t="inlineStr">
        <is>
          <t>P2 · SFIA 3 Apply</t>
        </is>
      </c>
      <c r="AX45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55" s="39" t="inlineStr">
        <is>
          <t>A3</t>
        </is>
      </c>
      <c r="AZ455" s="40" t="inlineStr">
        <is>
          <t>Band A · Practitioner · Senior Associate</t>
        </is>
      </c>
      <c r="BA455" s="40" t="inlineStr">
        <is>
          <t>Model A3 from the six ratings, the market-derived weights and rules R1–R13 · then No change · already below the manager</t>
        </is>
      </c>
      <c r="BB455" s="41" t="inlineStr">
        <is>
          <t>A3</t>
        </is>
      </c>
      <c r="BC455" s="40" t="inlineStr">
        <is>
          <t>The six ratings on the market-average weights of Band A · all tracks score 3.40 → A3 · Hay, Mercer IPE and public plans · experience 16.2 yrs vs the A3 market range 2–5</t>
        </is>
      </c>
      <c r="BD455" s="42">
        <f>IF(SUM(BM455,BN455,BO455,BP455,BQ455,BR455,BS455)=0,0,(BM455*BT455+BN455*BU455+BO455*BV455+BP455*BW455+BQ455*BX455+BR455*BY455+BS455*BZ455)/SUM(BM455,BN455,BO455,BP455,BQ455,BR455,BS455))</f>
        <v>0</v>
      </c>
      <c r="BE455" s="41" t="str">
        <f>IF(LEFT(AY455,1)="X",AY455,IF(OR(AY455="B+",AY455="C+"),INDEX(LAD_PC,MAX(1,MIN(14,MATCH(AY455,LAD_PC,0)+IF(BD455&gt;=0.5,1,IF(BD455&lt;=-0.5,-1,0))))),INDEX(LAD_STD,MAX(1,MIN(12,MATCH(AY455,LAD_STD,0)+IF(BD455&gt;=0.5,1,IF(BD455&lt;=-0.5,-1,0)))))))</f>
        <v>A3</v>
      </c>
      <c r="BF455" s="43" t="n"/>
      <c r="BG455" s="41" t="str">
        <f>IF(BF455&lt;&gt;"",BF455,BE455)</f>
        <v>A3</v>
      </c>
      <c r="BH455" s="40" t="str">
        <f>IFERROR(CHOOSE(INDEX(B_RANK,MATCH(BG455,B_LVL,0)),"Band A","Band B","B+ · Player-Coach","Band C","C+ · Player-Coach","Band D","Band E"),"Band X · Consultant")</f>
        <v>Band A</v>
      </c>
      <c r="BI455" s="40" t="str">
        <f>IF(BG455=AY455,"• Same",IF(INDEX(B_VAL,MATCH(BG455,B_LVL,0))&gt;INDEX(B_VAL,MATCH(AY455,B_LVL,0)),"▲ Up","▼ Down"))</f>
        <v>• Same</v>
      </c>
      <c r="BJ455" s="40" t="str">
        <f>IF(OR($M455="",$M455="—",$M455="Not in this file"),"",IFERROR(INDEX($BG$7:$BG$592,MATCH($M455,$D$7:$D$592,0)),""))</f>
        <v>B2</v>
      </c>
      <c r="BK455" s="40" t="str">
        <f>IFERROR(IF(BJ455="","—",IF(OR(LEFT(BG455,1)="X",LEFT(BJ455,1)="X"),"—",IF(AND(LEFT(BG455,1)="E",LEFT(BJ455,1)="E"),"Exception · Band E",IF(AND(INDEX(B_VAL,MATCH(BJ455,B_LVL,0))&gt;=7,INDEX(B_RANK,MATCH(BG455,B_LVL,0))&gt;=INDEX(B_RANK,MATCH(BJ455,B_LVL,0))),"⚠ Same band as a head manager",IF(INDEX(B_VAL,MATCH(BG455,B_LVL,0))&gt;=INDEX(B_VAL,MATCH(BJ455,B_LVL,0)),"⚠ At or above the manager's level","OK"))))),"—")</f>
        <v>OK</v>
      </c>
      <c r="BL455" s="43" t="n"/>
      <c r="BM455" s="44">
        <f>IFERROR(INDEX(LMH_PTS,MATCH(Y455,LMH_KEY,0)),0)</f>
        <v>9</v>
      </c>
      <c r="BN455" s="38">
        <f>IFERROR(INDEX(LMH_PTS,MATCH(Z455,LMH_KEY,0)),0)</f>
        <v>3</v>
      </c>
      <c r="BO455" s="38">
        <f>IFERROR(INDEX(LMH_PTS,MATCH(AA455,LMH_KEY,0)),0)</f>
        <v>3</v>
      </c>
      <c r="BP455" s="38">
        <f>IFERROR(INDEX(LMH_PTS,MATCH(AB455,LMH_KEY,0)),0)</f>
        <v>1</v>
      </c>
      <c r="BQ455" s="38">
        <f>IFERROR(INDEX(LMH_PTS,MATCH(AC455,LMH_KEY,0)),0)</f>
        <v>1</v>
      </c>
      <c r="BR455" s="38">
        <f>IFERROR(INDEX(LMH_PTS,MATCH(AD455,LMH_KEY,0)),0)</f>
        <v>1</v>
      </c>
      <c r="BS455" s="38">
        <f>IFERROR(INDEX(LMH_PTS,MATCH(AE455,LMH_KEY,0)),0)</f>
        <v>1</v>
      </c>
      <c r="BT455" s="38">
        <f>IFERROR(INDEX(LMH_STEP,MATCH(AF455,LMH_KEY,0)),0)</f>
        <v>0</v>
      </c>
      <c r="BU455" s="38">
        <f>IFERROR(INDEX(LMH_STEP,MATCH(AG455,LMH_KEY,0)),0)</f>
        <v>0</v>
      </c>
      <c r="BV455" s="38">
        <f>IFERROR(INDEX(LMH_STEP,MATCH(AH455,LMH_KEY,0)),0)</f>
        <v>0</v>
      </c>
      <c r="BW455" s="38">
        <f>IFERROR(INDEX(LMH_STEP,MATCH(AI455,LMH_KEY,0)),0)</f>
        <v>0</v>
      </c>
      <c r="BX455" s="38">
        <f>IFERROR(INDEX(LMH_STEP,MATCH(AJ455,LMH_KEY,0)),0)</f>
        <v>0</v>
      </c>
      <c r="BY455" s="38">
        <f>IFERROR(INDEX(LMH_STEP,MATCH(AK455,LMH_KEY,0)),0)</f>
        <v>0</v>
      </c>
      <c r="BZ455" s="38">
        <f>IFERROR(INDEX(LMH_STEP,MATCH(AL455,LMH_KEY,0)),0)</f>
        <v>0</v>
      </c>
      <c r="CA455" s="38" t="inlineStr">
        <is>
          <t>iFile|XBRL Consulting|Senior Taxonomy Analyst|A3|A</t>
        </is>
      </c>
    </row>
    <row r="456" ht="110" customHeight="1">
      <c r="A456" s="28" t="inlineStr">
        <is>
          <t>iFile</t>
        </is>
      </c>
      <c r="B456" s="29" t="inlineStr">
        <is>
          <t>XBRL Consulting</t>
        </is>
      </c>
      <c r="C456" s="29" t="n">
        <v>3</v>
      </c>
      <c r="D456" s="29" t="inlineStr">
        <is>
          <t>IRIS0028</t>
        </is>
      </c>
      <c r="E456" s="29" t="inlineStr">
        <is>
          <t>Shashank Poipkar</t>
        </is>
      </c>
      <c r="F456" s="29" t="inlineStr">
        <is>
          <t>Senior Analyst</t>
        </is>
      </c>
      <c r="G456" s="29" t="inlineStr">
        <is>
          <t>Senior Taxonomy Analyst</t>
        </is>
      </c>
      <c r="H456" s="29" t="inlineStr">
        <is>
          <t>Consulting &amp; Professional Services</t>
        </is>
      </c>
      <c r="I456" s="29" t="inlineStr">
        <is>
          <t>Taxonomy Design &amp; Regulatory Consulting</t>
        </is>
      </c>
      <c r="J456" s="29" t="inlineStr">
        <is>
          <t>IC</t>
        </is>
      </c>
      <c r="K456" s="29" t="inlineStr">
        <is>
          <t>RC-019</t>
        </is>
      </c>
      <c r="L456" s="29" t="inlineStr">
        <is>
          <t>Sujeet Rathod</t>
        </is>
      </c>
      <c r="M456" s="29" t="inlineStr">
        <is>
          <t>IRIS1618</t>
        </is>
      </c>
      <c r="N456" s="29" t="n">
        <v>21.1</v>
      </c>
      <c r="O456" s="29" t="n">
        <v>21.1</v>
      </c>
      <c r="P456" s="29" t="inlineStr">
        <is>
          <t>B.Com</t>
        </is>
      </c>
      <c r="Q456" s="29" t="inlineStr">
        <is>
          <t>L4 – Senior</t>
        </is>
      </c>
      <c r="R456" s="29" t="inlineStr">
        <is>
          <t>A3</t>
        </is>
      </c>
      <c r="S456" s="30" t="inlineStr">
        <is>
          <t>20 of 20</t>
        </is>
      </c>
      <c r="T456" s="31" t="inlineStr">
        <is>
          <t>Complexity: Evidence reads like A2: Formula creation, formula testing and webform testing · QCB in Noah → moved down 0.5
Autonomy: Evidence reads like A2: Decides formula testing only → moved down 0.5
Accountability: Evidence reads like A2: Own webform testing; errors mean rework and retesting → moved down 0.5
Leadership: Evidence reads like A1: None …</t>
        </is>
      </c>
      <c r="U456" s="31" t="inlineStr">
        <is>
          <t>Received · manager annual, quarterly · 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t>
        </is>
      </c>
      <c r="V456" s="31" t="inlineStr">
        <is>
          <t>Latest rating: 3 · Potential: Low · 9-box: Core Contributor · Readiness: Develop in role</t>
        </is>
      </c>
      <c r="W456" s="31" t="inlineStr">
        <is>
          <t>C M · Au M · Ac M · L L · BI M · Exp H · 21.1 yrs vs 2–4 yrs · Edu M · B.Com</t>
        </is>
      </c>
      <c r="X456" s="33" t="inlineStr">
        <is>
          <t>Open ▸</t>
        </is>
      </c>
      <c r="Y456" s="34" t="str">
        <f>IFERROR(INDEX(DL_C,MATCH($CA456,DL_KEY,0)),"M")</f>
        <v>H</v>
      </c>
      <c r="Z456" s="35" t="str">
        <f>IFERROR(INDEX(DL_Au,MATCH($CA456,DL_KEY,0)),"M")</f>
        <v>M</v>
      </c>
      <c r="AA456" s="35" t="str">
        <f>IFERROR(INDEX(DL_Ac,MATCH($CA456,DL_KEY,0)),"M")</f>
        <v>M</v>
      </c>
      <c r="AB456" s="35" t="str">
        <f>IFERROR(INDEX(DL_L,MATCH($CA456,DL_KEY,0)),"M")</f>
        <v>L</v>
      </c>
      <c r="AC456" s="35" t="str">
        <f>IFERROR(INDEX(DL_BI,MATCH($CA456,DL_KEY,0)),"M")</f>
        <v>L</v>
      </c>
      <c r="AD456" s="35" t="str">
        <f>IFERROR(INDEX(DL_Exp,MATCH($CA456,DL_KEY,0)),"M")</f>
        <v>L</v>
      </c>
      <c r="AE456" s="35" t="str">
        <f>IFERROR(INDEX(DL_Edu,MATCH($CA456,DL_KEY,0)),"M")</f>
        <v>L</v>
      </c>
      <c r="AF456" s="34" t="inlineStr">
        <is>
          <t>M</t>
        </is>
      </c>
      <c r="AG456" s="35" t="inlineStr">
        <is>
          <t>M</t>
        </is>
      </c>
      <c r="AH456" s="35" t="inlineStr">
        <is>
          <t>M</t>
        </is>
      </c>
      <c r="AI456" s="35" t="inlineStr">
        <is>
          <t>M</t>
        </is>
      </c>
      <c r="AJ456" s="35" t="inlineStr">
        <is>
          <t>M</t>
        </is>
      </c>
      <c r="AK456" s="35" t="inlineStr">
        <is>
          <t>M</t>
        </is>
      </c>
      <c r="AL456" s="35" t="inlineStr">
        <is>
          <t>M</t>
        </is>
      </c>
      <c r="AM456" s="36" t="n">
        <v>0.583</v>
      </c>
      <c r="AN456" s="37" t="n">
        <v>0.16</v>
      </c>
      <c r="AO456" s="37" t="n">
        <v>0.09</v>
      </c>
      <c r="AP456" s="37" t="n">
        <v>0</v>
      </c>
      <c r="AQ456" s="37" t="n">
        <v>0.063</v>
      </c>
      <c r="AR456" s="37" t="n">
        <v>0.06</v>
      </c>
      <c r="AS456" s="37" t="n">
        <v>0.04</v>
      </c>
      <c r="AT456" s="38" t="inlineStr">
        <is>
          <t>2–5</t>
        </is>
      </c>
      <c r="AU456" s="38" t="inlineStr">
        <is>
          <t>Graduate; relevant certification preferred</t>
        </is>
      </c>
      <c r="AV456" s="38" t="inlineStr">
        <is>
          <t>None · guides 1–3 juniors informally</t>
        </is>
      </c>
      <c r="AW456" s="38" t="inlineStr">
        <is>
          <t>P2 · SFIA 3 Apply</t>
        </is>
      </c>
      <c r="AX45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56" s="39" t="inlineStr">
        <is>
          <t>A3</t>
        </is>
      </c>
      <c r="AZ456" s="40" t="inlineStr">
        <is>
          <t>Band A · Practitioner · Senior Associate</t>
        </is>
      </c>
      <c r="BA456" s="40" t="inlineStr">
        <is>
          <t>Model A3 from the six ratings, the market-derived weights and rules R1–R13 · then No change · already below the manager</t>
        </is>
      </c>
      <c r="BB456" s="41" t="inlineStr">
        <is>
          <t>A3</t>
        </is>
      </c>
      <c r="BC456" s="40" t="inlineStr">
        <is>
          <t>The six ratings on the market-average weights of Band A · all tracks score 3.25 → A3 · Hay, Mercer IPE and public plans · experience 21.1 yrs vs the A3 market range 2–5</t>
        </is>
      </c>
      <c r="BD456" s="42">
        <f>IF(SUM(BM456,BN456,BO456,BP456,BQ456,BR456,BS456)=0,0,(BM456*BT456+BN456*BU456+BO456*BV456+BP456*BW456+BQ456*BX456+BR456*BY456+BS456*BZ456)/SUM(BM456,BN456,BO456,BP456,BQ456,BR456,BS456))</f>
        <v>0</v>
      </c>
      <c r="BE456" s="41" t="str">
        <f>IF(LEFT(AY456,1)="X",AY456,IF(OR(AY456="B+",AY456="C+"),INDEX(LAD_PC,MAX(1,MIN(14,MATCH(AY456,LAD_PC,0)+IF(BD456&gt;=0.5,1,IF(BD456&lt;=-0.5,-1,0))))),INDEX(LAD_STD,MAX(1,MIN(12,MATCH(AY456,LAD_STD,0)+IF(BD456&gt;=0.5,1,IF(BD456&lt;=-0.5,-1,0)))))))</f>
        <v>A3</v>
      </c>
      <c r="BF456" s="43" t="n"/>
      <c r="BG456" s="41" t="str">
        <f>IF(BF456&lt;&gt;"",BF456,BE456)</f>
        <v>A3</v>
      </c>
      <c r="BH456" s="40" t="str">
        <f>IFERROR(CHOOSE(INDEX(B_RANK,MATCH(BG456,B_LVL,0)),"Band A","Band B","B+ · Player-Coach","Band C","C+ · Player-Coach","Band D","Band E"),"Band X · Consultant")</f>
        <v>Band A</v>
      </c>
      <c r="BI456" s="40" t="str">
        <f>IF(BG456=AY456,"• Same",IF(INDEX(B_VAL,MATCH(BG456,B_LVL,0))&gt;INDEX(B_VAL,MATCH(AY456,B_LVL,0)),"▲ Up","▼ Down"))</f>
        <v>• Same</v>
      </c>
      <c r="BJ456" s="40" t="str">
        <f>IF(OR($M456="",$M456="—",$M456="Not in this file"),"",IFERROR(INDEX($BG$7:$BG$592,MATCH($M456,$D$7:$D$592,0)),""))</f>
        <v>B2</v>
      </c>
      <c r="BK456" s="40" t="str">
        <f>IFERROR(IF(BJ456="","—",IF(OR(LEFT(BG456,1)="X",LEFT(BJ456,1)="X"),"—",IF(AND(LEFT(BG456,1)="E",LEFT(BJ456,1)="E"),"Exception · Band E",IF(AND(INDEX(B_VAL,MATCH(BJ456,B_LVL,0))&gt;=7,INDEX(B_RANK,MATCH(BG456,B_LVL,0))&gt;=INDEX(B_RANK,MATCH(BJ456,B_LVL,0))),"⚠ Same band as a head manager",IF(INDEX(B_VAL,MATCH(BG456,B_LVL,0))&gt;=INDEX(B_VAL,MATCH(BJ456,B_LVL,0)),"⚠ At or above the manager's level","OK"))))),"—")</f>
        <v>OK</v>
      </c>
      <c r="BL456" s="43" t="n"/>
      <c r="BM456" s="44">
        <f>IFERROR(INDEX(LMH_PTS,MATCH(Y456,LMH_KEY,0)),0)</f>
        <v>9</v>
      </c>
      <c r="BN456" s="38">
        <f>IFERROR(INDEX(LMH_PTS,MATCH(Z456,LMH_KEY,0)),0)</f>
        <v>3</v>
      </c>
      <c r="BO456" s="38">
        <f>IFERROR(INDEX(LMH_PTS,MATCH(AA456,LMH_KEY,0)),0)</f>
        <v>3</v>
      </c>
      <c r="BP456" s="38">
        <f>IFERROR(INDEX(LMH_PTS,MATCH(AB456,LMH_KEY,0)),0)</f>
        <v>1</v>
      </c>
      <c r="BQ456" s="38">
        <f>IFERROR(INDEX(LMH_PTS,MATCH(AC456,LMH_KEY,0)),0)</f>
        <v>1</v>
      </c>
      <c r="BR456" s="38">
        <f>IFERROR(INDEX(LMH_PTS,MATCH(AD456,LMH_KEY,0)),0)</f>
        <v>1</v>
      </c>
      <c r="BS456" s="38">
        <f>IFERROR(INDEX(LMH_PTS,MATCH(AE456,LMH_KEY,0)),0)</f>
        <v>1</v>
      </c>
      <c r="BT456" s="38">
        <f>IFERROR(INDEX(LMH_STEP,MATCH(AF456,LMH_KEY,0)),0)</f>
        <v>0</v>
      </c>
      <c r="BU456" s="38">
        <f>IFERROR(INDEX(LMH_STEP,MATCH(AG456,LMH_KEY,0)),0)</f>
        <v>0</v>
      </c>
      <c r="BV456" s="38">
        <f>IFERROR(INDEX(LMH_STEP,MATCH(AH456,LMH_KEY,0)),0)</f>
        <v>0</v>
      </c>
      <c r="BW456" s="38">
        <f>IFERROR(INDEX(LMH_STEP,MATCH(AI456,LMH_KEY,0)),0)</f>
        <v>0</v>
      </c>
      <c r="BX456" s="38">
        <f>IFERROR(INDEX(LMH_STEP,MATCH(AJ456,LMH_KEY,0)),0)</f>
        <v>0</v>
      </c>
      <c r="BY456" s="38">
        <f>IFERROR(INDEX(LMH_STEP,MATCH(AK456,LMH_KEY,0)),0)</f>
        <v>0</v>
      </c>
      <c r="BZ456" s="38">
        <f>IFERROR(INDEX(LMH_STEP,MATCH(AL456,LMH_KEY,0)),0)</f>
        <v>0</v>
      </c>
      <c r="CA456" s="38" t="inlineStr">
        <is>
          <t>iFile|XBRL Consulting|Senior Taxonomy Analyst|A3|A</t>
        </is>
      </c>
    </row>
    <row r="457" ht="110" customHeight="1">
      <c r="A457" s="28" t="inlineStr">
        <is>
          <t>iFile</t>
        </is>
      </c>
      <c r="B457" s="29" t="inlineStr">
        <is>
          <t>XBRL Consulting</t>
        </is>
      </c>
      <c r="C457" s="29" t="n">
        <v>2</v>
      </c>
      <c r="D457" s="29" t="inlineStr">
        <is>
          <t>IRIS1063</t>
        </is>
      </c>
      <c r="E457" s="29" t="inlineStr">
        <is>
          <t>Vishram Modak</t>
        </is>
      </c>
      <c r="F457" s="29" t="inlineStr">
        <is>
          <t>Senior consultant</t>
        </is>
      </c>
      <c r="G457" s="29" t="inlineStr">
        <is>
          <t>Senior Taxonomy Specialist</t>
        </is>
      </c>
      <c r="H457" s="29" t="inlineStr">
        <is>
          <t>Consulting &amp; Professional Services</t>
        </is>
      </c>
      <c r="I457" s="29" t="inlineStr">
        <is>
          <t>Taxonomy Design &amp; Regulatory Consulting</t>
        </is>
      </c>
      <c r="J457" s="29" t="inlineStr">
        <is>
          <t>IC</t>
        </is>
      </c>
      <c r="K457" s="29" t="inlineStr">
        <is>
          <t>RC-021</t>
        </is>
      </c>
      <c r="L457" s="29" t="inlineStr">
        <is>
          <t>Rahul Dhamne</t>
        </is>
      </c>
      <c r="M457" s="29" t="inlineStr">
        <is>
          <t>IRIS0362</t>
        </is>
      </c>
      <c r="N457" s="29" t="n">
        <v>22.2</v>
      </c>
      <c r="O457" s="29" t="n">
        <v>14.5</v>
      </c>
      <c r="P457" s="29" t="inlineStr">
        <is>
          <t>CA</t>
        </is>
      </c>
      <c r="Q457" s="29" t="inlineStr">
        <is>
          <t>L4 – Senior</t>
        </is>
      </c>
      <c r="R457" s="29" t="inlineStr">
        <is>
          <t>B2</t>
        </is>
      </c>
      <c r="S457" s="30" t="inlineStr">
        <is>
          <t>20 of 20</t>
        </is>
      </c>
      <c r="T457" s="31" t="inlineStr">
        <is>
          <t>Complexity: Evidence reads like A3: Develops XBRL taxonomy sets, supports reporting tool, client clarifications and research; abstract wording → moved down 0.5
Autonomy: Evidence reads like A3: Decides taxonomy set, research and client interaction independently → moved down 0.5
Accountability: Evidence reads like A3: Taxonomy set and reporting tool serving …</t>
        </is>
      </c>
      <c r="U457" s="31" t="inlineStr">
        <is>
          <t>Received · manager annual, quarterly · 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t>
        </is>
      </c>
      <c r="V457" s="31" t="inlineStr">
        <is>
          <t>Latest rating: 3 · Potential: Medium · 9-box: Reliable Specialist · Readiness: Develop in role</t>
        </is>
      </c>
      <c r="W457" s="31" t="inlineStr">
        <is>
          <t>C M · Au M · Ac M · L L · BI M · Exp H · 22.2 yrs vs 6–9 yrs · Edu H · CA</t>
        </is>
      </c>
      <c r="X457" s="33" t="inlineStr">
        <is>
          <t>Open ▸</t>
        </is>
      </c>
      <c r="Y457" s="34" t="str">
        <f>IFERROR(INDEX(DL_C,MATCH($CA457,DL_KEY,0)),"M")</f>
        <v>H</v>
      </c>
      <c r="Z457" s="35" t="str">
        <f>IFERROR(INDEX(DL_Au,MATCH($CA457,DL_KEY,0)),"M")</f>
        <v>M</v>
      </c>
      <c r="AA457" s="35" t="str">
        <f>IFERROR(INDEX(DL_Ac,MATCH($CA457,DL_KEY,0)),"M")</f>
        <v>M</v>
      </c>
      <c r="AB457" s="35" t="str">
        <f>IFERROR(INDEX(DL_L,MATCH($CA457,DL_KEY,0)),"M")</f>
        <v>L</v>
      </c>
      <c r="AC457" s="35" t="str">
        <f>IFERROR(INDEX(DL_BI,MATCH($CA457,DL_KEY,0)),"M")</f>
        <v>L</v>
      </c>
      <c r="AD457" s="35" t="str">
        <f>IFERROR(INDEX(DL_Exp,MATCH($CA457,DL_KEY,0)),"M")</f>
        <v>L</v>
      </c>
      <c r="AE457" s="35" t="str">
        <f>IFERROR(INDEX(DL_Edu,MATCH($CA457,DL_KEY,0)),"M")</f>
        <v>L</v>
      </c>
      <c r="AF457" s="34" t="inlineStr">
        <is>
          <t>M</t>
        </is>
      </c>
      <c r="AG457" s="35" t="inlineStr">
        <is>
          <t>M</t>
        </is>
      </c>
      <c r="AH457" s="35" t="inlineStr">
        <is>
          <t>M</t>
        </is>
      </c>
      <c r="AI457" s="35" t="inlineStr">
        <is>
          <t>M</t>
        </is>
      </c>
      <c r="AJ457" s="35" t="inlineStr">
        <is>
          <t>M</t>
        </is>
      </c>
      <c r="AK457" s="35" t="inlineStr">
        <is>
          <t>M</t>
        </is>
      </c>
      <c r="AL457" s="35" t="inlineStr">
        <is>
          <t>M</t>
        </is>
      </c>
      <c r="AM457" s="36" t="n">
        <v>0.513</v>
      </c>
      <c r="AN457" s="37" t="n">
        <v>0.173</v>
      </c>
      <c r="AO457" s="37" t="n">
        <v>0.09699999999999999</v>
      </c>
      <c r="AP457" s="37" t="n">
        <v>0.05</v>
      </c>
      <c r="AQ457" s="37" t="n">
        <v>0.07000000000000001</v>
      </c>
      <c r="AR457" s="37" t="n">
        <v>0.06</v>
      </c>
      <c r="AS457" s="37" t="n">
        <v>0.04</v>
      </c>
      <c r="AT457" s="38" t="inlineStr">
        <is>
          <t>6–10</t>
        </is>
      </c>
      <c r="AU457" s="38" t="inlineStr">
        <is>
          <t>Graduate or postgraduate; professional qualification preferred</t>
        </is>
      </c>
      <c r="AV457" s="38" t="inlineStr">
        <is>
          <t>IC: none · People: 6–8 knowledge work, 8–12 standardised delivery</t>
        </is>
      </c>
      <c r="AW457" s="38" t="inlineStr">
        <is>
          <t>P4 / M3 · SFIA 4–5</t>
        </is>
      </c>
      <c r="AX45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57" s="39" t="inlineStr">
        <is>
          <t>B2</t>
        </is>
      </c>
      <c r="AZ457" s="40" t="inlineStr">
        <is>
          <t>Band B · Specialist / Manager · Senior Specialist</t>
        </is>
      </c>
      <c r="BA457" s="40" t="inlineStr">
        <is>
          <t>Model B2 from the six ratings, the market-derived weights and rules R1–R13 · then No change · already below the manager</t>
        </is>
      </c>
      <c r="BB457" s="41" t="inlineStr">
        <is>
          <t>B2</t>
        </is>
      </c>
      <c r="BC457" s="40" t="inlineStr">
        <is>
          <t>The six ratings on the market-average weights of Band B · Specialist / POD Lead score 5.15 → B2 · Hay, Mercer IPE and public plans · experience 22.2 yrs vs the B2 market range 6–10</t>
        </is>
      </c>
      <c r="BD457" s="42">
        <f>IF(SUM(BM457,BN457,BO457,BP457,BQ457,BR457,BS457)=0,0,(BM457*BT457+BN457*BU457+BO457*BV457+BP457*BW457+BQ457*BX457+BR457*BY457+BS457*BZ457)/SUM(BM457,BN457,BO457,BP457,BQ457,BR457,BS457))</f>
        <v>0</v>
      </c>
      <c r="BE457" s="41" t="str">
        <f>IF(LEFT(AY457,1)="X",AY457,IF(OR(AY457="B+",AY457="C+"),INDEX(LAD_PC,MAX(1,MIN(14,MATCH(AY457,LAD_PC,0)+IF(BD457&gt;=0.5,1,IF(BD457&lt;=-0.5,-1,0))))),INDEX(LAD_STD,MAX(1,MIN(12,MATCH(AY457,LAD_STD,0)+IF(BD457&gt;=0.5,1,IF(BD457&lt;=-0.5,-1,0)))))))</f>
        <v>B2</v>
      </c>
      <c r="BF457" s="43" t="n"/>
      <c r="BG457" s="41" t="str">
        <f>IF(BF457&lt;&gt;"",BF457,BE457)</f>
        <v>B2</v>
      </c>
      <c r="BH457" s="40" t="str">
        <f>IFERROR(CHOOSE(INDEX(B_RANK,MATCH(BG457,B_LVL,0)),"Band A","Band B","B+ · Player-Coach","Band C","C+ · Player-Coach","Band D","Band E"),"Band X · Consultant")</f>
        <v>Band B</v>
      </c>
      <c r="BI457" s="40" t="str">
        <f>IF(BG457=AY457,"• Same",IF(INDEX(B_VAL,MATCH(BG457,B_LVL,0))&gt;INDEX(B_VAL,MATCH(AY457,B_LVL,0)),"▲ Up","▼ Down"))</f>
        <v>• Same</v>
      </c>
      <c r="BJ457" s="40" t="str">
        <f>IF(OR($M457="",$M457="—",$M457="Not in this file"),"",IFERROR(INDEX($BG$7:$BG$592,MATCH($M457,$D$7:$D$592,0)),""))</f>
        <v>C2</v>
      </c>
      <c r="BK457" s="40" t="str">
        <f>IFERROR(IF(BJ457="","—",IF(OR(LEFT(BG457,1)="X",LEFT(BJ457,1)="X"),"—",IF(AND(LEFT(BG457,1)="E",LEFT(BJ457,1)="E"),"Exception · Band E",IF(AND(INDEX(B_VAL,MATCH(BJ457,B_LVL,0))&gt;=7,INDEX(B_RANK,MATCH(BG457,B_LVL,0))&gt;=INDEX(B_RANK,MATCH(BJ457,B_LVL,0))),"⚠ Same band as a head manager",IF(INDEX(B_VAL,MATCH(BG457,B_LVL,0))&gt;=INDEX(B_VAL,MATCH(BJ457,B_LVL,0)),"⚠ At or above the manager's level","OK"))))),"—")</f>
        <v>OK</v>
      </c>
      <c r="BL457" s="43" t="n"/>
      <c r="BM457" s="44">
        <f>IFERROR(INDEX(LMH_PTS,MATCH(Y457,LMH_KEY,0)),0)</f>
        <v>9</v>
      </c>
      <c r="BN457" s="38">
        <f>IFERROR(INDEX(LMH_PTS,MATCH(Z457,LMH_KEY,0)),0)</f>
        <v>3</v>
      </c>
      <c r="BO457" s="38">
        <f>IFERROR(INDEX(LMH_PTS,MATCH(AA457,LMH_KEY,0)),0)</f>
        <v>3</v>
      </c>
      <c r="BP457" s="38">
        <f>IFERROR(INDEX(LMH_PTS,MATCH(AB457,LMH_KEY,0)),0)</f>
        <v>1</v>
      </c>
      <c r="BQ457" s="38">
        <f>IFERROR(INDEX(LMH_PTS,MATCH(AC457,LMH_KEY,0)),0)</f>
        <v>1</v>
      </c>
      <c r="BR457" s="38">
        <f>IFERROR(INDEX(LMH_PTS,MATCH(AD457,LMH_KEY,0)),0)</f>
        <v>1</v>
      </c>
      <c r="BS457" s="38">
        <f>IFERROR(INDEX(LMH_PTS,MATCH(AE457,LMH_KEY,0)),0)</f>
        <v>1</v>
      </c>
      <c r="BT457" s="38">
        <f>IFERROR(INDEX(LMH_STEP,MATCH(AF457,LMH_KEY,0)),0)</f>
        <v>0</v>
      </c>
      <c r="BU457" s="38">
        <f>IFERROR(INDEX(LMH_STEP,MATCH(AG457,LMH_KEY,0)),0)</f>
        <v>0</v>
      </c>
      <c r="BV457" s="38">
        <f>IFERROR(INDEX(LMH_STEP,MATCH(AH457,LMH_KEY,0)),0)</f>
        <v>0</v>
      </c>
      <c r="BW457" s="38">
        <f>IFERROR(INDEX(LMH_STEP,MATCH(AI457,LMH_KEY,0)),0)</f>
        <v>0</v>
      </c>
      <c r="BX457" s="38">
        <f>IFERROR(INDEX(LMH_STEP,MATCH(AJ457,LMH_KEY,0)),0)</f>
        <v>0</v>
      </c>
      <c r="BY457" s="38">
        <f>IFERROR(INDEX(LMH_STEP,MATCH(AK457,LMH_KEY,0)),0)</f>
        <v>0</v>
      </c>
      <c r="BZ457" s="38">
        <f>IFERROR(INDEX(LMH_STEP,MATCH(AL457,LMH_KEY,0)),0)</f>
        <v>0</v>
      </c>
      <c r="CA457" s="38" t="inlineStr">
        <is>
          <t>iFile|XBRL Consulting|Senior Taxonomy Specialist|B2|B-IC</t>
        </is>
      </c>
    </row>
    <row r="458" ht="110" customHeight="1">
      <c r="A458" s="28" t="inlineStr">
        <is>
          <t>iFile</t>
        </is>
      </c>
      <c r="B458" s="29" t="inlineStr">
        <is>
          <t>XBRL Consulting</t>
        </is>
      </c>
      <c r="C458" s="29" t="n">
        <v>2</v>
      </c>
      <c r="D458" s="29" t="inlineStr">
        <is>
          <t>IRIS0557</t>
        </is>
      </c>
      <c r="E458" s="29" t="inlineStr">
        <is>
          <t>Shrinidhi Shetty</t>
        </is>
      </c>
      <c r="F458" s="29" t="inlineStr">
        <is>
          <t>Consultant</t>
        </is>
      </c>
      <c r="G458" s="29" t="inlineStr">
        <is>
          <t>Taxonomy Specialist</t>
        </is>
      </c>
      <c r="H458" s="29" t="inlineStr">
        <is>
          <t>Consulting &amp; Professional Services</t>
        </is>
      </c>
      <c r="I458" s="29" t="inlineStr">
        <is>
          <t>Taxonomy Design &amp; Regulatory Consulting</t>
        </is>
      </c>
      <c r="J458" s="29" t="inlineStr">
        <is>
          <t>IC</t>
        </is>
      </c>
      <c r="K458" s="29" t="inlineStr">
        <is>
          <t>RC-020</t>
        </is>
      </c>
      <c r="L458" s="29" t="inlineStr">
        <is>
          <t>Rahul Dhamne</t>
        </is>
      </c>
      <c r="M458" s="29" t="inlineStr">
        <is>
          <t>IRIS0362</t>
        </is>
      </c>
      <c r="N458" s="29" t="n">
        <v>15.8</v>
      </c>
      <c r="O458" s="29" t="n">
        <v>15.8</v>
      </c>
      <c r="P458" s="29" t="inlineStr">
        <is>
          <t>CA</t>
        </is>
      </c>
      <c r="Q458" s="29" t="inlineStr">
        <is>
          <t>L3 – Professional / Associate</t>
        </is>
      </c>
      <c r="R458" s="29" t="inlineStr">
        <is>
          <t>B1</t>
        </is>
      </c>
      <c r="S458" s="30" t="inlineStr">
        <is>
          <t>20 of 20</t>
        </is>
      </c>
      <c r="T458" s="31" t="inlineStr">
        <is>
          <t>Complexity: Evidence reads like B1: XBRL SME: analyses spec updates, builds taxonomies and SRS, supports Bushchat formulas, builds automation tools → moved up 0.5
Autonomy: Evidence reads like A3: Decides XBRL spec analysis and updates; judges when to ask rather than guess → matches the start
Accountability: Evidence reads like A3: XBRL taxonomy for …</t>
        </is>
      </c>
      <c r="U458" s="31" t="inlineStr">
        <is>
          <t>Received · manager annual, quarterly · 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t>
        </is>
      </c>
      <c r="V458" s="31" t="inlineStr">
        <is>
          <t>Latest rating: 3 · Potential: Low · 9-box: Misplaced Talent / Enigma · Readiness: Develop in role</t>
        </is>
      </c>
      <c r="W458" s="31" t="inlineStr">
        <is>
          <t>C M · Au L · Ac L · L L · BI L · Exp H · 15.8 yrs vs 4–7 yrs · Edu H · CA</t>
        </is>
      </c>
      <c r="X458" s="33" t="inlineStr">
        <is>
          <t>Open ▸</t>
        </is>
      </c>
      <c r="Y458" s="34" t="str">
        <f>IFERROR(INDEX(DL_C,MATCH($CA458,DL_KEY,0)),"M")</f>
        <v>H</v>
      </c>
      <c r="Z458" s="35" t="str">
        <f>IFERROR(INDEX(DL_Au,MATCH($CA458,DL_KEY,0)),"M")</f>
        <v>M</v>
      </c>
      <c r="AA458" s="35" t="str">
        <f>IFERROR(INDEX(DL_Ac,MATCH($CA458,DL_KEY,0)),"M")</f>
        <v>M</v>
      </c>
      <c r="AB458" s="35" t="str">
        <f>IFERROR(INDEX(DL_L,MATCH($CA458,DL_KEY,0)),"M")</f>
        <v>L</v>
      </c>
      <c r="AC458" s="35" t="str">
        <f>IFERROR(INDEX(DL_BI,MATCH($CA458,DL_KEY,0)),"M")</f>
        <v>L</v>
      </c>
      <c r="AD458" s="35" t="str">
        <f>IFERROR(INDEX(DL_Exp,MATCH($CA458,DL_KEY,0)),"M")</f>
        <v>L</v>
      </c>
      <c r="AE458" s="35" t="str">
        <f>IFERROR(INDEX(DL_Edu,MATCH($CA458,DL_KEY,0)),"M")</f>
        <v>L</v>
      </c>
      <c r="AF458" s="34" t="inlineStr">
        <is>
          <t>M</t>
        </is>
      </c>
      <c r="AG458" s="35" t="inlineStr">
        <is>
          <t>M</t>
        </is>
      </c>
      <c r="AH458" s="35" t="inlineStr">
        <is>
          <t>M</t>
        </is>
      </c>
      <c r="AI458" s="35" t="inlineStr">
        <is>
          <t>M</t>
        </is>
      </c>
      <c r="AJ458" s="35" t="inlineStr">
        <is>
          <t>M</t>
        </is>
      </c>
      <c r="AK458" s="35" t="inlineStr">
        <is>
          <t>M</t>
        </is>
      </c>
      <c r="AL458" s="35" t="inlineStr">
        <is>
          <t>M</t>
        </is>
      </c>
      <c r="AM458" s="36" t="n">
        <v>0.513</v>
      </c>
      <c r="AN458" s="37" t="n">
        <v>0.173</v>
      </c>
      <c r="AO458" s="37" t="n">
        <v>0.09699999999999999</v>
      </c>
      <c r="AP458" s="37" t="n">
        <v>0.05</v>
      </c>
      <c r="AQ458" s="37" t="n">
        <v>0.07000000000000001</v>
      </c>
      <c r="AR458" s="37" t="n">
        <v>0.06</v>
      </c>
      <c r="AS458" s="37" t="n">
        <v>0.04</v>
      </c>
      <c r="AT458" s="38" t="inlineStr">
        <is>
          <t>4–8</t>
        </is>
      </c>
      <c r="AU458" s="38" t="inlineStr">
        <is>
          <t>Graduate + relevant qualification or certification preferred</t>
        </is>
      </c>
      <c r="AV458" s="38" t="inlineStr">
        <is>
          <t>IC: none · Team Lead: 3–5</t>
        </is>
      </c>
      <c r="AW458" s="38" t="inlineStr">
        <is>
          <t>P3 / M2 · SFIA 4 Enable</t>
        </is>
      </c>
      <c r="AX45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58" s="39" t="inlineStr">
        <is>
          <t>B1</t>
        </is>
      </c>
      <c r="AZ458" s="40" t="inlineStr">
        <is>
          <t>Band B · Specialist / Manager · Specialist</t>
        </is>
      </c>
      <c r="BA458" s="40" t="inlineStr">
        <is>
          <t>Model B1 from the six ratings, the market-derived weights and rules R1–R13 · then No change · already below the manager</t>
        </is>
      </c>
      <c r="BB458" s="41" t="inlineStr">
        <is>
          <t>B1</t>
        </is>
      </c>
      <c r="BC458" s="40" t="inlineStr">
        <is>
          <t>The six ratings on the market-average weights of Band B · Specialist / POD Lead score 3.88 → B1 · Hay, Mercer IPE and public plans · experience 15.8 yrs vs the B1 market range 4–8</t>
        </is>
      </c>
      <c r="BD458" s="42">
        <f>IF(SUM(BM458,BN458,BO458,BP458,BQ458,BR458,BS458)=0,0,(BM458*BT458+BN458*BU458+BO458*BV458+BP458*BW458+BQ458*BX458+BR458*BY458+BS458*BZ458)/SUM(BM458,BN458,BO458,BP458,BQ458,BR458,BS458))</f>
        <v>0</v>
      </c>
      <c r="BE458" s="41" t="str">
        <f>IF(LEFT(AY458,1)="X",AY458,IF(OR(AY458="B+",AY458="C+"),INDEX(LAD_PC,MAX(1,MIN(14,MATCH(AY458,LAD_PC,0)+IF(BD458&gt;=0.5,1,IF(BD458&lt;=-0.5,-1,0))))),INDEX(LAD_STD,MAX(1,MIN(12,MATCH(AY458,LAD_STD,0)+IF(BD458&gt;=0.5,1,IF(BD458&lt;=-0.5,-1,0)))))))</f>
        <v>B1</v>
      </c>
      <c r="BF458" s="43" t="n"/>
      <c r="BG458" s="41" t="str">
        <f>IF(BF458&lt;&gt;"",BF458,BE458)</f>
        <v>B1</v>
      </c>
      <c r="BH458" s="40" t="str">
        <f>IFERROR(CHOOSE(INDEX(B_RANK,MATCH(BG458,B_LVL,0)),"Band A","Band B","B+ · Player-Coach","Band C","C+ · Player-Coach","Band D","Band E"),"Band X · Consultant")</f>
        <v>Band B</v>
      </c>
      <c r="BI458" s="40" t="str">
        <f>IF(BG458=AY458,"• Same",IF(INDEX(B_VAL,MATCH(BG458,B_LVL,0))&gt;INDEX(B_VAL,MATCH(AY458,B_LVL,0)),"▲ Up","▼ Down"))</f>
        <v>• Same</v>
      </c>
      <c r="BJ458" s="40" t="str">
        <f>IF(OR($M458="",$M458="—",$M458="Not in this file"),"",IFERROR(INDEX($BG$7:$BG$592,MATCH($M458,$D$7:$D$592,0)),""))</f>
        <v>C2</v>
      </c>
      <c r="BK458" s="40" t="str">
        <f>IFERROR(IF(BJ458="","—",IF(OR(LEFT(BG458,1)="X",LEFT(BJ458,1)="X"),"—",IF(AND(LEFT(BG458,1)="E",LEFT(BJ458,1)="E"),"Exception · Band E",IF(AND(INDEX(B_VAL,MATCH(BJ458,B_LVL,0))&gt;=7,INDEX(B_RANK,MATCH(BG458,B_LVL,0))&gt;=INDEX(B_RANK,MATCH(BJ458,B_LVL,0))),"⚠ Same band as a head manager",IF(INDEX(B_VAL,MATCH(BG458,B_LVL,0))&gt;=INDEX(B_VAL,MATCH(BJ458,B_LVL,0)),"⚠ At or above the manager's level","OK"))))),"—")</f>
        <v>OK</v>
      </c>
      <c r="BL458" s="43" t="n"/>
      <c r="BM458" s="44">
        <f>IFERROR(INDEX(LMH_PTS,MATCH(Y458,LMH_KEY,0)),0)</f>
        <v>9</v>
      </c>
      <c r="BN458" s="38">
        <f>IFERROR(INDEX(LMH_PTS,MATCH(Z458,LMH_KEY,0)),0)</f>
        <v>3</v>
      </c>
      <c r="BO458" s="38">
        <f>IFERROR(INDEX(LMH_PTS,MATCH(AA458,LMH_KEY,0)),0)</f>
        <v>3</v>
      </c>
      <c r="BP458" s="38">
        <f>IFERROR(INDEX(LMH_PTS,MATCH(AB458,LMH_KEY,0)),0)</f>
        <v>1</v>
      </c>
      <c r="BQ458" s="38">
        <f>IFERROR(INDEX(LMH_PTS,MATCH(AC458,LMH_KEY,0)),0)</f>
        <v>1</v>
      </c>
      <c r="BR458" s="38">
        <f>IFERROR(INDEX(LMH_PTS,MATCH(AD458,LMH_KEY,0)),0)</f>
        <v>1</v>
      </c>
      <c r="BS458" s="38">
        <f>IFERROR(INDEX(LMH_PTS,MATCH(AE458,LMH_KEY,0)),0)</f>
        <v>1</v>
      </c>
      <c r="BT458" s="38">
        <f>IFERROR(INDEX(LMH_STEP,MATCH(AF458,LMH_KEY,0)),0)</f>
        <v>0</v>
      </c>
      <c r="BU458" s="38">
        <f>IFERROR(INDEX(LMH_STEP,MATCH(AG458,LMH_KEY,0)),0)</f>
        <v>0</v>
      </c>
      <c r="BV458" s="38">
        <f>IFERROR(INDEX(LMH_STEP,MATCH(AH458,LMH_KEY,0)),0)</f>
        <v>0</v>
      </c>
      <c r="BW458" s="38">
        <f>IFERROR(INDEX(LMH_STEP,MATCH(AI458,LMH_KEY,0)),0)</f>
        <v>0</v>
      </c>
      <c r="BX458" s="38">
        <f>IFERROR(INDEX(LMH_STEP,MATCH(AJ458,LMH_KEY,0)),0)</f>
        <v>0</v>
      </c>
      <c r="BY458" s="38">
        <f>IFERROR(INDEX(LMH_STEP,MATCH(AK458,LMH_KEY,0)),0)</f>
        <v>0</v>
      </c>
      <c r="BZ458" s="38">
        <f>IFERROR(INDEX(LMH_STEP,MATCH(AL458,LMH_KEY,0)),0)</f>
        <v>0</v>
      </c>
      <c r="CA458" s="38" t="inlineStr">
        <is>
          <t>iFile|XBRL Consulting|Taxonomy Specialist|B1|B-IC</t>
        </is>
      </c>
    </row>
    <row r="459" ht="110" customHeight="1">
      <c r="A459" s="28" t="inlineStr">
        <is>
          <t>iFile</t>
        </is>
      </c>
      <c r="B459" s="29" t="inlineStr">
        <is>
          <t>XBRL Consulting</t>
        </is>
      </c>
      <c r="C459" s="29" t="n">
        <v>2</v>
      </c>
      <c r="D459" s="29" t="inlineStr">
        <is>
          <t>IRIS2045</t>
        </is>
      </c>
      <c r="E459" s="29" t="inlineStr">
        <is>
          <t>Bhagyashree Kamble</t>
        </is>
      </c>
      <c r="F459" s="29" t="inlineStr">
        <is>
          <t>Analyst</t>
        </is>
      </c>
      <c r="G459" s="29" t="inlineStr">
        <is>
          <t>Senior Taxonomy Analyst</t>
        </is>
      </c>
      <c r="H459" s="29" t="inlineStr">
        <is>
          <t>Consulting &amp; Professional Services</t>
        </is>
      </c>
      <c r="I459" s="29" t="inlineStr">
        <is>
          <t>Taxonomy Design &amp; Regulatory Consulting</t>
        </is>
      </c>
      <c r="J459" s="29" t="inlineStr">
        <is>
          <t>IC</t>
        </is>
      </c>
      <c r="K459" s="29" t="inlineStr">
        <is>
          <t>RC-019</t>
        </is>
      </c>
      <c r="L459" s="29" t="inlineStr">
        <is>
          <t>Rahul Dhamne</t>
        </is>
      </c>
      <c r="M459" s="29" t="inlineStr">
        <is>
          <t>IRIS0362</t>
        </is>
      </c>
      <c r="N459" s="29" t="n">
        <v>5.5</v>
      </c>
      <c r="O459" s="29" t="n">
        <v>4.2</v>
      </c>
      <c r="P459" s="29" t="inlineStr">
        <is>
          <t>B.Com</t>
        </is>
      </c>
      <c r="Q459" s="29" t="inlineStr">
        <is>
          <t>L3 – Professional / Associate</t>
        </is>
      </c>
      <c r="R459" s="29" t="inlineStr">
        <is>
          <t>A3</t>
        </is>
      </c>
      <c r="S459" s="30" t="inlineStr">
        <is>
          <t>20 of 20</t>
        </is>
      </c>
      <c r="T459" s="31" t="inlineStr">
        <is>
          <t>Complexity: Evidence reads like A3: Taxonomy development and validation-rule development, mapping client data to XBRL standards → moved up 0.5
Autonomy: Evidence reads like A2: Only creating validations named → matches the start
Accountability: Evidence reads like A2: Validation rules and client support for taxonomy → matches the start
Leadership: Evidence …</t>
        </is>
      </c>
      <c r="U459" s="31" t="inlineStr">
        <is>
          <t>Received · manager annual, quarterly · 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t>
        </is>
      </c>
      <c r="V459" s="31" t="inlineStr">
        <is>
          <t>Latest rating: 2 · Potential: Medium · 9-box: Reliable Specialist · Readiness: Performance first</t>
        </is>
      </c>
      <c r="W459" s="31" t="inlineStr">
        <is>
          <t>C M · Au L · Ac L · L L · BI L · Exp H · 5.5 yrs vs 2–4 yrs · Edu M · B.Com</t>
        </is>
      </c>
      <c r="X459" s="33" t="inlineStr">
        <is>
          <t>Open ▸</t>
        </is>
      </c>
      <c r="Y459" s="34" t="str">
        <f>IFERROR(INDEX(DL_C,MATCH($CA459,DL_KEY,0)),"M")</f>
        <v>H</v>
      </c>
      <c r="Z459" s="35" t="str">
        <f>IFERROR(INDEX(DL_Au,MATCH($CA459,DL_KEY,0)),"M")</f>
        <v>M</v>
      </c>
      <c r="AA459" s="35" t="str">
        <f>IFERROR(INDEX(DL_Ac,MATCH($CA459,DL_KEY,0)),"M")</f>
        <v>M</v>
      </c>
      <c r="AB459" s="35" t="str">
        <f>IFERROR(INDEX(DL_L,MATCH($CA459,DL_KEY,0)),"M")</f>
        <v>L</v>
      </c>
      <c r="AC459" s="35" t="str">
        <f>IFERROR(INDEX(DL_BI,MATCH($CA459,DL_KEY,0)),"M")</f>
        <v>L</v>
      </c>
      <c r="AD459" s="35" t="str">
        <f>IFERROR(INDEX(DL_Exp,MATCH($CA459,DL_KEY,0)),"M")</f>
        <v>L</v>
      </c>
      <c r="AE459" s="35" t="str">
        <f>IFERROR(INDEX(DL_Edu,MATCH($CA459,DL_KEY,0)),"M")</f>
        <v>L</v>
      </c>
      <c r="AF459" s="34" t="inlineStr">
        <is>
          <t>M</t>
        </is>
      </c>
      <c r="AG459" s="35" t="inlineStr">
        <is>
          <t>M</t>
        </is>
      </c>
      <c r="AH459" s="35" t="inlineStr">
        <is>
          <t>M</t>
        </is>
      </c>
      <c r="AI459" s="35" t="inlineStr">
        <is>
          <t>M</t>
        </is>
      </c>
      <c r="AJ459" s="35" t="inlineStr">
        <is>
          <t>M</t>
        </is>
      </c>
      <c r="AK459" s="35" t="inlineStr">
        <is>
          <t>M</t>
        </is>
      </c>
      <c r="AL459" s="35" t="inlineStr">
        <is>
          <t>M</t>
        </is>
      </c>
      <c r="AM459" s="36" t="n">
        <v>0.583</v>
      </c>
      <c r="AN459" s="37" t="n">
        <v>0.16</v>
      </c>
      <c r="AO459" s="37" t="n">
        <v>0.09</v>
      </c>
      <c r="AP459" s="37" t="n">
        <v>0</v>
      </c>
      <c r="AQ459" s="37" t="n">
        <v>0.063</v>
      </c>
      <c r="AR459" s="37" t="n">
        <v>0.06</v>
      </c>
      <c r="AS459" s="37" t="n">
        <v>0.04</v>
      </c>
      <c r="AT459" s="38" t="inlineStr">
        <is>
          <t>2–5</t>
        </is>
      </c>
      <c r="AU459" s="38" t="inlineStr">
        <is>
          <t>Graduate; relevant certification preferred</t>
        </is>
      </c>
      <c r="AV459" s="38" t="inlineStr">
        <is>
          <t>None · guides 1–3 juniors informally</t>
        </is>
      </c>
      <c r="AW459" s="38" t="inlineStr">
        <is>
          <t>P2 · SFIA 3 Apply</t>
        </is>
      </c>
      <c r="AX45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59" s="39" t="inlineStr">
        <is>
          <t>A3</t>
        </is>
      </c>
      <c r="AZ459" s="40" t="inlineStr">
        <is>
          <t>Band A · Practitioner · Senior Associate</t>
        </is>
      </c>
      <c r="BA459" s="40" t="inlineStr">
        <is>
          <t>Model A3 from the six ratings, the market-derived weights and rules R1–R13 · then No change · already below the manager</t>
        </is>
      </c>
      <c r="BB459" s="41" t="inlineStr">
        <is>
          <t>A2</t>
        </is>
      </c>
      <c r="BC459" s="40" t="inlineStr">
        <is>
          <t>The six ratings on the market-average weights of Band A · all tracks score 2.49 → A2 · Hay, Mercer IPE and public plans · experience 5.5 yrs vs the A2 market range 0–3</t>
        </is>
      </c>
      <c r="BD459" s="42">
        <f>IF(SUM(BM459,BN459,BO459,BP459,BQ459,BR459,BS459)=0,0,(BM459*BT459+BN459*BU459+BO459*BV459+BP459*BW459+BQ459*BX459+BR459*BY459+BS459*BZ459)/SUM(BM459,BN459,BO459,BP459,BQ459,BR459,BS459))</f>
        <v>0</v>
      </c>
      <c r="BE459" s="41" t="str">
        <f>IF(LEFT(AY459,1)="X",AY459,IF(OR(AY459="B+",AY459="C+"),INDEX(LAD_PC,MAX(1,MIN(14,MATCH(AY459,LAD_PC,0)+IF(BD459&gt;=0.5,1,IF(BD459&lt;=-0.5,-1,0))))),INDEX(LAD_STD,MAX(1,MIN(12,MATCH(AY459,LAD_STD,0)+IF(BD459&gt;=0.5,1,IF(BD459&lt;=-0.5,-1,0)))))))</f>
        <v>A3</v>
      </c>
      <c r="BF459" s="43" t="n"/>
      <c r="BG459" s="41" t="str">
        <f>IF(BF459&lt;&gt;"",BF459,BE459)</f>
        <v>A3</v>
      </c>
      <c r="BH459" s="40" t="str">
        <f>IFERROR(CHOOSE(INDEX(B_RANK,MATCH(BG459,B_LVL,0)),"Band A","Band B","B+ · Player-Coach","Band C","C+ · Player-Coach","Band D","Band E"),"Band X · Consultant")</f>
        <v>Band A</v>
      </c>
      <c r="BI459" s="40" t="str">
        <f>IF(BG459=AY459,"• Same",IF(INDEX(B_VAL,MATCH(BG459,B_LVL,0))&gt;INDEX(B_VAL,MATCH(AY459,B_LVL,0)),"▲ Up","▼ Down"))</f>
        <v>• Same</v>
      </c>
      <c r="BJ459" s="40" t="str">
        <f>IF(OR($M459="",$M459="—",$M459="Not in this file"),"",IFERROR(INDEX($BG$7:$BG$592,MATCH($M459,$D$7:$D$592,0)),""))</f>
        <v>C2</v>
      </c>
      <c r="BK459" s="40" t="str">
        <f>IFERROR(IF(BJ459="","—",IF(OR(LEFT(BG459,1)="X",LEFT(BJ459,1)="X"),"—",IF(AND(LEFT(BG459,1)="E",LEFT(BJ459,1)="E"),"Exception · Band E",IF(AND(INDEX(B_VAL,MATCH(BJ459,B_LVL,0))&gt;=7,INDEX(B_RANK,MATCH(BG459,B_LVL,0))&gt;=INDEX(B_RANK,MATCH(BJ459,B_LVL,0))),"⚠ Same band as a head manager",IF(INDEX(B_VAL,MATCH(BG459,B_LVL,0))&gt;=INDEX(B_VAL,MATCH(BJ459,B_LVL,0)),"⚠ At or above the manager's level","OK"))))),"—")</f>
        <v>OK</v>
      </c>
      <c r="BL459" s="43" t="n"/>
      <c r="BM459" s="44">
        <f>IFERROR(INDEX(LMH_PTS,MATCH(Y459,LMH_KEY,0)),0)</f>
        <v>9</v>
      </c>
      <c r="BN459" s="38">
        <f>IFERROR(INDEX(LMH_PTS,MATCH(Z459,LMH_KEY,0)),0)</f>
        <v>3</v>
      </c>
      <c r="BO459" s="38">
        <f>IFERROR(INDEX(LMH_PTS,MATCH(AA459,LMH_KEY,0)),0)</f>
        <v>3</v>
      </c>
      <c r="BP459" s="38">
        <f>IFERROR(INDEX(LMH_PTS,MATCH(AB459,LMH_KEY,0)),0)</f>
        <v>1</v>
      </c>
      <c r="BQ459" s="38">
        <f>IFERROR(INDEX(LMH_PTS,MATCH(AC459,LMH_KEY,0)),0)</f>
        <v>1</v>
      </c>
      <c r="BR459" s="38">
        <f>IFERROR(INDEX(LMH_PTS,MATCH(AD459,LMH_KEY,0)),0)</f>
        <v>1</v>
      </c>
      <c r="BS459" s="38">
        <f>IFERROR(INDEX(LMH_PTS,MATCH(AE459,LMH_KEY,0)),0)</f>
        <v>1</v>
      </c>
      <c r="BT459" s="38">
        <f>IFERROR(INDEX(LMH_STEP,MATCH(AF459,LMH_KEY,0)),0)</f>
        <v>0</v>
      </c>
      <c r="BU459" s="38">
        <f>IFERROR(INDEX(LMH_STEP,MATCH(AG459,LMH_KEY,0)),0)</f>
        <v>0</v>
      </c>
      <c r="BV459" s="38">
        <f>IFERROR(INDEX(LMH_STEP,MATCH(AH459,LMH_KEY,0)),0)</f>
        <v>0</v>
      </c>
      <c r="BW459" s="38">
        <f>IFERROR(INDEX(LMH_STEP,MATCH(AI459,LMH_KEY,0)),0)</f>
        <v>0</v>
      </c>
      <c r="BX459" s="38">
        <f>IFERROR(INDEX(LMH_STEP,MATCH(AJ459,LMH_KEY,0)),0)</f>
        <v>0</v>
      </c>
      <c r="BY459" s="38">
        <f>IFERROR(INDEX(LMH_STEP,MATCH(AK459,LMH_KEY,0)),0)</f>
        <v>0</v>
      </c>
      <c r="BZ459" s="38">
        <f>IFERROR(INDEX(LMH_STEP,MATCH(AL459,LMH_KEY,0)),0)</f>
        <v>0</v>
      </c>
      <c r="CA459" s="38" t="inlineStr">
        <is>
          <t>iFile|XBRL Consulting|Senior Taxonomy Analyst|A3|A</t>
        </is>
      </c>
    </row>
    <row r="460" ht="110" customHeight="1">
      <c r="A460" s="28" t="inlineStr">
        <is>
          <t>iFile</t>
        </is>
      </c>
      <c r="B460" s="29" t="inlineStr">
        <is>
          <t>XBRL Consulting</t>
        </is>
      </c>
      <c r="C460" s="29" t="n">
        <v>2</v>
      </c>
      <c r="D460" s="29" t="inlineStr">
        <is>
          <t>IRIS0617</t>
        </is>
      </c>
      <c r="E460" s="29" t="inlineStr">
        <is>
          <t>Bhakti Gosavi</t>
        </is>
      </c>
      <c r="F460" s="29" t="inlineStr">
        <is>
          <t>Analyst</t>
        </is>
      </c>
      <c r="G460" s="29" t="inlineStr">
        <is>
          <t>Senior Taxonomy Analyst</t>
        </is>
      </c>
      <c r="H460" s="29" t="inlineStr">
        <is>
          <t>Consulting &amp; Professional Services</t>
        </is>
      </c>
      <c r="I460" s="29" t="inlineStr">
        <is>
          <t>Taxonomy Design &amp; Regulatory Consulting</t>
        </is>
      </c>
      <c r="J460" s="29" t="inlineStr">
        <is>
          <t>IC</t>
        </is>
      </c>
      <c r="K460" s="29" t="inlineStr">
        <is>
          <t>RC-019</t>
        </is>
      </c>
      <c r="L460" s="29" t="inlineStr">
        <is>
          <t>Rahul Dhamne</t>
        </is>
      </c>
      <c r="M460" s="29" t="inlineStr">
        <is>
          <t>IRIS0362</t>
        </is>
      </c>
      <c r="N460" s="29" t="n">
        <v>15.4</v>
      </c>
      <c r="O460" s="29" t="n">
        <v>15.4</v>
      </c>
      <c r="P460" s="29" t="inlineStr">
        <is>
          <t>M.Com</t>
        </is>
      </c>
      <c r="Q460" s="29" t="inlineStr">
        <is>
          <t>L3 – Professional / Associate</t>
        </is>
      </c>
      <c r="R460" s="29" t="inlineStr">
        <is>
          <t>A3</t>
        </is>
      </c>
      <c r="S460" s="30" t="inlineStr">
        <is>
          <t>20 of 20</t>
        </is>
      </c>
      <c r="T460" s="31" t="inlineStr">
        <is>
          <t>Complexity: Evidence reads like A2: Formula creation and testing, instance creation, tool testing; routine taxonomy tasks, tersely described → matches the start
Autonomy: Evidence reads like A2: Only independent decision named is formula testing → matches the start
Accountability: Evidence reads like A2: Accountable for own formula creation and testing; …</t>
        </is>
      </c>
      <c r="U460" s="31" t="inlineStr">
        <is>
          <t>Received · manager annual, quarterly · 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t>
        </is>
      </c>
      <c r="V460" s="31" t="inlineStr">
        <is>
          <t>Latest rating: 2 · Potential: Medium · 9-box: Reliable Specialist · Readiness: Performance first</t>
        </is>
      </c>
      <c r="W460" s="31" t="inlineStr">
        <is>
          <t>C L · Au L · Ac L · L L · BI L · Exp H · 15.4 yrs vs 2–4 yrs · Edu H · M.Com</t>
        </is>
      </c>
      <c r="X460" s="33" t="inlineStr">
        <is>
          <t>Open ▸</t>
        </is>
      </c>
      <c r="Y460" s="34" t="str">
        <f>IFERROR(INDEX(DL_C,MATCH($CA460,DL_KEY,0)),"M")</f>
        <v>H</v>
      </c>
      <c r="Z460" s="35" t="str">
        <f>IFERROR(INDEX(DL_Au,MATCH($CA460,DL_KEY,0)),"M")</f>
        <v>M</v>
      </c>
      <c r="AA460" s="35" t="str">
        <f>IFERROR(INDEX(DL_Ac,MATCH($CA460,DL_KEY,0)),"M")</f>
        <v>M</v>
      </c>
      <c r="AB460" s="35" t="str">
        <f>IFERROR(INDEX(DL_L,MATCH($CA460,DL_KEY,0)),"M")</f>
        <v>L</v>
      </c>
      <c r="AC460" s="35" t="str">
        <f>IFERROR(INDEX(DL_BI,MATCH($CA460,DL_KEY,0)),"M")</f>
        <v>L</v>
      </c>
      <c r="AD460" s="35" t="str">
        <f>IFERROR(INDEX(DL_Exp,MATCH($CA460,DL_KEY,0)),"M")</f>
        <v>L</v>
      </c>
      <c r="AE460" s="35" t="str">
        <f>IFERROR(INDEX(DL_Edu,MATCH($CA460,DL_KEY,0)),"M")</f>
        <v>L</v>
      </c>
      <c r="AF460" s="34" t="inlineStr">
        <is>
          <t>M</t>
        </is>
      </c>
      <c r="AG460" s="35" t="inlineStr">
        <is>
          <t>M</t>
        </is>
      </c>
      <c r="AH460" s="35" t="inlineStr">
        <is>
          <t>M</t>
        </is>
      </c>
      <c r="AI460" s="35" t="inlineStr">
        <is>
          <t>M</t>
        </is>
      </c>
      <c r="AJ460" s="35" t="inlineStr">
        <is>
          <t>M</t>
        </is>
      </c>
      <c r="AK460" s="35" t="inlineStr">
        <is>
          <t>M</t>
        </is>
      </c>
      <c r="AL460" s="35" t="inlineStr">
        <is>
          <t>M</t>
        </is>
      </c>
      <c r="AM460" s="36" t="n">
        <v>0.583</v>
      </c>
      <c r="AN460" s="37" t="n">
        <v>0.16</v>
      </c>
      <c r="AO460" s="37" t="n">
        <v>0.09</v>
      </c>
      <c r="AP460" s="37" t="n">
        <v>0</v>
      </c>
      <c r="AQ460" s="37" t="n">
        <v>0.063</v>
      </c>
      <c r="AR460" s="37" t="n">
        <v>0.06</v>
      </c>
      <c r="AS460" s="37" t="n">
        <v>0.04</v>
      </c>
      <c r="AT460" s="38" t="inlineStr">
        <is>
          <t>2–5</t>
        </is>
      </c>
      <c r="AU460" s="38" t="inlineStr">
        <is>
          <t>Graduate; relevant certification preferred</t>
        </is>
      </c>
      <c r="AV460" s="38" t="inlineStr">
        <is>
          <t>None · guides 1–3 juniors informally</t>
        </is>
      </c>
      <c r="AW460" s="38" t="inlineStr">
        <is>
          <t>P2 · SFIA 3 Apply</t>
        </is>
      </c>
      <c r="AX46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60" s="39" t="inlineStr">
        <is>
          <t>A3</t>
        </is>
      </c>
      <c r="AZ460" s="40" t="inlineStr">
        <is>
          <t>Band A · Practitioner · Senior Associate</t>
        </is>
      </c>
      <c r="BA460" s="40" t="inlineStr">
        <is>
          <t>Model A3 from the six ratings, the market-derived weights and rules R1–R13 · then No change · already below the manager</t>
        </is>
      </c>
      <c r="BB460" s="41" t="inlineStr">
        <is>
          <t>A3</t>
        </is>
      </c>
      <c r="BC460" s="40" t="inlineStr">
        <is>
          <t>The six ratings on the market-average weights of Band A · all tracks score 2.70 → A3 · Hay, Mercer IPE and public plans · experience 15.4 yrs vs the A3 market range 2–5</t>
        </is>
      </c>
      <c r="BD460" s="42">
        <f>IF(SUM(BM460,BN460,BO460,BP460,BQ460,BR460,BS460)=0,0,(BM460*BT460+BN460*BU460+BO460*BV460+BP460*BW460+BQ460*BX460+BR460*BY460+BS460*BZ460)/SUM(BM460,BN460,BO460,BP460,BQ460,BR460,BS460))</f>
        <v>0</v>
      </c>
      <c r="BE460" s="41" t="str">
        <f>IF(LEFT(AY460,1)="X",AY460,IF(OR(AY460="B+",AY460="C+"),INDEX(LAD_PC,MAX(1,MIN(14,MATCH(AY460,LAD_PC,0)+IF(BD460&gt;=0.5,1,IF(BD460&lt;=-0.5,-1,0))))),INDEX(LAD_STD,MAX(1,MIN(12,MATCH(AY460,LAD_STD,0)+IF(BD460&gt;=0.5,1,IF(BD460&lt;=-0.5,-1,0)))))))</f>
        <v>A3</v>
      </c>
      <c r="BF460" s="43" t="n"/>
      <c r="BG460" s="41" t="str">
        <f>IF(BF460&lt;&gt;"",BF460,BE460)</f>
        <v>A3</v>
      </c>
      <c r="BH460" s="40" t="str">
        <f>IFERROR(CHOOSE(INDEX(B_RANK,MATCH(BG460,B_LVL,0)),"Band A","Band B","B+ · Player-Coach","Band C","C+ · Player-Coach","Band D","Band E"),"Band X · Consultant")</f>
        <v>Band A</v>
      </c>
      <c r="BI460" s="40" t="str">
        <f>IF(BG460=AY460,"• Same",IF(INDEX(B_VAL,MATCH(BG460,B_LVL,0))&gt;INDEX(B_VAL,MATCH(AY460,B_LVL,0)),"▲ Up","▼ Down"))</f>
        <v>• Same</v>
      </c>
      <c r="BJ460" s="40" t="str">
        <f>IF(OR($M460="",$M460="—",$M460="Not in this file"),"",IFERROR(INDEX($BG$7:$BG$592,MATCH($M460,$D$7:$D$592,0)),""))</f>
        <v>C2</v>
      </c>
      <c r="BK460" s="40" t="str">
        <f>IFERROR(IF(BJ460="","—",IF(OR(LEFT(BG460,1)="X",LEFT(BJ460,1)="X"),"—",IF(AND(LEFT(BG460,1)="E",LEFT(BJ460,1)="E"),"Exception · Band E",IF(AND(INDEX(B_VAL,MATCH(BJ460,B_LVL,0))&gt;=7,INDEX(B_RANK,MATCH(BG460,B_LVL,0))&gt;=INDEX(B_RANK,MATCH(BJ460,B_LVL,0))),"⚠ Same band as a head manager",IF(INDEX(B_VAL,MATCH(BG460,B_LVL,0))&gt;=INDEX(B_VAL,MATCH(BJ460,B_LVL,0)),"⚠ At or above the manager's level","OK"))))),"—")</f>
        <v>OK</v>
      </c>
      <c r="BL460" s="43" t="n"/>
      <c r="BM460" s="44">
        <f>IFERROR(INDEX(LMH_PTS,MATCH(Y460,LMH_KEY,0)),0)</f>
        <v>9</v>
      </c>
      <c r="BN460" s="38">
        <f>IFERROR(INDEX(LMH_PTS,MATCH(Z460,LMH_KEY,0)),0)</f>
        <v>3</v>
      </c>
      <c r="BO460" s="38">
        <f>IFERROR(INDEX(LMH_PTS,MATCH(AA460,LMH_KEY,0)),0)</f>
        <v>3</v>
      </c>
      <c r="BP460" s="38">
        <f>IFERROR(INDEX(LMH_PTS,MATCH(AB460,LMH_KEY,0)),0)</f>
        <v>1</v>
      </c>
      <c r="BQ460" s="38">
        <f>IFERROR(INDEX(LMH_PTS,MATCH(AC460,LMH_KEY,0)),0)</f>
        <v>1</v>
      </c>
      <c r="BR460" s="38">
        <f>IFERROR(INDEX(LMH_PTS,MATCH(AD460,LMH_KEY,0)),0)</f>
        <v>1</v>
      </c>
      <c r="BS460" s="38">
        <f>IFERROR(INDEX(LMH_PTS,MATCH(AE460,LMH_KEY,0)),0)</f>
        <v>1</v>
      </c>
      <c r="BT460" s="38">
        <f>IFERROR(INDEX(LMH_STEP,MATCH(AF460,LMH_KEY,0)),0)</f>
        <v>0</v>
      </c>
      <c r="BU460" s="38">
        <f>IFERROR(INDEX(LMH_STEP,MATCH(AG460,LMH_KEY,0)),0)</f>
        <v>0</v>
      </c>
      <c r="BV460" s="38">
        <f>IFERROR(INDEX(LMH_STEP,MATCH(AH460,LMH_KEY,0)),0)</f>
        <v>0</v>
      </c>
      <c r="BW460" s="38">
        <f>IFERROR(INDEX(LMH_STEP,MATCH(AI460,LMH_KEY,0)),0)</f>
        <v>0</v>
      </c>
      <c r="BX460" s="38">
        <f>IFERROR(INDEX(LMH_STEP,MATCH(AJ460,LMH_KEY,0)),0)</f>
        <v>0</v>
      </c>
      <c r="BY460" s="38">
        <f>IFERROR(INDEX(LMH_STEP,MATCH(AK460,LMH_KEY,0)),0)</f>
        <v>0</v>
      </c>
      <c r="BZ460" s="38">
        <f>IFERROR(INDEX(LMH_STEP,MATCH(AL460,LMH_KEY,0)),0)</f>
        <v>0</v>
      </c>
      <c r="CA460" s="38" t="inlineStr">
        <is>
          <t>iFile|XBRL Consulting|Senior Taxonomy Analyst|A3|A</t>
        </is>
      </c>
    </row>
    <row r="461" ht="110" customHeight="1">
      <c r="A461" s="28" t="inlineStr">
        <is>
          <t>iFile</t>
        </is>
      </c>
      <c r="B461" s="29" t="inlineStr">
        <is>
          <t>XBRL Consulting</t>
        </is>
      </c>
      <c r="C461" s="29" t="n">
        <v>2</v>
      </c>
      <c r="D461" s="29" t="inlineStr">
        <is>
          <t>IRIS0049</t>
        </is>
      </c>
      <c r="E461" s="29" t="inlineStr">
        <is>
          <t>Kalyani Sunil Nagap</t>
        </is>
      </c>
      <c r="F461" s="29" t="inlineStr">
        <is>
          <t>Senior Analyst</t>
        </is>
      </c>
      <c r="G461" s="29" t="inlineStr">
        <is>
          <t>Taxonomy Specialist</t>
        </is>
      </c>
      <c r="H461" s="29" t="inlineStr">
        <is>
          <t>Consulting &amp; Professional Services</t>
        </is>
      </c>
      <c r="I461" s="29" t="inlineStr">
        <is>
          <t>Taxonomy Design &amp; Regulatory Consulting</t>
        </is>
      </c>
      <c r="J461" s="29" t="inlineStr">
        <is>
          <t>IC</t>
        </is>
      </c>
      <c r="K461" s="29" t="inlineStr">
        <is>
          <t>RC-019</t>
        </is>
      </c>
      <c r="L461" s="29" t="inlineStr">
        <is>
          <t>Rahul Dhamne</t>
        </is>
      </c>
      <c r="M461" s="29" t="inlineStr">
        <is>
          <t>IRIS0362</t>
        </is>
      </c>
      <c r="N461" s="29" t="n">
        <v>20</v>
      </c>
      <c r="O461" s="29" t="n">
        <v>20</v>
      </c>
      <c r="P461" s="29" t="inlineStr">
        <is>
          <t>B.Com</t>
        </is>
      </c>
      <c r="Q461" s="29" t="inlineStr">
        <is>
          <t>L4 – Senior</t>
        </is>
      </c>
      <c r="R461" s="29" t="inlineStr">
        <is>
          <t>A3</t>
        </is>
      </c>
      <c r="S461" s="30" t="inlineStr">
        <is>
          <t>20 of 20</t>
        </is>
      </c>
      <c r="T461" s="31" t="inlineStr">
        <is>
          <t>Complexity: Evidence reads like A3: Develops and maintains taxonomies, templates and validation rules; analyses issues and change-request impacts → matches the start
Autonomy: Evidence reads like A2: Decides appropriate testing for changes → moved down 0.5
Accountability: Evidence reads like A3: Change requests implemented and client issues resolved within …</t>
        </is>
      </c>
      <c r="U461" s="31" t="inlineStr">
        <is>
          <t>Received · manager annual, quarterly · 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t>
        </is>
      </c>
      <c r="V461" s="31" t="inlineStr">
        <is>
          <t>Latest rating: 3 · Potential: Low · 9-box: Reliable Specialist · Readiness: Develop in role</t>
        </is>
      </c>
      <c r="W461" s="31" t="inlineStr">
        <is>
          <t>C M · Au M · Ac M · L L · BI M · Exp H · 20 yrs vs 2–4 yrs · Edu M · B.Com</t>
        </is>
      </c>
      <c r="X461" s="33" t="inlineStr">
        <is>
          <t>Open ▸</t>
        </is>
      </c>
      <c r="Y461" s="34" t="str">
        <f>IFERROR(INDEX(DL_C,MATCH($CA461,DL_KEY,0)),"M")</f>
        <v>H</v>
      </c>
      <c r="Z461" s="35" t="str">
        <f>IFERROR(INDEX(DL_Au,MATCH($CA461,DL_KEY,0)),"M")</f>
        <v>M</v>
      </c>
      <c r="AA461" s="35" t="str">
        <f>IFERROR(INDEX(DL_Ac,MATCH($CA461,DL_KEY,0)),"M")</f>
        <v>M</v>
      </c>
      <c r="AB461" s="35" t="str">
        <f>IFERROR(INDEX(DL_L,MATCH($CA461,DL_KEY,0)),"M")</f>
        <v>L</v>
      </c>
      <c r="AC461" s="35" t="str">
        <f>IFERROR(INDEX(DL_BI,MATCH($CA461,DL_KEY,0)),"M")</f>
        <v>L</v>
      </c>
      <c r="AD461" s="35" t="str">
        <f>IFERROR(INDEX(DL_Exp,MATCH($CA461,DL_KEY,0)),"M")</f>
        <v>L</v>
      </c>
      <c r="AE461" s="35" t="str">
        <f>IFERROR(INDEX(DL_Edu,MATCH($CA461,DL_KEY,0)),"M")</f>
        <v>L</v>
      </c>
      <c r="AF461" s="34" t="inlineStr">
        <is>
          <t>M</t>
        </is>
      </c>
      <c r="AG461" s="35" t="inlineStr">
        <is>
          <t>M</t>
        </is>
      </c>
      <c r="AH461" s="35" t="inlineStr">
        <is>
          <t>M</t>
        </is>
      </c>
      <c r="AI461" s="35" t="inlineStr">
        <is>
          <t>M</t>
        </is>
      </c>
      <c r="AJ461" s="35" t="inlineStr">
        <is>
          <t>M</t>
        </is>
      </c>
      <c r="AK461" s="35" t="inlineStr">
        <is>
          <t>M</t>
        </is>
      </c>
      <c r="AL461" s="35" t="inlineStr">
        <is>
          <t>M</t>
        </is>
      </c>
      <c r="AM461" s="36" t="n">
        <v>0.583</v>
      </c>
      <c r="AN461" s="37" t="n">
        <v>0.16</v>
      </c>
      <c r="AO461" s="37" t="n">
        <v>0.09</v>
      </c>
      <c r="AP461" s="37" t="n">
        <v>0</v>
      </c>
      <c r="AQ461" s="37" t="n">
        <v>0.063</v>
      </c>
      <c r="AR461" s="37" t="n">
        <v>0.06</v>
      </c>
      <c r="AS461" s="37" t="n">
        <v>0.04</v>
      </c>
      <c r="AT461" s="38" t="inlineStr">
        <is>
          <t>2–5</t>
        </is>
      </c>
      <c r="AU461" s="38" t="inlineStr">
        <is>
          <t>Graduate; relevant certification preferred</t>
        </is>
      </c>
      <c r="AV461" s="38" t="inlineStr">
        <is>
          <t>None · guides 1–3 juniors informally</t>
        </is>
      </c>
      <c r="AW461" s="38" t="inlineStr">
        <is>
          <t>P2 · SFIA 3 Apply</t>
        </is>
      </c>
      <c r="AX46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61" s="39" t="inlineStr">
        <is>
          <t>A3</t>
        </is>
      </c>
      <c r="AZ461" s="40" t="inlineStr">
        <is>
          <t>Band A · Practitioner · Senior Associate</t>
        </is>
      </c>
      <c r="BA461" s="40" t="inlineStr">
        <is>
          <t>Model A3 from the six ratings, the market-derived weights and rules R1–R13 · then No change · already below the manager</t>
        </is>
      </c>
      <c r="BB461" s="41" t="inlineStr">
        <is>
          <t>B1</t>
        </is>
      </c>
      <c r="BC461" s="40" t="inlineStr">
        <is>
          <t>The six ratings on the market-average weights of Band A · all tracks score 3.57 → B1 · Hay, Mercer IPE and public plans · experience 20 yrs vs the B1 market range 4–8</t>
        </is>
      </c>
      <c r="BD461" s="42">
        <f>IF(SUM(BM461,BN461,BO461,BP461,BQ461,BR461,BS461)=0,0,(BM461*BT461+BN461*BU461+BO461*BV461+BP461*BW461+BQ461*BX461+BR461*BY461+BS461*BZ461)/SUM(BM461,BN461,BO461,BP461,BQ461,BR461,BS461))</f>
        <v>0</v>
      </c>
      <c r="BE461" s="41" t="str">
        <f>IF(LEFT(AY461,1)="X",AY461,IF(OR(AY461="B+",AY461="C+"),INDEX(LAD_PC,MAX(1,MIN(14,MATCH(AY461,LAD_PC,0)+IF(BD461&gt;=0.5,1,IF(BD461&lt;=-0.5,-1,0))))),INDEX(LAD_STD,MAX(1,MIN(12,MATCH(AY461,LAD_STD,0)+IF(BD461&gt;=0.5,1,IF(BD461&lt;=-0.5,-1,0)))))))</f>
        <v>A3</v>
      </c>
      <c r="BF461" s="43" t="n"/>
      <c r="BG461" s="41" t="str">
        <f>IF(BF461&lt;&gt;"",BF461,BE461)</f>
        <v>A3</v>
      </c>
      <c r="BH461" s="40" t="str">
        <f>IFERROR(CHOOSE(INDEX(B_RANK,MATCH(BG461,B_LVL,0)),"Band A","Band B","B+ · Player-Coach","Band C","C+ · Player-Coach","Band D","Band E"),"Band X · Consultant")</f>
        <v>Band A</v>
      </c>
      <c r="BI461" s="40" t="str">
        <f>IF(BG461=AY461,"• Same",IF(INDEX(B_VAL,MATCH(BG461,B_LVL,0))&gt;INDEX(B_VAL,MATCH(AY461,B_LVL,0)),"▲ Up","▼ Down"))</f>
        <v>• Same</v>
      </c>
      <c r="BJ461" s="40" t="str">
        <f>IF(OR($M461="",$M461="—",$M461="Not in this file"),"",IFERROR(INDEX($BG$7:$BG$592,MATCH($M461,$D$7:$D$592,0)),""))</f>
        <v>C2</v>
      </c>
      <c r="BK461" s="40" t="str">
        <f>IFERROR(IF(BJ461="","—",IF(OR(LEFT(BG461,1)="X",LEFT(BJ461,1)="X"),"—",IF(AND(LEFT(BG461,1)="E",LEFT(BJ461,1)="E"),"Exception · Band E",IF(AND(INDEX(B_VAL,MATCH(BJ461,B_LVL,0))&gt;=7,INDEX(B_RANK,MATCH(BG461,B_LVL,0))&gt;=INDEX(B_RANK,MATCH(BJ461,B_LVL,0))),"⚠ Same band as a head manager",IF(INDEX(B_VAL,MATCH(BG461,B_LVL,0))&gt;=INDEX(B_VAL,MATCH(BJ461,B_LVL,0)),"⚠ At or above the manager's level","OK"))))),"—")</f>
        <v>OK</v>
      </c>
      <c r="BL461" s="43" t="n"/>
      <c r="BM461" s="44">
        <f>IFERROR(INDEX(LMH_PTS,MATCH(Y461,LMH_KEY,0)),0)</f>
        <v>9</v>
      </c>
      <c r="BN461" s="38">
        <f>IFERROR(INDEX(LMH_PTS,MATCH(Z461,LMH_KEY,0)),0)</f>
        <v>3</v>
      </c>
      <c r="BO461" s="38">
        <f>IFERROR(INDEX(LMH_PTS,MATCH(AA461,LMH_KEY,0)),0)</f>
        <v>3</v>
      </c>
      <c r="BP461" s="38">
        <f>IFERROR(INDEX(LMH_PTS,MATCH(AB461,LMH_KEY,0)),0)</f>
        <v>1</v>
      </c>
      <c r="BQ461" s="38">
        <f>IFERROR(INDEX(LMH_PTS,MATCH(AC461,LMH_KEY,0)),0)</f>
        <v>1</v>
      </c>
      <c r="BR461" s="38">
        <f>IFERROR(INDEX(LMH_PTS,MATCH(AD461,LMH_KEY,0)),0)</f>
        <v>1</v>
      </c>
      <c r="BS461" s="38">
        <f>IFERROR(INDEX(LMH_PTS,MATCH(AE461,LMH_KEY,0)),0)</f>
        <v>1</v>
      </c>
      <c r="BT461" s="38">
        <f>IFERROR(INDEX(LMH_STEP,MATCH(AF461,LMH_KEY,0)),0)</f>
        <v>0</v>
      </c>
      <c r="BU461" s="38">
        <f>IFERROR(INDEX(LMH_STEP,MATCH(AG461,LMH_KEY,0)),0)</f>
        <v>0</v>
      </c>
      <c r="BV461" s="38">
        <f>IFERROR(INDEX(LMH_STEP,MATCH(AH461,LMH_KEY,0)),0)</f>
        <v>0</v>
      </c>
      <c r="BW461" s="38">
        <f>IFERROR(INDEX(LMH_STEP,MATCH(AI461,LMH_KEY,0)),0)</f>
        <v>0</v>
      </c>
      <c r="BX461" s="38">
        <f>IFERROR(INDEX(LMH_STEP,MATCH(AJ461,LMH_KEY,0)),0)</f>
        <v>0</v>
      </c>
      <c r="BY461" s="38">
        <f>IFERROR(INDEX(LMH_STEP,MATCH(AK461,LMH_KEY,0)),0)</f>
        <v>0</v>
      </c>
      <c r="BZ461" s="38">
        <f>IFERROR(INDEX(LMH_STEP,MATCH(AL461,LMH_KEY,0)),0)</f>
        <v>0</v>
      </c>
      <c r="CA461" s="38" t="inlineStr">
        <is>
          <t>iFile|XBRL Consulting|Taxonomy Specialist|A3|A</t>
        </is>
      </c>
    </row>
    <row r="462" ht="110" customHeight="1">
      <c r="A462" s="28" t="inlineStr">
        <is>
          <t>iFile</t>
        </is>
      </c>
      <c r="B462" s="29" t="inlineStr">
        <is>
          <t>XBRL Consulting</t>
        </is>
      </c>
      <c r="C462" s="29" t="n">
        <v>2</v>
      </c>
      <c r="D462" s="29" t="inlineStr">
        <is>
          <t>IRIS1248</t>
        </is>
      </c>
      <c r="E462" s="29" t="inlineStr">
        <is>
          <t>Neha Periwal</t>
        </is>
      </c>
      <c r="F462" s="29" t="inlineStr">
        <is>
          <t>Consultant</t>
        </is>
      </c>
      <c r="G462" s="29" t="inlineStr">
        <is>
          <t>Senior Taxonomy Analyst</t>
        </is>
      </c>
      <c r="H462" s="29" t="inlineStr">
        <is>
          <t>Consulting &amp; Professional Services</t>
        </is>
      </c>
      <c r="I462" s="29" t="inlineStr">
        <is>
          <t>Taxonomy Design &amp; Regulatory Consulting</t>
        </is>
      </c>
      <c r="J462" s="29" t="inlineStr">
        <is>
          <t>IC</t>
        </is>
      </c>
      <c r="K462" s="29" t="inlineStr">
        <is>
          <t>RC-019</t>
        </is>
      </c>
      <c r="L462" s="29" t="inlineStr">
        <is>
          <t>Rahul Dhamne</t>
        </is>
      </c>
      <c r="M462" s="29" t="inlineStr">
        <is>
          <t>IRIS0362</t>
        </is>
      </c>
      <c r="N462" s="29" t="n">
        <v>17.5</v>
      </c>
      <c r="O462" s="29" t="n">
        <v>14.1</v>
      </c>
      <c r="P462" s="29" t="inlineStr">
        <is>
          <t>CA</t>
        </is>
      </c>
      <c r="Q462" s="29" t="inlineStr">
        <is>
          <t>L3 – Professional / Associate</t>
        </is>
      </c>
      <c r="R462" s="29" t="inlineStr">
        <is>
          <t>A3</t>
        </is>
      </c>
      <c r="S462" s="30" t="inlineStr">
        <is>
          <t>20 of 20</t>
        </is>
      </c>
      <c r="T462" s="31" t="inlineStr">
        <is>
          <t>Complexity: Evidence reads like A3: Taxonomy creation, analysis modelling, business rules, client management; takes calls when scenarios differ → matches the start
Autonomy: Evidence reads like A2: Decides only 'team interaction'; occasional calls on unusual scenarios → moved down 0.5
Accountability: Evidence reads like A2: Accountable for 'anything …</t>
        </is>
      </c>
      <c r="U462" s="31" t="inlineStr">
        <is>
          <t>Received · manager annual, quarterly · 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t>
        </is>
      </c>
      <c r="V462" s="31" t="inlineStr">
        <is>
          <t>Latest rating: 3 · Potential: Low · 9-box: Reliable Specialist · Readiness: Develop in role</t>
        </is>
      </c>
      <c r="W462" s="31" t="inlineStr">
        <is>
          <t>C M · Au M · Ac M · L L · BI M · Exp H · 17.5 yrs vs 2–4 yrs · Edu H · CA</t>
        </is>
      </c>
      <c r="X462" s="33" t="inlineStr">
        <is>
          <t>Open ▸</t>
        </is>
      </c>
      <c r="Y462" s="34" t="str">
        <f>IFERROR(INDEX(DL_C,MATCH($CA462,DL_KEY,0)),"M")</f>
        <v>H</v>
      </c>
      <c r="Z462" s="35" t="str">
        <f>IFERROR(INDEX(DL_Au,MATCH($CA462,DL_KEY,0)),"M")</f>
        <v>M</v>
      </c>
      <c r="AA462" s="35" t="str">
        <f>IFERROR(INDEX(DL_Ac,MATCH($CA462,DL_KEY,0)),"M")</f>
        <v>M</v>
      </c>
      <c r="AB462" s="35" t="str">
        <f>IFERROR(INDEX(DL_L,MATCH($CA462,DL_KEY,0)),"M")</f>
        <v>L</v>
      </c>
      <c r="AC462" s="35" t="str">
        <f>IFERROR(INDEX(DL_BI,MATCH($CA462,DL_KEY,0)),"M")</f>
        <v>L</v>
      </c>
      <c r="AD462" s="35" t="str">
        <f>IFERROR(INDEX(DL_Exp,MATCH($CA462,DL_KEY,0)),"M")</f>
        <v>L</v>
      </c>
      <c r="AE462" s="35" t="str">
        <f>IFERROR(INDEX(DL_Edu,MATCH($CA462,DL_KEY,0)),"M")</f>
        <v>L</v>
      </c>
      <c r="AF462" s="34" t="inlineStr">
        <is>
          <t>M</t>
        </is>
      </c>
      <c r="AG462" s="35" t="inlineStr">
        <is>
          <t>M</t>
        </is>
      </c>
      <c r="AH462" s="35" t="inlineStr">
        <is>
          <t>M</t>
        </is>
      </c>
      <c r="AI462" s="35" t="inlineStr">
        <is>
          <t>M</t>
        </is>
      </c>
      <c r="AJ462" s="35" t="inlineStr">
        <is>
          <t>M</t>
        </is>
      </c>
      <c r="AK462" s="35" t="inlineStr">
        <is>
          <t>M</t>
        </is>
      </c>
      <c r="AL462" s="35" t="inlineStr">
        <is>
          <t>M</t>
        </is>
      </c>
      <c r="AM462" s="36" t="n">
        <v>0.583</v>
      </c>
      <c r="AN462" s="37" t="n">
        <v>0.16</v>
      </c>
      <c r="AO462" s="37" t="n">
        <v>0.09</v>
      </c>
      <c r="AP462" s="37" t="n">
        <v>0</v>
      </c>
      <c r="AQ462" s="37" t="n">
        <v>0.063</v>
      </c>
      <c r="AR462" s="37" t="n">
        <v>0.06</v>
      </c>
      <c r="AS462" s="37" t="n">
        <v>0.04</v>
      </c>
      <c r="AT462" s="38" t="inlineStr">
        <is>
          <t>2–5</t>
        </is>
      </c>
      <c r="AU462" s="38" t="inlineStr">
        <is>
          <t>Graduate; relevant certification preferred</t>
        </is>
      </c>
      <c r="AV462" s="38" t="inlineStr">
        <is>
          <t>None · guides 1–3 juniors informally</t>
        </is>
      </c>
      <c r="AW462" s="38" t="inlineStr">
        <is>
          <t>P2 · SFIA 3 Apply</t>
        </is>
      </c>
      <c r="AX46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62" s="39" t="inlineStr">
        <is>
          <t>A3</t>
        </is>
      </c>
      <c r="AZ462" s="40" t="inlineStr">
        <is>
          <t>Band A · Practitioner · Senior Associate</t>
        </is>
      </c>
      <c r="BA462" s="40" t="inlineStr">
        <is>
          <t>Model A3 from the six ratings, the market-derived weights and rules R1–R13 · then No change · already below the manager</t>
        </is>
      </c>
      <c r="BB462" s="41" t="inlineStr">
        <is>
          <t>B1</t>
        </is>
      </c>
      <c r="BC462" s="40" t="inlineStr">
        <is>
          <t>The six ratings on the market-average weights of Band A · all tracks score 3.55 → B1 · Hay, Mercer IPE and public plans · experience 17.5 yrs vs the B1 market range 4–8</t>
        </is>
      </c>
      <c r="BD462" s="42">
        <f>IF(SUM(BM462,BN462,BO462,BP462,BQ462,BR462,BS462)=0,0,(BM462*BT462+BN462*BU462+BO462*BV462+BP462*BW462+BQ462*BX462+BR462*BY462+BS462*BZ462)/SUM(BM462,BN462,BO462,BP462,BQ462,BR462,BS462))</f>
        <v>0</v>
      </c>
      <c r="BE462" s="41" t="str">
        <f>IF(LEFT(AY462,1)="X",AY462,IF(OR(AY462="B+",AY462="C+"),INDEX(LAD_PC,MAX(1,MIN(14,MATCH(AY462,LAD_PC,0)+IF(BD462&gt;=0.5,1,IF(BD462&lt;=-0.5,-1,0))))),INDEX(LAD_STD,MAX(1,MIN(12,MATCH(AY462,LAD_STD,0)+IF(BD462&gt;=0.5,1,IF(BD462&lt;=-0.5,-1,0)))))))</f>
        <v>A3</v>
      </c>
      <c r="BF462" s="43" t="n"/>
      <c r="BG462" s="41" t="str">
        <f>IF(BF462&lt;&gt;"",BF462,BE462)</f>
        <v>A3</v>
      </c>
      <c r="BH462" s="40" t="str">
        <f>IFERROR(CHOOSE(INDEX(B_RANK,MATCH(BG462,B_LVL,0)),"Band A","Band B","B+ · Player-Coach","Band C","C+ · Player-Coach","Band D","Band E"),"Band X · Consultant")</f>
        <v>Band A</v>
      </c>
      <c r="BI462" s="40" t="str">
        <f>IF(BG462=AY462,"• Same",IF(INDEX(B_VAL,MATCH(BG462,B_LVL,0))&gt;INDEX(B_VAL,MATCH(AY462,B_LVL,0)),"▲ Up","▼ Down"))</f>
        <v>• Same</v>
      </c>
      <c r="BJ462" s="40" t="str">
        <f>IF(OR($M462="",$M462="—",$M462="Not in this file"),"",IFERROR(INDEX($BG$7:$BG$592,MATCH($M462,$D$7:$D$592,0)),""))</f>
        <v>C2</v>
      </c>
      <c r="BK462" s="40" t="str">
        <f>IFERROR(IF(BJ462="","—",IF(OR(LEFT(BG462,1)="X",LEFT(BJ462,1)="X"),"—",IF(AND(LEFT(BG462,1)="E",LEFT(BJ462,1)="E"),"Exception · Band E",IF(AND(INDEX(B_VAL,MATCH(BJ462,B_LVL,0))&gt;=7,INDEX(B_RANK,MATCH(BG462,B_LVL,0))&gt;=INDEX(B_RANK,MATCH(BJ462,B_LVL,0))),"⚠ Same band as a head manager",IF(INDEX(B_VAL,MATCH(BG462,B_LVL,0))&gt;=INDEX(B_VAL,MATCH(BJ462,B_LVL,0)),"⚠ At or above the manager's level","OK"))))),"—")</f>
        <v>OK</v>
      </c>
      <c r="BL462" s="43" t="n"/>
      <c r="BM462" s="44">
        <f>IFERROR(INDEX(LMH_PTS,MATCH(Y462,LMH_KEY,0)),0)</f>
        <v>9</v>
      </c>
      <c r="BN462" s="38">
        <f>IFERROR(INDEX(LMH_PTS,MATCH(Z462,LMH_KEY,0)),0)</f>
        <v>3</v>
      </c>
      <c r="BO462" s="38">
        <f>IFERROR(INDEX(LMH_PTS,MATCH(AA462,LMH_KEY,0)),0)</f>
        <v>3</v>
      </c>
      <c r="BP462" s="38">
        <f>IFERROR(INDEX(LMH_PTS,MATCH(AB462,LMH_KEY,0)),0)</f>
        <v>1</v>
      </c>
      <c r="BQ462" s="38">
        <f>IFERROR(INDEX(LMH_PTS,MATCH(AC462,LMH_KEY,0)),0)</f>
        <v>1</v>
      </c>
      <c r="BR462" s="38">
        <f>IFERROR(INDEX(LMH_PTS,MATCH(AD462,LMH_KEY,0)),0)</f>
        <v>1</v>
      </c>
      <c r="BS462" s="38">
        <f>IFERROR(INDEX(LMH_PTS,MATCH(AE462,LMH_KEY,0)),0)</f>
        <v>1</v>
      </c>
      <c r="BT462" s="38">
        <f>IFERROR(INDEX(LMH_STEP,MATCH(AF462,LMH_KEY,0)),0)</f>
        <v>0</v>
      </c>
      <c r="BU462" s="38">
        <f>IFERROR(INDEX(LMH_STEP,MATCH(AG462,LMH_KEY,0)),0)</f>
        <v>0</v>
      </c>
      <c r="BV462" s="38">
        <f>IFERROR(INDEX(LMH_STEP,MATCH(AH462,LMH_KEY,0)),0)</f>
        <v>0</v>
      </c>
      <c r="BW462" s="38">
        <f>IFERROR(INDEX(LMH_STEP,MATCH(AI462,LMH_KEY,0)),0)</f>
        <v>0</v>
      </c>
      <c r="BX462" s="38">
        <f>IFERROR(INDEX(LMH_STEP,MATCH(AJ462,LMH_KEY,0)),0)</f>
        <v>0</v>
      </c>
      <c r="BY462" s="38">
        <f>IFERROR(INDEX(LMH_STEP,MATCH(AK462,LMH_KEY,0)),0)</f>
        <v>0</v>
      </c>
      <c r="BZ462" s="38">
        <f>IFERROR(INDEX(LMH_STEP,MATCH(AL462,LMH_KEY,0)),0)</f>
        <v>0</v>
      </c>
      <c r="CA462" s="38" t="inlineStr">
        <is>
          <t>iFile|XBRL Consulting|Senior Taxonomy Analyst|A3|A</t>
        </is>
      </c>
    </row>
    <row r="463" ht="110" customHeight="1">
      <c r="A463" s="28" t="inlineStr">
        <is>
          <t>iFile</t>
        </is>
      </c>
      <c r="B463" s="29" t="inlineStr">
        <is>
          <t>Technology</t>
        </is>
      </c>
      <c r="C463" s="29" t="n">
        <v>2</v>
      </c>
      <c r="D463" s="29" t="inlineStr">
        <is>
          <t>IRIS2364</t>
        </is>
      </c>
      <c r="E463" s="29" t="inlineStr">
        <is>
          <t>Srikant Mishra</t>
        </is>
      </c>
      <c r="F463" s="29" t="inlineStr">
        <is>
          <t>Business Analyst</t>
        </is>
      </c>
      <c r="G463" s="29" t="inlineStr">
        <is>
          <t>Senior Business Analyst</t>
        </is>
      </c>
      <c r="H463" s="29" t="inlineStr">
        <is>
          <t>Business Analysis</t>
        </is>
      </c>
      <c r="I463" s="29" t="inlineStr">
        <is>
          <t>Business Analysis</t>
        </is>
      </c>
      <c r="J463" s="29" t="inlineStr">
        <is>
          <t>IC</t>
        </is>
      </c>
      <c r="K463" s="29" t="inlineStr">
        <is>
          <t>RC-009</t>
        </is>
      </c>
      <c r="L463" s="29" t="inlineStr">
        <is>
          <t>Rahul Dhamne</t>
        </is>
      </c>
      <c r="M463" s="29" t="inlineStr">
        <is>
          <t>IRIS0362</t>
        </is>
      </c>
      <c r="N463" s="29" t="n">
        <v>4.4</v>
      </c>
      <c r="O463" s="29" t="n">
        <v>1.5</v>
      </c>
      <c r="P463" s="29" t="inlineStr">
        <is>
          <t>B.Tech</t>
        </is>
      </c>
      <c r="Q463" s="29" t="inlineStr">
        <is>
          <t>L3 – Professional / Associate</t>
        </is>
      </c>
      <c r="R463" s="29" t="inlineStr">
        <is>
          <t>A3</t>
        </is>
      </c>
      <c r="S463" s="30" t="inlineStr">
        <is>
          <t>20 of 20</t>
        </is>
      </c>
      <c r="T463" s="31" t="inlineStr">
        <is>
          <t>Complexity: Evidence reads like B1: Builds AI product prototypes, workflows, POCs across INSTANT · MBRS, ACRA mandates, Fit and Proper, RegAI → moved up 0.5
Autonomy: Evidence reads like A3: Decides workflow optimisation and prioritises what is important currently → matches the start
Accountability: Evidence reads like A3: Accountable for production bugs; …</t>
        </is>
      </c>
      <c r="U463" s="31" t="inlineStr">
        <is>
          <t>Received · manager annual, quarterly, self · 1. Deliver own BA/analysis workstreams to &gt;=95% quality &amp; timeliness
2. Provide day-to-day technical/functional guidance to 2 engineers · Saurabh, Ghanshyam, ensuring their deliverables meet the quality bar
3. Achieve &gt;=4/5 feedback score from the engineers he guides
4. Ensure escalations/issues on his pod are …</t>
        </is>
      </c>
      <c r="V463" s="31" t="inlineStr">
        <is>
          <t>Latest rating: 4 · Potential: High · 9-box: Future Leader · Readiness: Ready now</t>
        </is>
      </c>
      <c r="W463" s="31" t="inlineStr">
        <is>
          <t>C M · Au L · Ac M · L M · BI M · Exp M · 4.4 yrs vs 4–7 yrs · Edu M · B.Tech</t>
        </is>
      </c>
      <c r="X463" s="33" t="inlineStr">
        <is>
          <t>Open ▸</t>
        </is>
      </c>
      <c r="Y463" s="34" t="str">
        <f>IFERROR(INDEX(DL_C,MATCH($CA463,DL_KEY,0)),"M")</f>
        <v>H</v>
      </c>
      <c r="Z463" s="35" t="str">
        <f>IFERROR(INDEX(DL_Au,MATCH($CA463,DL_KEY,0)),"M")</f>
        <v>M</v>
      </c>
      <c r="AA463" s="35" t="str">
        <f>IFERROR(INDEX(DL_Ac,MATCH($CA463,DL_KEY,0)),"M")</f>
        <v>L</v>
      </c>
      <c r="AB463" s="35" t="str">
        <f>IFERROR(INDEX(DL_L,MATCH($CA463,DL_KEY,0)),"M")</f>
        <v>L</v>
      </c>
      <c r="AC463" s="35" t="str">
        <f>IFERROR(INDEX(DL_BI,MATCH($CA463,DL_KEY,0)),"M")</f>
        <v>L</v>
      </c>
      <c r="AD463" s="35" t="str">
        <f>IFERROR(INDEX(DL_Exp,MATCH($CA463,DL_KEY,0)),"M")</f>
        <v>L</v>
      </c>
      <c r="AE463" s="35" t="str">
        <f>IFERROR(INDEX(DL_Edu,MATCH($CA463,DL_KEY,0)),"M")</f>
        <v>L</v>
      </c>
      <c r="AF463" s="34" t="inlineStr">
        <is>
          <t>M</t>
        </is>
      </c>
      <c r="AG463" s="35" t="inlineStr">
        <is>
          <t>M</t>
        </is>
      </c>
      <c r="AH463" s="35" t="inlineStr">
        <is>
          <t>M</t>
        </is>
      </c>
      <c r="AI463" s="35" t="inlineStr">
        <is>
          <t>M</t>
        </is>
      </c>
      <c r="AJ463" s="35" t="inlineStr">
        <is>
          <t>M</t>
        </is>
      </c>
      <c r="AK463" s="35" t="inlineStr">
        <is>
          <t>M</t>
        </is>
      </c>
      <c r="AL463" s="35" t="inlineStr">
        <is>
          <t>M</t>
        </is>
      </c>
      <c r="AM463" s="36" t="n">
        <v>0.513</v>
      </c>
      <c r="AN463" s="37" t="n">
        <v>0.173</v>
      </c>
      <c r="AO463" s="37" t="n">
        <v>0.09699999999999999</v>
      </c>
      <c r="AP463" s="37" t="n">
        <v>0.05</v>
      </c>
      <c r="AQ463" s="37" t="n">
        <v>0.07000000000000001</v>
      </c>
      <c r="AR463" s="37" t="n">
        <v>0.06</v>
      </c>
      <c r="AS463" s="37" t="n">
        <v>0.04</v>
      </c>
      <c r="AT463" s="38" t="inlineStr">
        <is>
          <t>4–8</t>
        </is>
      </c>
      <c r="AU463" s="38" t="inlineStr">
        <is>
          <t>Graduate + relevant qualification or certification preferred</t>
        </is>
      </c>
      <c r="AV463" s="38" t="inlineStr">
        <is>
          <t>IC: none · Team Lead: 3–5</t>
        </is>
      </c>
      <c r="AW463" s="38" t="inlineStr">
        <is>
          <t>P3 / M2 · SFIA 4 Enable</t>
        </is>
      </c>
      <c r="AX46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63" s="39" t="inlineStr">
        <is>
          <t>B1</t>
        </is>
      </c>
      <c r="AZ463" s="40" t="inlineStr">
        <is>
          <t>Band B · Specialist / Manager · Specialist</t>
        </is>
      </c>
      <c r="BA463" s="40" t="inlineStr">
        <is>
          <t>Model A3 from the six ratings, the market-derived weights and rules R1–R13 · then Leads people at or above their own level · A3 → B1 Team Lead</t>
        </is>
      </c>
      <c r="BB463" s="41" t="inlineStr">
        <is>
          <t>A3</t>
        </is>
      </c>
      <c r="BC463" s="40" t="inlineStr">
        <is>
          <t>The six ratings on the market-average weights of Band B · Specialist / POD Lead score 3.45 → A3 · Hay, Mercer IPE and public plans · experience 4.4 yrs vs the A3 market range 2–5</t>
        </is>
      </c>
      <c r="BD463" s="42">
        <f>IF(SUM(BM463,BN463,BO463,BP463,BQ463,BR463,BS463)=0,0,(BM463*BT463+BN463*BU463+BO463*BV463+BP463*BW463+BQ463*BX463+BR463*BY463+BS463*BZ463)/SUM(BM463,BN463,BO463,BP463,BQ463,BR463,BS463))</f>
        <v>0</v>
      </c>
      <c r="BE463" s="41" t="str">
        <f>IF(LEFT(AY463,1)="X",AY463,IF(OR(AY463="B+",AY463="C+"),INDEX(LAD_PC,MAX(1,MIN(14,MATCH(AY463,LAD_PC,0)+IF(BD463&gt;=0.5,1,IF(BD463&lt;=-0.5,-1,0))))),INDEX(LAD_STD,MAX(1,MIN(12,MATCH(AY463,LAD_STD,0)+IF(BD463&gt;=0.5,1,IF(BD463&lt;=-0.5,-1,0)))))))</f>
        <v>B1</v>
      </c>
      <c r="BF463" s="43" t="n"/>
      <c r="BG463" s="41" t="str">
        <f>IF(BF463&lt;&gt;"",BF463,BE463)</f>
        <v>B1</v>
      </c>
      <c r="BH463" s="40" t="str">
        <f>IFERROR(CHOOSE(INDEX(B_RANK,MATCH(BG463,B_LVL,0)),"Band A","Band B","B+ · Player-Coach","Band C","C+ · Player-Coach","Band D","Band E"),"Band X · Consultant")</f>
        <v>Band B</v>
      </c>
      <c r="BI463" s="40" t="str">
        <f>IF(BG463=AY463,"• Same",IF(INDEX(B_VAL,MATCH(BG463,B_LVL,0))&gt;INDEX(B_VAL,MATCH(AY463,B_LVL,0)),"▲ Up","▼ Down"))</f>
        <v>• Same</v>
      </c>
      <c r="BJ463" s="40" t="str">
        <f>IF(OR($M463="",$M463="—",$M463="Not in this file"),"",IFERROR(INDEX($BG$7:$BG$592,MATCH($M463,$D$7:$D$592,0)),""))</f>
        <v>C2</v>
      </c>
      <c r="BK463" s="40" t="str">
        <f>IFERROR(IF(BJ463="","—",IF(OR(LEFT(BG463,1)="X",LEFT(BJ463,1)="X"),"—",IF(AND(LEFT(BG463,1)="E",LEFT(BJ463,1)="E"),"Exception · Band E",IF(AND(INDEX(B_VAL,MATCH(BJ463,B_LVL,0))&gt;=7,INDEX(B_RANK,MATCH(BG463,B_LVL,0))&gt;=INDEX(B_RANK,MATCH(BJ463,B_LVL,0))),"⚠ Same band as a head manager",IF(INDEX(B_VAL,MATCH(BG463,B_LVL,0))&gt;=INDEX(B_VAL,MATCH(BJ463,B_LVL,0)),"⚠ At or above the manager's level","OK"))))),"—")</f>
        <v>OK</v>
      </c>
      <c r="BL463" s="43" t="n"/>
      <c r="BM463" s="44">
        <f>IFERROR(INDEX(LMH_PTS,MATCH(Y463,LMH_KEY,0)),0)</f>
        <v>9</v>
      </c>
      <c r="BN463" s="38">
        <f>IFERROR(INDEX(LMH_PTS,MATCH(Z463,LMH_KEY,0)),0)</f>
        <v>3</v>
      </c>
      <c r="BO463" s="38">
        <f>IFERROR(INDEX(LMH_PTS,MATCH(AA463,LMH_KEY,0)),0)</f>
        <v>1</v>
      </c>
      <c r="BP463" s="38">
        <f>IFERROR(INDEX(LMH_PTS,MATCH(AB463,LMH_KEY,0)),0)</f>
        <v>1</v>
      </c>
      <c r="BQ463" s="38">
        <f>IFERROR(INDEX(LMH_PTS,MATCH(AC463,LMH_KEY,0)),0)</f>
        <v>1</v>
      </c>
      <c r="BR463" s="38">
        <f>IFERROR(INDEX(LMH_PTS,MATCH(AD463,LMH_KEY,0)),0)</f>
        <v>1</v>
      </c>
      <c r="BS463" s="38">
        <f>IFERROR(INDEX(LMH_PTS,MATCH(AE463,LMH_KEY,0)),0)</f>
        <v>1</v>
      </c>
      <c r="BT463" s="38">
        <f>IFERROR(INDEX(LMH_STEP,MATCH(AF463,LMH_KEY,0)),0)</f>
        <v>0</v>
      </c>
      <c r="BU463" s="38">
        <f>IFERROR(INDEX(LMH_STEP,MATCH(AG463,LMH_KEY,0)),0)</f>
        <v>0</v>
      </c>
      <c r="BV463" s="38">
        <f>IFERROR(INDEX(LMH_STEP,MATCH(AH463,LMH_KEY,0)),0)</f>
        <v>0</v>
      </c>
      <c r="BW463" s="38">
        <f>IFERROR(INDEX(LMH_STEP,MATCH(AI463,LMH_KEY,0)),0)</f>
        <v>0</v>
      </c>
      <c r="BX463" s="38">
        <f>IFERROR(INDEX(LMH_STEP,MATCH(AJ463,LMH_KEY,0)),0)</f>
        <v>0</v>
      </c>
      <c r="BY463" s="38">
        <f>IFERROR(INDEX(LMH_STEP,MATCH(AK463,LMH_KEY,0)),0)</f>
        <v>0</v>
      </c>
      <c r="BZ463" s="38">
        <f>IFERROR(INDEX(LMH_STEP,MATCH(AL463,LMH_KEY,0)),0)</f>
        <v>0</v>
      </c>
      <c r="CA463" s="38" t="inlineStr">
        <is>
          <t>iFile|Technology|Senior Business Analyst|B1|B-IC</t>
        </is>
      </c>
    </row>
    <row r="464" ht="110" customHeight="1">
      <c r="A464" s="28" t="inlineStr">
        <is>
          <t>iFile</t>
        </is>
      </c>
      <c r="B464" s="29" t="inlineStr">
        <is>
          <t>Technology</t>
        </is>
      </c>
      <c r="C464" s="29" t="n">
        <v>3</v>
      </c>
      <c r="D464" s="29" t="inlineStr">
        <is>
          <t>IRIS2528</t>
        </is>
      </c>
      <c r="E464" s="29" t="inlineStr">
        <is>
          <t>Ghanshyam L Desale</t>
        </is>
      </c>
      <c r="F464" s="29" t="inlineStr">
        <is>
          <t>Software Engineer</t>
        </is>
      </c>
      <c r="G464" s="29" t="inlineStr">
        <is>
          <t>Senior UI Developer</t>
        </is>
      </c>
      <c r="H464" s="29" t="inlineStr">
        <is>
          <t>Engineering &amp; Development</t>
        </is>
      </c>
      <c r="I464" s="29" t="inlineStr">
        <is>
          <t>Front-End / UI Development</t>
        </is>
      </c>
      <c r="J464" s="29" t="inlineStr">
        <is>
          <t>IC</t>
        </is>
      </c>
      <c r="K464" s="29" t="inlineStr">
        <is>
          <t>RC-081</t>
        </is>
      </c>
      <c r="L464" s="29" t="inlineStr">
        <is>
          <t>Srikant Mishra</t>
        </is>
      </c>
      <c r="M464" s="29" t="inlineStr">
        <is>
          <t>IRIS2364</t>
        </is>
      </c>
      <c r="N464" s="29" t="n">
        <v>3.8</v>
      </c>
      <c r="O464" s="29" t="n">
        <v>0.4</v>
      </c>
      <c r="P464" s="29" t="inlineStr">
        <is>
          <t>B.E</t>
        </is>
      </c>
      <c r="Q464" s="29" t="inlineStr">
        <is>
          <t>L3 – Professional / Associate</t>
        </is>
      </c>
      <c r="R464" s="29" t="inlineStr">
        <is>
          <t>A3</t>
        </is>
      </c>
      <c r="S464" s="30" t="inlineStr">
        <is>
          <t>20 of 20</t>
        </is>
      </c>
      <c r="T464" s="31" t="inlineStr">
        <is>
          <t>Complexity: Evidence reads like A3: Full-stack feature development on AI-driven SaaS products, with code review, performance work and deployments → moved up 0.5
Autonomy: Evidence reads like A2: Only independent decision cited is performance optimisation; works on assigned modules and sprint stories → matches the start
Accountability: Evidence reads like …</t>
        </is>
      </c>
      <c r="U464" s="31" t="inlineStr">
        <is>
          <t>Received · manager annual, quarterly, self · 1. Deliver assigned sprint stories with &gt;=85% on-time completion · ramp-up allowance in Q1
2. Maintain code quality gate adherence on owned Angular components
3. Complete peer code reviews for assigned PRs within 24-hour SLA once ramped up
4. Zero critical/high production defects attributable to owned code
5. Complete …</t>
        </is>
      </c>
      <c r="V464" s="31" t="inlineStr">
        <is>
          <t>Latest rating: 3 · Potential: Medium · 9-box: Core Contributor · Readiness: Develop in role</t>
        </is>
      </c>
      <c r="W464" s="31" t="inlineStr">
        <is>
          <t>C M · Au L · Ac M · L L · BI M · Exp M · 3.8 yrs vs 2–4 yrs · Edu M · B.E</t>
        </is>
      </c>
      <c r="X464" s="33" t="inlineStr">
        <is>
          <t>Open ▸</t>
        </is>
      </c>
      <c r="Y464" s="34" t="str">
        <f>IFERROR(INDEX(DL_C,MATCH($CA464,DL_KEY,0)),"M")</f>
        <v>H</v>
      </c>
      <c r="Z464" s="35" t="str">
        <f>IFERROR(INDEX(DL_Au,MATCH($CA464,DL_KEY,0)),"M")</f>
        <v>M</v>
      </c>
      <c r="AA464" s="35" t="str">
        <f>IFERROR(INDEX(DL_Ac,MATCH($CA464,DL_KEY,0)),"M")</f>
        <v>L</v>
      </c>
      <c r="AB464" s="35" t="str">
        <f>IFERROR(INDEX(DL_L,MATCH($CA464,DL_KEY,0)),"M")</f>
        <v>L</v>
      </c>
      <c r="AC464" s="35" t="str">
        <f>IFERROR(INDEX(DL_BI,MATCH($CA464,DL_KEY,0)),"M")</f>
        <v>L</v>
      </c>
      <c r="AD464" s="35" t="str">
        <f>IFERROR(INDEX(DL_Exp,MATCH($CA464,DL_KEY,0)),"M")</f>
        <v>L</v>
      </c>
      <c r="AE464" s="35" t="str">
        <f>IFERROR(INDEX(DL_Edu,MATCH($CA464,DL_KEY,0)),"M")</f>
        <v>L</v>
      </c>
      <c r="AF464" s="34" t="inlineStr">
        <is>
          <t>M</t>
        </is>
      </c>
      <c r="AG464" s="35" t="inlineStr">
        <is>
          <t>M</t>
        </is>
      </c>
      <c r="AH464" s="35" t="inlineStr">
        <is>
          <t>M</t>
        </is>
      </c>
      <c r="AI464" s="35" t="inlineStr">
        <is>
          <t>M</t>
        </is>
      </c>
      <c r="AJ464" s="35" t="inlineStr">
        <is>
          <t>M</t>
        </is>
      </c>
      <c r="AK464" s="35" t="inlineStr">
        <is>
          <t>M</t>
        </is>
      </c>
      <c r="AL464" s="35" t="inlineStr">
        <is>
          <t>M</t>
        </is>
      </c>
      <c r="AM464" s="36" t="n">
        <v>0.583</v>
      </c>
      <c r="AN464" s="37" t="n">
        <v>0.16</v>
      </c>
      <c r="AO464" s="37" t="n">
        <v>0.09</v>
      </c>
      <c r="AP464" s="37" t="n">
        <v>0</v>
      </c>
      <c r="AQ464" s="37" t="n">
        <v>0.063</v>
      </c>
      <c r="AR464" s="37" t="n">
        <v>0.06</v>
      </c>
      <c r="AS464" s="37" t="n">
        <v>0.04</v>
      </c>
      <c r="AT464" s="38" t="inlineStr">
        <is>
          <t>2–5</t>
        </is>
      </c>
      <c r="AU464" s="38" t="inlineStr">
        <is>
          <t>Graduate; relevant certification preferred</t>
        </is>
      </c>
      <c r="AV464" s="38" t="inlineStr">
        <is>
          <t>None · guides 1–3 juniors informally</t>
        </is>
      </c>
      <c r="AW464" s="38" t="inlineStr">
        <is>
          <t>P2 · SFIA 3 Apply</t>
        </is>
      </c>
      <c r="AX46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64" s="39" t="inlineStr">
        <is>
          <t>A3</t>
        </is>
      </c>
      <c r="AZ464" s="40" t="inlineStr">
        <is>
          <t>Band A · Practitioner · Senior Associate</t>
        </is>
      </c>
      <c r="BA464" s="40" t="inlineStr">
        <is>
          <t>Model A3 from the six ratings, the market-derived weights and rules R1–R13 · then No change · already below the manager</t>
        </is>
      </c>
      <c r="BB464" s="41" t="inlineStr">
        <is>
          <t>A3</t>
        </is>
      </c>
      <c r="BC464" s="40" t="inlineStr">
        <is>
          <t>The six ratings on the market-average weights of Band A · all tracks score 2.55 → A3 · Hay, Mercer IPE and public plans · experience 3.8 yrs vs the A3 market range 2–5</t>
        </is>
      </c>
      <c r="BD464" s="42">
        <f>IF(SUM(BM464,BN464,BO464,BP464,BQ464,BR464,BS464)=0,0,(BM464*BT464+BN464*BU464+BO464*BV464+BP464*BW464+BQ464*BX464+BR464*BY464+BS464*BZ464)/SUM(BM464,BN464,BO464,BP464,BQ464,BR464,BS464))</f>
        <v>0</v>
      </c>
      <c r="BE464" s="41" t="str">
        <f>IF(LEFT(AY464,1)="X",AY464,IF(OR(AY464="B+",AY464="C+"),INDEX(LAD_PC,MAX(1,MIN(14,MATCH(AY464,LAD_PC,0)+IF(BD464&gt;=0.5,1,IF(BD464&lt;=-0.5,-1,0))))),INDEX(LAD_STD,MAX(1,MIN(12,MATCH(AY464,LAD_STD,0)+IF(BD464&gt;=0.5,1,IF(BD464&lt;=-0.5,-1,0)))))))</f>
        <v>A3</v>
      </c>
      <c r="BF464" s="43" t="n"/>
      <c r="BG464" s="41" t="str">
        <f>IF(BF464&lt;&gt;"",BF464,BE464)</f>
        <v>A3</v>
      </c>
      <c r="BH464" s="40" t="str">
        <f>IFERROR(CHOOSE(INDEX(B_RANK,MATCH(BG464,B_LVL,0)),"Band A","Band B","B+ · Player-Coach","Band C","C+ · Player-Coach","Band D","Band E"),"Band X · Consultant")</f>
        <v>Band A</v>
      </c>
      <c r="BI464" s="40" t="str">
        <f>IF(BG464=AY464,"• Same",IF(INDEX(B_VAL,MATCH(BG464,B_LVL,0))&gt;INDEX(B_VAL,MATCH(AY464,B_LVL,0)),"▲ Up","▼ Down"))</f>
        <v>• Same</v>
      </c>
      <c r="BJ464" s="40" t="str">
        <f>IF(OR($M464="",$M464="—",$M464="Not in this file"),"",IFERROR(INDEX($BG$7:$BG$592,MATCH($M464,$D$7:$D$592,0)),""))</f>
        <v>B1</v>
      </c>
      <c r="BK464" s="40" t="str">
        <f>IFERROR(IF(BJ464="","—",IF(OR(LEFT(BG464,1)="X",LEFT(BJ464,1)="X"),"—",IF(AND(LEFT(BG464,1)="E",LEFT(BJ464,1)="E"),"Exception · Band E",IF(AND(INDEX(B_VAL,MATCH(BJ464,B_LVL,0))&gt;=7,INDEX(B_RANK,MATCH(BG464,B_LVL,0))&gt;=INDEX(B_RANK,MATCH(BJ464,B_LVL,0))),"⚠ Same band as a head manager",IF(INDEX(B_VAL,MATCH(BG464,B_LVL,0))&gt;=INDEX(B_VAL,MATCH(BJ464,B_LVL,0)),"⚠ At or above the manager's level","OK"))))),"—")</f>
        <v>OK</v>
      </c>
      <c r="BL464" s="43" t="n"/>
      <c r="BM464" s="44">
        <f>IFERROR(INDEX(LMH_PTS,MATCH(Y464,LMH_KEY,0)),0)</f>
        <v>9</v>
      </c>
      <c r="BN464" s="38">
        <f>IFERROR(INDEX(LMH_PTS,MATCH(Z464,LMH_KEY,0)),0)</f>
        <v>3</v>
      </c>
      <c r="BO464" s="38">
        <f>IFERROR(INDEX(LMH_PTS,MATCH(AA464,LMH_KEY,0)),0)</f>
        <v>1</v>
      </c>
      <c r="BP464" s="38">
        <f>IFERROR(INDEX(LMH_PTS,MATCH(AB464,LMH_KEY,0)),0)</f>
        <v>1</v>
      </c>
      <c r="BQ464" s="38">
        <f>IFERROR(INDEX(LMH_PTS,MATCH(AC464,LMH_KEY,0)),0)</f>
        <v>1</v>
      </c>
      <c r="BR464" s="38">
        <f>IFERROR(INDEX(LMH_PTS,MATCH(AD464,LMH_KEY,0)),0)</f>
        <v>1</v>
      </c>
      <c r="BS464" s="38">
        <f>IFERROR(INDEX(LMH_PTS,MATCH(AE464,LMH_KEY,0)),0)</f>
        <v>1</v>
      </c>
      <c r="BT464" s="38">
        <f>IFERROR(INDEX(LMH_STEP,MATCH(AF464,LMH_KEY,0)),0)</f>
        <v>0</v>
      </c>
      <c r="BU464" s="38">
        <f>IFERROR(INDEX(LMH_STEP,MATCH(AG464,LMH_KEY,0)),0)</f>
        <v>0</v>
      </c>
      <c r="BV464" s="38">
        <f>IFERROR(INDEX(LMH_STEP,MATCH(AH464,LMH_KEY,0)),0)</f>
        <v>0</v>
      </c>
      <c r="BW464" s="38">
        <f>IFERROR(INDEX(LMH_STEP,MATCH(AI464,LMH_KEY,0)),0)</f>
        <v>0</v>
      </c>
      <c r="BX464" s="38">
        <f>IFERROR(INDEX(LMH_STEP,MATCH(AJ464,LMH_KEY,0)),0)</f>
        <v>0</v>
      </c>
      <c r="BY464" s="38">
        <f>IFERROR(INDEX(LMH_STEP,MATCH(AK464,LMH_KEY,0)),0)</f>
        <v>0</v>
      </c>
      <c r="BZ464" s="38">
        <f>IFERROR(INDEX(LMH_STEP,MATCH(AL464,LMH_KEY,0)),0)</f>
        <v>0</v>
      </c>
      <c r="CA464" s="38" t="inlineStr">
        <is>
          <t>iFile|Technology|Senior UI Developer|A3|A</t>
        </is>
      </c>
    </row>
    <row r="465" ht="110" customHeight="1">
      <c r="A465" s="28" t="inlineStr">
        <is>
          <t>iFile</t>
        </is>
      </c>
      <c r="B465" s="29" t="inlineStr">
        <is>
          <t>Technology</t>
        </is>
      </c>
      <c r="C465" s="29" t="n">
        <v>3</v>
      </c>
      <c r="D465" s="29" t="inlineStr">
        <is>
          <t>IRIS2424</t>
        </is>
      </c>
      <c r="E465" s="29" t="inlineStr">
        <is>
          <t>Saurabh Padalkar</t>
        </is>
      </c>
      <c r="F465" s="29" t="inlineStr">
        <is>
          <t>Software Engineer</t>
        </is>
      </c>
      <c r="G465" s="29" t="inlineStr">
        <is>
          <t>Senior AI/ML Engineer</t>
        </is>
      </c>
      <c r="H465" s="29" t="inlineStr">
        <is>
          <t>Engineering &amp; Development</t>
        </is>
      </c>
      <c r="I465" s="29" t="inlineStr">
        <is>
          <t>AI / ML &amp; GenAI Engineering</t>
        </is>
      </c>
      <c r="J465" s="29" t="inlineStr">
        <is>
          <t>IC</t>
        </is>
      </c>
      <c r="K465" s="29" t="inlineStr">
        <is>
          <t>RC-060</t>
        </is>
      </c>
      <c r="L465" s="29" t="inlineStr">
        <is>
          <t>Srikant Mishra</t>
        </is>
      </c>
      <c r="M465" s="29" t="inlineStr">
        <is>
          <t>IRIS2364</t>
        </is>
      </c>
      <c r="N465" s="29" t="n">
        <v>4.1</v>
      </c>
      <c r="O465" s="29" t="n">
        <v>1.1</v>
      </c>
      <c r="P465" s="29" t="inlineStr">
        <is>
          <t>B.E</t>
        </is>
      </c>
      <c r="Q465" s="29" t="inlineStr">
        <is>
          <t>L3 – Professional / Associate</t>
        </is>
      </c>
      <c r="R465" s="29" t="inlineStr">
        <is>
          <t>A3</t>
        </is>
      </c>
      <c r="S465" s="30" t="inlineStr">
        <is>
          <t>20 of 20</t>
        </is>
      </c>
      <c r="T465" s="31" t="inlineStr">
        <is>
          <t>Complexity: Evidence reads like A3: Builds SaaS products from scratch in Django/FastAPI and deploys them → moved up 0.5
Autonomy: Evidence reads like A2: Cites only code quality as an independent decision → matches the start
Accountability: Evidence reads like A3: Owns the products he builds: bugs, features, scalability, security and performance → moved up …</t>
        </is>
      </c>
      <c r="U465" s="31" t="inlineStr">
        <is>
          <t>Received · manager annual, quarterly, self · 1. Deliver assigned sprint stories with &gt;=90% on-time completion and &lt;5% post-release defect rate
2. Maintain &gt;=90% adherence to code quality gates · lint/review comments resolved on owned modules
3. Complete peer code reviews for &gt;=90% of assigned PRs within 24-hour SLA
4. Zero critical/high production defects …</t>
        </is>
      </c>
      <c r="V465" s="31" t="inlineStr">
        <is>
          <t>Latest rating: 3 · Potential: Medium · 9-box: Core Contributor · Readiness: Develop in role</t>
        </is>
      </c>
      <c r="W465" s="31" t="inlineStr">
        <is>
          <t>C M · Au L · Ac M · L L · BI M · Exp H · 4.1 yrs vs 2–4 yrs · Edu M · B.E</t>
        </is>
      </c>
      <c r="X465" s="33" t="inlineStr">
        <is>
          <t>Open ▸</t>
        </is>
      </c>
      <c r="Y465" s="34" t="str">
        <f>IFERROR(INDEX(DL_C,MATCH($CA465,DL_KEY,0)),"M")</f>
        <v>H</v>
      </c>
      <c r="Z465" s="35" t="str">
        <f>IFERROR(INDEX(DL_Au,MATCH($CA465,DL_KEY,0)),"M")</f>
        <v>M</v>
      </c>
      <c r="AA465" s="35" t="str">
        <f>IFERROR(INDEX(DL_Ac,MATCH($CA465,DL_KEY,0)),"M")</f>
        <v>L</v>
      </c>
      <c r="AB465" s="35" t="str">
        <f>IFERROR(INDEX(DL_L,MATCH($CA465,DL_KEY,0)),"M")</f>
        <v>L</v>
      </c>
      <c r="AC465" s="35" t="str">
        <f>IFERROR(INDEX(DL_BI,MATCH($CA465,DL_KEY,0)),"M")</f>
        <v>L</v>
      </c>
      <c r="AD465" s="35" t="str">
        <f>IFERROR(INDEX(DL_Exp,MATCH($CA465,DL_KEY,0)),"M")</f>
        <v>L</v>
      </c>
      <c r="AE465" s="35" t="str">
        <f>IFERROR(INDEX(DL_Edu,MATCH($CA465,DL_KEY,0)),"M")</f>
        <v>L</v>
      </c>
      <c r="AF465" s="34" t="inlineStr">
        <is>
          <t>M</t>
        </is>
      </c>
      <c r="AG465" s="35" t="inlineStr">
        <is>
          <t>M</t>
        </is>
      </c>
      <c r="AH465" s="35" t="inlineStr">
        <is>
          <t>M</t>
        </is>
      </c>
      <c r="AI465" s="35" t="inlineStr">
        <is>
          <t>M</t>
        </is>
      </c>
      <c r="AJ465" s="35" t="inlineStr">
        <is>
          <t>M</t>
        </is>
      </c>
      <c r="AK465" s="35" t="inlineStr">
        <is>
          <t>M</t>
        </is>
      </c>
      <c r="AL465" s="35" t="inlineStr">
        <is>
          <t>M</t>
        </is>
      </c>
      <c r="AM465" s="36" t="n">
        <v>0.583</v>
      </c>
      <c r="AN465" s="37" t="n">
        <v>0.16</v>
      </c>
      <c r="AO465" s="37" t="n">
        <v>0.09</v>
      </c>
      <c r="AP465" s="37" t="n">
        <v>0</v>
      </c>
      <c r="AQ465" s="37" t="n">
        <v>0.063</v>
      </c>
      <c r="AR465" s="37" t="n">
        <v>0.06</v>
      </c>
      <c r="AS465" s="37" t="n">
        <v>0.04</v>
      </c>
      <c r="AT465" s="38" t="inlineStr">
        <is>
          <t>2–5</t>
        </is>
      </c>
      <c r="AU465" s="38" t="inlineStr">
        <is>
          <t>Graduate; relevant certification preferred</t>
        </is>
      </c>
      <c r="AV465" s="38" t="inlineStr">
        <is>
          <t>None · guides 1–3 juniors informally</t>
        </is>
      </c>
      <c r="AW465" s="38" t="inlineStr">
        <is>
          <t>P2 · SFIA 3 Apply</t>
        </is>
      </c>
      <c r="AX46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65" s="39" t="inlineStr">
        <is>
          <t>A3</t>
        </is>
      </c>
      <c r="AZ465" s="40" t="inlineStr">
        <is>
          <t>Band A · Practitioner · Senior Associate</t>
        </is>
      </c>
      <c r="BA465" s="40" t="inlineStr">
        <is>
          <t>Model A3 from the six ratings, the market-derived weights and rules R1–R13 · then No change · already below the manager</t>
        </is>
      </c>
      <c r="BB465" s="41" t="inlineStr">
        <is>
          <t>A3</t>
        </is>
      </c>
      <c r="BC465" s="40" t="inlineStr">
        <is>
          <t>The six ratings on the market-average weights of Band A · all tracks score 2.52 → A3 · Hay, Mercer IPE and public plans · experience 4.1 yrs vs the A3 market range 2–5</t>
        </is>
      </c>
      <c r="BD465" s="42">
        <f>IF(SUM(BM465,BN465,BO465,BP465,BQ465,BR465,BS465)=0,0,(BM465*BT465+BN465*BU465+BO465*BV465+BP465*BW465+BQ465*BX465+BR465*BY465+BS465*BZ465)/SUM(BM465,BN465,BO465,BP465,BQ465,BR465,BS465))</f>
        <v>0</v>
      </c>
      <c r="BE465" s="41" t="str">
        <f>IF(LEFT(AY465,1)="X",AY465,IF(OR(AY465="B+",AY465="C+"),INDEX(LAD_PC,MAX(1,MIN(14,MATCH(AY465,LAD_PC,0)+IF(BD465&gt;=0.5,1,IF(BD465&lt;=-0.5,-1,0))))),INDEX(LAD_STD,MAX(1,MIN(12,MATCH(AY465,LAD_STD,0)+IF(BD465&gt;=0.5,1,IF(BD465&lt;=-0.5,-1,0)))))))</f>
        <v>A3</v>
      </c>
      <c r="BF465" s="43" t="n"/>
      <c r="BG465" s="41" t="str">
        <f>IF(BF465&lt;&gt;"",BF465,BE465)</f>
        <v>A3</v>
      </c>
      <c r="BH465" s="40" t="str">
        <f>IFERROR(CHOOSE(INDEX(B_RANK,MATCH(BG465,B_LVL,0)),"Band A","Band B","B+ · Player-Coach","Band C","C+ · Player-Coach","Band D","Band E"),"Band X · Consultant")</f>
        <v>Band A</v>
      </c>
      <c r="BI465" s="40" t="str">
        <f>IF(BG465=AY465,"• Same",IF(INDEX(B_VAL,MATCH(BG465,B_LVL,0))&gt;INDEX(B_VAL,MATCH(AY465,B_LVL,0)),"▲ Up","▼ Down"))</f>
        <v>• Same</v>
      </c>
      <c r="BJ465" s="40" t="str">
        <f>IF(OR($M465="",$M465="—",$M465="Not in this file"),"",IFERROR(INDEX($BG$7:$BG$592,MATCH($M465,$D$7:$D$592,0)),""))</f>
        <v>B1</v>
      </c>
      <c r="BK465" s="40" t="str">
        <f>IFERROR(IF(BJ465="","—",IF(OR(LEFT(BG465,1)="X",LEFT(BJ465,1)="X"),"—",IF(AND(LEFT(BG465,1)="E",LEFT(BJ465,1)="E"),"Exception · Band E",IF(AND(INDEX(B_VAL,MATCH(BJ465,B_LVL,0))&gt;=7,INDEX(B_RANK,MATCH(BG465,B_LVL,0))&gt;=INDEX(B_RANK,MATCH(BJ465,B_LVL,0))),"⚠ Same band as a head manager",IF(INDEX(B_VAL,MATCH(BG465,B_LVL,0))&gt;=INDEX(B_VAL,MATCH(BJ465,B_LVL,0)),"⚠ At or above the manager's level","OK"))))),"—")</f>
        <v>OK</v>
      </c>
      <c r="BL465" s="43" t="n"/>
      <c r="BM465" s="44">
        <f>IFERROR(INDEX(LMH_PTS,MATCH(Y465,LMH_KEY,0)),0)</f>
        <v>9</v>
      </c>
      <c r="BN465" s="38">
        <f>IFERROR(INDEX(LMH_PTS,MATCH(Z465,LMH_KEY,0)),0)</f>
        <v>3</v>
      </c>
      <c r="BO465" s="38">
        <f>IFERROR(INDEX(LMH_PTS,MATCH(AA465,LMH_KEY,0)),0)</f>
        <v>1</v>
      </c>
      <c r="BP465" s="38">
        <f>IFERROR(INDEX(LMH_PTS,MATCH(AB465,LMH_KEY,0)),0)</f>
        <v>1</v>
      </c>
      <c r="BQ465" s="38">
        <f>IFERROR(INDEX(LMH_PTS,MATCH(AC465,LMH_KEY,0)),0)</f>
        <v>1</v>
      </c>
      <c r="BR465" s="38">
        <f>IFERROR(INDEX(LMH_PTS,MATCH(AD465,LMH_KEY,0)),0)</f>
        <v>1</v>
      </c>
      <c r="BS465" s="38">
        <f>IFERROR(INDEX(LMH_PTS,MATCH(AE465,LMH_KEY,0)),0)</f>
        <v>1</v>
      </c>
      <c r="BT465" s="38">
        <f>IFERROR(INDEX(LMH_STEP,MATCH(AF465,LMH_KEY,0)),0)</f>
        <v>0</v>
      </c>
      <c r="BU465" s="38">
        <f>IFERROR(INDEX(LMH_STEP,MATCH(AG465,LMH_KEY,0)),0)</f>
        <v>0</v>
      </c>
      <c r="BV465" s="38">
        <f>IFERROR(INDEX(LMH_STEP,MATCH(AH465,LMH_KEY,0)),0)</f>
        <v>0</v>
      </c>
      <c r="BW465" s="38">
        <f>IFERROR(INDEX(LMH_STEP,MATCH(AI465,LMH_KEY,0)),0)</f>
        <v>0</v>
      </c>
      <c r="BX465" s="38">
        <f>IFERROR(INDEX(LMH_STEP,MATCH(AJ465,LMH_KEY,0)),0)</f>
        <v>0</v>
      </c>
      <c r="BY465" s="38">
        <f>IFERROR(INDEX(LMH_STEP,MATCH(AK465,LMH_KEY,0)),0)</f>
        <v>0</v>
      </c>
      <c r="BZ465" s="38">
        <f>IFERROR(INDEX(LMH_STEP,MATCH(AL465,LMH_KEY,0)),0)</f>
        <v>0</v>
      </c>
      <c r="CA465" s="38" t="inlineStr">
        <is>
          <t>iFile|Technology|Senior AI/ML Engineer|A3|A</t>
        </is>
      </c>
    </row>
    <row r="466" ht="110" customHeight="1">
      <c r="A466" s="28" t="inlineStr">
        <is>
          <t>iFile</t>
        </is>
      </c>
      <c r="B466" s="29" t="inlineStr">
        <is>
          <t>XBRL Consulting</t>
        </is>
      </c>
      <c r="C466" s="29" t="n">
        <v>2</v>
      </c>
      <c r="D466" s="29" t="inlineStr">
        <is>
          <t>IRIS0124</t>
        </is>
      </c>
      <c r="E466" s="29" t="inlineStr">
        <is>
          <t>Surekha Ghadigaonkar</t>
        </is>
      </c>
      <c r="F466" s="29" t="inlineStr">
        <is>
          <t>Senior Analyst</t>
        </is>
      </c>
      <c r="G466" s="29" t="inlineStr">
        <is>
          <t>Senior Taxonomy Analyst</t>
        </is>
      </c>
      <c r="H466" s="29" t="inlineStr">
        <is>
          <t>Consulting &amp; Professional Services</t>
        </is>
      </c>
      <c r="I466" s="29" t="inlineStr">
        <is>
          <t>Taxonomy Design &amp; Regulatory Consulting</t>
        </is>
      </c>
      <c r="J466" s="29" t="inlineStr">
        <is>
          <t>IC</t>
        </is>
      </c>
      <c r="K466" s="29" t="inlineStr">
        <is>
          <t>RC-019</t>
        </is>
      </c>
      <c r="L466" s="29" t="inlineStr">
        <is>
          <t>Rahul Dhamne</t>
        </is>
      </c>
      <c r="M466" s="29" t="inlineStr">
        <is>
          <t>IRIS0362</t>
        </is>
      </c>
      <c r="N466" s="29" t="n">
        <v>20</v>
      </c>
      <c r="O466" s="29" t="n">
        <v>19</v>
      </c>
      <c r="P466" s="29" t="inlineStr">
        <is>
          <t>B.Com</t>
        </is>
      </c>
      <c r="Q466" s="29" t="inlineStr">
        <is>
          <t>L4 – Senior</t>
        </is>
      </c>
      <c r="R466" s="29" t="inlineStr">
        <is>
          <t>A3</t>
        </is>
      </c>
      <c r="S466" s="30" t="inlineStr">
        <is>
          <t>20 of 20</t>
        </is>
      </c>
      <c r="T466" s="31" t="inlineStr">
        <is>
          <t>Complexity: Evidence reads like A3: Taxonomy development, requirement analysis and tool testing using Noah, iFile, Webform, Arelle → matches the start
Autonomy: Evidence reads like A2: Decides taxonomy changes; no further detail given → moved down 0.5
Accountability: Evidence reads like A2: Released taxonomy of own development; rework and reputation risk; …</t>
        </is>
      </c>
      <c r="U466" s="31" t="inlineStr">
        <is>
          <t>Received · manager annual, quarterly · 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t>
        </is>
      </c>
      <c r="V466" s="31" t="inlineStr">
        <is>
          <t>Latest rating: 3 · Potential: High · 9-box: Core Contributor · Readiness: Ready in 6–12 months</t>
        </is>
      </c>
      <c r="W466" s="31" t="inlineStr">
        <is>
          <t>C M · Au M · Ac M · L L · BI M · Exp H · 20 yrs vs 2–4 yrs · Edu M · B.Com</t>
        </is>
      </c>
      <c r="X466" s="33" t="inlineStr">
        <is>
          <t>Open ▸</t>
        </is>
      </c>
      <c r="Y466" s="34" t="str">
        <f>IFERROR(INDEX(DL_C,MATCH($CA466,DL_KEY,0)),"M")</f>
        <v>H</v>
      </c>
      <c r="Z466" s="35" t="str">
        <f>IFERROR(INDEX(DL_Au,MATCH($CA466,DL_KEY,0)),"M")</f>
        <v>M</v>
      </c>
      <c r="AA466" s="35" t="str">
        <f>IFERROR(INDEX(DL_Ac,MATCH($CA466,DL_KEY,0)),"M")</f>
        <v>M</v>
      </c>
      <c r="AB466" s="35" t="str">
        <f>IFERROR(INDEX(DL_L,MATCH($CA466,DL_KEY,0)),"M")</f>
        <v>L</v>
      </c>
      <c r="AC466" s="35" t="str">
        <f>IFERROR(INDEX(DL_BI,MATCH($CA466,DL_KEY,0)),"M")</f>
        <v>L</v>
      </c>
      <c r="AD466" s="35" t="str">
        <f>IFERROR(INDEX(DL_Exp,MATCH($CA466,DL_KEY,0)),"M")</f>
        <v>L</v>
      </c>
      <c r="AE466" s="35" t="str">
        <f>IFERROR(INDEX(DL_Edu,MATCH($CA466,DL_KEY,0)),"M")</f>
        <v>L</v>
      </c>
      <c r="AF466" s="34" t="inlineStr">
        <is>
          <t>M</t>
        </is>
      </c>
      <c r="AG466" s="35" t="inlineStr">
        <is>
          <t>M</t>
        </is>
      </c>
      <c r="AH466" s="35" t="inlineStr">
        <is>
          <t>M</t>
        </is>
      </c>
      <c r="AI466" s="35" t="inlineStr">
        <is>
          <t>M</t>
        </is>
      </c>
      <c r="AJ466" s="35" t="inlineStr">
        <is>
          <t>M</t>
        </is>
      </c>
      <c r="AK466" s="35" t="inlineStr">
        <is>
          <t>M</t>
        </is>
      </c>
      <c r="AL466" s="35" t="inlineStr">
        <is>
          <t>M</t>
        </is>
      </c>
      <c r="AM466" s="36" t="n">
        <v>0.583</v>
      </c>
      <c r="AN466" s="37" t="n">
        <v>0.16</v>
      </c>
      <c r="AO466" s="37" t="n">
        <v>0.09</v>
      </c>
      <c r="AP466" s="37" t="n">
        <v>0</v>
      </c>
      <c r="AQ466" s="37" t="n">
        <v>0.063</v>
      </c>
      <c r="AR466" s="37" t="n">
        <v>0.06</v>
      </c>
      <c r="AS466" s="37" t="n">
        <v>0.04</v>
      </c>
      <c r="AT466" s="38" t="inlineStr">
        <is>
          <t>2–5</t>
        </is>
      </c>
      <c r="AU466" s="38" t="inlineStr">
        <is>
          <t>Graduate; relevant certification preferred</t>
        </is>
      </c>
      <c r="AV466" s="38" t="inlineStr">
        <is>
          <t>None · guides 1–3 juniors informally</t>
        </is>
      </c>
      <c r="AW466" s="38" t="inlineStr">
        <is>
          <t>P2 · SFIA 3 Apply</t>
        </is>
      </c>
      <c r="AX46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66" s="39" t="inlineStr">
        <is>
          <t>A3</t>
        </is>
      </c>
      <c r="AZ466" s="40" t="inlineStr">
        <is>
          <t>Band A · Practitioner · Senior Associate</t>
        </is>
      </c>
      <c r="BA466" s="40" t="inlineStr">
        <is>
          <t>Model A3 from the six ratings, the market-derived weights and rules R1–R13 · then No change · already below the manager</t>
        </is>
      </c>
      <c r="BB466" s="41" t="inlineStr">
        <is>
          <t>A3</t>
        </is>
      </c>
      <c r="BC466" s="40" t="inlineStr">
        <is>
          <t>The six ratings on the market-average weights of Band A · all tracks score 3.50 → A3 · Hay, Mercer IPE and public plans · experience 20 yrs vs the A3 market range 2–5</t>
        </is>
      </c>
      <c r="BD466" s="42">
        <f>IF(SUM(BM466,BN466,BO466,BP466,BQ466,BR466,BS466)=0,0,(BM466*BT466+BN466*BU466+BO466*BV466+BP466*BW466+BQ466*BX466+BR466*BY466+BS466*BZ466)/SUM(BM466,BN466,BO466,BP466,BQ466,BR466,BS466))</f>
        <v>0</v>
      </c>
      <c r="BE466" s="41" t="str">
        <f>IF(LEFT(AY466,1)="X",AY466,IF(OR(AY466="B+",AY466="C+"),INDEX(LAD_PC,MAX(1,MIN(14,MATCH(AY466,LAD_PC,0)+IF(BD466&gt;=0.5,1,IF(BD466&lt;=-0.5,-1,0))))),INDEX(LAD_STD,MAX(1,MIN(12,MATCH(AY466,LAD_STD,0)+IF(BD466&gt;=0.5,1,IF(BD466&lt;=-0.5,-1,0)))))))</f>
        <v>A3</v>
      </c>
      <c r="BF466" s="43" t="n"/>
      <c r="BG466" s="41" t="str">
        <f>IF(BF466&lt;&gt;"",BF466,BE466)</f>
        <v>A3</v>
      </c>
      <c r="BH466" s="40" t="str">
        <f>IFERROR(CHOOSE(INDEX(B_RANK,MATCH(BG466,B_LVL,0)),"Band A","Band B","B+ · Player-Coach","Band C","C+ · Player-Coach","Band D","Band E"),"Band X · Consultant")</f>
        <v>Band A</v>
      </c>
      <c r="BI466" s="40" t="str">
        <f>IF(BG466=AY466,"• Same",IF(INDEX(B_VAL,MATCH(BG466,B_LVL,0))&gt;INDEX(B_VAL,MATCH(AY466,B_LVL,0)),"▲ Up","▼ Down"))</f>
        <v>• Same</v>
      </c>
      <c r="BJ466" s="40" t="str">
        <f>IF(OR($M466="",$M466="—",$M466="Not in this file"),"",IFERROR(INDEX($BG$7:$BG$592,MATCH($M466,$D$7:$D$592,0)),""))</f>
        <v>C2</v>
      </c>
      <c r="BK466" s="40" t="str">
        <f>IFERROR(IF(BJ466="","—",IF(OR(LEFT(BG466,1)="X",LEFT(BJ466,1)="X"),"—",IF(AND(LEFT(BG466,1)="E",LEFT(BJ466,1)="E"),"Exception · Band E",IF(AND(INDEX(B_VAL,MATCH(BJ466,B_LVL,0))&gt;=7,INDEX(B_RANK,MATCH(BG466,B_LVL,0))&gt;=INDEX(B_RANK,MATCH(BJ466,B_LVL,0))),"⚠ Same band as a head manager",IF(INDEX(B_VAL,MATCH(BG466,B_LVL,0))&gt;=INDEX(B_VAL,MATCH(BJ466,B_LVL,0)),"⚠ At or above the manager's level","OK"))))),"—")</f>
        <v>OK</v>
      </c>
      <c r="BL466" s="43" t="n"/>
      <c r="BM466" s="44">
        <f>IFERROR(INDEX(LMH_PTS,MATCH(Y466,LMH_KEY,0)),0)</f>
        <v>9</v>
      </c>
      <c r="BN466" s="38">
        <f>IFERROR(INDEX(LMH_PTS,MATCH(Z466,LMH_KEY,0)),0)</f>
        <v>3</v>
      </c>
      <c r="BO466" s="38">
        <f>IFERROR(INDEX(LMH_PTS,MATCH(AA466,LMH_KEY,0)),0)</f>
        <v>3</v>
      </c>
      <c r="BP466" s="38">
        <f>IFERROR(INDEX(LMH_PTS,MATCH(AB466,LMH_KEY,0)),0)</f>
        <v>1</v>
      </c>
      <c r="BQ466" s="38">
        <f>IFERROR(INDEX(LMH_PTS,MATCH(AC466,LMH_KEY,0)),0)</f>
        <v>1</v>
      </c>
      <c r="BR466" s="38">
        <f>IFERROR(INDEX(LMH_PTS,MATCH(AD466,LMH_KEY,0)),0)</f>
        <v>1</v>
      </c>
      <c r="BS466" s="38">
        <f>IFERROR(INDEX(LMH_PTS,MATCH(AE466,LMH_KEY,0)),0)</f>
        <v>1</v>
      </c>
      <c r="BT466" s="38">
        <f>IFERROR(INDEX(LMH_STEP,MATCH(AF466,LMH_KEY,0)),0)</f>
        <v>0</v>
      </c>
      <c r="BU466" s="38">
        <f>IFERROR(INDEX(LMH_STEP,MATCH(AG466,LMH_KEY,0)),0)</f>
        <v>0</v>
      </c>
      <c r="BV466" s="38">
        <f>IFERROR(INDEX(LMH_STEP,MATCH(AH466,LMH_KEY,0)),0)</f>
        <v>0</v>
      </c>
      <c r="BW466" s="38">
        <f>IFERROR(INDEX(LMH_STEP,MATCH(AI466,LMH_KEY,0)),0)</f>
        <v>0</v>
      </c>
      <c r="BX466" s="38">
        <f>IFERROR(INDEX(LMH_STEP,MATCH(AJ466,LMH_KEY,0)),0)</f>
        <v>0</v>
      </c>
      <c r="BY466" s="38">
        <f>IFERROR(INDEX(LMH_STEP,MATCH(AK466,LMH_KEY,0)),0)</f>
        <v>0</v>
      </c>
      <c r="BZ466" s="38">
        <f>IFERROR(INDEX(LMH_STEP,MATCH(AL466,LMH_KEY,0)),0)</f>
        <v>0</v>
      </c>
      <c r="CA466" s="38" t="inlineStr">
        <is>
          <t>iFile|XBRL Consulting|Senior Taxonomy Analyst|A3|A</t>
        </is>
      </c>
    </row>
    <row r="467" ht="110" customHeight="1">
      <c r="A467" s="28" t="inlineStr">
        <is>
          <t>iFile</t>
        </is>
      </c>
      <c r="B467" s="29" t="inlineStr">
        <is>
          <t>Technology</t>
        </is>
      </c>
      <c r="C467" s="29" t="n">
        <v>2</v>
      </c>
      <c r="D467" s="29" t="inlineStr">
        <is>
          <t>IRIS2447</t>
        </is>
      </c>
      <c r="E467" s="29" t="inlineStr">
        <is>
          <t>Yash Chikane</t>
        </is>
      </c>
      <c r="F467" s="29" t="inlineStr">
        <is>
          <t>Senior Software Engineer - AI/ML</t>
        </is>
      </c>
      <c r="G467" s="29" t="inlineStr">
        <is>
          <t>Senior AI/ML Engineer</t>
        </is>
      </c>
      <c r="H467" s="29" t="inlineStr">
        <is>
          <t>Engineering &amp; Development</t>
        </is>
      </c>
      <c r="I467" s="29" t="inlineStr">
        <is>
          <t>AI / ML &amp; GenAI Engineering</t>
        </is>
      </c>
      <c r="J467" s="29" t="inlineStr">
        <is>
          <t>IC</t>
        </is>
      </c>
      <c r="K467" s="29" t="inlineStr">
        <is>
          <t>RC-060</t>
        </is>
      </c>
      <c r="L467" s="29" t="inlineStr">
        <is>
          <t>Rahul Dhamne</t>
        </is>
      </c>
      <c r="M467" s="29" t="inlineStr">
        <is>
          <t>IRIS0362</t>
        </is>
      </c>
      <c r="N467" s="29" t="n">
        <v>4.9</v>
      </c>
      <c r="O467" s="29" t="n">
        <v>0.8</v>
      </c>
      <c r="P467" s="29" t="inlineStr">
        <is>
          <t>B.E</t>
        </is>
      </c>
      <c r="Q467" s="29" t="inlineStr">
        <is>
          <t>Not in current mapping files</t>
        </is>
      </c>
      <c r="R467" s="29" t="inlineStr">
        <is>
          <t>A3</t>
        </is>
      </c>
      <c r="S467" s="30" t="inlineStr">
        <is>
          <t>20 of 20</t>
        </is>
      </c>
      <c r="T467" s="31" t="inlineStr">
        <is>
          <t>Complexity: Evidence reads like A3: Designs, builds, deploys and optimises AI/ML and GenAI solutions in Python; no specific product named → matches the start
Autonomy: Evidence reads like A2: Decides optimisation and approach on own work → moved down 0.5
Accountability: Evidence reads like A2: Code readability, secure libraries and right approach in own …</t>
        </is>
      </c>
      <c r="U467" s="32" t="inlineStr">
        <is>
          <t>KRAs not received · manager to supply</t>
        </is>
      </c>
      <c r="V467" s="31" t="inlineStr">
        <is>
          <t>Latest rating: Not rated · manager · 9-box: Not placed · manager · Readiness: No rating data</t>
        </is>
      </c>
      <c r="W467" s="31" t="inlineStr">
        <is>
          <t>C M · Au M · Ac M · L L · BI M · Exp H · 4.9 yrs vs 2–4 yrs · Edu M · B.E</t>
        </is>
      </c>
      <c r="X467" s="33" t="inlineStr">
        <is>
          <t>Open ▸</t>
        </is>
      </c>
      <c r="Y467" s="34" t="str">
        <f>IFERROR(INDEX(DL_C,MATCH($CA467,DL_KEY,0)),"M")</f>
        <v>H</v>
      </c>
      <c r="Z467" s="35" t="str">
        <f>IFERROR(INDEX(DL_Au,MATCH($CA467,DL_KEY,0)),"M")</f>
        <v>M</v>
      </c>
      <c r="AA467" s="35" t="str">
        <f>IFERROR(INDEX(DL_Ac,MATCH($CA467,DL_KEY,0)),"M")</f>
        <v>L</v>
      </c>
      <c r="AB467" s="35" t="str">
        <f>IFERROR(INDEX(DL_L,MATCH($CA467,DL_KEY,0)),"M")</f>
        <v>L</v>
      </c>
      <c r="AC467" s="35" t="str">
        <f>IFERROR(INDEX(DL_BI,MATCH($CA467,DL_KEY,0)),"M")</f>
        <v>L</v>
      </c>
      <c r="AD467" s="35" t="str">
        <f>IFERROR(INDEX(DL_Exp,MATCH($CA467,DL_KEY,0)),"M")</f>
        <v>L</v>
      </c>
      <c r="AE467" s="35" t="str">
        <f>IFERROR(INDEX(DL_Edu,MATCH($CA467,DL_KEY,0)),"M")</f>
        <v>L</v>
      </c>
      <c r="AF467" s="34" t="inlineStr">
        <is>
          <t>M</t>
        </is>
      </c>
      <c r="AG467" s="35" t="inlineStr">
        <is>
          <t>M</t>
        </is>
      </c>
      <c r="AH467" s="35" t="inlineStr">
        <is>
          <t>M</t>
        </is>
      </c>
      <c r="AI467" s="35" t="inlineStr">
        <is>
          <t>M</t>
        </is>
      </c>
      <c r="AJ467" s="35" t="inlineStr">
        <is>
          <t>M</t>
        </is>
      </c>
      <c r="AK467" s="35" t="inlineStr">
        <is>
          <t>M</t>
        </is>
      </c>
      <c r="AL467" s="35" t="inlineStr">
        <is>
          <t>M</t>
        </is>
      </c>
      <c r="AM467" s="36" t="n">
        <v>0.583</v>
      </c>
      <c r="AN467" s="37" t="n">
        <v>0.16</v>
      </c>
      <c r="AO467" s="37" t="n">
        <v>0.09</v>
      </c>
      <c r="AP467" s="37" t="n">
        <v>0</v>
      </c>
      <c r="AQ467" s="37" t="n">
        <v>0.063</v>
      </c>
      <c r="AR467" s="37" t="n">
        <v>0.06</v>
      </c>
      <c r="AS467" s="37" t="n">
        <v>0.04</v>
      </c>
      <c r="AT467" s="38" t="inlineStr">
        <is>
          <t>2–5</t>
        </is>
      </c>
      <c r="AU467" s="38" t="inlineStr">
        <is>
          <t>Graduate; relevant certification preferred</t>
        </is>
      </c>
      <c r="AV467" s="38" t="inlineStr">
        <is>
          <t>None · guides 1–3 juniors informally</t>
        </is>
      </c>
      <c r="AW467" s="38" t="inlineStr">
        <is>
          <t>P2 · SFIA 3 Apply</t>
        </is>
      </c>
      <c r="AX46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67" s="39" t="inlineStr">
        <is>
          <t>A3</t>
        </is>
      </c>
      <c r="AZ467" s="40" t="inlineStr">
        <is>
          <t>Band A · Practitioner · Senior Associate</t>
        </is>
      </c>
      <c r="BA467" s="40" t="inlineStr">
        <is>
          <t>Model A3 from the six ratings, the market-derived weights and rules R1–R13 · then No change · already below the manager</t>
        </is>
      </c>
      <c r="BB467" s="41" t="inlineStr">
        <is>
          <t>A3</t>
        </is>
      </c>
      <c r="BC467" s="40" t="inlineStr">
        <is>
          <t>The six ratings on the market-average weights of Band A · all tracks score 2.94 → A3 · Hay, Mercer IPE and public plans · experience 4.9 yrs vs the A3 market range 2–5</t>
        </is>
      </c>
      <c r="BD467" s="42">
        <f>IF(SUM(BM467,BN467,BO467,BP467,BQ467,BR467,BS467)=0,0,(BM467*BT467+BN467*BU467+BO467*BV467+BP467*BW467+BQ467*BX467+BR467*BY467+BS467*BZ467)/SUM(BM467,BN467,BO467,BP467,BQ467,BR467,BS467))</f>
        <v>0</v>
      </c>
      <c r="BE467" s="41" t="str">
        <f>IF(LEFT(AY467,1)="X",AY467,IF(OR(AY467="B+",AY467="C+"),INDEX(LAD_PC,MAX(1,MIN(14,MATCH(AY467,LAD_PC,0)+IF(BD467&gt;=0.5,1,IF(BD467&lt;=-0.5,-1,0))))),INDEX(LAD_STD,MAX(1,MIN(12,MATCH(AY467,LAD_STD,0)+IF(BD467&gt;=0.5,1,IF(BD467&lt;=-0.5,-1,0)))))))</f>
        <v>A3</v>
      </c>
      <c r="BF467" s="43" t="n"/>
      <c r="BG467" s="41" t="str">
        <f>IF(BF467&lt;&gt;"",BF467,BE467)</f>
        <v>A3</v>
      </c>
      <c r="BH467" s="40" t="str">
        <f>IFERROR(CHOOSE(INDEX(B_RANK,MATCH(BG467,B_LVL,0)),"Band A","Band B","B+ · Player-Coach","Band C","C+ · Player-Coach","Band D","Band E"),"Band X · Consultant")</f>
        <v>Band A</v>
      </c>
      <c r="BI467" s="40" t="str">
        <f>IF(BG467=AY467,"• Same",IF(INDEX(B_VAL,MATCH(BG467,B_LVL,0))&gt;INDEX(B_VAL,MATCH(AY467,B_LVL,0)),"▲ Up","▼ Down"))</f>
        <v>• Same</v>
      </c>
      <c r="BJ467" s="40" t="str">
        <f>IF(OR($M467="",$M467="—",$M467="Not in this file"),"",IFERROR(INDEX($BG$7:$BG$592,MATCH($M467,$D$7:$D$592,0)),""))</f>
        <v>C2</v>
      </c>
      <c r="BK467" s="40" t="str">
        <f>IFERROR(IF(BJ467="","—",IF(OR(LEFT(BG467,1)="X",LEFT(BJ467,1)="X"),"—",IF(AND(LEFT(BG467,1)="E",LEFT(BJ467,1)="E"),"Exception · Band E",IF(AND(INDEX(B_VAL,MATCH(BJ467,B_LVL,0))&gt;=7,INDEX(B_RANK,MATCH(BG467,B_LVL,0))&gt;=INDEX(B_RANK,MATCH(BJ467,B_LVL,0))),"⚠ Same band as a head manager",IF(INDEX(B_VAL,MATCH(BG467,B_LVL,0))&gt;=INDEX(B_VAL,MATCH(BJ467,B_LVL,0)),"⚠ At or above the manager's level","OK"))))),"—")</f>
        <v>OK</v>
      </c>
      <c r="BL467" s="43" t="n"/>
      <c r="BM467" s="44">
        <f>IFERROR(INDEX(LMH_PTS,MATCH(Y467,LMH_KEY,0)),0)</f>
        <v>9</v>
      </c>
      <c r="BN467" s="38">
        <f>IFERROR(INDEX(LMH_PTS,MATCH(Z467,LMH_KEY,0)),0)</f>
        <v>3</v>
      </c>
      <c r="BO467" s="38">
        <f>IFERROR(INDEX(LMH_PTS,MATCH(AA467,LMH_KEY,0)),0)</f>
        <v>1</v>
      </c>
      <c r="BP467" s="38">
        <f>IFERROR(INDEX(LMH_PTS,MATCH(AB467,LMH_KEY,0)),0)</f>
        <v>1</v>
      </c>
      <c r="BQ467" s="38">
        <f>IFERROR(INDEX(LMH_PTS,MATCH(AC467,LMH_KEY,0)),0)</f>
        <v>1</v>
      </c>
      <c r="BR467" s="38">
        <f>IFERROR(INDEX(LMH_PTS,MATCH(AD467,LMH_KEY,0)),0)</f>
        <v>1</v>
      </c>
      <c r="BS467" s="38">
        <f>IFERROR(INDEX(LMH_PTS,MATCH(AE467,LMH_KEY,0)),0)</f>
        <v>1</v>
      </c>
      <c r="BT467" s="38">
        <f>IFERROR(INDEX(LMH_STEP,MATCH(AF467,LMH_KEY,0)),0)</f>
        <v>0</v>
      </c>
      <c r="BU467" s="38">
        <f>IFERROR(INDEX(LMH_STEP,MATCH(AG467,LMH_KEY,0)),0)</f>
        <v>0</v>
      </c>
      <c r="BV467" s="38">
        <f>IFERROR(INDEX(LMH_STEP,MATCH(AH467,LMH_KEY,0)),0)</f>
        <v>0</v>
      </c>
      <c r="BW467" s="38">
        <f>IFERROR(INDEX(LMH_STEP,MATCH(AI467,LMH_KEY,0)),0)</f>
        <v>0</v>
      </c>
      <c r="BX467" s="38">
        <f>IFERROR(INDEX(LMH_STEP,MATCH(AJ467,LMH_KEY,0)),0)</f>
        <v>0</v>
      </c>
      <c r="BY467" s="38">
        <f>IFERROR(INDEX(LMH_STEP,MATCH(AK467,LMH_KEY,0)),0)</f>
        <v>0</v>
      </c>
      <c r="BZ467" s="38">
        <f>IFERROR(INDEX(LMH_STEP,MATCH(AL467,LMH_KEY,0)),0)</f>
        <v>0</v>
      </c>
      <c r="CA467" s="38" t="inlineStr">
        <is>
          <t>iFile|Technology|Senior AI/ML Engineer|A3|A</t>
        </is>
      </c>
    </row>
    <row r="468" ht="110" customHeight="1">
      <c r="A468" s="28" t="inlineStr">
        <is>
          <t>iFile</t>
        </is>
      </c>
      <c r="B468" s="29" t="inlineStr">
        <is>
          <t>XBRL Consulting</t>
        </is>
      </c>
      <c r="C468" s="29" t="n">
        <v>2</v>
      </c>
      <c r="D468" s="29" t="inlineStr">
        <is>
          <t>IRIS1139</t>
        </is>
      </c>
      <c r="E468" s="29" t="inlineStr">
        <is>
          <t>Yogesh Patil</t>
        </is>
      </c>
      <c r="F468" s="29" t="inlineStr">
        <is>
          <t>Senior Analyst</t>
        </is>
      </c>
      <c r="G468" s="29" t="inlineStr">
        <is>
          <t>Senior Taxonomy Analyst</t>
        </is>
      </c>
      <c r="H468" s="29" t="inlineStr">
        <is>
          <t>Consulting &amp; Professional Services</t>
        </is>
      </c>
      <c r="I468" s="29" t="inlineStr">
        <is>
          <t>Taxonomy Design &amp; Regulatory Consulting</t>
        </is>
      </c>
      <c r="J468" s="29" t="inlineStr">
        <is>
          <t>IC</t>
        </is>
      </c>
      <c r="K468" s="29" t="inlineStr">
        <is>
          <t>RC-019</t>
        </is>
      </c>
      <c r="L468" s="29" t="inlineStr">
        <is>
          <t>Rahul Dhamne</t>
        </is>
      </c>
      <c r="M468" s="29" t="inlineStr">
        <is>
          <t>IRIS0362</t>
        </is>
      </c>
      <c r="N468" s="29" t="n">
        <v>14.3</v>
      </c>
      <c r="O468" s="29" t="n">
        <v>14.3</v>
      </c>
      <c r="P468" s="29" t="inlineStr">
        <is>
          <t>B.Com</t>
        </is>
      </c>
      <c r="Q468" s="29" t="inlineStr">
        <is>
          <t>L4 – Senior</t>
        </is>
      </c>
      <c r="R468" s="29" t="inlineStr">
        <is>
          <t>A3</t>
        </is>
      </c>
      <c r="S468" s="30" t="inlineStr">
        <is>
          <t>20 of 20</t>
        </is>
      </c>
      <c r="T468" s="31" t="inlineStr">
        <is>
          <t>Complexity: Evidence reads like A3: Full taxonomy cycle: SRS, modelling, business rules, webform customisation and testing, cross-team coordination → matches the start
Autonomy: Evidence reads like A3: Decides taxonomy modelling independently, following standard development practices → matches the start
Accountability: Evidence reads like A2: Accountable …</t>
        </is>
      </c>
      <c r="U468" s="31" t="inlineStr">
        <is>
          <t>Received · manager annual, quarterly · 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t>
        </is>
      </c>
      <c r="V468" s="31" t="inlineStr">
        <is>
          <t>Latest rating: 4 · Potential: High · 9-box: High Impact / Growth Talent · Readiness: Ready now</t>
        </is>
      </c>
      <c r="W468" s="31" t="inlineStr">
        <is>
          <t>C M · Au M · Ac M · L M · BI M · Exp H · 14.3 yrs vs 2–4 yrs · Edu M · B.Com</t>
        </is>
      </c>
      <c r="X468" s="33" t="inlineStr">
        <is>
          <t>Open ▸</t>
        </is>
      </c>
      <c r="Y468" s="34" t="str">
        <f>IFERROR(INDEX(DL_C,MATCH($CA468,DL_KEY,0)),"M")</f>
        <v>H</v>
      </c>
      <c r="Z468" s="35" t="str">
        <f>IFERROR(INDEX(DL_Au,MATCH($CA468,DL_KEY,0)),"M")</f>
        <v>M</v>
      </c>
      <c r="AA468" s="35" t="str">
        <f>IFERROR(INDEX(DL_Ac,MATCH($CA468,DL_KEY,0)),"M")</f>
        <v>M</v>
      </c>
      <c r="AB468" s="35" t="str">
        <f>IFERROR(INDEX(DL_L,MATCH($CA468,DL_KEY,0)),"M")</f>
        <v>L</v>
      </c>
      <c r="AC468" s="35" t="str">
        <f>IFERROR(INDEX(DL_BI,MATCH($CA468,DL_KEY,0)),"M")</f>
        <v>L</v>
      </c>
      <c r="AD468" s="35" t="str">
        <f>IFERROR(INDEX(DL_Exp,MATCH($CA468,DL_KEY,0)),"M")</f>
        <v>L</v>
      </c>
      <c r="AE468" s="35" t="str">
        <f>IFERROR(INDEX(DL_Edu,MATCH($CA468,DL_KEY,0)),"M")</f>
        <v>L</v>
      </c>
      <c r="AF468" s="34" t="inlineStr">
        <is>
          <t>M</t>
        </is>
      </c>
      <c r="AG468" s="35" t="inlineStr">
        <is>
          <t>M</t>
        </is>
      </c>
      <c r="AH468" s="35" t="inlineStr">
        <is>
          <t>M</t>
        </is>
      </c>
      <c r="AI468" s="35" t="inlineStr">
        <is>
          <t>M</t>
        </is>
      </c>
      <c r="AJ468" s="35" t="inlineStr">
        <is>
          <t>M</t>
        </is>
      </c>
      <c r="AK468" s="35" t="inlineStr">
        <is>
          <t>M</t>
        </is>
      </c>
      <c r="AL468" s="35" t="inlineStr">
        <is>
          <t>M</t>
        </is>
      </c>
      <c r="AM468" s="36" t="n">
        <v>0.583</v>
      </c>
      <c r="AN468" s="37" t="n">
        <v>0.16</v>
      </c>
      <c r="AO468" s="37" t="n">
        <v>0.09</v>
      </c>
      <c r="AP468" s="37" t="n">
        <v>0</v>
      </c>
      <c r="AQ468" s="37" t="n">
        <v>0.063</v>
      </c>
      <c r="AR468" s="37" t="n">
        <v>0.06</v>
      </c>
      <c r="AS468" s="37" t="n">
        <v>0.04</v>
      </c>
      <c r="AT468" s="38" t="inlineStr">
        <is>
          <t>2–5</t>
        </is>
      </c>
      <c r="AU468" s="38" t="inlineStr">
        <is>
          <t>Graduate; relevant certification preferred</t>
        </is>
      </c>
      <c r="AV468" s="38" t="inlineStr">
        <is>
          <t>None · guides 1–3 juniors informally</t>
        </is>
      </c>
      <c r="AW468" s="38" t="inlineStr">
        <is>
          <t>P2 · SFIA 3 Apply</t>
        </is>
      </c>
      <c r="AX46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68" s="39" t="inlineStr">
        <is>
          <t>A3</t>
        </is>
      </c>
      <c r="AZ468" s="40" t="inlineStr">
        <is>
          <t>Band A · Practitioner · Senior Associate</t>
        </is>
      </c>
      <c r="BA468" s="40" t="inlineStr">
        <is>
          <t>Model A3 from the six ratings, the market-derived weights and rules R1–R13 · then No change · already below the manager</t>
        </is>
      </c>
      <c r="BB468" s="41" t="inlineStr">
        <is>
          <t>A3</t>
        </is>
      </c>
      <c r="BC468" s="40" t="inlineStr">
        <is>
          <t>The six ratings on the market-average weights of Band A · all tracks score 3.43 → A3 · Hay, Mercer IPE and public plans · experience 14.3 yrs vs the A3 market range 2–5</t>
        </is>
      </c>
      <c r="BD468" s="42">
        <f>IF(SUM(BM468,BN468,BO468,BP468,BQ468,BR468,BS468)=0,0,(BM468*BT468+BN468*BU468+BO468*BV468+BP468*BW468+BQ468*BX468+BR468*BY468+BS468*BZ468)/SUM(BM468,BN468,BO468,BP468,BQ468,BR468,BS468))</f>
        <v>0</v>
      </c>
      <c r="BE468" s="41" t="str">
        <f>IF(LEFT(AY468,1)="X",AY468,IF(OR(AY468="B+",AY468="C+"),INDEX(LAD_PC,MAX(1,MIN(14,MATCH(AY468,LAD_PC,0)+IF(BD468&gt;=0.5,1,IF(BD468&lt;=-0.5,-1,0))))),INDEX(LAD_STD,MAX(1,MIN(12,MATCH(AY468,LAD_STD,0)+IF(BD468&gt;=0.5,1,IF(BD468&lt;=-0.5,-1,0)))))))</f>
        <v>A3</v>
      </c>
      <c r="BF468" s="43" t="n"/>
      <c r="BG468" s="41" t="str">
        <f>IF(BF468&lt;&gt;"",BF468,BE468)</f>
        <v>A3</v>
      </c>
      <c r="BH468" s="40" t="str">
        <f>IFERROR(CHOOSE(INDEX(B_RANK,MATCH(BG468,B_LVL,0)),"Band A","Band B","B+ · Player-Coach","Band C","C+ · Player-Coach","Band D","Band E"),"Band X · Consultant")</f>
        <v>Band A</v>
      </c>
      <c r="BI468" s="40" t="str">
        <f>IF(BG468=AY468,"• Same",IF(INDEX(B_VAL,MATCH(BG468,B_LVL,0))&gt;INDEX(B_VAL,MATCH(AY468,B_LVL,0)),"▲ Up","▼ Down"))</f>
        <v>• Same</v>
      </c>
      <c r="BJ468" s="40" t="str">
        <f>IF(OR($M468="",$M468="—",$M468="Not in this file"),"",IFERROR(INDEX($BG$7:$BG$592,MATCH($M468,$D$7:$D$592,0)),""))</f>
        <v>C2</v>
      </c>
      <c r="BK468" s="40" t="str">
        <f>IFERROR(IF(BJ468="","—",IF(OR(LEFT(BG468,1)="X",LEFT(BJ468,1)="X"),"—",IF(AND(LEFT(BG468,1)="E",LEFT(BJ468,1)="E"),"Exception · Band E",IF(AND(INDEX(B_VAL,MATCH(BJ468,B_LVL,0))&gt;=7,INDEX(B_RANK,MATCH(BG468,B_LVL,0))&gt;=INDEX(B_RANK,MATCH(BJ468,B_LVL,0))),"⚠ Same band as a head manager",IF(INDEX(B_VAL,MATCH(BG468,B_LVL,0))&gt;=INDEX(B_VAL,MATCH(BJ468,B_LVL,0)),"⚠ At or above the manager's level","OK"))))),"—")</f>
        <v>OK</v>
      </c>
      <c r="BL468" s="43" t="n"/>
      <c r="BM468" s="44">
        <f>IFERROR(INDEX(LMH_PTS,MATCH(Y468,LMH_KEY,0)),0)</f>
        <v>9</v>
      </c>
      <c r="BN468" s="38">
        <f>IFERROR(INDEX(LMH_PTS,MATCH(Z468,LMH_KEY,0)),0)</f>
        <v>3</v>
      </c>
      <c r="BO468" s="38">
        <f>IFERROR(INDEX(LMH_PTS,MATCH(AA468,LMH_KEY,0)),0)</f>
        <v>3</v>
      </c>
      <c r="BP468" s="38">
        <f>IFERROR(INDEX(LMH_PTS,MATCH(AB468,LMH_KEY,0)),0)</f>
        <v>1</v>
      </c>
      <c r="BQ468" s="38">
        <f>IFERROR(INDEX(LMH_PTS,MATCH(AC468,LMH_KEY,0)),0)</f>
        <v>1</v>
      </c>
      <c r="BR468" s="38">
        <f>IFERROR(INDEX(LMH_PTS,MATCH(AD468,LMH_KEY,0)),0)</f>
        <v>1</v>
      </c>
      <c r="BS468" s="38">
        <f>IFERROR(INDEX(LMH_PTS,MATCH(AE468,LMH_KEY,0)),0)</f>
        <v>1</v>
      </c>
      <c r="BT468" s="38">
        <f>IFERROR(INDEX(LMH_STEP,MATCH(AF468,LMH_KEY,0)),0)</f>
        <v>0</v>
      </c>
      <c r="BU468" s="38">
        <f>IFERROR(INDEX(LMH_STEP,MATCH(AG468,LMH_KEY,0)),0)</f>
        <v>0</v>
      </c>
      <c r="BV468" s="38">
        <f>IFERROR(INDEX(LMH_STEP,MATCH(AH468,LMH_KEY,0)),0)</f>
        <v>0</v>
      </c>
      <c r="BW468" s="38">
        <f>IFERROR(INDEX(LMH_STEP,MATCH(AI468,LMH_KEY,0)),0)</f>
        <v>0</v>
      </c>
      <c r="BX468" s="38">
        <f>IFERROR(INDEX(LMH_STEP,MATCH(AJ468,LMH_KEY,0)),0)</f>
        <v>0</v>
      </c>
      <c r="BY468" s="38">
        <f>IFERROR(INDEX(LMH_STEP,MATCH(AK468,LMH_KEY,0)),0)</f>
        <v>0</v>
      </c>
      <c r="BZ468" s="38">
        <f>IFERROR(INDEX(LMH_STEP,MATCH(AL468,LMH_KEY,0)),0)</f>
        <v>0</v>
      </c>
      <c r="CA468" s="38" t="inlineStr">
        <is>
          <t>iFile|XBRL Consulting|Senior Taxonomy Analyst|A3|A</t>
        </is>
      </c>
    </row>
    <row r="469" ht="110" customHeight="1">
      <c r="A469" s="28" t="inlineStr">
        <is>
          <t>iFile</t>
        </is>
      </c>
      <c r="B469" s="29" t="inlineStr">
        <is>
          <t>XBRL Consulting</t>
        </is>
      </c>
      <c r="C469" s="29" t="n">
        <v>2</v>
      </c>
      <c r="D469" s="29" t="inlineStr">
        <is>
          <t>IRISC347</t>
        </is>
      </c>
      <c r="E469" s="29" t="inlineStr">
        <is>
          <t>Sunita Joshi</t>
        </is>
      </c>
      <c r="F469" s="29" t="inlineStr">
        <is>
          <t>Consultant</t>
        </is>
      </c>
      <c r="G469" s="29" t="inlineStr">
        <is>
          <t>Associate Consultant – Taxonomy Design &amp; Regulatory Consulting</t>
        </is>
      </c>
      <c r="H469" s="29" t="inlineStr">
        <is>
          <t>Consulting &amp; Professional Services</t>
        </is>
      </c>
      <c r="I469" s="29" t="inlineStr">
        <is>
          <t>Taxonomy Design &amp; Regulatory Consulting</t>
        </is>
      </c>
      <c r="J469" s="29" t="inlineStr">
        <is>
          <t>Consultant</t>
        </is>
      </c>
      <c r="K469" s="29" t="inlineStr">
        <is>
          <t>RC-023</t>
        </is>
      </c>
      <c r="L469" s="29" t="inlineStr">
        <is>
          <t>Rahul Dhamne</t>
        </is>
      </c>
      <c r="M469" s="29" t="inlineStr">
        <is>
          <t>IRIS0362</t>
        </is>
      </c>
      <c r="N469" s="29" t="inlineStr">
        <is>
          <t>Not provided · HRIS</t>
        </is>
      </c>
      <c r="O469" s="29" t="n">
        <v>0.4</v>
      </c>
      <c r="P469" s="29" t="inlineStr">
        <is>
          <t>Not provided · HRIS</t>
        </is>
      </c>
      <c r="Q469" s="29" t="inlineStr">
        <is>
          <t>L3 – Professional / Associate</t>
        </is>
      </c>
      <c r="R469" s="29" t="inlineStr">
        <is>
          <t>X1</t>
        </is>
      </c>
      <c r="S469" s="30" t="inlineStr">
        <is>
          <t>20 of 20</t>
        </is>
      </c>
      <c r="T469" s="32" t="inlineStr">
        <is>
          <t>Full survey answers not in the files received · How We Grow export needed · HR</t>
        </is>
      </c>
      <c r="U469" s="31" t="inlineStr">
        <is>
          <t>Received · manager annual, quarterly · 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t>
        </is>
      </c>
      <c r="V469" s="31" t="inlineStr">
        <is>
          <t>Latest rating: 4 · Potential: High · 9-box: Future Leader · Readiness: n/a · consultant</t>
        </is>
      </c>
      <c r="W469" s="31" t="inlineStr">
        <is>
          <t>Consultant · outside the ladder</t>
        </is>
      </c>
      <c r="X469" s="33" t="inlineStr">
        <is>
          <t>Open ▸</t>
        </is>
      </c>
      <c r="Y469" s="34" t="n"/>
      <c r="Z469" s="35" t="n"/>
      <c r="AA469" s="35" t="n"/>
      <c r="AB469" s="35" t="n"/>
      <c r="AC469" s="35" t="n"/>
      <c r="AD469" s="35" t="n"/>
      <c r="AE469" s="35" t="n"/>
      <c r="AF469" s="34" t="n"/>
      <c r="AG469" s="35" t="n"/>
      <c r="AH469" s="35" t="n"/>
      <c r="AI469" s="35" t="n"/>
      <c r="AJ469" s="35" t="n"/>
      <c r="AK469" s="35" t="n"/>
      <c r="AL469" s="35" t="n"/>
      <c r="AM469" s="36" t="n"/>
      <c r="AN469" s="37" t="n"/>
      <c r="AO469" s="37" t="n"/>
      <c r="AP469" s="37" t="n"/>
      <c r="AQ469" s="37" t="n"/>
      <c r="AR469" s="37" t="n"/>
      <c r="AS469" s="37" t="n"/>
      <c r="AT469" s="38" t="n"/>
      <c r="AU469" s="38" t="n"/>
      <c r="AV469" s="38" t="n"/>
      <c r="AW469" s="38" t="inlineStr">
        <is>
          <t>—</t>
        </is>
      </c>
      <c r="AX46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69" s="39" t="inlineStr">
        <is>
          <t>X1</t>
        </is>
      </c>
      <c r="AZ469" s="40" t="inlineStr">
        <is>
          <t xml:space="preserve">Band X · Consultant · </t>
        </is>
      </c>
      <c r="BA469" s="40" t="inlineStr">
        <is>
          <t>Model X1 from the six ratings, the market-derived weights and rules R1–R13 · then Consultant · outside the ladder</t>
        </is>
      </c>
      <c r="BB469" s="41" t="n"/>
      <c r="BC469" s="40" t="inlineStr">
        <is>
          <t>Consultant · outside the ladder</t>
        </is>
      </c>
      <c r="BD469" s="42">
        <f>IF(SUM(BM469,BN469,BO469,BP469,BQ469,BR469,BS469)=0,0,(BM469*BT469+BN469*BU469+BO469*BV469+BP469*BW469+BQ469*BX469+BR469*BY469+BS469*BZ469)/SUM(BM469,BN469,BO469,BP469,BQ469,BR469,BS469))</f>
        <v>0</v>
      </c>
      <c r="BE469" s="41" t="str">
        <f>IF(LEFT(AY469,1)="X",AY469,IF(OR(AY469="B+",AY469="C+"),INDEX(LAD_PC,MAX(1,MIN(14,MATCH(AY469,LAD_PC,0)+IF(BD469&gt;=0.5,1,IF(BD469&lt;=-0.5,-1,0))))),INDEX(LAD_STD,MAX(1,MIN(12,MATCH(AY469,LAD_STD,0)+IF(BD469&gt;=0.5,1,IF(BD469&lt;=-0.5,-1,0)))))))</f>
        <v>X1</v>
      </c>
      <c r="BF469" s="43" t="n"/>
      <c r="BG469" s="41" t="str">
        <f>IF(BF469&lt;&gt;"",BF469,BE469)</f>
        <v>X1</v>
      </c>
      <c r="BH469" s="40" t="str">
        <f>IFERROR(CHOOSE(INDEX(B_RANK,MATCH(BG469,B_LVL,0)),"Band A","Band B","B+ · Player-Coach","Band C","C+ · Player-Coach","Band D","Band E"),"Band X · Consultant")</f>
        <v>Band X · Consultant</v>
      </c>
      <c r="BI469" s="40" t="str">
        <f>IF(BG469=AY469,"• Same",IF(INDEX(B_VAL,MATCH(BG469,B_LVL,0))&gt;INDEX(B_VAL,MATCH(AY469,B_LVL,0)),"▲ Up","▼ Down"))</f>
        <v>• Same</v>
      </c>
      <c r="BJ469" s="40" t="str">
        <f>IF(OR($M469="",$M469="—",$M469="Not in this file"),"",IFERROR(INDEX($BG$7:$BG$592,MATCH($M469,$D$7:$D$592,0)),""))</f>
        <v>C2</v>
      </c>
      <c r="BK469" s="40" t="str">
        <f>IFERROR(IF(BJ469="","—",IF(OR(LEFT(BG469,1)="X",LEFT(BJ469,1)="X"),"—",IF(AND(LEFT(BG469,1)="E",LEFT(BJ469,1)="E"),"Exception · Band E",IF(AND(INDEX(B_VAL,MATCH(BJ469,B_LVL,0))&gt;=7,INDEX(B_RANK,MATCH(BG469,B_LVL,0))&gt;=INDEX(B_RANK,MATCH(BJ469,B_LVL,0))),"⚠ Same band as a head manager",IF(INDEX(B_VAL,MATCH(BG469,B_LVL,0))&gt;=INDEX(B_VAL,MATCH(BJ469,B_LVL,0)),"⚠ At or above the manager's level","OK"))))),"—")</f>
        <v>—</v>
      </c>
      <c r="BL469" s="43" t="n"/>
      <c r="BM469" s="44">
        <f>IFERROR(INDEX(LMH_PTS,MATCH(Y469,LMH_KEY,0)),0)</f>
        <v>0</v>
      </c>
      <c r="BN469" s="38">
        <f>IFERROR(INDEX(LMH_PTS,MATCH(Z469,LMH_KEY,0)),0)</f>
        <v>0</v>
      </c>
      <c r="BO469" s="38">
        <f>IFERROR(INDEX(LMH_PTS,MATCH(AA469,LMH_KEY,0)),0)</f>
        <v>0</v>
      </c>
      <c r="BP469" s="38">
        <f>IFERROR(INDEX(LMH_PTS,MATCH(AB469,LMH_KEY,0)),0)</f>
        <v>0</v>
      </c>
      <c r="BQ469" s="38">
        <f>IFERROR(INDEX(LMH_PTS,MATCH(AC469,LMH_KEY,0)),0)</f>
        <v>0</v>
      </c>
      <c r="BR469" s="38">
        <f>IFERROR(INDEX(LMH_PTS,MATCH(AD469,LMH_KEY,0)),0)</f>
        <v>0</v>
      </c>
      <c r="BS469" s="38">
        <f>IFERROR(INDEX(LMH_PTS,MATCH(AE469,LMH_KEY,0)),0)</f>
        <v>0</v>
      </c>
      <c r="BT469" s="38">
        <f>IFERROR(INDEX(LMH_STEP,MATCH(AF469,LMH_KEY,0)),0)</f>
        <v>0</v>
      </c>
      <c r="BU469" s="38">
        <f>IFERROR(INDEX(LMH_STEP,MATCH(AG469,LMH_KEY,0)),0)</f>
        <v>0</v>
      </c>
      <c r="BV469" s="38">
        <f>IFERROR(INDEX(LMH_STEP,MATCH(AH469,LMH_KEY,0)),0)</f>
        <v>0</v>
      </c>
      <c r="BW469" s="38">
        <f>IFERROR(INDEX(LMH_STEP,MATCH(AI469,LMH_KEY,0)),0)</f>
        <v>0</v>
      </c>
      <c r="BX469" s="38">
        <f>IFERROR(INDEX(LMH_STEP,MATCH(AJ469,LMH_KEY,0)),0)</f>
        <v>0</v>
      </c>
      <c r="BY469" s="38">
        <f>IFERROR(INDEX(LMH_STEP,MATCH(AK469,LMH_KEY,0)),0)</f>
        <v>0</v>
      </c>
      <c r="BZ469" s="38">
        <f>IFERROR(INDEX(LMH_STEP,MATCH(AL469,LMH_KEY,0)),0)</f>
        <v>0</v>
      </c>
      <c r="CA469" s="38" t="inlineStr">
        <is>
          <t>iFile|XBRL Consulting|Associate Consultant – Taxonomy Design &amp; Regulatory Consulting|X1|X</t>
        </is>
      </c>
    </row>
    <row r="470" ht="110" customHeight="1">
      <c r="A470" s="28" t="inlineStr">
        <is>
          <t>Corporate</t>
        </is>
      </c>
      <c r="B470" s="29" t="inlineStr">
        <is>
          <t>Secretarial &amp; Legal</t>
        </is>
      </c>
      <c r="C470" s="29" t="n">
        <v>1</v>
      </c>
      <c r="D470" s="29" t="inlineStr">
        <is>
          <t>IRIS1914</t>
        </is>
      </c>
      <c r="E470" s="29" t="inlineStr">
        <is>
          <t>Santosh Sharma</t>
        </is>
      </c>
      <c r="F470" s="29" t="inlineStr">
        <is>
          <t>Company Secretary</t>
        </is>
      </c>
      <c r="G470" s="29" t="inlineStr">
        <is>
          <t>Company Secretary – POD Lead</t>
        </is>
      </c>
      <c r="H470" s="29" t="inlineStr">
        <is>
          <t>Executive Leadership</t>
        </is>
      </c>
      <c r="I470" s="29" t="inlineStr">
        <is>
          <t>Business Head</t>
        </is>
      </c>
      <c r="J470" s="29" t="inlineStr">
        <is>
          <t>POD Lead</t>
        </is>
      </c>
      <c r="K470" s="29" t="inlineStr">
        <is>
          <t>RC-EL-BH-C1</t>
        </is>
      </c>
      <c r="L470" s="29" t="inlineStr">
        <is>
          <t>Balachandran K</t>
        </is>
      </c>
      <c r="M470" s="29" t="inlineStr">
        <is>
          <t>IRIS0001</t>
        </is>
      </c>
      <c r="N470" s="29" t="n">
        <v>15.3</v>
      </c>
      <c r="O470" s="29" t="n">
        <v>5.3</v>
      </c>
      <c r="P470" s="29" t="inlineStr">
        <is>
          <t>LLB</t>
        </is>
      </c>
      <c r="Q470" s="29" t="inlineStr">
        <is>
          <t>Not in current mapping files</t>
        </is>
      </c>
      <c r="R470" s="29" t="inlineStr">
        <is>
          <t>C1</t>
        </is>
      </c>
      <c r="S470" s="30" t="inlineStr">
        <is>
          <t>0 of 20</t>
        </is>
      </c>
      <c r="T470" s="31"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t>
        </is>
      </c>
      <c r="U470" s="32" t="inlineStr">
        <is>
          <t>KRAs not received · manager to supply</t>
        </is>
      </c>
      <c r="V470" s="31" t="inlineStr">
        <is>
          <t>Latest rating: Not rated · manager · 9-box: Not placed · manager · Readiness: No rating data</t>
        </is>
      </c>
      <c r="W470" s="31" t="inlineStr">
        <is>
          <t>C M · Au M · Ac L · L L · BI L · Exp H · 15.3 yrs vs 10–14 yrs · Edu H · LLB</t>
        </is>
      </c>
      <c r="X470" s="33" t="inlineStr">
        <is>
          <t>Open ▸</t>
        </is>
      </c>
      <c r="Y470" s="34" t="str">
        <f>IFERROR(INDEX(DL_C,MATCH($CA470,DL_KEY,0)),"M")</f>
        <v>H</v>
      </c>
      <c r="Z470" s="35" t="str">
        <f>IFERROR(INDEX(DL_Au,MATCH($CA470,DL_KEY,0)),"M")</f>
        <v>M</v>
      </c>
      <c r="AA470" s="35" t="str">
        <f>IFERROR(INDEX(DL_Ac,MATCH($CA470,DL_KEY,0)),"M")</f>
        <v>M</v>
      </c>
      <c r="AB470" s="35" t="str">
        <f>IFERROR(INDEX(DL_L,MATCH($CA470,DL_KEY,0)),"M")</f>
        <v>L</v>
      </c>
      <c r="AC470" s="35" t="str">
        <f>IFERROR(INDEX(DL_BI,MATCH($CA470,DL_KEY,0)),"M")</f>
        <v>L</v>
      </c>
      <c r="AD470" s="35" t="str">
        <f>IFERROR(INDEX(DL_Exp,MATCH($CA470,DL_KEY,0)),"M")</f>
        <v>L</v>
      </c>
      <c r="AE470" s="35" t="str">
        <f>IFERROR(INDEX(DL_Edu,MATCH($CA470,DL_KEY,0)),"M")</f>
        <v>L</v>
      </c>
      <c r="AF470" s="34" t="inlineStr">
        <is>
          <t>M</t>
        </is>
      </c>
      <c r="AG470" s="35" t="inlineStr">
        <is>
          <t>M</t>
        </is>
      </c>
      <c r="AH470" s="35" t="inlineStr">
        <is>
          <t>M</t>
        </is>
      </c>
      <c r="AI470" s="35" t="inlineStr">
        <is>
          <t>M</t>
        </is>
      </c>
      <c r="AJ470" s="35" t="inlineStr">
        <is>
          <t>M</t>
        </is>
      </c>
      <c r="AK470" s="35" t="inlineStr">
        <is>
          <t>M</t>
        </is>
      </c>
      <c r="AL470" s="35" t="inlineStr">
        <is>
          <t>M</t>
        </is>
      </c>
      <c r="AM470" s="36" t="n">
        <v>0.5429999999999999</v>
      </c>
      <c r="AN470" s="37" t="n">
        <v>0.177</v>
      </c>
      <c r="AO470" s="37" t="n">
        <v>0.103</v>
      </c>
      <c r="AP470" s="37" t="n">
        <v>0.05</v>
      </c>
      <c r="AQ470" s="37" t="n">
        <v>0.077</v>
      </c>
      <c r="AR470" s="37" t="n">
        <v>0.04</v>
      </c>
      <c r="AS470" s="37" t="n">
        <v>0.01</v>
      </c>
      <c r="AT470" s="38" t="inlineStr">
        <is>
          <t>12–17</t>
        </is>
      </c>
      <c r="AU470" s="38" t="inlineStr">
        <is>
          <t>Postgraduate / professional qualification preferred</t>
        </is>
      </c>
      <c r="AV470" s="38" t="inlineStr">
        <is>
          <t>5–8, mostly managers</t>
        </is>
      </c>
      <c r="AW470" s="38" t="inlineStr">
        <is>
          <t>P6 / M5 · SFIA 5–6</t>
        </is>
      </c>
      <c r="AX47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70" s="39" t="inlineStr">
        <is>
          <t>C1</t>
        </is>
      </c>
      <c r="AZ470" s="40" t="inlineStr">
        <is>
          <t>Band C · Principal / Head · Associate Head</t>
        </is>
      </c>
      <c r="BA470" s="40" t="inlineStr">
        <is>
          <t>Model C1 from the six ratings, the market-derived weights and rules R1–R13 · then No change · already below the manager</t>
        </is>
      </c>
      <c r="BB470" s="41" t="inlineStr">
        <is>
          <t>C1</t>
        </is>
      </c>
      <c r="BC470" s="40" t="inlineStr">
        <is>
          <t>The six ratings on the market-average weights of Band C · Principal specialist score 6.80 → C1 · Hay, Mercer IPE and public plans · experience 15.3 yrs vs the C1 market range 12–17</t>
        </is>
      </c>
      <c r="BD470" s="42">
        <f>IF(SUM(BM470,BN470,BO470,BP470,BQ470,BR470,BS470)=0,0,(BM470*BT470+BN470*BU470+BO470*BV470+BP470*BW470+BQ470*BX470+BR470*BY470+BS470*BZ470)/SUM(BM470,BN470,BO470,BP470,BQ470,BR470,BS470))</f>
        <v>0</v>
      </c>
      <c r="BE470" s="41" t="str">
        <f>IF(LEFT(AY470,1)="X",AY470,IF(OR(AY470="B+",AY470="C+"),INDEX(LAD_PC,MAX(1,MIN(14,MATCH(AY470,LAD_PC,0)+IF(BD470&gt;=0.5,1,IF(BD470&lt;=-0.5,-1,0))))),INDEX(LAD_STD,MAX(1,MIN(12,MATCH(AY470,LAD_STD,0)+IF(BD470&gt;=0.5,1,IF(BD470&lt;=-0.5,-1,0)))))))</f>
        <v>C1</v>
      </c>
      <c r="BF470" s="43" t="n"/>
      <c r="BG470" s="41" t="str">
        <f>IF(BF470&lt;&gt;"",BF470,BE470)</f>
        <v>C1</v>
      </c>
      <c r="BH470" s="40" t="str">
        <f>IFERROR(CHOOSE(INDEX(B_RANK,MATCH(BG470,B_LVL,0)),"Band A","Band B","B+ · Player-Coach","Band C","C+ · Player-Coach","Band D","Band E"),"Band X · Consultant")</f>
        <v>Band C</v>
      </c>
      <c r="BI470" s="40" t="str">
        <f>IF(BG470=AY470,"• Same",IF(INDEX(B_VAL,MATCH(BG470,B_LVL,0))&gt;INDEX(B_VAL,MATCH(AY470,B_LVL,0)),"▲ Up","▼ Down"))</f>
        <v>• Same</v>
      </c>
      <c r="BJ470" s="40" t="str">
        <f>IF(OR($M470="",$M470="—",$M470="Not in this file"),"",IFERROR(INDEX($BG$7:$BG$592,MATCH($M470,$D$7:$D$592,0)),""))</f>
        <v>E2</v>
      </c>
      <c r="BK470" s="40" t="str">
        <f>IFERROR(IF(BJ470="","—",IF(OR(LEFT(BG470,1)="X",LEFT(BJ470,1)="X"),"—",IF(AND(LEFT(BG470,1)="E",LEFT(BJ470,1)="E"),"Exception · Band E",IF(AND(INDEX(B_VAL,MATCH(BJ470,B_LVL,0))&gt;=7,INDEX(B_RANK,MATCH(BG470,B_LVL,0))&gt;=INDEX(B_RANK,MATCH(BJ470,B_LVL,0))),"⚠ Same band as a head manager",IF(INDEX(B_VAL,MATCH(BG470,B_LVL,0))&gt;=INDEX(B_VAL,MATCH(BJ470,B_LVL,0)),"⚠ At or above the manager's level","OK"))))),"—")</f>
        <v>OK</v>
      </c>
      <c r="BL470" s="43" t="n"/>
      <c r="BM470" s="44">
        <f>IFERROR(INDEX(LMH_PTS,MATCH(Y470,LMH_KEY,0)),0)</f>
        <v>9</v>
      </c>
      <c r="BN470" s="38">
        <f>IFERROR(INDEX(LMH_PTS,MATCH(Z470,LMH_KEY,0)),0)</f>
        <v>3</v>
      </c>
      <c r="BO470" s="38">
        <f>IFERROR(INDEX(LMH_PTS,MATCH(AA470,LMH_KEY,0)),0)</f>
        <v>3</v>
      </c>
      <c r="BP470" s="38">
        <f>IFERROR(INDEX(LMH_PTS,MATCH(AB470,LMH_KEY,0)),0)</f>
        <v>1</v>
      </c>
      <c r="BQ470" s="38">
        <f>IFERROR(INDEX(LMH_PTS,MATCH(AC470,LMH_KEY,0)),0)</f>
        <v>1</v>
      </c>
      <c r="BR470" s="38">
        <f>IFERROR(INDEX(LMH_PTS,MATCH(AD470,LMH_KEY,0)),0)</f>
        <v>1</v>
      </c>
      <c r="BS470" s="38">
        <f>IFERROR(INDEX(LMH_PTS,MATCH(AE470,LMH_KEY,0)),0)</f>
        <v>1</v>
      </c>
      <c r="BT470" s="38">
        <f>IFERROR(INDEX(LMH_STEP,MATCH(AF470,LMH_KEY,0)),0)</f>
        <v>0</v>
      </c>
      <c r="BU470" s="38">
        <f>IFERROR(INDEX(LMH_STEP,MATCH(AG470,LMH_KEY,0)),0)</f>
        <v>0</v>
      </c>
      <c r="BV470" s="38">
        <f>IFERROR(INDEX(LMH_STEP,MATCH(AH470,LMH_KEY,0)),0)</f>
        <v>0</v>
      </c>
      <c r="BW470" s="38">
        <f>IFERROR(INDEX(LMH_STEP,MATCH(AI470,LMH_KEY,0)),0)</f>
        <v>0</v>
      </c>
      <c r="BX470" s="38">
        <f>IFERROR(INDEX(LMH_STEP,MATCH(AJ470,LMH_KEY,0)),0)</f>
        <v>0</v>
      </c>
      <c r="BY470" s="38">
        <f>IFERROR(INDEX(LMH_STEP,MATCH(AK470,LMH_KEY,0)),0)</f>
        <v>0</v>
      </c>
      <c r="BZ470" s="38">
        <f>IFERROR(INDEX(LMH_STEP,MATCH(AL470,LMH_KEY,0)),0)</f>
        <v>0</v>
      </c>
      <c r="CA470" s="38" t="inlineStr">
        <is>
          <t>Corporate|Secretarial &amp; Legal|Company Secretary – POD Lead|C1|C-IC</t>
        </is>
      </c>
    </row>
    <row r="471" ht="110" customHeight="1">
      <c r="A471" s="28" t="inlineStr">
        <is>
          <t>Corporate</t>
        </is>
      </c>
      <c r="B471" s="29" t="inlineStr">
        <is>
          <t>Secretarial &amp; Legal</t>
        </is>
      </c>
      <c r="C471" s="29" t="n">
        <v>2</v>
      </c>
      <c r="D471" s="29" t="inlineStr">
        <is>
          <t>IRIS2290</t>
        </is>
      </c>
      <c r="E471" s="29" t="inlineStr">
        <is>
          <t>Melita Suares</t>
        </is>
      </c>
      <c r="F471" s="29" t="inlineStr">
        <is>
          <t>Executive - Secretarial and Legal</t>
        </is>
      </c>
      <c r="G471" s="29" t="inlineStr">
        <is>
          <t>Senior Secretarial Executive</t>
        </is>
      </c>
      <c r="H471" s="29" t="inlineStr">
        <is>
          <t>Administration, Legal &amp; Secretarial</t>
        </is>
      </c>
      <c r="I471" s="29" t="inlineStr">
        <is>
          <t>Company Secretarial &amp; Legal</t>
        </is>
      </c>
      <c r="J471" s="29" t="inlineStr">
        <is>
          <t>IC</t>
        </is>
      </c>
      <c r="K471" s="29" t="inlineStr">
        <is>
          <t>RC-005</t>
        </is>
      </c>
      <c r="L471" s="29" t="inlineStr">
        <is>
          <t>Santosh Sharma</t>
        </is>
      </c>
      <c r="M471" s="29" t="inlineStr">
        <is>
          <t>IRIS1914</t>
        </is>
      </c>
      <c r="N471" s="29" t="n">
        <v>5.4</v>
      </c>
      <c r="O471" s="29" t="n">
        <v>2.2</v>
      </c>
      <c r="P471" s="29" t="inlineStr">
        <is>
          <t>ICSI Marsheets</t>
        </is>
      </c>
      <c r="Q471" s="29" t="inlineStr">
        <is>
          <t>Not in current mapping files</t>
        </is>
      </c>
      <c r="R471" s="29" t="inlineStr">
        <is>
          <t>A3</t>
        </is>
      </c>
      <c r="S471" s="30" t="inlineStr">
        <is>
          <t>20 of 20</t>
        </is>
      </c>
      <c r="T471" s="31" t="inlineStr">
        <is>
          <t>Complexity: Evidence reads like A3: ROC and LODR filings, board minutes, agreement drafting and vetting, compliance trackers, PIT training → moved up 0.5
Autonomy: Evidence reads like A3: Decides secretarial documentation, ROC filings, trackers and PIT training module; escalates legal issues → moved up 0.5
Accountability: Evidence reads like A3: Accuracy …</t>
        </is>
      </c>
      <c r="U471" s="32" t="inlineStr">
        <is>
          <t>KRAs not received · manager to supply</t>
        </is>
      </c>
      <c r="V471" s="31" t="inlineStr">
        <is>
          <t>Latest rating: Not rated · manager · 9-box: Not placed · manager · Readiness: No rating data</t>
        </is>
      </c>
      <c r="W471" s="31" t="inlineStr">
        <is>
          <t>C M · Au M · Ac M · L L · BI M · Exp H · 5.4 yrs vs 2–4 yrs · Edu H · ICSI Marsheets</t>
        </is>
      </c>
      <c r="X471" s="33" t="inlineStr">
        <is>
          <t>Open ▸</t>
        </is>
      </c>
      <c r="Y471" s="34" t="str">
        <f>IFERROR(INDEX(DL_C,MATCH($CA471,DL_KEY,0)),"M")</f>
        <v>H</v>
      </c>
      <c r="Z471" s="35" t="str">
        <f>IFERROR(INDEX(DL_Au,MATCH($CA471,DL_KEY,0)),"M")</f>
        <v>M</v>
      </c>
      <c r="AA471" s="35" t="str">
        <f>IFERROR(INDEX(DL_Ac,MATCH($CA471,DL_KEY,0)),"M")</f>
        <v>M</v>
      </c>
      <c r="AB471" s="35" t="str">
        <f>IFERROR(INDEX(DL_L,MATCH($CA471,DL_KEY,0)),"M")</f>
        <v>L</v>
      </c>
      <c r="AC471" s="35" t="str">
        <f>IFERROR(INDEX(DL_BI,MATCH($CA471,DL_KEY,0)),"M")</f>
        <v>L</v>
      </c>
      <c r="AD471" s="35" t="str">
        <f>IFERROR(INDEX(DL_Exp,MATCH($CA471,DL_KEY,0)),"M")</f>
        <v>L</v>
      </c>
      <c r="AE471" s="35" t="str">
        <f>IFERROR(INDEX(DL_Edu,MATCH($CA471,DL_KEY,0)),"M")</f>
        <v>M</v>
      </c>
      <c r="AF471" s="34" t="inlineStr">
        <is>
          <t>M</t>
        </is>
      </c>
      <c r="AG471" s="35" t="inlineStr">
        <is>
          <t>M</t>
        </is>
      </c>
      <c r="AH471" s="35" t="inlineStr">
        <is>
          <t>M</t>
        </is>
      </c>
      <c r="AI471" s="35" t="inlineStr">
        <is>
          <t>M</t>
        </is>
      </c>
      <c r="AJ471" s="35" t="inlineStr">
        <is>
          <t>M</t>
        </is>
      </c>
      <c r="AK471" s="35" t="inlineStr">
        <is>
          <t>M</t>
        </is>
      </c>
      <c r="AL471" s="35" t="inlineStr">
        <is>
          <t>M</t>
        </is>
      </c>
      <c r="AM471" s="36" t="n">
        <v>0.583</v>
      </c>
      <c r="AN471" s="37" t="n">
        <v>0.16</v>
      </c>
      <c r="AO471" s="37" t="n">
        <v>0.09</v>
      </c>
      <c r="AP471" s="37" t="n">
        <v>0</v>
      </c>
      <c r="AQ471" s="37" t="n">
        <v>0.063</v>
      </c>
      <c r="AR471" s="37" t="n">
        <v>0.06</v>
      </c>
      <c r="AS471" s="37" t="n">
        <v>0.04</v>
      </c>
      <c r="AT471" s="38" t="inlineStr">
        <is>
          <t>2–5</t>
        </is>
      </c>
      <c r="AU471" s="38" t="inlineStr">
        <is>
          <t>Graduate; relevant certification preferred</t>
        </is>
      </c>
      <c r="AV471" s="38" t="inlineStr">
        <is>
          <t>None · guides 1–3 juniors informally</t>
        </is>
      </c>
      <c r="AW471" s="38" t="inlineStr">
        <is>
          <t>P2 · SFIA 3 Apply</t>
        </is>
      </c>
      <c r="AX47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71" s="39" t="inlineStr">
        <is>
          <t>A3</t>
        </is>
      </c>
      <c r="AZ471" s="40" t="inlineStr">
        <is>
          <t>Band A · Practitioner · Senior Associate</t>
        </is>
      </c>
      <c r="BA471" s="40" t="inlineStr">
        <is>
          <t>Model A3 from the six ratings, the market-derived weights and rules R1–R13 · then No change · already below the manager</t>
        </is>
      </c>
      <c r="BB471" s="41" t="inlineStr">
        <is>
          <t>A3</t>
        </is>
      </c>
      <c r="BC471" s="40" t="inlineStr">
        <is>
          <t>The six ratings on the market-average weights of Band A · all tracks score 2.75 → A3 · Hay, Mercer IPE and public plans · experience 5.4 yrs vs the A3 market range 2–5</t>
        </is>
      </c>
      <c r="BD471" s="42">
        <f>IF(SUM(BM471,BN471,BO471,BP471,BQ471,BR471,BS471)=0,0,(BM471*BT471+BN471*BU471+BO471*BV471+BP471*BW471+BQ471*BX471+BR471*BY471+BS471*BZ471)/SUM(BM471,BN471,BO471,BP471,BQ471,BR471,BS471))</f>
        <v>0</v>
      </c>
      <c r="BE471" s="41" t="str">
        <f>IF(LEFT(AY471,1)="X",AY471,IF(OR(AY471="B+",AY471="C+"),INDEX(LAD_PC,MAX(1,MIN(14,MATCH(AY471,LAD_PC,0)+IF(BD471&gt;=0.5,1,IF(BD471&lt;=-0.5,-1,0))))),INDEX(LAD_STD,MAX(1,MIN(12,MATCH(AY471,LAD_STD,0)+IF(BD471&gt;=0.5,1,IF(BD471&lt;=-0.5,-1,0)))))))</f>
        <v>A3</v>
      </c>
      <c r="BF471" s="43" t="n"/>
      <c r="BG471" s="41" t="str">
        <f>IF(BF471&lt;&gt;"",BF471,BE471)</f>
        <v>A3</v>
      </c>
      <c r="BH471" s="40" t="str">
        <f>IFERROR(CHOOSE(INDEX(B_RANK,MATCH(BG471,B_LVL,0)),"Band A","Band B","B+ · Player-Coach","Band C","C+ · Player-Coach","Band D","Band E"),"Band X · Consultant")</f>
        <v>Band A</v>
      </c>
      <c r="BI471" s="40" t="str">
        <f>IF(BG471=AY471,"• Same",IF(INDEX(B_VAL,MATCH(BG471,B_LVL,0))&gt;INDEX(B_VAL,MATCH(AY471,B_LVL,0)),"▲ Up","▼ Down"))</f>
        <v>• Same</v>
      </c>
      <c r="BJ471" s="40" t="str">
        <f>IF(OR($M471="",$M471="—",$M471="Not in this file"),"",IFERROR(INDEX($BG$7:$BG$592,MATCH($M471,$D$7:$D$592,0)),""))</f>
        <v>C1</v>
      </c>
      <c r="BK471" s="40" t="str">
        <f>IFERROR(IF(BJ471="","—",IF(OR(LEFT(BG471,1)="X",LEFT(BJ471,1)="X"),"—",IF(AND(LEFT(BG471,1)="E",LEFT(BJ471,1)="E"),"Exception · Band E",IF(AND(INDEX(B_VAL,MATCH(BJ471,B_LVL,0))&gt;=7,INDEX(B_RANK,MATCH(BG471,B_LVL,0))&gt;=INDEX(B_RANK,MATCH(BJ471,B_LVL,0))),"⚠ Same band as a head manager",IF(INDEX(B_VAL,MATCH(BG471,B_LVL,0))&gt;=INDEX(B_VAL,MATCH(BJ471,B_LVL,0)),"⚠ At or above the manager's level","OK"))))),"—")</f>
        <v>OK</v>
      </c>
      <c r="BL471" s="43" t="n"/>
      <c r="BM471" s="44">
        <f>IFERROR(INDEX(LMH_PTS,MATCH(Y471,LMH_KEY,0)),0)</f>
        <v>9</v>
      </c>
      <c r="BN471" s="38">
        <f>IFERROR(INDEX(LMH_PTS,MATCH(Z471,LMH_KEY,0)),0)</f>
        <v>3</v>
      </c>
      <c r="BO471" s="38">
        <f>IFERROR(INDEX(LMH_PTS,MATCH(AA471,LMH_KEY,0)),0)</f>
        <v>3</v>
      </c>
      <c r="BP471" s="38">
        <f>IFERROR(INDEX(LMH_PTS,MATCH(AB471,LMH_KEY,0)),0)</f>
        <v>1</v>
      </c>
      <c r="BQ471" s="38">
        <f>IFERROR(INDEX(LMH_PTS,MATCH(AC471,LMH_KEY,0)),0)</f>
        <v>1</v>
      </c>
      <c r="BR471" s="38">
        <f>IFERROR(INDEX(LMH_PTS,MATCH(AD471,LMH_KEY,0)),0)</f>
        <v>1</v>
      </c>
      <c r="BS471" s="38">
        <f>IFERROR(INDEX(LMH_PTS,MATCH(AE471,LMH_KEY,0)),0)</f>
        <v>3</v>
      </c>
      <c r="BT471" s="38">
        <f>IFERROR(INDEX(LMH_STEP,MATCH(AF471,LMH_KEY,0)),0)</f>
        <v>0</v>
      </c>
      <c r="BU471" s="38">
        <f>IFERROR(INDEX(LMH_STEP,MATCH(AG471,LMH_KEY,0)),0)</f>
        <v>0</v>
      </c>
      <c r="BV471" s="38">
        <f>IFERROR(INDEX(LMH_STEP,MATCH(AH471,LMH_KEY,0)),0)</f>
        <v>0</v>
      </c>
      <c r="BW471" s="38">
        <f>IFERROR(INDEX(LMH_STEP,MATCH(AI471,LMH_KEY,0)),0)</f>
        <v>0</v>
      </c>
      <c r="BX471" s="38">
        <f>IFERROR(INDEX(LMH_STEP,MATCH(AJ471,LMH_KEY,0)),0)</f>
        <v>0</v>
      </c>
      <c r="BY471" s="38">
        <f>IFERROR(INDEX(LMH_STEP,MATCH(AK471,LMH_KEY,0)),0)</f>
        <v>0</v>
      </c>
      <c r="BZ471" s="38">
        <f>IFERROR(INDEX(LMH_STEP,MATCH(AL471,LMH_KEY,0)),0)</f>
        <v>0</v>
      </c>
      <c r="CA471" s="38" t="inlineStr">
        <is>
          <t>Corporate|Secretarial &amp; Legal|Senior Secretarial Executive|A3|A</t>
        </is>
      </c>
    </row>
    <row r="472" ht="110" customHeight="1">
      <c r="A472" s="28" t="inlineStr">
        <is>
          <t>Corporate</t>
        </is>
      </c>
      <c r="B472" s="29" t="inlineStr">
        <is>
          <t>Secretarial &amp; Legal</t>
        </is>
      </c>
      <c r="C472" s="29" t="n">
        <v>2</v>
      </c>
      <c r="D472" s="29" t="inlineStr">
        <is>
          <t>INTN0296</t>
        </is>
      </c>
      <c r="E472" s="29" t="inlineStr">
        <is>
          <t>Sneha Pillai</t>
        </is>
      </c>
      <c r="F472" s="29" t="inlineStr">
        <is>
          <t>Intern</t>
        </is>
      </c>
      <c r="G472" s="29" t="inlineStr">
        <is>
          <t>Intern – Company Secretarial &amp; Legal</t>
        </is>
      </c>
      <c r="H472" s="29" t="inlineStr">
        <is>
          <t>Administration, Legal &amp; Secretarial</t>
        </is>
      </c>
      <c r="I472" s="29" t="inlineStr">
        <is>
          <t>Company Secretarial &amp; Legal</t>
        </is>
      </c>
      <c r="J472" s="29" t="inlineStr">
        <is>
          <t>IC</t>
        </is>
      </c>
      <c r="K472" s="29" t="inlineStr">
        <is>
          <t>RC-004</t>
        </is>
      </c>
      <c r="L472" s="29" t="inlineStr">
        <is>
          <t>Santosh Sharma</t>
        </is>
      </c>
      <c r="M472" s="29" t="inlineStr">
        <is>
          <t>IRIS1914</t>
        </is>
      </c>
      <c r="N472" s="29" t="n">
        <v>0.6</v>
      </c>
      <c r="O472" s="29" t="n">
        <v>0.6</v>
      </c>
      <c r="P472" s="29" t="inlineStr">
        <is>
          <t>B.Com</t>
        </is>
      </c>
      <c r="Q472" s="29" t="inlineStr">
        <is>
          <t>Not in current mapping files</t>
        </is>
      </c>
      <c r="R472" s="29" t="inlineStr">
        <is>
          <t>A1</t>
        </is>
      </c>
      <c r="S472" s="30" t="inlineStr">
        <is>
          <t>20 of 20</t>
        </is>
      </c>
      <c r="T472" s="32" t="inlineStr">
        <is>
          <t>Full survey answers not in the files received · How We Grow export needed · HR</t>
        </is>
      </c>
      <c r="U472" s="32" t="inlineStr">
        <is>
          <t>KRAs not received · manager to supply</t>
        </is>
      </c>
      <c r="V472" s="31" t="inlineStr">
        <is>
          <t>Latest rating: Not rated · manager · 9-box: Not placed · manager · Readiness: No rating data</t>
        </is>
      </c>
      <c r="W472" s="31" t="inlineStr">
        <is>
          <t>C — · Au — · Ac — · L — · BI — · Exp H · 0.6 yrs vs 0 yrs · fresher / intern · Edu M · B.Com</t>
        </is>
      </c>
      <c r="X472" s="33" t="inlineStr">
        <is>
          <t>Open ▸</t>
        </is>
      </c>
      <c r="Y472" s="34" t="str">
        <f>IFERROR(INDEX(DL_C,MATCH($CA472,DL_KEY,0)),"M")</f>
        <v>H</v>
      </c>
      <c r="Z472" s="35" t="str">
        <f>IFERROR(INDEX(DL_Au,MATCH($CA472,DL_KEY,0)),"M")</f>
        <v>M</v>
      </c>
      <c r="AA472" s="35" t="str">
        <f>IFERROR(INDEX(DL_Ac,MATCH($CA472,DL_KEY,0)),"M")</f>
        <v>M</v>
      </c>
      <c r="AB472" s="35" t="str">
        <f>IFERROR(INDEX(DL_L,MATCH($CA472,DL_KEY,0)),"M")</f>
        <v>L</v>
      </c>
      <c r="AC472" s="35" t="str">
        <f>IFERROR(INDEX(DL_BI,MATCH($CA472,DL_KEY,0)),"M")</f>
        <v>L</v>
      </c>
      <c r="AD472" s="35" t="str">
        <f>IFERROR(INDEX(DL_Exp,MATCH($CA472,DL_KEY,0)),"M")</f>
        <v>L</v>
      </c>
      <c r="AE472" s="35" t="str">
        <f>IFERROR(INDEX(DL_Edu,MATCH($CA472,DL_KEY,0)),"M")</f>
        <v>M</v>
      </c>
      <c r="AF472" s="34" t="inlineStr">
        <is>
          <t>M</t>
        </is>
      </c>
      <c r="AG472" s="35" t="inlineStr">
        <is>
          <t>M</t>
        </is>
      </c>
      <c r="AH472" s="35" t="inlineStr">
        <is>
          <t>M</t>
        </is>
      </c>
      <c r="AI472" s="35" t="inlineStr">
        <is>
          <t>M</t>
        </is>
      </c>
      <c r="AJ472" s="35" t="inlineStr">
        <is>
          <t>M</t>
        </is>
      </c>
      <c r="AK472" s="35" t="inlineStr">
        <is>
          <t>M</t>
        </is>
      </c>
      <c r="AL472" s="35" t="inlineStr">
        <is>
          <t>M</t>
        </is>
      </c>
      <c r="AM472" s="36" t="n">
        <v>0.583</v>
      </c>
      <c r="AN472" s="37" t="n">
        <v>0.16</v>
      </c>
      <c r="AO472" s="37" t="n">
        <v>0.09</v>
      </c>
      <c r="AP472" s="37" t="n">
        <v>0</v>
      </c>
      <c r="AQ472" s="37" t="n">
        <v>0.063</v>
      </c>
      <c r="AR472" s="37" t="n">
        <v>0.06</v>
      </c>
      <c r="AS472" s="37" t="n">
        <v>0.04</v>
      </c>
      <c r="AT472" s="38" t="inlineStr">
        <is>
          <t>0 yrs · fresher / intern</t>
        </is>
      </c>
      <c r="AU472" s="38" t="inlineStr">
        <is>
          <t>Pursuing or completed graduation / diploma</t>
        </is>
      </c>
      <c r="AV472" s="38" t="inlineStr">
        <is>
          <t>No direct reports</t>
        </is>
      </c>
      <c r="AW472" s="38" t="inlineStr">
        <is>
          <t>Entry / P1 · intern · SFIA 1 Follow</t>
        </is>
      </c>
      <c r="AX47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72" s="39" t="inlineStr">
        <is>
          <t>A1</t>
        </is>
      </c>
      <c r="AZ472" s="40" t="inlineStr">
        <is>
          <t>Band A · Practitioner · Intern / Trainee</t>
        </is>
      </c>
      <c r="BA472" s="40" t="inlineStr">
        <is>
          <t>Model A1 from the six ratings, the market-derived weights and rules R1–R13 · then No change · already below the manager</t>
        </is>
      </c>
      <c r="BB472" s="41" t="inlineStr">
        <is>
          <t>A1</t>
        </is>
      </c>
      <c r="BC472" s="40" t="inlineStr">
        <is>
          <t>Placed by a category rule — no full set of ratings · benchmark follows the HR proposed level</t>
        </is>
      </c>
      <c r="BD472" s="42">
        <f>IF(SUM(BM472,BN472,BO472,BP472,BQ472,BR472,BS472)=0,0,(BM472*BT472+BN472*BU472+BO472*BV472+BP472*BW472+BQ472*BX472+BR472*BY472+BS472*BZ472)/SUM(BM472,BN472,BO472,BP472,BQ472,BR472,BS472))</f>
        <v>0</v>
      </c>
      <c r="BE472" s="41" t="str">
        <f>IF(LEFT(AY472,1)="X",AY472,IF(OR(AY472="B+",AY472="C+"),INDEX(LAD_PC,MAX(1,MIN(14,MATCH(AY472,LAD_PC,0)+IF(BD472&gt;=0.5,1,IF(BD472&lt;=-0.5,-1,0))))),INDEX(LAD_STD,MAX(1,MIN(12,MATCH(AY472,LAD_STD,0)+IF(BD472&gt;=0.5,1,IF(BD472&lt;=-0.5,-1,0)))))))</f>
        <v>A1</v>
      </c>
      <c r="BF472" s="43" t="n"/>
      <c r="BG472" s="41" t="str">
        <f>IF(BF472&lt;&gt;"",BF472,BE472)</f>
        <v>A1</v>
      </c>
      <c r="BH472" s="40" t="str">
        <f>IFERROR(CHOOSE(INDEX(B_RANK,MATCH(BG472,B_LVL,0)),"Band A","Band B","B+ · Player-Coach","Band C","C+ · Player-Coach","Band D","Band E"),"Band X · Consultant")</f>
        <v>Band A</v>
      </c>
      <c r="BI472" s="40" t="str">
        <f>IF(BG472=AY472,"• Same",IF(INDEX(B_VAL,MATCH(BG472,B_LVL,0))&gt;INDEX(B_VAL,MATCH(AY472,B_LVL,0)),"▲ Up","▼ Down"))</f>
        <v>• Same</v>
      </c>
      <c r="BJ472" s="40" t="str">
        <f>IF(OR($M472="",$M472="—",$M472="Not in this file"),"",IFERROR(INDEX($BG$7:$BG$592,MATCH($M472,$D$7:$D$592,0)),""))</f>
        <v>C1</v>
      </c>
      <c r="BK472" s="40" t="str">
        <f>IFERROR(IF(BJ472="","—",IF(OR(LEFT(BG472,1)="X",LEFT(BJ472,1)="X"),"—",IF(AND(LEFT(BG472,1)="E",LEFT(BJ472,1)="E"),"Exception · Band E",IF(AND(INDEX(B_VAL,MATCH(BJ472,B_LVL,0))&gt;=7,INDEX(B_RANK,MATCH(BG472,B_LVL,0))&gt;=INDEX(B_RANK,MATCH(BJ472,B_LVL,0))),"⚠ Same band as a head manager",IF(INDEX(B_VAL,MATCH(BG472,B_LVL,0))&gt;=INDEX(B_VAL,MATCH(BJ472,B_LVL,0)),"⚠ At or above the manager's level","OK"))))),"—")</f>
        <v>OK</v>
      </c>
      <c r="BL472" s="43" t="n"/>
      <c r="BM472" s="44">
        <f>IFERROR(INDEX(LMH_PTS,MATCH(Y472,LMH_KEY,0)),0)</f>
        <v>9</v>
      </c>
      <c r="BN472" s="38">
        <f>IFERROR(INDEX(LMH_PTS,MATCH(Z472,LMH_KEY,0)),0)</f>
        <v>3</v>
      </c>
      <c r="BO472" s="38">
        <f>IFERROR(INDEX(LMH_PTS,MATCH(AA472,LMH_KEY,0)),0)</f>
        <v>3</v>
      </c>
      <c r="BP472" s="38">
        <f>IFERROR(INDEX(LMH_PTS,MATCH(AB472,LMH_KEY,0)),0)</f>
        <v>1</v>
      </c>
      <c r="BQ472" s="38">
        <f>IFERROR(INDEX(LMH_PTS,MATCH(AC472,LMH_KEY,0)),0)</f>
        <v>1</v>
      </c>
      <c r="BR472" s="38">
        <f>IFERROR(INDEX(LMH_PTS,MATCH(AD472,LMH_KEY,0)),0)</f>
        <v>1</v>
      </c>
      <c r="BS472" s="38">
        <f>IFERROR(INDEX(LMH_PTS,MATCH(AE472,LMH_KEY,0)),0)</f>
        <v>3</v>
      </c>
      <c r="BT472" s="38">
        <f>IFERROR(INDEX(LMH_STEP,MATCH(AF472,LMH_KEY,0)),0)</f>
        <v>0</v>
      </c>
      <c r="BU472" s="38">
        <f>IFERROR(INDEX(LMH_STEP,MATCH(AG472,LMH_KEY,0)),0)</f>
        <v>0</v>
      </c>
      <c r="BV472" s="38">
        <f>IFERROR(INDEX(LMH_STEP,MATCH(AH472,LMH_KEY,0)),0)</f>
        <v>0</v>
      </c>
      <c r="BW472" s="38">
        <f>IFERROR(INDEX(LMH_STEP,MATCH(AI472,LMH_KEY,0)),0)</f>
        <v>0</v>
      </c>
      <c r="BX472" s="38">
        <f>IFERROR(INDEX(LMH_STEP,MATCH(AJ472,LMH_KEY,0)),0)</f>
        <v>0</v>
      </c>
      <c r="BY472" s="38">
        <f>IFERROR(INDEX(LMH_STEP,MATCH(AK472,LMH_KEY,0)),0)</f>
        <v>0</v>
      </c>
      <c r="BZ472" s="38">
        <f>IFERROR(INDEX(LMH_STEP,MATCH(AL472,LMH_KEY,0)),0)</f>
        <v>0</v>
      </c>
      <c r="CA472" s="38" t="inlineStr">
        <is>
          <t>Corporate|Secretarial &amp; Legal|Intern – Company Secretarial &amp; Legal|A1|A</t>
        </is>
      </c>
    </row>
    <row r="473" ht="110" customHeight="1">
      <c r="A473" s="28" t="inlineStr">
        <is>
          <t>iFile</t>
        </is>
      </c>
      <c r="B473" s="29" t="inlineStr">
        <is>
          <t>Sales</t>
        </is>
      </c>
      <c r="C473" s="29" t="n">
        <v>1</v>
      </c>
      <c r="D473" s="29" t="inlineStr">
        <is>
          <t>IRISSG001</t>
        </is>
      </c>
      <c r="E473" s="29" t="inlineStr">
        <is>
          <t>Anand Padmanabhan</t>
        </is>
      </c>
      <c r="F473" s="29" t="inlineStr">
        <is>
          <t>President</t>
        </is>
      </c>
      <c r="G473" s="29" t="inlineStr">
        <is>
          <t>Senior Consultant – Enterprise Leadership</t>
        </is>
      </c>
      <c r="H473" s="29" t="inlineStr">
        <is>
          <t>Executive Leadership</t>
        </is>
      </c>
      <c r="I473" s="29" t="inlineStr">
        <is>
          <t>Enterprise Leadership</t>
        </is>
      </c>
      <c r="J473" s="29" t="inlineStr">
        <is>
          <t>Consultant</t>
        </is>
      </c>
      <c r="K473" s="29" t="inlineStr">
        <is>
          <t>RC-094</t>
        </is>
      </c>
      <c r="L473" s="29" t="inlineStr">
        <is>
          <t>Balachandran K</t>
        </is>
      </c>
      <c r="M473" s="29" t="inlineStr">
        <is>
          <t>IRIS0001</t>
        </is>
      </c>
      <c r="N473" s="29" t="inlineStr">
        <is>
          <t>Not provided · HRIS</t>
        </is>
      </c>
      <c r="O473" s="29" t="n">
        <v>14.9</v>
      </c>
      <c r="P473" s="29" t="inlineStr">
        <is>
          <t>CA</t>
        </is>
      </c>
      <c r="Q473" s="29" t="inlineStr">
        <is>
          <t>Not in current mapping files</t>
        </is>
      </c>
      <c r="R473" s="29" t="inlineStr">
        <is>
          <t>X3</t>
        </is>
      </c>
      <c r="S473" s="30" t="inlineStr">
        <is>
          <t>0 of 20</t>
        </is>
      </c>
      <c r="T473" s="32" t="inlineStr">
        <is>
          <t>No survey response on file</t>
        </is>
      </c>
      <c r="U473" s="32" t="inlineStr">
        <is>
          <t>KRAs not received · manager to supply</t>
        </is>
      </c>
      <c r="V473" s="31" t="inlineStr">
        <is>
          <t>Latest rating: Not rated · manager · 9-box: Not placed · manager · Readiness: No rating data</t>
        </is>
      </c>
      <c r="W473" s="31" t="inlineStr">
        <is>
          <t>Consultant · outside the ladder</t>
        </is>
      </c>
      <c r="X473" s="33" t="inlineStr">
        <is>
          <t>Open ▸</t>
        </is>
      </c>
      <c r="Y473" s="34" t="n"/>
      <c r="Z473" s="35" t="n"/>
      <c r="AA473" s="35" t="n"/>
      <c r="AB473" s="35" t="n"/>
      <c r="AC473" s="35" t="n"/>
      <c r="AD473" s="35" t="n"/>
      <c r="AE473" s="35" t="n"/>
      <c r="AF473" s="34" t="n"/>
      <c r="AG473" s="35" t="n"/>
      <c r="AH473" s="35" t="n"/>
      <c r="AI473" s="35" t="n"/>
      <c r="AJ473" s="35" t="n"/>
      <c r="AK473" s="35" t="n"/>
      <c r="AL473" s="35" t="n"/>
      <c r="AM473" s="36" t="n"/>
      <c r="AN473" s="37" t="n"/>
      <c r="AO473" s="37" t="n"/>
      <c r="AP473" s="37" t="n"/>
      <c r="AQ473" s="37" t="n"/>
      <c r="AR473" s="37" t="n"/>
      <c r="AS473" s="37" t="n"/>
      <c r="AT473" s="38" t="n"/>
      <c r="AU473" s="38" t="n"/>
      <c r="AV473" s="38" t="n"/>
      <c r="AW473" s="38" t="inlineStr">
        <is>
          <t>—</t>
        </is>
      </c>
      <c r="AX47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73" s="39" t="inlineStr">
        <is>
          <t>X3</t>
        </is>
      </c>
      <c r="AZ473" s="40" t="inlineStr">
        <is>
          <t xml:space="preserve">Band X · Consultant · </t>
        </is>
      </c>
      <c r="BA473" s="40" t="inlineStr">
        <is>
          <t>Model X3 from the six ratings, the market-derived weights and rules R1–R13 · then Consultant · outside the ladder</t>
        </is>
      </c>
      <c r="BB473" s="41" t="n"/>
      <c r="BC473" s="40" t="inlineStr">
        <is>
          <t>Consultant · outside the ladder</t>
        </is>
      </c>
      <c r="BD473" s="42">
        <f>IF(SUM(BM473,BN473,BO473,BP473,BQ473,BR473,BS473)=0,0,(BM473*BT473+BN473*BU473+BO473*BV473+BP473*BW473+BQ473*BX473+BR473*BY473+BS473*BZ473)/SUM(BM473,BN473,BO473,BP473,BQ473,BR473,BS473))</f>
        <v>0</v>
      </c>
      <c r="BE473" s="41" t="str">
        <f>IF(LEFT(AY473,1)="X",AY473,IF(OR(AY473="B+",AY473="C+"),INDEX(LAD_PC,MAX(1,MIN(14,MATCH(AY473,LAD_PC,0)+IF(BD473&gt;=0.5,1,IF(BD473&lt;=-0.5,-1,0))))),INDEX(LAD_STD,MAX(1,MIN(12,MATCH(AY473,LAD_STD,0)+IF(BD473&gt;=0.5,1,IF(BD473&lt;=-0.5,-1,0)))))))</f>
        <v>X3</v>
      </c>
      <c r="BF473" s="43" t="n"/>
      <c r="BG473" s="41" t="str">
        <f>IF(BF473&lt;&gt;"",BF473,BE473)</f>
        <v>X3</v>
      </c>
      <c r="BH473" s="40" t="str">
        <f>IFERROR(CHOOSE(INDEX(B_RANK,MATCH(BG473,B_LVL,0)),"Band A","Band B","B+ · Player-Coach","Band C","C+ · Player-Coach","Band D","Band E"),"Band X · Consultant")</f>
        <v>Band X · Consultant</v>
      </c>
      <c r="BI473" s="40" t="str">
        <f>IF(BG473=AY473,"• Same",IF(INDEX(B_VAL,MATCH(BG473,B_LVL,0))&gt;INDEX(B_VAL,MATCH(AY473,B_LVL,0)),"▲ Up","▼ Down"))</f>
        <v>• Same</v>
      </c>
      <c r="BJ473" s="40" t="str">
        <f>IF(OR($M473="",$M473="—",$M473="Not in this file"),"",IFERROR(INDEX($BG$7:$BG$592,MATCH($M473,$D$7:$D$592,0)),""))</f>
        <v>E2</v>
      </c>
      <c r="BK473" s="40" t="str">
        <f>IFERROR(IF(BJ473="","—",IF(OR(LEFT(BG473,1)="X",LEFT(BJ473,1)="X"),"—",IF(AND(LEFT(BG473,1)="E",LEFT(BJ473,1)="E"),"Exception · Band E",IF(AND(INDEX(B_VAL,MATCH(BJ473,B_LVL,0))&gt;=7,INDEX(B_RANK,MATCH(BG473,B_LVL,0))&gt;=INDEX(B_RANK,MATCH(BJ473,B_LVL,0))),"⚠ Same band as a head manager",IF(INDEX(B_VAL,MATCH(BG473,B_LVL,0))&gt;=INDEX(B_VAL,MATCH(BJ473,B_LVL,0)),"⚠ At or above the manager's level","OK"))))),"—")</f>
        <v>—</v>
      </c>
      <c r="BL473" s="43" t="n"/>
      <c r="BM473" s="44">
        <f>IFERROR(INDEX(LMH_PTS,MATCH(Y473,LMH_KEY,0)),0)</f>
        <v>0</v>
      </c>
      <c r="BN473" s="38">
        <f>IFERROR(INDEX(LMH_PTS,MATCH(Z473,LMH_KEY,0)),0)</f>
        <v>0</v>
      </c>
      <c r="BO473" s="38">
        <f>IFERROR(INDEX(LMH_PTS,MATCH(AA473,LMH_KEY,0)),0)</f>
        <v>0</v>
      </c>
      <c r="BP473" s="38">
        <f>IFERROR(INDEX(LMH_PTS,MATCH(AB473,LMH_KEY,0)),0)</f>
        <v>0</v>
      </c>
      <c r="BQ473" s="38">
        <f>IFERROR(INDEX(LMH_PTS,MATCH(AC473,LMH_KEY,0)),0)</f>
        <v>0</v>
      </c>
      <c r="BR473" s="38">
        <f>IFERROR(INDEX(LMH_PTS,MATCH(AD473,LMH_KEY,0)),0)</f>
        <v>0</v>
      </c>
      <c r="BS473" s="38">
        <f>IFERROR(INDEX(LMH_PTS,MATCH(AE473,LMH_KEY,0)),0)</f>
        <v>0</v>
      </c>
      <c r="BT473" s="38">
        <f>IFERROR(INDEX(LMH_STEP,MATCH(AF473,LMH_KEY,0)),0)</f>
        <v>0</v>
      </c>
      <c r="BU473" s="38">
        <f>IFERROR(INDEX(LMH_STEP,MATCH(AG473,LMH_KEY,0)),0)</f>
        <v>0</v>
      </c>
      <c r="BV473" s="38">
        <f>IFERROR(INDEX(LMH_STEP,MATCH(AH473,LMH_KEY,0)),0)</f>
        <v>0</v>
      </c>
      <c r="BW473" s="38">
        <f>IFERROR(INDEX(LMH_STEP,MATCH(AI473,LMH_KEY,0)),0)</f>
        <v>0</v>
      </c>
      <c r="BX473" s="38">
        <f>IFERROR(INDEX(LMH_STEP,MATCH(AJ473,LMH_KEY,0)),0)</f>
        <v>0</v>
      </c>
      <c r="BY473" s="38">
        <f>IFERROR(INDEX(LMH_STEP,MATCH(AK473,LMH_KEY,0)),0)</f>
        <v>0</v>
      </c>
      <c r="BZ473" s="38">
        <f>IFERROR(INDEX(LMH_STEP,MATCH(AL473,LMH_KEY,0)),0)</f>
        <v>0</v>
      </c>
      <c r="CA473" s="38" t="inlineStr">
        <is>
          <t>iFile|Sales|Senior Consultant – Enterprise Leadership|X3|X</t>
        </is>
      </c>
    </row>
    <row r="474" ht="110" customHeight="1">
      <c r="A474" s="28" t="inlineStr">
        <is>
          <t>Corporate</t>
        </is>
      </c>
      <c r="B474" s="29" t="inlineStr">
        <is>
          <t>Management</t>
        </is>
      </c>
      <c r="C474" s="29" t="n">
        <v>0</v>
      </c>
      <c r="D474" s="29" t="inlineStr">
        <is>
          <t>IRIS0002</t>
        </is>
      </c>
      <c r="E474" s="29" t="inlineStr">
        <is>
          <t>Deepta Rangarajan</t>
        </is>
      </c>
      <c r="F474" s="29" t="inlineStr">
        <is>
          <t>COO, Product Sponsor · Carbon</t>
        </is>
      </c>
      <c r="G474" s="29" t="inlineStr">
        <is>
          <t>Chief Operating Officer</t>
        </is>
      </c>
      <c r="H474" s="29" t="inlineStr">
        <is>
          <t>Enterprise Leadership</t>
        </is>
      </c>
      <c r="I474" s="29" t="inlineStr">
        <is>
          <t>Chief Officers · CXO</t>
        </is>
      </c>
      <c r="J474" s="29" t="inlineStr">
        <is>
          <t>People Manager</t>
        </is>
      </c>
      <c r="K474" s="29" t="inlineStr">
        <is>
          <t>RC-EN-CO-E1</t>
        </is>
      </c>
      <c r="L474" s="29" t="inlineStr">
        <is>
          <t>— · top of the organisation</t>
        </is>
      </c>
      <c r="M474" s="29" t="inlineStr">
        <is>
          <t>Not in this file</t>
        </is>
      </c>
      <c r="N474" s="29" t="n">
        <v>32.1</v>
      </c>
      <c r="O474" s="29" t="n">
        <v>22.1</v>
      </c>
      <c r="P474" s="29" t="inlineStr">
        <is>
          <t>MBA</t>
        </is>
      </c>
      <c r="Q474" s="29" t="inlineStr">
        <is>
          <t>Not in current mapping files</t>
        </is>
      </c>
      <c r="R474" s="29" t="inlineStr">
        <is>
          <t>E1</t>
        </is>
      </c>
      <c r="S474" s="30" t="inlineStr">
        <is>
          <t>0 of 20</t>
        </is>
      </c>
      <c r="T474" s="31"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t>
        </is>
      </c>
      <c r="U474" s="32" t="inlineStr">
        <is>
          <t>KRAs not received · manager to supply</t>
        </is>
      </c>
      <c r="V474" s="31" t="inlineStr">
        <is>
          <t>Latest rating: Not rated · manager · 9-box: Not placed · manager · Readiness: No rating data</t>
        </is>
      </c>
      <c r="W474" s="31" t="inlineStr">
        <is>
          <t>C M · Au M · Ac M · L M · BI M · Exp M · 32.1 yrs vs 20+ yrs · Edu M · MBA</t>
        </is>
      </c>
      <c r="X474" s="33" t="inlineStr">
        <is>
          <t>Open ▸</t>
        </is>
      </c>
      <c r="Y474" s="34" t="str">
        <f>IFERROR(INDEX(DL_C,MATCH($CA474,DL_KEY,0)),"M")</f>
        <v>H</v>
      </c>
      <c r="Z474" s="35" t="str">
        <f>IFERROR(INDEX(DL_Au,MATCH($CA474,DL_KEY,0)),"M")</f>
        <v>M</v>
      </c>
      <c r="AA474" s="35" t="str">
        <f>IFERROR(INDEX(DL_Ac,MATCH($CA474,DL_KEY,0)),"M")</f>
        <v>M</v>
      </c>
      <c r="AB474" s="35" t="str">
        <f>IFERROR(INDEX(DL_L,MATCH($CA474,DL_KEY,0)),"M")</f>
        <v>M</v>
      </c>
      <c r="AC474" s="35" t="str">
        <f>IFERROR(INDEX(DL_BI,MATCH($CA474,DL_KEY,0)),"M")</f>
        <v>L</v>
      </c>
      <c r="AD474" s="35" t="str">
        <f>IFERROR(INDEX(DL_Exp,MATCH($CA474,DL_KEY,0)),"M")</f>
        <v>L</v>
      </c>
      <c r="AE474" s="35" t="str">
        <f>IFERROR(INDEX(DL_Edu,MATCH($CA474,DL_KEY,0)),"M")</f>
        <v>L</v>
      </c>
      <c r="AF474" s="34" t="inlineStr">
        <is>
          <t>M</t>
        </is>
      </c>
      <c r="AG474" s="35" t="inlineStr">
        <is>
          <t>M</t>
        </is>
      </c>
      <c r="AH474" s="35" t="inlineStr">
        <is>
          <t>M</t>
        </is>
      </c>
      <c r="AI474" s="35" t="inlineStr">
        <is>
          <t>M</t>
        </is>
      </c>
      <c r="AJ474" s="35" t="inlineStr">
        <is>
          <t>M</t>
        </is>
      </c>
      <c r="AK474" s="35" t="inlineStr">
        <is>
          <t>M</t>
        </is>
      </c>
      <c r="AL474" s="35" t="inlineStr">
        <is>
          <t>M</t>
        </is>
      </c>
      <c r="AM474" s="36" t="n">
        <v>0.363</v>
      </c>
      <c r="AN474" s="37" t="n">
        <v>0.19</v>
      </c>
      <c r="AO474" s="37" t="n">
        <v>0.113</v>
      </c>
      <c r="AP474" s="37" t="n">
        <v>0.2</v>
      </c>
      <c r="AQ474" s="37" t="n">
        <v>0.08699999999999999</v>
      </c>
      <c r="AR474" s="37" t="n">
        <v>0.04</v>
      </c>
      <c r="AS474" s="37" t="n">
        <v>0.01</v>
      </c>
      <c r="AT474" s="38" t="inlineStr">
        <is>
          <t>20+ yrs</t>
        </is>
      </c>
      <c r="AU474" s="38" t="inlineStr">
        <is>
          <t>Postgraduate / professional qualification; business leadership record</t>
        </is>
      </c>
      <c r="AV474" s="38" t="inlineStr">
        <is>
          <t>5–8 function heads</t>
        </is>
      </c>
      <c r="AW474" s="38" t="inlineStr">
        <is>
          <t>E5 · SFIA 7</t>
        </is>
      </c>
      <c r="AX47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74" s="39" t="inlineStr">
        <is>
          <t>E1</t>
        </is>
      </c>
      <c r="AZ474" s="40" t="inlineStr">
        <is>
          <t>Band E · Enterprise leadership · CXO / President</t>
        </is>
      </c>
      <c r="BA474" s="40" t="inlineStr">
        <is>
          <t>Model E1 from the six ratings, the market-derived weights and rules R1–R13 · then Top of the reporting line</t>
        </is>
      </c>
      <c r="BB474" s="41" t="inlineStr">
        <is>
          <t>E1</t>
        </is>
      </c>
      <c r="BC474" s="40" t="inlineStr">
        <is>
          <t>The six ratings on the market-average weights of Bands D–E · Leadership score 11.05 → E1 · Hay, Mercer IPE and public plans · experience 32.1 yrs vs the E1 market range 20+ yrs</t>
        </is>
      </c>
      <c r="BD474" s="42">
        <f>IF(SUM(BM474,BN474,BO474,BP474,BQ474,BR474,BS474)=0,0,(BM474*BT474+BN474*BU474+BO474*BV474+BP474*BW474+BQ474*BX474+BR474*BY474+BS474*BZ474)/SUM(BM474,BN474,BO474,BP474,BQ474,BR474,BS474))</f>
        <v>0</v>
      </c>
      <c r="BE474" s="41" t="str">
        <f>IF(LEFT(AY474,1)="X",AY474,IF(OR(AY474="B+",AY474="C+"),INDEX(LAD_PC,MAX(1,MIN(14,MATCH(AY474,LAD_PC,0)+IF(BD474&gt;=0.5,1,IF(BD474&lt;=-0.5,-1,0))))),INDEX(LAD_STD,MAX(1,MIN(12,MATCH(AY474,LAD_STD,0)+IF(BD474&gt;=0.5,1,IF(BD474&lt;=-0.5,-1,0)))))))</f>
        <v>E1</v>
      </c>
      <c r="BF474" s="43" t="n"/>
      <c r="BG474" s="41" t="str">
        <f>IF(BF474&lt;&gt;"",BF474,BE474)</f>
        <v>E1</v>
      </c>
      <c r="BH474" s="40" t="str">
        <f>IFERROR(CHOOSE(INDEX(B_RANK,MATCH(BG474,B_LVL,0)),"Band A","Band B","B+ · Player-Coach","Band C","C+ · Player-Coach","Band D","Band E"),"Band X · Consultant")</f>
        <v>Band E</v>
      </c>
      <c r="BI474" s="40" t="str">
        <f>IF(BG474=AY474,"• Same",IF(INDEX(B_VAL,MATCH(BG474,B_LVL,0))&gt;INDEX(B_VAL,MATCH(AY474,B_LVL,0)),"▲ Up","▼ Down"))</f>
        <v>• Same</v>
      </c>
      <c r="BJ474" s="40" t="str">
        <f>IF(OR($M474="",$M474="—",$M474="Not in this file"),"",IFERROR(INDEX($BG$7:$BG$592,MATCH($M474,$D$7:$D$592,0)),""))</f>
        <v/>
      </c>
      <c r="BK474" s="40" t="str">
        <f>IFERROR(IF(BJ474="","—",IF(OR(LEFT(BG474,1)="X",LEFT(BJ474,1)="X"),"—",IF(AND(LEFT(BG474,1)="E",LEFT(BJ474,1)="E"),"Exception · Band E",IF(AND(INDEX(B_VAL,MATCH(BJ474,B_LVL,0))&gt;=7,INDEX(B_RANK,MATCH(BG474,B_LVL,0))&gt;=INDEX(B_RANK,MATCH(BJ474,B_LVL,0))),"⚠ Same band as a head manager",IF(INDEX(B_VAL,MATCH(BG474,B_LVL,0))&gt;=INDEX(B_VAL,MATCH(BJ474,B_LVL,0)),"⚠ At or above the manager's level","OK"))))),"—")</f>
        <v>—</v>
      </c>
      <c r="BL474" s="43" t="n"/>
      <c r="BM474" s="44">
        <f>IFERROR(INDEX(LMH_PTS,MATCH(Y474,LMH_KEY,0)),0)</f>
        <v>9</v>
      </c>
      <c r="BN474" s="38">
        <f>IFERROR(INDEX(LMH_PTS,MATCH(Z474,LMH_KEY,0)),0)</f>
        <v>3</v>
      </c>
      <c r="BO474" s="38">
        <f>IFERROR(INDEX(LMH_PTS,MATCH(AA474,LMH_KEY,0)),0)</f>
        <v>3</v>
      </c>
      <c r="BP474" s="38">
        <f>IFERROR(INDEX(LMH_PTS,MATCH(AB474,LMH_KEY,0)),0)</f>
        <v>3</v>
      </c>
      <c r="BQ474" s="38">
        <f>IFERROR(INDEX(LMH_PTS,MATCH(AC474,LMH_KEY,0)),0)</f>
        <v>1</v>
      </c>
      <c r="BR474" s="38">
        <f>IFERROR(INDEX(LMH_PTS,MATCH(AD474,LMH_KEY,0)),0)</f>
        <v>1</v>
      </c>
      <c r="BS474" s="38">
        <f>IFERROR(INDEX(LMH_PTS,MATCH(AE474,LMH_KEY,0)),0)</f>
        <v>1</v>
      </c>
      <c r="BT474" s="38">
        <f>IFERROR(INDEX(LMH_STEP,MATCH(AF474,LMH_KEY,0)),0)</f>
        <v>0</v>
      </c>
      <c r="BU474" s="38">
        <f>IFERROR(INDEX(LMH_STEP,MATCH(AG474,LMH_KEY,0)),0)</f>
        <v>0</v>
      </c>
      <c r="BV474" s="38">
        <f>IFERROR(INDEX(LMH_STEP,MATCH(AH474,LMH_KEY,0)),0)</f>
        <v>0</v>
      </c>
      <c r="BW474" s="38">
        <f>IFERROR(INDEX(LMH_STEP,MATCH(AI474,LMH_KEY,0)),0)</f>
        <v>0</v>
      </c>
      <c r="BX474" s="38">
        <f>IFERROR(INDEX(LMH_STEP,MATCH(AJ474,LMH_KEY,0)),0)</f>
        <v>0</v>
      </c>
      <c r="BY474" s="38">
        <f>IFERROR(INDEX(LMH_STEP,MATCH(AK474,LMH_KEY,0)),0)</f>
        <v>0</v>
      </c>
      <c r="BZ474" s="38">
        <f>IFERROR(INDEX(LMH_STEP,MATCH(AL474,LMH_KEY,0)),0)</f>
        <v>0</v>
      </c>
      <c r="CA474" s="38" t="inlineStr">
        <is>
          <t>Corporate|Management|Chief Operating Officer|E1|DE</t>
        </is>
      </c>
    </row>
    <row r="475" ht="110" customHeight="1">
      <c r="A475" s="28" t="inlineStr">
        <is>
          <t>Corporate</t>
        </is>
      </c>
      <c r="B475" s="29" t="inlineStr">
        <is>
          <t>HR</t>
        </is>
      </c>
      <c r="C475" s="29" t="n">
        <v>1</v>
      </c>
      <c r="D475" s="29" t="inlineStr">
        <is>
          <t>IRIS2533</t>
        </is>
      </c>
      <c r="E475" s="29" t="inlineStr">
        <is>
          <t>Shweta Jha</t>
        </is>
      </c>
      <c r="F475" s="29" t="inlineStr">
        <is>
          <t>Vice President - Human Resource</t>
        </is>
      </c>
      <c r="G475" s="29" t="inlineStr">
        <is>
          <t>Vice President – Human Resources</t>
        </is>
      </c>
      <c r="H475" s="29" t="inlineStr">
        <is>
          <t>Executive Leadership</t>
        </is>
      </c>
      <c r="I475" s="29" t="inlineStr">
        <is>
          <t>Business Head</t>
        </is>
      </c>
      <c r="J475" s="29" t="inlineStr">
        <is>
          <t>People Manager</t>
        </is>
      </c>
      <c r="K475" s="29" t="inlineStr">
        <is>
          <t>RC-EL-BH-D2</t>
        </is>
      </c>
      <c r="L475" s="29" t="inlineStr">
        <is>
          <t>Deepta Rangarajan</t>
        </is>
      </c>
      <c r="M475" s="29" t="inlineStr">
        <is>
          <t>IRIS0002</t>
        </is>
      </c>
      <c r="N475" s="29" t="n">
        <v>18.2</v>
      </c>
      <c r="O475" s="29" t="n">
        <v>0.3</v>
      </c>
      <c r="P475" s="29" t="inlineStr">
        <is>
          <t>MBA</t>
        </is>
      </c>
      <c r="Q475" s="29" t="inlineStr">
        <is>
          <t>Not in current mapping files</t>
        </is>
      </c>
      <c r="R475" s="29" t="inlineStr">
        <is>
          <t>D2</t>
        </is>
      </c>
      <c r="S475" s="30" t="inlineStr">
        <is>
          <t>0 of 20</t>
        </is>
      </c>
      <c r="T475" s="31"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t>
        </is>
      </c>
      <c r="U475" s="32" t="inlineStr">
        <is>
          <t>KRAs not received · manager to supply</t>
        </is>
      </c>
      <c r="V475" s="31" t="inlineStr">
        <is>
          <t>Latest rating: Not rated · manager · 9-box: Not placed · manager · Readiness: No rating data</t>
        </is>
      </c>
      <c r="W475" s="31" t="inlineStr">
        <is>
          <t>C M · Au M · Ac M · L M · BI M · Exp M · 18.2 yrs vs 18–24 yrs · Edu M · MBA</t>
        </is>
      </c>
      <c r="X475" s="33" t="inlineStr">
        <is>
          <t>Open ▸</t>
        </is>
      </c>
      <c r="Y475" s="34" t="str">
        <f>IFERROR(INDEX(DL_C,MATCH($CA475,DL_KEY,0)),"M")</f>
        <v>H</v>
      </c>
      <c r="Z475" s="35" t="str">
        <f>IFERROR(INDEX(DL_Au,MATCH($CA475,DL_KEY,0)),"M")</f>
        <v>M</v>
      </c>
      <c r="AA475" s="35" t="str">
        <f>IFERROR(INDEX(DL_Ac,MATCH($CA475,DL_KEY,0)),"M")</f>
        <v>M</v>
      </c>
      <c r="AB475" s="35" t="str">
        <f>IFERROR(INDEX(DL_L,MATCH($CA475,DL_KEY,0)),"M")</f>
        <v>M</v>
      </c>
      <c r="AC475" s="35" t="str">
        <f>IFERROR(INDEX(DL_BI,MATCH($CA475,DL_KEY,0)),"M")</f>
        <v>L</v>
      </c>
      <c r="AD475" s="35" t="str">
        <f>IFERROR(INDEX(DL_Exp,MATCH($CA475,DL_KEY,0)),"M")</f>
        <v>L</v>
      </c>
      <c r="AE475" s="35" t="str">
        <f>IFERROR(INDEX(DL_Edu,MATCH($CA475,DL_KEY,0)),"M")</f>
        <v>L</v>
      </c>
      <c r="AF475" s="34" t="inlineStr">
        <is>
          <t>M</t>
        </is>
      </c>
      <c r="AG475" s="35" t="inlineStr">
        <is>
          <t>M</t>
        </is>
      </c>
      <c r="AH475" s="35" t="inlineStr">
        <is>
          <t>M</t>
        </is>
      </c>
      <c r="AI475" s="35" t="inlineStr">
        <is>
          <t>M</t>
        </is>
      </c>
      <c r="AJ475" s="35" t="inlineStr">
        <is>
          <t>M</t>
        </is>
      </c>
      <c r="AK475" s="35" t="inlineStr">
        <is>
          <t>M</t>
        </is>
      </c>
      <c r="AL475" s="35" t="inlineStr">
        <is>
          <t>M</t>
        </is>
      </c>
      <c r="AM475" s="36" t="n">
        <v>0.363</v>
      </c>
      <c r="AN475" s="37" t="n">
        <v>0.19</v>
      </c>
      <c r="AO475" s="37" t="n">
        <v>0.113</v>
      </c>
      <c r="AP475" s="37" t="n">
        <v>0.2</v>
      </c>
      <c r="AQ475" s="37" t="n">
        <v>0.08699999999999999</v>
      </c>
      <c r="AR475" s="37" t="n">
        <v>0.04</v>
      </c>
      <c r="AS475" s="37" t="n">
        <v>0.01</v>
      </c>
      <c r="AT475" s="38" t="inlineStr">
        <is>
          <t>18–24 yrs</t>
        </is>
      </c>
      <c r="AU475" s="38" t="inlineStr">
        <is>
          <t>Postgraduate / professional qualification preferred</t>
        </is>
      </c>
      <c r="AV475" s="38" t="inlineStr">
        <is>
          <t>5–8 AVPs / heads</t>
        </is>
      </c>
      <c r="AW475" s="38" t="inlineStr">
        <is>
          <t>E3–E4 · SFIA 7 Set strategy</t>
        </is>
      </c>
      <c r="AX47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75" s="39" t="inlineStr">
        <is>
          <t>D2</t>
        </is>
      </c>
      <c r="AZ475" s="40" t="inlineStr">
        <is>
          <t>Band D · Business leadership · Senior Vice President / Business Head</t>
        </is>
      </c>
      <c r="BA475" s="40" t="inlineStr">
        <is>
          <t>Model D2 from the six ratings, the market-derived weights and rules R1–R13 · then No change · already below the manager</t>
        </is>
      </c>
      <c r="BB475" s="41" t="inlineStr">
        <is>
          <t>D2</t>
        </is>
      </c>
      <c r="BC475" s="40" t="inlineStr">
        <is>
          <t>The six ratings on the market-average weights of Bands D–E · Leadership score 9.98 → D2 · Hay, Mercer IPE and public plans · experience 18.2 yrs vs the D2 market range 18–24 yrs</t>
        </is>
      </c>
      <c r="BD475" s="42">
        <f>IF(SUM(BM475,BN475,BO475,BP475,BQ475,BR475,BS475)=0,0,(BM475*BT475+BN475*BU475+BO475*BV475+BP475*BW475+BQ475*BX475+BR475*BY475+BS475*BZ475)/SUM(BM475,BN475,BO475,BP475,BQ475,BR475,BS475))</f>
        <v>0</v>
      </c>
      <c r="BE475" s="41" t="str">
        <f>IF(LEFT(AY475,1)="X",AY475,IF(OR(AY475="B+",AY475="C+"),INDEX(LAD_PC,MAX(1,MIN(14,MATCH(AY475,LAD_PC,0)+IF(BD475&gt;=0.5,1,IF(BD475&lt;=-0.5,-1,0))))),INDEX(LAD_STD,MAX(1,MIN(12,MATCH(AY475,LAD_STD,0)+IF(BD475&gt;=0.5,1,IF(BD475&lt;=-0.5,-1,0)))))))</f>
        <v>D2</v>
      </c>
      <c r="BF475" s="43" t="n"/>
      <c r="BG475" s="41" t="str">
        <f>IF(BF475&lt;&gt;"",BF475,BE475)</f>
        <v>D2</v>
      </c>
      <c r="BH475" s="40" t="str">
        <f>IFERROR(CHOOSE(INDEX(B_RANK,MATCH(BG475,B_LVL,0)),"Band A","Band B","B+ · Player-Coach","Band C","C+ · Player-Coach","Band D","Band E"),"Band X · Consultant")</f>
        <v>Band D</v>
      </c>
      <c r="BI475" s="40" t="str">
        <f>IF(BG475=AY475,"• Same",IF(INDEX(B_VAL,MATCH(BG475,B_LVL,0))&gt;INDEX(B_VAL,MATCH(AY475,B_LVL,0)),"▲ Up","▼ Down"))</f>
        <v>• Same</v>
      </c>
      <c r="BJ475" s="40" t="str">
        <f>IF(OR($M475="",$M475="—",$M475="Not in this file"),"",IFERROR(INDEX($BG$7:$BG$592,MATCH($M475,$D$7:$D$592,0)),""))</f>
        <v>E1</v>
      </c>
      <c r="BK475" s="40" t="str">
        <f>IFERROR(IF(BJ475="","—",IF(OR(LEFT(BG475,1)="X",LEFT(BJ475,1)="X"),"—",IF(AND(LEFT(BG475,1)="E",LEFT(BJ475,1)="E"),"Exception · Band E",IF(AND(INDEX(B_VAL,MATCH(BJ475,B_LVL,0))&gt;=7,INDEX(B_RANK,MATCH(BG475,B_LVL,0))&gt;=INDEX(B_RANK,MATCH(BJ475,B_LVL,0))),"⚠ Same band as a head manager",IF(INDEX(B_VAL,MATCH(BG475,B_LVL,0))&gt;=INDEX(B_VAL,MATCH(BJ475,B_LVL,0)),"⚠ At or above the manager's level","OK"))))),"—")</f>
        <v>OK</v>
      </c>
      <c r="BL475" s="43" t="n"/>
      <c r="BM475" s="44">
        <f>IFERROR(INDEX(LMH_PTS,MATCH(Y475,LMH_KEY,0)),0)</f>
        <v>9</v>
      </c>
      <c r="BN475" s="38">
        <f>IFERROR(INDEX(LMH_PTS,MATCH(Z475,LMH_KEY,0)),0)</f>
        <v>3</v>
      </c>
      <c r="BO475" s="38">
        <f>IFERROR(INDEX(LMH_PTS,MATCH(AA475,LMH_KEY,0)),0)</f>
        <v>3</v>
      </c>
      <c r="BP475" s="38">
        <f>IFERROR(INDEX(LMH_PTS,MATCH(AB475,LMH_KEY,0)),0)</f>
        <v>3</v>
      </c>
      <c r="BQ475" s="38">
        <f>IFERROR(INDEX(LMH_PTS,MATCH(AC475,LMH_KEY,0)),0)</f>
        <v>1</v>
      </c>
      <c r="BR475" s="38">
        <f>IFERROR(INDEX(LMH_PTS,MATCH(AD475,LMH_KEY,0)),0)</f>
        <v>1</v>
      </c>
      <c r="BS475" s="38">
        <f>IFERROR(INDEX(LMH_PTS,MATCH(AE475,LMH_KEY,0)),0)</f>
        <v>1</v>
      </c>
      <c r="BT475" s="38">
        <f>IFERROR(INDEX(LMH_STEP,MATCH(AF475,LMH_KEY,0)),0)</f>
        <v>0</v>
      </c>
      <c r="BU475" s="38">
        <f>IFERROR(INDEX(LMH_STEP,MATCH(AG475,LMH_KEY,0)),0)</f>
        <v>0</v>
      </c>
      <c r="BV475" s="38">
        <f>IFERROR(INDEX(LMH_STEP,MATCH(AH475,LMH_KEY,0)),0)</f>
        <v>0</v>
      </c>
      <c r="BW475" s="38">
        <f>IFERROR(INDEX(LMH_STEP,MATCH(AI475,LMH_KEY,0)),0)</f>
        <v>0</v>
      </c>
      <c r="BX475" s="38">
        <f>IFERROR(INDEX(LMH_STEP,MATCH(AJ475,LMH_KEY,0)),0)</f>
        <v>0</v>
      </c>
      <c r="BY475" s="38">
        <f>IFERROR(INDEX(LMH_STEP,MATCH(AK475,LMH_KEY,0)),0)</f>
        <v>0</v>
      </c>
      <c r="BZ475" s="38">
        <f>IFERROR(INDEX(LMH_STEP,MATCH(AL475,LMH_KEY,0)),0)</f>
        <v>0</v>
      </c>
      <c r="CA475" s="38" t="inlineStr">
        <is>
          <t>Corporate|HR|Vice President – Human Resources|D2|DE</t>
        </is>
      </c>
    </row>
    <row r="476" ht="110" customHeight="1">
      <c r="A476" s="28" t="inlineStr">
        <is>
          <t>Corporate</t>
        </is>
      </c>
      <c r="B476" s="29" t="inlineStr">
        <is>
          <t>HR</t>
        </is>
      </c>
      <c r="C476" s="29" t="n">
        <v>2</v>
      </c>
      <c r="D476" s="29" t="inlineStr">
        <is>
          <t>IRIS2556</t>
        </is>
      </c>
      <c r="E476" s="29" t="inlineStr">
        <is>
          <t>Mohammed Hanzala Shaikh</t>
        </is>
      </c>
      <c r="F476" s="29" t="inlineStr">
        <is>
          <t>Lead HR Transformation</t>
        </is>
      </c>
      <c r="G476" s="29" t="inlineStr">
        <is>
          <t>Lead HR Specialist – Transformation &amp; OD</t>
        </is>
      </c>
      <c r="H476" s="29" t="inlineStr">
        <is>
          <t>Human Resources</t>
        </is>
      </c>
      <c r="I476" s="29" t="inlineStr">
        <is>
          <t>HR Transformation &amp; OD</t>
        </is>
      </c>
      <c r="J476" s="29" t="inlineStr">
        <is>
          <t>IC</t>
        </is>
      </c>
      <c r="K476" s="29" t="inlineStr">
        <is>
          <t>RC-103</t>
        </is>
      </c>
      <c r="L476" s="29" t="inlineStr">
        <is>
          <t>Shweta Jha</t>
        </is>
      </c>
      <c r="M476" s="29" t="inlineStr">
        <is>
          <t>IRIS2533</t>
        </is>
      </c>
      <c r="N476" s="29" t="n">
        <v>6.7</v>
      </c>
      <c r="O476" s="29" t="n">
        <v>0.1</v>
      </c>
      <c r="P476" s="29" t="inlineStr">
        <is>
          <t>BMS</t>
        </is>
      </c>
      <c r="Q476" s="29" t="inlineStr">
        <is>
          <t>Not in current mapping files</t>
        </is>
      </c>
      <c r="R476" s="29" t="inlineStr">
        <is>
          <t>B3</t>
        </is>
      </c>
      <c r="S476" s="30" t="inlineStr">
        <is>
          <t>0 of 20</t>
        </is>
      </c>
      <c r="T476" s="31" t="inlineStr">
        <is>
          <t>Complexity: Before validation — Evidence: no survey answers or KRAs on file → rating stays at the start
Autonomy: Before validation — Evidence: no survey answers or KRAs on file → rating stays at the start
Accountability: Before validation — Evidence: no survey answers or KRAs on file → rating stays at the start
Leadership: Before validation — Evidence: no …</t>
        </is>
      </c>
      <c r="U476" s="32" t="inlineStr">
        <is>
          <t>KRAs not received · manager to supply</t>
        </is>
      </c>
      <c r="V476" s="31" t="inlineStr">
        <is>
          <t>Latest rating: Not rated · manager · 9-box: Not placed · manager · Readiness: No rating data</t>
        </is>
      </c>
      <c r="W476" s="31" t="inlineStr">
        <is>
          <t>C M · Au M · Ac M · L L · BI M · Exp L · 6.7 yrs vs 8–12 yrs · Edu L · BMS</t>
        </is>
      </c>
      <c r="X476" s="33" t="inlineStr">
        <is>
          <t>Open ▸</t>
        </is>
      </c>
      <c r="Y476" s="34" t="str">
        <f>IFERROR(INDEX(DL_C,MATCH($CA476,DL_KEY,0)),"M")</f>
        <v>H</v>
      </c>
      <c r="Z476" s="35" t="str">
        <f>IFERROR(INDEX(DL_Au,MATCH($CA476,DL_KEY,0)),"M")</f>
        <v>M</v>
      </c>
      <c r="AA476" s="35" t="str">
        <f>IFERROR(INDEX(DL_Ac,MATCH($CA476,DL_KEY,0)),"M")</f>
        <v>M</v>
      </c>
      <c r="AB476" s="35" t="str">
        <f>IFERROR(INDEX(DL_L,MATCH($CA476,DL_KEY,0)),"M")</f>
        <v>L</v>
      </c>
      <c r="AC476" s="35" t="str">
        <f>IFERROR(INDEX(DL_BI,MATCH($CA476,DL_KEY,0)),"M")</f>
        <v>L</v>
      </c>
      <c r="AD476" s="35" t="str">
        <f>IFERROR(INDEX(DL_Exp,MATCH($CA476,DL_KEY,0)),"M")</f>
        <v>L</v>
      </c>
      <c r="AE476" s="35" t="str">
        <f>IFERROR(INDEX(DL_Edu,MATCH($CA476,DL_KEY,0)),"M")</f>
        <v>L</v>
      </c>
      <c r="AF476" s="34" t="inlineStr">
        <is>
          <t>M</t>
        </is>
      </c>
      <c r="AG476" s="35" t="inlineStr">
        <is>
          <t>M</t>
        </is>
      </c>
      <c r="AH476" s="35" t="inlineStr">
        <is>
          <t>M</t>
        </is>
      </c>
      <c r="AI476" s="35" t="inlineStr">
        <is>
          <t>M</t>
        </is>
      </c>
      <c r="AJ476" s="35" t="inlineStr">
        <is>
          <t>M</t>
        </is>
      </c>
      <c r="AK476" s="35" t="inlineStr">
        <is>
          <t>M</t>
        </is>
      </c>
      <c r="AL476" s="35" t="inlineStr">
        <is>
          <t>M</t>
        </is>
      </c>
      <c r="AM476" s="36" t="n">
        <v>0.513</v>
      </c>
      <c r="AN476" s="37" t="n">
        <v>0.173</v>
      </c>
      <c r="AO476" s="37" t="n">
        <v>0.09699999999999999</v>
      </c>
      <c r="AP476" s="37" t="n">
        <v>0.05</v>
      </c>
      <c r="AQ476" s="37" t="n">
        <v>0.07000000000000001</v>
      </c>
      <c r="AR476" s="37" t="n">
        <v>0.06</v>
      </c>
      <c r="AS476" s="37" t="n">
        <v>0.04</v>
      </c>
      <c r="AT476" s="38" t="inlineStr">
        <is>
          <t>8–13</t>
        </is>
      </c>
      <c r="AU476" s="38" t="inlineStr">
        <is>
          <t>Postgraduate or professional qualification preferred</t>
        </is>
      </c>
      <c r="AV476" s="38" t="inlineStr">
        <is>
          <t>IC: none · People: 5–8 incl. team leads</t>
        </is>
      </c>
      <c r="AW476" s="38" t="inlineStr">
        <is>
          <t>P5 / M4 · SFIA 5 Ensure, advise</t>
        </is>
      </c>
      <c r="AX47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76" s="39" t="inlineStr">
        <is>
          <t>B3</t>
        </is>
      </c>
      <c r="AZ476" s="40" t="inlineStr">
        <is>
          <t>Band B · Specialist / Manager · Lead Specialist</t>
        </is>
      </c>
      <c r="BA476" s="40" t="inlineStr">
        <is>
          <t>Model B3 from the six ratings, the market-derived weights and rules R1–R13 · then No change · already below the manager</t>
        </is>
      </c>
      <c r="BB476" s="41" t="inlineStr">
        <is>
          <t>B3</t>
        </is>
      </c>
      <c r="BC476" s="40" t="inlineStr">
        <is>
          <t>The six ratings on the market-average weights of Band B · Specialist / POD Lead score 5.80 → B3 · Hay, Mercer IPE and public plans · experience 6.7 yrs vs the B3 market range 8–13</t>
        </is>
      </c>
      <c r="BD476" s="42">
        <f>IF(SUM(BM476,BN476,BO476,BP476,BQ476,BR476,BS476)=0,0,(BM476*BT476+BN476*BU476+BO476*BV476+BP476*BW476+BQ476*BX476+BR476*BY476+BS476*BZ476)/SUM(BM476,BN476,BO476,BP476,BQ476,BR476,BS476))</f>
        <v>0</v>
      </c>
      <c r="BE476" s="41" t="str">
        <f>IF(LEFT(AY476,1)="X",AY476,IF(OR(AY476="B+",AY476="C+"),INDEX(LAD_PC,MAX(1,MIN(14,MATCH(AY476,LAD_PC,0)+IF(BD476&gt;=0.5,1,IF(BD476&lt;=-0.5,-1,0))))),INDEX(LAD_STD,MAX(1,MIN(12,MATCH(AY476,LAD_STD,0)+IF(BD476&gt;=0.5,1,IF(BD476&lt;=-0.5,-1,0)))))))</f>
        <v>B3</v>
      </c>
      <c r="BF476" s="43" t="n"/>
      <c r="BG476" s="41" t="str">
        <f>IF(BF476&lt;&gt;"",BF476,BE476)</f>
        <v>B3</v>
      </c>
      <c r="BH476" s="40" t="str">
        <f>IFERROR(CHOOSE(INDEX(B_RANK,MATCH(BG476,B_LVL,0)),"Band A","Band B","B+ · Player-Coach","Band C","C+ · Player-Coach","Band D","Band E"),"Band X · Consultant")</f>
        <v>Band B</v>
      </c>
      <c r="BI476" s="40" t="str">
        <f>IF(BG476=AY476,"• Same",IF(INDEX(B_VAL,MATCH(BG476,B_LVL,0))&gt;INDEX(B_VAL,MATCH(AY476,B_LVL,0)),"▲ Up","▼ Down"))</f>
        <v>• Same</v>
      </c>
      <c r="BJ476" s="40" t="str">
        <f>IF(OR($M476="",$M476="—",$M476="Not in this file"),"",IFERROR(INDEX($BG$7:$BG$592,MATCH($M476,$D$7:$D$592,0)),""))</f>
        <v>D2</v>
      </c>
      <c r="BK476" s="40" t="str">
        <f>IFERROR(IF(BJ476="","—",IF(OR(LEFT(BG476,1)="X",LEFT(BJ476,1)="X"),"—",IF(AND(LEFT(BG476,1)="E",LEFT(BJ476,1)="E"),"Exception · Band E",IF(AND(INDEX(B_VAL,MATCH(BJ476,B_LVL,0))&gt;=7,INDEX(B_RANK,MATCH(BG476,B_LVL,0))&gt;=INDEX(B_RANK,MATCH(BJ476,B_LVL,0))),"⚠ Same band as a head manager",IF(INDEX(B_VAL,MATCH(BG476,B_LVL,0))&gt;=INDEX(B_VAL,MATCH(BJ476,B_LVL,0)),"⚠ At or above the manager's level","OK"))))),"—")</f>
        <v>OK</v>
      </c>
      <c r="BL476" s="43" t="n"/>
      <c r="BM476" s="44">
        <f>IFERROR(INDEX(LMH_PTS,MATCH(Y476,LMH_KEY,0)),0)</f>
        <v>9</v>
      </c>
      <c r="BN476" s="38">
        <f>IFERROR(INDEX(LMH_PTS,MATCH(Z476,LMH_KEY,0)),0)</f>
        <v>3</v>
      </c>
      <c r="BO476" s="38">
        <f>IFERROR(INDEX(LMH_PTS,MATCH(AA476,LMH_KEY,0)),0)</f>
        <v>3</v>
      </c>
      <c r="BP476" s="38">
        <f>IFERROR(INDEX(LMH_PTS,MATCH(AB476,LMH_KEY,0)),0)</f>
        <v>1</v>
      </c>
      <c r="BQ476" s="38">
        <f>IFERROR(INDEX(LMH_PTS,MATCH(AC476,LMH_KEY,0)),0)</f>
        <v>1</v>
      </c>
      <c r="BR476" s="38">
        <f>IFERROR(INDEX(LMH_PTS,MATCH(AD476,LMH_KEY,0)),0)</f>
        <v>1</v>
      </c>
      <c r="BS476" s="38">
        <f>IFERROR(INDEX(LMH_PTS,MATCH(AE476,LMH_KEY,0)),0)</f>
        <v>1</v>
      </c>
      <c r="BT476" s="38">
        <f>IFERROR(INDEX(LMH_STEP,MATCH(AF476,LMH_KEY,0)),0)</f>
        <v>0</v>
      </c>
      <c r="BU476" s="38">
        <f>IFERROR(INDEX(LMH_STEP,MATCH(AG476,LMH_KEY,0)),0)</f>
        <v>0</v>
      </c>
      <c r="BV476" s="38">
        <f>IFERROR(INDEX(LMH_STEP,MATCH(AH476,LMH_KEY,0)),0)</f>
        <v>0</v>
      </c>
      <c r="BW476" s="38">
        <f>IFERROR(INDEX(LMH_STEP,MATCH(AI476,LMH_KEY,0)),0)</f>
        <v>0</v>
      </c>
      <c r="BX476" s="38">
        <f>IFERROR(INDEX(LMH_STEP,MATCH(AJ476,LMH_KEY,0)),0)</f>
        <v>0</v>
      </c>
      <c r="BY476" s="38">
        <f>IFERROR(INDEX(LMH_STEP,MATCH(AK476,LMH_KEY,0)),0)</f>
        <v>0</v>
      </c>
      <c r="BZ476" s="38">
        <f>IFERROR(INDEX(LMH_STEP,MATCH(AL476,LMH_KEY,0)),0)</f>
        <v>0</v>
      </c>
      <c r="CA476" s="38" t="inlineStr">
        <is>
          <t>Corporate|HR|Lead HR Specialist – Transformation &amp; OD|B3|B-IC</t>
        </is>
      </c>
    </row>
    <row r="477" ht="110" customHeight="1">
      <c r="A477" s="28" t="inlineStr">
        <is>
          <t>Corporate</t>
        </is>
      </c>
      <c r="B477" s="29" t="inlineStr">
        <is>
          <t>HR</t>
        </is>
      </c>
      <c r="C477" s="29" t="n">
        <v>2</v>
      </c>
      <c r="D477" s="29" t="inlineStr">
        <is>
          <t>IRIS2557</t>
        </is>
      </c>
      <c r="E477" s="29" t="inlineStr">
        <is>
          <t>Simran Kaur Raina</t>
        </is>
      </c>
      <c r="F477" s="29" t="inlineStr">
        <is>
          <t>Manager- Talent Acquisition</t>
        </is>
      </c>
      <c r="G477" s="29" t="inlineStr">
        <is>
          <t>Senior Talent Acquisition Specialist</t>
        </is>
      </c>
      <c r="H477" s="29" t="inlineStr">
        <is>
          <t>Human Resources</t>
        </is>
      </c>
      <c r="I477" s="29" t="inlineStr">
        <is>
          <t>Talent Acquisition</t>
        </is>
      </c>
      <c r="J477" s="29" t="inlineStr">
        <is>
          <t>IC</t>
        </is>
      </c>
      <c r="K477" s="29" t="inlineStr">
        <is>
          <t>RC-105</t>
        </is>
      </c>
      <c r="L477" s="29" t="inlineStr">
        <is>
          <t>Shweta Jha</t>
        </is>
      </c>
      <c r="M477" s="29" t="inlineStr">
        <is>
          <t>IRIS2533</t>
        </is>
      </c>
      <c r="N477" s="29" t="inlineStr">
        <is>
          <t>Not provided · HRIS</t>
        </is>
      </c>
      <c r="O477" s="29" t="n">
        <v>0.1</v>
      </c>
      <c r="P477" s="29" t="inlineStr">
        <is>
          <t>PGDM</t>
        </is>
      </c>
      <c r="Q477" s="29" t="inlineStr">
        <is>
          <t>Not in current mapping files</t>
        </is>
      </c>
      <c r="R477" s="29" t="inlineStr">
        <is>
          <t>B2</t>
        </is>
      </c>
      <c r="S477" s="30" t="inlineStr">
        <is>
          <t>14 of 20</t>
        </is>
      </c>
      <c r="T477" s="31" t="inlineStr">
        <is>
          <t>Complexity: Evidence reads like A2: Cold-calling and sourcing via job portals; offer rollout → moved down 0.5
Autonomy: Evidence reads like A2: Decides source of hiring only → moved down 0.5
Accountability: Evidence reads like A2: Keeping the ATS accurate and up to date → moved down 0.5
Leadership: Evidence reads like A1: No team or guidance of others …</t>
        </is>
      </c>
      <c r="U477" s="32" t="inlineStr">
        <is>
          <t>KRAs not received · manager to supply</t>
        </is>
      </c>
      <c r="V477" s="31" t="inlineStr">
        <is>
          <t>Latest rating: Not rated · manager · 9-box: Not placed · manager · Readiness: No rating data</t>
        </is>
      </c>
      <c r="W477" s="31" t="inlineStr">
        <is>
          <t>C M · Au M · Ac M · L L · BI M · Exp — · not on file · Edu H · PGDM</t>
        </is>
      </c>
      <c r="X477" s="33" t="inlineStr">
        <is>
          <t>Open ▸</t>
        </is>
      </c>
      <c r="Y477" s="34" t="str">
        <f>IFERROR(INDEX(DL_C,MATCH($CA477,DL_KEY,0)),"M")</f>
        <v>H</v>
      </c>
      <c r="Z477" s="35" t="str">
        <f>IFERROR(INDEX(DL_Au,MATCH($CA477,DL_KEY,0)),"M")</f>
        <v>M</v>
      </c>
      <c r="AA477" s="35" t="str">
        <f>IFERROR(INDEX(DL_Ac,MATCH($CA477,DL_KEY,0)),"M")</f>
        <v>M</v>
      </c>
      <c r="AB477" s="35" t="str">
        <f>IFERROR(INDEX(DL_L,MATCH($CA477,DL_KEY,0)),"M")</f>
        <v>L</v>
      </c>
      <c r="AC477" s="35" t="str">
        <f>IFERROR(INDEX(DL_BI,MATCH($CA477,DL_KEY,0)),"M")</f>
        <v>L</v>
      </c>
      <c r="AD477" s="35" t="str">
        <f>IFERROR(INDEX(DL_Exp,MATCH($CA477,DL_KEY,0)),"M")</f>
        <v>L</v>
      </c>
      <c r="AE477" s="35" t="str">
        <f>IFERROR(INDEX(DL_Edu,MATCH($CA477,DL_KEY,0)),"M")</f>
        <v>L</v>
      </c>
      <c r="AF477" s="34" t="inlineStr">
        <is>
          <t>M</t>
        </is>
      </c>
      <c r="AG477" s="35" t="inlineStr">
        <is>
          <t>M</t>
        </is>
      </c>
      <c r="AH477" s="35" t="inlineStr">
        <is>
          <t>M</t>
        </is>
      </c>
      <c r="AI477" s="35" t="inlineStr">
        <is>
          <t>M</t>
        </is>
      </c>
      <c r="AJ477" s="35" t="inlineStr">
        <is>
          <t>M</t>
        </is>
      </c>
      <c r="AK477" s="35" t="inlineStr">
        <is>
          <t>M</t>
        </is>
      </c>
      <c r="AL477" s="35" t="inlineStr">
        <is>
          <t>M</t>
        </is>
      </c>
      <c r="AM477" s="36" t="n">
        <v>0.513</v>
      </c>
      <c r="AN477" s="37" t="n">
        <v>0.173</v>
      </c>
      <c r="AO477" s="37" t="n">
        <v>0.09699999999999999</v>
      </c>
      <c r="AP477" s="37" t="n">
        <v>0.05</v>
      </c>
      <c r="AQ477" s="37" t="n">
        <v>0.07000000000000001</v>
      </c>
      <c r="AR477" s="37" t="n">
        <v>0.06</v>
      </c>
      <c r="AS477" s="37" t="n">
        <v>0.04</v>
      </c>
      <c r="AT477" s="38" t="inlineStr">
        <is>
          <t>6–10</t>
        </is>
      </c>
      <c r="AU477" s="38" t="inlineStr">
        <is>
          <t>Graduate or postgraduate; professional qualification preferred</t>
        </is>
      </c>
      <c r="AV477" s="38" t="inlineStr">
        <is>
          <t>IC: none · People: 6–8 knowledge work, 8–12 standardised delivery</t>
        </is>
      </c>
      <c r="AW477" s="38" t="inlineStr">
        <is>
          <t>P4 / M3 · SFIA 4–5</t>
        </is>
      </c>
      <c r="AX47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77" s="39" t="inlineStr">
        <is>
          <t>B2</t>
        </is>
      </c>
      <c r="AZ477" s="40" t="inlineStr">
        <is>
          <t>Band B · Specialist / Manager · Senior Specialist</t>
        </is>
      </c>
      <c r="BA477" s="40" t="inlineStr">
        <is>
          <t>Model B2 from the six ratings, the market-derived weights and rules R1–R13 · then No change · already below the manager</t>
        </is>
      </c>
      <c r="BB477" s="41" t="inlineStr">
        <is>
          <t>B2</t>
        </is>
      </c>
      <c r="BC477" s="40" t="inlineStr">
        <is>
          <t>The six ratings on the market-average weights of Band B · Specialist / POD Lead score 4.50 → B2 · Hay, Mercer IPE and public plans · experience Not provided · HRIS yrs vs the B2 market range 6–10</t>
        </is>
      </c>
      <c r="BD477" s="42">
        <f>IF(SUM(BM477,BN477,BO477,BP477,BQ477,BR477,BS477)=0,0,(BM477*BT477+BN477*BU477+BO477*BV477+BP477*BW477+BQ477*BX477+BR477*BY477+BS477*BZ477)/SUM(BM477,BN477,BO477,BP477,BQ477,BR477,BS477))</f>
        <v>0</v>
      </c>
      <c r="BE477" s="41" t="str">
        <f>IF(LEFT(AY477,1)="X",AY477,IF(OR(AY477="B+",AY477="C+"),INDEX(LAD_PC,MAX(1,MIN(14,MATCH(AY477,LAD_PC,0)+IF(BD477&gt;=0.5,1,IF(BD477&lt;=-0.5,-1,0))))),INDEX(LAD_STD,MAX(1,MIN(12,MATCH(AY477,LAD_STD,0)+IF(BD477&gt;=0.5,1,IF(BD477&lt;=-0.5,-1,0)))))))</f>
        <v>B2</v>
      </c>
      <c r="BF477" s="43" t="n"/>
      <c r="BG477" s="41" t="str">
        <f>IF(BF477&lt;&gt;"",BF477,BE477)</f>
        <v>B2</v>
      </c>
      <c r="BH477" s="40" t="str">
        <f>IFERROR(CHOOSE(INDEX(B_RANK,MATCH(BG477,B_LVL,0)),"Band A","Band B","B+ · Player-Coach","Band C","C+ · Player-Coach","Band D","Band E"),"Band X · Consultant")</f>
        <v>Band B</v>
      </c>
      <c r="BI477" s="40" t="str">
        <f>IF(BG477=AY477,"• Same",IF(INDEX(B_VAL,MATCH(BG477,B_LVL,0))&gt;INDEX(B_VAL,MATCH(AY477,B_LVL,0)),"▲ Up","▼ Down"))</f>
        <v>• Same</v>
      </c>
      <c r="BJ477" s="40" t="str">
        <f>IF(OR($M477="",$M477="—",$M477="Not in this file"),"",IFERROR(INDEX($BG$7:$BG$592,MATCH($M477,$D$7:$D$592,0)),""))</f>
        <v>D2</v>
      </c>
      <c r="BK477" s="40" t="str">
        <f>IFERROR(IF(BJ477="","—",IF(OR(LEFT(BG477,1)="X",LEFT(BJ477,1)="X"),"—",IF(AND(LEFT(BG477,1)="E",LEFT(BJ477,1)="E"),"Exception · Band E",IF(AND(INDEX(B_VAL,MATCH(BJ477,B_LVL,0))&gt;=7,INDEX(B_RANK,MATCH(BG477,B_LVL,0))&gt;=INDEX(B_RANK,MATCH(BJ477,B_LVL,0))),"⚠ Same band as a head manager",IF(INDEX(B_VAL,MATCH(BG477,B_LVL,0))&gt;=INDEX(B_VAL,MATCH(BJ477,B_LVL,0)),"⚠ At or above the manager's level","OK"))))),"—")</f>
        <v>OK</v>
      </c>
      <c r="BL477" s="43" t="n"/>
      <c r="BM477" s="44">
        <f>IFERROR(INDEX(LMH_PTS,MATCH(Y477,LMH_KEY,0)),0)</f>
        <v>9</v>
      </c>
      <c r="BN477" s="38">
        <f>IFERROR(INDEX(LMH_PTS,MATCH(Z477,LMH_KEY,0)),0)</f>
        <v>3</v>
      </c>
      <c r="BO477" s="38">
        <f>IFERROR(INDEX(LMH_PTS,MATCH(AA477,LMH_KEY,0)),0)</f>
        <v>3</v>
      </c>
      <c r="BP477" s="38">
        <f>IFERROR(INDEX(LMH_PTS,MATCH(AB477,LMH_KEY,0)),0)</f>
        <v>1</v>
      </c>
      <c r="BQ477" s="38">
        <f>IFERROR(INDEX(LMH_PTS,MATCH(AC477,LMH_KEY,0)),0)</f>
        <v>1</v>
      </c>
      <c r="BR477" s="38">
        <f>IFERROR(INDEX(LMH_PTS,MATCH(AD477,LMH_KEY,0)),0)</f>
        <v>1</v>
      </c>
      <c r="BS477" s="38">
        <f>IFERROR(INDEX(LMH_PTS,MATCH(AE477,LMH_KEY,0)),0)</f>
        <v>1</v>
      </c>
      <c r="BT477" s="38">
        <f>IFERROR(INDEX(LMH_STEP,MATCH(AF477,LMH_KEY,0)),0)</f>
        <v>0</v>
      </c>
      <c r="BU477" s="38">
        <f>IFERROR(INDEX(LMH_STEP,MATCH(AG477,LMH_KEY,0)),0)</f>
        <v>0</v>
      </c>
      <c r="BV477" s="38">
        <f>IFERROR(INDEX(LMH_STEP,MATCH(AH477,LMH_KEY,0)),0)</f>
        <v>0</v>
      </c>
      <c r="BW477" s="38">
        <f>IFERROR(INDEX(LMH_STEP,MATCH(AI477,LMH_KEY,0)),0)</f>
        <v>0</v>
      </c>
      <c r="BX477" s="38">
        <f>IFERROR(INDEX(LMH_STEP,MATCH(AJ477,LMH_KEY,0)),0)</f>
        <v>0</v>
      </c>
      <c r="BY477" s="38">
        <f>IFERROR(INDEX(LMH_STEP,MATCH(AK477,LMH_KEY,0)),0)</f>
        <v>0</v>
      </c>
      <c r="BZ477" s="38">
        <f>IFERROR(INDEX(LMH_STEP,MATCH(AL477,LMH_KEY,0)),0)</f>
        <v>0</v>
      </c>
      <c r="CA477" s="38" t="inlineStr">
        <is>
          <t>Corporate|HR|Senior Talent Acquisition Specialist|B2|B-IC</t>
        </is>
      </c>
    </row>
    <row r="478" ht="110" customHeight="1">
      <c r="A478" s="28" t="inlineStr">
        <is>
          <t>Corporate</t>
        </is>
      </c>
      <c r="B478" s="29" t="inlineStr">
        <is>
          <t>HR</t>
        </is>
      </c>
      <c r="C478" s="29" t="n">
        <v>2</v>
      </c>
      <c r="D478" s="29" t="inlineStr">
        <is>
          <t>IRIS0204</t>
        </is>
      </c>
      <c r="E478" s="29" t="inlineStr">
        <is>
          <t>Chandrakumar Moopanar</t>
        </is>
      </c>
      <c r="F478" s="29" t="inlineStr">
        <is>
          <t>HRIS &amp; Payroll Specialist</t>
        </is>
      </c>
      <c r="G478" s="29" t="inlineStr">
        <is>
          <t>HR Specialist</t>
        </is>
      </c>
      <c r="H478" s="29" t="inlineStr">
        <is>
          <t>Human Resources</t>
        </is>
      </c>
      <c r="I478" s="29" t="inlineStr">
        <is>
          <t>HR Operations &amp; Payroll</t>
        </is>
      </c>
      <c r="J478" s="29" t="inlineStr">
        <is>
          <t>IC</t>
        </is>
      </c>
      <c r="K478" s="29" t="inlineStr">
        <is>
          <t>RC-102</t>
        </is>
      </c>
      <c r="L478" s="29" t="inlineStr">
        <is>
          <t>Shweta Jha</t>
        </is>
      </c>
      <c r="M478" s="29" t="inlineStr">
        <is>
          <t>IRIS2533</t>
        </is>
      </c>
      <c r="N478" s="29" t="n">
        <v>19.3</v>
      </c>
      <c r="O478" s="29" t="n">
        <v>18.3</v>
      </c>
      <c r="P478" s="29" t="inlineStr">
        <is>
          <t>B.Com</t>
        </is>
      </c>
      <c r="Q478" s="29" t="inlineStr">
        <is>
          <t>Not in current mapping files</t>
        </is>
      </c>
      <c r="R478" s="29" t="inlineStr">
        <is>
          <t>B1</t>
        </is>
      </c>
      <c r="S478" s="30" t="inlineStr">
        <is>
          <t>16 of 20</t>
        </is>
      </c>
      <c r="T478" s="31" t="inlineStr">
        <is>
          <t>Complexity: Evidence reads like A3: Monthly payroll plus TDS, PF, ESIC, PT, LWF compliance and quarterly filings → moved down 0.5
Autonomy: Evidence reads like A2: Only 'multiple reports' named as independent decisions → moved down 1
Accountability: Evidence reads like A3: Monthly salary and statutory compliance; payroll misses are compliance-critical → …</t>
        </is>
      </c>
      <c r="U478" s="32" t="inlineStr">
        <is>
          <t>KRAs not received · manager to supply</t>
        </is>
      </c>
      <c r="V478" s="31" t="inlineStr">
        <is>
          <t>Latest rating: Not rated · manager · 9-box: Not placed · manager · Readiness: No rating data</t>
        </is>
      </c>
      <c r="W478" s="31" t="inlineStr">
        <is>
          <t>C M · Au L · Ac M · L L · BI M · Exp H · 19.3 yrs vs 4–7 yrs · Edu M · B.Com</t>
        </is>
      </c>
      <c r="X478" s="33" t="inlineStr">
        <is>
          <t>Open ▸</t>
        </is>
      </c>
      <c r="Y478" s="34" t="str">
        <f>IFERROR(INDEX(DL_C,MATCH($CA478,DL_KEY,0)),"M")</f>
        <v>H</v>
      </c>
      <c r="Z478" s="35" t="str">
        <f>IFERROR(INDEX(DL_Au,MATCH($CA478,DL_KEY,0)),"M")</f>
        <v>M</v>
      </c>
      <c r="AA478" s="35" t="str">
        <f>IFERROR(INDEX(DL_Ac,MATCH($CA478,DL_KEY,0)),"M")</f>
        <v>M</v>
      </c>
      <c r="AB478" s="35" t="str">
        <f>IFERROR(INDEX(DL_L,MATCH($CA478,DL_KEY,0)),"M")</f>
        <v>L</v>
      </c>
      <c r="AC478" s="35" t="str">
        <f>IFERROR(INDEX(DL_BI,MATCH($CA478,DL_KEY,0)),"M")</f>
        <v>L</v>
      </c>
      <c r="AD478" s="35" t="str">
        <f>IFERROR(INDEX(DL_Exp,MATCH($CA478,DL_KEY,0)),"M")</f>
        <v>L</v>
      </c>
      <c r="AE478" s="35" t="str">
        <f>IFERROR(INDEX(DL_Edu,MATCH($CA478,DL_KEY,0)),"M")</f>
        <v>L</v>
      </c>
      <c r="AF478" s="34" t="inlineStr">
        <is>
          <t>M</t>
        </is>
      </c>
      <c r="AG478" s="35" t="inlineStr">
        <is>
          <t>M</t>
        </is>
      </c>
      <c r="AH478" s="35" t="inlineStr">
        <is>
          <t>M</t>
        </is>
      </c>
      <c r="AI478" s="35" t="inlineStr">
        <is>
          <t>M</t>
        </is>
      </c>
      <c r="AJ478" s="35" t="inlineStr">
        <is>
          <t>M</t>
        </is>
      </c>
      <c r="AK478" s="35" t="inlineStr">
        <is>
          <t>M</t>
        </is>
      </c>
      <c r="AL478" s="35" t="inlineStr">
        <is>
          <t>M</t>
        </is>
      </c>
      <c r="AM478" s="36" t="n">
        <v>0.513</v>
      </c>
      <c r="AN478" s="37" t="n">
        <v>0.173</v>
      </c>
      <c r="AO478" s="37" t="n">
        <v>0.09699999999999999</v>
      </c>
      <c r="AP478" s="37" t="n">
        <v>0.05</v>
      </c>
      <c r="AQ478" s="37" t="n">
        <v>0.07000000000000001</v>
      </c>
      <c r="AR478" s="37" t="n">
        <v>0.06</v>
      </c>
      <c r="AS478" s="37" t="n">
        <v>0.04</v>
      </c>
      <c r="AT478" s="38" t="inlineStr">
        <is>
          <t>4–8</t>
        </is>
      </c>
      <c r="AU478" s="38" t="inlineStr">
        <is>
          <t>Graduate + relevant qualification or certification preferred</t>
        </is>
      </c>
      <c r="AV478" s="38" t="inlineStr">
        <is>
          <t>IC: none · Team Lead: 3–5</t>
        </is>
      </c>
      <c r="AW478" s="38" t="inlineStr">
        <is>
          <t>P3 / M2 · SFIA 4 Enable</t>
        </is>
      </c>
      <c r="AX47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78" s="39" t="inlineStr">
        <is>
          <t>B1</t>
        </is>
      </c>
      <c r="AZ478" s="40" t="inlineStr">
        <is>
          <t>Band B · Specialist / Manager · Specialist</t>
        </is>
      </c>
      <c r="BA478" s="40" t="inlineStr">
        <is>
          <t>Model B1 from the six ratings, the market-derived weights and rules R1–R13 · then No change · already below the manager</t>
        </is>
      </c>
      <c r="BB478" s="41" t="inlineStr">
        <is>
          <t>B1</t>
        </is>
      </c>
      <c r="BC478" s="40" t="inlineStr">
        <is>
          <t>The six ratings on the market-average weights of Band B · Specialist / POD Lead score 3.94 → B1 · Hay, Mercer IPE and public plans · experience 19.3 yrs vs the B1 market range 4–8</t>
        </is>
      </c>
      <c r="BD478" s="42">
        <f>IF(SUM(BM478,BN478,BO478,BP478,BQ478,BR478,BS478)=0,0,(BM478*BT478+BN478*BU478+BO478*BV478+BP478*BW478+BQ478*BX478+BR478*BY478+BS478*BZ478)/SUM(BM478,BN478,BO478,BP478,BQ478,BR478,BS478))</f>
        <v>0</v>
      </c>
      <c r="BE478" s="41" t="str">
        <f>IF(LEFT(AY478,1)="X",AY478,IF(OR(AY478="B+",AY478="C+"),INDEX(LAD_PC,MAX(1,MIN(14,MATCH(AY478,LAD_PC,0)+IF(BD478&gt;=0.5,1,IF(BD478&lt;=-0.5,-1,0))))),INDEX(LAD_STD,MAX(1,MIN(12,MATCH(AY478,LAD_STD,0)+IF(BD478&gt;=0.5,1,IF(BD478&lt;=-0.5,-1,0)))))))</f>
        <v>B1</v>
      </c>
      <c r="BF478" s="43" t="n"/>
      <c r="BG478" s="41" t="str">
        <f>IF(BF478&lt;&gt;"",BF478,BE478)</f>
        <v>B1</v>
      </c>
      <c r="BH478" s="40" t="str">
        <f>IFERROR(CHOOSE(INDEX(B_RANK,MATCH(BG478,B_LVL,0)),"Band A","Band B","B+ · Player-Coach","Band C","C+ · Player-Coach","Band D","Band E"),"Band X · Consultant")</f>
        <v>Band B</v>
      </c>
      <c r="BI478" s="40" t="str">
        <f>IF(BG478=AY478,"• Same",IF(INDEX(B_VAL,MATCH(BG478,B_LVL,0))&gt;INDEX(B_VAL,MATCH(AY478,B_LVL,0)),"▲ Up","▼ Down"))</f>
        <v>• Same</v>
      </c>
      <c r="BJ478" s="40" t="str">
        <f>IF(OR($M478="",$M478="—",$M478="Not in this file"),"",IFERROR(INDEX($BG$7:$BG$592,MATCH($M478,$D$7:$D$592,0)),""))</f>
        <v>D2</v>
      </c>
      <c r="BK478" s="40" t="str">
        <f>IFERROR(IF(BJ478="","—",IF(OR(LEFT(BG478,1)="X",LEFT(BJ478,1)="X"),"—",IF(AND(LEFT(BG478,1)="E",LEFT(BJ478,1)="E"),"Exception · Band E",IF(AND(INDEX(B_VAL,MATCH(BJ478,B_LVL,0))&gt;=7,INDEX(B_RANK,MATCH(BG478,B_LVL,0))&gt;=INDEX(B_RANK,MATCH(BJ478,B_LVL,0))),"⚠ Same band as a head manager",IF(INDEX(B_VAL,MATCH(BG478,B_LVL,0))&gt;=INDEX(B_VAL,MATCH(BJ478,B_LVL,0)),"⚠ At or above the manager's level","OK"))))),"—")</f>
        <v>OK</v>
      </c>
      <c r="BL478" s="43" t="n"/>
      <c r="BM478" s="44">
        <f>IFERROR(INDEX(LMH_PTS,MATCH(Y478,LMH_KEY,0)),0)</f>
        <v>9</v>
      </c>
      <c r="BN478" s="38">
        <f>IFERROR(INDEX(LMH_PTS,MATCH(Z478,LMH_KEY,0)),0)</f>
        <v>3</v>
      </c>
      <c r="BO478" s="38">
        <f>IFERROR(INDEX(LMH_PTS,MATCH(AA478,LMH_KEY,0)),0)</f>
        <v>3</v>
      </c>
      <c r="BP478" s="38">
        <f>IFERROR(INDEX(LMH_PTS,MATCH(AB478,LMH_KEY,0)),0)</f>
        <v>1</v>
      </c>
      <c r="BQ478" s="38">
        <f>IFERROR(INDEX(LMH_PTS,MATCH(AC478,LMH_KEY,0)),0)</f>
        <v>1</v>
      </c>
      <c r="BR478" s="38">
        <f>IFERROR(INDEX(LMH_PTS,MATCH(AD478,LMH_KEY,0)),0)</f>
        <v>1</v>
      </c>
      <c r="BS478" s="38">
        <f>IFERROR(INDEX(LMH_PTS,MATCH(AE478,LMH_KEY,0)),0)</f>
        <v>1</v>
      </c>
      <c r="BT478" s="38">
        <f>IFERROR(INDEX(LMH_STEP,MATCH(AF478,LMH_KEY,0)),0)</f>
        <v>0</v>
      </c>
      <c r="BU478" s="38">
        <f>IFERROR(INDEX(LMH_STEP,MATCH(AG478,LMH_KEY,0)),0)</f>
        <v>0</v>
      </c>
      <c r="BV478" s="38">
        <f>IFERROR(INDEX(LMH_STEP,MATCH(AH478,LMH_KEY,0)),0)</f>
        <v>0</v>
      </c>
      <c r="BW478" s="38">
        <f>IFERROR(INDEX(LMH_STEP,MATCH(AI478,LMH_KEY,0)),0)</f>
        <v>0</v>
      </c>
      <c r="BX478" s="38">
        <f>IFERROR(INDEX(LMH_STEP,MATCH(AJ478,LMH_KEY,0)),0)</f>
        <v>0</v>
      </c>
      <c r="BY478" s="38">
        <f>IFERROR(INDEX(LMH_STEP,MATCH(AK478,LMH_KEY,0)),0)</f>
        <v>0</v>
      </c>
      <c r="BZ478" s="38">
        <f>IFERROR(INDEX(LMH_STEP,MATCH(AL478,LMH_KEY,0)),0)</f>
        <v>0</v>
      </c>
      <c r="CA478" s="38" t="inlineStr">
        <is>
          <t>Corporate|HR|HR Specialist|B1|B-IC</t>
        </is>
      </c>
    </row>
    <row r="479" ht="110" customHeight="1">
      <c r="A479" s="28" t="inlineStr">
        <is>
          <t>Corporate</t>
        </is>
      </c>
      <c r="B479" s="29" t="inlineStr">
        <is>
          <t>HR</t>
        </is>
      </c>
      <c r="C479" s="29" t="n">
        <v>2</v>
      </c>
      <c r="D479" s="29" t="inlineStr">
        <is>
          <t>IRIS2152</t>
        </is>
      </c>
      <c r="E479" s="29" t="inlineStr">
        <is>
          <t>Nikitha Nair</t>
        </is>
      </c>
      <c r="F479" s="29" t="inlineStr">
        <is>
          <t>Employee Experience Specialist</t>
        </is>
      </c>
      <c r="G479" s="29" t="inlineStr">
        <is>
          <t>HR Specialist – POD Lead</t>
        </is>
      </c>
      <c r="H479" s="29" t="inlineStr">
        <is>
          <t>Human Resources</t>
        </is>
      </c>
      <c r="I479" s="29" t="inlineStr">
        <is>
          <t>HR Operations &amp; Payroll</t>
        </is>
      </c>
      <c r="J479" s="29" t="inlineStr">
        <is>
          <t>POD Lead</t>
        </is>
      </c>
      <c r="K479" s="29" t="inlineStr">
        <is>
          <t>RC-102</t>
        </is>
      </c>
      <c r="L479" s="29" t="inlineStr">
        <is>
          <t>Shweta Jha</t>
        </is>
      </c>
      <c r="M479" s="29" t="inlineStr">
        <is>
          <t>IRIS2533</t>
        </is>
      </c>
      <c r="N479" s="29" t="n">
        <v>4.2</v>
      </c>
      <c r="O479" s="29" t="n">
        <v>3.2</v>
      </c>
      <c r="P479" s="29" t="inlineStr">
        <is>
          <t>MBA</t>
        </is>
      </c>
      <c r="Q479" s="29" t="inlineStr">
        <is>
          <t>Not in current mapping files</t>
        </is>
      </c>
      <c r="R479" s="29" t="inlineStr">
        <is>
          <t>B1</t>
        </is>
      </c>
      <c r="S479" s="30" t="inlineStr">
        <is>
          <t>20 of 20</t>
        </is>
      </c>
      <c r="T479" s="31" t="inlineStr">
        <is>
          <t>Complexity: Evidence reads like A3: Onboarding, exits, grievance management, medical insurance, letters, performance management support → moved down 0.5
Autonomy: Evidence reads like A3: Decides employee connects, communications and engagement activities → moved down 0.5
Accountability: Evidence reads like A3: Employee experience from onboarding through …</t>
        </is>
      </c>
      <c r="U479" s="32" t="inlineStr">
        <is>
          <t>KRAs not received · manager to supply</t>
        </is>
      </c>
      <c r="V479" s="31" t="inlineStr">
        <is>
          <t>Latest rating: Not rated · manager · 9-box: Not placed · manager · Readiness: No rating data</t>
        </is>
      </c>
      <c r="W479" s="31" t="inlineStr">
        <is>
          <t>C M · Au M · Ac M · L L · BI M · Exp M · 4.2 yrs vs 4–7 yrs · Edu H · MBA</t>
        </is>
      </c>
      <c r="X479" s="33" t="inlineStr">
        <is>
          <t>Open ▸</t>
        </is>
      </c>
      <c r="Y479" s="34" t="str">
        <f>IFERROR(INDEX(DL_C,MATCH($CA479,DL_KEY,0)),"M")</f>
        <v>H</v>
      </c>
      <c r="Z479" s="35" t="str">
        <f>IFERROR(INDEX(DL_Au,MATCH($CA479,DL_KEY,0)),"M")</f>
        <v>M</v>
      </c>
      <c r="AA479" s="35" t="str">
        <f>IFERROR(INDEX(DL_Ac,MATCH($CA479,DL_KEY,0)),"M")</f>
        <v>M</v>
      </c>
      <c r="AB479" s="35" t="str">
        <f>IFERROR(INDEX(DL_L,MATCH($CA479,DL_KEY,0)),"M")</f>
        <v>L</v>
      </c>
      <c r="AC479" s="35" t="str">
        <f>IFERROR(INDEX(DL_BI,MATCH($CA479,DL_KEY,0)),"M")</f>
        <v>L</v>
      </c>
      <c r="AD479" s="35" t="str">
        <f>IFERROR(INDEX(DL_Exp,MATCH($CA479,DL_KEY,0)),"M")</f>
        <v>L</v>
      </c>
      <c r="AE479" s="35" t="str">
        <f>IFERROR(INDEX(DL_Edu,MATCH($CA479,DL_KEY,0)),"M")</f>
        <v>L</v>
      </c>
      <c r="AF479" s="34" t="inlineStr">
        <is>
          <t>M</t>
        </is>
      </c>
      <c r="AG479" s="35" t="inlineStr">
        <is>
          <t>M</t>
        </is>
      </c>
      <c r="AH479" s="35" t="inlineStr">
        <is>
          <t>M</t>
        </is>
      </c>
      <c r="AI479" s="35" t="inlineStr">
        <is>
          <t>M</t>
        </is>
      </c>
      <c r="AJ479" s="35" t="inlineStr">
        <is>
          <t>M</t>
        </is>
      </c>
      <c r="AK479" s="35" t="inlineStr">
        <is>
          <t>M</t>
        </is>
      </c>
      <c r="AL479" s="35" t="inlineStr">
        <is>
          <t>M</t>
        </is>
      </c>
      <c r="AM479" s="36" t="n">
        <v>0.513</v>
      </c>
      <c r="AN479" s="37" t="n">
        <v>0.173</v>
      </c>
      <c r="AO479" s="37" t="n">
        <v>0.09699999999999999</v>
      </c>
      <c r="AP479" s="37" t="n">
        <v>0.05</v>
      </c>
      <c r="AQ479" s="37" t="n">
        <v>0.07000000000000001</v>
      </c>
      <c r="AR479" s="37" t="n">
        <v>0.06</v>
      </c>
      <c r="AS479" s="37" t="n">
        <v>0.04</v>
      </c>
      <c r="AT479" s="38" t="inlineStr">
        <is>
          <t>4–8</t>
        </is>
      </c>
      <c r="AU479" s="38" t="inlineStr">
        <is>
          <t>Graduate + relevant qualification or certification preferred</t>
        </is>
      </c>
      <c r="AV479" s="38" t="inlineStr">
        <is>
          <t>IC: none · Team Lead: 3–5</t>
        </is>
      </c>
      <c r="AW479" s="38" t="inlineStr">
        <is>
          <t>P3 / M2 · SFIA 4 Enable</t>
        </is>
      </c>
      <c r="AX47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79" s="39" t="inlineStr">
        <is>
          <t>B1</t>
        </is>
      </c>
      <c r="AZ479" s="40" t="inlineStr">
        <is>
          <t>Band B · Specialist / Manager · Team Lead / Asst Manager</t>
        </is>
      </c>
      <c r="BA479" s="40" t="inlineStr">
        <is>
          <t>Model B1 from the six ratings, the market-derived weights and rules R1–R13 · then No change · already below the manager</t>
        </is>
      </c>
      <c r="BB479" s="41" t="inlineStr">
        <is>
          <t>B1</t>
        </is>
      </c>
      <c r="BC479" s="40" t="inlineStr">
        <is>
          <t>The six ratings on the market-average weights of Band B · Specialist / POD Lead score 3.52 → B1 · Hay, Mercer IPE and public plans · experience 4.2 yrs vs the B1 market range 4–8</t>
        </is>
      </c>
      <c r="BD479" s="42">
        <f>IF(SUM(BM479,BN479,BO479,BP479,BQ479,BR479,BS479)=0,0,(BM479*BT479+BN479*BU479+BO479*BV479+BP479*BW479+BQ479*BX479+BR479*BY479+BS479*BZ479)/SUM(BM479,BN479,BO479,BP479,BQ479,BR479,BS479))</f>
        <v>0</v>
      </c>
      <c r="BE479" s="41" t="str">
        <f>IF(LEFT(AY479,1)="X",AY479,IF(OR(AY479="B+",AY479="C+"),INDEX(LAD_PC,MAX(1,MIN(14,MATCH(AY479,LAD_PC,0)+IF(BD479&gt;=0.5,1,IF(BD479&lt;=-0.5,-1,0))))),INDEX(LAD_STD,MAX(1,MIN(12,MATCH(AY479,LAD_STD,0)+IF(BD479&gt;=0.5,1,IF(BD479&lt;=-0.5,-1,0)))))))</f>
        <v>B1</v>
      </c>
      <c r="BF479" s="43" t="n"/>
      <c r="BG479" s="41" t="str">
        <f>IF(BF479&lt;&gt;"",BF479,BE479)</f>
        <v>B1</v>
      </c>
      <c r="BH479" s="40" t="str">
        <f>IFERROR(CHOOSE(INDEX(B_RANK,MATCH(BG479,B_LVL,0)),"Band A","Band B","B+ · Player-Coach","Band C","C+ · Player-Coach","Band D","Band E"),"Band X · Consultant")</f>
        <v>Band B</v>
      </c>
      <c r="BI479" s="40" t="str">
        <f>IF(BG479=AY479,"• Same",IF(INDEX(B_VAL,MATCH(BG479,B_LVL,0))&gt;INDEX(B_VAL,MATCH(AY479,B_LVL,0)),"▲ Up","▼ Down"))</f>
        <v>• Same</v>
      </c>
      <c r="BJ479" s="40" t="str">
        <f>IF(OR($M479="",$M479="—",$M479="Not in this file"),"",IFERROR(INDEX($BG$7:$BG$592,MATCH($M479,$D$7:$D$592,0)),""))</f>
        <v>D2</v>
      </c>
      <c r="BK479" s="40" t="str">
        <f>IFERROR(IF(BJ479="","—",IF(OR(LEFT(BG479,1)="X",LEFT(BJ479,1)="X"),"—",IF(AND(LEFT(BG479,1)="E",LEFT(BJ479,1)="E"),"Exception · Band E",IF(AND(INDEX(B_VAL,MATCH(BJ479,B_LVL,0))&gt;=7,INDEX(B_RANK,MATCH(BG479,B_LVL,0))&gt;=INDEX(B_RANK,MATCH(BJ479,B_LVL,0))),"⚠ Same band as a head manager",IF(INDEX(B_VAL,MATCH(BG479,B_LVL,0))&gt;=INDEX(B_VAL,MATCH(BJ479,B_LVL,0)),"⚠ At or above the manager's level","OK"))))),"—")</f>
        <v>OK</v>
      </c>
      <c r="BL479" s="43" t="n"/>
      <c r="BM479" s="44">
        <f>IFERROR(INDEX(LMH_PTS,MATCH(Y479,LMH_KEY,0)),0)</f>
        <v>9</v>
      </c>
      <c r="BN479" s="38">
        <f>IFERROR(INDEX(LMH_PTS,MATCH(Z479,LMH_KEY,0)),0)</f>
        <v>3</v>
      </c>
      <c r="BO479" s="38">
        <f>IFERROR(INDEX(LMH_PTS,MATCH(AA479,LMH_KEY,0)),0)</f>
        <v>3</v>
      </c>
      <c r="BP479" s="38">
        <f>IFERROR(INDEX(LMH_PTS,MATCH(AB479,LMH_KEY,0)),0)</f>
        <v>1</v>
      </c>
      <c r="BQ479" s="38">
        <f>IFERROR(INDEX(LMH_PTS,MATCH(AC479,LMH_KEY,0)),0)</f>
        <v>1</v>
      </c>
      <c r="BR479" s="38">
        <f>IFERROR(INDEX(LMH_PTS,MATCH(AD479,LMH_KEY,0)),0)</f>
        <v>1</v>
      </c>
      <c r="BS479" s="38">
        <f>IFERROR(INDEX(LMH_PTS,MATCH(AE479,LMH_KEY,0)),0)</f>
        <v>1</v>
      </c>
      <c r="BT479" s="38">
        <f>IFERROR(INDEX(LMH_STEP,MATCH(AF479,LMH_KEY,0)),0)</f>
        <v>0</v>
      </c>
      <c r="BU479" s="38">
        <f>IFERROR(INDEX(LMH_STEP,MATCH(AG479,LMH_KEY,0)),0)</f>
        <v>0</v>
      </c>
      <c r="BV479" s="38">
        <f>IFERROR(INDEX(LMH_STEP,MATCH(AH479,LMH_KEY,0)),0)</f>
        <v>0</v>
      </c>
      <c r="BW479" s="38">
        <f>IFERROR(INDEX(LMH_STEP,MATCH(AI479,LMH_KEY,0)),0)</f>
        <v>0</v>
      </c>
      <c r="BX479" s="38">
        <f>IFERROR(INDEX(LMH_STEP,MATCH(AJ479,LMH_KEY,0)),0)</f>
        <v>0</v>
      </c>
      <c r="BY479" s="38">
        <f>IFERROR(INDEX(LMH_STEP,MATCH(AK479,LMH_KEY,0)),0)</f>
        <v>0</v>
      </c>
      <c r="BZ479" s="38">
        <f>IFERROR(INDEX(LMH_STEP,MATCH(AL479,LMH_KEY,0)),0)</f>
        <v>0</v>
      </c>
      <c r="CA479" s="38" t="inlineStr">
        <is>
          <t>Corporate|HR|HR Specialist – POD Lead|B1|B-IC</t>
        </is>
      </c>
    </row>
    <row r="480" ht="110" customHeight="1">
      <c r="A480" s="28" t="inlineStr">
        <is>
          <t>Corporate</t>
        </is>
      </c>
      <c r="B480" s="29" t="inlineStr">
        <is>
          <t>HR</t>
        </is>
      </c>
      <c r="C480" s="29" t="n">
        <v>3</v>
      </c>
      <c r="D480" s="29" t="inlineStr">
        <is>
          <t>IRIS2558</t>
        </is>
      </c>
      <c r="E480" s="29" t="inlineStr">
        <is>
          <t>Blossom Dsouza</t>
        </is>
      </c>
      <c r="F480" s="29" t="inlineStr">
        <is>
          <t>Executive -HR</t>
        </is>
      </c>
      <c r="G480" s="29" t="inlineStr">
        <is>
          <t>HR Executive</t>
        </is>
      </c>
      <c r="H480" s="29" t="inlineStr">
        <is>
          <t>Human Resources</t>
        </is>
      </c>
      <c r="I480" s="29" t="inlineStr">
        <is>
          <t>HR Operations &amp; Payroll</t>
        </is>
      </c>
      <c r="J480" s="29" t="inlineStr">
        <is>
          <t>IC</t>
        </is>
      </c>
      <c r="K480" s="29" t="inlineStr">
        <is>
          <t>RC-101</t>
        </is>
      </c>
      <c r="L480" s="29" t="inlineStr">
        <is>
          <t>Nikitha Nair</t>
        </is>
      </c>
      <c r="M480" s="29" t="inlineStr">
        <is>
          <t>IRIS2152</t>
        </is>
      </c>
      <c r="N480" s="29" t="n">
        <v>0.9</v>
      </c>
      <c r="O480" s="29" t="n">
        <v>0.1</v>
      </c>
      <c r="P480" s="29" t="inlineStr">
        <is>
          <t>Bachelors</t>
        </is>
      </c>
      <c r="Q480" s="29" t="inlineStr">
        <is>
          <t>Not in current mapping files</t>
        </is>
      </c>
      <c r="R480" s="29" t="inlineStr">
        <is>
          <t>A2</t>
        </is>
      </c>
      <c r="S480" s="30" t="inlineStr">
        <is>
          <t>19 of 20</t>
        </is>
      </c>
      <c r="T480" s="31" t="inlineStr">
        <is>
          <t>Complexity: Evidence reads like A2: Onboarding, exits, BGV coordination, HR ops trackers, engagement activities → matches the start
Autonomy: Evidence reads like A2: Decides engagement and onboarding activities; escalates when needed → matches the start
Accountability: Evidence reads like A2: Own onboarding work: accuracy and timeliness → matches the …</t>
        </is>
      </c>
      <c r="U480" s="32" t="inlineStr">
        <is>
          <t>KRAs not received · manager to supply</t>
        </is>
      </c>
      <c r="V480" s="31" t="inlineStr">
        <is>
          <t>Latest rating: Not rated · manager · 9-box: Not placed · manager · Readiness: No rating data</t>
        </is>
      </c>
      <c r="W480" s="31" t="inlineStr">
        <is>
          <t>C M · Au M · Ac M · L L · BI M · Exp M · 0.9 yrs vs 0–2 yrs · Edu M · Bachelors</t>
        </is>
      </c>
      <c r="X480" s="33" t="inlineStr">
        <is>
          <t>Open ▸</t>
        </is>
      </c>
      <c r="Y480" s="34" t="str">
        <f>IFERROR(INDEX(DL_C,MATCH($CA480,DL_KEY,0)),"M")</f>
        <v>H</v>
      </c>
      <c r="Z480" s="35" t="str">
        <f>IFERROR(INDEX(DL_Au,MATCH($CA480,DL_KEY,0)),"M")</f>
        <v>M</v>
      </c>
      <c r="AA480" s="35" t="str">
        <f>IFERROR(INDEX(DL_Ac,MATCH($CA480,DL_KEY,0)),"M")</f>
        <v>M</v>
      </c>
      <c r="AB480" s="35" t="str">
        <f>IFERROR(INDEX(DL_L,MATCH($CA480,DL_KEY,0)),"M")</f>
        <v>L</v>
      </c>
      <c r="AC480" s="35" t="str">
        <f>IFERROR(INDEX(DL_BI,MATCH($CA480,DL_KEY,0)),"M")</f>
        <v>L</v>
      </c>
      <c r="AD480" s="35" t="str">
        <f>IFERROR(INDEX(DL_Exp,MATCH($CA480,DL_KEY,0)),"M")</f>
        <v>L</v>
      </c>
      <c r="AE480" s="35" t="str">
        <f>IFERROR(INDEX(DL_Edu,MATCH($CA480,DL_KEY,0)),"M")</f>
        <v>M</v>
      </c>
      <c r="AF480" s="34" t="inlineStr">
        <is>
          <t>M</t>
        </is>
      </c>
      <c r="AG480" s="35" t="inlineStr">
        <is>
          <t>M</t>
        </is>
      </c>
      <c r="AH480" s="35" t="inlineStr">
        <is>
          <t>M</t>
        </is>
      </c>
      <c r="AI480" s="35" t="inlineStr">
        <is>
          <t>M</t>
        </is>
      </c>
      <c r="AJ480" s="35" t="inlineStr">
        <is>
          <t>M</t>
        </is>
      </c>
      <c r="AK480" s="35" t="inlineStr">
        <is>
          <t>M</t>
        </is>
      </c>
      <c r="AL480" s="35" t="inlineStr">
        <is>
          <t>M</t>
        </is>
      </c>
      <c r="AM480" s="36" t="n">
        <v>0.583</v>
      </c>
      <c r="AN480" s="37" t="n">
        <v>0.16</v>
      </c>
      <c r="AO480" s="37" t="n">
        <v>0.09</v>
      </c>
      <c r="AP480" s="37" t="n">
        <v>0</v>
      </c>
      <c r="AQ480" s="37" t="n">
        <v>0.063</v>
      </c>
      <c r="AR480" s="37" t="n">
        <v>0.06</v>
      </c>
      <c r="AS480" s="37" t="n">
        <v>0.04</v>
      </c>
      <c r="AT480" s="38" t="inlineStr">
        <is>
          <t>0–3</t>
        </is>
      </c>
      <c r="AU480" s="38" t="inlineStr">
        <is>
          <t>Graduate · or diploma with experience</t>
        </is>
      </c>
      <c r="AV480" s="38" t="inlineStr">
        <is>
          <t>No direct reports</t>
        </is>
      </c>
      <c r="AW480" s="38" t="inlineStr">
        <is>
          <t>P1–P2 · SFIA 2 Assist</t>
        </is>
      </c>
      <c r="AX48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80" s="39" t="inlineStr">
        <is>
          <t>A2</t>
        </is>
      </c>
      <c r="AZ480" s="40" t="inlineStr">
        <is>
          <t>Band A · Practitioner · Associate</t>
        </is>
      </c>
      <c r="BA480" s="40" t="inlineStr">
        <is>
          <t>Model A2 from the six ratings, the market-derived weights and rules R1–R13 · then No change · already below the manager</t>
        </is>
      </c>
      <c r="BB480" s="41" t="inlineStr">
        <is>
          <t>A2</t>
        </is>
      </c>
      <c r="BC480" s="40" t="inlineStr">
        <is>
          <t>The six ratings on the market-average weights of Band A · all tracks score 2.00 → A2 · Hay, Mercer IPE and public plans · experience 0.9 yrs vs the A2 market range 0–3</t>
        </is>
      </c>
      <c r="BD480" s="42">
        <f>IF(SUM(BM480,BN480,BO480,BP480,BQ480,BR480,BS480)=0,0,(BM480*BT480+BN480*BU480+BO480*BV480+BP480*BW480+BQ480*BX480+BR480*BY480+BS480*BZ480)/SUM(BM480,BN480,BO480,BP480,BQ480,BR480,BS480))</f>
        <v>0</v>
      </c>
      <c r="BE480" s="41" t="str">
        <f>IF(LEFT(AY480,1)="X",AY480,IF(OR(AY480="B+",AY480="C+"),INDEX(LAD_PC,MAX(1,MIN(14,MATCH(AY480,LAD_PC,0)+IF(BD480&gt;=0.5,1,IF(BD480&lt;=-0.5,-1,0))))),INDEX(LAD_STD,MAX(1,MIN(12,MATCH(AY480,LAD_STD,0)+IF(BD480&gt;=0.5,1,IF(BD480&lt;=-0.5,-1,0)))))))</f>
        <v>A2</v>
      </c>
      <c r="BF480" s="43" t="n"/>
      <c r="BG480" s="41" t="str">
        <f>IF(BF480&lt;&gt;"",BF480,BE480)</f>
        <v>A2</v>
      </c>
      <c r="BH480" s="40" t="str">
        <f>IFERROR(CHOOSE(INDEX(B_RANK,MATCH(BG480,B_LVL,0)),"Band A","Band B","B+ · Player-Coach","Band C","C+ · Player-Coach","Band D","Band E"),"Band X · Consultant")</f>
        <v>Band A</v>
      </c>
      <c r="BI480" s="40" t="str">
        <f>IF(BG480=AY480,"• Same",IF(INDEX(B_VAL,MATCH(BG480,B_LVL,0))&gt;INDEX(B_VAL,MATCH(AY480,B_LVL,0)),"▲ Up","▼ Down"))</f>
        <v>• Same</v>
      </c>
      <c r="BJ480" s="40" t="str">
        <f>IF(OR($M480="",$M480="—",$M480="Not in this file"),"",IFERROR(INDEX($BG$7:$BG$592,MATCH($M480,$D$7:$D$592,0)),""))</f>
        <v>B1</v>
      </c>
      <c r="BK480" s="40" t="str">
        <f>IFERROR(IF(BJ480="","—",IF(OR(LEFT(BG480,1)="X",LEFT(BJ480,1)="X"),"—",IF(AND(LEFT(BG480,1)="E",LEFT(BJ480,1)="E"),"Exception · Band E",IF(AND(INDEX(B_VAL,MATCH(BJ480,B_LVL,0))&gt;=7,INDEX(B_RANK,MATCH(BG480,B_LVL,0))&gt;=INDEX(B_RANK,MATCH(BJ480,B_LVL,0))),"⚠ Same band as a head manager",IF(INDEX(B_VAL,MATCH(BG480,B_LVL,0))&gt;=INDEX(B_VAL,MATCH(BJ480,B_LVL,0)),"⚠ At or above the manager's level","OK"))))),"—")</f>
        <v>OK</v>
      </c>
      <c r="BL480" s="43" t="n"/>
      <c r="BM480" s="44">
        <f>IFERROR(INDEX(LMH_PTS,MATCH(Y480,LMH_KEY,0)),0)</f>
        <v>9</v>
      </c>
      <c r="BN480" s="38">
        <f>IFERROR(INDEX(LMH_PTS,MATCH(Z480,LMH_KEY,0)),0)</f>
        <v>3</v>
      </c>
      <c r="BO480" s="38">
        <f>IFERROR(INDEX(LMH_PTS,MATCH(AA480,LMH_KEY,0)),0)</f>
        <v>3</v>
      </c>
      <c r="BP480" s="38">
        <f>IFERROR(INDEX(LMH_PTS,MATCH(AB480,LMH_KEY,0)),0)</f>
        <v>1</v>
      </c>
      <c r="BQ480" s="38">
        <f>IFERROR(INDEX(LMH_PTS,MATCH(AC480,LMH_KEY,0)),0)</f>
        <v>1</v>
      </c>
      <c r="BR480" s="38">
        <f>IFERROR(INDEX(LMH_PTS,MATCH(AD480,LMH_KEY,0)),0)</f>
        <v>1</v>
      </c>
      <c r="BS480" s="38">
        <f>IFERROR(INDEX(LMH_PTS,MATCH(AE480,LMH_KEY,0)),0)</f>
        <v>3</v>
      </c>
      <c r="BT480" s="38">
        <f>IFERROR(INDEX(LMH_STEP,MATCH(AF480,LMH_KEY,0)),0)</f>
        <v>0</v>
      </c>
      <c r="BU480" s="38">
        <f>IFERROR(INDEX(LMH_STEP,MATCH(AG480,LMH_KEY,0)),0)</f>
        <v>0</v>
      </c>
      <c r="BV480" s="38">
        <f>IFERROR(INDEX(LMH_STEP,MATCH(AH480,LMH_KEY,0)),0)</f>
        <v>0</v>
      </c>
      <c r="BW480" s="38">
        <f>IFERROR(INDEX(LMH_STEP,MATCH(AI480,LMH_KEY,0)),0)</f>
        <v>0</v>
      </c>
      <c r="BX480" s="38">
        <f>IFERROR(INDEX(LMH_STEP,MATCH(AJ480,LMH_KEY,0)),0)</f>
        <v>0</v>
      </c>
      <c r="BY480" s="38">
        <f>IFERROR(INDEX(LMH_STEP,MATCH(AK480,LMH_KEY,0)),0)</f>
        <v>0</v>
      </c>
      <c r="BZ480" s="38">
        <f>IFERROR(INDEX(LMH_STEP,MATCH(AL480,LMH_KEY,0)),0)</f>
        <v>0</v>
      </c>
      <c r="CA480" s="38" t="inlineStr">
        <is>
          <t>Corporate|HR|HR Executive|A2|A</t>
        </is>
      </c>
    </row>
    <row r="481" ht="110" customHeight="1">
      <c r="A481" s="28" t="inlineStr">
        <is>
          <t>Corporate</t>
        </is>
      </c>
      <c r="B481" s="29" t="inlineStr">
        <is>
          <t>HR</t>
        </is>
      </c>
      <c r="C481" s="29" t="n">
        <v>2</v>
      </c>
      <c r="D481" s="29" t="inlineStr">
        <is>
          <t>IRIS2402</t>
        </is>
      </c>
      <c r="E481" s="29" t="inlineStr">
        <is>
          <t>Renuka Badhoria</t>
        </is>
      </c>
      <c r="F481" s="29" t="inlineStr">
        <is>
          <t>Talent Acquisition Specialist</t>
        </is>
      </c>
      <c r="G481" s="29" t="inlineStr">
        <is>
          <t>Senior Talent Acquisition Executive</t>
        </is>
      </c>
      <c r="H481" s="29" t="inlineStr">
        <is>
          <t>Human Resources</t>
        </is>
      </c>
      <c r="I481" s="29" t="inlineStr">
        <is>
          <t>Talent Acquisition</t>
        </is>
      </c>
      <c r="J481" s="29" t="inlineStr">
        <is>
          <t>IC</t>
        </is>
      </c>
      <c r="K481" s="29" t="inlineStr">
        <is>
          <t>RC-104</t>
        </is>
      </c>
      <c r="L481" s="29" t="inlineStr">
        <is>
          <t>Shweta Jha</t>
        </is>
      </c>
      <c r="M481" s="29" t="inlineStr">
        <is>
          <t>IRIS2533</t>
        </is>
      </c>
      <c r="N481" s="29" t="n">
        <v>3.4</v>
      </c>
      <c r="O481" s="29" t="n">
        <v>1.2</v>
      </c>
      <c r="P481" s="29" t="inlineStr">
        <is>
          <t>MBA PGDM</t>
        </is>
      </c>
      <c r="Q481" s="29" t="inlineStr">
        <is>
          <t>Not in current mapping files</t>
        </is>
      </c>
      <c r="R481" s="29" t="inlineStr">
        <is>
          <t>A3</t>
        </is>
      </c>
      <c r="S481" s="30" t="inlineStr">
        <is>
          <t>19 of 20</t>
        </is>
      </c>
      <c r="T481" s="31" t="inlineStr">
        <is>
          <t>Complexity: Evidence reads like A2: End-to-end recruitment: requirement gathering, role market research, multi-channel sourcing → moved down 1
Autonomy: Evidence reads like A2: Chooses sourcing channels; nothing broader stated → moved down 1
Accountability: Evidence reads like A3: Filling critical positions by hiring managers' deadlines; hiring numbers → …</t>
        </is>
      </c>
      <c r="U481" s="32" t="inlineStr">
        <is>
          <t>KRAs not received · manager to supply</t>
        </is>
      </c>
      <c r="V481" s="31" t="inlineStr">
        <is>
          <t>Latest rating: Not rated · manager · 9-box: Not placed · manager · Readiness: No rating data</t>
        </is>
      </c>
      <c r="W481" s="31" t="inlineStr">
        <is>
          <t>C M · Au M · Ac M · L L · BI M · Exp M · 3.4 yrs vs 2–4 yrs · Edu H · MBA PGDM</t>
        </is>
      </c>
      <c r="X481" s="33" t="inlineStr">
        <is>
          <t>Open ▸</t>
        </is>
      </c>
      <c r="Y481" s="34" t="str">
        <f>IFERROR(INDEX(DL_C,MATCH($CA481,DL_KEY,0)),"M")</f>
        <v>H</v>
      </c>
      <c r="Z481" s="35" t="str">
        <f>IFERROR(INDEX(DL_Au,MATCH($CA481,DL_KEY,0)),"M")</f>
        <v>M</v>
      </c>
      <c r="AA481" s="35" t="str">
        <f>IFERROR(INDEX(DL_Ac,MATCH($CA481,DL_KEY,0)),"M")</f>
        <v>M</v>
      </c>
      <c r="AB481" s="35" t="str">
        <f>IFERROR(INDEX(DL_L,MATCH($CA481,DL_KEY,0)),"M")</f>
        <v>L</v>
      </c>
      <c r="AC481" s="35" t="str">
        <f>IFERROR(INDEX(DL_BI,MATCH($CA481,DL_KEY,0)),"M")</f>
        <v>L</v>
      </c>
      <c r="AD481" s="35" t="str">
        <f>IFERROR(INDEX(DL_Exp,MATCH($CA481,DL_KEY,0)),"M")</f>
        <v>L</v>
      </c>
      <c r="AE481" s="35" t="str">
        <f>IFERROR(INDEX(DL_Edu,MATCH($CA481,DL_KEY,0)),"M")</f>
        <v>M</v>
      </c>
      <c r="AF481" s="34" t="inlineStr">
        <is>
          <t>M</t>
        </is>
      </c>
      <c r="AG481" s="35" t="inlineStr">
        <is>
          <t>M</t>
        </is>
      </c>
      <c r="AH481" s="35" t="inlineStr">
        <is>
          <t>M</t>
        </is>
      </c>
      <c r="AI481" s="35" t="inlineStr">
        <is>
          <t>M</t>
        </is>
      </c>
      <c r="AJ481" s="35" t="inlineStr">
        <is>
          <t>M</t>
        </is>
      </c>
      <c r="AK481" s="35" t="inlineStr">
        <is>
          <t>M</t>
        </is>
      </c>
      <c r="AL481" s="35" t="inlineStr">
        <is>
          <t>M</t>
        </is>
      </c>
      <c r="AM481" s="36" t="n">
        <v>0.583</v>
      </c>
      <c r="AN481" s="37" t="n">
        <v>0.16</v>
      </c>
      <c r="AO481" s="37" t="n">
        <v>0.09</v>
      </c>
      <c r="AP481" s="37" t="n">
        <v>0</v>
      </c>
      <c r="AQ481" s="37" t="n">
        <v>0.063</v>
      </c>
      <c r="AR481" s="37" t="n">
        <v>0.06</v>
      </c>
      <c r="AS481" s="37" t="n">
        <v>0.04</v>
      </c>
      <c r="AT481" s="38" t="inlineStr">
        <is>
          <t>2–5</t>
        </is>
      </c>
      <c r="AU481" s="38" t="inlineStr">
        <is>
          <t>Graduate; relevant certification preferred</t>
        </is>
      </c>
      <c r="AV481" s="38" t="inlineStr">
        <is>
          <t>None · guides 1–3 juniors informally</t>
        </is>
      </c>
      <c r="AW481" s="38" t="inlineStr">
        <is>
          <t>P2 · SFIA 3 Apply</t>
        </is>
      </c>
      <c r="AX48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81" s="39" t="inlineStr">
        <is>
          <t>A3</t>
        </is>
      </c>
      <c r="AZ481" s="40" t="inlineStr">
        <is>
          <t>Band A · Practitioner · Senior Associate</t>
        </is>
      </c>
      <c r="BA481" s="40" t="inlineStr">
        <is>
          <t>Model A3 from the six ratings, the market-derived weights and rules R1–R13 · then No change · already below the manager</t>
        </is>
      </c>
      <c r="BB481" s="41" t="inlineStr">
        <is>
          <t>A3</t>
        </is>
      </c>
      <c r="BC481" s="40" t="inlineStr">
        <is>
          <t>The six ratings on the market-average weights of Band A · all tracks score 3.13 → A3 · Hay, Mercer IPE and public plans · experience 3.4 yrs vs the A3 market range 2–5</t>
        </is>
      </c>
      <c r="BD481" s="42">
        <f>IF(SUM(BM481,BN481,BO481,BP481,BQ481,BR481,BS481)=0,0,(BM481*BT481+BN481*BU481+BO481*BV481+BP481*BW481+BQ481*BX481+BR481*BY481+BS481*BZ481)/SUM(BM481,BN481,BO481,BP481,BQ481,BR481,BS481))</f>
        <v>0</v>
      </c>
      <c r="BE481" s="41" t="str">
        <f>IF(LEFT(AY481,1)="X",AY481,IF(OR(AY481="B+",AY481="C+"),INDEX(LAD_PC,MAX(1,MIN(14,MATCH(AY481,LAD_PC,0)+IF(BD481&gt;=0.5,1,IF(BD481&lt;=-0.5,-1,0))))),INDEX(LAD_STD,MAX(1,MIN(12,MATCH(AY481,LAD_STD,0)+IF(BD481&gt;=0.5,1,IF(BD481&lt;=-0.5,-1,0)))))))</f>
        <v>A3</v>
      </c>
      <c r="BF481" s="43" t="n"/>
      <c r="BG481" s="41" t="str">
        <f>IF(BF481&lt;&gt;"",BF481,BE481)</f>
        <v>A3</v>
      </c>
      <c r="BH481" s="40" t="str">
        <f>IFERROR(CHOOSE(INDEX(B_RANK,MATCH(BG481,B_LVL,0)),"Band A","Band B","B+ · Player-Coach","Band C","C+ · Player-Coach","Band D","Band E"),"Band X · Consultant")</f>
        <v>Band A</v>
      </c>
      <c r="BI481" s="40" t="str">
        <f>IF(BG481=AY481,"• Same",IF(INDEX(B_VAL,MATCH(BG481,B_LVL,0))&gt;INDEX(B_VAL,MATCH(AY481,B_LVL,0)),"▲ Up","▼ Down"))</f>
        <v>• Same</v>
      </c>
      <c r="BJ481" s="40" t="str">
        <f>IF(OR($M481="",$M481="—",$M481="Not in this file"),"",IFERROR(INDEX($BG$7:$BG$592,MATCH($M481,$D$7:$D$592,0)),""))</f>
        <v>D2</v>
      </c>
      <c r="BK481" s="40" t="str">
        <f>IFERROR(IF(BJ481="","—",IF(OR(LEFT(BG481,1)="X",LEFT(BJ481,1)="X"),"—",IF(AND(LEFT(BG481,1)="E",LEFT(BJ481,1)="E"),"Exception · Band E",IF(AND(INDEX(B_VAL,MATCH(BJ481,B_LVL,0))&gt;=7,INDEX(B_RANK,MATCH(BG481,B_LVL,0))&gt;=INDEX(B_RANK,MATCH(BJ481,B_LVL,0))),"⚠ Same band as a head manager",IF(INDEX(B_VAL,MATCH(BG481,B_LVL,0))&gt;=INDEX(B_VAL,MATCH(BJ481,B_LVL,0)),"⚠ At or above the manager's level","OK"))))),"—")</f>
        <v>OK</v>
      </c>
      <c r="BL481" s="43" t="n"/>
      <c r="BM481" s="44">
        <f>IFERROR(INDEX(LMH_PTS,MATCH(Y481,LMH_KEY,0)),0)</f>
        <v>9</v>
      </c>
      <c r="BN481" s="38">
        <f>IFERROR(INDEX(LMH_PTS,MATCH(Z481,LMH_KEY,0)),0)</f>
        <v>3</v>
      </c>
      <c r="BO481" s="38">
        <f>IFERROR(INDEX(LMH_PTS,MATCH(AA481,LMH_KEY,0)),0)</f>
        <v>3</v>
      </c>
      <c r="BP481" s="38">
        <f>IFERROR(INDEX(LMH_PTS,MATCH(AB481,LMH_KEY,0)),0)</f>
        <v>1</v>
      </c>
      <c r="BQ481" s="38">
        <f>IFERROR(INDEX(LMH_PTS,MATCH(AC481,LMH_KEY,0)),0)</f>
        <v>1</v>
      </c>
      <c r="BR481" s="38">
        <f>IFERROR(INDEX(LMH_PTS,MATCH(AD481,LMH_KEY,0)),0)</f>
        <v>1</v>
      </c>
      <c r="BS481" s="38">
        <f>IFERROR(INDEX(LMH_PTS,MATCH(AE481,LMH_KEY,0)),0)</f>
        <v>3</v>
      </c>
      <c r="BT481" s="38">
        <f>IFERROR(INDEX(LMH_STEP,MATCH(AF481,LMH_KEY,0)),0)</f>
        <v>0</v>
      </c>
      <c r="BU481" s="38">
        <f>IFERROR(INDEX(LMH_STEP,MATCH(AG481,LMH_KEY,0)),0)</f>
        <v>0</v>
      </c>
      <c r="BV481" s="38">
        <f>IFERROR(INDEX(LMH_STEP,MATCH(AH481,LMH_KEY,0)),0)</f>
        <v>0</v>
      </c>
      <c r="BW481" s="38">
        <f>IFERROR(INDEX(LMH_STEP,MATCH(AI481,LMH_KEY,0)),0)</f>
        <v>0</v>
      </c>
      <c r="BX481" s="38">
        <f>IFERROR(INDEX(LMH_STEP,MATCH(AJ481,LMH_KEY,0)),0)</f>
        <v>0</v>
      </c>
      <c r="BY481" s="38">
        <f>IFERROR(INDEX(LMH_STEP,MATCH(AK481,LMH_KEY,0)),0)</f>
        <v>0</v>
      </c>
      <c r="BZ481" s="38">
        <f>IFERROR(INDEX(LMH_STEP,MATCH(AL481,LMH_KEY,0)),0)</f>
        <v>0</v>
      </c>
      <c r="CA481" s="38" t="inlineStr">
        <is>
          <t>Corporate|HR|Senior Talent Acquisition Executive|A3|A</t>
        </is>
      </c>
    </row>
    <row r="482" ht="110" customHeight="1">
      <c r="A482" s="28" t="inlineStr">
        <is>
          <t>Corporate</t>
        </is>
      </c>
      <c r="B482" s="29" t="inlineStr">
        <is>
          <t>HR</t>
        </is>
      </c>
      <c r="C482" s="29" t="n">
        <v>2</v>
      </c>
      <c r="D482" s="29" t="inlineStr">
        <is>
          <t>IRIS2245</t>
        </is>
      </c>
      <c r="E482" s="29" t="inlineStr">
        <is>
          <t>Shruti Gawas</t>
        </is>
      </c>
      <c r="F482" s="29" t="inlineStr">
        <is>
          <t>Senior Executive - Talent Acquisition</t>
        </is>
      </c>
      <c r="G482" s="29" t="inlineStr">
        <is>
          <t>Senior Talent Acquisition Executive</t>
        </is>
      </c>
      <c r="H482" s="29" t="inlineStr">
        <is>
          <t>Human Resources</t>
        </is>
      </c>
      <c r="I482" s="29" t="inlineStr">
        <is>
          <t>Talent Acquisition</t>
        </is>
      </c>
      <c r="J482" s="29" t="inlineStr">
        <is>
          <t>IC</t>
        </is>
      </c>
      <c r="K482" s="29" t="inlineStr">
        <is>
          <t>RC-104</t>
        </is>
      </c>
      <c r="L482" s="29" t="inlineStr">
        <is>
          <t>Shweta Jha</t>
        </is>
      </c>
      <c r="M482" s="29" t="inlineStr">
        <is>
          <t>IRIS2533</t>
        </is>
      </c>
      <c r="N482" s="29" t="n">
        <v>3.6</v>
      </c>
      <c r="O482" s="29" t="n">
        <v>2.4</v>
      </c>
      <c r="P482" s="29" t="inlineStr">
        <is>
          <t>MBA</t>
        </is>
      </c>
      <c r="Q482" s="29" t="inlineStr">
        <is>
          <t>Not in current mapping files</t>
        </is>
      </c>
      <c r="R482" s="29" t="inlineStr">
        <is>
          <t>A3</t>
        </is>
      </c>
      <c r="S482" s="30" t="inlineStr">
        <is>
          <t>19 of 20</t>
        </is>
      </c>
      <c r="T482" s="31" t="inlineStr">
        <is>
          <t>Complexity: Evidence reads like A3: End-to-end hiring including interviewing, salary negotiation, niche roles, talent market mapping → matches the start
Autonomy: Evidence reads like A3: Decides sourcing and pipeline management; negotiates salaries → matches the start
Accountability: Evidence reads like A3: own survey / KRA answers · summarised by the …</t>
        </is>
      </c>
      <c r="U482" s="32" t="inlineStr">
        <is>
          <t>KRAs not received · manager to supply</t>
        </is>
      </c>
      <c r="V482" s="31" t="inlineStr">
        <is>
          <t>Latest rating: Not rated · manager · 9-box: Not placed · manager · Readiness: No rating data</t>
        </is>
      </c>
      <c r="W482" s="31" t="inlineStr">
        <is>
          <t>C M · Au M · Ac M · L L · BI M · Exp M · 3.6 yrs vs 2–4 yrs · Edu H · MBA</t>
        </is>
      </c>
      <c r="X482" s="33" t="inlineStr">
        <is>
          <t>Open ▸</t>
        </is>
      </c>
      <c r="Y482" s="34" t="str">
        <f>IFERROR(INDEX(DL_C,MATCH($CA482,DL_KEY,0)),"M")</f>
        <v>H</v>
      </c>
      <c r="Z482" s="35" t="str">
        <f>IFERROR(INDEX(DL_Au,MATCH($CA482,DL_KEY,0)),"M")</f>
        <v>M</v>
      </c>
      <c r="AA482" s="35" t="str">
        <f>IFERROR(INDEX(DL_Ac,MATCH($CA482,DL_KEY,0)),"M")</f>
        <v>M</v>
      </c>
      <c r="AB482" s="35" t="str">
        <f>IFERROR(INDEX(DL_L,MATCH($CA482,DL_KEY,0)),"M")</f>
        <v>L</v>
      </c>
      <c r="AC482" s="35" t="str">
        <f>IFERROR(INDEX(DL_BI,MATCH($CA482,DL_KEY,0)),"M")</f>
        <v>L</v>
      </c>
      <c r="AD482" s="35" t="str">
        <f>IFERROR(INDEX(DL_Exp,MATCH($CA482,DL_KEY,0)),"M")</f>
        <v>L</v>
      </c>
      <c r="AE482" s="35" t="str">
        <f>IFERROR(INDEX(DL_Edu,MATCH($CA482,DL_KEY,0)),"M")</f>
        <v>M</v>
      </c>
      <c r="AF482" s="34" t="inlineStr">
        <is>
          <t>M</t>
        </is>
      </c>
      <c r="AG482" s="35" t="inlineStr">
        <is>
          <t>M</t>
        </is>
      </c>
      <c r="AH482" s="35" t="inlineStr">
        <is>
          <t>M</t>
        </is>
      </c>
      <c r="AI482" s="35" t="inlineStr">
        <is>
          <t>M</t>
        </is>
      </c>
      <c r="AJ482" s="35" t="inlineStr">
        <is>
          <t>M</t>
        </is>
      </c>
      <c r="AK482" s="35" t="inlineStr">
        <is>
          <t>M</t>
        </is>
      </c>
      <c r="AL482" s="35" t="inlineStr">
        <is>
          <t>M</t>
        </is>
      </c>
      <c r="AM482" s="36" t="n">
        <v>0.583</v>
      </c>
      <c r="AN482" s="37" t="n">
        <v>0.16</v>
      </c>
      <c r="AO482" s="37" t="n">
        <v>0.09</v>
      </c>
      <c r="AP482" s="37" t="n">
        <v>0</v>
      </c>
      <c r="AQ482" s="37" t="n">
        <v>0.063</v>
      </c>
      <c r="AR482" s="37" t="n">
        <v>0.06</v>
      </c>
      <c r="AS482" s="37" t="n">
        <v>0.04</v>
      </c>
      <c r="AT482" s="38" t="inlineStr">
        <is>
          <t>2–5</t>
        </is>
      </c>
      <c r="AU482" s="38" t="inlineStr">
        <is>
          <t>Graduate; relevant certification preferred</t>
        </is>
      </c>
      <c r="AV482" s="38" t="inlineStr">
        <is>
          <t>None · guides 1–3 juniors informally</t>
        </is>
      </c>
      <c r="AW482" s="38" t="inlineStr">
        <is>
          <t>P2 · SFIA 3 Apply</t>
        </is>
      </c>
      <c r="AX48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82" s="39" t="inlineStr">
        <is>
          <t>A3</t>
        </is>
      </c>
      <c r="AZ482" s="40" t="inlineStr">
        <is>
          <t>Band A · Practitioner · Senior Associate</t>
        </is>
      </c>
      <c r="BA482" s="40" t="inlineStr">
        <is>
          <t>Model A3 from the six ratings, the market-derived weights and rules R1–R13 · then No change · already below the manager</t>
        </is>
      </c>
      <c r="BB482" s="41" t="inlineStr">
        <is>
          <t>A3</t>
        </is>
      </c>
      <c r="BC482" s="40" t="inlineStr">
        <is>
          <t>The six ratings on the market-average weights of Band A · all tracks score 3.05 → A3 · Hay, Mercer IPE and public plans · experience 3.6 yrs vs the A3 market range 2–5</t>
        </is>
      </c>
      <c r="BD482" s="42">
        <f>IF(SUM(BM482,BN482,BO482,BP482,BQ482,BR482,BS482)=0,0,(BM482*BT482+BN482*BU482+BO482*BV482+BP482*BW482+BQ482*BX482+BR482*BY482+BS482*BZ482)/SUM(BM482,BN482,BO482,BP482,BQ482,BR482,BS482))</f>
        <v>0</v>
      </c>
      <c r="BE482" s="41" t="str">
        <f>IF(LEFT(AY482,1)="X",AY482,IF(OR(AY482="B+",AY482="C+"),INDEX(LAD_PC,MAX(1,MIN(14,MATCH(AY482,LAD_PC,0)+IF(BD482&gt;=0.5,1,IF(BD482&lt;=-0.5,-1,0))))),INDEX(LAD_STD,MAX(1,MIN(12,MATCH(AY482,LAD_STD,0)+IF(BD482&gt;=0.5,1,IF(BD482&lt;=-0.5,-1,0)))))))</f>
        <v>A3</v>
      </c>
      <c r="BF482" s="43" t="n"/>
      <c r="BG482" s="41" t="str">
        <f>IF(BF482&lt;&gt;"",BF482,BE482)</f>
        <v>A3</v>
      </c>
      <c r="BH482" s="40" t="str">
        <f>IFERROR(CHOOSE(INDEX(B_RANK,MATCH(BG482,B_LVL,0)),"Band A","Band B","B+ · Player-Coach","Band C","C+ · Player-Coach","Band D","Band E"),"Band X · Consultant")</f>
        <v>Band A</v>
      </c>
      <c r="BI482" s="40" t="str">
        <f>IF(BG482=AY482,"• Same",IF(INDEX(B_VAL,MATCH(BG482,B_LVL,0))&gt;INDEX(B_VAL,MATCH(AY482,B_LVL,0)),"▲ Up","▼ Down"))</f>
        <v>• Same</v>
      </c>
      <c r="BJ482" s="40" t="str">
        <f>IF(OR($M482="",$M482="—",$M482="Not in this file"),"",IFERROR(INDEX($BG$7:$BG$592,MATCH($M482,$D$7:$D$592,0)),""))</f>
        <v>D2</v>
      </c>
      <c r="BK482" s="40" t="str">
        <f>IFERROR(IF(BJ482="","—",IF(OR(LEFT(BG482,1)="X",LEFT(BJ482,1)="X"),"—",IF(AND(LEFT(BG482,1)="E",LEFT(BJ482,1)="E"),"Exception · Band E",IF(AND(INDEX(B_VAL,MATCH(BJ482,B_LVL,0))&gt;=7,INDEX(B_RANK,MATCH(BG482,B_LVL,0))&gt;=INDEX(B_RANK,MATCH(BJ482,B_LVL,0))),"⚠ Same band as a head manager",IF(INDEX(B_VAL,MATCH(BG482,B_LVL,0))&gt;=INDEX(B_VAL,MATCH(BJ482,B_LVL,0)),"⚠ At or above the manager's level","OK"))))),"—")</f>
        <v>OK</v>
      </c>
      <c r="BL482" s="43" t="n"/>
      <c r="BM482" s="44">
        <f>IFERROR(INDEX(LMH_PTS,MATCH(Y482,LMH_KEY,0)),0)</f>
        <v>9</v>
      </c>
      <c r="BN482" s="38">
        <f>IFERROR(INDEX(LMH_PTS,MATCH(Z482,LMH_KEY,0)),0)</f>
        <v>3</v>
      </c>
      <c r="BO482" s="38">
        <f>IFERROR(INDEX(LMH_PTS,MATCH(AA482,LMH_KEY,0)),0)</f>
        <v>3</v>
      </c>
      <c r="BP482" s="38">
        <f>IFERROR(INDEX(LMH_PTS,MATCH(AB482,LMH_KEY,0)),0)</f>
        <v>1</v>
      </c>
      <c r="BQ482" s="38">
        <f>IFERROR(INDEX(LMH_PTS,MATCH(AC482,LMH_KEY,0)),0)</f>
        <v>1</v>
      </c>
      <c r="BR482" s="38">
        <f>IFERROR(INDEX(LMH_PTS,MATCH(AD482,LMH_KEY,0)),0)</f>
        <v>1</v>
      </c>
      <c r="BS482" s="38">
        <f>IFERROR(INDEX(LMH_PTS,MATCH(AE482,LMH_KEY,0)),0)</f>
        <v>3</v>
      </c>
      <c r="BT482" s="38">
        <f>IFERROR(INDEX(LMH_STEP,MATCH(AF482,LMH_KEY,0)),0)</f>
        <v>0</v>
      </c>
      <c r="BU482" s="38">
        <f>IFERROR(INDEX(LMH_STEP,MATCH(AG482,LMH_KEY,0)),0)</f>
        <v>0</v>
      </c>
      <c r="BV482" s="38">
        <f>IFERROR(INDEX(LMH_STEP,MATCH(AH482,LMH_KEY,0)),0)</f>
        <v>0</v>
      </c>
      <c r="BW482" s="38">
        <f>IFERROR(INDEX(LMH_STEP,MATCH(AI482,LMH_KEY,0)),0)</f>
        <v>0</v>
      </c>
      <c r="BX482" s="38">
        <f>IFERROR(INDEX(LMH_STEP,MATCH(AJ482,LMH_KEY,0)),0)</f>
        <v>0</v>
      </c>
      <c r="BY482" s="38">
        <f>IFERROR(INDEX(LMH_STEP,MATCH(AK482,LMH_KEY,0)),0)</f>
        <v>0</v>
      </c>
      <c r="BZ482" s="38">
        <f>IFERROR(INDEX(LMH_STEP,MATCH(AL482,LMH_KEY,0)),0)</f>
        <v>0</v>
      </c>
      <c r="CA482" s="38" t="inlineStr">
        <is>
          <t>Corporate|HR|Senior Talent Acquisition Executive|A3|A</t>
        </is>
      </c>
    </row>
    <row r="483" ht="110" customHeight="1">
      <c r="A483" s="28" t="inlineStr">
        <is>
          <t>Corporate</t>
        </is>
      </c>
      <c r="B483" s="29" t="inlineStr">
        <is>
          <t>Technology</t>
        </is>
      </c>
      <c r="C483" s="29" t="n">
        <v>0</v>
      </c>
      <c r="D483" s="29" t="inlineStr">
        <is>
          <t>IRIS2060</t>
        </is>
      </c>
      <c r="E483" s="29" t="inlineStr">
        <is>
          <t>P K X Thomas</t>
        </is>
      </c>
      <c r="F483" s="29" t="inlineStr">
        <is>
          <t>Chief Technology Officer</t>
        </is>
      </c>
      <c r="G483" s="29" t="inlineStr">
        <is>
          <t>Chief Technology Officer</t>
        </is>
      </c>
      <c r="H483" s="29" t="inlineStr">
        <is>
          <t>Enterprise Leadership</t>
        </is>
      </c>
      <c r="I483" s="29" t="inlineStr">
        <is>
          <t>Chief Officers · CXO</t>
        </is>
      </c>
      <c r="J483" s="29" t="inlineStr">
        <is>
          <t>People Manager</t>
        </is>
      </c>
      <c r="K483" s="29" t="inlineStr">
        <is>
          <t>RC-EN-CO-E1</t>
        </is>
      </c>
      <c r="L483" s="29" t="inlineStr">
        <is>
          <t>— · top of the organisation</t>
        </is>
      </c>
      <c r="M483" s="29" t="inlineStr">
        <is>
          <t>Not in this file</t>
        </is>
      </c>
      <c r="N483" s="29" t="n">
        <v>34.9</v>
      </c>
      <c r="O483" s="29" t="n">
        <v>4.1</v>
      </c>
      <c r="P483" s="29" t="inlineStr">
        <is>
          <t>MCA</t>
        </is>
      </c>
      <c r="Q483" s="29" t="inlineStr">
        <is>
          <t>Not in current mapping files</t>
        </is>
      </c>
      <c r="R483" s="29" t="inlineStr">
        <is>
          <t>E1</t>
        </is>
      </c>
      <c r="S483" s="30" t="inlineStr">
        <is>
          <t>0 of 20</t>
        </is>
      </c>
      <c r="T483" s="31"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t>
        </is>
      </c>
      <c r="U483" s="32" t="inlineStr">
        <is>
          <t>KRAs not received · manager to supply</t>
        </is>
      </c>
      <c r="V483" s="31" t="inlineStr">
        <is>
          <t>Latest rating: Not rated · manager · 9-box: Not placed · manager · Readiness: No rating data</t>
        </is>
      </c>
      <c r="W483" s="31" t="inlineStr">
        <is>
          <t>C M · Au M · Ac M · L M · BI M · Exp M · 34.9 yrs vs 20+ yrs · Edu M · MCA</t>
        </is>
      </c>
      <c r="X483" s="33" t="inlineStr">
        <is>
          <t>Open ▸</t>
        </is>
      </c>
      <c r="Y483" s="34" t="str">
        <f>IFERROR(INDEX(DL_C,MATCH($CA483,DL_KEY,0)),"M")</f>
        <v>H</v>
      </c>
      <c r="Z483" s="35" t="str">
        <f>IFERROR(INDEX(DL_Au,MATCH($CA483,DL_KEY,0)),"M")</f>
        <v>M</v>
      </c>
      <c r="AA483" s="35" t="str">
        <f>IFERROR(INDEX(DL_Ac,MATCH($CA483,DL_KEY,0)),"M")</f>
        <v>M</v>
      </c>
      <c r="AB483" s="35" t="str">
        <f>IFERROR(INDEX(DL_L,MATCH($CA483,DL_KEY,0)),"M")</f>
        <v>M</v>
      </c>
      <c r="AC483" s="35" t="str">
        <f>IFERROR(INDEX(DL_BI,MATCH($CA483,DL_KEY,0)),"M")</f>
        <v>L</v>
      </c>
      <c r="AD483" s="35" t="str">
        <f>IFERROR(INDEX(DL_Exp,MATCH($CA483,DL_KEY,0)),"M")</f>
        <v>L</v>
      </c>
      <c r="AE483" s="35" t="str">
        <f>IFERROR(INDEX(DL_Edu,MATCH($CA483,DL_KEY,0)),"M")</f>
        <v>L</v>
      </c>
      <c r="AF483" s="34" t="inlineStr">
        <is>
          <t>M</t>
        </is>
      </c>
      <c r="AG483" s="35" t="inlineStr">
        <is>
          <t>M</t>
        </is>
      </c>
      <c r="AH483" s="35" t="inlineStr">
        <is>
          <t>M</t>
        </is>
      </c>
      <c r="AI483" s="35" t="inlineStr">
        <is>
          <t>M</t>
        </is>
      </c>
      <c r="AJ483" s="35" t="inlineStr">
        <is>
          <t>M</t>
        </is>
      </c>
      <c r="AK483" s="35" t="inlineStr">
        <is>
          <t>M</t>
        </is>
      </c>
      <c r="AL483" s="35" t="inlineStr">
        <is>
          <t>M</t>
        </is>
      </c>
      <c r="AM483" s="36" t="n">
        <v>0.363</v>
      </c>
      <c r="AN483" s="37" t="n">
        <v>0.19</v>
      </c>
      <c r="AO483" s="37" t="n">
        <v>0.113</v>
      </c>
      <c r="AP483" s="37" t="n">
        <v>0.2</v>
      </c>
      <c r="AQ483" s="37" t="n">
        <v>0.08699999999999999</v>
      </c>
      <c r="AR483" s="37" t="n">
        <v>0.04</v>
      </c>
      <c r="AS483" s="37" t="n">
        <v>0.01</v>
      </c>
      <c r="AT483" s="38" t="inlineStr">
        <is>
          <t>20+ yrs</t>
        </is>
      </c>
      <c r="AU483" s="38" t="inlineStr">
        <is>
          <t>Postgraduate / professional qualification; business leadership record</t>
        </is>
      </c>
      <c r="AV483" s="38" t="inlineStr">
        <is>
          <t>5–8 function heads</t>
        </is>
      </c>
      <c r="AW483" s="38" t="inlineStr">
        <is>
          <t>E5 · SFIA 7</t>
        </is>
      </c>
      <c r="AX48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83" s="39" t="inlineStr">
        <is>
          <t>E1</t>
        </is>
      </c>
      <c r="AZ483" s="40" t="inlineStr">
        <is>
          <t>Band E · Enterprise leadership · CXO / President</t>
        </is>
      </c>
      <c r="BA483" s="40" t="inlineStr">
        <is>
          <t>Model E1 from the six ratings, the market-derived weights and rules R1–R13 · then Top of the reporting line</t>
        </is>
      </c>
      <c r="BB483" s="41" t="inlineStr">
        <is>
          <t>E1</t>
        </is>
      </c>
      <c r="BC483" s="40" t="inlineStr">
        <is>
          <t>The six ratings on the market-average weights of Bands D–E · Leadership score 11.05 → E1 · Hay, Mercer IPE and public plans · experience 34.9 yrs vs the E1 market range 20+ yrs</t>
        </is>
      </c>
      <c r="BD483" s="42">
        <f>IF(SUM(BM483,BN483,BO483,BP483,BQ483,BR483,BS483)=0,0,(BM483*BT483+BN483*BU483+BO483*BV483+BP483*BW483+BQ483*BX483+BR483*BY483+BS483*BZ483)/SUM(BM483,BN483,BO483,BP483,BQ483,BR483,BS483))</f>
        <v>0</v>
      </c>
      <c r="BE483" s="41" t="str">
        <f>IF(LEFT(AY483,1)="X",AY483,IF(OR(AY483="B+",AY483="C+"),INDEX(LAD_PC,MAX(1,MIN(14,MATCH(AY483,LAD_PC,0)+IF(BD483&gt;=0.5,1,IF(BD483&lt;=-0.5,-1,0))))),INDEX(LAD_STD,MAX(1,MIN(12,MATCH(AY483,LAD_STD,0)+IF(BD483&gt;=0.5,1,IF(BD483&lt;=-0.5,-1,0)))))))</f>
        <v>E1</v>
      </c>
      <c r="BF483" s="43" t="n"/>
      <c r="BG483" s="41" t="str">
        <f>IF(BF483&lt;&gt;"",BF483,BE483)</f>
        <v>E1</v>
      </c>
      <c r="BH483" s="40" t="str">
        <f>IFERROR(CHOOSE(INDEX(B_RANK,MATCH(BG483,B_LVL,0)),"Band A","Band B","B+ · Player-Coach","Band C","C+ · Player-Coach","Band D","Band E"),"Band X · Consultant")</f>
        <v>Band E</v>
      </c>
      <c r="BI483" s="40" t="str">
        <f>IF(BG483=AY483,"• Same",IF(INDEX(B_VAL,MATCH(BG483,B_LVL,0))&gt;INDEX(B_VAL,MATCH(AY483,B_LVL,0)),"▲ Up","▼ Down"))</f>
        <v>• Same</v>
      </c>
      <c r="BJ483" s="40" t="str">
        <f>IF(OR($M483="",$M483="—",$M483="Not in this file"),"",IFERROR(INDEX($BG$7:$BG$592,MATCH($M483,$D$7:$D$592,0)),""))</f>
        <v/>
      </c>
      <c r="BK483" s="40" t="str">
        <f>IFERROR(IF(BJ483="","—",IF(OR(LEFT(BG483,1)="X",LEFT(BJ483,1)="X"),"—",IF(AND(LEFT(BG483,1)="E",LEFT(BJ483,1)="E"),"Exception · Band E",IF(AND(INDEX(B_VAL,MATCH(BJ483,B_LVL,0))&gt;=7,INDEX(B_RANK,MATCH(BG483,B_LVL,0))&gt;=INDEX(B_RANK,MATCH(BJ483,B_LVL,0))),"⚠ Same band as a head manager",IF(INDEX(B_VAL,MATCH(BG483,B_LVL,0))&gt;=INDEX(B_VAL,MATCH(BJ483,B_LVL,0)),"⚠ At or above the manager's level","OK"))))),"—")</f>
        <v>—</v>
      </c>
      <c r="BL483" s="43" t="n"/>
      <c r="BM483" s="44">
        <f>IFERROR(INDEX(LMH_PTS,MATCH(Y483,LMH_KEY,0)),0)</f>
        <v>9</v>
      </c>
      <c r="BN483" s="38">
        <f>IFERROR(INDEX(LMH_PTS,MATCH(Z483,LMH_KEY,0)),0)</f>
        <v>3</v>
      </c>
      <c r="BO483" s="38">
        <f>IFERROR(INDEX(LMH_PTS,MATCH(AA483,LMH_KEY,0)),0)</f>
        <v>3</v>
      </c>
      <c r="BP483" s="38">
        <f>IFERROR(INDEX(LMH_PTS,MATCH(AB483,LMH_KEY,0)),0)</f>
        <v>3</v>
      </c>
      <c r="BQ483" s="38">
        <f>IFERROR(INDEX(LMH_PTS,MATCH(AC483,LMH_KEY,0)),0)</f>
        <v>1</v>
      </c>
      <c r="BR483" s="38">
        <f>IFERROR(INDEX(LMH_PTS,MATCH(AD483,LMH_KEY,0)),0)</f>
        <v>1</v>
      </c>
      <c r="BS483" s="38">
        <f>IFERROR(INDEX(LMH_PTS,MATCH(AE483,LMH_KEY,0)),0)</f>
        <v>1</v>
      </c>
      <c r="BT483" s="38">
        <f>IFERROR(INDEX(LMH_STEP,MATCH(AF483,LMH_KEY,0)),0)</f>
        <v>0</v>
      </c>
      <c r="BU483" s="38">
        <f>IFERROR(INDEX(LMH_STEP,MATCH(AG483,LMH_KEY,0)),0)</f>
        <v>0</v>
      </c>
      <c r="BV483" s="38">
        <f>IFERROR(INDEX(LMH_STEP,MATCH(AH483,LMH_KEY,0)),0)</f>
        <v>0</v>
      </c>
      <c r="BW483" s="38">
        <f>IFERROR(INDEX(LMH_STEP,MATCH(AI483,LMH_KEY,0)),0)</f>
        <v>0</v>
      </c>
      <c r="BX483" s="38">
        <f>IFERROR(INDEX(LMH_STEP,MATCH(AJ483,LMH_KEY,0)),0)</f>
        <v>0</v>
      </c>
      <c r="BY483" s="38">
        <f>IFERROR(INDEX(LMH_STEP,MATCH(AK483,LMH_KEY,0)),0)</f>
        <v>0</v>
      </c>
      <c r="BZ483" s="38">
        <f>IFERROR(INDEX(LMH_STEP,MATCH(AL483,LMH_KEY,0)),0)</f>
        <v>0</v>
      </c>
      <c r="CA483" s="38" t="inlineStr">
        <is>
          <t>Corporate|Technology|Chief Technology Officer|E1|DE</t>
        </is>
      </c>
    </row>
    <row r="484" ht="110" customHeight="1">
      <c r="A484" s="28" t="inlineStr">
        <is>
          <t>CARBON</t>
        </is>
      </c>
      <c r="B484" s="29" t="inlineStr">
        <is>
          <t>Technology</t>
        </is>
      </c>
      <c r="C484" s="29" t="n">
        <v>1</v>
      </c>
      <c r="D484" s="29" t="inlineStr">
        <is>
          <t>IRIS0249</t>
        </is>
      </c>
      <c r="E484" s="29" t="inlineStr">
        <is>
          <t>Ashish Singhvi</t>
        </is>
      </c>
      <c r="F484" s="29" t="inlineStr">
        <is>
          <t>Product Engineering Head</t>
        </is>
      </c>
      <c r="G484" s="29" t="inlineStr">
        <is>
          <t>Head – Product Engineering</t>
        </is>
      </c>
      <c r="H484" s="29" t="inlineStr">
        <is>
          <t>Executive Leadership</t>
        </is>
      </c>
      <c r="I484" s="29" t="inlineStr">
        <is>
          <t>Business Head</t>
        </is>
      </c>
      <c r="J484" s="29" t="inlineStr">
        <is>
          <t>People Manager</t>
        </is>
      </c>
      <c r="K484" s="29" t="inlineStr">
        <is>
          <t>RC-EL-BH-C2</t>
        </is>
      </c>
      <c r="L484" s="29" t="inlineStr">
        <is>
          <t>P K X Thomas</t>
        </is>
      </c>
      <c r="M484" s="29" t="inlineStr">
        <is>
          <t>IRIS2060</t>
        </is>
      </c>
      <c r="N484" s="29" t="n">
        <v>17.7</v>
      </c>
      <c r="O484" s="29" t="n">
        <v>17.7</v>
      </c>
      <c r="P484" s="29" t="inlineStr">
        <is>
          <t>MCA</t>
        </is>
      </c>
      <c r="Q484" s="29" t="inlineStr">
        <is>
          <t>Not in current mapping files</t>
        </is>
      </c>
      <c r="R484" s="29" t="inlineStr">
        <is>
          <t>C2</t>
        </is>
      </c>
      <c r="S484" s="30" t="inlineStr">
        <is>
          <t>0 of 20</t>
        </is>
      </c>
      <c r="T484" s="31"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t>
        </is>
      </c>
      <c r="U484" s="32" t="inlineStr">
        <is>
          <t>KRAs not received · manager to supply</t>
        </is>
      </c>
      <c r="V484" s="31" t="inlineStr">
        <is>
          <t>Latest rating: Not rated · manager · 9-box: Underperformer / Exit Risk · Readiness: No rating data</t>
        </is>
      </c>
      <c r="W484" s="31" t="inlineStr">
        <is>
          <t>C M · Au M · Ac M · L M · BI M · Exp H · 17.7 yrs vs 12–17 yrs · Edu M · MCA</t>
        </is>
      </c>
      <c r="X484" s="33" t="inlineStr">
        <is>
          <t>Open ▸</t>
        </is>
      </c>
      <c r="Y484" s="34" t="str">
        <f>IFERROR(INDEX(DL_C,MATCH($CA484,DL_KEY,0)),"M")</f>
        <v>H</v>
      </c>
      <c r="Z484" s="35" t="str">
        <f>IFERROR(INDEX(DL_Au,MATCH($CA484,DL_KEY,0)),"M")</f>
        <v>M</v>
      </c>
      <c r="AA484" s="35" t="str">
        <f>IFERROR(INDEX(DL_Ac,MATCH($CA484,DL_KEY,0)),"M")</f>
        <v>M</v>
      </c>
      <c r="AB484" s="35" t="str">
        <f>IFERROR(INDEX(DL_L,MATCH($CA484,DL_KEY,0)),"M")</f>
        <v>M</v>
      </c>
      <c r="AC484" s="35" t="str">
        <f>IFERROR(INDEX(DL_BI,MATCH($CA484,DL_KEY,0)),"M")</f>
        <v>L</v>
      </c>
      <c r="AD484" s="35" t="str">
        <f>IFERROR(INDEX(DL_Exp,MATCH($CA484,DL_KEY,0)),"M")</f>
        <v>L</v>
      </c>
      <c r="AE484" s="35" t="str">
        <f>IFERROR(INDEX(DL_Edu,MATCH($CA484,DL_KEY,0)),"M")</f>
        <v>L</v>
      </c>
      <c r="AF484" s="34" t="inlineStr">
        <is>
          <t>M</t>
        </is>
      </c>
      <c r="AG484" s="35" t="inlineStr">
        <is>
          <t>M</t>
        </is>
      </c>
      <c r="AH484" s="35" t="inlineStr">
        <is>
          <t>M</t>
        </is>
      </c>
      <c r="AI484" s="35" t="inlineStr">
        <is>
          <t>M</t>
        </is>
      </c>
      <c r="AJ484" s="35" t="inlineStr">
        <is>
          <t>M</t>
        </is>
      </c>
      <c r="AK484" s="35" t="inlineStr">
        <is>
          <t>M</t>
        </is>
      </c>
      <c r="AL484" s="35" t="inlineStr">
        <is>
          <t>M</t>
        </is>
      </c>
      <c r="AM484" s="36" t="n">
        <v>0.433</v>
      </c>
      <c r="AN484" s="37" t="n">
        <v>0.18</v>
      </c>
      <c r="AO484" s="37" t="n">
        <v>0.107</v>
      </c>
      <c r="AP484" s="37" t="n">
        <v>0.15</v>
      </c>
      <c r="AQ484" s="37" t="n">
        <v>0.08</v>
      </c>
      <c r="AR484" s="37" t="n">
        <v>0.04</v>
      </c>
      <c r="AS484" s="37" t="n">
        <v>0.01</v>
      </c>
      <c r="AT484" s="38" t="inlineStr">
        <is>
          <t>12–17 yrs</t>
        </is>
      </c>
      <c r="AU484" s="38" t="inlineStr">
        <is>
          <t>Postgraduate / professional qualification preferred</t>
        </is>
      </c>
      <c r="AV484" s="38" t="inlineStr">
        <is>
          <t>5–8 managers / associate heads</t>
        </is>
      </c>
      <c r="AW484" s="38" t="inlineStr">
        <is>
          <t>P7 / M6 · SFIA 6 Initiate, influence</t>
        </is>
      </c>
      <c r="AX48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84" s="39" t="inlineStr">
        <is>
          <t>C2</t>
        </is>
      </c>
      <c r="AZ484" s="40" t="inlineStr">
        <is>
          <t>Band C · Principal / Head · Head of Function</t>
        </is>
      </c>
      <c r="BA484" s="40" t="inlineStr">
        <is>
          <t>Model C2 from the six ratings, the market-derived weights and rules R1–R13 · then No change · already below the manager</t>
        </is>
      </c>
      <c r="BB484" s="41" t="inlineStr">
        <is>
          <t>C2</t>
        </is>
      </c>
      <c r="BC484" s="40" t="inlineStr">
        <is>
          <t>The six ratings on the market-average weights of Band C · Head / manager score 8.07 → C2 · Hay, Mercer IPE and public plans · experience 17.7 yrs vs the C2 market range 12–17 yrs</t>
        </is>
      </c>
      <c r="BD484" s="42">
        <f>IF(SUM(BM484,BN484,BO484,BP484,BQ484,BR484,BS484)=0,0,(BM484*BT484+BN484*BU484+BO484*BV484+BP484*BW484+BQ484*BX484+BR484*BY484+BS484*BZ484)/SUM(BM484,BN484,BO484,BP484,BQ484,BR484,BS484))</f>
        <v>0</v>
      </c>
      <c r="BE484" s="41" t="str">
        <f>IF(LEFT(AY484,1)="X",AY484,IF(OR(AY484="B+",AY484="C+"),INDEX(LAD_PC,MAX(1,MIN(14,MATCH(AY484,LAD_PC,0)+IF(BD484&gt;=0.5,1,IF(BD484&lt;=-0.5,-1,0))))),INDEX(LAD_STD,MAX(1,MIN(12,MATCH(AY484,LAD_STD,0)+IF(BD484&gt;=0.5,1,IF(BD484&lt;=-0.5,-1,0)))))))</f>
        <v>C2</v>
      </c>
      <c r="BF484" s="43" t="n"/>
      <c r="BG484" s="41" t="str">
        <f>IF(BF484&lt;&gt;"",BF484,BE484)</f>
        <v>C2</v>
      </c>
      <c r="BH484" s="40" t="str">
        <f>IFERROR(CHOOSE(INDEX(B_RANK,MATCH(BG484,B_LVL,0)),"Band A","Band B","B+ · Player-Coach","Band C","C+ · Player-Coach","Band D","Band E"),"Band X · Consultant")</f>
        <v>Band C</v>
      </c>
      <c r="BI484" s="40" t="str">
        <f>IF(BG484=AY484,"• Same",IF(INDEX(B_VAL,MATCH(BG484,B_LVL,0))&gt;INDEX(B_VAL,MATCH(AY484,B_LVL,0)),"▲ Up","▼ Down"))</f>
        <v>• Same</v>
      </c>
      <c r="BJ484" s="40" t="str">
        <f>IF(OR($M484="",$M484="—",$M484="Not in this file"),"",IFERROR(INDEX($BG$7:$BG$592,MATCH($M484,$D$7:$D$592,0)),""))</f>
        <v>E1</v>
      </c>
      <c r="BK484" s="40" t="str">
        <f>IFERROR(IF(BJ484="","—",IF(OR(LEFT(BG484,1)="X",LEFT(BJ484,1)="X"),"—",IF(AND(LEFT(BG484,1)="E",LEFT(BJ484,1)="E"),"Exception · Band E",IF(AND(INDEX(B_VAL,MATCH(BJ484,B_LVL,0))&gt;=7,INDEX(B_RANK,MATCH(BG484,B_LVL,0))&gt;=INDEX(B_RANK,MATCH(BJ484,B_LVL,0))),"⚠ Same band as a head manager",IF(INDEX(B_VAL,MATCH(BG484,B_LVL,0))&gt;=INDEX(B_VAL,MATCH(BJ484,B_LVL,0)),"⚠ At or above the manager's level","OK"))))),"—")</f>
        <v>OK</v>
      </c>
      <c r="BL484" s="43" t="n"/>
      <c r="BM484" s="44">
        <f>IFERROR(INDEX(LMH_PTS,MATCH(Y484,LMH_KEY,0)),0)</f>
        <v>9</v>
      </c>
      <c r="BN484" s="38">
        <f>IFERROR(INDEX(LMH_PTS,MATCH(Z484,LMH_KEY,0)),0)</f>
        <v>3</v>
      </c>
      <c r="BO484" s="38">
        <f>IFERROR(INDEX(LMH_PTS,MATCH(AA484,LMH_KEY,0)),0)</f>
        <v>3</v>
      </c>
      <c r="BP484" s="38">
        <f>IFERROR(INDEX(LMH_PTS,MATCH(AB484,LMH_KEY,0)),0)</f>
        <v>3</v>
      </c>
      <c r="BQ484" s="38">
        <f>IFERROR(INDEX(LMH_PTS,MATCH(AC484,LMH_KEY,0)),0)</f>
        <v>1</v>
      </c>
      <c r="BR484" s="38">
        <f>IFERROR(INDEX(LMH_PTS,MATCH(AD484,LMH_KEY,0)),0)</f>
        <v>1</v>
      </c>
      <c r="BS484" s="38">
        <f>IFERROR(INDEX(LMH_PTS,MATCH(AE484,LMH_KEY,0)),0)</f>
        <v>1</v>
      </c>
      <c r="BT484" s="38">
        <f>IFERROR(INDEX(LMH_STEP,MATCH(AF484,LMH_KEY,0)),0)</f>
        <v>0</v>
      </c>
      <c r="BU484" s="38">
        <f>IFERROR(INDEX(LMH_STEP,MATCH(AG484,LMH_KEY,0)),0)</f>
        <v>0</v>
      </c>
      <c r="BV484" s="38">
        <f>IFERROR(INDEX(LMH_STEP,MATCH(AH484,LMH_KEY,0)),0)</f>
        <v>0</v>
      </c>
      <c r="BW484" s="38">
        <f>IFERROR(INDEX(LMH_STEP,MATCH(AI484,LMH_KEY,0)),0)</f>
        <v>0</v>
      </c>
      <c r="BX484" s="38">
        <f>IFERROR(INDEX(LMH_STEP,MATCH(AJ484,LMH_KEY,0)),0)</f>
        <v>0</v>
      </c>
      <c r="BY484" s="38">
        <f>IFERROR(INDEX(LMH_STEP,MATCH(AK484,LMH_KEY,0)),0)</f>
        <v>0</v>
      </c>
      <c r="BZ484" s="38">
        <f>IFERROR(INDEX(LMH_STEP,MATCH(AL484,LMH_KEY,0)),0)</f>
        <v>0</v>
      </c>
      <c r="CA484" s="38" t="inlineStr">
        <is>
          <t>CARBON|Technology|Head – Product Engineering|C2|C-M</t>
        </is>
      </c>
    </row>
    <row r="485" ht="110" customHeight="1">
      <c r="A485" s="28" t="inlineStr">
        <is>
          <t>CARBON</t>
        </is>
      </c>
      <c r="B485" s="29" t="inlineStr">
        <is>
          <t>Technology</t>
        </is>
      </c>
      <c r="C485" s="29" t="n">
        <v>2</v>
      </c>
      <c r="D485" s="29" t="inlineStr">
        <is>
          <t>IRIS1832</t>
        </is>
      </c>
      <c r="E485" s="29" t="inlineStr">
        <is>
          <t>Chetan Kotwal</t>
        </is>
      </c>
      <c r="F485" s="29" t="inlineStr">
        <is>
          <t>Lead Software Engineer</t>
        </is>
      </c>
      <c r="G485" s="29" t="inlineStr">
        <is>
          <t>Senior Engineering Manager</t>
        </is>
      </c>
      <c r="H485" s="29" t="inlineStr">
        <is>
          <t>Engineering &amp; Development</t>
        </is>
      </c>
      <c r="I485" s="29" t="inlineStr">
        <is>
          <t>Backend Development</t>
        </is>
      </c>
      <c r="J485" s="29" t="inlineStr">
        <is>
          <t>People Manager</t>
        </is>
      </c>
      <c r="K485" s="29" t="inlineStr">
        <is>
          <t>RC-072</t>
        </is>
      </c>
      <c r="L485" s="29" t="inlineStr">
        <is>
          <t>Ashish Singhvi</t>
        </is>
      </c>
      <c r="M485" s="29" t="inlineStr">
        <is>
          <t>IRIS0249</t>
        </is>
      </c>
      <c r="N485" s="29" t="n">
        <v>13.7</v>
      </c>
      <c r="O485" s="29" t="n">
        <v>6.7</v>
      </c>
      <c r="P485" s="29" t="inlineStr">
        <is>
          <t>B.E</t>
        </is>
      </c>
      <c r="Q485" s="29" t="inlineStr">
        <is>
          <t>L5 – Lead · IC</t>
        </is>
      </c>
      <c r="R485" s="29" t="inlineStr">
        <is>
          <t>B3</t>
        </is>
      </c>
      <c r="S485" s="30" t="inlineStr">
        <is>
          <t>20 of 20</t>
        </is>
      </c>
      <c r="T485" s="31" t="inlineStr">
        <is>
          <t>• Role / sub-team: Technology — Lead Software Engineer.
• Core purpose: Analyze client requirements, assess technical feasibility, solve complex challenges, and collaborate with the team to deliver scalable solutions and features on time.
• Decision-making autonomy: Can independently rND on unknown challanges.
• Is this something only they do: Few of us.
• …</t>
        </is>
      </c>
      <c r="U485" s="31" t="inlineStr">
        <is>
          <t>Received · manager annual · 1.Ensure ≥ 95% delivery adherence for all committed DM module milestones across sprints and releases.
2.Develop deep expertise in Microsoft 365 ecosystem · Office Add-ins, Office JS, Graph APIs, SharePoint, OneDrive, Entra ID and become internal SME for platform-related initiatives.
3.Conduct research and benchmarking …</t>
        </is>
      </c>
      <c r="V485" s="31" t="inlineStr">
        <is>
          <t>Latest rating: Not rated · manager · 9-box: Underperformer / Exit Risk · Readiness: No rating data</t>
        </is>
      </c>
      <c r="W485" s="31" t="inlineStr">
        <is>
          <t>C M · Au M · Ac M · L M · BI M · Exp H · 13.7 yrs vs 8–12 yrs · Edu L · B.E</t>
        </is>
      </c>
      <c r="X485" s="33" t="inlineStr">
        <is>
          <t>Open ▸</t>
        </is>
      </c>
      <c r="Y485" s="34" t="str">
        <f>IFERROR(INDEX(DL_C,MATCH($CA485,DL_KEY,0)),"M")</f>
        <v>H</v>
      </c>
      <c r="Z485" s="35" t="str">
        <f>IFERROR(INDEX(DL_Au,MATCH($CA485,DL_KEY,0)),"M")</f>
        <v>M</v>
      </c>
      <c r="AA485" s="35" t="str">
        <f>IFERROR(INDEX(DL_Ac,MATCH($CA485,DL_KEY,0)),"M")</f>
        <v>L</v>
      </c>
      <c r="AB485" s="35" t="str">
        <f>IFERROR(INDEX(DL_L,MATCH($CA485,DL_KEY,0)),"M")</f>
        <v>M</v>
      </c>
      <c r="AC485" s="35" t="str">
        <f>IFERROR(INDEX(DL_BI,MATCH($CA485,DL_KEY,0)),"M")</f>
        <v>L</v>
      </c>
      <c r="AD485" s="35" t="str">
        <f>IFERROR(INDEX(DL_Exp,MATCH($CA485,DL_KEY,0)),"M")</f>
        <v>L</v>
      </c>
      <c r="AE485" s="35" t="str">
        <f>IFERROR(INDEX(DL_Edu,MATCH($CA485,DL_KEY,0)),"M")</f>
        <v>L</v>
      </c>
      <c r="AF485" s="34" t="inlineStr">
        <is>
          <t>M</t>
        </is>
      </c>
      <c r="AG485" s="35" t="inlineStr">
        <is>
          <t>M</t>
        </is>
      </c>
      <c r="AH485" s="35" t="inlineStr">
        <is>
          <t>M</t>
        </is>
      </c>
      <c r="AI485" s="35" t="inlineStr">
        <is>
          <t>M</t>
        </is>
      </c>
      <c r="AJ485" s="35" t="inlineStr">
        <is>
          <t>M</t>
        </is>
      </c>
      <c r="AK485" s="35" t="inlineStr">
        <is>
          <t>M</t>
        </is>
      </c>
      <c r="AL485" s="35" t="inlineStr">
        <is>
          <t>M</t>
        </is>
      </c>
      <c r="AM485" s="36" t="n">
        <v>0.37</v>
      </c>
      <c r="AN485" s="37" t="n">
        <v>0.183</v>
      </c>
      <c r="AO485" s="37" t="n">
        <v>0.113</v>
      </c>
      <c r="AP485" s="37" t="n">
        <v>0.15</v>
      </c>
      <c r="AQ485" s="37" t="n">
        <v>0.08699999999999999</v>
      </c>
      <c r="AR485" s="37" t="n">
        <v>0.06</v>
      </c>
      <c r="AS485" s="37" t="n">
        <v>0.04</v>
      </c>
      <c r="AT485" s="38" t="inlineStr">
        <is>
          <t>8–13</t>
        </is>
      </c>
      <c r="AU485" s="38" t="inlineStr">
        <is>
          <t>Postgraduate or professional qualification preferred</t>
        </is>
      </c>
      <c r="AV485" s="38" t="inlineStr">
        <is>
          <t>IC: none · People: 5–8 incl. team leads</t>
        </is>
      </c>
      <c r="AW485" s="38" t="inlineStr">
        <is>
          <t>P5 / M4 · SFIA 5 Ensure, advise</t>
        </is>
      </c>
      <c r="AX48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85" s="39" t="inlineStr">
        <is>
          <t>B3</t>
        </is>
      </c>
      <c r="AZ485" s="40" t="inlineStr">
        <is>
          <t>Band B · Specialist / Manager · Senior Manager</t>
        </is>
      </c>
      <c r="BA485" s="40" t="inlineStr">
        <is>
          <t>Model B3 from the six ratings, the market-derived weights and rules R1–R13 · then No change · already below the manager</t>
        </is>
      </c>
      <c r="BB485" s="41" t="inlineStr">
        <is>
          <t>B3</t>
        </is>
      </c>
      <c r="BC485" s="40" t="inlineStr">
        <is>
          <t>The six ratings on the market-average weights of Band B · People Manager score 5.70 → B3 · Hay, Mercer IPE and public plans · experience 13.7 yrs vs the B3 market range 8–13</t>
        </is>
      </c>
      <c r="BD485" s="42">
        <f>IF(SUM(BM485,BN485,BO485,BP485,BQ485,BR485,BS485)=0,0,(BM485*BT485+BN485*BU485+BO485*BV485+BP485*BW485+BQ485*BX485+BR485*BY485+BS485*BZ485)/SUM(BM485,BN485,BO485,BP485,BQ485,BR485,BS485))</f>
        <v>0</v>
      </c>
      <c r="BE485" s="41" t="str">
        <f>IF(LEFT(AY485,1)="X",AY485,IF(OR(AY485="B+",AY485="C+"),INDEX(LAD_PC,MAX(1,MIN(14,MATCH(AY485,LAD_PC,0)+IF(BD485&gt;=0.5,1,IF(BD485&lt;=-0.5,-1,0))))),INDEX(LAD_STD,MAX(1,MIN(12,MATCH(AY485,LAD_STD,0)+IF(BD485&gt;=0.5,1,IF(BD485&lt;=-0.5,-1,0)))))))</f>
        <v>B3</v>
      </c>
      <c r="BF485" s="43" t="n"/>
      <c r="BG485" s="41" t="str">
        <f>IF(BF485&lt;&gt;"",BF485,BE485)</f>
        <v>B3</v>
      </c>
      <c r="BH485" s="40" t="str">
        <f>IFERROR(CHOOSE(INDEX(B_RANK,MATCH(BG485,B_LVL,0)),"Band A","Band B","B+ · Player-Coach","Band C","C+ · Player-Coach","Band D","Band E"),"Band X · Consultant")</f>
        <v>Band B</v>
      </c>
      <c r="BI485" s="40" t="str">
        <f>IF(BG485=AY485,"• Same",IF(INDEX(B_VAL,MATCH(BG485,B_LVL,0))&gt;INDEX(B_VAL,MATCH(AY485,B_LVL,0)),"▲ Up","▼ Down"))</f>
        <v>• Same</v>
      </c>
      <c r="BJ485" s="40" t="str">
        <f>IF(OR($M485="",$M485="—",$M485="Not in this file"),"",IFERROR(INDEX($BG$7:$BG$592,MATCH($M485,$D$7:$D$592,0)),""))</f>
        <v>C2</v>
      </c>
      <c r="BK485" s="40" t="str">
        <f>IFERROR(IF(BJ485="","—",IF(OR(LEFT(BG485,1)="X",LEFT(BJ485,1)="X"),"—",IF(AND(LEFT(BG485,1)="E",LEFT(BJ485,1)="E"),"Exception · Band E",IF(AND(INDEX(B_VAL,MATCH(BJ485,B_LVL,0))&gt;=7,INDEX(B_RANK,MATCH(BG485,B_LVL,0))&gt;=INDEX(B_RANK,MATCH(BJ485,B_LVL,0))),"⚠ Same band as a head manager",IF(INDEX(B_VAL,MATCH(BG485,B_LVL,0))&gt;=INDEX(B_VAL,MATCH(BJ485,B_LVL,0)),"⚠ At or above the manager's level","OK"))))),"—")</f>
        <v>OK</v>
      </c>
      <c r="BL485" s="43" t="n"/>
      <c r="BM485" s="44">
        <f>IFERROR(INDEX(LMH_PTS,MATCH(Y485,LMH_KEY,0)),0)</f>
        <v>9</v>
      </c>
      <c r="BN485" s="38">
        <f>IFERROR(INDEX(LMH_PTS,MATCH(Z485,LMH_KEY,0)),0)</f>
        <v>3</v>
      </c>
      <c r="BO485" s="38">
        <f>IFERROR(INDEX(LMH_PTS,MATCH(AA485,LMH_KEY,0)),0)</f>
        <v>1</v>
      </c>
      <c r="BP485" s="38">
        <f>IFERROR(INDEX(LMH_PTS,MATCH(AB485,LMH_KEY,0)),0)</f>
        <v>3</v>
      </c>
      <c r="BQ485" s="38">
        <f>IFERROR(INDEX(LMH_PTS,MATCH(AC485,LMH_KEY,0)),0)</f>
        <v>1</v>
      </c>
      <c r="BR485" s="38">
        <f>IFERROR(INDEX(LMH_PTS,MATCH(AD485,LMH_KEY,0)),0)</f>
        <v>1</v>
      </c>
      <c r="BS485" s="38">
        <f>IFERROR(INDEX(LMH_PTS,MATCH(AE485,LMH_KEY,0)),0)</f>
        <v>1</v>
      </c>
      <c r="BT485" s="38">
        <f>IFERROR(INDEX(LMH_STEP,MATCH(AF485,LMH_KEY,0)),0)</f>
        <v>0</v>
      </c>
      <c r="BU485" s="38">
        <f>IFERROR(INDEX(LMH_STEP,MATCH(AG485,LMH_KEY,0)),0)</f>
        <v>0</v>
      </c>
      <c r="BV485" s="38">
        <f>IFERROR(INDEX(LMH_STEP,MATCH(AH485,LMH_KEY,0)),0)</f>
        <v>0</v>
      </c>
      <c r="BW485" s="38">
        <f>IFERROR(INDEX(LMH_STEP,MATCH(AI485,LMH_KEY,0)),0)</f>
        <v>0</v>
      </c>
      <c r="BX485" s="38">
        <f>IFERROR(INDEX(LMH_STEP,MATCH(AJ485,LMH_KEY,0)),0)</f>
        <v>0</v>
      </c>
      <c r="BY485" s="38">
        <f>IFERROR(INDEX(LMH_STEP,MATCH(AK485,LMH_KEY,0)),0)</f>
        <v>0</v>
      </c>
      <c r="BZ485" s="38">
        <f>IFERROR(INDEX(LMH_STEP,MATCH(AL485,LMH_KEY,0)),0)</f>
        <v>0</v>
      </c>
      <c r="CA485" s="38" t="inlineStr">
        <is>
          <t>CARBON|Technology|Senior Engineering Manager|B3|B-M</t>
        </is>
      </c>
    </row>
    <row r="486" ht="110" customHeight="1">
      <c r="A486" s="28" t="inlineStr">
        <is>
          <t>CARBON</t>
        </is>
      </c>
      <c r="B486" s="29" t="inlineStr">
        <is>
          <t>Support</t>
        </is>
      </c>
      <c r="C486" s="29" t="n">
        <v>3</v>
      </c>
      <c r="D486" s="29" t="inlineStr">
        <is>
          <t>IRIS1878</t>
        </is>
      </c>
      <c r="E486" s="29" t="inlineStr">
        <is>
          <t>Shailesh Koradiya</t>
        </is>
      </c>
      <c r="F486" s="29" t="inlineStr">
        <is>
          <t>Technical Support Lead</t>
        </is>
      </c>
      <c r="G486" s="29" t="inlineStr">
        <is>
          <t>DevOps Specialist – POD Lead</t>
        </is>
      </c>
      <c r="H486" s="29" t="inlineStr">
        <is>
          <t>Engineering &amp; Development</t>
        </is>
      </c>
      <c r="I486" s="29" t="inlineStr">
        <is>
          <t>DevOps &amp; Release Engineering</t>
        </is>
      </c>
      <c r="J486" s="29" t="inlineStr">
        <is>
          <t>POD Lead</t>
        </is>
      </c>
      <c r="K486" s="29" t="inlineStr">
        <is>
          <t>RC-077</t>
        </is>
      </c>
      <c r="L486" s="29" t="inlineStr">
        <is>
          <t>Chetan Kotwal</t>
        </is>
      </c>
      <c r="M486" s="29" t="inlineStr">
        <is>
          <t>IRIS1832</t>
        </is>
      </c>
      <c r="N486" s="29" t="n">
        <v>13.1</v>
      </c>
      <c r="O486" s="29" t="n">
        <v>5.9</v>
      </c>
      <c r="P486" s="29" t="inlineStr">
        <is>
          <t>MCA</t>
        </is>
      </c>
      <c r="Q486" s="29" t="inlineStr">
        <is>
          <t>L5 – Lead · IC</t>
        </is>
      </c>
      <c r="R486" s="29" t="inlineStr">
        <is>
          <t>B1</t>
        </is>
      </c>
      <c r="S486" s="30" t="inlineStr">
        <is>
          <t>20 of 20</t>
        </is>
      </c>
      <c r="T486" s="31" t="inlineStr">
        <is>
          <t>• Role / sub-team: Support — Technical Support Lead.
• Core purpose: Ensure application stability and smooth delivery through technical support, troubleshooting, deployments, and DevOps activities.
• Decision-making autonomy: Can independently deployment Strategy.
• Is this something only they do: Shared — a few team members handle similar …</t>
        </is>
      </c>
      <c r="U486" s="31" t="inlineStr">
        <is>
          <t>Received · manager annual · 1.Ensure ≥ 95% support tickets/incidents are acknowledged and responded to within defined TAT/SLA across all supported products.
2.Improve issue resolution efficiency by ensuring ≥ 90% incidents are resolved or routed with proper diagnosis and actionable root-cause details for development team.
3.Deliver hotfixes, …</t>
        </is>
      </c>
      <c r="V486" s="31" t="inlineStr">
        <is>
          <t>Latest rating: Not rated · manager · 9-box: Trusted Professional · Readiness: No rating data</t>
        </is>
      </c>
      <c r="W486" s="31" t="inlineStr">
        <is>
          <t>C M · Au M · Ac M · L L · BI M · Exp H · 13.1 yrs vs 4–7 yrs · Edu H · MCA</t>
        </is>
      </c>
      <c r="X486" s="33" t="inlineStr">
        <is>
          <t>Open ▸</t>
        </is>
      </c>
      <c r="Y486" s="34" t="str">
        <f>IFERROR(INDEX(DL_C,MATCH($CA486,DL_KEY,0)),"M")</f>
        <v>H</v>
      </c>
      <c r="Z486" s="35" t="str">
        <f>IFERROR(INDEX(DL_Au,MATCH($CA486,DL_KEY,0)),"M")</f>
        <v>M</v>
      </c>
      <c r="AA486" s="35" t="str">
        <f>IFERROR(INDEX(DL_Ac,MATCH($CA486,DL_KEY,0)),"M")</f>
        <v>L</v>
      </c>
      <c r="AB486" s="35" t="str">
        <f>IFERROR(INDEX(DL_L,MATCH($CA486,DL_KEY,0)),"M")</f>
        <v>L</v>
      </c>
      <c r="AC486" s="35" t="str">
        <f>IFERROR(INDEX(DL_BI,MATCH($CA486,DL_KEY,0)),"M")</f>
        <v>L</v>
      </c>
      <c r="AD486" s="35" t="str">
        <f>IFERROR(INDEX(DL_Exp,MATCH($CA486,DL_KEY,0)),"M")</f>
        <v>L</v>
      </c>
      <c r="AE486" s="35" t="str">
        <f>IFERROR(INDEX(DL_Edu,MATCH($CA486,DL_KEY,0)),"M")</f>
        <v>L</v>
      </c>
      <c r="AF486" s="34" t="inlineStr">
        <is>
          <t>M</t>
        </is>
      </c>
      <c r="AG486" s="35" t="inlineStr">
        <is>
          <t>M</t>
        </is>
      </c>
      <c r="AH486" s="35" t="inlineStr">
        <is>
          <t>M</t>
        </is>
      </c>
      <c r="AI486" s="35" t="inlineStr">
        <is>
          <t>M</t>
        </is>
      </c>
      <c r="AJ486" s="35" t="inlineStr">
        <is>
          <t>M</t>
        </is>
      </c>
      <c r="AK486" s="35" t="inlineStr">
        <is>
          <t>M</t>
        </is>
      </c>
      <c r="AL486" s="35" t="inlineStr">
        <is>
          <t>M</t>
        </is>
      </c>
      <c r="AM486" s="36" t="n">
        <v>0.513</v>
      </c>
      <c r="AN486" s="37" t="n">
        <v>0.173</v>
      </c>
      <c r="AO486" s="37" t="n">
        <v>0.09699999999999999</v>
      </c>
      <c r="AP486" s="37" t="n">
        <v>0.05</v>
      </c>
      <c r="AQ486" s="37" t="n">
        <v>0.07000000000000001</v>
      </c>
      <c r="AR486" s="37" t="n">
        <v>0.06</v>
      </c>
      <c r="AS486" s="37" t="n">
        <v>0.04</v>
      </c>
      <c r="AT486" s="38" t="inlineStr">
        <is>
          <t>4–8</t>
        </is>
      </c>
      <c r="AU486" s="38" t="inlineStr">
        <is>
          <t>Graduate + relevant qualification or certification preferred</t>
        </is>
      </c>
      <c r="AV486" s="38" t="inlineStr">
        <is>
          <t>IC: none · Team Lead: 3–5</t>
        </is>
      </c>
      <c r="AW486" s="38" t="inlineStr">
        <is>
          <t>P3 / M2 · SFIA 4 Enable</t>
        </is>
      </c>
      <c r="AX48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86" s="39" t="inlineStr">
        <is>
          <t>B1</t>
        </is>
      </c>
      <c r="AZ486" s="40" t="inlineStr">
        <is>
          <t>Band B · Specialist / Manager · Team Lead / Asst Manager</t>
        </is>
      </c>
      <c r="BA486" s="40" t="inlineStr">
        <is>
          <t>Model B1 from the six ratings, the market-derived weights and rules R1–R13 · then No change · already below the manager</t>
        </is>
      </c>
      <c r="BB486" s="41" t="inlineStr">
        <is>
          <t>B1</t>
        </is>
      </c>
      <c r="BC486" s="40" t="inlineStr">
        <is>
          <t>The six ratings on the market-average weights of Band B · Specialist / POD Lead score 4.01 → B1 · Hay, Mercer IPE and public plans · experience 13.1 yrs vs the B1 market range 4–8</t>
        </is>
      </c>
      <c r="BD486" s="42">
        <f>IF(SUM(BM486,BN486,BO486,BP486,BQ486,BR486,BS486)=0,0,(BM486*BT486+BN486*BU486+BO486*BV486+BP486*BW486+BQ486*BX486+BR486*BY486+BS486*BZ486)/SUM(BM486,BN486,BO486,BP486,BQ486,BR486,BS486))</f>
        <v>0</v>
      </c>
      <c r="BE486" s="41" t="str">
        <f>IF(LEFT(AY486,1)="X",AY486,IF(OR(AY486="B+",AY486="C+"),INDEX(LAD_PC,MAX(1,MIN(14,MATCH(AY486,LAD_PC,0)+IF(BD486&gt;=0.5,1,IF(BD486&lt;=-0.5,-1,0))))),INDEX(LAD_STD,MAX(1,MIN(12,MATCH(AY486,LAD_STD,0)+IF(BD486&gt;=0.5,1,IF(BD486&lt;=-0.5,-1,0)))))))</f>
        <v>B1</v>
      </c>
      <c r="BF486" s="43" t="n"/>
      <c r="BG486" s="41" t="str">
        <f>IF(BF486&lt;&gt;"",BF486,BE486)</f>
        <v>B1</v>
      </c>
      <c r="BH486" s="40" t="str">
        <f>IFERROR(CHOOSE(INDEX(B_RANK,MATCH(BG486,B_LVL,0)),"Band A","Band B","B+ · Player-Coach","Band C","C+ · Player-Coach","Band D","Band E"),"Band X · Consultant")</f>
        <v>Band B</v>
      </c>
      <c r="BI486" s="40" t="str">
        <f>IF(BG486=AY486,"• Same",IF(INDEX(B_VAL,MATCH(BG486,B_LVL,0))&gt;INDEX(B_VAL,MATCH(AY486,B_LVL,0)),"▲ Up","▼ Down"))</f>
        <v>• Same</v>
      </c>
      <c r="BJ486" s="40" t="str">
        <f>IF(OR($M486="",$M486="—",$M486="Not in this file"),"",IFERROR(INDEX($BG$7:$BG$592,MATCH($M486,$D$7:$D$592,0)),""))</f>
        <v>B3</v>
      </c>
      <c r="BK486" s="40" t="str">
        <f>IFERROR(IF(BJ486="","—",IF(OR(LEFT(BG486,1)="X",LEFT(BJ486,1)="X"),"—",IF(AND(LEFT(BG486,1)="E",LEFT(BJ486,1)="E"),"Exception · Band E",IF(AND(INDEX(B_VAL,MATCH(BJ486,B_LVL,0))&gt;=7,INDEX(B_RANK,MATCH(BG486,B_LVL,0))&gt;=INDEX(B_RANK,MATCH(BJ486,B_LVL,0))),"⚠ Same band as a head manager",IF(INDEX(B_VAL,MATCH(BG486,B_LVL,0))&gt;=INDEX(B_VAL,MATCH(BJ486,B_LVL,0)),"⚠ At or above the manager's level","OK"))))),"—")</f>
        <v>OK</v>
      </c>
      <c r="BL486" s="43" t="n"/>
      <c r="BM486" s="44">
        <f>IFERROR(INDEX(LMH_PTS,MATCH(Y486,LMH_KEY,0)),0)</f>
        <v>9</v>
      </c>
      <c r="BN486" s="38">
        <f>IFERROR(INDEX(LMH_PTS,MATCH(Z486,LMH_KEY,0)),0)</f>
        <v>3</v>
      </c>
      <c r="BO486" s="38">
        <f>IFERROR(INDEX(LMH_PTS,MATCH(AA486,LMH_KEY,0)),0)</f>
        <v>1</v>
      </c>
      <c r="BP486" s="38">
        <f>IFERROR(INDEX(LMH_PTS,MATCH(AB486,LMH_KEY,0)),0)</f>
        <v>1</v>
      </c>
      <c r="BQ486" s="38">
        <f>IFERROR(INDEX(LMH_PTS,MATCH(AC486,LMH_KEY,0)),0)</f>
        <v>1</v>
      </c>
      <c r="BR486" s="38">
        <f>IFERROR(INDEX(LMH_PTS,MATCH(AD486,LMH_KEY,0)),0)</f>
        <v>1</v>
      </c>
      <c r="BS486" s="38">
        <f>IFERROR(INDEX(LMH_PTS,MATCH(AE486,LMH_KEY,0)),0)</f>
        <v>1</v>
      </c>
      <c r="BT486" s="38">
        <f>IFERROR(INDEX(LMH_STEP,MATCH(AF486,LMH_KEY,0)),0)</f>
        <v>0</v>
      </c>
      <c r="BU486" s="38">
        <f>IFERROR(INDEX(LMH_STEP,MATCH(AG486,LMH_KEY,0)),0)</f>
        <v>0</v>
      </c>
      <c r="BV486" s="38">
        <f>IFERROR(INDEX(LMH_STEP,MATCH(AH486,LMH_KEY,0)),0)</f>
        <v>0</v>
      </c>
      <c r="BW486" s="38">
        <f>IFERROR(INDEX(LMH_STEP,MATCH(AI486,LMH_KEY,0)),0)</f>
        <v>0</v>
      </c>
      <c r="BX486" s="38">
        <f>IFERROR(INDEX(LMH_STEP,MATCH(AJ486,LMH_KEY,0)),0)</f>
        <v>0</v>
      </c>
      <c r="BY486" s="38">
        <f>IFERROR(INDEX(LMH_STEP,MATCH(AK486,LMH_KEY,0)),0)</f>
        <v>0</v>
      </c>
      <c r="BZ486" s="38">
        <f>IFERROR(INDEX(LMH_STEP,MATCH(AL486,LMH_KEY,0)),0)</f>
        <v>0</v>
      </c>
      <c r="CA486" s="38" t="inlineStr">
        <is>
          <t>CARBON|Support|DevOps Specialist – POD Lead|B1|B-IC</t>
        </is>
      </c>
    </row>
    <row r="487" ht="110" customHeight="1">
      <c r="A487" s="28" t="inlineStr">
        <is>
          <t>CARBON</t>
        </is>
      </c>
      <c r="B487" s="29" t="inlineStr">
        <is>
          <t>Support</t>
        </is>
      </c>
      <c r="C487" s="29" t="n">
        <v>4</v>
      </c>
      <c r="D487" s="29" t="inlineStr">
        <is>
          <t>IRIS1941</t>
        </is>
      </c>
      <c r="E487" s="29" t="inlineStr">
        <is>
          <t>Manish Yadav</t>
        </is>
      </c>
      <c r="F487" s="29" t="inlineStr">
        <is>
          <t>Software Engineer</t>
        </is>
      </c>
      <c r="G487" s="29" t="inlineStr">
        <is>
          <t>Senior Software Engineer</t>
        </is>
      </c>
      <c r="H487" s="29" t="inlineStr">
        <is>
          <t>Engineering &amp; Development</t>
        </is>
      </c>
      <c r="I487" s="29" t="inlineStr">
        <is>
          <t>Application Maintenance &amp; Production Support</t>
        </is>
      </c>
      <c r="J487" s="29" t="inlineStr">
        <is>
          <t>IC</t>
        </is>
      </c>
      <c r="K487" s="29" t="inlineStr">
        <is>
          <t>RC-062</t>
        </is>
      </c>
      <c r="L487" s="29" t="inlineStr">
        <is>
          <t>Shailesh Koradiya</t>
        </is>
      </c>
      <c r="M487" s="29" t="inlineStr">
        <is>
          <t>IRIS1878</t>
        </is>
      </c>
      <c r="N487" s="29" t="n">
        <v>5.3</v>
      </c>
      <c r="O487" s="29" t="n">
        <v>5.1</v>
      </c>
      <c r="P487" s="29" t="inlineStr">
        <is>
          <t>B.E</t>
        </is>
      </c>
      <c r="Q487" s="29" t="inlineStr">
        <is>
          <t>L3 – Professional / Associate</t>
        </is>
      </c>
      <c r="R487" s="29" t="inlineStr">
        <is>
          <t>A3</t>
        </is>
      </c>
      <c r="S487" s="30" t="inlineStr">
        <is>
          <t>20 of 20</t>
        </is>
      </c>
      <c r="T487" s="31" t="inlineStr">
        <is>
          <t>• Role / sub-team: Client Success / Support — Software Engineer.
• Core purpose: Responsible for technical support and software development.
• Decision-making autonomy: Can independently provide technical-side support and carry out development.
• Is this something only he does: Largely his alone.
• What's different about this role: Domain knowledge required.</t>
        </is>
      </c>
      <c r="U487" s="31" t="inlineStr">
        <is>
          <t>Received · manager annual · 1.Ensure ≥ 90% support tickets/incidents are acknowledged and responded to within defined TAT/SLA across supported products.
2.Improve issue resolution capability by ensuring ≥ 85% incidents are resolved or routed with proper diagnosis and actionable details for development team.
3.Deliver hotfixes, scripts, and …</t>
        </is>
      </c>
      <c r="V487" s="31" t="inlineStr">
        <is>
          <t>Latest rating: Not rated · manager · 9-box: Trusted Professional · Readiness: No rating data</t>
        </is>
      </c>
      <c r="W487" s="31" t="inlineStr">
        <is>
          <t>C M · Au M · Ac M · L L · BI M · Exp H · 5.3 yrs vs 2–4 yrs · Edu M · B.E</t>
        </is>
      </c>
      <c r="X487" s="33" t="inlineStr">
        <is>
          <t>Open ▸</t>
        </is>
      </c>
      <c r="Y487" s="34" t="str">
        <f>IFERROR(INDEX(DL_C,MATCH($CA487,DL_KEY,0)),"M")</f>
        <v>H</v>
      </c>
      <c r="Z487" s="35" t="str">
        <f>IFERROR(INDEX(DL_Au,MATCH($CA487,DL_KEY,0)),"M")</f>
        <v>M</v>
      </c>
      <c r="AA487" s="35" t="str">
        <f>IFERROR(INDEX(DL_Ac,MATCH($CA487,DL_KEY,0)),"M")</f>
        <v>L</v>
      </c>
      <c r="AB487" s="35" t="str">
        <f>IFERROR(INDEX(DL_L,MATCH($CA487,DL_KEY,0)),"M")</f>
        <v>L</v>
      </c>
      <c r="AC487" s="35" t="str">
        <f>IFERROR(INDEX(DL_BI,MATCH($CA487,DL_KEY,0)),"M")</f>
        <v>L</v>
      </c>
      <c r="AD487" s="35" t="str">
        <f>IFERROR(INDEX(DL_Exp,MATCH($CA487,DL_KEY,0)),"M")</f>
        <v>L</v>
      </c>
      <c r="AE487" s="35" t="str">
        <f>IFERROR(INDEX(DL_Edu,MATCH($CA487,DL_KEY,0)),"M")</f>
        <v>L</v>
      </c>
      <c r="AF487" s="34" t="inlineStr">
        <is>
          <t>M</t>
        </is>
      </c>
      <c r="AG487" s="35" t="inlineStr">
        <is>
          <t>M</t>
        </is>
      </c>
      <c r="AH487" s="35" t="inlineStr">
        <is>
          <t>M</t>
        </is>
      </c>
      <c r="AI487" s="35" t="inlineStr">
        <is>
          <t>M</t>
        </is>
      </c>
      <c r="AJ487" s="35" t="inlineStr">
        <is>
          <t>M</t>
        </is>
      </c>
      <c r="AK487" s="35" t="inlineStr">
        <is>
          <t>M</t>
        </is>
      </c>
      <c r="AL487" s="35" t="inlineStr">
        <is>
          <t>M</t>
        </is>
      </c>
      <c r="AM487" s="36" t="n">
        <v>0.583</v>
      </c>
      <c r="AN487" s="37" t="n">
        <v>0.16</v>
      </c>
      <c r="AO487" s="37" t="n">
        <v>0.09</v>
      </c>
      <c r="AP487" s="37" t="n">
        <v>0</v>
      </c>
      <c r="AQ487" s="37" t="n">
        <v>0.063</v>
      </c>
      <c r="AR487" s="37" t="n">
        <v>0.06</v>
      </c>
      <c r="AS487" s="37" t="n">
        <v>0.04</v>
      </c>
      <c r="AT487" s="38" t="inlineStr">
        <is>
          <t>2–5</t>
        </is>
      </c>
      <c r="AU487" s="38" t="inlineStr">
        <is>
          <t>Graduate; relevant certification preferred</t>
        </is>
      </c>
      <c r="AV487" s="38" t="inlineStr">
        <is>
          <t>None · guides 1–3 juniors informally</t>
        </is>
      </c>
      <c r="AW487" s="38" t="inlineStr">
        <is>
          <t>P2 · SFIA 3 Apply</t>
        </is>
      </c>
      <c r="AX48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87" s="39" t="inlineStr">
        <is>
          <t>A3</t>
        </is>
      </c>
      <c r="AZ487" s="40" t="inlineStr">
        <is>
          <t>Band A · Practitioner · Senior Associate</t>
        </is>
      </c>
      <c r="BA487" s="40" t="inlineStr">
        <is>
          <t>Model A3 from the six ratings, the market-derived weights and rules R1–R13 · then No change · already below the manager</t>
        </is>
      </c>
      <c r="BB487" s="41" t="inlineStr">
        <is>
          <t>A3</t>
        </is>
      </c>
      <c r="BC487" s="40" t="inlineStr">
        <is>
          <t>The six ratings on the market-average weights of Band A · all tracks score 2.65 → A3 · Hay, Mercer IPE and public plans · experience 5.3 yrs vs the A3 market range 2–5</t>
        </is>
      </c>
      <c r="BD487" s="42">
        <f>IF(SUM(BM487,BN487,BO487,BP487,BQ487,BR487,BS487)=0,0,(BM487*BT487+BN487*BU487+BO487*BV487+BP487*BW487+BQ487*BX487+BR487*BY487+BS487*BZ487)/SUM(BM487,BN487,BO487,BP487,BQ487,BR487,BS487))</f>
        <v>0</v>
      </c>
      <c r="BE487" s="41" t="str">
        <f>IF(LEFT(AY487,1)="X",AY487,IF(OR(AY487="B+",AY487="C+"),INDEX(LAD_PC,MAX(1,MIN(14,MATCH(AY487,LAD_PC,0)+IF(BD487&gt;=0.5,1,IF(BD487&lt;=-0.5,-1,0))))),INDEX(LAD_STD,MAX(1,MIN(12,MATCH(AY487,LAD_STD,0)+IF(BD487&gt;=0.5,1,IF(BD487&lt;=-0.5,-1,0)))))))</f>
        <v>A3</v>
      </c>
      <c r="BF487" s="43" t="n"/>
      <c r="BG487" s="41" t="str">
        <f>IF(BF487&lt;&gt;"",BF487,BE487)</f>
        <v>A3</v>
      </c>
      <c r="BH487" s="40" t="str">
        <f>IFERROR(CHOOSE(INDEX(B_RANK,MATCH(BG487,B_LVL,0)),"Band A","Band B","B+ · Player-Coach","Band C","C+ · Player-Coach","Band D","Band E"),"Band X · Consultant")</f>
        <v>Band A</v>
      </c>
      <c r="BI487" s="40" t="str">
        <f>IF(BG487=AY487,"• Same",IF(INDEX(B_VAL,MATCH(BG487,B_LVL,0))&gt;INDEX(B_VAL,MATCH(AY487,B_LVL,0)),"▲ Up","▼ Down"))</f>
        <v>• Same</v>
      </c>
      <c r="BJ487" s="40" t="str">
        <f>IF(OR($M487="",$M487="—",$M487="Not in this file"),"",IFERROR(INDEX($BG$7:$BG$592,MATCH($M487,$D$7:$D$592,0)),""))</f>
        <v>B1</v>
      </c>
      <c r="BK487" s="40" t="str">
        <f>IFERROR(IF(BJ487="","—",IF(OR(LEFT(BG487,1)="X",LEFT(BJ487,1)="X"),"—",IF(AND(LEFT(BG487,1)="E",LEFT(BJ487,1)="E"),"Exception · Band E",IF(AND(INDEX(B_VAL,MATCH(BJ487,B_LVL,0))&gt;=7,INDEX(B_RANK,MATCH(BG487,B_LVL,0))&gt;=INDEX(B_RANK,MATCH(BJ487,B_LVL,0))),"⚠ Same band as a head manager",IF(INDEX(B_VAL,MATCH(BG487,B_LVL,0))&gt;=INDEX(B_VAL,MATCH(BJ487,B_LVL,0)),"⚠ At or above the manager's level","OK"))))),"—")</f>
        <v>OK</v>
      </c>
      <c r="BL487" s="43" t="n"/>
      <c r="BM487" s="44">
        <f>IFERROR(INDEX(LMH_PTS,MATCH(Y487,LMH_KEY,0)),0)</f>
        <v>9</v>
      </c>
      <c r="BN487" s="38">
        <f>IFERROR(INDEX(LMH_PTS,MATCH(Z487,LMH_KEY,0)),0)</f>
        <v>3</v>
      </c>
      <c r="BO487" s="38">
        <f>IFERROR(INDEX(LMH_PTS,MATCH(AA487,LMH_KEY,0)),0)</f>
        <v>1</v>
      </c>
      <c r="BP487" s="38">
        <f>IFERROR(INDEX(LMH_PTS,MATCH(AB487,LMH_KEY,0)),0)</f>
        <v>1</v>
      </c>
      <c r="BQ487" s="38">
        <f>IFERROR(INDEX(LMH_PTS,MATCH(AC487,LMH_KEY,0)),0)</f>
        <v>1</v>
      </c>
      <c r="BR487" s="38">
        <f>IFERROR(INDEX(LMH_PTS,MATCH(AD487,LMH_KEY,0)),0)</f>
        <v>1</v>
      </c>
      <c r="BS487" s="38">
        <f>IFERROR(INDEX(LMH_PTS,MATCH(AE487,LMH_KEY,0)),0)</f>
        <v>1</v>
      </c>
      <c r="BT487" s="38">
        <f>IFERROR(INDEX(LMH_STEP,MATCH(AF487,LMH_KEY,0)),0)</f>
        <v>0</v>
      </c>
      <c r="BU487" s="38">
        <f>IFERROR(INDEX(LMH_STEP,MATCH(AG487,LMH_KEY,0)),0)</f>
        <v>0</v>
      </c>
      <c r="BV487" s="38">
        <f>IFERROR(INDEX(LMH_STEP,MATCH(AH487,LMH_KEY,0)),0)</f>
        <v>0</v>
      </c>
      <c r="BW487" s="38">
        <f>IFERROR(INDEX(LMH_STEP,MATCH(AI487,LMH_KEY,0)),0)</f>
        <v>0</v>
      </c>
      <c r="BX487" s="38">
        <f>IFERROR(INDEX(LMH_STEP,MATCH(AJ487,LMH_KEY,0)),0)</f>
        <v>0</v>
      </c>
      <c r="BY487" s="38">
        <f>IFERROR(INDEX(LMH_STEP,MATCH(AK487,LMH_KEY,0)),0)</f>
        <v>0</v>
      </c>
      <c r="BZ487" s="38">
        <f>IFERROR(INDEX(LMH_STEP,MATCH(AL487,LMH_KEY,0)),0)</f>
        <v>0</v>
      </c>
      <c r="CA487" s="38" t="inlineStr">
        <is>
          <t>CARBON|Support|Senior Software Engineer|A3|A</t>
        </is>
      </c>
    </row>
    <row r="488" ht="110" customHeight="1">
      <c r="A488" s="28" t="inlineStr">
        <is>
          <t>CARBON</t>
        </is>
      </c>
      <c r="B488" s="29" t="inlineStr">
        <is>
          <t>Technology</t>
        </is>
      </c>
      <c r="C488" s="29" t="n">
        <v>3</v>
      </c>
      <c r="D488" s="29" t="inlineStr">
        <is>
          <t>IRIS1883</t>
        </is>
      </c>
      <c r="E488" s="29" t="inlineStr">
        <is>
          <t>Bikram Prasad</t>
        </is>
      </c>
      <c r="F488" s="29" t="inlineStr">
        <is>
          <t>Software Engineer</t>
        </is>
      </c>
      <c r="G488" s="29" t="inlineStr">
        <is>
          <t>Senior Software Engineer</t>
        </is>
      </c>
      <c r="H488" s="29" t="inlineStr">
        <is>
          <t>Engineering &amp; Development</t>
        </is>
      </c>
      <c r="I488" s="29" t="inlineStr">
        <is>
          <t>Backend Development</t>
        </is>
      </c>
      <c r="J488" s="29" t="inlineStr">
        <is>
          <t>IC</t>
        </is>
      </c>
      <c r="K488" s="29" t="inlineStr">
        <is>
          <t>RC-067</t>
        </is>
      </c>
      <c r="L488" s="29" t="inlineStr">
        <is>
          <t>Chetan Kotwal</t>
        </is>
      </c>
      <c r="M488" s="29" t="inlineStr">
        <is>
          <t>IRIS1832</t>
        </is>
      </c>
      <c r="N488" s="29" t="n">
        <v>5.8</v>
      </c>
      <c r="O488" s="29" t="n">
        <v>5.8</v>
      </c>
      <c r="P488" s="29" t="inlineStr">
        <is>
          <t>B.Tech</t>
        </is>
      </c>
      <c r="Q488" s="29" t="inlineStr">
        <is>
          <t>L3 – Professional / Associate</t>
        </is>
      </c>
      <c r="R488" s="29" t="inlineStr">
        <is>
          <t>A3</t>
        </is>
      </c>
      <c r="S488" s="30" t="inlineStr">
        <is>
          <t>20 of 20</t>
        </is>
      </c>
      <c r="T488" s="31" t="inlineStr">
        <is>
          <t>• Role / sub-team: Technology — Software Engineer.
• Core purpose: Input not given by Participant.
• Decision-making autonomy: Input not given by Participant.
• Is this something only they do: Input not given by Participant.</t>
        </is>
      </c>
      <c r="U488" s="31" t="inlineStr">
        <is>
          <t>Received · manager annual · 1.Ensure ≥ 99.5% infrastructure/platform availability across all critical environments with minimal downtime.
2.Improve DevOps automation and reduce manual operational effort by ≥ 50% YoY through CI/CD, scripts, and automated workflows.
3.Implement security and compliance enhancements including code scanning, …</t>
        </is>
      </c>
      <c r="V488" s="31" t="inlineStr">
        <is>
          <t>Latest rating: Not rated · manager · 9-box: Underperformer / Exit Risk · Readiness: No rating data</t>
        </is>
      </c>
      <c r="W488" s="31" t="inlineStr">
        <is>
          <t>C L · Au L · Ac L · L L · BI M · Exp M · 5.8 yrs vs 4–7 yrs · Edu M · B.Tech</t>
        </is>
      </c>
      <c r="X488" s="33" t="inlineStr">
        <is>
          <t>Open ▸</t>
        </is>
      </c>
      <c r="Y488" s="34" t="str">
        <f>IFERROR(INDEX(DL_C,MATCH($CA488,DL_KEY,0)),"M")</f>
        <v>H</v>
      </c>
      <c r="Z488" s="35" t="str">
        <f>IFERROR(INDEX(DL_Au,MATCH($CA488,DL_KEY,0)),"M")</f>
        <v>M</v>
      </c>
      <c r="AA488" s="35" t="str">
        <f>IFERROR(INDEX(DL_Ac,MATCH($CA488,DL_KEY,0)),"M")</f>
        <v>L</v>
      </c>
      <c r="AB488" s="35" t="str">
        <f>IFERROR(INDEX(DL_L,MATCH($CA488,DL_KEY,0)),"M")</f>
        <v>L</v>
      </c>
      <c r="AC488" s="35" t="str">
        <f>IFERROR(INDEX(DL_BI,MATCH($CA488,DL_KEY,0)),"M")</f>
        <v>L</v>
      </c>
      <c r="AD488" s="35" t="str">
        <f>IFERROR(INDEX(DL_Exp,MATCH($CA488,DL_KEY,0)),"M")</f>
        <v>L</v>
      </c>
      <c r="AE488" s="35" t="str">
        <f>IFERROR(INDEX(DL_Edu,MATCH($CA488,DL_KEY,0)),"M")</f>
        <v>L</v>
      </c>
      <c r="AF488" s="34" t="inlineStr">
        <is>
          <t>M</t>
        </is>
      </c>
      <c r="AG488" s="35" t="inlineStr">
        <is>
          <t>M</t>
        </is>
      </c>
      <c r="AH488" s="35" t="inlineStr">
        <is>
          <t>M</t>
        </is>
      </c>
      <c r="AI488" s="35" t="inlineStr">
        <is>
          <t>M</t>
        </is>
      </c>
      <c r="AJ488" s="35" t="inlineStr">
        <is>
          <t>M</t>
        </is>
      </c>
      <c r="AK488" s="35" t="inlineStr">
        <is>
          <t>M</t>
        </is>
      </c>
      <c r="AL488" s="35" t="inlineStr">
        <is>
          <t>M</t>
        </is>
      </c>
      <c r="AM488" s="36" t="n">
        <v>0.513</v>
      </c>
      <c r="AN488" s="37" t="n">
        <v>0.173</v>
      </c>
      <c r="AO488" s="37" t="n">
        <v>0.09699999999999999</v>
      </c>
      <c r="AP488" s="37" t="n">
        <v>0.05</v>
      </c>
      <c r="AQ488" s="37" t="n">
        <v>0.07000000000000001</v>
      </c>
      <c r="AR488" s="37" t="n">
        <v>0.06</v>
      </c>
      <c r="AS488" s="37" t="n">
        <v>0.04</v>
      </c>
      <c r="AT488" s="38" t="inlineStr">
        <is>
          <t>4–8</t>
        </is>
      </c>
      <c r="AU488" s="38" t="inlineStr">
        <is>
          <t>Graduate + relevant qualification or certification preferred</t>
        </is>
      </c>
      <c r="AV488" s="38" t="inlineStr">
        <is>
          <t>IC: none · Team Lead: 3–5</t>
        </is>
      </c>
      <c r="AW488" s="38" t="inlineStr">
        <is>
          <t>P3 / M2 · SFIA 4 Enable</t>
        </is>
      </c>
      <c r="AX48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88" s="39" t="inlineStr">
        <is>
          <t>B1</t>
        </is>
      </c>
      <c r="AZ488" s="40" t="inlineStr">
        <is>
          <t>Band B · Specialist / Manager · Specialist</t>
        </is>
      </c>
      <c r="BA488" s="40" t="inlineStr">
        <is>
          <t>Model A3 from the six ratings, the market-derived weights and rules R1–R13 · then Leads people at or above their own level · A3 → B1 Team Lead</t>
        </is>
      </c>
      <c r="BB488" s="41" t="inlineStr">
        <is>
          <t>A3</t>
        </is>
      </c>
      <c r="BC488" s="40" t="inlineStr">
        <is>
          <t>The six ratings on the market-average weights of Band B · Specialist / POD Lead score 2.68 → A3 · Hay, Mercer IPE and public plans · experience 5.8 yrs vs the A3 market range 2–5</t>
        </is>
      </c>
      <c r="BD488" s="42">
        <f>IF(SUM(BM488,BN488,BO488,BP488,BQ488,BR488,BS488)=0,0,(BM488*BT488+BN488*BU488+BO488*BV488+BP488*BW488+BQ488*BX488+BR488*BY488+BS488*BZ488)/SUM(BM488,BN488,BO488,BP488,BQ488,BR488,BS488))</f>
        <v>0</v>
      </c>
      <c r="BE488" s="41" t="str">
        <f>IF(LEFT(AY488,1)="X",AY488,IF(OR(AY488="B+",AY488="C+"),INDEX(LAD_PC,MAX(1,MIN(14,MATCH(AY488,LAD_PC,0)+IF(BD488&gt;=0.5,1,IF(BD488&lt;=-0.5,-1,0))))),INDEX(LAD_STD,MAX(1,MIN(12,MATCH(AY488,LAD_STD,0)+IF(BD488&gt;=0.5,1,IF(BD488&lt;=-0.5,-1,0)))))))</f>
        <v>B1</v>
      </c>
      <c r="BF488" s="43" t="n"/>
      <c r="BG488" s="41" t="str">
        <f>IF(BF488&lt;&gt;"",BF488,BE488)</f>
        <v>B1</v>
      </c>
      <c r="BH488" s="40" t="str">
        <f>IFERROR(CHOOSE(INDEX(B_RANK,MATCH(BG488,B_LVL,0)),"Band A","Band B","B+ · Player-Coach","Band C","C+ · Player-Coach","Band D","Band E"),"Band X · Consultant")</f>
        <v>Band B</v>
      </c>
      <c r="BI488" s="40" t="str">
        <f>IF(BG488=AY488,"• Same",IF(INDEX(B_VAL,MATCH(BG488,B_LVL,0))&gt;INDEX(B_VAL,MATCH(AY488,B_LVL,0)),"▲ Up","▼ Down"))</f>
        <v>• Same</v>
      </c>
      <c r="BJ488" s="40" t="str">
        <f>IF(OR($M488="",$M488="—",$M488="Not in this file"),"",IFERROR(INDEX($BG$7:$BG$592,MATCH($M488,$D$7:$D$592,0)),""))</f>
        <v>B3</v>
      </c>
      <c r="BK488" s="40" t="str">
        <f>IFERROR(IF(BJ488="","—",IF(OR(LEFT(BG488,1)="X",LEFT(BJ488,1)="X"),"—",IF(AND(LEFT(BG488,1)="E",LEFT(BJ488,1)="E"),"Exception · Band E",IF(AND(INDEX(B_VAL,MATCH(BJ488,B_LVL,0))&gt;=7,INDEX(B_RANK,MATCH(BG488,B_LVL,0))&gt;=INDEX(B_RANK,MATCH(BJ488,B_LVL,0))),"⚠ Same band as a head manager",IF(INDEX(B_VAL,MATCH(BG488,B_LVL,0))&gt;=INDEX(B_VAL,MATCH(BJ488,B_LVL,0)),"⚠ At or above the manager's level","OK"))))),"—")</f>
        <v>OK</v>
      </c>
      <c r="BL488" s="43" t="n"/>
      <c r="BM488" s="44">
        <f>IFERROR(INDEX(LMH_PTS,MATCH(Y488,LMH_KEY,0)),0)</f>
        <v>9</v>
      </c>
      <c r="BN488" s="38">
        <f>IFERROR(INDEX(LMH_PTS,MATCH(Z488,LMH_KEY,0)),0)</f>
        <v>3</v>
      </c>
      <c r="BO488" s="38">
        <f>IFERROR(INDEX(LMH_PTS,MATCH(AA488,LMH_KEY,0)),0)</f>
        <v>1</v>
      </c>
      <c r="BP488" s="38">
        <f>IFERROR(INDEX(LMH_PTS,MATCH(AB488,LMH_KEY,0)),0)</f>
        <v>1</v>
      </c>
      <c r="BQ488" s="38">
        <f>IFERROR(INDEX(LMH_PTS,MATCH(AC488,LMH_KEY,0)),0)</f>
        <v>1</v>
      </c>
      <c r="BR488" s="38">
        <f>IFERROR(INDEX(LMH_PTS,MATCH(AD488,LMH_KEY,0)),0)</f>
        <v>1</v>
      </c>
      <c r="BS488" s="38">
        <f>IFERROR(INDEX(LMH_PTS,MATCH(AE488,LMH_KEY,0)),0)</f>
        <v>1</v>
      </c>
      <c r="BT488" s="38">
        <f>IFERROR(INDEX(LMH_STEP,MATCH(AF488,LMH_KEY,0)),0)</f>
        <v>0</v>
      </c>
      <c r="BU488" s="38">
        <f>IFERROR(INDEX(LMH_STEP,MATCH(AG488,LMH_KEY,0)),0)</f>
        <v>0</v>
      </c>
      <c r="BV488" s="38">
        <f>IFERROR(INDEX(LMH_STEP,MATCH(AH488,LMH_KEY,0)),0)</f>
        <v>0</v>
      </c>
      <c r="BW488" s="38">
        <f>IFERROR(INDEX(LMH_STEP,MATCH(AI488,LMH_KEY,0)),0)</f>
        <v>0</v>
      </c>
      <c r="BX488" s="38">
        <f>IFERROR(INDEX(LMH_STEP,MATCH(AJ488,LMH_KEY,0)),0)</f>
        <v>0</v>
      </c>
      <c r="BY488" s="38">
        <f>IFERROR(INDEX(LMH_STEP,MATCH(AK488,LMH_KEY,0)),0)</f>
        <v>0</v>
      </c>
      <c r="BZ488" s="38">
        <f>IFERROR(INDEX(LMH_STEP,MATCH(AL488,LMH_KEY,0)),0)</f>
        <v>0</v>
      </c>
      <c r="CA488" s="38" t="inlineStr">
        <is>
          <t>CARBON|Technology|Senior Software Engineer|B1|B-IC</t>
        </is>
      </c>
    </row>
    <row r="489" ht="110" customHeight="1">
      <c r="A489" s="28" t="inlineStr">
        <is>
          <t>CARBON</t>
        </is>
      </c>
      <c r="B489" s="29" t="inlineStr">
        <is>
          <t>Technology</t>
        </is>
      </c>
      <c r="C489" s="29" t="n">
        <v>4</v>
      </c>
      <c r="D489" s="29" t="inlineStr">
        <is>
          <t>IRIS2283</t>
        </is>
      </c>
      <c r="E489" s="29" t="inlineStr">
        <is>
          <t>Kunal Jadhav</t>
        </is>
      </c>
      <c r="F489" s="29" t="inlineStr">
        <is>
          <t>Software Engineer</t>
        </is>
      </c>
      <c r="G489" s="29" t="inlineStr">
        <is>
          <t>Senior Software Engineer</t>
        </is>
      </c>
      <c r="H489" s="29" t="inlineStr">
        <is>
          <t>Engineering &amp; Development</t>
        </is>
      </c>
      <c r="I489" s="29" t="inlineStr">
        <is>
          <t>Full-Stack Development</t>
        </is>
      </c>
      <c r="J489" s="29" t="inlineStr">
        <is>
          <t>IC</t>
        </is>
      </c>
      <c r="K489" s="29" t="inlineStr">
        <is>
          <t>RC-085</t>
        </is>
      </c>
      <c r="L489" s="29" t="inlineStr">
        <is>
          <t>Bikram Prasad</t>
        </is>
      </c>
      <c r="M489" s="29" t="inlineStr">
        <is>
          <t>IRIS1883</t>
        </is>
      </c>
      <c r="N489" s="29" t="n">
        <v>2.2</v>
      </c>
      <c r="O489" s="29" t="n">
        <v>2.2</v>
      </c>
      <c r="P489" s="29" t="inlineStr">
        <is>
          <t>Bachelor of Science</t>
        </is>
      </c>
      <c r="Q489" s="29" t="inlineStr">
        <is>
          <t>L3 – Professional / Associate</t>
        </is>
      </c>
      <c r="R489" s="29" t="inlineStr">
        <is>
          <t>A3</t>
        </is>
      </c>
      <c r="S489" s="30" t="inlineStr">
        <is>
          <t>20 of 20</t>
        </is>
      </c>
      <c r="T489" s="31" t="inlineStr">
        <is>
          <t>• Role / sub-team: Technology — Software Engineer.
• Core purpose: Fulfill clients requirements by developing and integrating features into product.
• Decision-making autonomy: Can independently architecting product flow.
• Is this something only they do: Most of us; A few of us - Development.
• What's different about this role: As a developer, we not only …</t>
        </is>
      </c>
      <c r="U489" s="31" t="inlineStr">
        <is>
          <t>Received · manager annual · 1.Deliver ≥ 95% committed tasks within agreed timelines with high-quality implementation.
2.Improve technical depth by independently handling minimum 3 complex features/modules by FY end.
3.Maintain strong engineering quality by achieving ≥ 90% first-time-right delivery and reducing rework by ≥ 35% YoY.
4.Strengthen …</t>
        </is>
      </c>
      <c r="V489" s="31" t="inlineStr">
        <is>
          <t>Latest rating: Not rated · manager · 9-box: Not placed · manager · Readiness: No rating data</t>
        </is>
      </c>
      <c r="W489" s="31" t="inlineStr">
        <is>
          <t>C M · Au M · Ac M · L M · BI M · Exp M · 2.2 yrs vs 2–4 yrs · Edu M · Bachelor of Science</t>
        </is>
      </c>
      <c r="X489" s="33" t="inlineStr">
        <is>
          <t>Open ▸</t>
        </is>
      </c>
      <c r="Y489" s="34" t="str">
        <f>IFERROR(INDEX(DL_C,MATCH($CA489,DL_KEY,0)),"M")</f>
        <v>H</v>
      </c>
      <c r="Z489" s="35" t="str">
        <f>IFERROR(INDEX(DL_Au,MATCH($CA489,DL_KEY,0)),"M")</f>
        <v>M</v>
      </c>
      <c r="AA489" s="35" t="str">
        <f>IFERROR(INDEX(DL_Ac,MATCH($CA489,DL_KEY,0)),"M")</f>
        <v>L</v>
      </c>
      <c r="AB489" s="35" t="str">
        <f>IFERROR(INDEX(DL_L,MATCH($CA489,DL_KEY,0)),"M")</f>
        <v>L</v>
      </c>
      <c r="AC489" s="35" t="str">
        <f>IFERROR(INDEX(DL_BI,MATCH($CA489,DL_KEY,0)),"M")</f>
        <v>L</v>
      </c>
      <c r="AD489" s="35" t="str">
        <f>IFERROR(INDEX(DL_Exp,MATCH($CA489,DL_KEY,0)),"M")</f>
        <v>L</v>
      </c>
      <c r="AE489" s="35" t="str">
        <f>IFERROR(INDEX(DL_Edu,MATCH($CA489,DL_KEY,0)),"M")</f>
        <v>L</v>
      </c>
      <c r="AF489" s="34" t="inlineStr">
        <is>
          <t>M</t>
        </is>
      </c>
      <c r="AG489" s="35" t="inlineStr">
        <is>
          <t>M</t>
        </is>
      </c>
      <c r="AH489" s="35" t="inlineStr">
        <is>
          <t>M</t>
        </is>
      </c>
      <c r="AI489" s="35" t="inlineStr">
        <is>
          <t>M</t>
        </is>
      </c>
      <c r="AJ489" s="35" t="inlineStr">
        <is>
          <t>M</t>
        </is>
      </c>
      <c r="AK489" s="35" t="inlineStr">
        <is>
          <t>M</t>
        </is>
      </c>
      <c r="AL489" s="35" t="inlineStr">
        <is>
          <t>M</t>
        </is>
      </c>
      <c r="AM489" s="36" t="n">
        <v>0.583</v>
      </c>
      <c r="AN489" s="37" t="n">
        <v>0.16</v>
      </c>
      <c r="AO489" s="37" t="n">
        <v>0.09</v>
      </c>
      <c r="AP489" s="37" t="n">
        <v>0</v>
      </c>
      <c r="AQ489" s="37" t="n">
        <v>0.063</v>
      </c>
      <c r="AR489" s="37" t="n">
        <v>0.06</v>
      </c>
      <c r="AS489" s="37" t="n">
        <v>0.04</v>
      </c>
      <c r="AT489" s="38" t="inlineStr">
        <is>
          <t>2–5</t>
        </is>
      </c>
      <c r="AU489" s="38" t="inlineStr">
        <is>
          <t>Graduate; relevant certification preferred</t>
        </is>
      </c>
      <c r="AV489" s="38" t="inlineStr">
        <is>
          <t>None · guides 1–3 juniors informally</t>
        </is>
      </c>
      <c r="AW489" s="38" t="inlineStr">
        <is>
          <t>P2 · SFIA 3 Apply</t>
        </is>
      </c>
      <c r="AX48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89" s="39" t="inlineStr">
        <is>
          <t>A3</t>
        </is>
      </c>
      <c r="AZ489" s="40" t="inlineStr">
        <is>
          <t>Band A · Practitioner · Senior Associate</t>
        </is>
      </c>
      <c r="BA489" s="40" t="inlineStr">
        <is>
          <t>Model A3 from the six ratings, the market-derived weights and rules R1–R13 · then No change · already below the manager</t>
        </is>
      </c>
      <c r="BB489" s="41" t="inlineStr">
        <is>
          <t>A3</t>
        </is>
      </c>
      <c r="BC489" s="40" t="inlineStr">
        <is>
          <t>The six ratings on the market-average weights of Band A · all tracks score 2.66 → A3 · Hay, Mercer IPE and public plans · experience 2.2 yrs vs the A3 market range 2–5</t>
        </is>
      </c>
      <c r="BD489" s="42">
        <f>IF(SUM(BM489,BN489,BO489,BP489,BQ489,BR489,BS489)=0,0,(BM489*BT489+BN489*BU489+BO489*BV489+BP489*BW489+BQ489*BX489+BR489*BY489+BS489*BZ489)/SUM(BM489,BN489,BO489,BP489,BQ489,BR489,BS489))</f>
        <v>0</v>
      </c>
      <c r="BE489" s="41" t="str">
        <f>IF(LEFT(AY489,1)="X",AY489,IF(OR(AY489="B+",AY489="C+"),INDEX(LAD_PC,MAX(1,MIN(14,MATCH(AY489,LAD_PC,0)+IF(BD489&gt;=0.5,1,IF(BD489&lt;=-0.5,-1,0))))),INDEX(LAD_STD,MAX(1,MIN(12,MATCH(AY489,LAD_STD,0)+IF(BD489&gt;=0.5,1,IF(BD489&lt;=-0.5,-1,0)))))))</f>
        <v>A3</v>
      </c>
      <c r="BF489" s="43" t="n"/>
      <c r="BG489" s="41" t="str">
        <f>IF(BF489&lt;&gt;"",BF489,BE489)</f>
        <v>A3</v>
      </c>
      <c r="BH489" s="40" t="str">
        <f>IFERROR(CHOOSE(INDEX(B_RANK,MATCH(BG489,B_LVL,0)),"Band A","Band B","B+ · Player-Coach","Band C","C+ · Player-Coach","Band D","Band E"),"Band X · Consultant")</f>
        <v>Band A</v>
      </c>
      <c r="BI489" s="40" t="str">
        <f>IF(BG489=AY489,"• Same",IF(INDEX(B_VAL,MATCH(BG489,B_LVL,0))&gt;INDEX(B_VAL,MATCH(AY489,B_LVL,0)),"▲ Up","▼ Down"))</f>
        <v>• Same</v>
      </c>
      <c r="BJ489" s="40" t="str">
        <f>IF(OR($M489="",$M489="—",$M489="Not in this file"),"",IFERROR(INDEX($BG$7:$BG$592,MATCH($M489,$D$7:$D$592,0)),""))</f>
        <v>B1</v>
      </c>
      <c r="BK489" s="40" t="str">
        <f>IFERROR(IF(BJ489="","—",IF(OR(LEFT(BG489,1)="X",LEFT(BJ489,1)="X"),"—",IF(AND(LEFT(BG489,1)="E",LEFT(BJ489,1)="E"),"Exception · Band E",IF(AND(INDEX(B_VAL,MATCH(BJ489,B_LVL,0))&gt;=7,INDEX(B_RANK,MATCH(BG489,B_LVL,0))&gt;=INDEX(B_RANK,MATCH(BJ489,B_LVL,0))),"⚠ Same band as a head manager",IF(INDEX(B_VAL,MATCH(BG489,B_LVL,0))&gt;=INDEX(B_VAL,MATCH(BJ489,B_LVL,0)),"⚠ At or above the manager's level","OK"))))),"—")</f>
        <v>OK</v>
      </c>
      <c r="BL489" s="43" t="n"/>
      <c r="BM489" s="44">
        <f>IFERROR(INDEX(LMH_PTS,MATCH(Y489,LMH_KEY,0)),0)</f>
        <v>9</v>
      </c>
      <c r="BN489" s="38">
        <f>IFERROR(INDEX(LMH_PTS,MATCH(Z489,LMH_KEY,0)),0)</f>
        <v>3</v>
      </c>
      <c r="BO489" s="38">
        <f>IFERROR(INDEX(LMH_PTS,MATCH(AA489,LMH_KEY,0)),0)</f>
        <v>1</v>
      </c>
      <c r="BP489" s="38">
        <f>IFERROR(INDEX(LMH_PTS,MATCH(AB489,LMH_KEY,0)),0)</f>
        <v>1</v>
      </c>
      <c r="BQ489" s="38">
        <f>IFERROR(INDEX(LMH_PTS,MATCH(AC489,LMH_KEY,0)),0)</f>
        <v>1</v>
      </c>
      <c r="BR489" s="38">
        <f>IFERROR(INDEX(LMH_PTS,MATCH(AD489,LMH_KEY,0)),0)</f>
        <v>1</v>
      </c>
      <c r="BS489" s="38">
        <f>IFERROR(INDEX(LMH_PTS,MATCH(AE489,LMH_KEY,0)),0)</f>
        <v>1</v>
      </c>
      <c r="BT489" s="38">
        <f>IFERROR(INDEX(LMH_STEP,MATCH(AF489,LMH_KEY,0)),0)</f>
        <v>0</v>
      </c>
      <c r="BU489" s="38">
        <f>IFERROR(INDEX(LMH_STEP,MATCH(AG489,LMH_KEY,0)),0)</f>
        <v>0</v>
      </c>
      <c r="BV489" s="38">
        <f>IFERROR(INDEX(LMH_STEP,MATCH(AH489,LMH_KEY,0)),0)</f>
        <v>0</v>
      </c>
      <c r="BW489" s="38">
        <f>IFERROR(INDEX(LMH_STEP,MATCH(AI489,LMH_KEY,0)),0)</f>
        <v>0</v>
      </c>
      <c r="BX489" s="38">
        <f>IFERROR(INDEX(LMH_STEP,MATCH(AJ489,LMH_KEY,0)),0)</f>
        <v>0</v>
      </c>
      <c r="BY489" s="38">
        <f>IFERROR(INDEX(LMH_STEP,MATCH(AK489,LMH_KEY,0)),0)</f>
        <v>0</v>
      </c>
      <c r="BZ489" s="38">
        <f>IFERROR(INDEX(LMH_STEP,MATCH(AL489,LMH_KEY,0)),0)</f>
        <v>0</v>
      </c>
      <c r="CA489" s="38" t="inlineStr">
        <is>
          <t>CARBON|Technology|Senior Software Engineer|A3|A</t>
        </is>
      </c>
    </row>
    <row r="490" ht="110" customHeight="1">
      <c r="A490" s="28" t="inlineStr">
        <is>
          <t>CARBON</t>
        </is>
      </c>
      <c r="B490" s="29" t="inlineStr">
        <is>
          <t>Technology</t>
        </is>
      </c>
      <c r="C490" s="29" t="n">
        <v>5</v>
      </c>
      <c r="D490" s="29" t="inlineStr">
        <is>
          <t>IRIS2354</t>
        </is>
      </c>
      <c r="E490" s="29" t="inlineStr">
        <is>
          <t>Kuldip D Shah</t>
        </is>
      </c>
      <c r="F490" s="29" t="inlineStr">
        <is>
          <t>Software Engineer</t>
        </is>
      </c>
      <c r="G490" s="29" t="inlineStr">
        <is>
          <t>Senior Software Engineer</t>
        </is>
      </c>
      <c r="H490" s="29" t="inlineStr">
        <is>
          <t>Engineering &amp; Development</t>
        </is>
      </c>
      <c r="I490" s="29" t="inlineStr">
        <is>
          <t>Full-Stack Development</t>
        </is>
      </c>
      <c r="J490" s="29" t="inlineStr">
        <is>
          <t>IC</t>
        </is>
      </c>
      <c r="K490" s="29" t="inlineStr">
        <is>
          <t>RC-085</t>
        </is>
      </c>
      <c r="L490" s="29" t="inlineStr">
        <is>
          <t>Kunal Jadhav</t>
        </is>
      </c>
      <c r="M490" s="29" t="inlineStr">
        <is>
          <t>IRIS2283</t>
        </is>
      </c>
      <c r="N490" s="29" t="n">
        <v>4.5</v>
      </c>
      <c r="O490" s="29" t="n">
        <v>1.5</v>
      </c>
      <c r="P490" s="29" t="inlineStr">
        <is>
          <t>BCA</t>
        </is>
      </c>
      <c r="Q490" s="29" t="inlineStr">
        <is>
          <t>L3 – Professional / Associate</t>
        </is>
      </c>
      <c r="R490" s="29" t="inlineStr">
        <is>
          <t>A3</t>
        </is>
      </c>
      <c r="S490" s="30" t="inlineStr">
        <is>
          <t>20 of 20</t>
        </is>
      </c>
      <c r="T490" s="31" t="inlineStr">
        <is>
          <t>• Role / sub-team: Technology — Software Engineer.
• Core purpose: My role is to develop and improve user-friendly, reliable web applications.focus on turning business requirements into efficient, scalable, and high-quality user experiences using modern frontend tech.
• Decision-making autonomy: Can independently problem solving.
• Is this something only …</t>
        </is>
      </c>
      <c r="U490" s="31" t="inlineStr">
        <is>
          <t>Received · manager annual · 1.Improve execution speed and reduce task completion turnaround time by ≥ 40% YoY.
2.Improve delivery ownership by completing ≥ 85% assigned tasks within committed timelines with reduced managerial follow-up.
3.Reduce dependency on handholding by independently completing ≥ 70% assigned tasks by FY end.
4.Build …</t>
        </is>
      </c>
      <c r="V490" s="31" t="inlineStr">
        <is>
          <t>Latest rating: Not rated · manager · 9-box: Underperformer / Exit Risk · Readiness: No rating data</t>
        </is>
      </c>
      <c r="W490" s="31" t="inlineStr">
        <is>
          <t>C M · Au M · Ac M · L L · BI M · Exp H · 4.5 yrs vs 0–2 yrs · Edu M · BCA</t>
        </is>
      </c>
      <c r="X490" s="33" t="inlineStr">
        <is>
          <t>Open ▸</t>
        </is>
      </c>
      <c r="Y490" s="34" t="str">
        <f>IFERROR(INDEX(DL_C,MATCH($CA490,DL_KEY,0)),"M")</f>
        <v>H</v>
      </c>
      <c r="Z490" s="35" t="str">
        <f>IFERROR(INDEX(DL_Au,MATCH($CA490,DL_KEY,0)),"M")</f>
        <v>M</v>
      </c>
      <c r="AA490" s="35" t="str">
        <f>IFERROR(INDEX(DL_Ac,MATCH($CA490,DL_KEY,0)),"M")</f>
        <v>L</v>
      </c>
      <c r="AB490" s="35" t="str">
        <f>IFERROR(INDEX(DL_L,MATCH($CA490,DL_KEY,0)),"M")</f>
        <v>L</v>
      </c>
      <c r="AC490" s="35" t="str">
        <f>IFERROR(INDEX(DL_BI,MATCH($CA490,DL_KEY,0)),"M")</f>
        <v>L</v>
      </c>
      <c r="AD490" s="35" t="str">
        <f>IFERROR(INDEX(DL_Exp,MATCH($CA490,DL_KEY,0)),"M")</f>
        <v>L</v>
      </c>
      <c r="AE490" s="35" t="str">
        <f>IFERROR(INDEX(DL_Edu,MATCH($CA490,DL_KEY,0)),"M")</f>
        <v>L</v>
      </c>
      <c r="AF490" s="34" t="inlineStr">
        <is>
          <t>M</t>
        </is>
      </c>
      <c r="AG490" s="35" t="inlineStr">
        <is>
          <t>M</t>
        </is>
      </c>
      <c r="AH490" s="35" t="inlineStr">
        <is>
          <t>M</t>
        </is>
      </c>
      <c r="AI490" s="35" t="inlineStr">
        <is>
          <t>M</t>
        </is>
      </c>
      <c r="AJ490" s="35" t="inlineStr">
        <is>
          <t>M</t>
        </is>
      </c>
      <c r="AK490" s="35" t="inlineStr">
        <is>
          <t>M</t>
        </is>
      </c>
      <c r="AL490" s="35" t="inlineStr">
        <is>
          <t>M</t>
        </is>
      </c>
      <c r="AM490" s="36" t="n">
        <v>0.583</v>
      </c>
      <c r="AN490" s="37" t="n">
        <v>0.16</v>
      </c>
      <c r="AO490" s="37" t="n">
        <v>0.09</v>
      </c>
      <c r="AP490" s="37" t="n">
        <v>0</v>
      </c>
      <c r="AQ490" s="37" t="n">
        <v>0.063</v>
      </c>
      <c r="AR490" s="37" t="n">
        <v>0.06</v>
      </c>
      <c r="AS490" s="37" t="n">
        <v>0.04</v>
      </c>
      <c r="AT490" s="38" t="inlineStr">
        <is>
          <t>0–3</t>
        </is>
      </c>
      <c r="AU490" s="38" t="inlineStr">
        <is>
          <t>Graduate · or diploma with experience</t>
        </is>
      </c>
      <c r="AV490" s="38" t="inlineStr">
        <is>
          <t>No direct reports</t>
        </is>
      </c>
      <c r="AW490" s="38" t="inlineStr">
        <is>
          <t>P1–P2 · SFIA 2 Assist</t>
        </is>
      </c>
      <c r="AX49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90" s="39" t="inlineStr">
        <is>
          <t>A2</t>
        </is>
      </c>
      <c r="AZ490" s="40" t="inlineStr">
        <is>
          <t>Band A · Practitioner · Associate</t>
        </is>
      </c>
      <c r="BA490" s="40" t="inlineStr">
        <is>
          <t>Model A3 from the six ratings, the market-derived weights and rules R1–R13 · then Level rule: manager A3; a reportee sits at least one level below · A3 → A2 · move down · pay and title protected for one cycle</t>
        </is>
      </c>
      <c r="BB490" s="41" t="inlineStr">
        <is>
          <t>A2</t>
        </is>
      </c>
      <c r="BC490" s="40" t="inlineStr">
        <is>
          <t>The six ratings on the market-average weights of Band A · all tracks score 2.15 → A2 · Hay, Mercer IPE and public plans · experience 4.5 yrs vs the A2 market range 0–3</t>
        </is>
      </c>
      <c r="BD490" s="42">
        <f>IF(SUM(BM490,BN490,BO490,BP490,BQ490,BR490,BS490)=0,0,(BM490*BT490+BN490*BU490+BO490*BV490+BP490*BW490+BQ490*BX490+BR490*BY490+BS490*BZ490)/SUM(BM490,BN490,BO490,BP490,BQ490,BR490,BS490))</f>
        <v>0</v>
      </c>
      <c r="BE490" s="41" t="str">
        <f>IF(LEFT(AY490,1)="X",AY490,IF(OR(AY490="B+",AY490="C+"),INDEX(LAD_PC,MAX(1,MIN(14,MATCH(AY490,LAD_PC,0)+IF(BD490&gt;=0.5,1,IF(BD490&lt;=-0.5,-1,0))))),INDEX(LAD_STD,MAX(1,MIN(12,MATCH(AY490,LAD_STD,0)+IF(BD490&gt;=0.5,1,IF(BD490&lt;=-0.5,-1,0)))))))</f>
        <v>A2</v>
      </c>
      <c r="BF490" s="43" t="n"/>
      <c r="BG490" s="41" t="str">
        <f>IF(BF490&lt;&gt;"",BF490,BE490)</f>
        <v>A2</v>
      </c>
      <c r="BH490" s="40" t="str">
        <f>IFERROR(CHOOSE(INDEX(B_RANK,MATCH(BG490,B_LVL,0)),"Band A","Band B","B+ · Player-Coach","Band C","C+ · Player-Coach","Band D","Band E"),"Band X · Consultant")</f>
        <v>Band A</v>
      </c>
      <c r="BI490" s="40" t="str">
        <f>IF(BG490=AY490,"• Same",IF(INDEX(B_VAL,MATCH(BG490,B_LVL,0))&gt;INDEX(B_VAL,MATCH(AY490,B_LVL,0)),"▲ Up","▼ Down"))</f>
        <v>• Same</v>
      </c>
      <c r="BJ490" s="40" t="str">
        <f>IF(OR($M490="",$M490="—",$M490="Not in this file"),"",IFERROR(INDEX($BG$7:$BG$592,MATCH($M490,$D$7:$D$592,0)),""))</f>
        <v>A3</v>
      </c>
      <c r="BK490" s="40" t="str">
        <f>IFERROR(IF(BJ490="","—",IF(OR(LEFT(BG490,1)="X",LEFT(BJ490,1)="X"),"—",IF(AND(LEFT(BG490,1)="E",LEFT(BJ490,1)="E"),"Exception · Band E",IF(AND(INDEX(B_VAL,MATCH(BJ490,B_LVL,0))&gt;=7,INDEX(B_RANK,MATCH(BG490,B_LVL,0))&gt;=INDEX(B_RANK,MATCH(BJ490,B_LVL,0))),"⚠ Same band as a head manager",IF(INDEX(B_VAL,MATCH(BG490,B_LVL,0))&gt;=INDEX(B_VAL,MATCH(BJ490,B_LVL,0)),"⚠ At or above the manager's level","OK"))))),"—")</f>
        <v>OK</v>
      </c>
      <c r="BL490" s="43" t="n"/>
      <c r="BM490" s="44">
        <f>IFERROR(INDEX(LMH_PTS,MATCH(Y490,LMH_KEY,0)),0)</f>
        <v>9</v>
      </c>
      <c r="BN490" s="38">
        <f>IFERROR(INDEX(LMH_PTS,MATCH(Z490,LMH_KEY,0)),0)</f>
        <v>3</v>
      </c>
      <c r="BO490" s="38">
        <f>IFERROR(INDEX(LMH_PTS,MATCH(AA490,LMH_KEY,0)),0)</f>
        <v>1</v>
      </c>
      <c r="BP490" s="38">
        <f>IFERROR(INDEX(LMH_PTS,MATCH(AB490,LMH_KEY,0)),0)</f>
        <v>1</v>
      </c>
      <c r="BQ490" s="38">
        <f>IFERROR(INDEX(LMH_PTS,MATCH(AC490,LMH_KEY,0)),0)</f>
        <v>1</v>
      </c>
      <c r="BR490" s="38">
        <f>IFERROR(INDEX(LMH_PTS,MATCH(AD490,LMH_KEY,0)),0)</f>
        <v>1</v>
      </c>
      <c r="BS490" s="38">
        <f>IFERROR(INDEX(LMH_PTS,MATCH(AE490,LMH_KEY,0)),0)</f>
        <v>1</v>
      </c>
      <c r="BT490" s="38">
        <f>IFERROR(INDEX(LMH_STEP,MATCH(AF490,LMH_KEY,0)),0)</f>
        <v>0</v>
      </c>
      <c r="BU490" s="38">
        <f>IFERROR(INDEX(LMH_STEP,MATCH(AG490,LMH_KEY,0)),0)</f>
        <v>0</v>
      </c>
      <c r="BV490" s="38">
        <f>IFERROR(INDEX(LMH_STEP,MATCH(AH490,LMH_KEY,0)),0)</f>
        <v>0</v>
      </c>
      <c r="BW490" s="38">
        <f>IFERROR(INDEX(LMH_STEP,MATCH(AI490,LMH_KEY,0)),0)</f>
        <v>0</v>
      </c>
      <c r="BX490" s="38">
        <f>IFERROR(INDEX(LMH_STEP,MATCH(AJ490,LMH_KEY,0)),0)</f>
        <v>0</v>
      </c>
      <c r="BY490" s="38">
        <f>IFERROR(INDEX(LMH_STEP,MATCH(AK490,LMH_KEY,0)),0)</f>
        <v>0</v>
      </c>
      <c r="BZ490" s="38">
        <f>IFERROR(INDEX(LMH_STEP,MATCH(AL490,LMH_KEY,0)),0)</f>
        <v>0</v>
      </c>
      <c r="CA490" s="38" t="inlineStr">
        <is>
          <t>CARBON|Technology|Senior Software Engineer|A2|A</t>
        </is>
      </c>
    </row>
    <row r="491" ht="110" customHeight="1">
      <c r="A491" s="28" t="inlineStr">
        <is>
          <t>CARBON</t>
        </is>
      </c>
      <c r="B491" s="29" t="inlineStr">
        <is>
          <t>Technology</t>
        </is>
      </c>
      <c r="C491" s="29" t="n">
        <v>5</v>
      </c>
      <c r="D491" s="29" t="inlineStr">
        <is>
          <t>IRIS2395</t>
        </is>
      </c>
      <c r="E491" s="29" t="inlineStr">
        <is>
          <t>Ayushi Prajapati</t>
        </is>
      </c>
      <c r="F491" s="29" t="inlineStr">
        <is>
          <t>Trainee Software Engineer</t>
        </is>
      </c>
      <c r="G491" s="29" t="inlineStr">
        <is>
          <t>UI Developer</t>
        </is>
      </c>
      <c r="H491" s="29" t="inlineStr">
        <is>
          <t>Engineering &amp; Development</t>
        </is>
      </c>
      <c r="I491" s="29" t="inlineStr">
        <is>
          <t>Front-End / UI Development</t>
        </is>
      </c>
      <c r="J491" s="29" t="inlineStr">
        <is>
          <t>IC</t>
        </is>
      </c>
      <c r="K491" s="29" t="inlineStr">
        <is>
          <t>RC-080</t>
        </is>
      </c>
      <c r="L491" s="29" t="inlineStr">
        <is>
          <t>Kunal Jadhav</t>
        </is>
      </c>
      <c r="M491" s="29" t="inlineStr">
        <is>
          <t>IRIS2283</t>
        </is>
      </c>
      <c r="N491" s="29" t="n">
        <v>1.2</v>
      </c>
      <c r="O491" s="29" t="n">
        <v>1.2</v>
      </c>
      <c r="P491" s="29" t="inlineStr">
        <is>
          <t>B.Sc</t>
        </is>
      </c>
      <c r="Q491" s="29" t="inlineStr">
        <is>
          <t>L2 – Trainee</t>
        </is>
      </c>
      <c r="R491" s="29" t="inlineStr">
        <is>
          <t>A2</t>
        </is>
      </c>
      <c r="S491" s="30" t="inlineStr">
        <is>
          <t>20 of 20</t>
        </is>
      </c>
      <c r="T491" s="31" t="inlineStr">
        <is>
          <t>• Role / sub-team: Technology — Trainee Software Engineer.
• Core purpose: No input received.
• Decision-making autonomy: Can independently solution Decisions.
• Is this something only they do: A few of us.
• What's different about this role: Develop frontend architecture, reusable shared components, and strong ownership of features from development through …</t>
        </is>
      </c>
      <c r="U491" s="31" t="inlineStr">
        <is>
          <t>Received · manager annual · 1.Improve task execution speed and reduce average task completion turnaround time by ≥ 40% YoY.
2.Increase independent task execution capability to complete ≥ 70% assigned tasks with minimal handholding by FY end.
3.Improve sprint delivery discipline by achieving ≥ 85% task completion within committed …</t>
        </is>
      </c>
      <c r="V491" s="31" t="inlineStr">
        <is>
          <t>Latest rating: Not rated · manager · 9-box: Reliable Specialist · Readiness: No rating data</t>
        </is>
      </c>
      <c r="W491" s="31" t="inlineStr">
        <is>
          <t>C M · Au M · Ac M · L L · BI M · Exp M · 1.2 yrs vs 0–2 yrs · Edu M · B.Sc</t>
        </is>
      </c>
      <c r="X491" s="33" t="inlineStr">
        <is>
          <t>Open ▸</t>
        </is>
      </c>
      <c r="Y491" s="34" t="str">
        <f>IFERROR(INDEX(DL_C,MATCH($CA491,DL_KEY,0)),"M")</f>
        <v>H</v>
      </c>
      <c r="Z491" s="35" t="str">
        <f>IFERROR(INDEX(DL_Au,MATCH($CA491,DL_KEY,0)),"M")</f>
        <v>M</v>
      </c>
      <c r="AA491" s="35" t="str">
        <f>IFERROR(INDEX(DL_Ac,MATCH($CA491,DL_KEY,0)),"M")</f>
        <v>L</v>
      </c>
      <c r="AB491" s="35" t="str">
        <f>IFERROR(INDEX(DL_L,MATCH($CA491,DL_KEY,0)),"M")</f>
        <v>L</v>
      </c>
      <c r="AC491" s="35" t="str">
        <f>IFERROR(INDEX(DL_BI,MATCH($CA491,DL_KEY,0)),"M")</f>
        <v>L</v>
      </c>
      <c r="AD491" s="35" t="str">
        <f>IFERROR(INDEX(DL_Exp,MATCH($CA491,DL_KEY,0)),"M")</f>
        <v>L</v>
      </c>
      <c r="AE491" s="35" t="str">
        <f>IFERROR(INDEX(DL_Edu,MATCH($CA491,DL_KEY,0)),"M")</f>
        <v>L</v>
      </c>
      <c r="AF491" s="34" t="inlineStr">
        <is>
          <t>M</t>
        </is>
      </c>
      <c r="AG491" s="35" t="inlineStr">
        <is>
          <t>M</t>
        </is>
      </c>
      <c r="AH491" s="35" t="inlineStr">
        <is>
          <t>M</t>
        </is>
      </c>
      <c r="AI491" s="35" t="inlineStr">
        <is>
          <t>M</t>
        </is>
      </c>
      <c r="AJ491" s="35" t="inlineStr">
        <is>
          <t>M</t>
        </is>
      </c>
      <c r="AK491" s="35" t="inlineStr">
        <is>
          <t>M</t>
        </is>
      </c>
      <c r="AL491" s="35" t="inlineStr">
        <is>
          <t>M</t>
        </is>
      </c>
      <c r="AM491" s="36" t="n">
        <v>0.583</v>
      </c>
      <c r="AN491" s="37" t="n">
        <v>0.16</v>
      </c>
      <c r="AO491" s="37" t="n">
        <v>0.09</v>
      </c>
      <c r="AP491" s="37" t="n">
        <v>0</v>
      </c>
      <c r="AQ491" s="37" t="n">
        <v>0.063</v>
      </c>
      <c r="AR491" s="37" t="n">
        <v>0.06</v>
      </c>
      <c r="AS491" s="37" t="n">
        <v>0.04</v>
      </c>
      <c r="AT491" s="38" t="inlineStr">
        <is>
          <t>0–3</t>
        </is>
      </c>
      <c r="AU491" s="38" t="inlineStr">
        <is>
          <t>Graduate · or diploma with experience</t>
        </is>
      </c>
      <c r="AV491" s="38" t="inlineStr">
        <is>
          <t>No direct reports</t>
        </is>
      </c>
      <c r="AW491" s="38" t="inlineStr">
        <is>
          <t>P1–P2 · SFIA 2 Assist</t>
        </is>
      </c>
      <c r="AX49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91" s="39" t="inlineStr">
        <is>
          <t>A2</t>
        </is>
      </c>
      <c r="AZ491" s="40" t="inlineStr">
        <is>
          <t>Band A · Practitioner · Associate</t>
        </is>
      </c>
      <c r="BA491" s="40" t="inlineStr">
        <is>
          <t>Model A2 from the six ratings, the market-derived weights and rules R1–R13 · then No change · already below the manager</t>
        </is>
      </c>
      <c r="BB491" s="41" t="inlineStr">
        <is>
          <t>A2</t>
        </is>
      </c>
      <c r="BC491" s="40" t="inlineStr">
        <is>
          <t>The six ratings on the market-average weights of Band A · all tracks score 1.92 → A2 · Hay, Mercer IPE and public plans · experience 1.2 yrs vs the A2 market range 0–3</t>
        </is>
      </c>
      <c r="BD491" s="42">
        <f>IF(SUM(BM491,BN491,BO491,BP491,BQ491,BR491,BS491)=0,0,(BM491*BT491+BN491*BU491+BO491*BV491+BP491*BW491+BQ491*BX491+BR491*BY491+BS491*BZ491)/SUM(BM491,BN491,BO491,BP491,BQ491,BR491,BS491))</f>
        <v>0</v>
      </c>
      <c r="BE491" s="41" t="str">
        <f>IF(LEFT(AY491,1)="X",AY491,IF(OR(AY491="B+",AY491="C+"),INDEX(LAD_PC,MAX(1,MIN(14,MATCH(AY491,LAD_PC,0)+IF(BD491&gt;=0.5,1,IF(BD491&lt;=-0.5,-1,0))))),INDEX(LAD_STD,MAX(1,MIN(12,MATCH(AY491,LAD_STD,0)+IF(BD491&gt;=0.5,1,IF(BD491&lt;=-0.5,-1,0)))))))</f>
        <v>A2</v>
      </c>
      <c r="BF491" s="43" t="n"/>
      <c r="BG491" s="41" t="str">
        <f>IF(BF491&lt;&gt;"",BF491,BE491)</f>
        <v>A2</v>
      </c>
      <c r="BH491" s="40" t="str">
        <f>IFERROR(CHOOSE(INDEX(B_RANK,MATCH(BG491,B_LVL,0)),"Band A","Band B","B+ · Player-Coach","Band C","C+ · Player-Coach","Band D","Band E"),"Band X · Consultant")</f>
        <v>Band A</v>
      </c>
      <c r="BI491" s="40" t="str">
        <f>IF(BG491=AY491,"• Same",IF(INDEX(B_VAL,MATCH(BG491,B_LVL,0))&gt;INDEX(B_VAL,MATCH(AY491,B_LVL,0)),"▲ Up","▼ Down"))</f>
        <v>• Same</v>
      </c>
      <c r="BJ491" s="40" t="str">
        <f>IF(OR($M491="",$M491="—",$M491="Not in this file"),"",IFERROR(INDEX($BG$7:$BG$592,MATCH($M491,$D$7:$D$592,0)),""))</f>
        <v>A3</v>
      </c>
      <c r="BK491" s="40" t="str">
        <f>IFERROR(IF(BJ491="","—",IF(OR(LEFT(BG491,1)="X",LEFT(BJ491,1)="X"),"—",IF(AND(LEFT(BG491,1)="E",LEFT(BJ491,1)="E"),"Exception · Band E",IF(AND(INDEX(B_VAL,MATCH(BJ491,B_LVL,0))&gt;=7,INDEX(B_RANK,MATCH(BG491,B_LVL,0))&gt;=INDEX(B_RANK,MATCH(BJ491,B_LVL,0))),"⚠ Same band as a head manager",IF(INDEX(B_VAL,MATCH(BG491,B_LVL,0))&gt;=INDEX(B_VAL,MATCH(BJ491,B_LVL,0)),"⚠ At or above the manager's level","OK"))))),"—")</f>
        <v>OK</v>
      </c>
      <c r="BL491" s="43" t="n"/>
      <c r="BM491" s="44">
        <f>IFERROR(INDEX(LMH_PTS,MATCH(Y491,LMH_KEY,0)),0)</f>
        <v>9</v>
      </c>
      <c r="BN491" s="38">
        <f>IFERROR(INDEX(LMH_PTS,MATCH(Z491,LMH_KEY,0)),0)</f>
        <v>3</v>
      </c>
      <c r="BO491" s="38">
        <f>IFERROR(INDEX(LMH_PTS,MATCH(AA491,LMH_KEY,0)),0)</f>
        <v>1</v>
      </c>
      <c r="BP491" s="38">
        <f>IFERROR(INDEX(LMH_PTS,MATCH(AB491,LMH_KEY,0)),0)</f>
        <v>1</v>
      </c>
      <c r="BQ491" s="38">
        <f>IFERROR(INDEX(LMH_PTS,MATCH(AC491,LMH_KEY,0)),0)</f>
        <v>1</v>
      </c>
      <c r="BR491" s="38">
        <f>IFERROR(INDEX(LMH_PTS,MATCH(AD491,LMH_KEY,0)),0)</f>
        <v>1</v>
      </c>
      <c r="BS491" s="38">
        <f>IFERROR(INDEX(LMH_PTS,MATCH(AE491,LMH_KEY,0)),0)</f>
        <v>1</v>
      </c>
      <c r="BT491" s="38">
        <f>IFERROR(INDEX(LMH_STEP,MATCH(AF491,LMH_KEY,0)),0)</f>
        <v>0</v>
      </c>
      <c r="BU491" s="38">
        <f>IFERROR(INDEX(LMH_STEP,MATCH(AG491,LMH_KEY,0)),0)</f>
        <v>0</v>
      </c>
      <c r="BV491" s="38">
        <f>IFERROR(INDEX(LMH_STEP,MATCH(AH491,LMH_KEY,0)),0)</f>
        <v>0</v>
      </c>
      <c r="BW491" s="38">
        <f>IFERROR(INDEX(LMH_STEP,MATCH(AI491,LMH_KEY,0)),0)</f>
        <v>0</v>
      </c>
      <c r="BX491" s="38">
        <f>IFERROR(INDEX(LMH_STEP,MATCH(AJ491,LMH_KEY,0)),0)</f>
        <v>0</v>
      </c>
      <c r="BY491" s="38">
        <f>IFERROR(INDEX(LMH_STEP,MATCH(AK491,LMH_KEY,0)),0)</f>
        <v>0</v>
      </c>
      <c r="BZ491" s="38">
        <f>IFERROR(INDEX(LMH_STEP,MATCH(AL491,LMH_KEY,0)),0)</f>
        <v>0</v>
      </c>
      <c r="CA491" s="38" t="inlineStr">
        <is>
          <t>CARBON|Technology|UI Developer|A2|A</t>
        </is>
      </c>
    </row>
    <row r="492" ht="110" customHeight="1">
      <c r="A492" s="28" t="inlineStr">
        <is>
          <t>CARBON</t>
        </is>
      </c>
      <c r="B492" s="29" t="inlineStr">
        <is>
          <t>Technology</t>
        </is>
      </c>
      <c r="C492" s="29" t="n">
        <v>3</v>
      </c>
      <c r="D492" s="29" t="inlineStr">
        <is>
          <t>IRIS2109</t>
        </is>
      </c>
      <c r="E492" s="29" t="inlineStr">
        <is>
          <t>Jayshiv Patel</t>
        </is>
      </c>
      <c r="F492" s="29" t="inlineStr">
        <is>
          <t>Software Engineer</t>
        </is>
      </c>
      <c r="G492" s="29" t="inlineStr">
        <is>
          <t>Senior Software Engineer</t>
        </is>
      </c>
      <c r="H492" s="29" t="inlineStr">
        <is>
          <t>Engineering &amp; Development</t>
        </is>
      </c>
      <c r="I492" s="29" t="inlineStr">
        <is>
          <t>Full-Stack Development</t>
        </is>
      </c>
      <c r="J492" s="29" t="inlineStr">
        <is>
          <t>IC</t>
        </is>
      </c>
      <c r="K492" s="29" t="inlineStr">
        <is>
          <t>RC-085</t>
        </is>
      </c>
      <c r="L492" s="29" t="inlineStr">
        <is>
          <t>Chetan Kotwal</t>
        </is>
      </c>
      <c r="M492" s="29" t="inlineStr">
        <is>
          <t>IRIS1832</t>
        </is>
      </c>
      <c r="N492" s="29" t="n">
        <v>3.5</v>
      </c>
      <c r="O492" s="29" t="n">
        <v>3.5</v>
      </c>
      <c r="P492" s="29" t="inlineStr">
        <is>
          <t>Msc</t>
        </is>
      </c>
      <c r="Q492" s="29" t="inlineStr">
        <is>
          <t>L3 – Professional / Associate</t>
        </is>
      </c>
      <c r="R492" s="29" t="inlineStr">
        <is>
          <t>A3</t>
        </is>
      </c>
      <c r="S492" s="30" t="inlineStr">
        <is>
          <t>20 of 20</t>
        </is>
      </c>
      <c r="T492" s="31" t="inlineStr">
        <is>
          <t>• Role / sub-team: Technology — Software Engineer.
• Core purpose: As a Software Engineer, my core purpose is to develop new features and enhancements for the product, maintain and improve existing functionality, and guide and support the team members.
• Decision-making autonomy: Can independently feature implementation.
• Is this something only they do: A …</t>
        </is>
      </c>
      <c r="U492" s="31" t="inlineStr">
        <is>
          <t>Received · manager annual · 1.Deliver ≥ 95% committed MS 365 / Office Add-in tasks within agreed timelines with high-quality implementation.
2.Improve technical breadth by learning advanced software engineering concepts · system design, backend architecture, integration, security and contribute to ≥ 40% technical design discussions.
3.Maintain …</t>
        </is>
      </c>
      <c r="V492" s="31" t="inlineStr">
        <is>
          <t>Latest rating: Not rated · manager · 9-box: Not placed · manager · Readiness: No rating data</t>
        </is>
      </c>
      <c r="W492" s="31" t="inlineStr">
        <is>
          <t>C L · Au L · Ac M · L M · BI M · Exp L · 3.5 yrs vs 4–7 yrs · Edu H · Msc</t>
        </is>
      </c>
      <c r="X492" s="33" t="inlineStr">
        <is>
          <t>Open ▸</t>
        </is>
      </c>
      <c r="Y492" s="34" t="str">
        <f>IFERROR(INDEX(DL_C,MATCH($CA492,DL_KEY,0)),"M")</f>
        <v>H</v>
      </c>
      <c r="Z492" s="35" t="str">
        <f>IFERROR(INDEX(DL_Au,MATCH($CA492,DL_KEY,0)),"M")</f>
        <v>M</v>
      </c>
      <c r="AA492" s="35" t="str">
        <f>IFERROR(INDEX(DL_Ac,MATCH($CA492,DL_KEY,0)),"M")</f>
        <v>L</v>
      </c>
      <c r="AB492" s="35" t="str">
        <f>IFERROR(INDEX(DL_L,MATCH($CA492,DL_KEY,0)),"M")</f>
        <v>L</v>
      </c>
      <c r="AC492" s="35" t="str">
        <f>IFERROR(INDEX(DL_BI,MATCH($CA492,DL_KEY,0)),"M")</f>
        <v>L</v>
      </c>
      <c r="AD492" s="35" t="str">
        <f>IFERROR(INDEX(DL_Exp,MATCH($CA492,DL_KEY,0)),"M")</f>
        <v>L</v>
      </c>
      <c r="AE492" s="35" t="str">
        <f>IFERROR(INDEX(DL_Edu,MATCH($CA492,DL_KEY,0)),"M")</f>
        <v>L</v>
      </c>
      <c r="AF492" s="34" t="inlineStr">
        <is>
          <t>M</t>
        </is>
      </c>
      <c r="AG492" s="35" t="inlineStr">
        <is>
          <t>M</t>
        </is>
      </c>
      <c r="AH492" s="35" t="inlineStr">
        <is>
          <t>M</t>
        </is>
      </c>
      <c r="AI492" s="35" t="inlineStr">
        <is>
          <t>M</t>
        </is>
      </c>
      <c r="AJ492" s="35" t="inlineStr">
        <is>
          <t>M</t>
        </is>
      </c>
      <c r="AK492" s="35" t="inlineStr">
        <is>
          <t>M</t>
        </is>
      </c>
      <c r="AL492" s="35" t="inlineStr">
        <is>
          <t>M</t>
        </is>
      </c>
      <c r="AM492" s="36" t="n">
        <v>0.513</v>
      </c>
      <c r="AN492" s="37" t="n">
        <v>0.173</v>
      </c>
      <c r="AO492" s="37" t="n">
        <v>0.09699999999999999</v>
      </c>
      <c r="AP492" s="37" t="n">
        <v>0.05</v>
      </c>
      <c r="AQ492" s="37" t="n">
        <v>0.07000000000000001</v>
      </c>
      <c r="AR492" s="37" t="n">
        <v>0.06</v>
      </c>
      <c r="AS492" s="37" t="n">
        <v>0.04</v>
      </c>
      <c r="AT492" s="38" t="inlineStr">
        <is>
          <t>4–8</t>
        </is>
      </c>
      <c r="AU492" s="38" t="inlineStr">
        <is>
          <t>Graduate + relevant qualification or certification preferred</t>
        </is>
      </c>
      <c r="AV492" s="38" t="inlineStr">
        <is>
          <t>IC: none · Team Lead: 3–5</t>
        </is>
      </c>
      <c r="AW492" s="38" t="inlineStr">
        <is>
          <t>P3 / M2 · SFIA 4 Enable</t>
        </is>
      </c>
      <c r="AX49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92" s="39" t="inlineStr">
        <is>
          <t>B1</t>
        </is>
      </c>
      <c r="AZ492" s="40" t="inlineStr">
        <is>
          <t>Band B · Specialist / Manager · Specialist</t>
        </is>
      </c>
      <c r="BA492" s="40" t="inlineStr">
        <is>
          <t>Model A3 from the six ratings, the market-derived weights and rules R1–R13 · then Leads people at or above their own level · A3 → B1 Team Lead</t>
        </is>
      </c>
      <c r="BB492" s="41" t="inlineStr">
        <is>
          <t>A3</t>
        </is>
      </c>
      <c r="BC492" s="40" t="inlineStr">
        <is>
          <t>The six ratings on the market-average weights of Band B · Specialist / POD Lead score 2.82 → A3 · Hay, Mercer IPE and public plans · experience 3.5 yrs vs the A3 market range 2–5</t>
        </is>
      </c>
      <c r="BD492" s="42">
        <f>IF(SUM(BM492,BN492,BO492,BP492,BQ492,BR492,BS492)=0,0,(BM492*BT492+BN492*BU492+BO492*BV492+BP492*BW492+BQ492*BX492+BR492*BY492+BS492*BZ492)/SUM(BM492,BN492,BO492,BP492,BQ492,BR492,BS492))</f>
        <v>0</v>
      </c>
      <c r="BE492" s="41" t="str">
        <f>IF(LEFT(AY492,1)="X",AY492,IF(OR(AY492="B+",AY492="C+"),INDEX(LAD_PC,MAX(1,MIN(14,MATCH(AY492,LAD_PC,0)+IF(BD492&gt;=0.5,1,IF(BD492&lt;=-0.5,-1,0))))),INDEX(LAD_STD,MAX(1,MIN(12,MATCH(AY492,LAD_STD,0)+IF(BD492&gt;=0.5,1,IF(BD492&lt;=-0.5,-1,0)))))))</f>
        <v>B1</v>
      </c>
      <c r="BF492" s="43" t="n"/>
      <c r="BG492" s="41" t="str">
        <f>IF(BF492&lt;&gt;"",BF492,BE492)</f>
        <v>B1</v>
      </c>
      <c r="BH492" s="40" t="str">
        <f>IFERROR(CHOOSE(INDEX(B_RANK,MATCH(BG492,B_LVL,0)),"Band A","Band B","B+ · Player-Coach","Band C","C+ · Player-Coach","Band D","Band E"),"Band X · Consultant")</f>
        <v>Band B</v>
      </c>
      <c r="BI492" s="40" t="str">
        <f>IF(BG492=AY492,"• Same",IF(INDEX(B_VAL,MATCH(BG492,B_LVL,0))&gt;INDEX(B_VAL,MATCH(AY492,B_LVL,0)),"▲ Up","▼ Down"))</f>
        <v>• Same</v>
      </c>
      <c r="BJ492" s="40" t="str">
        <f>IF(OR($M492="",$M492="—",$M492="Not in this file"),"",IFERROR(INDEX($BG$7:$BG$592,MATCH($M492,$D$7:$D$592,0)),""))</f>
        <v>B3</v>
      </c>
      <c r="BK492" s="40" t="str">
        <f>IFERROR(IF(BJ492="","—",IF(OR(LEFT(BG492,1)="X",LEFT(BJ492,1)="X"),"—",IF(AND(LEFT(BG492,1)="E",LEFT(BJ492,1)="E"),"Exception · Band E",IF(AND(INDEX(B_VAL,MATCH(BJ492,B_LVL,0))&gt;=7,INDEX(B_RANK,MATCH(BG492,B_LVL,0))&gt;=INDEX(B_RANK,MATCH(BJ492,B_LVL,0))),"⚠ Same band as a head manager",IF(INDEX(B_VAL,MATCH(BG492,B_LVL,0))&gt;=INDEX(B_VAL,MATCH(BJ492,B_LVL,0)),"⚠ At or above the manager's level","OK"))))),"—")</f>
        <v>OK</v>
      </c>
      <c r="BL492" s="43" t="n"/>
      <c r="BM492" s="44">
        <f>IFERROR(INDEX(LMH_PTS,MATCH(Y492,LMH_KEY,0)),0)</f>
        <v>9</v>
      </c>
      <c r="BN492" s="38">
        <f>IFERROR(INDEX(LMH_PTS,MATCH(Z492,LMH_KEY,0)),0)</f>
        <v>3</v>
      </c>
      <c r="BO492" s="38">
        <f>IFERROR(INDEX(LMH_PTS,MATCH(AA492,LMH_KEY,0)),0)</f>
        <v>1</v>
      </c>
      <c r="BP492" s="38">
        <f>IFERROR(INDEX(LMH_PTS,MATCH(AB492,LMH_KEY,0)),0)</f>
        <v>1</v>
      </c>
      <c r="BQ492" s="38">
        <f>IFERROR(INDEX(LMH_PTS,MATCH(AC492,LMH_KEY,0)),0)</f>
        <v>1</v>
      </c>
      <c r="BR492" s="38">
        <f>IFERROR(INDEX(LMH_PTS,MATCH(AD492,LMH_KEY,0)),0)</f>
        <v>1</v>
      </c>
      <c r="BS492" s="38">
        <f>IFERROR(INDEX(LMH_PTS,MATCH(AE492,LMH_KEY,0)),0)</f>
        <v>1</v>
      </c>
      <c r="BT492" s="38">
        <f>IFERROR(INDEX(LMH_STEP,MATCH(AF492,LMH_KEY,0)),0)</f>
        <v>0</v>
      </c>
      <c r="BU492" s="38">
        <f>IFERROR(INDEX(LMH_STEP,MATCH(AG492,LMH_KEY,0)),0)</f>
        <v>0</v>
      </c>
      <c r="BV492" s="38">
        <f>IFERROR(INDEX(LMH_STEP,MATCH(AH492,LMH_KEY,0)),0)</f>
        <v>0</v>
      </c>
      <c r="BW492" s="38">
        <f>IFERROR(INDEX(LMH_STEP,MATCH(AI492,LMH_KEY,0)),0)</f>
        <v>0</v>
      </c>
      <c r="BX492" s="38">
        <f>IFERROR(INDEX(LMH_STEP,MATCH(AJ492,LMH_KEY,0)),0)</f>
        <v>0</v>
      </c>
      <c r="BY492" s="38">
        <f>IFERROR(INDEX(LMH_STEP,MATCH(AK492,LMH_KEY,0)),0)</f>
        <v>0</v>
      </c>
      <c r="BZ492" s="38">
        <f>IFERROR(INDEX(LMH_STEP,MATCH(AL492,LMH_KEY,0)),0)</f>
        <v>0</v>
      </c>
      <c r="CA492" s="38" t="inlineStr">
        <is>
          <t>CARBON|Technology|Senior Software Engineer|B1|B-IC</t>
        </is>
      </c>
    </row>
    <row r="493" ht="110" customHeight="1">
      <c r="A493" s="28" t="inlineStr">
        <is>
          <t>CARBON</t>
        </is>
      </c>
      <c r="B493" s="29" t="inlineStr">
        <is>
          <t>Support</t>
        </is>
      </c>
      <c r="C493" s="29" t="n">
        <v>4</v>
      </c>
      <c r="D493" s="29" t="inlineStr">
        <is>
          <t>IRIS2048</t>
        </is>
      </c>
      <c r="E493" s="29" t="inlineStr">
        <is>
          <t>Gajanan Vadekar</t>
        </is>
      </c>
      <c r="F493" s="29" t="inlineStr">
        <is>
          <t>Software Engineer</t>
        </is>
      </c>
      <c r="G493" s="29" t="inlineStr">
        <is>
          <t>Senior Software Engineer</t>
        </is>
      </c>
      <c r="H493" s="29" t="inlineStr">
        <is>
          <t>Engineering &amp; Development</t>
        </is>
      </c>
      <c r="I493" s="29" t="inlineStr">
        <is>
          <t>Application Maintenance &amp; Production Support</t>
        </is>
      </c>
      <c r="J493" s="29" t="inlineStr">
        <is>
          <t>IC</t>
        </is>
      </c>
      <c r="K493" s="29" t="inlineStr">
        <is>
          <t>RC-062</t>
        </is>
      </c>
      <c r="L493" s="29" t="inlineStr">
        <is>
          <t>Jayshiv Patel</t>
        </is>
      </c>
      <c r="M493" s="29" t="inlineStr">
        <is>
          <t>IRIS2109</t>
        </is>
      </c>
      <c r="N493" s="29" t="n">
        <v>4.1</v>
      </c>
      <c r="O493" s="29" t="n">
        <v>4.1</v>
      </c>
      <c r="P493" s="29" t="inlineStr">
        <is>
          <t>B.Tech</t>
        </is>
      </c>
      <c r="Q493" s="29" t="inlineStr">
        <is>
          <t>L3 – Professional / Associate</t>
        </is>
      </c>
      <c r="R493" s="29" t="inlineStr">
        <is>
          <t>A3</t>
        </is>
      </c>
      <c r="S493" s="30" t="inlineStr">
        <is>
          <t>20 of 20</t>
        </is>
      </c>
      <c r="T493" s="31" t="inlineStr">
        <is>
          <t>• Role / sub-team: Support — Software Engineer.
• Core purpose: To ensure a smooth and reliable experience for end users while using the product we have developed, by maintaining its quality, performance, and usability.
• Decision-making autonomy: Can independently code fixes n improvements.
• Is this something only they do: A few others in the team also …</t>
        </is>
      </c>
      <c r="U493" s="31" t="inlineStr">
        <is>
          <t>Received · manager annual · 1.Ensure ≥ 95% MS 365 Add-in support tickets/incidents are acknowledged and responded to within defined TAT/SLA.
2.Improve issue resolution efficiency by ensuring ≥ 90% MS 365 incidents are resolved or routed with proper root-cause analysis and actionable inputs for development team.
3.Deliver hotfixes, scripts, and …</t>
        </is>
      </c>
      <c r="V493" s="31" t="inlineStr">
        <is>
          <t>Latest rating: Not rated · manager · 9-box: Trusted Professional · Readiness: No rating data</t>
        </is>
      </c>
      <c r="W493" s="31" t="inlineStr">
        <is>
          <t>C L · Au L · Ac M · L L · BI M · Exp H · 4.1 yrs vs 2–4 yrs · Edu M · B.Tech</t>
        </is>
      </c>
      <c r="X493" s="33" t="inlineStr">
        <is>
          <t>Open ▸</t>
        </is>
      </c>
      <c r="Y493" s="34" t="str">
        <f>IFERROR(INDEX(DL_C,MATCH($CA493,DL_KEY,0)),"M")</f>
        <v>H</v>
      </c>
      <c r="Z493" s="35" t="str">
        <f>IFERROR(INDEX(DL_Au,MATCH($CA493,DL_KEY,0)),"M")</f>
        <v>M</v>
      </c>
      <c r="AA493" s="35" t="str">
        <f>IFERROR(INDEX(DL_Ac,MATCH($CA493,DL_KEY,0)),"M")</f>
        <v>L</v>
      </c>
      <c r="AB493" s="35" t="str">
        <f>IFERROR(INDEX(DL_L,MATCH($CA493,DL_KEY,0)),"M")</f>
        <v>L</v>
      </c>
      <c r="AC493" s="35" t="str">
        <f>IFERROR(INDEX(DL_BI,MATCH($CA493,DL_KEY,0)),"M")</f>
        <v>L</v>
      </c>
      <c r="AD493" s="35" t="str">
        <f>IFERROR(INDEX(DL_Exp,MATCH($CA493,DL_KEY,0)),"M")</f>
        <v>L</v>
      </c>
      <c r="AE493" s="35" t="str">
        <f>IFERROR(INDEX(DL_Edu,MATCH($CA493,DL_KEY,0)),"M")</f>
        <v>L</v>
      </c>
      <c r="AF493" s="34" t="inlineStr">
        <is>
          <t>M</t>
        </is>
      </c>
      <c r="AG493" s="35" t="inlineStr">
        <is>
          <t>M</t>
        </is>
      </c>
      <c r="AH493" s="35" t="inlineStr">
        <is>
          <t>M</t>
        </is>
      </c>
      <c r="AI493" s="35" t="inlineStr">
        <is>
          <t>M</t>
        </is>
      </c>
      <c r="AJ493" s="35" t="inlineStr">
        <is>
          <t>M</t>
        </is>
      </c>
      <c r="AK493" s="35" t="inlineStr">
        <is>
          <t>M</t>
        </is>
      </c>
      <c r="AL493" s="35" t="inlineStr">
        <is>
          <t>M</t>
        </is>
      </c>
      <c r="AM493" s="36" t="n">
        <v>0.583</v>
      </c>
      <c r="AN493" s="37" t="n">
        <v>0.16</v>
      </c>
      <c r="AO493" s="37" t="n">
        <v>0.09</v>
      </c>
      <c r="AP493" s="37" t="n">
        <v>0</v>
      </c>
      <c r="AQ493" s="37" t="n">
        <v>0.063</v>
      </c>
      <c r="AR493" s="37" t="n">
        <v>0.06</v>
      </c>
      <c r="AS493" s="37" t="n">
        <v>0.04</v>
      </c>
      <c r="AT493" s="38" t="inlineStr">
        <is>
          <t>2–5</t>
        </is>
      </c>
      <c r="AU493" s="38" t="inlineStr">
        <is>
          <t>Graduate; relevant certification preferred</t>
        </is>
      </c>
      <c r="AV493" s="38" t="inlineStr">
        <is>
          <t>None · guides 1–3 juniors informally</t>
        </is>
      </c>
      <c r="AW493" s="38" t="inlineStr">
        <is>
          <t>P2 · SFIA 3 Apply</t>
        </is>
      </c>
      <c r="AX49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93" s="39" t="inlineStr">
        <is>
          <t>A3</t>
        </is>
      </c>
      <c r="AZ493" s="40" t="inlineStr">
        <is>
          <t>Band A · Practitioner · Senior Associate</t>
        </is>
      </c>
      <c r="BA493" s="40" t="inlineStr">
        <is>
          <t>Model A3 from the six ratings, the market-derived weights and rules R1–R13 · then No change · already below the manager</t>
        </is>
      </c>
      <c r="BB493" s="41" t="inlineStr">
        <is>
          <t>A2</t>
        </is>
      </c>
      <c r="BC493" s="40" t="inlineStr">
        <is>
          <t>The six ratings on the market-average weights of Band A · all tracks score 2.23 → A2 · Hay, Mercer IPE and public plans · experience 4.1 yrs vs the A2 market range 0–3</t>
        </is>
      </c>
      <c r="BD493" s="42">
        <f>IF(SUM(BM493,BN493,BO493,BP493,BQ493,BR493,BS493)=0,0,(BM493*BT493+BN493*BU493+BO493*BV493+BP493*BW493+BQ493*BX493+BR493*BY493+BS493*BZ493)/SUM(BM493,BN493,BO493,BP493,BQ493,BR493,BS493))</f>
        <v>0</v>
      </c>
      <c r="BE493" s="41" t="str">
        <f>IF(LEFT(AY493,1)="X",AY493,IF(OR(AY493="B+",AY493="C+"),INDEX(LAD_PC,MAX(1,MIN(14,MATCH(AY493,LAD_PC,0)+IF(BD493&gt;=0.5,1,IF(BD493&lt;=-0.5,-1,0))))),INDEX(LAD_STD,MAX(1,MIN(12,MATCH(AY493,LAD_STD,0)+IF(BD493&gt;=0.5,1,IF(BD493&lt;=-0.5,-1,0)))))))</f>
        <v>A3</v>
      </c>
      <c r="BF493" s="43" t="n"/>
      <c r="BG493" s="41" t="str">
        <f>IF(BF493&lt;&gt;"",BF493,BE493)</f>
        <v>A3</v>
      </c>
      <c r="BH493" s="40" t="str">
        <f>IFERROR(CHOOSE(INDEX(B_RANK,MATCH(BG493,B_LVL,0)),"Band A","Band B","B+ · Player-Coach","Band C","C+ · Player-Coach","Band D","Band E"),"Band X · Consultant")</f>
        <v>Band A</v>
      </c>
      <c r="BI493" s="40" t="str">
        <f>IF(BG493=AY493,"• Same",IF(INDEX(B_VAL,MATCH(BG493,B_LVL,0))&gt;INDEX(B_VAL,MATCH(AY493,B_LVL,0)),"▲ Up","▼ Down"))</f>
        <v>• Same</v>
      </c>
      <c r="BJ493" s="40" t="str">
        <f>IF(OR($M493="",$M493="—",$M493="Not in this file"),"",IFERROR(INDEX($BG$7:$BG$592,MATCH($M493,$D$7:$D$592,0)),""))</f>
        <v>B1</v>
      </c>
      <c r="BK493" s="40" t="str">
        <f>IFERROR(IF(BJ493="","—",IF(OR(LEFT(BG493,1)="X",LEFT(BJ493,1)="X"),"—",IF(AND(LEFT(BG493,1)="E",LEFT(BJ493,1)="E"),"Exception · Band E",IF(AND(INDEX(B_VAL,MATCH(BJ493,B_LVL,0))&gt;=7,INDEX(B_RANK,MATCH(BG493,B_LVL,0))&gt;=INDEX(B_RANK,MATCH(BJ493,B_LVL,0))),"⚠ Same band as a head manager",IF(INDEX(B_VAL,MATCH(BG493,B_LVL,0))&gt;=INDEX(B_VAL,MATCH(BJ493,B_LVL,0)),"⚠ At or above the manager's level","OK"))))),"—")</f>
        <v>OK</v>
      </c>
      <c r="BL493" s="43" t="n"/>
      <c r="BM493" s="44">
        <f>IFERROR(INDEX(LMH_PTS,MATCH(Y493,LMH_KEY,0)),0)</f>
        <v>9</v>
      </c>
      <c r="BN493" s="38">
        <f>IFERROR(INDEX(LMH_PTS,MATCH(Z493,LMH_KEY,0)),0)</f>
        <v>3</v>
      </c>
      <c r="BO493" s="38">
        <f>IFERROR(INDEX(LMH_PTS,MATCH(AA493,LMH_KEY,0)),0)</f>
        <v>1</v>
      </c>
      <c r="BP493" s="38">
        <f>IFERROR(INDEX(LMH_PTS,MATCH(AB493,LMH_KEY,0)),0)</f>
        <v>1</v>
      </c>
      <c r="BQ493" s="38">
        <f>IFERROR(INDEX(LMH_PTS,MATCH(AC493,LMH_KEY,0)),0)</f>
        <v>1</v>
      </c>
      <c r="BR493" s="38">
        <f>IFERROR(INDEX(LMH_PTS,MATCH(AD493,LMH_KEY,0)),0)</f>
        <v>1</v>
      </c>
      <c r="BS493" s="38">
        <f>IFERROR(INDEX(LMH_PTS,MATCH(AE493,LMH_KEY,0)),0)</f>
        <v>1</v>
      </c>
      <c r="BT493" s="38">
        <f>IFERROR(INDEX(LMH_STEP,MATCH(AF493,LMH_KEY,0)),0)</f>
        <v>0</v>
      </c>
      <c r="BU493" s="38">
        <f>IFERROR(INDEX(LMH_STEP,MATCH(AG493,LMH_KEY,0)),0)</f>
        <v>0</v>
      </c>
      <c r="BV493" s="38">
        <f>IFERROR(INDEX(LMH_STEP,MATCH(AH493,LMH_KEY,0)),0)</f>
        <v>0</v>
      </c>
      <c r="BW493" s="38">
        <f>IFERROR(INDEX(LMH_STEP,MATCH(AI493,LMH_KEY,0)),0)</f>
        <v>0</v>
      </c>
      <c r="BX493" s="38">
        <f>IFERROR(INDEX(LMH_STEP,MATCH(AJ493,LMH_KEY,0)),0)</f>
        <v>0</v>
      </c>
      <c r="BY493" s="38">
        <f>IFERROR(INDEX(LMH_STEP,MATCH(AK493,LMH_KEY,0)),0)</f>
        <v>0</v>
      </c>
      <c r="BZ493" s="38">
        <f>IFERROR(INDEX(LMH_STEP,MATCH(AL493,LMH_KEY,0)),0)</f>
        <v>0</v>
      </c>
      <c r="CA493" s="38" t="inlineStr">
        <is>
          <t>CARBON|Support|Senior Software Engineer|A3|A</t>
        </is>
      </c>
    </row>
    <row r="494" ht="110" customHeight="1">
      <c r="A494" s="28" t="inlineStr">
        <is>
          <t>CARBON</t>
        </is>
      </c>
      <c r="B494" s="29" t="inlineStr">
        <is>
          <t>Technology</t>
        </is>
      </c>
      <c r="C494" s="29" t="n">
        <v>4</v>
      </c>
      <c r="D494" s="29" t="inlineStr">
        <is>
          <t>IRIS2171</t>
        </is>
      </c>
      <c r="E494" s="29" t="inlineStr">
        <is>
          <t>Kush Govani</t>
        </is>
      </c>
      <c r="F494" s="29" t="inlineStr">
        <is>
          <t>Software Engineer</t>
        </is>
      </c>
      <c r="G494" s="29" t="inlineStr">
        <is>
          <t>Senior UI Developer</t>
        </is>
      </c>
      <c r="H494" s="29" t="inlineStr">
        <is>
          <t>Engineering &amp; Development</t>
        </is>
      </c>
      <c r="I494" s="29" t="inlineStr">
        <is>
          <t>Front-End / UI Development</t>
        </is>
      </c>
      <c r="J494" s="29" t="inlineStr">
        <is>
          <t>IC</t>
        </is>
      </c>
      <c r="K494" s="29" t="inlineStr">
        <is>
          <t>RC-081</t>
        </is>
      </c>
      <c r="L494" s="29" t="inlineStr">
        <is>
          <t>Jayshiv Patel</t>
        </is>
      </c>
      <c r="M494" s="29" t="inlineStr">
        <is>
          <t>IRIS2109</t>
        </is>
      </c>
      <c r="N494" s="29" t="n">
        <v>3.1</v>
      </c>
      <c r="O494" s="29" t="n">
        <v>3.1</v>
      </c>
      <c r="P494" s="29" t="inlineStr">
        <is>
          <t>B.Com</t>
        </is>
      </c>
      <c r="Q494" s="29" t="inlineStr">
        <is>
          <t>L3 – Professional / Associate</t>
        </is>
      </c>
      <c r="R494" s="29" t="inlineStr">
        <is>
          <t>A3</t>
        </is>
      </c>
      <c r="S494" s="30" t="inlineStr">
        <is>
          <t>20 of 20</t>
        </is>
      </c>
      <c r="T494" s="31" t="inlineStr">
        <is>
          <t>• Role / sub-team: Technology — Software Engineer.
• Core purpose: Software Engineer; As a Software Engineer specializing in React.js, my core purpose is to build and improve scalable, user-friendly web applications that solve business needs. I focus on delivering reliable, high-qualit; I build and improve web applications using React.js.
My role is to …</t>
        </is>
      </c>
      <c r="U494" s="31" t="inlineStr">
        <is>
          <t>Received · manager annual · 1.Deliver ≥ 95% committed frontend tasks within agreed timelines with high-quality execution.
2.Improve technical capability by contributing to minimum 2 complex UI/features or frontend modules independently.
3.Maintain strong engineering quality by achieving ≥ 85% first-time-right delivery and reducing rework by ≥ …</t>
        </is>
      </c>
      <c r="V494" s="31" t="inlineStr">
        <is>
          <t>Latest rating: Not rated · manager · 9-box: Trusted Professional · Readiness: No rating data</t>
        </is>
      </c>
      <c r="W494" s="31" t="inlineStr">
        <is>
          <t>C L · Au L · Ac L · L L · BI L · Exp M · 3.1 yrs vs 2–4 yrs · Edu M · B.Com</t>
        </is>
      </c>
      <c r="X494" s="33" t="inlineStr">
        <is>
          <t>Open ▸</t>
        </is>
      </c>
      <c r="Y494" s="34" t="str">
        <f>IFERROR(INDEX(DL_C,MATCH($CA494,DL_KEY,0)),"M")</f>
        <v>H</v>
      </c>
      <c r="Z494" s="35" t="str">
        <f>IFERROR(INDEX(DL_Au,MATCH($CA494,DL_KEY,0)),"M")</f>
        <v>M</v>
      </c>
      <c r="AA494" s="35" t="str">
        <f>IFERROR(INDEX(DL_Ac,MATCH($CA494,DL_KEY,0)),"M")</f>
        <v>L</v>
      </c>
      <c r="AB494" s="35" t="str">
        <f>IFERROR(INDEX(DL_L,MATCH($CA494,DL_KEY,0)),"M")</f>
        <v>L</v>
      </c>
      <c r="AC494" s="35" t="str">
        <f>IFERROR(INDEX(DL_BI,MATCH($CA494,DL_KEY,0)),"M")</f>
        <v>L</v>
      </c>
      <c r="AD494" s="35" t="str">
        <f>IFERROR(INDEX(DL_Exp,MATCH($CA494,DL_KEY,0)),"M")</f>
        <v>L</v>
      </c>
      <c r="AE494" s="35" t="str">
        <f>IFERROR(INDEX(DL_Edu,MATCH($CA494,DL_KEY,0)),"M")</f>
        <v>L</v>
      </c>
      <c r="AF494" s="34" t="inlineStr">
        <is>
          <t>M</t>
        </is>
      </c>
      <c r="AG494" s="35" t="inlineStr">
        <is>
          <t>M</t>
        </is>
      </c>
      <c r="AH494" s="35" t="inlineStr">
        <is>
          <t>M</t>
        </is>
      </c>
      <c r="AI494" s="35" t="inlineStr">
        <is>
          <t>M</t>
        </is>
      </c>
      <c r="AJ494" s="35" t="inlineStr">
        <is>
          <t>M</t>
        </is>
      </c>
      <c r="AK494" s="35" t="inlineStr">
        <is>
          <t>M</t>
        </is>
      </c>
      <c r="AL494" s="35" t="inlineStr">
        <is>
          <t>M</t>
        </is>
      </c>
      <c r="AM494" s="36" t="n">
        <v>0.583</v>
      </c>
      <c r="AN494" s="37" t="n">
        <v>0.16</v>
      </c>
      <c r="AO494" s="37" t="n">
        <v>0.09</v>
      </c>
      <c r="AP494" s="37" t="n">
        <v>0</v>
      </c>
      <c r="AQ494" s="37" t="n">
        <v>0.063</v>
      </c>
      <c r="AR494" s="37" t="n">
        <v>0.06</v>
      </c>
      <c r="AS494" s="37" t="n">
        <v>0.04</v>
      </c>
      <c r="AT494" s="38" t="inlineStr">
        <is>
          <t>2–5</t>
        </is>
      </c>
      <c r="AU494" s="38" t="inlineStr">
        <is>
          <t>Graduate; relevant certification preferred</t>
        </is>
      </c>
      <c r="AV494" s="38" t="inlineStr">
        <is>
          <t>None · guides 1–3 juniors informally</t>
        </is>
      </c>
      <c r="AW494" s="38" t="inlineStr">
        <is>
          <t>P2 · SFIA 3 Apply</t>
        </is>
      </c>
      <c r="AX49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94" s="39" t="inlineStr">
        <is>
          <t>A3</t>
        </is>
      </c>
      <c r="AZ494" s="40" t="inlineStr">
        <is>
          <t>Band A · Practitioner · Senior Associate</t>
        </is>
      </c>
      <c r="BA494" s="40" t="inlineStr">
        <is>
          <t>Model A3 from the six ratings, the market-derived weights and rules R1–R13 · then No change · already below the manager</t>
        </is>
      </c>
      <c r="BB494" s="41" t="inlineStr">
        <is>
          <t>A2</t>
        </is>
      </c>
      <c r="BC494" s="40" t="inlineStr">
        <is>
          <t>The six ratings on the market-average weights of Band A · all tracks score 2.10 → A2 · Hay, Mercer IPE and public plans · experience 3.1 yrs vs the A2 market range 0–3</t>
        </is>
      </c>
      <c r="BD494" s="42">
        <f>IF(SUM(BM494,BN494,BO494,BP494,BQ494,BR494,BS494)=0,0,(BM494*BT494+BN494*BU494+BO494*BV494+BP494*BW494+BQ494*BX494+BR494*BY494+BS494*BZ494)/SUM(BM494,BN494,BO494,BP494,BQ494,BR494,BS494))</f>
        <v>0</v>
      </c>
      <c r="BE494" s="41" t="str">
        <f>IF(LEFT(AY494,1)="X",AY494,IF(OR(AY494="B+",AY494="C+"),INDEX(LAD_PC,MAX(1,MIN(14,MATCH(AY494,LAD_PC,0)+IF(BD494&gt;=0.5,1,IF(BD494&lt;=-0.5,-1,0))))),INDEX(LAD_STD,MAX(1,MIN(12,MATCH(AY494,LAD_STD,0)+IF(BD494&gt;=0.5,1,IF(BD494&lt;=-0.5,-1,0)))))))</f>
        <v>A3</v>
      </c>
      <c r="BF494" s="43" t="n"/>
      <c r="BG494" s="41" t="str">
        <f>IF(BF494&lt;&gt;"",BF494,BE494)</f>
        <v>A3</v>
      </c>
      <c r="BH494" s="40" t="str">
        <f>IFERROR(CHOOSE(INDEX(B_RANK,MATCH(BG494,B_LVL,0)),"Band A","Band B","B+ · Player-Coach","Band C","C+ · Player-Coach","Band D","Band E"),"Band X · Consultant")</f>
        <v>Band A</v>
      </c>
      <c r="BI494" s="40" t="str">
        <f>IF(BG494=AY494,"• Same",IF(INDEX(B_VAL,MATCH(BG494,B_LVL,0))&gt;INDEX(B_VAL,MATCH(AY494,B_LVL,0)),"▲ Up","▼ Down"))</f>
        <v>• Same</v>
      </c>
      <c r="BJ494" s="40" t="str">
        <f>IF(OR($M494="",$M494="—",$M494="Not in this file"),"",IFERROR(INDEX($BG$7:$BG$592,MATCH($M494,$D$7:$D$592,0)),""))</f>
        <v>B1</v>
      </c>
      <c r="BK494" s="40" t="str">
        <f>IFERROR(IF(BJ494="","—",IF(OR(LEFT(BG494,1)="X",LEFT(BJ494,1)="X"),"—",IF(AND(LEFT(BG494,1)="E",LEFT(BJ494,1)="E"),"Exception · Band E",IF(AND(INDEX(B_VAL,MATCH(BJ494,B_LVL,0))&gt;=7,INDEX(B_RANK,MATCH(BG494,B_LVL,0))&gt;=INDEX(B_RANK,MATCH(BJ494,B_LVL,0))),"⚠ Same band as a head manager",IF(INDEX(B_VAL,MATCH(BG494,B_LVL,0))&gt;=INDEX(B_VAL,MATCH(BJ494,B_LVL,0)),"⚠ At or above the manager's level","OK"))))),"—")</f>
        <v>OK</v>
      </c>
      <c r="BL494" s="43" t="n"/>
      <c r="BM494" s="44">
        <f>IFERROR(INDEX(LMH_PTS,MATCH(Y494,LMH_KEY,0)),0)</f>
        <v>9</v>
      </c>
      <c r="BN494" s="38">
        <f>IFERROR(INDEX(LMH_PTS,MATCH(Z494,LMH_KEY,0)),0)</f>
        <v>3</v>
      </c>
      <c r="BO494" s="38">
        <f>IFERROR(INDEX(LMH_PTS,MATCH(AA494,LMH_KEY,0)),0)</f>
        <v>1</v>
      </c>
      <c r="BP494" s="38">
        <f>IFERROR(INDEX(LMH_PTS,MATCH(AB494,LMH_KEY,0)),0)</f>
        <v>1</v>
      </c>
      <c r="BQ494" s="38">
        <f>IFERROR(INDEX(LMH_PTS,MATCH(AC494,LMH_KEY,0)),0)</f>
        <v>1</v>
      </c>
      <c r="BR494" s="38">
        <f>IFERROR(INDEX(LMH_PTS,MATCH(AD494,LMH_KEY,0)),0)</f>
        <v>1</v>
      </c>
      <c r="BS494" s="38">
        <f>IFERROR(INDEX(LMH_PTS,MATCH(AE494,LMH_KEY,0)),0)</f>
        <v>1</v>
      </c>
      <c r="BT494" s="38">
        <f>IFERROR(INDEX(LMH_STEP,MATCH(AF494,LMH_KEY,0)),0)</f>
        <v>0</v>
      </c>
      <c r="BU494" s="38">
        <f>IFERROR(INDEX(LMH_STEP,MATCH(AG494,LMH_KEY,0)),0)</f>
        <v>0</v>
      </c>
      <c r="BV494" s="38">
        <f>IFERROR(INDEX(LMH_STEP,MATCH(AH494,LMH_KEY,0)),0)</f>
        <v>0</v>
      </c>
      <c r="BW494" s="38">
        <f>IFERROR(INDEX(LMH_STEP,MATCH(AI494,LMH_KEY,0)),0)</f>
        <v>0</v>
      </c>
      <c r="BX494" s="38">
        <f>IFERROR(INDEX(LMH_STEP,MATCH(AJ494,LMH_KEY,0)),0)</f>
        <v>0</v>
      </c>
      <c r="BY494" s="38">
        <f>IFERROR(INDEX(LMH_STEP,MATCH(AK494,LMH_KEY,0)),0)</f>
        <v>0</v>
      </c>
      <c r="BZ494" s="38">
        <f>IFERROR(INDEX(LMH_STEP,MATCH(AL494,LMH_KEY,0)),0)</f>
        <v>0</v>
      </c>
      <c r="CA494" s="38" t="inlineStr">
        <is>
          <t>CARBON|Technology|Senior UI Developer|A3|A</t>
        </is>
      </c>
    </row>
    <row r="495" ht="110" customHeight="1">
      <c r="A495" s="28" t="inlineStr">
        <is>
          <t>CARBON</t>
        </is>
      </c>
      <c r="B495" s="29" t="inlineStr">
        <is>
          <t>Technology</t>
        </is>
      </c>
      <c r="C495" s="29" t="n">
        <v>3</v>
      </c>
      <c r="D495" s="29" t="inlineStr">
        <is>
          <t>IRIS2054</t>
        </is>
      </c>
      <c r="E495" s="29" t="inlineStr">
        <is>
          <t>Raj Chauhan</t>
        </is>
      </c>
      <c r="F495" s="29" t="inlineStr">
        <is>
          <t>Software Engineer</t>
        </is>
      </c>
      <c r="G495" s="29" t="inlineStr">
        <is>
          <t>Senior Software Engineer</t>
        </is>
      </c>
      <c r="H495" s="29" t="inlineStr">
        <is>
          <t>Engineering &amp; Development</t>
        </is>
      </c>
      <c r="I495" s="29" t="inlineStr">
        <is>
          <t>Backend Development</t>
        </is>
      </c>
      <c r="J495" s="29" t="inlineStr">
        <is>
          <t>IC</t>
        </is>
      </c>
      <c r="K495" s="29" t="inlineStr">
        <is>
          <t>RC-067</t>
        </is>
      </c>
      <c r="L495" s="29" t="inlineStr">
        <is>
          <t>Chetan Kotwal</t>
        </is>
      </c>
      <c r="M495" s="29" t="inlineStr">
        <is>
          <t>IRIS1832</t>
        </is>
      </c>
      <c r="N495" s="29" t="n">
        <v>4.6</v>
      </c>
      <c r="O495" s="29" t="n">
        <v>4.1</v>
      </c>
      <c r="P495" s="29" t="inlineStr">
        <is>
          <t>MSc</t>
        </is>
      </c>
      <c r="Q495" s="29" t="inlineStr">
        <is>
          <t>L3 – Professional / Associate</t>
        </is>
      </c>
      <c r="R495" s="29" t="inlineStr">
        <is>
          <t>A3</t>
        </is>
      </c>
      <c r="S495" s="30" t="inlineStr">
        <is>
          <t>20 of 20</t>
        </is>
      </c>
      <c r="T495" s="31" t="inlineStr">
        <is>
          <t>• Role / sub-team: Technology — Software Engineer.
• Core purpose: As a software engineer is to build reliable, scalable digital solutions that drive business value and solve real user problems.
• Decision-making autonomy: Can independently technical RnD; Product optimization.
• Is this something only they do: A few of us - taking ownership, adhoc features, …</t>
        </is>
      </c>
      <c r="U495" s="31" t="inlineStr">
        <is>
          <t>Received · manager annual · 1.Deliver ≥ 95% committed MS 365 / Office Add-in tasks within agreed timelines with high-quality implementation.
2.Improve platform architecture by designing minimum 3 reusable components/frameworks that support “build once, reuse across modules”.
3.Strengthen system design and architecture skills by contributing to ≥ …</t>
        </is>
      </c>
      <c r="V495" s="31" t="inlineStr">
        <is>
          <t>Latest rating: Not rated · manager · 9-box: Not placed · manager · Readiness: No rating data</t>
        </is>
      </c>
      <c r="W495" s="31" t="inlineStr">
        <is>
          <t>C L · Au L · Ac M · L M · BI M · Exp M · 4.6 yrs vs 4–7 yrs · Edu H · MSc</t>
        </is>
      </c>
      <c r="X495" s="33" t="inlineStr">
        <is>
          <t>Open ▸</t>
        </is>
      </c>
      <c r="Y495" s="34" t="str">
        <f>IFERROR(INDEX(DL_C,MATCH($CA495,DL_KEY,0)),"M")</f>
        <v>H</v>
      </c>
      <c r="Z495" s="35" t="str">
        <f>IFERROR(INDEX(DL_Au,MATCH($CA495,DL_KEY,0)),"M")</f>
        <v>M</v>
      </c>
      <c r="AA495" s="35" t="str">
        <f>IFERROR(INDEX(DL_Ac,MATCH($CA495,DL_KEY,0)),"M")</f>
        <v>L</v>
      </c>
      <c r="AB495" s="35" t="str">
        <f>IFERROR(INDEX(DL_L,MATCH($CA495,DL_KEY,0)),"M")</f>
        <v>L</v>
      </c>
      <c r="AC495" s="35" t="str">
        <f>IFERROR(INDEX(DL_BI,MATCH($CA495,DL_KEY,0)),"M")</f>
        <v>L</v>
      </c>
      <c r="AD495" s="35" t="str">
        <f>IFERROR(INDEX(DL_Exp,MATCH($CA495,DL_KEY,0)),"M")</f>
        <v>L</v>
      </c>
      <c r="AE495" s="35" t="str">
        <f>IFERROR(INDEX(DL_Edu,MATCH($CA495,DL_KEY,0)),"M")</f>
        <v>L</v>
      </c>
      <c r="AF495" s="34" t="inlineStr">
        <is>
          <t>M</t>
        </is>
      </c>
      <c r="AG495" s="35" t="inlineStr">
        <is>
          <t>M</t>
        </is>
      </c>
      <c r="AH495" s="35" t="inlineStr">
        <is>
          <t>M</t>
        </is>
      </c>
      <c r="AI495" s="35" t="inlineStr">
        <is>
          <t>M</t>
        </is>
      </c>
      <c r="AJ495" s="35" t="inlineStr">
        <is>
          <t>M</t>
        </is>
      </c>
      <c r="AK495" s="35" t="inlineStr">
        <is>
          <t>M</t>
        </is>
      </c>
      <c r="AL495" s="35" t="inlineStr">
        <is>
          <t>M</t>
        </is>
      </c>
      <c r="AM495" s="36" t="n">
        <v>0.513</v>
      </c>
      <c r="AN495" s="37" t="n">
        <v>0.173</v>
      </c>
      <c r="AO495" s="37" t="n">
        <v>0.09699999999999999</v>
      </c>
      <c r="AP495" s="37" t="n">
        <v>0.05</v>
      </c>
      <c r="AQ495" s="37" t="n">
        <v>0.07000000000000001</v>
      </c>
      <c r="AR495" s="37" t="n">
        <v>0.06</v>
      </c>
      <c r="AS495" s="37" t="n">
        <v>0.04</v>
      </c>
      <c r="AT495" s="38" t="inlineStr">
        <is>
          <t>4–8</t>
        </is>
      </c>
      <c r="AU495" s="38" t="inlineStr">
        <is>
          <t>Graduate + relevant qualification or certification preferred</t>
        </is>
      </c>
      <c r="AV495" s="38" t="inlineStr">
        <is>
          <t>IC: none · Team Lead: 3–5</t>
        </is>
      </c>
      <c r="AW495" s="38" t="inlineStr">
        <is>
          <t>P3 / M2 · SFIA 4 Enable</t>
        </is>
      </c>
      <c r="AX49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95" s="39" t="inlineStr">
        <is>
          <t>B1</t>
        </is>
      </c>
      <c r="AZ495" s="40" t="inlineStr">
        <is>
          <t>Band B · Specialist / Manager · Specialist</t>
        </is>
      </c>
      <c r="BA495" s="40" t="inlineStr">
        <is>
          <t>Model A3 from the six ratings, the market-derived weights and rules R1–R13 · then Leads people at or above their own level · A3 → B1 Team Lead</t>
        </is>
      </c>
      <c r="BB495" s="41" t="inlineStr">
        <is>
          <t>A3</t>
        </is>
      </c>
      <c r="BC495" s="40" t="inlineStr">
        <is>
          <t>The six ratings on the market-average weights of Band B · Specialist / POD Lead score 2.95 → A3 · Hay, Mercer IPE and public plans · experience 4.6 yrs vs the A3 market range 2–5</t>
        </is>
      </c>
      <c r="BD495" s="42">
        <f>IF(SUM(BM495,BN495,BO495,BP495,BQ495,BR495,BS495)=0,0,(BM495*BT495+BN495*BU495+BO495*BV495+BP495*BW495+BQ495*BX495+BR495*BY495+BS495*BZ495)/SUM(BM495,BN495,BO495,BP495,BQ495,BR495,BS495))</f>
        <v>0</v>
      </c>
      <c r="BE495" s="41" t="str">
        <f>IF(LEFT(AY495,1)="X",AY495,IF(OR(AY495="B+",AY495="C+"),INDEX(LAD_PC,MAX(1,MIN(14,MATCH(AY495,LAD_PC,0)+IF(BD495&gt;=0.5,1,IF(BD495&lt;=-0.5,-1,0))))),INDEX(LAD_STD,MAX(1,MIN(12,MATCH(AY495,LAD_STD,0)+IF(BD495&gt;=0.5,1,IF(BD495&lt;=-0.5,-1,0)))))))</f>
        <v>B1</v>
      </c>
      <c r="BF495" s="43" t="n"/>
      <c r="BG495" s="41" t="str">
        <f>IF(BF495&lt;&gt;"",BF495,BE495)</f>
        <v>B1</v>
      </c>
      <c r="BH495" s="40" t="str">
        <f>IFERROR(CHOOSE(INDEX(B_RANK,MATCH(BG495,B_LVL,0)),"Band A","Band B","B+ · Player-Coach","Band C","C+ · Player-Coach","Band D","Band E"),"Band X · Consultant")</f>
        <v>Band B</v>
      </c>
      <c r="BI495" s="40" t="str">
        <f>IF(BG495=AY495,"• Same",IF(INDEX(B_VAL,MATCH(BG495,B_LVL,0))&gt;INDEX(B_VAL,MATCH(AY495,B_LVL,0)),"▲ Up","▼ Down"))</f>
        <v>• Same</v>
      </c>
      <c r="BJ495" s="40" t="str">
        <f>IF(OR($M495="",$M495="—",$M495="Not in this file"),"",IFERROR(INDEX($BG$7:$BG$592,MATCH($M495,$D$7:$D$592,0)),""))</f>
        <v>B3</v>
      </c>
      <c r="BK495" s="40" t="str">
        <f>IFERROR(IF(BJ495="","—",IF(OR(LEFT(BG495,1)="X",LEFT(BJ495,1)="X"),"—",IF(AND(LEFT(BG495,1)="E",LEFT(BJ495,1)="E"),"Exception · Band E",IF(AND(INDEX(B_VAL,MATCH(BJ495,B_LVL,0))&gt;=7,INDEX(B_RANK,MATCH(BG495,B_LVL,0))&gt;=INDEX(B_RANK,MATCH(BJ495,B_LVL,0))),"⚠ Same band as a head manager",IF(INDEX(B_VAL,MATCH(BG495,B_LVL,0))&gt;=INDEX(B_VAL,MATCH(BJ495,B_LVL,0)),"⚠ At or above the manager's level","OK"))))),"—")</f>
        <v>OK</v>
      </c>
      <c r="BL495" s="43" t="n"/>
      <c r="BM495" s="44">
        <f>IFERROR(INDEX(LMH_PTS,MATCH(Y495,LMH_KEY,0)),0)</f>
        <v>9</v>
      </c>
      <c r="BN495" s="38">
        <f>IFERROR(INDEX(LMH_PTS,MATCH(Z495,LMH_KEY,0)),0)</f>
        <v>3</v>
      </c>
      <c r="BO495" s="38">
        <f>IFERROR(INDEX(LMH_PTS,MATCH(AA495,LMH_KEY,0)),0)</f>
        <v>1</v>
      </c>
      <c r="BP495" s="38">
        <f>IFERROR(INDEX(LMH_PTS,MATCH(AB495,LMH_KEY,0)),0)</f>
        <v>1</v>
      </c>
      <c r="BQ495" s="38">
        <f>IFERROR(INDEX(LMH_PTS,MATCH(AC495,LMH_KEY,0)),0)</f>
        <v>1</v>
      </c>
      <c r="BR495" s="38">
        <f>IFERROR(INDEX(LMH_PTS,MATCH(AD495,LMH_KEY,0)),0)</f>
        <v>1</v>
      </c>
      <c r="BS495" s="38">
        <f>IFERROR(INDEX(LMH_PTS,MATCH(AE495,LMH_KEY,0)),0)</f>
        <v>1</v>
      </c>
      <c r="BT495" s="38">
        <f>IFERROR(INDEX(LMH_STEP,MATCH(AF495,LMH_KEY,0)),0)</f>
        <v>0</v>
      </c>
      <c r="BU495" s="38">
        <f>IFERROR(INDEX(LMH_STEP,MATCH(AG495,LMH_KEY,0)),0)</f>
        <v>0</v>
      </c>
      <c r="BV495" s="38">
        <f>IFERROR(INDEX(LMH_STEP,MATCH(AH495,LMH_KEY,0)),0)</f>
        <v>0</v>
      </c>
      <c r="BW495" s="38">
        <f>IFERROR(INDEX(LMH_STEP,MATCH(AI495,LMH_KEY,0)),0)</f>
        <v>0</v>
      </c>
      <c r="BX495" s="38">
        <f>IFERROR(INDEX(LMH_STEP,MATCH(AJ495,LMH_KEY,0)),0)</f>
        <v>0</v>
      </c>
      <c r="BY495" s="38">
        <f>IFERROR(INDEX(LMH_STEP,MATCH(AK495,LMH_KEY,0)),0)</f>
        <v>0</v>
      </c>
      <c r="BZ495" s="38">
        <f>IFERROR(INDEX(LMH_STEP,MATCH(AL495,LMH_KEY,0)),0)</f>
        <v>0</v>
      </c>
      <c r="CA495" s="38" t="inlineStr">
        <is>
          <t>CARBON|Technology|Senior Software Engineer|B1|B-IC</t>
        </is>
      </c>
    </row>
    <row r="496" ht="110" customHeight="1">
      <c r="A496" s="28" t="inlineStr">
        <is>
          <t>CARBON</t>
        </is>
      </c>
      <c r="B496" s="29" t="inlineStr">
        <is>
          <t>Technology</t>
        </is>
      </c>
      <c r="C496" s="29" t="n">
        <v>4</v>
      </c>
      <c r="D496" s="29" t="inlineStr">
        <is>
          <t>IRIS2032</t>
        </is>
      </c>
      <c r="E496" s="29" t="inlineStr">
        <is>
          <t>Kinjal Rathod</t>
        </is>
      </c>
      <c r="F496" s="29" t="inlineStr">
        <is>
          <t>Software Engineer</t>
        </is>
      </c>
      <c r="G496" s="29" t="inlineStr">
        <is>
          <t>Senior Software Engineer</t>
        </is>
      </c>
      <c r="H496" s="29" t="inlineStr">
        <is>
          <t>Engineering &amp; Development</t>
        </is>
      </c>
      <c r="I496" s="29" t="inlineStr">
        <is>
          <t>Backend Development</t>
        </is>
      </c>
      <c r="J496" s="29" t="inlineStr">
        <is>
          <t>IC</t>
        </is>
      </c>
      <c r="K496" s="29" t="inlineStr">
        <is>
          <t>RC-067</t>
        </is>
      </c>
      <c r="L496" s="29" t="inlineStr">
        <is>
          <t>Raj Chauhan</t>
        </is>
      </c>
      <c r="M496" s="29" t="inlineStr">
        <is>
          <t>IRIS2054</t>
        </is>
      </c>
      <c r="N496" s="29" t="n">
        <v>4.2</v>
      </c>
      <c r="O496" s="29" t="n">
        <v>4.2</v>
      </c>
      <c r="P496" s="29" t="inlineStr">
        <is>
          <t>MSc</t>
        </is>
      </c>
      <c r="Q496" s="29" t="inlineStr">
        <is>
          <t>L3 – Professional / Associate</t>
        </is>
      </c>
      <c r="R496" s="29" t="inlineStr">
        <is>
          <t>A3</t>
        </is>
      </c>
      <c r="S496" s="30" t="inlineStr">
        <is>
          <t>20 of 20</t>
        </is>
      </c>
      <c r="T496" s="31" t="inlineStr">
        <is>
          <t>• Role / sub-team: Technology — Software Engineer.
• Core purpose: So basically i am a software engineer i will be responsible for both backend and frontend functionality.
• Decision-making autonomy: Can independently explore other better outp; Explore better outputs.
• Is this something only they do: A few of us.
• What's different about this role: Using …</t>
        </is>
      </c>
      <c r="U496" s="31" t="inlineStr">
        <is>
          <t>Received · manager annual · 1.Deliver ≥ 90% committed development tasks within agreed timelines with improved implementation quality.
2.Reduce issue reopen rate and repeated defect occurrence by ≥ 50% YoY through stronger root-cause analysis and validation.
3.Improve logical problem-solving and debugging capability to independently resolve ≥ 75% …</t>
        </is>
      </c>
      <c r="V496" s="31" t="inlineStr">
        <is>
          <t>Latest rating: Not rated · manager · 9-box: Future Leader · Readiness: No rating data</t>
        </is>
      </c>
      <c r="W496" s="31" t="inlineStr">
        <is>
          <t>C L · Au L · Ac L · L L · BI L · Exp H · 4.2 yrs vs 2–4 yrs · Edu H · MSc</t>
        </is>
      </c>
      <c r="X496" s="33" t="inlineStr">
        <is>
          <t>Open ▸</t>
        </is>
      </c>
      <c r="Y496" s="34" t="str">
        <f>IFERROR(INDEX(DL_C,MATCH($CA496,DL_KEY,0)),"M")</f>
        <v>H</v>
      </c>
      <c r="Z496" s="35" t="str">
        <f>IFERROR(INDEX(DL_Au,MATCH($CA496,DL_KEY,0)),"M")</f>
        <v>M</v>
      </c>
      <c r="AA496" s="35" t="str">
        <f>IFERROR(INDEX(DL_Ac,MATCH($CA496,DL_KEY,0)),"M")</f>
        <v>L</v>
      </c>
      <c r="AB496" s="35" t="str">
        <f>IFERROR(INDEX(DL_L,MATCH($CA496,DL_KEY,0)),"M")</f>
        <v>L</v>
      </c>
      <c r="AC496" s="35" t="str">
        <f>IFERROR(INDEX(DL_BI,MATCH($CA496,DL_KEY,0)),"M")</f>
        <v>L</v>
      </c>
      <c r="AD496" s="35" t="str">
        <f>IFERROR(INDEX(DL_Exp,MATCH($CA496,DL_KEY,0)),"M")</f>
        <v>L</v>
      </c>
      <c r="AE496" s="35" t="str">
        <f>IFERROR(INDEX(DL_Edu,MATCH($CA496,DL_KEY,0)),"M")</f>
        <v>L</v>
      </c>
      <c r="AF496" s="34" t="inlineStr">
        <is>
          <t>M</t>
        </is>
      </c>
      <c r="AG496" s="35" t="inlineStr">
        <is>
          <t>M</t>
        </is>
      </c>
      <c r="AH496" s="35" t="inlineStr">
        <is>
          <t>M</t>
        </is>
      </c>
      <c r="AI496" s="35" t="inlineStr">
        <is>
          <t>M</t>
        </is>
      </c>
      <c r="AJ496" s="35" t="inlineStr">
        <is>
          <t>M</t>
        </is>
      </c>
      <c r="AK496" s="35" t="inlineStr">
        <is>
          <t>M</t>
        </is>
      </c>
      <c r="AL496" s="35" t="inlineStr">
        <is>
          <t>M</t>
        </is>
      </c>
      <c r="AM496" s="36" t="n">
        <v>0.583</v>
      </c>
      <c r="AN496" s="37" t="n">
        <v>0.16</v>
      </c>
      <c r="AO496" s="37" t="n">
        <v>0.09</v>
      </c>
      <c r="AP496" s="37" t="n">
        <v>0</v>
      </c>
      <c r="AQ496" s="37" t="n">
        <v>0.063</v>
      </c>
      <c r="AR496" s="37" t="n">
        <v>0.06</v>
      </c>
      <c r="AS496" s="37" t="n">
        <v>0.04</v>
      </c>
      <c r="AT496" s="38" t="inlineStr">
        <is>
          <t>2–5</t>
        </is>
      </c>
      <c r="AU496" s="38" t="inlineStr">
        <is>
          <t>Graduate; relevant certification preferred</t>
        </is>
      </c>
      <c r="AV496" s="38" t="inlineStr">
        <is>
          <t>None · guides 1–3 juniors informally</t>
        </is>
      </c>
      <c r="AW496" s="38" t="inlineStr">
        <is>
          <t>P2 · SFIA 3 Apply</t>
        </is>
      </c>
      <c r="AX49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96" s="39" t="inlineStr">
        <is>
          <t>A3</t>
        </is>
      </c>
      <c r="AZ496" s="40" t="inlineStr">
        <is>
          <t>Band A · Practitioner · Senior Associate</t>
        </is>
      </c>
      <c r="BA496" s="40" t="inlineStr">
        <is>
          <t>Model A3 from the six ratings, the market-derived weights and rules R1–R13 · then No change · already below the manager</t>
        </is>
      </c>
      <c r="BB496" s="41" t="inlineStr">
        <is>
          <t>A2</t>
        </is>
      </c>
      <c r="BC496" s="40" t="inlineStr">
        <is>
          <t>The six ratings on the market-average weights of Band A · all tracks score 2.20 → A2 · Hay, Mercer IPE and public plans · experience 4.2 yrs vs the A2 market range 0–3</t>
        </is>
      </c>
      <c r="BD496" s="42">
        <f>IF(SUM(BM496,BN496,BO496,BP496,BQ496,BR496,BS496)=0,0,(BM496*BT496+BN496*BU496+BO496*BV496+BP496*BW496+BQ496*BX496+BR496*BY496+BS496*BZ496)/SUM(BM496,BN496,BO496,BP496,BQ496,BR496,BS496))</f>
        <v>0</v>
      </c>
      <c r="BE496" s="41" t="str">
        <f>IF(LEFT(AY496,1)="X",AY496,IF(OR(AY496="B+",AY496="C+"),INDEX(LAD_PC,MAX(1,MIN(14,MATCH(AY496,LAD_PC,0)+IF(BD496&gt;=0.5,1,IF(BD496&lt;=-0.5,-1,0))))),INDEX(LAD_STD,MAX(1,MIN(12,MATCH(AY496,LAD_STD,0)+IF(BD496&gt;=0.5,1,IF(BD496&lt;=-0.5,-1,0)))))))</f>
        <v>A3</v>
      </c>
      <c r="BF496" s="43" t="n"/>
      <c r="BG496" s="41" t="str">
        <f>IF(BF496&lt;&gt;"",BF496,BE496)</f>
        <v>A3</v>
      </c>
      <c r="BH496" s="40" t="str">
        <f>IFERROR(CHOOSE(INDEX(B_RANK,MATCH(BG496,B_LVL,0)),"Band A","Band B","B+ · Player-Coach","Band C","C+ · Player-Coach","Band D","Band E"),"Band X · Consultant")</f>
        <v>Band A</v>
      </c>
      <c r="BI496" s="40" t="str">
        <f>IF(BG496=AY496,"• Same",IF(INDEX(B_VAL,MATCH(BG496,B_LVL,0))&gt;INDEX(B_VAL,MATCH(AY496,B_LVL,0)),"▲ Up","▼ Down"))</f>
        <v>• Same</v>
      </c>
      <c r="BJ496" s="40" t="str">
        <f>IF(OR($M496="",$M496="—",$M496="Not in this file"),"",IFERROR(INDEX($BG$7:$BG$592,MATCH($M496,$D$7:$D$592,0)),""))</f>
        <v>B1</v>
      </c>
      <c r="BK496" s="40" t="str">
        <f>IFERROR(IF(BJ496="","—",IF(OR(LEFT(BG496,1)="X",LEFT(BJ496,1)="X"),"—",IF(AND(LEFT(BG496,1)="E",LEFT(BJ496,1)="E"),"Exception · Band E",IF(AND(INDEX(B_VAL,MATCH(BJ496,B_LVL,0))&gt;=7,INDEX(B_RANK,MATCH(BG496,B_LVL,0))&gt;=INDEX(B_RANK,MATCH(BJ496,B_LVL,0))),"⚠ Same band as a head manager",IF(INDEX(B_VAL,MATCH(BG496,B_LVL,0))&gt;=INDEX(B_VAL,MATCH(BJ496,B_LVL,0)),"⚠ At or above the manager's level","OK"))))),"—")</f>
        <v>OK</v>
      </c>
      <c r="BL496" s="43" t="n"/>
      <c r="BM496" s="44">
        <f>IFERROR(INDEX(LMH_PTS,MATCH(Y496,LMH_KEY,0)),0)</f>
        <v>9</v>
      </c>
      <c r="BN496" s="38">
        <f>IFERROR(INDEX(LMH_PTS,MATCH(Z496,LMH_KEY,0)),0)</f>
        <v>3</v>
      </c>
      <c r="BO496" s="38">
        <f>IFERROR(INDEX(LMH_PTS,MATCH(AA496,LMH_KEY,0)),0)</f>
        <v>1</v>
      </c>
      <c r="BP496" s="38">
        <f>IFERROR(INDEX(LMH_PTS,MATCH(AB496,LMH_KEY,0)),0)</f>
        <v>1</v>
      </c>
      <c r="BQ496" s="38">
        <f>IFERROR(INDEX(LMH_PTS,MATCH(AC496,LMH_KEY,0)),0)</f>
        <v>1</v>
      </c>
      <c r="BR496" s="38">
        <f>IFERROR(INDEX(LMH_PTS,MATCH(AD496,LMH_KEY,0)),0)</f>
        <v>1</v>
      </c>
      <c r="BS496" s="38">
        <f>IFERROR(INDEX(LMH_PTS,MATCH(AE496,LMH_KEY,0)),0)</f>
        <v>1</v>
      </c>
      <c r="BT496" s="38">
        <f>IFERROR(INDEX(LMH_STEP,MATCH(AF496,LMH_KEY,0)),0)</f>
        <v>0</v>
      </c>
      <c r="BU496" s="38">
        <f>IFERROR(INDEX(LMH_STEP,MATCH(AG496,LMH_KEY,0)),0)</f>
        <v>0</v>
      </c>
      <c r="BV496" s="38">
        <f>IFERROR(INDEX(LMH_STEP,MATCH(AH496,LMH_KEY,0)),0)</f>
        <v>0</v>
      </c>
      <c r="BW496" s="38">
        <f>IFERROR(INDEX(LMH_STEP,MATCH(AI496,LMH_KEY,0)),0)</f>
        <v>0</v>
      </c>
      <c r="BX496" s="38">
        <f>IFERROR(INDEX(LMH_STEP,MATCH(AJ496,LMH_KEY,0)),0)</f>
        <v>0</v>
      </c>
      <c r="BY496" s="38">
        <f>IFERROR(INDEX(LMH_STEP,MATCH(AK496,LMH_KEY,0)),0)</f>
        <v>0</v>
      </c>
      <c r="BZ496" s="38">
        <f>IFERROR(INDEX(LMH_STEP,MATCH(AL496,LMH_KEY,0)),0)</f>
        <v>0</v>
      </c>
      <c r="CA496" s="38" t="inlineStr">
        <is>
          <t>CARBON|Technology|Senior Software Engineer|A3|A</t>
        </is>
      </c>
    </row>
    <row r="497" ht="110" customHeight="1">
      <c r="A497" s="28" t="inlineStr">
        <is>
          <t>CARBON</t>
        </is>
      </c>
      <c r="B497" s="29" t="inlineStr">
        <is>
          <t>Technology</t>
        </is>
      </c>
      <c r="C497" s="29" t="n">
        <v>4</v>
      </c>
      <c r="D497" s="29" t="inlineStr">
        <is>
          <t>IRIS2455</t>
        </is>
      </c>
      <c r="E497" s="29" t="inlineStr">
        <is>
          <t>Soniya Paliwal</t>
        </is>
      </c>
      <c r="F497" s="29" t="inlineStr">
        <is>
          <t>Trainee Software Engineer</t>
        </is>
      </c>
      <c r="G497" s="29" t="inlineStr">
        <is>
          <t>Trainee Software Engineer</t>
        </is>
      </c>
      <c r="H497" s="29" t="inlineStr">
        <is>
          <t>Engineering &amp; Development</t>
        </is>
      </c>
      <c r="I497" s="29" t="inlineStr">
        <is>
          <t>Full-Stack Development</t>
        </is>
      </c>
      <c r="J497" s="29" t="inlineStr">
        <is>
          <t>IC</t>
        </is>
      </c>
      <c r="K497" s="29" t="inlineStr">
        <is>
          <t>RC-083</t>
        </is>
      </c>
      <c r="L497" s="29" t="inlineStr">
        <is>
          <t>Raj Chauhan</t>
        </is>
      </c>
      <c r="M497" s="29" t="inlineStr">
        <is>
          <t>IRIS2054</t>
        </is>
      </c>
      <c r="N497" s="29" t="n">
        <v>0.8</v>
      </c>
      <c r="O497" s="29" t="n">
        <v>0.8</v>
      </c>
      <c r="P497" s="29" t="inlineStr">
        <is>
          <t>B.Com</t>
        </is>
      </c>
      <c r="Q497" s="29" t="inlineStr">
        <is>
          <t>L2 – Trainee</t>
        </is>
      </c>
      <c r="R497" s="29" t="inlineStr">
        <is>
          <t>A1</t>
        </is>
      </c>
      <c r="S497" s="30" t="inlineStr">
        <is>
          <t>20 of 20</t>
        </is>
      </c>
      <c r="T497" s="31" t="inlineStr">
        <is>
          <t>• Role / sub-team: Technology — Trainee Software Engineer.
• Core purpose: The backbone of iris carbon · dm product specifically, implementing/building what the clients' imagine/requires.
• Decision-making autonomy: Can independently find better approaches.
• Is this something only they do: Most of us.
• What's different about this role: Learning how to …</t>
        </is>
      </c>
      <c r="U497" s="31" t="inlineStr">
        <is>
          <t>Received · manager annual · 1.Improve technical fundamentals and successfully complete training in core engineering concepts, product workflows, and development practices.
2.Improve execution speed and reduce task completion turnaround time by ≥ 40% YoY.
3.Increase independent task execution capability and complete ≥ 70% assigned tasks with …</t>
        </is>
      </c>
      <c r="V497" s="31" t="inlineStr">
        <is>
          <t>Latest rating: Not rated · manager · 9-box: Future Leader · Readiness: No rating data</t>
        </is>
      </c>
      <c r="W497" s="31" t="inlineStr">
        <is>
          <t>C — · Au — · Ac — · L — · BI — · Exp H · 0.8 yrs vs 0 yrs · fresher / intern · Edu M · B.Com</t>
        </is>
      </c>
      <c r="X497" s="33" t="inlineStr">
        <is>
          <t>Open ▸</t>
        </is>
      </c>
      <c r="Y497" s="34" t="str">
        <f>IFERROR(INDEX(DL_C,MATCH($CA497,DL_KEY,0)),"M")</f>
        <v>H</v>
      </c>
      <c r="Z497" s="35" t="str">
        <f>IFERROR(INDEX(DL_Au,MATCH($CA497,DL_KEY,0)),"M")</f>
        <v>M</v>
      </c>
      <c r="AA497" s="35" t="str">
        <f>IFERROR(INDEX(DL_Ac,MATCH($CA497,DL_KEY,0)),"M")</f>
        <v>L</v>
      </c>
      <c r="AB497" s="35" t="str">
        <f>IFERROR(INDEX(DL_L,MATCH($CA497,DL_KEY,0)),"M")</f>
        <v>L</v>
      </c>
      <c r="AC497" s="35" t="str">
        <f>IFERROR(INDEX(DL_BI,MATCH($CA497,DL_KEY,0)),"M")</f>
        <v>L</v>
      </c>
      <c r="AD497" s="35" t="str">
        <f>IFERROR(INDEX(DL_Exp,MATCH($CA497,DL_KEY,0)),"M")</f>
        <v>L</v>
      </c>
      <c r="AE497" s="35" t="str">
        <f>IFERROR(INDEX(DL_Edu,MATCH($CA497,DL_KEY,0)),"M")</f>
        <v>L</v>
      </c>
      <c r="AF497" s="34" t="inlineStr">
        <is>
          <t>M</t>
        </is>
      </c>
      <c r="AG497" s="35" t="inlineStr">
        <is>
          <t>M</t>
        </is>
      </c>
      <c r="AH497" s="35" t="inlineStr">
        <is>
          <t>M</t>
        </is>
      </c>
      <c r="AI497" s="35" t="inlineStr">
        <is>
          <t>M</t>
        </is>
      </c>
      <c r="AJ497" s="35" t="inlineStr">
        <is>
          <t>M</t>
        </is>
      </c>
      <c r="AK497" s="35" t="inlineStr">
        <is>
          <t>M</t>
        </is>
      </c>
      <c r="AL497" s="35" t="inlineStr">
        <is>
          <t>M</t>
        </is>
      </c>
      <c r="AM497" s="36" t="n">
        <v>0.583</v>
      </c>
      <c r="AN497" s="37" t="n">
        <v>0.16</v>
      </c>
      <c r="AO497" s="37" t="n">
        <v>0.09</v>
      </c>
      <c r="AP497" s="37" t="n">
        <v>0</v>
      </c>
      <c r="AQ497" s="37" t="n">
        <v>0.063</v>
      </c>
      <c r="AR497" s="37" t="n">
        <v>0.06</v>
      </c>
      <c r="AS497" s="37" t="n">
        <v>0.04</v>
      </c>
      <c r="AT497" s="38" t="inlineStr">
        <is>
          <t>0 yrs · fresher / intern</t>
        </is>
      </c>
      <c r="AU497" s="38" t="inlineStr">
        <is>
          <t>Pursuing or completed graduation / diploma</t>
        </is>
      </c>
      <c r="AV497" s="38" t="inlineStr">
        <is>
          <t>No direct reports</t>
        </is>
      </c>
      <c r="AW497" s="38" t="inlineStr">
        <is>
          <t>Entry / P1 · intern · SFIA 1 Follow</t>
        </is>
      </c>
      <c r="AX49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97" s="39" t="inlineStr">
        <is>
          <t>A1</t>
        </is>
      </c>
      <c r="AZ497" s="40" t="inlineStr">
        <is>
          <t>Band A · Practitioner · Intern / Trainee</t>
        </is>
      </c>
      <c r="BA497" s="40" t="inlineStr">
        <is>
          <t>Model A1 from the six ratings, the market-derived weights and rules R1–R13 · then No change · already below the manager</t>
        </is>
      </c>
      <c r="BB497" s="41" t="inlineStr">
        <is>
          <t>A1</t>
        </is>
      </c>
      <c r="BC497" s="40" t="inlineStr">
        <is>
          <t>Placed by a category rule — no full set of ratings · benchmark follows the HR proposed level</t>
        </is>
      </c>
      <c r="BD497" s="42">
        <f>IF(SUM(BM497,BN497,BO497,BP497,BQ497,BR497,BS497)=0,0,(BM497*BT497+BN497*BU497+BO497*BV497+BP497*BW497+BQ497*BX497+BR497*BY497+BS497*BZ497)/SUM(BM497,BN497,BO497,BP497,BQ497,BR497,BS497))</f>
        <v>0</v>
      </c>
      <c r="BE497" s="41" t="str">
        <f>IF(LEFT(AY497,1)="X",AY497,IF(OR(AY497="B+",AY497="C+"),INDEX(LAD_PC,MAX(1,MIN(14,MATCH(AY497,LAD_PC,0)+IF(BD497&gt;=0.5,1,IF(BD497&lt;=-0.5,-1,0))))),INDEX(LAD_STD,MAX(1,MIN(12,MATCH(AY497,LAD_STD,0)+IF(BD497&gt;=0.5,1,IF(BD497&lt;=-0.5,-1,0)))))))</f>
        <v>A1</v>
      </c>
      <c r="BF497" s="43" t="n"/>
      <c r="BG497" s="41" t="str">
        <f>IF(BF497&lt;&gt;"",BF497,BE497)</f>
        <v>A1</v>
      </c>
      <c r="BH497" s="40" t="str">
        <f>IFERROR(CHOOSE(INDEX(B_RANK,MATCH(BG497,B_LVL,0)),"Band A","Band B","B+ · Player-Coach","Band C","C+ · Player-Coach","Band D","Band E"),"Band X · Consultant")</f>
        <v>Band A</v>
      </c>
      <c r="BI497" s="40" t="str">
        <f>IF(BG497=AY497,"• Same",IF(INDEX(B_VAL,MATCH(BG497,B_LVL,0))&gt;INDEX(B_VAL,MATCH(AY497,B_LVL,0)),"▲ Up","▼ Down"))</f>
        <v>• Same</v>
      </c>
      <c r="BJ497" s="40" t="str">
        <f>IF(OR($M497="",$M497="—",$M497="Not in this file"),"",IFERROR(INDEX($BG$7:$BG$592,MATCH($M497,$D$7:$D$592,0)),""))</f>
        <v>B1</v>
      </c>
      <c r="BK497" s="40" t="str">
        <f>IFERROR(IF(BJ497="","—",IF(OR(LEFT(BG497,1)="X",LEFT(BJ497,1)="X"),"—",IF(AND(LEFT(BG497,1)="E",LEFT(BJ497,1)="E"),"Exception · Band E",IF(AND(INDEX(B_VAL,MATCH(BJ497,B_LVL,0))&gt;=7,INDEX(B_RANK,MATCH(BG497,B_LVL,0))&gt;=INDEX(B_RANK,MATCH(BJ497,B_LVL,0))),"⚠ Same band as a head manager",IF(INDEX(B_VAL,MATCH(BG497,B_LVL,0))&gt;=INDEX(B_VAL,MATCH(BJ497,B_LVL,0)),"⚠ At or above the manager's level","OK"))))),"—")</f>
        <v>OK</v>
      </c>
      <c r="BL497" s="43" t="n"/>
      <c r="BM497" s="44">
        <f>IFERROR(INDEX(LMH_PTS,MATCH(Y497,LMH_KEY,0)),0)</f>
        <v>9</v>
      </c>
      <c r="BN497" s="38">
        <f>IFERROR(INDEX(LMH_PTS,MATCH(Z497,LMH_KEY,0)),0)</f>
        <v>3</v>
      </c>
      <c r="BO497" s="38">
        <f>IFERROR(INDEX(LMH_PTS,MATCH(AA497,LMH_KEY,0)),0)</f>
        <v>1</v>
      </c>
      <c r="BP497" s="38">
        <f>IFERROR(INDEX(LMH_PTS,MATCH(AB497,LMH_KEY,0)),0)</f>
        <v>1</v>
      </c>
      <c r="BQ497" s="38">
        <f>IFERROR(INDEX(LMH_PTS,MATCH(AC497,LMH_KEY,0)),0)</f>
        <v>1</v>
      </c>
      <c r="BR497" s="38">
        <f>IFERROR(INDEX(LMH_PTS,MATCH(AD497,LMH_KEY,0)),0)</f>
        <v>1</v>
      </c>
      <c r="BS497" s="38">
        <f>IFERROR(INDEX(LMH_PTS,MATCH(AE497,LMH_KEY,0)),0)</f>
        <v>1</v>
      </c>
      <c r="BT497" s="38">
        <f>IFERROR(INDEX(LMH_STEP,MATCH(AF497,LMH_KEY,0)),0)</f>
        <v>0</v>
      </c>
      <c r="BU497" s="38">
        <f>IFERROR(INDEX(LMH_STEP,MATCH(AG497,LMH_KEY,0)),0)</f>
        <v>0</v>
      </c>
      <c r="BV497" s="38">
        <f>IFERROR(INDEX(LMH_STEP,MATCH(AH497,LMH_KEY,0)),0)</f>
        <v>0</v>
      </c>
      <c r="BW497" s="38">
        <f>IFERROR(INDEX(LMH_STEP,MATCH(AI497,LMH_KEY,0)),0)</f>
        <v>0</v>
      </c>
      <c r="BX497" s="38">
        <f>IFERROR(INDEX(LMH_STEP,MATCH(AJ497,LMH_KEY,0)),0)</f>
        <v>0</v>
      </c>
      <c r="BY497" s="38">
        <f>IFERROR(INDEX(LMH_STEP,MATCH(AK497,LMH_KEY,0)),0)</f>
        <v>0</v>
      </c>
      <c r="BZ497" s="38">
        <f>IFERROR(INDEX(LMH_STEP,MATCH(AL497,LMH_KEY,0)),0)</f>
        <v>0</v>
      </c>
      <c r="CA497" s="38" t="inlineStr">
        <is>
          <t>CARBON|Technology|Trainee Software Engineer|A1|A</t>
        </is>
      </c>
    </row>
    <row r="498" ht="110" customHeight="1">
      <c r="A498" s="28" t="inlineStr">
        <is>
          <t>CARBON</t>
        </is>
      </c>
      <c r="B498" s="29" t="inlineStr">
        <is>
          <t>Technology</t>
        </is>
      </c>
      <c r="C498" s="29" t="n">
        <v>2</v>
      </c>
      <c r="D498" s="29" t="inlineStr">
        <is>
          <t>IRIS1477</t>
        </is>
      </c>
      <c r="E498" s="29" t="inlineStr">
        <is>
          <t>Dhiraj Suryawanshi</t>
        </is>
      </c>
      <c r="F498" s="29" t="inlineStr">
        <is>
          <t>Lead Software Engineer</t>
        </is>
      </c>
      <c r="G498" s="29" t="inlineStr">
        <is>
          <t>Lead Software Engineer – POD Lead</t>
        </is>
      </c>
      <c r="H498" s="29" t="inlineStr">
        <is>
          <t>Engineering &amp; Development</t>
        </is>
      </c>
      <c r="I498" s="29" t="inlineStr">
        <is>
          <t>Full-Stack Development</t>
        </is>
      </c>
      <c r="J498" s="29" t="inlineStr">
        <is>
          <t>POD Lead</t>
        </is>
      </c>
      <c r="K498" s="29" t="inlineStr">
        <is>
          <t>RC-087</t>
        </is>
      </c>
      <c r="L498" s="29" t="inlineStr">
        <is>
          <t>Ashish Singhvi</t>
        </is>
      </c>
      <c r="M498" s="29" t="inlineStr">
        <is>
          <t>IRIS0249</t>
        </is>
      </c>
      <c r="N498" s="29" t="n">
        <v>14.4</v>
      </c>
      <c r="O498" s="29" t="n">
        <v>12.1</v>
      </c>
      <c r="P498" s="29" t="inlineStr">
        <is>
          <t>B.E</t>
        </is>
      </c>
      <c r="Q498" s="29" t="inlineStr">
        <is>
          <t>L5 – Lead · IC</t>
        </is>
      </c>
      <c r="R498" s="29" t="inlineStr">
        <is>
          <t>B2</t>
        </is>
      </c>
      <c r="S498" s="30" t="inlineStr">
        <is>
          <t>20 of 20</t>
        </is>
      </c>
      <c r="T498" s="31" t="inlineStr">
        <is>
          <t>• Role / sub-team: Technology — Lead Software Engineer.
• Core purpose: My role is to ensure the team delivers the right results in a smooth and dependable way. I also support people’s growth by giving clear direction, sharing knowledge, and continuously improving.
• Decision-making autonomy: Can independently r n D implementation; Architecture decisions; …</t>
        </is>
      </c>
      <c r="U498" s="31" t="inlineStr">
        <is>
          <t>Received · manager annual · 1.Successfully deliver 100% committed milestones for strategic projects · including ACRA mandate within agreed scope, quality, and timelines.
2.Improve engineering solution quality by ensuring ≥ 90% architecture/design decisions are documented and reviewed before implementation.
3.Reduce technical rework and …</t>
        </is>
      </c>
      <c r="V498" s="31" t="inlineStr">
        <is>
          <t>Latest rating: Not rated · manager · 9-box: Underperformer / Exit Risk · Readiness: No rating data</t>
        </is>
      </c>
      <c r="W498" s="31" t="inlineStr">
        <is>
          <t>C M · Au M · Ac M · L M · BI M · Exp H · 14.4 yrs vs 6–9 yrs · Edu M · B.E</t>
        </is>
      </c>
      <c r="X498" s="33" t="inlineStr">
        <is>
          <t>Open ▸</t>
        </is>
      </c>
      <c r="Y498" s="34" t="str">
        <f>IFERROR(INDEX(DL_C,MATCH($CA498,DL_KEY,0)),"M")</f>
        <v>H</v>
      </c>
      <c r="Z498" s="35" t="str">
        <f>IFERROR(INDEX(DL_Au,MATCH($CA498,DL_KEY,0)),"M")</f>
        <v>M</v>
      </c>
      <c r="AA498" s="35" t="str">
        <f>IFERROR(INDEX(DL_Ac,MATCH($CA498,DL_KEY,0)),"M")</f>
        <v>L</v>
      </c>
      <c r="AB498" s="35" t="str">
        <f>IFERROR(INDEX(DL_L,MATCH($CA498,DL_KEY,0)),"M")</f>
        <v>L</v>
      </c>
      <c r="AC498" s="35" t="str">
        <f>IFERROR(INDEX(DL_BI,MATCH($CA498,DL_KEY,0)),"M")</f>
        <v>L</v>
      </c>
      <c r="AD498" s="35" t="str">
        <f>IFERROR(INDEX(DL_Exp,MATCH($CA498,DL_KEY,0)),"M")</f>
        <v>L</v>
      </c>
      <c r="AE498" s="35" t="str">
        <f>IFERROR(INDEX(DL_Edu,MATCH($CA498,DL_KEY,0)),"M")</f>
        <v>L</v>
      </c>
      <c r="AF498" s="34" t="inlineStr">
        <is>
          <t>M</t>
        </is>
      </c>
      <c r="AG498" s="35" t="inlineStr">
        <is>
          <t>M</t>
        </is>
      </c>
      <c r="AH498" s="35" t="inlineStr">
        <is>
          <t>M</t>
        </is>
      </c>
      <c r="AI498" s="35" t="inlineStr">
        <is>
          <t>M</t>
        </is>
      </c>
      <c r="AJ498" s="35" t="inlineStr">
        <is>
          <t>M</t>
        </is>
      </c>
      <c r="AK498" s="35" t="inlineStr">
        <is>
          <t>M</t>
        </is>
      </c>
      <c r="AL498" s="35" t="inlineStr">
        <is>
          <t>M</t>
        </is>
      </c>
      <c r="AM498" s="36" t="n">
        <v>0.513</v>
      </c>
      <c r="AN498" s="37" t="n">
        <v>0.173</v>
      </c>
      <c r="AO498" s="37" t="n">
        <v>0.09699999999999999</v>
      </c>
      <c r="AP498" s="37" t="n">
        <v>0.05</v>
      </c>
      <c r="AQ498" s="37" t="n">
        <v>0.07000000000000001</v>
      </c>
      <c r="AR498" s="37" t="n">
        <v>0.06</v>
      </c>
      <c r="AS498" s="37" t="n">
        <v>0.04</v>
      </c>
      <c r="AT498" s="38" t="inlineStr">
        <is>
          <t>6–10</t>
        </is>
      </c>
      <c r="AU498" s="38" t="inlineStr">
        <is>
          <t>Graduate or postgraduate; professional qualification preferred</t>
        </is>
      </c>
      <c r="AV498" s="38" t="inlineStr">
        <is>
          <t>IC: none · People: 6–8 knowledge work, 8–12 standardised delivery</t>
        </is>
      </c>
      <c r="AW498" s="38" t="inlineStr">
        <is>
          <t>P4 / M3 · SFIA 4–5</t>
        </is>
      </c>
      <c r="AX49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98" s="39" t="inlineStr">
        <is>
          <t>B2</t>
        </is>
      </c>
      <c r="AZ498" s="40" t="inlineStr">
        <is>
          <t>Band B · Specialist / Manager · Manager</t>
        </is>
      </c>
      <c r="BA498" s="40" t="inlineStr">
        <is>
          <t>Model B2 from the six ratings, the market-derived weights and rules R1–R13 · then No change · already below the manager</t>
        </is>
      </c>
      <c r="BB498" s="41" t="inlineStr">
        <is>
          <t>B2</t>
        </is>
      </c>
      <c r="BC498" s="40" t="inlineStr">
        <is>
          <t>The six ratings on the market-average weights of Band B · Specialist / POD Lead score 5.45 → B2 · Hay, Mercer IPE and public plans · experience 14.4 yrs vs the B2 market range 6–10</t>
        </is>
      </c>
      <c r="BD498" s="42">
        <f>IF(SUM(BM498,BN498,BO498,BP498,BQ498,BR498,BS498)=0,0,(BM498*BT498+BN498*BU498+BO498*BV498+BP498*BW498+BQ498*BX498+BR498*BY498+BS498*BZ498)/SUM(BM498,BN498,BO498,BP498,BQ498,BR498,BS498))</f>
        <v>0</v>
      </c>
      <c r="BE498" s="41" t="str">
        <f>IF(LEFT(AY498,1)="X",AY498,IF(OR(AY498="B+",AY498="C+"),INDEX(LAD_PC,MAX(1,MIN(14,MATCH(AY498,LAD_PC,0)+IF(BD498&gt;=0.5,1,IF(BD498&lt;=-0.5,-1,0))))),INDEX(LAD_STD,MAX(1,MIN(12,MATCH(AY498,LAD_STD,0)+IF(BD498&gt;=0.5,1,IF(BD498&lt;=-0.5,-1,0)))))))</f>
        <v>B2</v>
      </c>
      <c r="BF498" s="43" t="n"/>
      <c r="BG498" s="41" t="str">
        <f>IF(BF498&lt;&gt;"",BF498,BE498)</f>
        <v>B2</v>
      </c>
      <c r="BH498" s="40" t="str">
        <f>IFERROR(CHOOSE(INDEX(B_RANK,MATCH(BG498,B_LVL,0)),"Band A","Band B","B+ · Player-Coach","Band C","C+ · Player-Coach","Band D","Band E"),"Band X · Consultant")</f>
        <v>Band B</v>
      </c>
      <c r="BI498" s="40" t="str">
        <f>IF(BG498=AY498,"• Same",IF(INDEX(B_VAL,MATCH(BG498,B_LVL,0))&gt;INDEX(B_VAL,MATCH(AY498,B_LVL,0)),"▲ Up","▼ Down"))</f>
        <v>• Same</v>
      </c>
      <c r="BJ498" s="40" t="str">
        <f>IF(OR($M498="",$M498="—",$M498="Not in this file"),"",IFERROR(INDEX($BG$7:$BG$592,MATCH($M498,$D$7:$D$592,0)),""))</f>
        <v>C2</v>
      </c>
      <c r="BK498" s="40" t="str">
        <f>IFERROR(IF(BJ498="","—",IF(OR(LEFT(BG498,1)="X",LEFT(BJ498,1)="X"),"—",IF(AND(LEFT(BG498,1)="E",LEFT(BJ498,1)="E"),"Exception · Band E",IF(AND(INDEX(B_VAL,MATCH(BJ498,B_LVL,0))&gt;=7,INDEX(B_RANK,MATCH(BG498,B_LVL,0))&gt;=INDEX(B_RANK,MATCH(BJ498,B_LVL,0))),"⚠ Same band as a head manager",IF(INDEX(B_VAL,MATCH(BG498,B_LVL,0))&gt;=INDEX(B_VAL,MATCH(BJ498,B_LVL,0)),"⚠ At or above the manager's level","OK"))))),"—")</f>
        <v>OK</v>
      </c>
      <c r="BL498" s="43" t="n"/>
      <c r="BM498" s="44">
        <f>IFERROR(INDEX(LMH_PTS,MATCH(Y498,LMH_KEY,0)),0)</f>
        <v>9</v>
      </c>
      <c r="BN498" s="38">
        <f>IFERROR(INDEX(LMH_PTS,MATCH(Z498,LMH_KEY,0)),0)</f>
        <v>3</v>
      </c>
      <c r="BO498" s="38">
        <f>IFERROR(INDEX(LMH_PTS,MATCH(AA498,LMH_KEY,0)),0)</f>
        <v>1</v>
      </c>
      <c r="BP498" s="38">
        <f>IFERROR(INDEX(LMH_PTS,MATCH(AB498,LMH_KEY,0)),0)</f>
        <v>1</v>
      </c>
      <c r="BQ498" s="38">
        <f>IFERROR(INDEX(LMH_PTS,MATCH(AC498,LMH_KEY,0)),0)</f>
        <v>1</v>
      </c>
      <c r="BR498" s="38">
        <f>IFERROR(INDEX(LMH_PTS,MATCH(AD498,LMH_KEY,0)),0)</f>
        <v>1</v>
      </c>
      <c r="BS498" s="38">
        <f>IFERROR(INDEX(LMH_PTS,MATCH(AE498,LMH_KEY,0)),0)</f>
        <v>1</v>
      </c>
      <c r="BT498" s="38">
        <f>IFERROR(INDEX(LMH_STEP,MATCH(AF498,LMH_KEY,0)),0)</f>
        <v>0</v>
      </c>
      <c r="BU498" s="38">
        <f>IFERROR(INDEX(LMH_STEP,MATCH(AG498,LMH_KEY,0)),0)</f>
        <v>0</v>
      </c>
      <c r="BV498" s="38">
        <f>IFERROR(INDEX(LMH_STEP,MATCH(AH498,LMH_KEY,0)),0)</f>
        <v>0</v>
      </c>
      <c r="BW498" s="38">
        <f>IFERROR(INDEX(LMH_STEP,MATCH(AI498,LMH_KEY,0)),0)</f>
        <v>0</v>
      </c>
      <c r="BX498" s="38">
        <f>IFERROR(INDEX(LMH_STEP,MATCH(AJ498,LMH_KEY,0)),0)</f>
        <v>0</v>
      </c>
      <c r="BY498" s="38">
        <f>IFERROR(INDEX(LMH_STEP,MATCH(AK498,LMH_KEY,0)),0)</f>
        <v>0</v>
      </c>
      <c r="BZ498" s="38">
        <f>IFERROR(INDEX(LMH_STEP,MATCH(AL498,LMH_KEY,0)),0)</f>
        <v>0</v>
      </c>
      <c r="CA498" s="38" t="inlineStr">
        <is>
          <t>CARBON|Technology|Lead Software Engineer – POD Lead|B2|B-IC</t>
        </is>
      </c>
    </row>
    <row r="499" ht="110" customHeight="1">
      <c r="A499" s="28" t="inlineStr">
        <is>
          <t>CARBON</t>
        </is>
      </c>
      <c r="B499" s="29" t="inlineStr">
        <is>
          <t>Technology</t>
        </is>
      </c>
      <c r="C499" s="29" t="n">
        <v>3</v>
      </c>
      <c r="D499" s="29" t="inlineStr">
        <is>
          <t>IRIS2021</t>
        </is>
      </c>
      <c r="E499" s="29" t="inlineStr">
        <is>
          <t>Alpesh Chaudhari</t>
        </is>
      </c>
      <c r="F499" s="29" t="inlineStr">
        <is>
          <t>Software Engineer</t>
        </is>
      </c>
      <c r="G499" s="29" t="inlineStr">
        <is>
          <t>Senior Software Engineer</t>
        </is>
      </c>
      <c r="H499" s="29" t="inlineStr">
        <is>
          <t>Engineering &amp; Development</t>
        </is>
      </c>
      <c r="I499" s="29" t="inlineStr">
        <is>
          <t>Backend Development</t>
        </is>
      </c>
      <c r="J499" s="29" t="inlineStr">
        <is>
          <t>IC</t>
        </is>
      </c>
      <c r="K499" s="29" t="inlineStr">
        <is>
          <t>RC-067</t>
        </is>
      </c>
      <c r="L499" s="29" t="inlineStr">
        <is>
          <t>Dhiraj Suryawanshi</t>
        </is>
      </c>
      <c r="M499" s="29" t="inlineStr">
        <is>
          <t>IRIS1477</t>
        </is>
      </c>
      <c r="N499" s="29" t="n">
        <v>4.6</v>
      </c>
      <c r="O499" s="29" t="n">
        <v>4.3</v>
      </c>
      <c r="P499" s="29" t="inlineStr">
        <is>
          <t>MCA</t>
        </is>
      </c>
      <c r="Q499" s="29" t="inlineStr">
        <is>
          <t>L3 – Professional / Associate</t>
        </is>
      </c>
      <c r="R499" s="29" t="inlineStr">
        <is>
          <t>A3</t>
        </is>
      </c>
      <c r="S499" s="30" t="inlineStr">
        <is>
          <t>20 of 20</t>
        </is>
      </c>
      <c r="T499" s="31" t="inlineStr">
        <is>
          <t>• Role / sub-team: Technology — Software Engineer.
• Core purpose: The core purpose of my role is to develop reliable software solutions while providing technical leadership and guidance to a team of junior developers. I use my years of experience and strong logica.
• Decision-making autonomy: Can independently research on new approach; Fixing existing …</t>
        </is>
      </c>
      <c r="U499" s="31" t="inlineStr">
        <is>
          <t>Received · manager annual · 1.Deliver ≥ 95% committed AI / adhoc engineering tasks within agreed timelines with high-quality implementation.
2.Design and implement minimum 3 AI/Agentic AI initiatives or PoCs relevant to CARBON product by FY end.
3.Strengthen AI engineering expertise in LLMs, RAG, agents, embeddings, and orchestration frameworks, …</t>
        </is>
      </c>
      <c r="V499" s="31" t="inlineStr">
        <is>
          <t>Latest rating: Not rated · manager · 9-box: Not placed · manager · Readiness: No rating data</t>
        </is>
      </c>
      <c r="W499" s="31" t="inlineStr">
        <is>
          <t>C M · Au M · Ac M · L H · BI M · Exp H · 4.6 yrs vs 2–4 yrs · Edu H · MCA</t>
        </is>
      </c>
      <c r="X499" s="33" t="inlineStr">
        <is>
          <t>Open ▸</t>
        </is>
      </c>
      <c r="Y499" s="34" t="str">
        <f>IFERROR(INDEX(DL_C,MATCH($CA499,DL_KEY,0)),"M")</f>
        <v>H</v>
      </c>
      <c r="Z499" s="35" t="str">
        <f>IFERROR(INDEX(DL_Au,MATCH($CA499,DL_KEY,0)),"M")</f>
        <v>M</v>
      </c>
      <c r="AA499" s="35" t="str">
        <f>IFERROR(INDEX(DL_Ac,MATCH($CA499,DL_KEY,0)),"M")</f>
        <v>L</v>
      </c>
      <c r="AB499" s="35" t="str">
        <f>IFERROR(INDEX(DL_L,MATCH($CA499,DL_KEY,0)),"M")</f>
        <v>L</v>
      </c>
      <c r="AC499" s="35" t="str">
        <f>IFERROR(INDEX(DL_BI,MATCH($CA499,DL_KEY,0)),"M")</f>
        <v>L</v>
      </c>
      <c r="AD499" s="35" t="str">
        <f>IFERROR(INDEX(DL_Exp,MATCH($CA499,DL_KEY,0)),"M")</f>
        <v>L</v>
      </c>
      <c r="AE499" s="35" t="str">
        <f>IFERROR(INDEX(DL_Edu,MATCH($CA499,DL_KEY,0)),"M")</f>
        <v>L</v>
      </c>
      <c r="AF499" s="34" t="inlineStr">
        <is>
          <t>M</t>
        </is>
      </c>
      <c r="AG499" s="35" t="inlineStr">
        <is>
          <t>M</t>
        </is>
      </c>
      <c r="AH499" s="35" t="inlineStr">
        <is>
          <t>M</t>
        </is>
      </c>
      <c r="AI499" s="35" t="inlineStr">
        <is>
          <t>M</t>
        </is>
      </c>
      <c r="AJ499" s="35" t="inlineStr">
        <is>
          <t>M</t>
        </is>
      </c>
      <c r="AK499" s="35" t="inlineStr">
        <is>
          <t>M</t>
        </is>
      </c>
      <c r="AL499" s="35" t="inlineStr">
        <is>
          <t>M</t>
        </is>
      </c>
      <c r="AM499" s="36" t="n">
        <v>0.583</v>
      </c>
      <c r="AN499" s="37" t="n">
        <v>0.16</v>
      </c>
      <c r="AO499" s="37" t="n">
        <v>0.09</v>
      </c>
      <c r="AP499" s="37" t="n">
        <v>0</v>
      </c>
      <c r="AQ499" s="37" t="n">
        <v>0.063</v>
      </c>
      <c r="AR499" s="37" t="n">
        <v>0.06</v>
      </c>
      <c r="AS499" s="37" t="n">
        <v>0.04</v>
      </c>
      <c r="AT499" s="38" t="inlineStr">
        <is>
          <t>2–5</t>
        </is>
      </c>
      <c r="AU499" s="38" t="inlineStr">
        <is>
          <t>Graduate; relevant certification preferred</t>
        </is>
      </c>
      <c r="AV499" s="38" t="inlineStr">
        <is>
          <t>None · guides 1–3 juniors informally</t>
        </is>
      </c>
      <c r="AW499" s="38" t="inlineStr">
        <is>
          <t>P2 · SFIA 3 Apply</t>
        </is>
      </c>
      <c r="AX49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499" s="39" t="inlineStr">
        <is>
          <t>A3</t>
        </is>
      </c>
      <c r="AZ499" s="40" t="inlineStr">
        <is>
          <t>Band A · Practitioner · Senior Associate</t>
        </is>
      </c>
      <c r="BA499" s="40" t="inlineStr">
        <is>
          <t>Model A3 from the six ratings, the market-derived weights and rules R1–R13 · then No change · already below the manager</t>
        </is>
      </c>
      <c r="BB499" s="41" t="inlineStr">
        <is>
          <t>A3</t>
        </is>
      </c>
      <c r="BC499" s="40" t="inlineStr">
        <is>
          <t>The six ratings on the market-average weights of Band A · all tracks score 3.18 → A3 · Hay, Mercer IPE and public plans · experience 4.6 yrs vs the A3 market range 2–5</t>
        </is>
      </c>
      <c r="BD499" s="42">
        <f>IF(SUM(BM499,BN499,BO499,BP499,BQ499,BR499,BS499)=0,0,(BM499*BT499+BN499*BU499+BO499*BV499+BP499*BW499+BQ499*BX499+BR499*BY499+BS499*BZ499)/SUM(BM499,BN499,BO499,BP499,BQ499,BR499,BS499))</f>
        <v>0</v>
      </c>
      <c r="BE499" s="41" t="str">
        <f>IF(LEFT(AY499,1)="X",AY499,IF(OR(AY499="B+",AY499="C+"),INDEX(LAD_PC,MAX(1,MIN(14,MATCH(AY499,LAD_PC,0)+IF(BD499&gt;=0.5,1,IF(BD499&lt;=-0.5,-1,0))))),INDEX(LAD_STD,MAX(1,MIN(12,MATCH(AY499,LAD_STD,0)+IF(BD499&gt;=0.5,1,IF(BD499&lt;=-0.5,-1,0)))))))</f>
        <v>A3</v>
      </c>
      <c r="BF499" s="43" t="n"/>
      <c r="BG499" s="41" t="str">
        <f>IF(BF499&lt;&gt;"",BF499,BE499)</f>
        <v>A3</v>
      </c>
      <c r="BH499" s="40" t="str">
        <f>IFERROR(CHOOSE(INDEX(B_RANK,MATCH(BG499,B_LVL,0)),"Band A","Band B","B+ · Player-Coach","Band C","C+ · Player-Coach","Band D","Band E"),"Band X · Consultant")</f>
        <v>Band A</v>
      </c>
      <c r="BI499" s="40" t="str">
        <f>IF(BG499=AY499,"• Same",IF(INDEX(B_VAL,MATCH(BG499,B_LVL,0))&gt;INDEX(B_VAL,MATCH(AY499,B_LVL,0)),"▲ Up","▼ Down"))</f>
        <v>• Same</v>
      </c>
      <c r="BJ499" s="40" t="str">
        <f>IF(OR($M499="",$M499="—",$M499="Not in this file"),"",IFERROR(INDEX($BG$7:$BG$592,MATCH($M499,$D$7:$D$592,0)),""))</f>
        <v>B2</v>
      </c>
      <c r="BK499" s="40" t="str">
        <f>IFERROR(IF(BJ499="","—",IF(OR(LEFT(BG499,1)="X",LEFT(BJ499,1)="X"),"—",IF(AND(LEFT(BG499,1)="E",LEFT(BJ499,1)="E"),"Exception · Band E",IF(AND(INDEX(B_VAL,MATCH(BJ499,B_LVL,0))&gt;=7,INDEX(B_RANK,MATCH(BG499,B_LVL,0))&gt;=INDEX(B_RANK,MATCH(BJ499,B_LVL,0))),"⚠ Same band as a head manager",IF(INDEX(B_VAL,MATCH(BG499,B_LVL,0))&gt;=INDEX(B_VAL,MATCH(BJ499,B_LVL,0)),"⚠ At or above the manager's level","OK"))))),"—")</f>
        <v>OK</v>
      </c>
      <c r="BL499" s="43" t="n"/>
      <c r="BM499" s="44">
        <f>IFERROR(INDEX(LMH_PTS,MATCH(Y499,LMH_KEY,0)),0)</f>
        <v>9</v>
      </c>
      <c r="BN499" s="38">
        <f>IFERROR(INDEX(LMH_PTS,MATCH(Z499,LMH_KEY,0)),0)</f>
        <v>3</v>
      </c>
      <c r="BO499" s="38">
        <f>IFERROR(INDEX(LMH_PTS,MATCH(AA499,LMH_KEY,0)),0)</f>
        <v>1</v>
      </c>
      <c r="BP499" s="38">
        <f>IFERROR(INDEX(LMH_PTS,MATCH(AB499,LMH_KEY,0)),0)</f>
        <v>1</v>
      </c>
      <c r="BQ499" s="38">
        <f>IFERROR(INDEX(LMH_PTS,MATCH(AC499,LMH_KEY,0)),0)</f>
        <v>1</v>
      </c>
      <c r="BR499" s="38">
        <f>IFERROR(INDEX(LMH_PTS,MATCH(AD499,LMH_KEY,0)),0)</f>
        <v>1</v>
      </c>
      <c r="BS499" s="38">
        <f>IFERROR(INDEX(LMH_PTS,MATCH(AE499,LMH_KEY,0)),0)</f>
        <v>1</v>
      </c>
      <c r="BT499" s="38">
        <f>IFERROR(INDEX(LMH_STEP,MATCH(AF499,LMH_KEY,0)),0)</f>
        <v>0</v>
      </c>
      <c r="BU499" s="38">
        <f>IFERROR(INDEX(LMH_STEP,MATCH(AG499,LMH_KEY,0)),0)</f>
        <v>0</v>
      </c>
      <c r="BV499" s="38">
        <f>IFERROR(INDEX(LMH_STEP,MATCH(AH499,LMH_KEY,0)),0)</f>
        <v>0</v>
      </c>
      <c r="BW499" s="38">
        <f>IFERROR(INDEX(LMH_STEP,MATCH(AI499,LMH_KEY,0)),0)</f>
        <v>0</v>
      </c>
      <c r="BX499" s="38">
        <f>IFERROR(INDEX(LMH_STEP,MATCH(AJ499,LMH_KEY,0)),0)</f>
        <v>0</v>
      </c>
      <c r="BY499" s="38">
        <f>IFERROR(INDEX(LMH_STEP,MATCH(AK499,LMH_KEY,0)),0)</f>
        <v>0</v>
      </c>
      <c r="BZ499" s="38">
        <f>IFERROR(INDEX(LMH_STEP,MATCH(AL499,LMH_KEY,0)),0)</f>
        <v>0</v>
      </c>
      <c r="CA499" s="38" t="inlineStr">
        <is>
          <t>CARBON|Technology|Senior Software Engineer|A3|A</t>
        </is>
      </c>
    </row>
    <row r="500" ht="110" customHeight="1">
      <c r="A500" s="28" t="inlineStr">
        <is>
          <t>CARBON</t>
        </is>
      </c>
      <c r="B500" s="29" t="inlineStr">
        <is>
          <t>Technology</t>
        </is>
      </c>
      <c r="C500" s="29" t="n">
        <v>4</v>
      </c>
      <c r="D500" s="29" t="inlineStr">
        <is>
          <t>IRIS2444</t>
        </is>
      </c>
      <c r="E500" s="29" t="inlineStr">
        <is>
          <t>Dev Hinged</t>
        </is>
      </c>
      <c r="F500" s="29" t="inlineStr">
        <is>
          <t>Trainee AI Engineer</t>
        </is>
      </c>
      <c r="G500" s="29" t="inlineStr">
        <is>
          <t>AI/ML Engineer</t>
        </is>
      </c>
      <c r="H500" s="29" t="inlineStr">
        <is>
          <t>Engineering &amp; Development</t>
        </is>
      </c>
      <c r="I500" s="29" t="inlineStr">
        <is>
          <t>AI / ML &amp; GenAI Engineering</t>
        </is>
      </c>
      <c r="J500" s="29" t="inlineStr">
        <is>
          <t>IC</t>
        </is>
      </c>
      <c r="K500" s="29" t="inlineStr">
        <is>
          <t>RC-059</t>
        </is>
      </c>
      <c r="L500" s="29" t="inlineStr">
        <is>
          <t>Alpesh Chaudhari</t>
        </is>
      </c>
      <c r="M500" s="29" t="inlineStr">
        <is>
          <t>IRIS2021</t>
        </is>
      </c>
      <c r="N500" s="29" t="n">
        <v>1.5</v>
      </c>
      <c r="O500" s="29" t="n">
        <v>0.9</v>
      </c>
      <c r="P500" s="29" t="inlineStr">
        <is>
          <t>B.Tech</t>
        </is>
      </c>
      <c r="Q500" s="29" t="inlineStr">
        <is>
          <t>L2 – Trainee</t>
        </is>
      </c>
      <c r="R500" s="29" t="inlineStr">
        <is>
          <t>A2</t>
        </is>
      </c>
      <c r="S500" s="30" t="inlineStr">
        <is>
          <t>20 of 20</t>
        </is>
      </c>
      <c r="T500" s="31" t="inlineStr">
        <is>
          <t>• Role / sub-team: Technology — Trainee AI Engineer.
• Core purpose: The core purpose is to solve complex business problems by building smarter, more efficient, and automated solutions that reduce manual effort and improve accuracy.
• Decision-making autonomy: Can independently identify best approach; RND on new technologies.
• Is this something only they …</t>
        </is>
      </c>
      <c r="U500" s="31" t="inlineStr">
        <is>
          <t>Received · manager annual · 1.Build strong expertise in Agentic AI, LLM workflows, and document intelligence pipelines through structured learning and practical implementation.
2.Contribute to IDP · Intelligent Document Processing by implementing minimum 3 AI use cases / modules related to document extraction, classification, summarization, or …</t>
        </is>
      </c>
      <c r="V500" s="31" t="inlineStr">
        <is>
          <t>Latest rating: Not rated · manager · 9-box: Future Leader · Readiness: No rating data</t>
        </is>
      </c>
      <c r="W500" s="31" t="inlineStr">
        <is>
          <t>C M · Au M · Ac M · L L · BI M · Exp M · 1.5 yrs vs 0–2 yrs · Edu M · B.Tech</t>
        </is>
      </c>
      <c r="X500" s="33" t="inlineStr">
        <is>
          <t>Open ▸</t>
        </is>
      </c>
      <c r="Y500" s="34" t="str">
        <f>IFERROR(INDEX(DL_C,MATCH($CA500,DL_KEY,0)),"M")</f>
        <v>H</v>
      </c>
      <c r="Z500" s="35" t="str">
        <f>IFERROR(INDEX(DL_Au,MATCH($CA500,DL_KEY,0)),"M")</f>
        <v>M</v>
      </c>
      <c r="AA500" s="35" t="str">
        <f>IFERROR(INDEX(DL_Ac,MATCH($CA500,DL_KEY,0)),"M")</f>
        <v>L</v>
      </c>
      <c r="AB500" s="35" t="str">
        <f>IFERROR(INDEX(DL_L,MATCH($CA500,DL_KEY,0)),"M")</f>
        <v>L</v>
      </c>
      <c r="AC500" s="35" t="str">
        <f>IFERROR(INDEX(DL_BI,MATCH($CA500,DL_KEY,0)),"M")</f>
        <v>L</v>
      </c>
      <c r="AD500" s="35" t="str">
        <f>IFERROR(INDEX(DL_Exp,MATCH($CA500,DL_KEY,0)),"M")</f>
        <v>L</v>
      </c>
      <c r="AE500" s="35" t="str">
        <f>IFERROR(INDEX(DL_Edu,MATCH($CA500,DL_KEY,0)),"M")</f>
        <v>L</v>
      </c>
      <c r="AF500" s="34" t="inlineStr">
        <is>
          <t>M</t>
        </is>
      </c>
      <c r="AG500" s="35" t="inlineStr">
        <is>
          <t>M</t>
        </is>
      </c>
      <c r="AH500" s="35" t="inlineStr">
        <is>
          <t>M</t>
        </is>
      </c>
      <c r="AI500" s="35" t="inlineStr">
        <is>
          <t>M</t>
        </is>
      </c>
      <c r="AJ500" s="35" t="inlineStr">
        <is>
          <t>M</t>
        </is>
      </c>
      <c r="AK500" s="35" t="inlineStr">
        <is>
          <t>M</t>
        </is>
      </c>
      <c r="AL500" s="35" t="inlineStr">
        <is>
          <t>M</t>
        </is>
      </c>
      <c r="AM500" s="36" t="n">
        <v>0.583</v>
      </c>
      <c r="AN500" s="37" t="n">
        <v>0.16</v>
      </c>
      <c r="AO500" s="37" t="n">
        <v>0.09</v>
      </c>
      <c r="AP500" s="37" t="n">
        <v>0</v>
      </c>
      <c r="AQ500" s="37" t="n">
        <v>0.063</v>
      </c>
      <c r="AR500" s="37" t="n">
        <v>0.06</v>
      </c>
      <c r="AS500" s="37" t="n">
        <v>0.04</v>
      </c>
      <c r="AT500" s="38" t="inlineStr">
        <is>
          <t>0–3</t>
        </is>
      </c>
      <c r="AU500" s="38" t="inlineStr">
        <is>
          <t>Graduate · or diploma with experience</t>
        </is>
      </c>
      <c r="AV500" s="38" t="inlineStr">
        <is>
          <t>No direct reports</t>
        </is>
      </c>
      <c r="AW500" s="38" t="inlineStr">
        <is>
          <t>P1–P2 · SFIA 2 Assist</t>
        </is>
      </c>
      <c r="AX50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00" s="39" t="inlineStr">
        <is>
          <t>A2</t>
        </is>
      </c>
      <c r="AZ500" s="40" t="inlineStr">
        <is>
          <t>Band A · Practitioner · Associate</t>
        </is>
      </c>
      <c r="BA500" s="40" t="inlineStr">
        <is>
          <t>Model A2 from the six ratings, the market-derived weights and rules R1–R13 · then No change · already below the manager</t>
        </is>
      </c>
      <c r="BB500" s="41" t="inlineStr">
        <is>
          <t>A2</t>
        </is>
      </c>
      <c r="BC500" s="40" t="inlineStr">
        <is>
          <t>The six ratings on the market-average weights of Band A · all tracks score 1.84 → A2 · Hay, Mercer IPE and public plans · experience 1.5 yrs vs the A2 market range 0–3</t>
        </is>
      </c>
      <c r="BD500" s="42">
        <f>IF(SUM(BM500,BN500,BO500,BP500,BQ500,BR500,BS500)=0,0,(BM500*BT500+BN500*BU500+BO500*BV500+BP500*BW500+BQ500*BX500+BR500*BY500+BS500*BZ500)/SUM(BM500,BN500,BO500,BP500,BQ500,BR500,BS500))</f>
        <v>0</v>
      </c>
      <c r="BE500" s="41" t="str">
        <f>IF(LEFT(AY500,1)="X",AY500,IF(OR(AY500="B+",AY500="C+"),INDEX(LAD_PC,MAX(1,MIN(14,MATCH(AY500,LAD_PC,0)+IF(BD500&gt;=0.5,1,IF(BD500&lt;=-0.5,-1,0))))),INDEX(LAD_STD,MAX(1,MIN(12,MATCH(AY500,LAD_STD,0)+IF(BD500&gt;=0.5,1,IF(BD500&lt;=-0.5,-1,0)))))))</f>
        <v>A2</v>
      </c>
      <c r="BF500" s="43" t="n"/>
      <c r="BG500" s="41" t="str">
        <f>IF(BF500&lt;&gt;"",BF500,BE500)</f>
        <v>A2</v>
      </c>
      <c r="BH500" s="40" t="str">
        <f>IFERROR(CHOOSE(INDEX(B_RANK,MATCH(BG500,B_LVL,0)),"Band A","Band B","B+ · Player-Coach","Band C","C+ · Player-Coach","Band D","Band E"),"Band X · Consultant")</f>
        <v>Band A</v>
      </c>
      <c r="BI500" s="40" t="str">
        <f>IF(BG500=AY500,"• Same",IF(INDEX(B_VAL,MATCH(BG500,B_LVL,0))&gt;INDEX(B_VAL,MATCH(AY500,B_LVL,0)),"▲ Up","▼ Down"))</f>
        <v>• Same</v>
      </c>
      <c r="BJ500" s="40" t="str">
        <f>IF(OR($M500="",$M500="—",$M500="Not in this file"),"",IFERROR(INDEX($BG$7:$BG$592,MATCH($M500,$D$7:$D$592,0)),""))</f>
        <v>A3</v>
      </c>
      <c r="BK500" s="40" t="str">
        <f>IFERROR(IF(BJ500="","—",IF(OR(LEFT(BG500,1)="X",LEFT(BJ500,1)="X"),"—",IF(AND(LEFT(BG500,1)="E",LEFT(BJ500,1)="E"),"Exception · Band E",IF(AND(INDEX(B_VAL,MATCH(BJ500,B_LVL,0))&gt;=7,INDEX(B_RANK,MATCH(BG500,B_LVL,0))&gt;=INDEX(B_RANK,MATCH(BJ500,B_LVL,0))),"⚠ Same band as a head manager",IF(INDEX(B_VAL,MATCH(BG500,B_LVL,0))&gt;=INDEX(B_VAL,MATCH(BJ500,B_LVL,0)),"⚠ At or above the manager's level","OK"))))),"—")</f>
        <v>OK</v>
      </c>
      <c r="BL500" s="43" t="n"/>
      <c r="BM500" s="44">
        <f>IFERROR(INDEX(LMH_PTS,MATCH(Y500,LMH_KEY,0)),0)</f>
        <v>9</v>
      </c>
      <c r="BN500" s="38">
        <f>IFERROR(INDEX(LMH_PTS,MATCH(Z500,LMH_KEY,0)),0)</f>
        <v>3</v>
      </c>
      <c r="BO500" s="38">
        <f>IFERROR(INDEX(LMH_PTS,MATCH(AA500,LMH_KEY,0)),0)</f>
        <v>1</v>
      </c>
      <c r="BP500" s="38">
        <f>IFERROR(INDEX(LMH_PTS,MATCH(AB500,LMH_KEY,0)),0)</f>
        <v>1</v>
      </c>
      <c r="BQ500" s="38">
        <f>IFERROR(INDEX(LMH_PTS,MATCH(AC500,LMH_KEY,0)),0)</f>
        <v>1</v>
      </c>
      <c r="BR500" s="38">
        <f>IFERROR(INDEX(LMH_PTS,MATCH(AD500,LMH_KEY,0)),0)</f>
        <v>1</v>
      </c>
      <c r="BS500" s="38">
        <f>IFERROR(INDEX(LMH_PTS,MATCH(AE500,LMH_KEY,0)),0)</f>
        <v>1</v>
      </c>
      <c r="BT500" s="38">
        <f>IFERROR(INDEX(LMH_STEP,MATCH(AF500,LMH_KEY,0)),0)</f>
        <v>0</v>
      </c>
      <c r="BU500" s="38">
        <f>IFERROR(INDEX(LMH_STEP,MATCH(AG500,LMH_KEY,0)),0)</f>
        <v>0</v>
      </c>
      <c r="BV500" s="38">
        <f>IFERROR(INDEX(LMH_STEP,MATCH(AH500,LMH_KEY,0)),0)</f>
        <v>0</v>
      </c>
      <c r="BW500" s="38">
        <f>IFERROR(INDEX(LMH_STEP,MATCH(AI500,LMH_KEY,0)),0)</f>
        <v>0</v>
      </c>
      <c r="BX500" s="38">
        <f>IFERROR(INDEX(LMH_STEP,MATCH(AJ500,LMH_KEY,0)),0)</f>
        <v>0</v>
      </c>
      <c r="BY500" s="38">
        <f>IFERROR(INDEX(LMH_STEP,MATCH(AK500,LMH_KEY,0)),0)</f>
        <v>0</v>
      </c>
      <c r="BZ500" s="38">
        <f>IFERROR(INDEX(LMH_STEP,MATCH(AL500,LMH_KEY,0)),0)</f>
        <v>0</v>
      </c>
      <c r="CA500" s="38" t="inlineStr">
        <is>
          <t>CARBON|Technology|AI/ML Engineer|A2|A</t>
        </is>
      </c>
    </row>
    <row r="501" ht="110" customHeight="1">
      <c r="A501" s="28" t="inlineStr">
        <is>
          <t>CARBON</t>
        </is>
      </c>
      <c r="B501" s="29" t="inlineStr">
        <is>
          <t>Technology</t>
        </is>
      </c>
      <c r="C501" s="29" t="n">
        <v>4</v>
      </c>
      <c r="D501" s="29" t="inlineStr">
        <is>
          <t>IRIS2394</t>
        </is>
      </c>
      <c r="E501" s="29" t="inlineStr">
        <is>
          <t>Meet Patel</t>
        </is>
      </c>
      <c r="F501" s="29" t="inlineStr">
        <is>
          <t>Trainee Software Engineer</t>
        </is>
      </c>
      <c r="G501" s="29" t="inlineStr">
        <is>
          <t>Software Engineer</t>
        </is>
      </c>
      <c r="H501" s="29" t="inlineStr">
        <is>
          <t>Engineering &amp; Development</t>
        </is>
      </c>
      <c r="I501" s="29" t="inlineStr">
        <is>
          <t>Backend Development</t>
        </is>
      </c>
      <c r="J501" s="29" t="inlineStr">
        <is>
          <t>IC</t>
        </is>
      </c>
      <c r="K501" s="29" t="inlineStr">
        <is>
          <t>RC-066</t>
        </is>
      </c>
      <c r="L501" s="29" t="inlineStr">
        <is>
          <t>Alpesh Chaudhari</t>
        </is>
      </c>
      <c r="M501" s="29" t="inlineStr">
        <is>
          <t>IRIS2021</t>
        </is>
      </c>
      <c r="N501" s="29" t="n">
        <v>1.2</v>
      </c>
      <c r="O501" s="29" t="n">
        <v>1.2</v>
      </c>
      <c r="P501" s="29" t="inlineStr">
        <is>
          <t>B.Sc</t>
        </is>
      </c>
      <c r="Q501" s="29" t="inlineStr">
        <is>
          <t>L2 – Trainee</t>
        </is>
      </c>
      <c r="R501" s="29" t="inlineStr">
        <is>
          <t>A2</t>
        </is>
      </c>
      <c r="S501" s="30" t="inlineStr">
        <is>
          <t>20 of 20</t>
        </is>
      </c>
      <c r="T501" s="31" t="inlineStr">
        <is>
          <t>• Role / sub-team: Technology — Trainee Software Engineer.
• Core purpose: Take resposibility of my work and complete it on time also help others who need any help.
• Decision-making autonomy: Can independently implement tech solutions.
• Is this something only they do: Partly different; Most of us.
• What's different about this role: Using AI for a better …</t>
        </is>
      </c>
      <c r="U501" s="31" t="inlineStr">
        <is>
          <t>Received · manager annual · 1.Deliver ≥ 90% committed development tasks within agreed timelines with high-quality implementation.
2.Strengthen technical capability in advanced .NET Core, React, API design, and full-stack development, contributing to ≥ 30% technical discussions by FY end.
3.Build stronger system understanding in system design, …</t>
        </is>
      </c>
      <c r="V501" s="31" t="inlineStr">
        <is>
          <t>Latest rating: Not rated · manager · 9-box: Future Leader · Readiness: No rating data</t>
        </is>
      </c>
      <c r="W501" s="31" t="inlineStr">
        <is>
          <t>C M · Au M · Ac M · L M · BI M · Exp M · 1.2 yrs vs 0–2 yrs · Edu M · B.Sc</t>
        </is>
      </c>
      <c r="X501" s="33" t="inlineStr">
        <is>
          <t>Open ▸</t>
        </is>
      </c>
      <c r="Y501" s="34" t="str">
        <f>IFERROR(INDEX(DL_C,MATCH($CA501,DL_KEY,0)),"M")</f>
        <v>H</v>
      </c>
      <c r="Z501" s="35" t="str">
        <f>IFERROR(INDEX(DL_Au,MATCH($CA501,DL_KEY,0)),"M")</f>
        <v>M</v>
      </c>
      <c r="AA501" s="35" t="str">
        <f>IFERROR(INDEX(DL_Ac,MATCH($CA501,DL_KEY,0)),"M")</f>
        <v>L</v>
      </c>
      <c r="AB501" s="35" t="str">
        <f>IFERROR(INDEX(DL_L,MATCH($CA501,DL_KEY,0)),"M")</f>
        <v>L</v>
      </c>
      <c r="AC501" s="35" t="str">
        <f>IFERROR(INDEX(DL_BI,MATCH($CA501,DL_KEY,0)),"M")</f>
        <v>L</v>
      </c>
      <c r="AD501" s="35" t="str">
        <f>IFERROR(INDEX(DL_Exp,MATCH($CA501,DL_KEY,0)),"M")</f>
        <v>L</v>
      </c>
      <c r="AE501" s="35" t="str">
        <f>IFERROR(INDEX(DL_Edu,MATCH($CA501,DL_KEY,0)),"M")</f>
        <v>L</v>
      </c>
      <c r="AF501" s="34" t="inlineStr">
        <is>
          <t>M</t>
        </is>
      </c>
      <c r="AG501" s="35" t="inlineStr">
        <is>
          <t>M</t>
        </is>
      </c>
      <c r="AH501" s="35" t="inlineStr">
        <is>
          <t>M</t>
        </is>
      </c>
      <c r="AI501" s="35" t="inlineStr">
        <is>
          <t>M</t>
        </is>
      </c>
      <c r="AJ501" s="35" t="inlineStr">
        <is>
          <t>M</t>
        </is>
      </c>
      <c r="AK501" s="35" t="inlineStr">
        <is>
          <t>M</t>
        </is>
      </c>
      <c r="AL501" s="35" t="inlineStr">
        <is>
          <t>M</t>
        </is>
      </c>
      <c r="AM501" s="36" t="n">
        <v>0.583</v>
      </c>
      <c r="AN501" s="37" t="n">
        <v>0.16</v>
      </c>
      <c r="AO501" s="37" t="n">
        <v>0.09</v>
      </c>
      <c r="AP501" s="37" t="n">
        <v>0</v>
      </c>
      <c r="AQ501" s="37" t="n">
        <v>0.063</v>
      </c>
      <c r="AR501" s="37" t="n">
        <v>0.06</v>
      </c>
      <c r="AS501" s="37" t="n">
        <v>0.04</v>
      </c>
      <c r="AT501" s="38" t="inlineStr">
        <is>
          <t>0–3</t>
        </is>
      </c>
      <c r="AU501" s="38" t="inlineStr">
        <is>
          <t>Graduate · or diploma with experience</t>
        </is>
      </c>
      <c r="AV501" s="38" t="inlineStr">
        <is>
          <t>No direct reports</t>
        </is>
      </c>
      <c r="AW501" s="38" t="inlineStr">
        <is>
          <t>P1–P2 · SFIA 2 Assist</t>
        </is>
      </c>
      <c r="AX50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01" s="39" t="inlineStr">
        <is>
          <t>A2</t>
        </is>
      </c>
      <c r="AZ501" s="40" t="inlineStr">
        <is>
          <t>Band A · Practitioner · Associate</t>
        </is>
      </c>
      <c r="BA501" s="40" t="inlineStr">
        <is>
          <t>Model A2 from the six ratings, the market-derived weights and rules R1–R13 · then No change · already below the manager</t>
        </is>
      </c>
      <c r="BB501" s="41" t="inlineStr">
        <is>
          <t>A2</t>
        </is>
      </c>
      <c r="BC501" s="40" t="inlineStr">
        <is>
          <t>The six ratings on the market-average weights of Band A · all tracks score 1.55 → A2 · Hay, Mercer IPE and public plans · experience 1.2 yrs vs the A2 market range 0–3</t>
        </is>
      </c>
      <c r="BD501" s="42">
        <f>IF(SUM(BM501,BN501,BO501,BP501,BQ501,BR501,BS501)=0,0,(BM501*BT501+BN501*BU501+BO501*BV501+BP501*BW501+BQ501*BX501+BR501*BY501+BS501*BZ501)/SUM(BM501,BN501,BO501,BP501,BQ501,BR501,BS501))</f>
        <v>0</v>
      </c>
      <c r="BE501" s="41" t="str">
        <f>IF(LEFT(AY501,1)="X",AY501,IF(OR(AY501="B+",AY501="C+"),INDEX(LAD_PC,MAX(1,MIN(14,MATCH(AY501,LAD_PC,0)+IF(BD501&gt;=0.5,1,IF(BD501&lt;=-0.5,-1,0))))),INDEX(LAD_STD,MAX(1,MIN(12,MATCH(AY501,LAD_STD,0)+IF(BD501&gt;=0.5,1,IF(BD501&lt;=-0.5,-1,0)))))))</f>
        <v>A2</v>
      </c>
      <c r="BF501" s="43" t="n"/>
      <c r="BG501" s="41" t="str">
        <f>IF(BF501&lt;&gt;"",BF501,BE501)</f>
        <v>A2</v>
      </c>
      <c r="BH501" s="40" t="str">
        <f>IFERROR(CHOOSE(INDEX(B_RANK,MATCH(BG501,B_LVL,0)),"Band A","Band B","B+ · Player-Coach","Band C","C+ · Player-Coach","Band D","Band E"),"Band X · Consultant")</f>
        <v>Band A</v>
      </c>
      <c r="BI501" s="40" t="str">
        <f>IF(BG501=AY501,"• Same",IF(INDEX(B_VAL,MATCH(BG501,B_LVL,0))&gt;INDEX(B_VAL,MATCH(AY501,B_LVL,0)),"▲ Up","▼ Down"))</f>
        <v>• Same</v>
      </c>
      <c r="BJ501" s="40" t="str">
        <f>IF(OR($M501="",$M501="—",$M501="Not in this file"),"",IFERROR(INDEX($BG$7:$BG$592,MATCH($M501,$D$7:$D$592,0)),""))</f>
        <v>A3</v>
      </c>
      <c r="BK501" s="40" t="str">
        <f>IFERROR(IF(BJ501="","—",IF(OR(LEFT(BG501,1)="X",LEFT(BJ501,1)="X"),"—",IF(AND(LEFT(BG501,1)="E",LEFT(BJ501,1)="E"),"Exception · Band E",IF(AND(INDEX(B_VAL,MATCH(BJ501,B_LVL,0))&gt;=7,INDEX(B_RANK,MATCH(BG501,B_LVL,0))&gt;=INDEX(B_RANK,MATCH(BJ501,B_LVL,0))),"⚠ Same band as a head manager",IF(INDEX(B_VAL,MATCH(BG501,B_LVL,0))&gt;=INDEX(B_VAL,MATCH(BJ501,B_LVL,0)),"⚠ At or above the manager's level","OK"))))),"—")</f>
        <v>OK</v>
      </c>
      <c r="BL501" s="43" t="n"/>
      <c r="BM501" s="44">
        <f>IFERROR(INDEX(LMH_PTS,MATCH(Y501,LMH_KEY,0)),0)</f>
        <v>9</v>
      </c>
      <c r="BN501" s="38">
        <f>IFERROR(INDEX(LMH_PTS,MATCH(Z501,LMH_KEY,0)),0)</f>
        <v>3</v>
      </c>
      <c r="BO501" s="38">
        <f>IFERROR(INDEX(LMH_PTS,MATCH(AA501,LMH_KEY,0)),0)</f>
        <v>1</v>
      </c>
      <c r="BP501" s="38">
        <f>IFERROR(INDEX(LMH_PTS,MATCH(AB501,LMH_KEY,0)),0)</f>
        <v>1</v>
      </c>
      <c r="BQ501" s="38">
        <f>IFERROR(INDEX(LMH_PTS,MATCH(AC501,LMH_KEY,0)),0)</f>
        <v>1</v>
      </c>
      <c r="BR501" s="38">
        <f>IFERROR(INDEX(LMH_PTS,MATCH(AD501,LMH_KEY,0)),0)</f>
        <v>1</v>
      </c>
      <c r="BS501" s="38">
        <f>IFERROR(INDEX(LMH_PTS,MATCH(AE501,LMH_KEY,0)),0)</f>
        <v>1</v>
      </c>
      <c r="BT501" s="38">
        <f>IFERROR(INDEX(LMH_STEP,MATCH(AF501,LMH_KEY,0)),0)</f>
        <v>0</v>
      </c>
      <c r="BU501" s="38">
        <f>IFERROR(INDEX(LMH_STEP,MATCH(AG501,LMH_KEY,0)),0)</f>
        <v>0</v>
      </c>
      <c r="BV501" s="38">
        <f>IFERROR(INDEX(LMH_STEP,MATCH(AH501,LMH_KEY,0)),0)</f>
        <v>0</v>
      </c>
      <c r="BW501" s="38">
        <f>IFERROR(INDEX(LMH_STEP,MATCH(AI501,LMH_KEY,0)),0)</f>
        <v>0</v>
      </c>
      <c r="BX501" s="38">
        <f>IFERROR(INDEX(LMH_STEP,MATCH(AJ501,LMH_KEY,0)),0)</f>
        <v>0</v>
      </c>
      <c r="BY501" s="38">
        <f>IFERROR(INDEX(LMH_STEP,MATCH(AK501,LMH_KEY,0)),0)</f>
        <v>0</v>
      </c>
      <c r="BZ501" s="38">
        <f>IFERROR(INDEX(LMH_STEP,MATCH(AL501,LMH_KEY,0)),0)</f>
        <v>0</v>
      </c>
      <c r="CA501" s="38" t="inlineStr">
        <is>
          <t>CARBON|Technology|Software Engineer|A2|A</t>
        </is>
      </c>
    </row>
    <row r="502" ht="110" customHeight="1">
      <c r="A502" s="28" t="inlineStr">
        <is>
          <t>CARBON</t>
        </is>
      </c>
      <c r="B502" s="29" t="inlineStr">
        <is>
          <t>Technology</t>
        </is>
      </c>
      <c r="C502" s="29" t="n">
        <v>4</v>
      </c>
      <c r="D502" s="29" t="inlineStr">
        <is>
          <t>IRIS2454</t>
        </is>
      </c>
      <c r="E502" s="29" t="inlineStr">
        <is>
          <t>Ayush Sharma</t>
        </is>
      </c>
      <c r="F502" s="29" t="inlineStr">
        <is>
          <t>Trainee Software Engineer</t>
        </is>
      </c>
      <c r="G502" s="29" t="inlineStr">
        <is>
          <t>Trainee Software Engineer</t>
        </is>
      </c>
      <c r="H502" s="29" t="inlineStr">
        <is>
          <t>Engineering &amp; Development</t>
        </is>
      </c>
      <c r="I502" s="29" t="inlineStr">
        <is>
          <t>Backend Development</t>
        </is>
      </c>
      <c r="J502" s="29" t="inlineStr">
        <is>
          <t>IC</t>
        </is>
      </c>
      <c r="K502" s="29" t="inlineStr">
        <is>
          <t>RC-065</t>
        </is>
      </c>
      <c r="L502" s="29" t="inlineStr">
        <is>
          <t>Alpesh Chaudhari</t>
        </is>
      </c>
      <c r="M502" s="29" t="inlineStr">
        <is>
          <t>IRIS2021</t>
        </is>
      </c>
      <c r="N502" s="29" t="n">
        <v>0.8</v>
      </c>
      <c r="O502" s="29" t="n">
        <v>0.8</v>
      </c>
      <c r="P502" s="29" t="inlineStr">
        <is>
          <t>B.Tech</t>
        </is>
      </c>
      <c r="Q502" s="29" t="inlineStr">
        <is>
          <t>L2 – Trainee</t>
        </is>
      </c>
      <c r="R502" s="29" t="inlineStr">
        <is>
          <t>A1</t>
        </is>
      </c>
      <c r="S502" s="30" t="inlineStr">
        <is>
          <t>20 of 20</t>
        </is>
      </c>
      <c r="T502" s="31" t="inlineStr">
        <is>
          <t>As a Software Engineer, my core purpose is to design, develop, and maintain reliable, scalable software solutions that solve business and user problems. React, .Net The core purpose of a Software Engineer is to design, develop, and maintain reliable software solutions that solve business and customer problems.; Technical decisions</t>
        </is>
      </c>
      <c r="U502" s="31" t="inlineStr">
        <is>
          <t>Received · manager annual · 1.Deliver ≥ 90% committed full-stack tasks within agreed timelines with improved implementation quality and reduced rework.
2.Strengthen technical capability in advanced .NET Core, React, API design, and full-stack development, contributing to ≥ 30% technical discussions by FY end.
3.Improve engineering quality by …</t>
        </is>
      </c>
      <c r="V502" s="31" t="inlineStr">
        <is>
          <t>Latest rating: Not rated · manager · 9-box: Trusted Professional · Readiness: No rating data</t>
        </is>
      </c>
      <c r="W502" s="31" t="inlineStr">
        <is>
          <t>C — · Au — · Ac — · L — · BI — · Exp H · 0.8 yrs vs 0 yrs · fresher / intern · Edu M · B.Tech</t>
        </is>
      </c>
      <c r="X502" s="33" t="inlineStr">
        <is>
          <t>Open ▸</t>
        </is>
      </c>
      <c r="Y502" s="34" t="str">
        <f>IFERROR(INDEX(DL_C,MATCH($CA502,DL_KEY,0)),"M")</f>
        <v>H</v>
      </c>
      <c r="Z502" s="35" t="str">
        <f>IFERROR(INDEX(DL_Au,MATCH($CA502,DL_KEY,0)),"M")</f>
        <v>M</v>
      </c>
      <c r="AA502" s="35" t="str">
        <f>IFERROR(INDEX(DL_Ac,MATCH($CA502,DL_KEY,0)),"M")</f>
        <v>L</v>
      </c>
      <c r="AB502" s="35" t="str">
        <f>IFERROR(INDEX(DL_L,MATCH($CA502,DL_KEY,0)),"M")</f>
        <v>L</v>
      </c>
      <c r="AC502" s="35" t="str">
        <f>IFERROR(INDEX(DL_BI,MATCH($CA502,DL_KEY,0)),"M")</f>
        <v>L</v>
      </c>
      <c r="AD502" s="35" t="str">
        <f>IFERROR(INDEX(DL_Exp,MATCH($CA502,DL_KEY,0)),"M")</f>
        <v>L</v>
      </c>
      <c r="AE502" s="35" t="str">
        <f>IFERROR(INDEX(DL_Edu,MATCH($CA502,DL_KEY,0)),"M")</f>
        <v>L</v>
      </c>
      <c r="AF502" s="34" t="inlineStr">
        <is>
          <t>M</t>
        </is>
      </c>
      <c r="AG502" s="35" t="inlineStr">
        <is>
          <t>M</t>
        </is>
      </c>
      <c r="AH502" s="35" t="inlineStr">
        <is>
          <t>M</t>
        </is>
      </c>
      <c r="AI502" s="35" t="inlineStr">
        <is>
          <t>M</t>
        </is>
      </c>
      <c r="AJ502" s="35" t="inlineStr">
        <is>
          <t>M</t>
        </is>
      </c>
      <c r="AK502" s="35" t="inlineStr">
        <is>
          <t>M</t>
        </is>
      </c>
      <c r="AL502" s="35" t="inlineStr">
        <is>
          <t>M</t>
        </is>
      </c>
      <c r="AM502" s="36" t="n">
        <v>0.583</v>
      </c>
      <c r="AN502" s="37" t="n">
        <v>0.16</v>
      </c>
      <c r="AO502" s="37" t="n">
        <v>0.09</v>
      </c>
      <c r="AP502" s="37" t="n">
        <v>0</v>
      </c>
      <c r="AQ502" s="37" t="n">
        <v>0.063</v>
      </c>
      <c r="AR502" s="37" t="n">
        <v>0.06</v>
      </c>
      <c r="AS502" s="37" t="n">
        <v>0.04</v>
      </c>
      <c r="AT502" s="38" t="inlineStr">
        <is>
          <t>0 yrs · fresher / intern</t>
        </is>
      </c>
      <c r="AU502" s="38" t="inlineStr">
        <is>
          <t>Pursuing or completed graduation / diploma</t>
        </is>
      </c>
      <c r="AV502" s="38" t="inlineStr">
        <is>
          <t>No direct reports</t>
        </is>
      </c>
      <c r="AW502" s="38" t="inlineStr">
        <is>
          <t>Entry / P1 · intern · SFIA 1 Follow</t>
        </is>
      </c>
      <c r="AX50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02" s="39" t="inlineStr">
        <is>
          <t>A1</t>
        </is>
      </c>
      <c r="AZ502" s="40" t="inlineStr">
        <is>
          <t>Band A · Practitioner · Intern / Trainee</t>
        </is>
      </c>
      <c r="BA502" s="40" t="inlineStr">
        <is>
          <t>Model A1 from the six ratings, the market-derived weights and rules R1–R13 · then No change · already below the manager</t>
        </is>
      </c>
      <c r="BB502" s="41" t="inlineStr">
        <is>
          <t>A1</t>
        </is>
      </c>
      <c r="BC502" s="40" t="inlineStr">
        <is>
          <t>Placed by a category rule — no full set of ratings · benchmark follows the HR proposed level</t>
        </is>
      </c>
      <c r="BD502" s="42">
        <f>IF(SUM(BM502,BN502,BO502,BP502,BQ502,BR502,BS502)=0,0,(BM502*BT502+BN502*BU502+BO502*BV502+BP502*BW502+BQ502*BX502+BR502*BY502+BS502*BZ502)/SUM(BM502,BN502,BO502,BP502,BQ502,BR502,BS502))</f>
        <v>0</v>
      </c>
      <c r="BE502" s="41" t="str">
        <f>IF(LEFT(AY502,1)="X",AY502,IF(OR(AY502="B+",AY502="C+"),INDEX(LAD_PC,MAX(1,MIN(14,MATCH(AY502,LAD_PC,0)+IF(BD502&gt;=0.5,1,IF(BD502&lt;=-0.5,-1,0))))),INDEX(LAD_STD,MAX(1,MIN(12,MATCH(AY502,LAD_STD,0)+IF(BD502&gt;=0.5,1,IF(BD502&lt;=-0.5,-1,0)))))))</f>
        <v>A1</v>
      </c>
      <c r="BF502" s="43" t="n"/>
      <c r="BG502" s="41" t="str">
        <f>IF(BF502&lt;&gt;"",BF502,BE502)</f>
        <v>A1</v>
      </c>
      <c r="BH502" s="40" t="str">
        <f>IFERROR(CHOOSE(INDEX(B_RANK,MATCH(BG502,B_LVL,0)),"Band A","Band B","B+ · Player-Coach","Band C","C+ · Player-Coach","Band D","Band E"),"Band X · Consultant")</f>
        <v>Band A</v>
      </c>
      <c r="BI502" s="40" t="str">
        <f>IF(BG502=AY502,"• Same",IF(INDEX(B_VAL,MATCH(BG502,B_LVL,0))&gt;INDEX(B_VAL,MATCH(AY502,B_LVL,0)),"▲ Up","▼ Down"))</f>
        <v>• Same</v>
      </c>
      <c r="BJ502" s="40" t="str">
        <f>IF(OR($M502="",$M502="—",$M502="Not in this file"),"",IFERROR(INDEX($BG$7:$BG$592,MATCH($M502,$D$7:$D$592,0)),""))</f>
        <v>A3</v>
      </c>
      <c r="BK502" s="40" t="str">
        <f>IFERROR(IF(BJ502="","—",IF(OR(LEFT(BG502,1)="X",LEFT(BJ502,1)="X"),"—",IF(AND(LEFT(BG502,1)="E",LEFT(BJ502,1)="E"),"Exception · Band E",IF(AND(INDEX(B_VAL,MATCH(BJ502,B_LVL,0))&gt;=7,INDEX(B_RANK,MATCH(BG502,B_LVL,0))&gt;=INDEX(B_RANK,MATCH(BJ502,B_LVL,0))),"⚠ Same band as a head manager",IF(INDEX(B_VAL,MATCH(BG502,B_LVL,0))&gt;=INDEX(B_VAL,MATCH(BJ502,B_LVL,0)),"⚠ At or above the manager's level","OK"))))),"—")</f>
        <v>OK</v>
      </c>
      <c r="BL502" s="43" t="n"/>
      <c r="BM502" s="44">
        <f>IFERROR(INDEX(LMH_PTS,MATCH(Y502,LMH_KEY,0)),0)</f>
        <v>9</v>
      </c>
      <c r="BN502" s="38">
        <f>IFERROR(INDEX(LMH_PTS,MATCH(Z502,LMH_KEY,0)),0)</f>
        <v>3</v>
      </c>
      <c r="BO502" s="38">
        <f>IFERROR(INDEX(LMH_PTS,MATCH(AA502,LMH_KEY,0)),0)</f>
        <v>1</v>
      </c>
      <c r="BP502" s="38">
        <f>IFERROR(INDEX(LMH_PTS,MATCH(AB502,LMH_KEY,0)),0)</f>
        <v>1</v>
      </c>
      <c r="BQ502" s="38">
        <f>IFERROR(INDEX(LMH_PTS,MATCH(AC502,LMH_KEY,0)),0)</f>
        <v>1</v>
      </c>
      <c r="BR502" s="38">
        <f>IFERROR(INDEX(LMH_PTS,MATCH(AD502,LMH_KEY,0)),0)</f>
        <v>1</v>
      </c>
      <c r="BS502" s="38">
        <f>IFERROR(INDEX(LMH_PTS,MATCH(AE502,LMH_KEY,0)),0)</f>
        <v>1</v>
      </c>
      <c r="BT502" s="38">
        <f>IFERROR(INDEX(LMH_STEP,MATCH(AF502,LMH_KEY,0)),0)</f>
        <v>0</v>
      </c>
      <c r="BU502" s="38">
        <f>IFERROR(INDEX(LMH_STEP,MATCH(AG502,LMH_KEY,0)),0)</f>
        <v>0</v>
      </c>
      <c r="BV502" s="38">
        <f>IFERROR(INDEX(LMH_STEP,MATCH(AH502,LMH_KEY,0)),0)</f>
        <v>0</v>
      </c>
      <c r="BW502" s="38">
        <f>IFERROR(INDEX(LMH_STEP,MATCH(AI502,LMH_KEY,0)),0)</f>
        <v>0</v>
      </c>
      <c r="BX502" s="38">
        <f>IFERROR(INDEX(LMH_STEP,MATCH(AJ502,LMH_KEY,0)),0)</f>
        <v>0</v>
      </c>
      <c r="BY502" s="38">
        <f>IFERROR(INDEX(LMH_STEP,MATCH(AK502,LMH_KEY,0)),0)</f>
        <v>0</v>
      </c>
      <c r="BZ502" s="38">
        <f>IFERROR(INDEX(LMH_STEP,MATCH(AL502,LMH_KEY,0)),0)</f>
        <v>0</v>
      </c>
      <c r="CA502" s="38" t="inlineStr">
        <is>
          <t>CARBON|Technology|Trainee Software Engineer|A1|A</t>
        </is>
      </c>
    </row>
    <row r="503" ht="110" customHeight="1">
      <c r="A503" s="28" t="inlineStr">
        <is>
          <t>CARBON</t>
        </is>
      </c>
      <c r="B503" s="29" t="inlineStr">
        <is>
          <t>Technology</t>
        </is>
      </c>
      <c r="C503" s="29" t="n">
        <v>3</v>
      </c>
      <c r="D503" s="29" t="inlineStr">
        <is>
          <t>IRIS2024</t>
        </is>
      </c>
      <c r="E503" s="29" t="inlineStr">
        <is>
          <t>Imtiyaz Pathan</t>
        </is>
      </c>
      <c r="F503" s="29" t="inlineStr">
        <is>
          <t>Software Engineer</t>
        </is>
      </c>
      <c r="G503" s="29" t="inlineStr">
        <is>
          <t>Senior Software Engineer</t>
        </is>
      </c>
      <c r="H503" s="29" t="inlineStr">
        <is>
          <t>Engineering &amp; Development</t>
        </is>
      </c>
      <c r="I503" s="29" t="inlineStr">
        <is>
          <t>Backend Development</t>
        </is>
      </c>
      <c r="J503" s="29" t="inlineStr">
        <is>
          <t>IC</t>
        </is>
      </c>
      <c r="K503" s="29" t="inlineStr">
        <is>
          <t>RC-067</t>
        </is>
      </c>
      <c r="L503" s="29" t="inlineStr">
        <is>
          <t>Dhiraj Suryawanshi</t>
        </is>
      </c>
      <c r="M503" s="29" t="inlineStr">
        <is>
          <t>IRIS1477</t>
        </is>
      </c>
      <c r="N503" s="29" t="n">
        <v>4.3</v>
      </c>
      <c r="O503" s="29" t="n">
        <v>4.3</v>
      </c>
      <c r="P503" s="29" t="inlineStr">
        <is>
          <t>MCA</t>
        </is>
      </c>
      <c r="Q503" s="29" t="inlineStr">
        <is>
          <t>L3 – Professional / Associate</t>
        </is>
      </c>
      <c r="R503" s="29" t="inlineStr">
        <is>
          <t>A3</t>
        </is>
      </c>
      <c r="S503" s="30" t="inlineStr">
        <is>
          <t>20 of 20</t>
        </is>
      </c>
      <c r="T503" s="31" t="inlineStr">
        <is>
          <t>• Role / sub-team: Technology — Software Engineer.
• Core purpose: My role is to understand business requirements, develop and maintain software solutions, solve technical problems, and ensure quality delivery. I work closely with the team throughout the development.
• Decision-making autonomy: Can independently technical Implementation.
• Is this something …</t>
        </is>
      </c>
      <c r="U503" s="31" t="inlineStr">
        <is>
          <t>Received · manager annual · 1.Deliver ≥ 95% committed full-stack tasks within agreed timelines with high-quality implementation.
2.Improve technical depth by independently owning minimum 3 complex full-stack modules/features by FY end.
3.Maintain strong engineering quality by achieving ≥ 90% first-time-right delivery and reducing rework by ≥ 35% …</t>
        </is>
      </c>
      <c r="V503" s="31" t="inlineStr">
        <is>
          <t>Latest rating: Not rated · manager · 9-box: Trusted Professional · Readiness: No rating data</t>
        </is>
      </c>
      <c r="W503" s="31" t="inlineStr">
        <is>
          <t>C L · Au L · Ac L · L L · BI L · Exp H · 4.3 yrs vs 2–4 yrs · Edu H · MCA</t>
        </is>
      </c>
      <c r="X503" s="33" t="inlineStr">
        <is>
          <t>Open ▸</t>
        </is>
      </c>
      <c r="Y503" s="34" t="str">
        <f>IFERROR(INDEX(DL_C,MATCH($CA503,DL_KEY,0)),"M")</f>
        <v>H</v>
      </c>
      <c r="Z503" s="35" t="str">
        <f>IFERROR(INDEX(DL_Au,MATCH($CA503,DL_KEY,0)),"M")</f>
        <v>M</v>
      </c>
      <c r="AA503" s="35" t="str">
        <f>IFERROR(INDEX(DL_Ac,MATCH($CA503,DL_KEY,0)),"M")</f>
        <v>L</v>
      </c>
      <c r="AB503" s="35" t="str">
        <f>IFERROR(INDEX(DL_L,MATCH($CA503,DL_KEY,0)),"M")</f>
        <v>L</v>
      </c>
      <c r="AC503" s="35" t="str">
        <f>IFERROR(INDEX(DL_BI,MATCH($CA503,DL_KEY,0)),"M")</f>
        <v>L</v>
      </c>
      <c r="AD503" s="35" t="str">
        <f>IFERROR(INDEX(DL_Exp,MATCH($CA503,DL_KEY,0)),"M")</f>
        <v>L</v>
      </c>
      <c r="AE503" s="35" t="str">
        <f>IFERROR(INDEX(DL_Edu,MATCH($CA503,DL_KEY,0)),"M")</f>
        <v>L</v>
      </c>
      <c r="AF503" s="34" t="inlineStr">
        <is>
          <t>M</t>
        </is>
      </c>
      <c r="AG503" s="35" t="inlineStr">
        <is>
          <t>M</t>
        </is>
      </c>
      <c r="AH503" s="35" t="inlineStr">
        <is>
          <t>M</t>
        </is>
      </c>
      <c r="AI503" s="35" t="inlineStr">
        <is>
          <t>M</t>
        </is>
      </c>
      <c r="AJ503" s="35" t="inlineStr">
        <is>
          <t>M</t>
        </is>
      </c>
      <c r="AK503" s="35" t="inlineStr">
        <is>
          <t>M</t>
        </is>
      </c>
      <c r="AL503" s="35" t="inlineStr">
        <is>
          <t>M</t>
        </is>
      </c>
      <c r="AM503" s="36" t="n">
        <v>0.583</v>
      </c>
      <c r="AN503" s="37" t="n">
        <v>0.16</v>
      </c>
      <c r="AO503" s="37" t="n">
        <v>0.09</v>
      </c>
      <c r="AP503" s="37" t="n">
        <v>0</v>
      </c>
      <c r="AQ503" s="37" t="n">
        <v>0.063</v>
      </c>
      <c r="AR503" s="37" t="n">
        <v>0.06</v>
      </c>
      <c r="AS503" s="37" t="n">
        <v>0.04</v>
      </c>
      <c r="AT503" s="38" t="inlineStr">
        <is>
          <t>2–5</t>
        </is>
      </c>
      <c r="AU503" s="38" t="inlineStr">
        <is>
          <t>Graduate; relevant certification preferred</t>
        </is>
      </c>
      <c r="AV503" s="38" t="inlineStr">
        <is>
          <t>None · guides 1–3 juniors informally</t>
        </is>
      </c>
      <c r="AW503" s="38" t="inlineStr">
        <is>
          <t>P2 · SFIA 3 Apply</t>
        </is>
      </c>
      <c r="AX50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03" s="39" t="inlineStr">
        <is>
          <t>A3</t>
        </is>
      </c>
      <c r="AZ503" s="40" t="inlineStr">
        <is>
          <t>Band A · Practitioner · Senior Associate</t>
        </is>
      </c>
      <c r="BA503" s="40" t="inlineStr">
        <is>
          <t>Model A3 from the six ratings, the market-derived weights and rules R1–R13 · then No change · already below the manager</t>
        </is>
      </c>
      <c r="BB503" s="41" t="inlineStr">
        <is>
          <t>A2</t>
        </is>
      </c>
      <c r="BC503" s="40" t="inlineStr">
        <is>
          <t>The six ratings on the market-average weights of Band A · all tracks score 2.20 → A2 · Hay, Mercer IPE and public plans · experience 4.3 yrs vs the A2 market range 0–3</t>
        </is>
      </c>
      <c r="BD503" s="42">
        <f>IF(SUM(BM503,BN503,BO503,BP503,BQ503,BR503,BS503)=0,0,(BM503*BT503+BN503*BU503+BO503*BV503+BP503*BW503+BQ503*BX503+BR503*BY503+BS503*BZ503)/SUM(BM503,BN503,BO503,BP503,BQ503,BR503,BS503))</f>
        <v>0</v>
      </c>
      <c r="BE503" s="41" t="str">
        <f>IF(LEFT(AY503,1)="X",AY503,IF(OR(AY503="B+",AY503="C+"),INDEX(LAD_PC,MAX(1,MIN(14,MATCH(AY503,LAD_PC,0)+IF(BD503&gt;=0.5,1,IF(BD503&lt;=-0.5,-1,0))))),INDEX(LAD_STD,MAX(1,MIN(12,MATCH(AY503,LAD_STD,0)+IF(BD503&gt;=0.5,1,IF(BD503&lt;=-0.5,-1,0)))))))</f>
        <v>A3</v>
      </c>
      <c r="BF503" s="43" t="n"/>
      <c r="BG503" s="41" t="str">
        <f>IF(BF503&lt;&gt;"",BF503,BE503)</f>
        <v>A3</v>
      </c>
      <c r="BH503" s="40" t="str">
        <f>IFERROR(CHOOSE(INDEX(B_RANK,MATCH(BG503,B_LVL,0)),"Band A","Band B","B+ · Player-Coach","Band C","C+ · Player-Coach","Band D","Band E"),"Band X · Consultant")</f>
        <v>Band A</v>
      </c>
      <c r="BI503" s="40" t="str">
        <f>IF(BG503=AY503,"• Same",IF(INDEX(B_VAL,MATCH(BG503,B_LVL,0))&gt;INDEX(B_VAL,MATCH(AY503,B_LVL,0)),"▲ Up","▼ Down"))</f>
        <v>• Same</v>
      </c>
      <c r="BJ503" s="40" t="str">
        <f>IF(OR($M503="",$M503="—",$M503="Not in this file"),"",IFERROR(INDEX($BG$7:$BG$592,MATCH($M503,$D$7:$D$592,0)),""))</f>
        <v>B2</v>
      </c>
      <c r="BK503" s="40" t="str">
        <f>IFERROR(IF(BJ503="","—",IF(OR(LEFT(BG503,1)="X",LEFT(BJ503,1)="X"),"—",IF(AND(LEFT(BG503,1)="E",LEFT(BJ503,1)="E"),"Exception · Band E",IF(AND(INDEX(B_VAL,MATCH(BJ503,B_LVL,0))&gt;=7,INDEX(B_RANK,MATCH(BG503,B_LVL,0))&gt;=INDEX(B_RANK,MATCH(BJ503,B_LVL,0))),"⚠ Same band as a head manager",IF(INDEX(B_VAL,MATCH(BG503,B_LVL,0))&gt;=INDEX(B_VAL,MATCH(BJ503,B_LVL,0)),"⚠ At or above the manager's level","OK"))))),"—")</f>
        <v>OK</v>
      </c>
      <c r="BL503" s="43" t="n"/>
      <c r="BM503" s="44">
        <f>IFERROR(INDEX(LMH_PTS,MATCH(Y503,LMH_KEY,0)),0)</f>
        <v>9</v>
      </c>
      <c r="BN503" s="38">
        <f>IFERROR(INDEX(LMH_PTS,MATCH(Z503,LMH_KEY,0)),0)</f>
        <v>3</v>
      </c>
      <c r="BO503" s="38">
        <f>IFERROR(INDEX(LMH_PTS,MATCH(AA503,LMH_KEY,0)),0)</f>
        <v>1</v>
      </c>
      <c r="BP503" s="38">
        <f>IFERROR(INDEX(LMH_PTS,MATCH(AB503,LMH_KEY,0)),0)</f>
        <v>1</v>
      </c>
      <c r="BQ503" s="38">
        <f>IFERROR(INDEX(LMH_PTS,MATCH(AC503,LMH_KEY,0)),0)</f>
        <v>1</v>
      </c>
      <c r="BR503" s="38">
        <f>IFERROR(INDEX(LMH_PTS,MATCH(AD503,LMH_KEY,0)),0)</f>
        <v>1</v>
      </c>
      <c r="BS503" s="38">
        <f>IFERROR(INDEX(LMH_PTS,MATCH(AE503,LMH_KEY,0)),0)</f>
        <v>1</v>
      </c>
      <c r="BT503" s="38">
        <f>IFERROR(INDEX(LMH_STEP,MATCH(AF503,LMH_KEY,0)),0)</f>
        <v>0</v>
      </c>
      <c r="BU503" s="38">
        <f>IFERROR(INDEX(LMH_STEP,MATCH(AG503,LMH_KEY,0)),0)</f>
        <v>0</v>
      </c>
      <c r="BV503" s="38">
        <f>IFERROR(INDEX(LMH_STEP,MATCH(AH503,LMH_KEY,0)),0)</f>
        <v>0</v>
      </c>
      <c r="BW503" s="38">
        <f>IFERROR(INDEX(LMH_STEP,MATCH(AI503,LMH_KEY,0)),0)</f>
        <v>0</v>
      </c>
      <c r="BX503" s="38">
        <f>IFERROR(INDEX(LMH_STEP,MATCH(AJ503,LMH_KEY,0)),0)</f>
        <v>0</v>
      </c>
      <c r="BY503" s="38">
        <f>IFERROR(INDEX(LMH_STEP,MATCH(AK503,LMH_KEY,0)),0)</f>
        <v>0</v>
      </c>
      <c r="BZ503" s="38">
        <f>IFERROR(INDEX(LMH_STEP,MATCH(AL503,LMH_KEY,0)),0)</f>
        <v>0</v>
      </c>
      <c r="CA503" s="38" t="inlineStr">
        <is>
          <t>CARBON|Technology|Senior Software Engineer|A3|A</t>
        </is>
      </c>
    </row>
    <row r="504" ht="110" customHeight="1">
      <c r="A504" s="28" t="inlineStr">
        <is>
          <t>CARBON</t>
        </is>
      </c>
      <c r="B504" s="29" t="inlineStr">
        <is>
          <t>Technology</t>
        </is>
      </c>
      <c r="C504" s="29" t="n">
        <v>3</v>
      </c>
      <c r="D504" s="29" t="inlineStr">
        <is>
          <t>IRIS1920</t>
        </is>
      </c>
      <c r="E504" s="29" t="inlineStr">
        <is>
          <t>Pritesh Wani</t>
        </is>
      </c>
      <c r="F504" s="29" t="inlineStr">
        <is>
          <t>Software Engineer</t>
        </is>
      </c>
      <c r="G504" s="29" t="inlineStr">
        <is>
          <t>Senior Software Engineer</t>
        </is>
      </c>
      <c r="H504" s="29" t="inlineStr">
        <is>
          <t>Engineering &amp; Development</t>
        </is>
      </c>
      <c r="I504" s="29" t="inlineStr">
        <is>
          <t>Backend Development</t>
        </is>
      </c>
      <c r="J504" s="29" t="inlineStr">
        <is>
          <t>IC</t>
        </is>
      </c>
      <c r="K504" s="29" t="inlineStr">
        <is>
          <t>RC-067</t>
        </is>
      </c>
      <c r="L504" s="29" t="inlineStr">
        <is>
          <t>Dhiraj Suryawanshi</t>
        </is>
      </c>
      <c r="M504" s="29" t="inlineStr">
        <is>
          <t>IRIS1477</t>
        </is>
      </c>
      <c r="N504" s="29" t="n">
        <v>5.3</v>
      </c>
      <c r="O504" s="29" t="n">
        <v>5.3</v>
      </c>
      <c r="P504" s="29" t="inlineStr">
        <is>
          <t>MCA</t>
        </is>
      </c>
      <c r="Q504" s="29" t="inlineStr">
        <is>
          <t>L3 – Professional / Associate</t>
        </is>
      </c>
      <c r="R504" s="29" t="inlineStr">
        <is>
          <t>A3</t>
        </is>
      </c>
      <c r="S504" s="30" t="inlineStr">
        <is>
          <t>20 of 20</t>
        </is>
      </c>
      <c r="T504" s="31" t="inlineStr">
        <is>
          <t>• Role / sub-team: Technology — Software Engineer.
• Core purpose: I plan the work for my team break down bigger problems into smaller parts and guid the team as well as do development for fulfilling engineering requirements for IRIS CARBON product.
• Decision-making autonomy: Can independently optimization and rnd.
• Is this something only they do: A few …</t>
        </is>
      </c>
      <c r="U504" s="31" t="inlineStr">
        <is>
          <t>Received · manager annual · 1.Deliver ≥ 95% committed backend and frontend tasks within agreed timelines with high-quality implementation.
2.Improve technical contribution by independently owning minimum 3 complex modules / critical initiatives annually.
3.Maintain strong engineering quality by achieving ≥ 90% first-time-right delivery and …</t>
        </is>
      </c>
      <c r="V504" s="31" t="inlineStr">
        <is>
          <t>Latest rating: Not rated · manager · 9-box: Not placed · manager · Readiness: No rating data</t>
        </is>
      </c>
      <c r="W504" s="31" t="inlineStr">
        <is>
          <t>C M · Au M · Ac M · L L · BI M · Exp H · 5.3 yrs vs 2–4 yrs · Edu H · MCA</t>
        </is>
      </c>
      <c r="X504" s="33" t="inlineStr">
        <is>
          <t>Open ▸</t>
        </is>
      </c>
      <c r="Y504" s="34" t="str">
        <f>IFERROR(INDEX(DL_C,MATCH($CA504,DL_KEY,0)),"M")</f>
        <v>H</v>
      </c>
      <c r="Z504" s="35" t="str">
        <f>IFERROR(INDEX(DL_Au,MATCH($CA504,DL_KEY,0)),"M")</f>
        <v>M</v>
      </c>
      <c r="AA504" s="35" t="str">
        <f>IFERROR(INDEX(DL_Ac,MATCH($CA504,DL_KEY,0)),"M")</f>
        <v>L</v>
      </c>
      <c r="AB504" s="35" t="str">
        <f>IFERROR(INDEX(DL_L,MATCH($CA504,DL_KEY,0)),"M")</f>
        <v>L</v>
      </c>
      <c r="AC504" s="35" t="str">
        <f>IFERROR(INDEX(DL_BI,MATCH($CA504,DL_KEY,0)),"M")</f>
        <v>L</v>
      </c>
      <c r="AD504" s="35" t="str">
        <f>IFERROR(INDEX(DL_Exp,MATCH($CA504,DL_KEY,0)),"M")</f>
        <v>L</v>
      </c>
      <c r="AE504" s="35" t="str">
        <f>IFERROR(INDEX(DL_Edu,MATCH($CA504,DL_KEY,0)),"M")</f>
        <v>L</v>
      </c>
      <c r="AF504" s="34" t="inlineStr">
        <is>
          <t>M</t>
        </is>
      </c>
      <c r="AG504" s="35" t="inlineStr">
        <is>
          <t>M</t>
        </is>
      </c>
      <c r="AH504" s="35" t="inlineStr">
        <is>
          <t>M</t>
        </is>
      </c>
      <c r="AI504" s="35" t="inlineStr">
        <is>
          <t>M</t>
        </is>
      </c>
      <c r="AJ504" s="35" t="inlineStr">
        <is>
          <t>M</t>
        </is>
      </c>
      <c r="AK504" s="35" t="inlineStr">
        <is>
          <t>M</t>
        </is>
      </c>
      <c r="AL504" s="35" t="inlineStr">
        <is>
          <t>M</t>
        </is>
      </c>
      <c r="AM504" s="36" t="n">
        <v>0.583</v>
      </c>
      <c r="AN504" s="37" t="n">
        <v>0.16</v>
      </c>
      <c r="AO504" s="37" t="n">
        <v>0.09</v>
      </c>
      <c r="AP504" s="37" t="n">
        <v>0</v>
      </c>
      <c r="AQ504" s="37" t="n">
        <v>0.063</v>
      </c>
      <c r="AR504" s="37" t="n">
        <v>0.06</v>
      </c>
      <c r="AS504" s="37" t="n">
        <v>0.04</v>
      </c>
      <c r="AT504" s="38" t="inlineStr">
        <is>
          <t>2–5</t>
        </is>
      </c>
      <c r="AU504" s="38" t="inlineStr">
        <is>
          <t>Graduate; relevant certification preferred</t>
        </is>
      </c>
      <c r="AV504" s="38" t="inlineStr">
        <is>
          <t>None · guides 1–3 juniors informally</t>
        </is>
      </c>
      <c r="AW504" s="38" t="inlineStr">
        <is>
          <t>P2 · SFIA 3 Apply</t>
        </is>
      </c>
      <c r="AX50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04" s="39" t="inlineStr">
        <is>
          <t>A3</t>
        </is>
      </c>
      <c r="AZ504" s="40" t="inlineStr">
        <is>
          <t>Band A · Practitioner · Senior Associate</t>
        </is>
      </c>
      <c r="BA504" s="40" t="inlineStr">
        <is>
          <t>Model A3 from the six ratings, the market-derived weights and rules R1–R13 · then No change · already below the manager</t>
        </is>
      </c>
      <c r="BB504" s="41" t="inlineStr">
        <is>
          <t>A3</t>
        </is>
      </c>
      <c r="BC504" s="40" t="inlineStr">
        <is>
          <t>The six ratings on the market-average weights of Band A · all tracks score 2.78 → A3 · Hay, Mercer IPE and public plans · experience 5.3 yrs vs the A3 market range 2–5</t>
        </is>
      </c>
      <c r="BD504" s="42">
        <f>IF(SUM(BM504,BN504,BO504,BP504,BQ504,BR504,BS504)=0,0,(BM504*BT504+BN504*BU504+BO504*BV504+BP504*BW504+BQ504*BX504+BR504*BY504+BS504*BZ504)/SUM(BM504,BN504,BO504,BP504,BQ504,BR504,BS504))</f>
        <v>0</v>
      </c>
      <c r="BE504" s="41" t="str">
        <f>IF(LEFT(AY504,1)="X",AY504,IF(OR(AY504="B+",AY504="C+"),INDEX(LAD_PC,MAX(1,MIN(14,MATCH(AY504,LAD_PC,0)+IF(BD504&gt;=0.5,1,IF(BD504&lt;=-0.5,-1,0))))),INDEX(LAD_STD,MAX(1,MIN(12,MATCH(AY504,LAD_STD,0)+IF(BD504&gt;=0.5,1,IF(BD504&lt;=-0.5,-1,0)))))))</f>
        <v>A3</v>
      </c>
      <c r="BF504" s="43" t="n"/>
      <c r="BG504" s="41" t="str">
        <f>IF(BF504&lt;&gt;"",BF504,BE504)</f>
        <v>A3</v>
      </c>
      <c r="BH504" s="40" t="str">
        <f>IFERROR(CHOOSE(INDEX(B_RANK,MATCH(BG504,B_LVL,0)),"Band A","Band B","B+ · Player-Coach","Band C","C+ · Player-Coach","Band D","Band E"),"Band X · Consultant")</f>
        <v>Band A</v>
      </c>
      <c r="BI504" s="40" t="str">
        <f>IF(BG504=AY504,"• Same",IF(INDEX(B_VAL,MATCH(BG504,B_LVL,0))&gt;INDEX(B_VAL,MATCH(AY504,B_LVL,0)),"▲ Up","▼ Down"))</f>
        <v>• Same</v>
      </c>
      <c r="BJ504" s="40" t="str">
        <f>IF(OR($M504="",$M504="—",$M504="Not in this file"),"",IFERROR(INDEX($BG$7:$BG$592,MATCH($M504,$D$7:$D$592,0)),""))</f>
        <v>B2</v>
      </c>
      <c r="BK504" s="40" t="str">
        <f>IFERROR(IF(BJ504="","—",IF(OR(LEFT(BG504,1)="X",LEFT(BJ504,1)="X"),"—",IF(AND(LEFT(BG504,1)="E",LEFT(BJ504,1)="E"),"Exception · Band E",IF(AND(INDEX(B_VAL,MATCH(BJ504,B_LVL,0))&gt;=7,INDEX(B_RANK,MATCH(BG504,B_LVL,0))&gt;=INDEX(B_RANK,MATCH(BJ504,B_LVL,0))),"⚠ Same band as a head manager",IF(INDEX(B_VAL,MATCH(BG504,B_LVL,0))&gt;=INDEX(B_VAL,MATCH(BJ504,B_LVL,0)),"⚠ At or above the manager's level","OK"))))),"—")</f>
        <v>OK</v>
      </c>
      <c r="BL504" s="43" t="n"/>
      <c r="BM504" s="44">
        <f>IFERROR(INDEX(LMH_PTS,MATCH(Y504,LMH_KEY,0)),0)</f>
        <v>9</v>
      </c>
      <c r="BN504" s="38">
        <f>IFERROR(INDEX(LMH_PTS,MATCH(Z504,LMH_KEY,0)),0)</f>
        <v>3</v>
      </c>
      <c r="BO504" s="38">
        <f>IFERROR(INDEX(LMH_PTS,MATCH(AA504,LMH_KEY,0)),0)</f>
        <v>1</v>
      </c>
      <c r="BP504" s="38">
        <f>IFERROR(INDEX(LMH_PTS,MATCH(AB504,LMH_KEY,0)),0)</f>
        <v>1</v>
      </c>
      <c r="BQ504" s="38">
        <f>IFERROR(INDEX(LMH_PTS,MATCH(AC504,LMH_KEY,0)),0)</f>
        <v>1</v>
      </c>
      <c r="BR504" s="38">
        <f>IFERROR(INDEX(LMH_PTS,MATCH(AD504,LMH_KEY,0)),0)</f>
        <v>1</v>
      </c>
      <c r="BS504" s="38">
        <f>IFERROR(INDEX(LMH_PTS,MATCH(AE504,LMH_KEY,0)),0)</f>
        <v>1</v>
      </c>
      <c r="BT504" s="38">
        <f>IFERROR(INDEX(LMH_STEP,MATCH(AF504,LMH_KEY,0)),0)</f>
        <v>0</v>
      </c>
      <c r="BU504" s="38">
        <f>IFERROR(INDEX(LMH_STEP,MATCH(AG504,LMH_KEY,0)),0)</f>
        <v>0</v>
      </c>
      <c r="BV504" s="38">
        <f>IFERROR(INDEX(LMH_STEP,MATCH(AH504,LMH_KEY,0)),0)</f>
        <v>0</v>
      </c>
      <c r="BW504" s="38">
        <f>IFERROR(INDEX(LMH_STEP,MATCH(AI504,LMH_KEY,0)),0)</f>
        <v>0</v>
      </c>
      <c r="BX504" s="38">
        <f>IFERROR(INDEX(LMH_STEP,MATCH(AJ504,LMH_KEY,0)),0)</f>
        <v>0</v>
      </c>
      <c r="BY504" s="38">
        <f>IFERROR(INDEX(LMH_STEP,MATCH(AK504,LMH_KEY,0)),0)</f>
        <v>0</v>
      </c>
      <c r="BZ504" s="38">
        <f>IFERROR(INDEX(LMH_STEP,MATCH(AL504,LMH_KEY,0)),0)</f>
        <v>0</v>
      </c>
      <c r="CA504" s="38" t="inlineStr">
        <is>
          <t>CARBON|Technology|Senior Software Engineer|A3|A</t>
        </is>
      </c>
    </row>
    <row r="505" ht="110" customHeight="1">
      <c r="A505" s="28" t="inlineStr">
        <is>
          <t>CARBON</t>
        </is>
      </c>
      <c r="B505" s="29" t="inlineStr">
        <is>
          <t>Technology</t>
        </is>
      </c>
      <c r="C505" s="29" t="n">
        <v>2</v>
      </c>
      <c r="D505" s="29" t="inlineStr">
        <is>
          <t>IRIS0622</t>
        </is>
      </c>
      <c r="E505" s="29" t="inlineStr">
        <is>
          <t>Prasad Shirke</t>
        </is>
      </c>
      <c r="F505" s="29" t="inlineStr">
        <is>
          <t>Senior Business Analyst</t>
        </is>
      </c>
      <c r="G505" s="29" t="inlineStr">
        <is>
          <t>Senior Business Analysis Specialist – POD Lead</t>
        </is>
      </c>
      <c r="H505" s="29" t="inlineStr">
        <is>
          <t>Business Analysis</t>
        </is>
      </c>
      <c r="I505" s="29" t="inlineStr">
        <is>
          <t>Business Analysis</t>
        </is>
      </c>
      <c r="J505" s="29" t="inlineStr">
        <is>
          <t>POD Lead</t>
        </is>
      </c>
      <c r="K505" s="29" t="inlineStr">
        <is>
          <t>RC-012</t>
        </is>
      </c>
      <c r="L505" s="29" t="inlineStr">
        <is>
          <t>Ashish Singhvi</t>
        </is>
      </c>
      <c r="M505" s="29" t="inlineStr">
        <is>
          <t>IRIS0249</t>
        </is>
      </c>
      <c r="N505" s="29" t="n">
        <v>15.4</v>
      </c>
      <c r="O505" s="29" t="n">
        <v>15.4</v>
      </c>
      <c r="P505" s="29" t="inlineStr">
        <is>
          <t>B.Com</t>
        </is>
      </c>
      <c r="Q505" s="29" t="inlineStr">
        <is>
          <t>L4 – Senior</t>
        </is>
      </c>
      <c r="R505" s="29" t="inlineStr">
        <is>
          <t>B2</t>
        </is>
      </c>
      <c r="S505" s="30" t="inlineStr">
        <is>
          <t>20 of 20</t>
        </is>
      </c>
      <c r="T505" s="31" t="inlineStr">
        <is>
          <t>To bridge business needs and product development by turning requirements into valuable, user-focused solutions.; Requirements priorities</t>
        </is>
      </c>
      <c r="U505" s="31" t="inlineStr">
        <is>
          <t>Received · manager annual · 1.Improve requirement clarity and completeness by ensuring ≥ 95% user stories are delivered with clear acceptance criteria, business rules, and dependencies before sprint planning.
2.Collaborate with Product and Engineering teams to reduce requirement ambiguity and achieve ≥ 50% reduction in requirement-related …</t>
        </is>
      </c>
      <c r="V505" s="31" t="inlineStr">
        <is>
          <t>Latest rating: Not rated · manager · 9-box: Underperformer / Exit Risk · Readiness: No rating data</t>
        </is>
      </c>
      <c r="W505" s="31" t="inlineStr">
        <is>
          <t>C L · Au M · Ac M · L M · BI M · Exp H · 15.4 yrs vs 6–9 yrs · Edu M · B.Com</t>
        </is>
      </c>
      <c r="X505" s="33" t="inlineStr">
        <is>
          <t>Open ▸</t>
        </is>
      </c>
      <c r="Y505" s="34" t="str">
        <f>IFERROR(INDEX(DL_C,MATCH($CA505,DL_KEY,0)),"M")</f>
        <v>H</v>
      </c>
      <c r="Z505" s="35" t="str">
        <f>IFERROR(INDEX(DL_Au,MATCH($CA505,DL_KEY,0)),"M")</f>
        <v>M</v>
      </c>
      <c r="AA505" s="35" t="str">
        <f>IFERROR(INDEX(DL_Ac,MATCH($CA505,DL_KEY,0)),"M")</f>
        <v>L</v>
      </c>
      <c r="AB505" s="35" t="str">
        <f>IFERROR(INDEX(DL_L,MATCH($CA505,DL_KEY,0)),"M")</f>
        <v>L</v>
      </c>
      <c r="AC505" s="35" t="str">
        <f>IFERROR(INDEX(DL_BI,MATCH($CA505,DL_KEY,0)),"M")</f>
        <v>L</v>
      </c>
      <c r="AD505" s="35" t="str">
        <f>IFERROR(INDEX(DL_Exp,MATCH($CA505,DL_KEY,0)),"M")</f>
        <v>L</v>
      </c>
      <c r="AE505" s="35" t="str">
        <f>IFERROR(INDEX(DL_Edu,MATCH($CA505,DL_KEY,0)),"M")</f>
        <v>L</v>
      </c>
      <c r="AF505" s="34" t="inlineStr">
        <is>
          <t>M</t>
        </is>
      </c>
      <c r="AG505" s="35" t="inlineStr">
        <is>
          <t>M</t>
        </is>
      </c>
      <c r="AH505" s="35" t="inlineStr">
        <is>
          <t>M</t>
        </is>
      </c>
      <c r="AI505" s="35" t="inlineStr">
        <is>
          <t>M</t>
        </is>
      </c>
      <c r="AJ505" s="35" t="inlineStr">
        <is>
          <t>M</t>
        </is>
      </c>
      <c r="AK505" s="35" t="inlineStr">
        <is>
          <t>M</t>
        </is>
      </c>
      <c r="AL505" s="35" t="inlineStr">
        <is>
          <t>M</t>
        </is>
      </c>
      <c r="AM505" s="36" t="n">
        <v>0.513</v>
      </c>
      <c r="AN505" s="37" t="n">
        <v>0.173</v>
      </c>
      <c r="AO505" s="37" t="n">
        <v>0.09699999999999999</v>
      </c>
      <c r="AP505" s="37" t="n">
        <v>0.05</v>
      </c>
      <c r="AQ505" s="37" t="n">
        <v>0.07000000000000001</v>
      </c>
      <c r="AR505" s="37" t="n">
        <v>0.06</v>
      </c>
      <c r="AS505" s="37" t="n">
        <v>0.04</v>
      </c>
      <c r="AT505" s="38" t="inlineStr">
        <is>
          <t>6–10</t>
        </is>
      </c>
      <c r="AU505" s="38" t="inlineStr">
        <is>
          <t>Graduate or postgraduate; professional qualification preferred</t>
        </is>
      </c>
      <c r="AV505" s="38" t="inlineStr">
        <is>
          <t>IC: none · People: 6–8 knowledge work, 8–12 standardised delivery</t>
        </is>
      </c>
      <c r="AW505" s="38" t="inlineStr">
        <is>
          <t>P4 / M3 · SFIA 4–5</t>
        </is>
      </c>
      <c r="AX50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05" s="39" t="inlineStr">
        <is>
          <t>B2</t>
        </is>
      </c>
      <c r="AZ505" s="40" t="inlineStr">
        <is>
          <t>Band B · Specialist / Manager · Manager</t>
        </is>
      </c>
      <c r="BA505" s="40" t="inlineStr">
        <is>
          <t>Model B2 from the six ratings, the market-derived weights and rules R1–R13 · then No change · already below the manager</t>
        </is>
      </c>
      <c r="BB505" s="41" t="inlineStr">
        <is>
          <t>B2</t>
        </is>
      </c>
      <c r="BC505" s="40" t="inlineStr">
        <is>
          <t>The six ratings on the market-average weights of Band B · Specialist / POD Lead score 4.60 → B2 · Hay, Mercer IPE and public plans · experience 15.4 yrs vs the B2 market range 6–10</t>
        </is>
      </c>
      <c r="BD505" s="42">
        <f>IF(SUM(BM505,BN505,BO505,BP505,BQ505,BR505,BS505)=0,0,(BM505*BT505+BN505*BU505+BO505*BV505+BP505*BW505+BQ505*BX505+BR505*BY505+BS505*BZ505)/SUM(BM505,BN505,BO505,BP505,BQ505,BR505,BS505))</f>
        <v>0</v>
      </c>
      <c r="BE505" s="41" t="str">
        <f>IF(LEFT(AY505,1)="X",AY505,IF(OR(AY505="B+",AY505="C+"),INDEX(LAD_PC,MAX(1,MIN(14,MATCH(AY505,LAD_PC,0)+IF(BD505&gt;=0.5,1,IF(BD505&lt;=-0.5,-1,0))))),INDEX(LAD_STD,MAX(1,MIN(12,MATCH(AY505,LAD_STD,0)+IF(BD505&gt;=0.5,1,IF(BD505&lt;=-0.5,-1,0)))))))</f>
        <v>B2</v>
      </c>
      <c r="BF505" s="43" t="n"/>
      <c r="BG505" s="41" t="str">
        <f>IF(BF505&lt;&gt;"",BF505,BE505)</f>
        <v>B2</v>
      </c>
      <c r="BH505" s="40" t="str">
        <f>IFERROR(CHOOSE(INDEX(B_RANK,MATCH(BG505,B_LVL,0)),"Band A","Band B","B+ · Player-Coach","Band C","C+ · Player-Coach","Band D","Band E"),"Band X · Consultant")</f>
        <v>Band B</v>
      </c>
      <c r="BI505" s="40" t="str">
        <f>IF(BG505=AY505,"• Same",IF(INDEX(B_VAL,MATCH(BG505,B_LVL,0))&gt;INDEX(B_VAL,MATCH(AY505,B_LVL,0)),"▲ Up","▼ Down"))</f>
        <v>• Same</v>
      </c>
      <c r="BJ505" s="40" t="str">
        <f>IF(OR($M505="",$M505="—",$M505="Not in this file"),"",IFERROR(INDEX($BG$7:$BG$592,MATCH($M505,$D$7:$D$592,0)),""))</f>
        <v>C2</v>
      </c>
      <c r="BK505" s="40" t="str">
        <f>IFERROR(IF(BJ505="","—",IF(OR(LEFT(BG505,1)="X",LEFT(BJ505,1)="X"),"—",IF(AND(LEFT(BG505,1)="E",LEFT(BJ505,1)="E"),"Exception · Band E",IF(AND(INDEX(B_VAL,MATCH(BJ505,B_LVL,0))&gt;=7,INDEX(B_RANK,MATCH(BG505,B_LVL,0))&gt;=INDEX(B_RANK,MATCH(BJ505,B_LVL,0))),"⚠ Same band as a head manager",IF(INDEX(B_VAL,MATCH(BG505,B_LVL,0))&gt;=INDEX(B_VAL,MATCH(BJ505,B_LVL,0)),"⚠ At or above the manager's level","OK"))))),"—")</f>
        <v>OK</v>
      </c>
      <c r="BL505" s="43" t="n"/>
      <c r="BM505" s="44">
        <f>IFERROR(INDEX(LMH_PTS,MATCH(Y505,LMH_KEY,0)),0)</f>
        <v>9</v>
      </c>
      <c r="BN505" s="38">
        <f>IFERROR(INDEX(LMH_PTS,MATCH(Z505,LMH_KEY,0)),0)</f>
        <v>3</v>
      </c>
      <c r="BO505" s="38">
        <f>IFERROR(INDEX(LMH_PTS,MATCH(AA505,LMH_KEY,0)),0)</f>
        <v>1</v>
      </c>
      <c r="BP505" s="38">
        <f>IFERROR(INDEX(LMH_PTS,MATCH(AB505,LMH_KEY,0)),0)</f>
        <v>1</v>
      </c>
      <c r="BQ505" s="38">
        <f>IFERROR(INDEX(LMH_PTS,MATCH(AC505,LMH_KEY,0)),0)</f>
        <v>1</v>
      </c>
      <c r="BR505" s="38">
        <f>IFERROR(INDEX(LMH_PTS,MATCH(AD505,LMH_KEY,0)),0)</f>
        <v>1</v>
      </c>
      <c r="BS505" s="38">
        <f>IFERROR(INDEX(LMH_PTS,MATCH(AE505,LMH_KEY,0)),0)</f>
        <v>1</v>
      </c>
      <c r="BT505" s="38">
        <f>IFERROR(INDEX(LMH_STEP,MATCH(AF505,LMH_KEY,0)),0)</f>
        <v>0</v>
      </c>
      <c r="BU505" s="38">
        <f>IFERROR(INDEX(LMH_STEP,MATCH(AG505,LMH_KEY,0)),0)</f>
        <v>0</v>
      </c>
      <c r="BV505" s="38">
        <f>IFERROR(INDEX(LMH_STEP,MATCH(AH505,LMH_KEY,0)),0)</f>
        <v>0</v>
      </c>
      <c r="BW505" s="38">
        <f>IFERROR(INDEX(LMH_STEP,MATCH(AI505,LMH_KEY,0)),0)</f>
        <v>0</v>
      </c>
      <c r="BX505" s="38">
        <f>IFERROR(INDEX(LMH_STEP,MATCH(AJ505,LMH_KEY,0)),0)</f>
        <v>0</v>
      </c>
      <c r="BY505" s="38">
        <f>IFERROR(INDEX(LMH_STEP,MATCH(AK505,LMH_KEY,0)),0)</f>
        <v>0</v>
      </c>
      <c r="BZ505" s="38">
        <f>IFERROR(INDEX(LMH_STEP,MATCH(AL505,LMH_KEY,0)),0)</f>
        <v>0</v>
      </c>
      <c r="CA505" s="38" t="inlineStr">
        <is>
          <t>CARBON|Technology|Senior Business Analysis Specialist – POD Lead|B2|B-IC</t>
        </is>
      </c>
    </row>
    <row r="506" ht="110" customHeight="1">
      <c r="A506" s="28" t="inlineStr">
        <is>
          <t>CARBON</t>
        </is>
      </c>
      <c r="B506" s="29" t="inlineStr">
        <is>
          <t>Quality Assurance</t>
        </is>
      </c>
      <c r="C506" s="29" t="n">
        <v>3</v>
      </c>
      <c r="D506" s="29" t="inlineStr">
        <is>
          <t>IRIS0591</t>
        </is>
      </c>
      <c r="E506" s="29" t="inlineStr">
        <is>
          <t>Vinod Katekar</t>
        </is>
      </c>
      <c r="F506" s="29" t="inlineStr">
        <is>
          <t>QA-Lead</t>
        </is>
      </c>
      <c r="G506" s="29" t="inlineStr">
        <is>
          <t>QA Manager</t>
        </is>
      </c>
      <c r="H506" s="29" t="inlineStr">
        <is>
          <t>Quality Assurance</t>
        </is>
      </c>
      <c r="I506" s="29" t="inlineStr">
        <is>
          <t>Test Management &amp; QA Leadership</t>
        </is>
      </c>
      <c r="J506" s="29" t="inlineStr">
        <is>
          <t>People Manager</t>
        </is>
      </c>
      <c r="K506" s="29" t="inlineStr">
        <is>
          <t>RC-148</t>
        </is>
      </c>
      <c r="L506" s="29" t="inlineStr">
        <is>
          <t>Prasad Shirke</t>
        </is>
      </c>
      <c r="M506" s="29" t="inlineStr">
        <is>
          <t>IRIS0622</t>
        </is>
      </c>
      <c r="N506" s="29" t="n">
        <v>15.5</v>
      </c>
      <c r="O506" s="29" t="n">
        <v>15.5</v>
      </c>
      <c r="P506" s="29" t="inlineStr">
        <is>
          <t>B.Com</t>
        </is>
      </c>
      <c r="Q506" s="29" t="inlineStr">
        <is>
          <t>L5 – Lead · IC</t>
        </is>
      </c>
      <c r="R506" s="29" t="inlineStr">
        <is>
          <t>B2</t>
        </is>
      </c>
      <c r="S506" s="30" t="inlineStr">
        <is>
          <t>20 of 20</t>
        </is>
      </c>
      <c r="T506" s="31" t="inlineStr">
        <is>
          <t>• Role / sub-team: QA — Test Planning &amp; Team Coordination.
• Core purpose: Own test planning, execution, defect management and quality reporting so the business has confidence a product is ready to release; help ensure customers receive a product that works as expected.
• Top 5 responsibilities: Test planning; team coordination; test execution; defect …</t>
        </is>
      </c>
      <c r="U506" s="31" t="inlineStr">
        <is>
          <t>Received · manager annual · 1.Ensure 100% test coverage, release readiness, and quality sign-off for all owned modules and deliveries.
2.Drive automation strategy and achieve agreed automation targets across the team and modules.
3.Ensure all critical customer defects are converted into regression coverage within one sprint of closure.
5.Monitor …</t>
        </is>
      </c>
      <c r="V506" s="31" t="inlineStr">
        <is>
          <t>Latest rating: Not rated · manager · 9-box: Underperformer / Exit Risk · Readiness: No rating data</t>
        </is>
      </c>
      <c r="W506" s="31" t="inlineStr">
        <is>
          <t>C M · Au M · Ac H · L H · BI H · Exp H · 15.5 yrs vs 4–7 yrs · Edu M · B.Com</t>
        </is>
      </c>
      <c r="X506" s="33" t="inlineStr">
        <is>
          <t>Open ▸</t>
        </is>
      </c>
      <c r="Y506" s="34" t="str">
        <f>IFERROR(INDEX(DL_C,MATCH($CA506,DL_KEY,0)),"M")</f>
        <v>H</v>
      </c>
      <c r="Z506" s="35" t="str">
        <f>IFERROR(INDEX(DL_Au,MATCH($CA506,DL_KEY,0)),"M")</f>
        <v>M</v>
      </c>
      <c r="AA506" s="35" t="str">
        <f>IFERROR(INDEX(DL_Ac,MATCH($CA506,DL_KEY,0)),"M")</f>
        <v>L</v>
      </c>
      <c r="AB506" s="35" t="str">
        <f>IFERROR(INDEX(DL_L,MATCH($CA506,DL_KEY,0)),"M")</f>
        <v>M</v>
      </c>
      <c r="AC506" s="35" t="str">
        <f>IFERROR(INDEX(DL_BI,MATCH($CA506,DL_KEY,0)),"M")</f>
        <v>L</v>
      </c>
      <c r="AD506" s="35" t="str">
        <f>IFERROR(INDEX(DL_Exp,MATCH($CA506,DL_KEY,0)),"M")</f>
        <v>L</v>
      </c>
      <c r="AE506" s="35" t="str">
        <f>IFERROR(INDEX(DL_Edu,MATCH($CA506,DL_KEY,0)),"M")</f>
        <v>L</v>
      </c>
      <c r="AF506" s="34" t="inlineStr">
        <is>
          <t>M</t>
        </is>
      </c>
      <c r="AG506" s="35" t="inlineStr">
        <is>
          <t>M</t>
        </is>
      </c>
      <c r="AH506" s="35" t="inlineStr">
        <is>
          <t>M</t>
        </is>
      </c>
      <c r="AI506" s="35" t="inlineStr">
        <is>
          <t>M</t>
        </is>
      </c>
      <c r="AJ506" s="35" t="inlineStr">
        <is>
          <t>M</t>
        </is>
      </c>
      <c r="AK506" s="35" t="inlineStr">
        <is>
          <t>M</t>
        </is>
      </c>
      <c r="AL506" s="35" t="inlineStr">
        <is>
          <t>M</t>
        </is>
      </c>
      <c r="AM506" s="36" t="n">
        <v>0.37</v>
      </c>
      <c r="AN506" s="37" t="n">
        <v>0.183</v>
      </c>
      <c r="AO506" s="37" t="n">
        <v>0.113</v>
      </c>
      <c r="AP506" s="37" t="n">
        <v>0.15</v>
      </c>
      <c r="AQ506" s="37" t="n">
        <v>0.08699999999999999</v>
      </c>
      <c r="AR506" s="37" t="n">
        <v>0.06</v>
      </c>
      <c r="AS506" s="37" t="n">
        <v>0.04</v>
      </c>
      <c r="AT506" s="38" t="inlineStr">
        <is>
          <t>4–8</t>
        </is>
      </c>
      <c r="AU506" s="38" t="inlineStr">
        <is>
          <t>Graduate + relevant qualification or certification preferred</t>
        </is>
      </c>
      <c r="AV506" s="38" t="inlineStr">
        <is>
          <t>IC: none · Team Lead: 3–5</t>
        </is>
      </c>
      <c r="AW506" s="38" t="inlineStr">
        <is>
          <t>P3 / M2 · SFIA 4 Enable</t>
        </is>
      </c>
      <c r="AX50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06" s="39" t="inlineStr">
        <is>
          <t>B1</t>
        </is>
      </c>
      <c r="AZ506" s="40" t="inlineStr">
        <is>
          <t>Band B · Specialist / Manager · Team Lead / Asst Manager</t>
        </is>
      </c>
      <c r="BA506" s="40" t="inlineStr">
        <is>
          <t>Model B2 from the six ratings, the market-derived weights and rules R1–R13 · then Level rule: manager B2; a reportee sits at least one level below · B2 → B1 · move down · pay and title protected for one cycle</t>
        </is>
      </c>
      <c r="BB506" s="41" t="inlineStr">
        <is>
          <t>B2</t>
        </is>
      </c>
      <c r="BC506" s="40" t="inlineStr">
        <is>
          <t>The six ratings on the market-average weights of Band B · People Manager score 4.89 → B2 · Hay, Mercer IPE and public plans · experience 15.5 yrs vs the B2 market range 6–10</t>
        </is>
      </c>
      <c r="BD506" s="42">
        <f>IF(SUM(BM506,BN506,BO506,BP506,BQ506,BR506,BS506)=0,0,(BM506*BT506+BN506*BU506+BO506*BV506+BP506*BW506+BQ506*BX506+BR506*BY506+BS506*BZ506)/SUM(BM506,BN506,BO506,BP506,BQ506,BR506,BS506))</f>
        <v>0</v>
      </c>
      <c r="BE506" s="41" t="str">
        <f>IF(LEFT(AY506,1)="X",AY506,IF(OR(AY506="B+",AY506="C+"),INDEX(LAD_PC,MAX(1,MIN(14,MATCH(AY506,LAD_PC,0)+IF(BD506&gt;=0.5,1,IF(BD506&lt;=-0.5,-1,0))))),INDEX(LAD_STD,MAX(1,MIN(12,MATCH(AY506,LAD_STD,0)+IF(BD506&gt;=0.5,1,IF(BD506&lt;=-0.5,-1,0)))))))</f>
        <v>B1</v>
      </c>
      <c r="BF506" s="43" t="n"/>
      <c r="BG506" s="41" t="str">
        <f>IF(BF506&lt;&gt;"",BF506,BE506)</f>
        <v>B1</v>
      </c>
      <c r="BH506" s="40" t="str">
        <f>IFERROR(CHOOSE(INDEX(B_RANK,MATCH(BG506,B_LVL,0)),"Band A","Band B","B+ · Player-Coach","Band C","C+ · Player-Coach","Band D","Band E"),"Band X · Consultant")</f>
        <v>Band B</v>
      </c>
      <c r="BI506" s="40" t="str">
        <f>IF(BG506=AY506,"• Same",IF(INDEX(B_VAL,MATCH(BG506,B_LVL,0))&gt;INDEX(B_VAL,MATCH(AY506,B_LVL,0)),"▲ Up","▼ Down"))</f>
        <v>• Same</v>
      </c>
      <c r="BJ506" s="40" t="str">
        <f>IF(OR($M506="",$M506="—",$M506="Not in this file"),"",IFERROR(INDEX($BG$7:$BG$592,MATCH($M506,$D$7:$D$592,0)),""))</f>
        <v>B2</v>
      </c>
      <c r="BK506" s="40" t="str">
        <f>IFERROR(IF(BJ506="","—",IF(OR(LEFT(BG506,1)="X",LEFT(BJ506,1)="X"),"—",IF(AND(LEFT(BG506,1)="E",LEFT(BJ506,1)="E"),"Exception · Band E",IF(AND(INDEX(B_VAL,MATCH(BJ506,B_LVL,0))&gt;=7,INDEX(B_RANK,MATCH(BG506,B_LVL,0))&gt;=INDEX(B_RANK,MATCH(BJ506,B_LVL,0))),"⚠ Same band as a head manager",IF(INDEX(B_VAL,MATCH(BG506,B_LVL,0))&gt;=INDEX(B_VAL,MATCH(BJ506,B_LVL,0)),"⚠ At or above the manager's level","OK"))))),"—")</f>
        <v>OK</v>
      </c>
      <c r="BL506" s="43" t="n"/>
      <c r="BM506" s="44">
        <f>IFERROR(INDEX(LMH_PTS,MATCH(Y506,LMH_KEY,0)),0)</f>
        <v>9</v>
      </c>
      <c r="BN506" s="38">
        <f>IFERROR(INDEX(LMH_PTS,MATCH(Z506,LMH_KEY,0)),0)</f>
        <v>3</v>
      </c>
      <c r="BO506" s="38">
        <f>IFERROR(INDEX(LMH_PTS,MATCH(AA506,LMH_KEY,0)),0)</f>
        <v>1</v>
      </c>
      <c r="BP506" s="38">
        <f>IFERROR(INDEX(LMH_PTS,MATCH(AB506,LMH_KEY,0)),0)</f>
        <v>3</v>
      </c>
      <c r="BQ506" s="38">
        <f>IFERROR(INDEX(LMH_PTS,MATCH(AC506,LMH_KEY,0)),0)</f>
        <v>1</v>
      </c>
      <c r="BR506" s="38">
        <f>IFERROR(INDEX(LMH_PTS,MATCH(AD506,LMH_KEY,0)),0)</f>
        <v>1</v>
      </c>
      <c r="BS506" s="38">
        <f>IFERROR(INDEX(LMH_PTS,MATCH(AE506,LMH_KEY,0)),0)</f>
        <v>1</v>
      </c>
      <c r="BT506" s="38">
        <f>IFERROR(INDEX(LMH_STEP,MATCH(AF506,LMH_KEY,0)),0)</f>
        <v>0</v>
      </c>
      <c r="BU506" s="38">
        <f>IFERROR(INDEX(LMH_STEP,MATCH(AG506,LMH_KEY,0)),0)</f>
        <v>0</v>
      </c>
      <c r="BV506" s="38">
        <f>IFERROR(INDEX(LMH_STEP,MATCH(AH506,LMH_KEY,0)),0)</f>
        <v>0</v>
      </c>
      <c r="BW506" s="38">
        <f>IFERROR(INDEX(LMH_STEP,MATCH(AI506,LMH_KEY,0)),0)</f>
        <v>0</v>
      </c>
      <c r="BX506" s="38">
        <f>IFERROR(INDEX(LMH_STEP,MATCH(AJ506,LMH_KEY,0)),0)</f>
        <v>0</v>
      </c>
      <c r="BY506" s="38">
        <f>IFERROR(INDEX(LMH_STEP,MATCH(AK506,LMH_KEY,0)),0)</f>
        <v>0</v>
      </c>
      <c r="BZ506" s="38">
        <f>IFERROR(INDEX(LMH_STEP,MATCH(AL506,LMH_KEY,0)),0)</f>
        <v>0</v>
      </c>
      <c r="CA506" s="38" t="inlineStr">
        <is>
          <t>CARBON|Quality Assurance|QA Manager|B1|B-M</t>
        </is>
      </c>
    </row>
    <row r="507" ht="110" customHeight="1">
      <c r="A507" s="28" t="inlineStr">
        <is>
          <t>CARBON</t>
        </is>
      </c>
      <c r="B507" s="29" t="inlineStr">
        <is>
          <t>Technology</t>
        </is>
      </c>
      <c r="C507" s="29" t="n">
        <v>4</v>
      </c>
      <c r="D507" s="29" t="inlineStr">
        <is>
          <t>IRIS2374</t>
        </is>
      </c>
      <c r="E507" s="29" t="inlineStr">
        <is>
          <t>Huzefa Petit</t>
        </is>
      </c>
      <c r="F507" s="29" t="inlineStr">
        <is>
          <t>Technical Support Lead</t>
        </is>
      </c>
      <c r="G507" s="29" t="inlineStr">
        <is>
          <t>Technical Specialist</t>
        </is>
      </c>
      <c r="H507" s="29" t="inlineStr">
        <is>
          <t>Engineering &amp; Development</t>
        </is>
      </c>
      <c r="I507" s="29" t="inlineStr">
        <is>
          <t>Backend Development</t>
        </is>
      </c>
      <c r="J507" s="29" t="inlineStr">
        <is>
          <t>IC</t>
        </is>
      </c>
      <c r="K507" s="29" t="inlineStr">
        <is>
          <t>RC-068</t>
        </is>
      </c>
      <c r="L507" s="29" t="inlineStr">
        <is>
          <t>Vinod Katekar</t>
        </is>
      </c>
      <c r="M507" s="29" t="inlineStr">
        <is>
          <t>IRIS0591</t>
        </is>
      </c>
      <c r="N507" s="29" t="n">
        <v>16.4</v>
      </c>
      <c r="O507" s="29" t="n">
        <v>1.4</v>
      </c>
      <c r="P507" s="29" t="inlineStr">
        <is>
          <t>MCA</t>
        </is>
      </c>
      <c r="Q507" s="29" t="inlineStr">
        <is>
          <t>L5 – Lead · IC</t>
        </is>
      </c>
      <c r="R507" s="29" t="inlineStr">
        <is>
          <t>B1</t>
        </is>
      </c>
      <c r="S507" s="30" t="inlineStr">
        <is>
          <t>20 of 20</t>
        </is>
      </c>
      <c r="T507" s="31" t="inlineStr">
        <is>
          <t>• Role / sub-team: Technology — Technical Support Lead.
• Core purpose: My role is to basically lead the customer support team and guide the peer team members to support the customer facing an issue while using the carbon product at any point of time.
• Decision-making autonomy: Can independently best approach of doing; Current work; Exploring better …</t>
        </is>
      </c>
      <c r="U507" s="31" t="inlineStr">
        <is>
          <t>Received · manager annual · 1.Increase automation coverage across CARBON 3.0 to ≥ 90% UI regression coverage by FY end.
2.Enhance API performance testing framework using JMeter to support 100% critical APIs with configurable thresholds, scheduling, and automated reporting.
3.Reduce performance bottleneck identification time by ≥ 50% through …</t>
        </is>
      </c>
      <c r="V507" s="31" t="inlineStr">
        <is>
          <t>Latest rating: Not rated · manager · 9-box: Trusted Professional · Readiness: No rating data</t>
        </is>
      </c>
      <c r="W507" s="31" t="inlineStr">
        <is>
          <t>C M · Au M · Ac M · L M · BI M · Exp H · 16.4 yrs vs 2–4 yrs · Edu H · MCA</t>
        </is>
      </c>
      <c r="X507" s="33" t="inlineStr">
        <is>
          <t>Open ▸</t>
        </is>
      </c>
      <c r="Y507" s="34" t="str">
        <f>IFERROR(INDEX(DL_C,MATCH($CA507,DL_KEY,0)),"M")</f>
        <v>H</v>
      </c>
      <c r="Z507" s="35" t="str">
        <f>IFERROR(INDEX(DL_Au,MATCH($CA507,DL_KEY,0)),"M")</f>
        <v>M</v>
      </c>
      <c r="AA507" s="35" t="str">
        <f>IFERROR(INDEX(DL_Ac,MATCH($CA507,DL_KEY,0)),"M")</f>
        <v>L</v>
      </c>
      <c r="AB507" s="35" t="str">
        <f>IFERROR(INDEX(DL_L,MATCH($CA507,DL_KEY,0)),"M")</f>
        <v>L</v>
      </c>
      <c r="AC507" s="35" t="str">
        <f>IFERROR(INDEX(DL_BI,MATCH($CA507,DL_KEY,0)),"M")</f>
        <v>L</v>
      </c>
      <c r="AD507" s="35" t="str">
        <f>IFERROR(INDEX(DL_Exp,MATCH($CA507,DL_KEY,0)),"M")</f>
        <v>L</v>
      </c>
      <c r="AE507" s="35" t="str">
        <f>IFERROR(INDEX(DL_Edu,MATCH($CA507,DL_KEY,0)),"M")</f>
        <v>L</v>
      </c>
      <c r="AF507" s="34" t="inlineStr">
        <is>
          <t>M</t>
        </is>
      </c>
      <c r="AG507" s="35" t="inlineStr">
        <is>
          <t>M</t>
        </is>
      </c>
      <c r="AH507" s="35" t="inlineStr">
        <is>
          <t>M</t>
        </is>
      </c>
      <c r="AI507" s="35" t="inlineStr">
        <is>
          <t>M</t>
        </is>
      </c>
      <c r="AJ507" s="35" t="inlineStr">
        <is>
          <t>M</t>
        </is>
      </c>
      <c r="AK507" s="35" t="inlineStr">
        <is>
          <t>M</t>
        </is>
      </c>
      <c r="AL507" s="35" t="inlineStr">
        <is>
          <t>M</t>
        </is>
      </c>
      <c r="AM507" s="36" t="n">
        <v>0.583</v>
      </c>
      <c r="AN507" s="37" t="n">
        <v>0.16</v>
      </c>
      <c r="AO507" s="37" t="n">
        <v>0.09</v>
      </c>
      <c r="AP507" s="37" t="n">
        <v>0</v>
      </c>
      <c r="AQ507" s="37" t="n">
        <v>0.063</v>
      </c>
      <c r="AR507" s="37" t="n">
        <v>0.06</v>
      </c>
      <c r="AS507" s="37" t="n">
        <v>0.04</v>
      </c>
      <c r="AT507" s="38" t="inlineStr">
        <is>
          <t>2–5</t>
        </is>
      </c>
      <c r="AU507" s="38" t="inlineStr">
        <is>
          <t>Graduate; relevant certification preferred</t>
        </is>
      </c>
      <c r="AV507" s="38" t="inlineStr">
        <is>
          <t>None · guides 1–3 juniors informally</t>
        </is>
      </c>
      <c r="AW507" s="38" t="inlineStr">
        <is>
          <t>P2 · SFIA 3 Apply</t>
        </is>
      </c>
      <c r="AX50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07" s="39" t="inlineStr">
        <is>
          <t>A3</t>
        </is>
      </c>
      <c r="AZ507" s="40" t="inlineStr">
        <is>
          <t>Band A · Practitioner · Senior Associate</t>
        </is>
      </c>
      <c r="BA507" s="40" t="inlineStr">
        <is>
          <t>Model B1 from the six ratings, the market-derived weights and rules R1–R13 · then Level rule: manager B1; a reportee sits at least one level below · B1 → A3 · move down · pay and title protected for one cycle</t>
        </is>
      </c>
      <c r="BB507" s="41" t="inlineStr">
        <is>
          <t>B1</t>
        </is>
      </c>
      <c r="BC507" s="40" t="inlineStr">
        <is>
          <t>The six ratings on the market-average weights of Band A · all tracks score 4.05 → B1 · Hay, Mercer IPE and public plans · experience 16.4 yrs vs the B1 market range 4–8</t>
        </is>
      </c>
      <c r="BD507" s="42">
        <f>IF(SUM(BM507,BN507,BO507,BP507,BQ507,BR507,BS507)=0,0,(BM507*BT507+BN507*BU507+BO507*BV507+BP507*BW507+BQ507*BX507+BR507*BY507+BS507*BZ507)/SUM(BM507,BN507,BO507,BP507,BQ507,BR507,BS507))</f>
        <v>0</v>
      </c>
      <c r="BE507" s="41" t="str">
        <f>IF(LEFT(AY507,1)="X",AY507,IF(OR(AY507="B+",AY507="C+"),INDEX(LAD_PC,MAX(1,MIN(14,MATCH(AY507,LAD_PC,0)+IF(BD507&gt;=0.5,1,IF(BD507&lt;=-0.5,-1,0))))),INDEX(LAD_STD,MAX(1,MIN(12,MATCH(AY507,LAD_STD,0)+IF(BD507&gt;=0.5,1,IF(BD507&lt;=-0.5,-1,0)))))))</f>
        <v>A3</v>
      </c>
      <c r="BF507" s="43" t="n"/>
      <c r="BG507" s="41" t="str">
        <f>IF(BF507&lt;&gt;"",BF507,BE507)</f>
        <v>A3</v>
      </c>
      <c r="BH507" s="40" t="str">
        <f>IFERROR(CHOOSE(INDEX(B_RANK,MATCH(BG507,B_LVL,0)),"Band A","Band B","B+ · Player-Coach","Band C","C+ · Player-Coach","Band D","Band E"),"Band X · Consultant")</f>
        <v>Band A</v>
      </c>
      <c r="BI507" s="40" t="str">
        <f>IF(BG507=AY507,"• Same",IF(INDEX(B_VAL,MATCH(BG507,B_LVL,0))&gt;INDEX(B_VAL,MATCH(AY507,B_LVL,0)),"▲ Up","▼ Down"))</f>
        <v>• Same</v>
      </c>
      <c r="BJ507" s="40" t="str">
        <f>IF(OR($M507="",$M507="—",$M507="Not in this file"),"",IFERROR(INDEX($BG$7:$BG$592,MATCH($M507,$D$7:$D$592,0)),""))</f>
        <v>B1</v>
      </c>
      <c r="BK507" s="40" t="str">
        <f>IFERROR(IF(BJ507="","—",IF(OR(LEFT(BG507,1)="X",LEFT(BJ507,1)="X"),"—",IF(AND(LEFT(BG507,1)="E",LEFT(BJ507,1)="E"),"Exception · Band E",IF(AND(INDEX(B_VAL,MATCH(BJ507,B_LVL,0))&gt;=7,INDEX(B_RANK,MATCH(BG507,B_LVL,0))&gt;=INDEX(B_RANK,MATCH(BJ507,B_LVL,0))),"⚠ Same band as a head manager",IF(INDEX(B_VAL,MATCH(BG507,B_LVL,0))&gt;=INDEX(B_VAL,MATCH(BJ507,B_LVL,0)),"⚠ At or above the manager's level","OK"))))),"—")</f>
        <v>OK</v>
      </c>
      <c r="BL507" s="43" t="n"/>
      <c r="BM507" s="44">
        <f>IFERROR(INDEX(LMH_PTS,MATCH(Y507,LMH_KEY,0)),0)</f>
        <v>9</v>
      </c>
      <c r="BN507" s="38">
        <f>IFERROR(INDEX(LMH_PTS,MATCH(Z507,LMH_KEY,0)),0)</f>
        <v>3</v>
      </c>
      <c r="BO507" s="38">
        <f>IFERROR(INDEX(LMH_PTS,MATCH(AA507,LMH_KEY,0)),0)</f>
        <v>1</v>
      </c>
      <c r="BP507" s="38">
        <f>IFERROR(INDEX(LMH_PTS,MATCH(AB507,LMH_KEY,0)),0)</f>
        <v>1</v>
      </c>
      <c r="BQ507" s="38">
        <f>IFERROR(INDEX(LMH_PTS,MATCH(AC507,LMH_KEY,0)),0)</f>
        <v>1</v>
      </c>
      <c r="BR507" s="38">
        <f>IFERROR(INDEX(LMH_PTS,MATCH(AD507,LMH_KEY,0)),0)</f>
        <v>1</v>
      </c>
      <c r="BS507" s="38">
        <f>IFERROR(INDEX(LMH_PTS,MATCH(AE507,LMH_KEY,0)),0)</f>
        <v>1</v>
      </c>
      <c r="BT507" s="38">
        <f>IFERROR(INDEX(LMH_STEP,MATCH(AF507,LMH_KEY,0)),0)</f>
        <v>0</v>
      </c>
      <c r="BU507" s="38">
        <f>IFERROR(INDEX(LMH_STEP,MATCH(AG507,LMH_KEY,0)),0)</f>
        <v>0</v>
      </c>
      <c r="BV507" s="38">
        <f>IFERROR(INDEX(LMH_STEP,MATCH(AH507,LMH_KEY,0)),0)</f>
        <v>0</v>
      </c>
      <c r="BW507" s="38">
        <f>IFERROR(INDEX(LMH_STEP,MATCH(AI507,LMH_KEY,0)),0)</f>
        <v>0</v>
      </c>
      <c r="BX507" s="38">
        <f>IFERROR(INDEX(LMH_STEP,MATCH(AJ507,LMH_KEY,0)),0)</f>
        <v>0</v>
      </c>
      <c r="BY507" s="38">
        <f>IFERROR(INDEX(LMH_STEP,MATCH(AK507,LMH_KEY,0)),0)</f>
        <v>0</v>
      </c>
      <c r="BZ507" s="38">
        <f>IFERROR(INDEX(LMH_STEP,MATCH(AL507,LMH_KEY,0)),0)</f>
        <v>0</v>
      </c>
      <c r="CA507" s="38" t="inlineStr">
        <is>
          <t>CARBON|Technology|Technical Specialist|A3|A</t>
        </is>
      </c>
    </row>
    <row r="508" ht="110" customHeight="1">
      <c r="A508" s="28" t="inlineStr">
        <is>
          <t>CARBON</t>
        </is>
      </c>
      <c r="B508" s="29" t="inlineStr">
        <is>
          <t>Quality Assurance</t>
        </is>
      </c>
      <c r="C508" s="29" t="n">
        <v>4</v>
      </c>
      <c r="D508" s="29" t="inlineStr">
        <is>
          <t>IRIS1672</t>
        </is>
      </c>
      <c r="E508" s="29" t="inlineStr">
        <is>
          <t>Brehmjit Gopalkrishnan</t>
        </is>
      </c>
      <c r="F508" s="29" t="inlineStr">
        <is>
          <t>Client Solutions Executive</t>
        </is>
      </c>
      <c r="G508" s="29" t="inlineStr">
        <is>
          <t>Senior QA Engineer</t>
        </is>
      </c>
      <c r="H508" s="29" t="inlineStr">
        <is>
          <t>Quality Assurance</t>
        </is>
      </c>
      <c r="I508" s="29" t="inlineStr">
        <is>
          <t>Functional &amp; Domain Testing</t>
        </is>
      </c>
      <c r="J508" s="29" t="inlineStr">
        <is>
          <t>IC</t>
        </is>
      </c>
      <c r="K508" s="29" t="inlineStr">
        <is>
          <t>RC-141</t>
        </is>
      </c>
      <c r="L508" s="29" t="inlineStr">
        <is>
          <t>Vinod Katekar</t>
        </is>
      </c>
      <c r="M508" s="29" t="inlineStr">
        <is>
          <t>IRIS0591</t>
        </is>
      </c>
      <c r="N508" s="29" t="n">
        <v>17</v>
      </c>
      <c r="O508" s="29" t="n">
        <v>9</v>
      </c>
      <c r="P508" s="29" t="inlineStr">
        <is>
          <t>B.Com</t>
        </is>
      </c>
      <c r="Q508" s="29" t="inlineStr">
        <is>
          <t>L3 – Professional / Associate</t>
        </is>
      </c>
      <c r="R508" s="29" t="inlineStr">
        <is>
          <t>A3</t>
        </is>
      </c>
      <c r="S508" s="30" t="inlineStr">
        <is>
          <t>20 of 20</t>
        </is>
      </c>
      <c r="T508" s="31" t="inlineStr">
        <is>
          <t>• Role / sub-team: QA.
• Core purpose: Test software thoroughly and try to break it in every possible way, catching bugs and slow performance early so it works smoothly and reliably; make sure applications don't break, run slow, or return wrong numbers.
• Top 5 responsibilities: Test case execution; sprint/team alignment; defect logging; regression testing; …</t>
        </is>
      </c>
      <c r="U508" s="31" t="inlineStr">
        <is>
          <t>Received · manager annual · 1. Begin exploring and contributing to automation testing initiatives by learning the automation framework, understanding best practices, and developing reusable automated test scripts for assigned modules.
2. Support the organization's hybrid and in-office collaboration initiatives by ensuring regular presence and …</t>
        </is>
      </c>
      <c r="V508" s="31" t="inlineStr">
        <is>
          <t>Latest rating: Not rated · manager · 9-box: Future Leader · Readiness: No rating data</t>
        </is>
      </c>
      <c r="W508" s="31" t="inlineStr">
        <is>
          <t>C L · Au L · Ac M · L L · BI M · Exp H · 17 yrs vs 2–4 yrs · Edu M · B.Com</t>
        </is>
      </c>
      <c r="X508" s="33" t="inlineStr">
        <is>
          <t>Open ▸</t>
        </is>
      </c>
      <c r="Y508" s="34" t="str">
        <f>IFERROR(INDEX(DL_C,MATCH($CA508,DL_KEY,0)),"M")</f>
        <v>H</v>
      </c>
      <c r="Z508" s="35" t="str">
        <f>IFERROR(INDEX(DL_Au,MATCH($CA508,DL_KEY,0)),"M")</f>
        <v>M</v>
      </c>
      <c r="AA508" s="35" t="str">
        <f>IFERROR(INDEX(DL_Ac,MATCH($CA508,DL_KEY,0)),"M")</f>
        <v>L</v>
      </c>
      <c r="AB508" s="35" t="str">
        <f>IFERROR(INDEX(DL_L,MATCH($CA508,DL_KEY,0)),"M")</f>
        <v>L</v>
      </c>
      <c r="AC508" s="35" t="str">
        <f>IFERROR(INDEX(DL_BI,MATCH($CA508,DL_KEY,0)),"M")</f>
        <v>L</v>
      </c>
      <c r="AD508" s="35" t="str">
        <f>IFERROR(INDEX(DL_Exp,MATCH($CA508,DL_KEY,0)),"M")</f>
        <v>L</v>
      </c>
      <c r="AE508" s="35" t="str">
        <f>IFERROR(INDEX(DL_Edu,MATCH($CA508,DL_KEY,0)),"M")</f>
        <v>L</v>
      </c>
      <c r="AF508" s="34" t="inlineStr">
        <is>
          <t>M</t>
        </is>
      </c>
      <c r="AG508" s="35" t="inlineStr">
        <is>
          <t>M</t>
        </is>
      </c>
      <c r="AH508" s="35" t="inlineStr">
        <is>
          <t>M</t>
        </is>
      </c>
      <c r="AI508" s="35" t="inlineStr">
        <is>
          <t>M</t>
        </is>
      </c>
      <c r="AJ508" s="35" t="inlineStr">
        <is>
          <t>M</t>
        </is>
      </c>
      <c r="AK508" s="35" t="inlineStr">
        <is>
          <t>M</t>
        </is>
      </c>
      <c r="AL508" s="35" t="inlineStr">
        <is>
          <t>M</t>
        </is>
      </c>
      <c r="AM508" s="36" t="n">
        <v>0.583</v>
      </c>
      <c r="AN508" s="37" t="n">
        <v>0.16</v>
      </c>
      <c r="AO508" s="37" t="n">
        <v>0.09</v>
      </c>
      <c r="AP508" s="37" t="n">
        <v>0</v>
      </c>
      <c r="AQ508" s="37" t="n">
        <v>0.063</v>
      </c>
      <c r="AR508" s="37" t="n">
        <v>0.06</v>
      </c>
      <c r="AS508" s="37" t="n">
        <v>0.04</v>
      </c>
      <c r="AT508" s="38" t="inlineStr">
        <is>
          <t>2–5</t>
        </is>
      </c>
      <c r="AU508" s="38" t="inlineStr">
        <is>
          <t>Graduate; relevant certification preferred</t>
        </is>
      </c>
      <c r="AV508" s="38" t="inlineStr">
        <is>
          <t>None · guides 1–3 juniors informally</t>
        </is>
      </c>
      <c r="AW508" s="38" t="inlineStr">
        <is>
          <t>P2 · SFIA 3 Apply</t>
        </is>
      </c>
      <c r="AX50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08" s="39" t="inlineStr">
        <is>
          <t>A3</t>
        </is>
      </c>
      <c r="AZ508" s="40" t="inlineStr">
        <is>
          <t>Band A · Practitioner · Senior Associate</t>
        </is>
      </c>
      <c r="BA508" s="40" t="inlineStr">
        <is>
          <t>Model A3 from the six ratings, the market-derived weights and rules R1–R13 · then No change · already below the manager</t>
        </is>
      </c>
      <c r="BB508" s="41" t="inlineStr">
        <is>
          <t>A3</t>
        </is>
      </c>
      <c r="BC508" s="40" t="inlineStr">
        <is>
          <t>The six ratings on the market-average weights of Band A · all tracks score 2.78 → A3 · Hay, Mercer IPE and public plans · experience 17 yrs vs the A3 market range 2–5</t>
        </is>
      </c>
      <c r="BD508" s="42">
        <f>IF(SUM(BM508,BN508,BO508,BP508,BQ508,BR508,BS508)=0,0,(BM508*BT508+BN508*BU508+BO508*BV508+BP508*BW508+BQ508*BX508+BR508*BY508+BS508*BZ508)/SUM(BM508,BN508,BO508,BP508,BQ508,BR508,BS508))</f>
        <v>0</v>
      </c>
      <c r="BE508" s="41" t="str">
        <f>IF(LEFT(AY508,1)="X",AY508,IF(OR(AY508="B+",AY508="C+"),INDEX(LAD_PC,MAX(1,MIN(14,MATCH(AY508,LAD_PC,0)+IF(BD508&gt;=0.5,1,IF(BD508&lt;=-0.5,-1,0))))),INDEX(LAD_STD,MAX(1,MIN(12,MATCH(AY508,LAD_STD,0)+IF(BD508&gt;=0.5,1,IF(BD508&lt;=-0.5,-1,0)))))))</f>
        <v>A3</v>
      </c>
      <c r="BF508" s="43" t="n"/>
      <c r="BG508" s="41" t="str">
        <f>IF(BF508&lt;&gt;"",BF508,BE508)</f>
        <v>A3</v>
      </c>
      <c r="BH508" s="40" t="str">
        <f>IFERROR(CHOOSE(INDEX(B_RANK,MATCH(BG508,B_LVL,0)),"Band A","Band B","B+ · Player-Coach","Band C","C+ · Player-Coach","Band D","Band E"),"Band X · Consultant")</f>
        <v>Band A</v>
      </c>
      <c r="BI508" s="40" t="str">
        <f>IF(BG508=AY508,"• Same",IF(INDEX(B_VAL,MATCH(BG508,B_LVL,0))&gt;INDEX(B_VAL,MATCH(AY508,B_LVL,0)),"▲ Up","▼ Down"))</f>
        <v>• Same</v>
      </c>
      <c r="BJ508" s="40" t="str">
        <f>IF(OR($M508="",$M508="—",$M508="Not in this file"),"",IFERROR(INDEX($BG$7:$BG$592,MATCH($M508,$D$7:$D$592,0)),""))</f>
        <v>B1</v>
      </c>
      <c r="BK508" s="40" t="str">
        <f>IFERROR(IF(BJ508="","—",IF(OR(LEFT(BG508,1)="X",LEFT(BJ508,1)="X"),"—",IF(AND(LEFT(BG508,1)="E",LEFT(BJ508,1)="E"),"Exception · Band E",IF(AND(INDEX(B_VAL,MATCH(BJ508,B_LVL,0))&gt;=7,INDEX(B_RANK,MATCH(BG508,B_LVL,0))&gt;=INDEX(B_RANK,MATCH(BJ508,B_LVL,0))),"⚠ Same band as a head manager",IF(INDEX(B_VAL,MATCH(BG508,B_LVL,0))&gt;=INDEX(B_VAL,MATCH(BJ508,B_LVL,0)),"⚠ At or above the manager's level","OK"))))),"—")</f>
        <v>OK</v>
      </c>
      <c r="BL508" s="43" t="n"/>
      <c r="BM508" s="44">
        <f>IFERROR(INDEX(LMH_PTS,MATCH(Y508,LMH_KEY,0)),0)</f>
        <v>9</v>
      </c>
      <c r="BN508" s="38">
        <f>IFERROR(INDEX(LMH_PTS,MATCH(Z508,LMH_KEY,0)),0)</f>
        <v>3</v>
      </c>
      <c r="BO508" s="38">
        <f>IFERROR(INDEX(LMH_PTS,MATCH(AA508,LMH_KEY,0)),0)</f>
        <v>1</v>
      </c>
      <c r="BP508" s="38">
        <f>IFERROR(INDEX(LMH_PTS,MATCH(AB508,LMH_KEY,0)),0)</f>
        <v>1</v>
      </c>
      <c r="BQ508" s="38">
        <f>IFERROR(INDEX(LMH_PTS,MATCH(AC508,LMH_KEY,0)),0)</f>
        <v>1</v>
      </c>
      <c r="BR508" s="38">
        <f>IFERROR(INDEX(LMH_PTS,MATCH(AD508,LMH_KEY,0)),0)</f>
        <v>1</v>
      </c>
      <c r="BS508" s="38">
        <f>IFERROR(INDEX(LMH_PTS,MATCH(AE508,LMH_KEY,0)),0)</f>
        <v>1</v>
      </c>
      <c r="BT508" s="38">
        <f>IFERROR(INDEX(LMH_STEP,MATCH(AF508,LMH_KEY,0)),0)</f>
        <v>0</v>
      </c>
      <c r="BU508" s="38">
        <f>IFERROR(INDEX(LMH_STEP,MATCH(AG508,LMH_KEY,0)),0)</f>
        <v>0</v>
      </c>
      <c r="BV508" s="38">
        <f>IFERROR(INDEX(LMH_STEP,MATCH(AH508,LMH_KEY,0)),0)</f>
        <v>0</v>
      </c>
      <c r="BW508" s="38">
        <f>IFERROR(INDEX(LMH_STEP,MATCH(AI508,LMH_KEY,0)),0)</f>
        <v>0</v>
      </c>
      <c r="BX508" s="38">
        <f>IFERROR(INDEX(LMH_STEP,MATCH(AJ508,LMH_KEY,0)),0)</f>
        <v>0</v>
      </c>
      <c r="BY508" s="38">
        <f>IFERROR(INDEX(LMH_STEP,MATCH(AK508,LMH_KEY,0)),0)</f>
        <v>0</v>
      </c>
      <c r="BZ508" s="38">
        <f>IFERROR(INDEX(LMH_STEP,MATCH(AL508,LMH_KEY,0)),0)</f>
        <v>0</v>
      </c>
      <c r="CA508" s="38" t="inlineStr">
        <is>
          <t>CARBON|Quality Assurance|Senior QA Engineer|A3|A</t>
        </is>
      </c>
    </row>
    <row r="509" ht="110" customHeight="1">
      <c r="A509" s="28" t="inlineStr">
        <is>
          <t>CARBON</t>
        </is>
      </c>
      <c r="B509" s="29" t="inlineStr">
        <is>
          <t>Quality Assurance</t>
        </is>
      </c>
      <c r="C509" s="29" t="n">
        <v>4</v>
      </c>
      <c r="D509" s="29" t="inlineStr">
        <is>
          <t>IRIS0625</t>
        </is>
      </c>
      <c r="E509" s="29" t="inlineStr">
        <is>
          <t>Pooja Gawas</t>
        </is>
      </c>
      <c r="F509" s="29" t="inlineStr">
        <is>
          <t>QA Engineer</t>
        </is>
      </c>
      <c r="G509" s="29" t="inlineStr">
        <is>
          <t>Senior QA Engineer</t>
        </is>
      </c>
      <c r="H509" s="29" t="inlineStr">
        <is>
          <t>Quality Assurance</t>
        </is>
      </c>
      <c r="I509" s="29" t="inlineStr">
        <is>
          <t>Functional &amp; Domain Testing</t>
        </is>
      </c>
      <c r="J509" s="29" t="inlineStr">
        <is>
          <t>IC</t>
        </is>
      </c>
      <c r="K509" s="29" t="inlineStr">
        <is>
          <t>RC-141</t>
        </is>
      </c>
      <c r="L509" s="29" t="inlineStr">
        <is>
          <t>Vinod Katekar</t>
        </is>
      </c>
      <c r="M509" s="29" t="inlineStr">
        <is>
          <t>IRIS0591</t>
        </is>
      </c>
      <c r="N509" s="29" t="n">
        <v>15.4</v>
      </c>
      <c r="O509" s="29" t="n">
        <v>15.4</v>
      </c>
      <c r="P509" s="29" t="inlineStr">
        <is>
          <t>B.Com</t>
        </is>
      </c>
      <c r="Q509" s="29" t="inlineStr">
        <is>
          <t>L3 – Professional / Associate</t>
        </is>
      </c>
      <c r="R509" s="29" t="inlineStr">
        <is>
          <t>A3</t>
        </is>
      </c>
      <c r="S509" s="30" t="inlineStr">
        <is>
          <t>20 of 20</t>
        </is>
      </c>
      <c r="T509" s="31" t="inlineStr">
        <is>
          <t>• Role / sub-team: QA Tester — ESG product.
• Core purpose: Perform software product testing on the ESG product; test features and bugs and provide sign-off for the dev and prod environments, with bugs and user stories tracked in Quick Scrum, sending a sign-off mail on completion.
• Top responsibility highlighted: Understanding requirements.
• …</t>
        </is>
      </c>
      <c r="U509" s="31" t="inlineStr">
        <is>
          <t>Received · manager annual · 1.Ensure 100% functional, regression, and release validation coverage for owned modules across ESG releases.
2.Increase automation coverage for owned modules to achieve at least 60% UI regression automation coverage by FY end.
3.Reduce manual regression effort for owned modules by at least 50% through automation and …</t>
        </is>
      </c>
      <c r="V509" s="31" t="inlineStr">
        <is>
          <t>Latest rating: Not rated · manager · 9-box: Not placed · manager · Readiness: No rating data</t>
        </is>
      </c>
      <c r="W509" s="31" t="inlineStr">
        <is>
          <t>C L · Au L · Ac M · L M · BI M · Exp H · 15.4 yrs vs 2–4 yrs · Edu M · B.Com</t>
        </is>
      </c>
      <c r="X509" s="33" t="inlineStr">
        <is>
          <t>Open ▸</t>
        </is>
      </c>
      <c r="Y509" s="34" t="str">
        <f>IFERROR(INDEX(DL_C,MATCH($CA509,DL_KEY,0)),"M")</f>
        <v>H</v>
      </c>
      <c r="Z509" s="35" t="str">
        <f>IFERROR(INDEX(DL_Au,MATCH($CA509,DL_KEY,0)),"M")</f>
        <v>M</v>
      </c>
      <c r="AA509" s="35" t="str">
        <f>IFERROR(INDEX(DL_Ac,MATCH($CA509,DL_KEY,0)),"M")</f>
        <v>L</v>
      </c>
      <c r="AB509" s="35" t="str">
        <f>IFERROR(INDEX(DL_L,MATCH($CA509,DL_KEY,0)),"M")</f>
        <v>L</v>
      </c>
      <c r="AC509" s="35" t="str">
        <f>IFERROR(INDEX(DL_BI,MATCH($CA509,DL_KEY,0)),"M")</f>
        <v>L</v>
      </c>
      <c r="AD509" s="35" t="str">
        <f>IFERROR(INDEX(DL_Exp,MATCH($CA509,DL_KEY,0)),"M")</f>
        <v>L</v>
      </c>
      <c r="AE509" s="35" t="str">
        <f>IFERROR(INDEX(DL_Edu,MATCH($CA509,DL_KEY,0)),"M")</f>
        <v>L</v>
      </c>
      <c r="AF509" s="34" t="inlineStr">
        <is>
          <t>M</t>
        </is>
      </c>
      <c r="AG509" s="35" t="inlineStr">
        <is>
          <t>M</t>
        </is>
      </c>
      <c r="AH509" s="35" t="inlineStr">
        <is>
          <t>M</t>
        </is>
      </c>
      <c r="AI509" s="35" t="inlineStr">
        <is>
          <t>M</t>
        </is>
      </c>
      <c r="AJ509" s="35" t="inlineStr">
        <is>
          <t>M</t>
        </is>
      </c>
      <c r="AK509" s="35" t="inlineStr">
        <is>
          <t>M</t>
        </is>
      </c>
      <c r="AL509" s="35" t="inlineStr">
        <is>
          <t>M</t>
        </is>
      </c>
      <c r="AM509" s="36" t="n">
        <v>0.583</v>
      </c>
      <c r="AN509" s="37" t="n">
        <v>0.16</v>
      </c>
      <c r="AO509" s="37" t="n">
        <v>0.09</v>
      </c>
      <c r="AP509" s="37" t="n">
        <v>0</v>
      </c>
      <c r="AQ509" s="37" t="n">
        <v>0.063</v>
      </c>
      <c r="AR509" s="37" t="n">
        <v>0.06</v>
      </c>
      <c r="AS509" s="37" t="n">
        <v>0.04</v>
      </c>
      <c r="AT509" s="38" t="inlineStr">
        <is>
          <t>2–5</t>
        </is>
      </c>
      <c r="AU509" s="38" t="inlineStr">
        <is>
          <t>Graduate; relevant certification preferred</t>
        </is>
      </c>
      <c r="AV509" s="38" t="inlineStr">
        <is>
          <t>None · guides 1–3 juniors informally</t>
        </is>
      </c>
      <c r="AW509" s="38" t="inlineStr">
        <is>
          <t>P2 · SFIA 3 Apply</t>
        </is>
      </c>
      <c r="AX50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09" s="39" t="inlineStr">
        <is>
          <t>A3</t>
        </is>
      </c>
      <c r="AZ509" s="40" t="inlineStr">
        <is>
          <t>Band A · Practitioner · Senior Associate</t>
        </is>
      </c>
      <c r="BA509" s="40" t="inlineStr">
        <is>
          <t>Model A3 from the six ratings, the market-derived weights and rules R1–R13 · then No change · already below the manager</t>
        </is>
      </c>
      <c r="BB509" s="41" t="inlineStr">
        <is>
          <t>A3</t>
        </is>
      </c>
      <c r="BC509" s="40" t="inlineStr">
        <is>
          <t>The six ratings on the market-average weights of Band A · all tracks score 2.84 → A3 · Hay, Mercer IPE and public plans · experience 15.4 yrs vs the A3 market range 2–5</t>
        </is>
      </c>
      <c r="BD509" s="42">
        <f>IF(SUM(BM509,BN509,BO509,BP509,BQ509,BR509,BS509)=0,0,(BM509*BT509+BN509*BU509+BO509*BV509+BP509*BW509+BQ509*BX509+BR509*BY509+BS509*BZ509)/SUM(BM509,BN509,BO509,BP509,BQ509,BR509,BS509))</f>
        <v>0</v>
      </c>
      <c r="BE509" s="41" t="str">
        <f>IF(LEFT(AY509,1)="X",AY509,IF(OR(AY509="B+",AY509="C+"),INDEX(LAD_PC,MAX(1,MIN(14,MATCH(AY509,LAD_PC,0)+IF(BD509&gt;=0.5,1,IF(BD509&lt;=-0.5,-1,0))))),INDEX(LAD_STD,MAX(1,MIN(12,MATCH(AY509,LAD_STD,0)+IF(BD509&gt;=0.5,1,IF(BD509&lt;=-0.5,-1,0)))))))</f>
        <v>A3</v>
      </c>
      <c r="BF509" s="43" t="n"/>
      <c r="BG509" s="41" t="str">
        <f>IF(BF509&lt;&gt;"",BF509,BE509)</f>
        <v>A3</v>
      </c>
      <c r="BH509" s="40" t="str">
        <f>IFERROR(CHOOSE(INDEX(B_RANK,MATCH(BG509,B_LVL,0)),"Band A","Band B","B+ · Player-Coach","Band C","C+ · Player-Coach","Band D","Band E"),"Band X · Consultant")</f>
        <v>Band A</v>
      </c>
      <c r="BI509" s="40" t="str">
        <f>IF(BG509=AY509,"• Same",IF(INDEX(B_VAL,MATCH(BG509,B_LVL,0))&gt;INDEX(B_VAL,MATCH(AY509,B_LVL,0)),"▲ Up","▼ Down"))</f>
        <v>• Same</v>
      </c>
      <c r="BJ509" s="40" t="str">
        <f>IF(OR($M509="",$M509="—",$M509="Not in this file"),"",IFERROR(INDEX($BG$7:$BG$592,MATCH($M509,$D$7:$D$592,0)),""))</f>
        <v>B1</v>
      </c>
      <c r="BK509" s="40" t="str">
        <f>IFERROR(IF(BJ509="","—",IF(OR(LEFT(BG509,1)="X",LEFT(BJ509,1)="X"),"—",IF(AND(LEFT(BG509,1)="E",LEFT(BJ509,1)="E"),"Exception · Band E",IF(AND(INDEX(B_VAL,MATCH(BJ509,B_LVL,0))&gt;=7,INDEX(B_RANK,MATCH(BG509,B_LVL,0))&gt;=INDEX(B_RANK,MATCH(BJ509,B_LVL,0))),"⚠ Same band as a head manager",IF(INDEX(B_VAL,MATCH(BG509,B_LVL,0))&gt;=INDEX(B_VAL,MATCH(BJ509,B_LVL,0)),"⚠ At or above the manager's level","OK"))))),"—")</f>
        <v>OK</v>
      </c>
      <c r="BL509" s="43" t="n"/>
      <c r="BM509" s="44">
        <f>IFERROR(INDEX(LMH_PTS,MATCH(Y509,LMH_KEY,0)),0)</f>
        <v>9</v>
      </c>
      <c r="BN509" s="38">
        <f>IFERROR(INDEX(LMH_PTS,MATCH(Z509,LMH_KEY,0)),0)</f>
        <v>3</v>
      </c>
      <c r="BO509" s="38">
        <f>IFERROR(INDEX(LMH_PTS,MATCH(AA509,LMH_KEY,0)),0)</f>
        <v>1</v>
      </c>
      <c r="BP509" s="38">
        <f>IFERROR(INDEX(LMH_PTS,MATCH(AB509,LMH_KEY,0)),0)</f>
        <v>1</v>
      </c>
      <c r="BQ509" s="38">
        <f>IFERROR(INDEX(LMH_PTS,MATCH(AC509,LMH_KEY,0)),0)</f>
        <v>1</v>
      </c>
      <c r="BR509" s="38">
        <f>IFERROR(INDEX(LMH_PTS,MATCH(AD509,LMH_KEY,0)),0)</f>
        <v>1</v>
      </c>
      <c r="BS509" s="38">
        <f>IFERROR(INDEX(LMH_PTS,MATCH(AE509,LMH_KEY,0)),0)</f>
        <v>1</v>
      </c>
      <c r="BT509" s="38">
        <f>IFERROR(INDEX(LMH_STEP,MATCH(AF509,LMH_KEY,0)),0)</f>
        <v>0</v>
      </c>
      <c r="BU509" s="38">
        <f>IFERROR(INDEX(LMH_STEP,MATCH(AG509,LMH_KEY,0)),0)</f>
        <v>0</v>
      </c>
      <c r="BV509" s="38">
        <f>IFERROR(INDEX(LMH_STEP,MATCH(AH509,LMH_KEY,0)),0)</f>
        <v>0</v>
      </c>
      <c r="BW509" s="38">
        <f>IFERROR(INDEX(LMH_STEP,MATCH(AI509,LMH_KEY,0)),0)</f>
        <v>0</v>
      </c>
      <c r="BX509" s="38">
        <f>IFERROR(INDEX(LMH_STEP,MATCH(AJ509,LMH_KEY,0)),0)</f>
        <v>0</v>
      </c>
      <c r="BY509" s="38">
        <f>IFERROR(INDEX(LMH_STEP,MATCH(AK509,LMH_KEY,0)),0)</f>
        <v>0</v>
      </c>
      <c r="BZ509" s="38">
        <f>IFERROR(INDEX(LMH_STEP,MATCH(AL509,LMH_KEY,0)),0)</f>
        <v>0</v>
      </c>
      <c r="CA509" s="38" t="inlineStr">
        <is>
          <t>CARBON|Quality Assurance|Senior QA Engineer|A3|A</t>
        </is>
      </c>
    </row>
    <row r="510" ht="110" customHeight="1">
      <c r="A510" s="28" t="inlineStr">
        <is>
          <t>CARBON</t>
        </is>
      </c>
      <c r="B510" s="29" t="inlineStr">
        <is>
          <t>Quality Assurance</t>
        </is>
      </c>
      <c r="C510" s="29" t="n">
        <v>5</v>
      </c>
      <c r="D510" s="29" t="inlineStr">
        <is>
          <t>IRIS2405</t>
        </is>
      </c>
      <c r="E510" s="29" t="inlineStr">
        <is>
          <t>Tasmiyah Patni</t>
        </is>
      </c>
      <c r="F510" s="29" t="inlineStr">
        <is>
          <t>QA Engineer</t>
        </is>
      </c>
      <c r="G510" s="29" t="inlineStr">
        <is>
          <t>Senior QA Engineer</t>
        </is>
      </c>
      <c r="H510" s="29" t="inlineStr">
        <is>
          <t>Quality Assurance</t>
        </is>
      </c>
      <c r="I510" s="29" t="inlineStr">
        <is>
          <t>Functional &amp; Domain Testing</t>
        </is>
      </c>
      <c r="J510" s="29" t="inlineStr">
        <is>
          <t>IC</t>
        </is>
      </c>
      <c r="K510" s="29" t="inlineStr">
        <is>
          <t>RC-141</t>
        </is>
      </c>
      <c r="L510" s="29" t="inlineStr">
        <is>
          <t>Pooja Gawas</t>
        </is>
      </c>
      <c r="M510" s="29" t="inlineStr">
        <is>
          <t>IRIS0625</t>
        </is>
      </c>
      <c r="N510" s="29" t="n">
        <v>4.4</v>
      </c>
      <c r="O510" s="29" t="n">
        <v>1.2</v>
      </c>
      <c r="P510" s="29" t="inlineStr">
        <is>
          <t>B.Sc</t>
        </is>
      </c>
      <c r="Q510" s="29" t="inlineStr">
        <is>
          <t>L3 – Professional / Associate</t>
        </is>
      </c>
      <c r="R510" s="29" t="inlineStr">
        <is>
          <t>A3</t>
        </is>
      </c>
      <c r="S510" s="30" t="inlineStr">
        <is>
          <t>20 of 20</t>
        </is>
      </c>
      <c r="T510" s="31" t="inlineStr">
        <is>
          <t>• Role / sub-team: Quality Assurance — QA Engineer.
• Core purpose: I'm a QA Engineer, the main purpose is to ensure the software works as expected and is free from major defects, delivering a reliable and smooth experience for users.
• Decision-making autonomy: Can independently testing decisions.
• Is this something only they do: Few others also do it, …</t>
        </is>
      </c>
      <c r="U510" s="31" t="inlineStr">
        <is>
          <t>Received · manager annual · 1. Ensure 100% execution and validation of assigned functional and regression test cases for planned releases.
2.Develop strong product and domain knowledge for assigned modules and participate actively in requirement analysis and test design activities.
3.Contribute to automation efforts by creating or maintaining at …</t>
        </is>
      </c>
      <c r="V510" s="31" t="inlineStr">
        <is>
          <t>Latest rating: Not rated · manager · 9-box: Trusted Professional · Readiness: No rating data</t>
        </is>
      </c>
      <c r="W510" s="31" t="inlineStr">
        <is>
          <t>C M · Au M · Ac M · L L · BI M · Exp H · 4.4 yrs vs 0–2 yrs · Edu M · B.Sc</t>
        </is>
      </c>
      <c r="X510" s="33" t="inlineStr">
        <is>
          <t>Open ▸</t>
        </is>
      </c>
      <c r="Y510" s="34" t="str">
        <f>IFERROR(INDEX(DL_C,MATCH($CA510,DL_KEY,0)),"M")</f>
        <v>H</v>
      </c>
      <c r="Z510" s="35" t="str">
        <f>IFERROR(INDEX(DL_Au,MATCH($CA510,DL_KEY,0)),"M")</f>
        <v>M</v>
      </c>
      <c r="AA510" s="35" t="str">
        <f>IFERROR(INDEX(DL_Ac,MATCH($CA510,DL_KEY,0)),"M")</f>
        <v>L</v>
      </c>
      <c r="AB510" s="35" t="str">
        <f>IFERROR(INDEX(DL_L,MATCH($CA510,DL_KEY,0)),"M")</f>
        <v>L</v>
      </c>
      <c r="AC510" s="35" t="str">
        <f>IFERROR(INDEX(DL_BI,MATCH($CA510,DL_KEY,0)),"M")</f>
        <v>L</v>
      </c>
      <c r="AD510" s="35" t="str">
        <f>IFERROR(INDEX(DL_Exp,MATCH($CA510,DL_KEY,0)),"M")</f>
        <v>L</v>
      </c>
      <c r="AE510" s="35" t="str">
        <f>IFERROR(INDEX(DL_Edu,MATCH($CA510,DL_KEY,0)),"M")</f>
        <v>L</v>
      </c>
      <c r="AF510" s="34" t="inlineStr">
        <is>
          <t>M</t>
        </is>
      </c>
      <c r="AG510" s="35" t="inlineStr">
        <is>
          <t>M</t>
        </is>
      </c>
      <c r="AH510" s="35" t="inlineStr">
        <is>
          <t>M</t>
        </is>
      </c>
      <c r="AI510" s="35" t="inlineStr">
        <is>
          <t>M</t>
        </is>
      </c>
      <c r="AJ510" s="35" t="inlineStr">
        <is>
          <t>M</t>
        </is>
      </c>
      <c r="AK510" s="35" t="inlineStr">
        <is>
          <t>M</t>
        </is>
      </c>
      <c r="AL510" s="35" t="inlineStr">
        <is>
          <t>M</t>
        </is>
      </c>
      <c r="AM510" s="36" t="n">
        <v>0.583</v>
      </c>
      <c r="AN510" s="37" t="n">
        <v>0.16</v>
      </c>
      <c r="AO510" s="37" t="n">
        <v>0.09</v>
      </c>
      <c r="AP510" s="37" t="n">
        <v>0</v>
      </c>
      <c r="AQ510" s="37" t="n">
        <v>0.063</v>
      </c>
      <c r="AR510" s="37" t="n">
        <v>0.06</v>
      </c>
      <c r="AS510" s="37" t="n">
        <v>0.04</v>
      </c>
      <c r="AT510" s="38" t="inlineStr">
        <is>
          <t>0–3</t>
        </is>
      </c>
      <c r="AU510" s="38" t="inlineStr">
        <is>
          <t>Graduate · or diploma with experience</t>
        </is>
      </c>
      <c r="AV510" s="38" t="inlineStr">
        <is>
          <t>No direct reports</t>
        </is>
      </c>
      <c r="AW510" s="38" t="inlineStr">
        <is>
          <t>P1–P2 · SFIA 2 Assist</t>
        </is>
      </c>
      <c r="AX51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10" s="39" t="inlineStr">
        <is>
          <t>A2</t>
        </is>
      </c>
      <c r="AZ510" s="40" t="inlineStr">
        <is>
          <t>Band A · Practitioner · Associate</t>
        </is>
      </c>
      <c r="BA510" s="40" t="inlineStr">
        <is>
          <t>Model A3 from the six ratings, the market-derived weights and rules R1–R13 · then Level rule: manager A3; a reportee sits at least one level below · A3 → A2 · move down · pay and title protected for one cycle</t>
        </is>
      </c>
      <c r="BB510" s="41" t="inlineStr">
        <is>
          <t>A2</t>
        </is>
      </c>
      <c r="BC510" s="40" t="inlineStr">
        <is>
          <t>The six ratings on the market-average weights of Band A · all tracks score 2.15 → A2 · Hay, Mercer IPE and public plans · experience 4.4 yrs vs the A2 market range 0–3</t>
        </is>
      </c>
      <c r="BD510" s="42">
        <f>IF(SUM(BM510,BN510,BO510,BP510,BQ510,BR510,BS510)=0,0,(BM510*BT510+BN510*BU510+BO510*BV510+BP510*BW510+BQ510*BX510+BR510*BY510+BS510*BZ510)/SUM(BM510,BN510,BO510,BP510,BQ510,BR510,BS510))</f>
        <v>0</v>
      </c>
      <c r="BE510" s="41" t="str">
        <f>IF(LEFT(AY510,1)="X",AY510,IF(OR(AY510="B+",AY510="C+"),INDEX(LAD_PC,MAX(1,MIN(14,MATCH(AY510,LAD_PC,0)+IF(BD510&gt;=0.5,1,IF(BD510&lt;=-0.5,-1,0))))),INDEX(LAD_STD,MAX(1,MIN(12,MATCH(AY510,LAD_STD,0)+IF(BD510&gt;=0.5,1,IF(BD510&lt;=-0.5,-1,0)))))))</f>
        <v>A2</v>
      </c>
      <c r="BF510" s="43" t="n"/>
      <c r="BG510" s="41" t="str">
        <f>IF(BF510&lt;&gt;"",BF510,BE510)</f>
        <v>A2</v>
      </c>
      <c r="BH510" s="40" t="str">
        <f>IFERROR(CHOOSE(INDEX(B_RANK,MATCH(BG510,B_LVL,0)),"Band A","Band B","B+ · Player-Coach","Band C","C+ · Player-Coach","Band D","Band E"),"Band X · Consultant")</f>
        <v>Band A</v>
      </c>
      <c r="BI510" s="40" t="str">
        <f>IF(BG510=AY510,"• Same",IF(INDEX(B_VAL,MATCH(BG510,B_LVL,0))&gt;INDEX(B_VAL,MATCH(AY510,B_LVL,0)),"▲ Up","▼ Down"))</f>
        <v>• Same</v>
      </c>
      <c r="BJ510" s="40" t="str">
        <f>IF(OR($M510="",$M510="—",$M510="Not in this file"),"",IFERROR(INDEX($BG$7:$BG$592,MATCH($M510,$D$7:$D$592,0)),""))</f>
        <v>A3</v>
      </c>
      <c r="BK510" s="40" t="str">
        <f>IFERROR(IF(BJ510="","—",IF(OR(LEFT(BG510,1)="X",LEFT(BJ510,1)="X"),"—",IF(AND(LEFT(BG510,1)="E",LEFT(BJ510,1)="E"),"Exception · Band E",IF(AND(INDEX(B_VAL,MATCH(BJ510,B_LVL,0))&gt;=7,INDEX(B_RANK,MATCH(BG510,B_LVL,0))&gt;=INDEX(B_RANK,MATCH(BJ510,B_LVL,0))),"⚠ Same band as a head manager",IF(INDEX(B_VAL,MATCH(BG510,B_LVL,0))&gt;=INDEX(B_VAL,MATCH(BJ510,B_LVL,0)),"⚠ At or above the manager's level","OK"))))),"—")</f>
        <v>OK</v>
      </c>
      <c r="BL510" s="43" t="n"/>
      <c r="BM510" s="44">
        <f>IFERROR(INDEX(LMH_PTS,MATCH(Y510,LMH_KEY,0)),0)</f>
        <v>9</v>
      </c>
      <c r="BN510" s="38">
        <f>IFERROR(INDEX(LMH_PTS,MATCH(Z510,LMH_KEY,0)),0)</f>
        <v>3</v>
      </c>
      <c r="BO510" s="38">
        <f>IFERROR(INDEX(LMH_PTS,MATCH(AA510,LMH_KEY,0)),0)</f>
        <v>1</v>
      </c>
      <c r="BP510" s="38">
        <f>IFERROR(INDEX(LMH_PTS,MATCH(AB510,LMH_KEY,0)),0)</f>
        <v>1</v>
      </c>
      <c r="BQ510" s="38">
        <f>IFERROR(INDEX(LMH_PTS,MATCH(AC510,LMH_KEY,0)),0)</f>
        <v>1</v>
      </c>
      <c r="BR510" s="38">
        <f>IFERROR(INDEX(LMH_PTS,MATCH(AD510,LMH_KEY,0)),0)</f>
        <v>1</v>
      </c>
      <c r="BS510" s="38">
        <f>IFERROR(INDEX(LMH_PTS,MATCH(AE510,LMH_KEY,0)),0)</f>
        <v>1</v>
      </c>
      <c r="BT510" s="38">
        <f>IFERROR(INDEX(LMH_STEP,MATCH(AF510,LMH_KEY,0)),0)</f>
        <v>0</v>
      </c>
      <c r="BU510" s="38">
        <f>IFERROR(INDEX(LMH_STEP,MATCH(AG510,LMH_KEY,0)),0)</f>
        <v>0</v>
      </c>
      <c r="BV510" s="38">
        <f>IFERROR(INDEX(LMH_STEP,MATCH(AH510,LMH_KEY,0)),0)</f>
        <v>0</v>
      </c>
      <c r="BW510" s="38">
        <f>IFERROR(INDEX(LMH_STEP,MATCH(AI510,LMH_KEY,0)),0)</f>
        <v>0</v>
      </c>
      <c r="BX510" s="38">
        <f>IFERROR(INDEX(LMH_STEP,MATCH(AJ510,LMH_KEY,0)),0)</f>
        <v>0</v>
      </c>
      <c r="BY510" s="38">
        <f>IFERROR(INDEX(LMH_STEP,MATCH(AK510,LMH_KEY,0)),0)</f>
        <v>0</v>
      </c>
      <c r="BZ510" s="38">
        <f>IFERROR(INDEX(LMH_STEP,MATCH(AL510,LMH_KEY,0)),0)</f>
        <v>0</v>
      </c>
      <c r="CA510" s="38" t="inlineStr">
        <is>
          <t>CARBON|Quality Assurance|Senior QA Engineer|A2|A</t>
        </is>
      </c>
    </row>
    <row r="511" ht="110" customHeight="1">
      <c r="A511" s="28" t="inlineStr">
        <is>
          <t>CARBON</t>
        </is>
      </c>
      <c r="B511" s="29" t="inlineStr">
        <is>
          <t>Quality Assurance</t>
        </is>
      </c>
      <c r="C511" s="29" t="n">
        <v>4</v>
      </c>
      <c r="D511" s="29" t="inlineStr">
        <is>
          <t>IRIS2014</t>
        </is>
      </c>
      <c r="E511" s="29" t="inlineStr">
        <is>
          <t>Vishal Panchal</t>
        </is>
      </c>
      <c r="F511" s="29" t="inlineStr">
        <is>
          <t>QA Engineer</t>
        </is>
      </c>
      <c r="G511" s="29" t="inlineStr">
        <is>
          <t>Senior QA Engineer</t>
        </is>
      </c>
      <c r="H511" s="29" t="inlineStr">
        <is>
          <t>Quality Assurance</t>
        </is>
      </c>
      <c r="I511" s="29" t="inlineStr">
        <is>
          <t>Functional &amp; Domain Testing</t>
        </is>
      </c>
      <c r="J511" s="29" t="inlineStr">
        <is>
          <t>IC</t>
        </is>
      </c>
      <c r="K511" s="29" t="inlineStr">
        <is>
          <t>RC-141</t>
        </is>
      </c>
      <c r="L511" s="29" t="inlineStr">
        <is>
          <t>Vinod Katekar</t>
        </is>
      </c>
      <c r="M511" s="29" t="inlineStr">
        <is>
          <t>IRIS0591</t>
        </is>
      </c>
      <c r="N511" s="29" t="n">
        <v>8.4</v>
      </c>
      <c r="O511" s="29" t="n">
        <v>4.4</v>
      </c>
      <c r="P511" s="29" t="inlineStr">
        <is>
          <t>B.E</t>
        </is>
      </c>
      <c r="Q511" s="29" t="inlineStr">
        <is>
          <t>L3 – Professional / Associate</t>
        </is>
      </c>
      <c r="R511" s="29" t="inlineStr">
        <is>
          <t>A3</t>
        </is>
      </c>
      <c r="S511" s="30" t="inlineStr">
        <is>
          <t>20 of 20</t>
        </is>
      </c>
      <c r="T511" s="31" t="inlineStr">
        <is>
          <t>• Role / sub-team: QA — Manual &amp; UX Testing.
• Core purpose: Check the software and find defects, going beyond defect-finding to also assess tool/software performance; verify the software runs smoothly with no errors once live.
• Top 5 responsibilities: Create test cases; execute test cases; follow-ups; report major issues to the group; regression testing; …</t>
        </is>
      </c>
      <c r="U511" s="31" t="inlineStr">
        <is>
          <t>Received · manager annual · 1.Ensure 100% functional, regression, and release validation coverage for the complete DM module across all major releases.
2.Increase automation coverage for DM and CARBON 3.0 modules from current baseline to ≥ 60% UI regression automation by FY end.
3.Reduce manual regression execution effort for owned modules by ≥ …</t>
        </is>
      </c>
      <c r="V511" s="31" t="inlineStr">
        <is>
          <t>Latest rating: Not rated · manager · 9-box: Not placed · manager · Readiness: No rating data</t>
        </is>
      </c>
      <c r="W511" s="31" t="inlineStr">
        <is>
          <t>C M · Au M · Ac M · L M · BI M · Exp H · 8.4 yrs vs 2–4 yrs · Edu M · B.E</t>
        </is>
      </c>
      <c r="X511" s="33" t="inlineStr">
        <is>
          <t>Open ▸</t>
        </is>
      </c>
      <c r="Y511" s="34" t="str">
        <f>IFERROR(INDEX(DL_C,MATCH($CA511,DL_KEY,0)),"M")</f>
        <v>H</v>
      </c>
      <c r="Z511" s="35" t="str">
        <f>IFERROR(INDEX(DL_Au,MATCH($CA511,DL_KEY,0)),"M")</f>
        <v>M</v>
      </c>
      <c r="AA511" s="35" t="str">
        <f>IFERROR(INDEX(DL_Ac,MATCH($CA511,DL_KEY,0)),"M")</f>
        <v>L</v>
      </c>
      <c r="AB511" s="35" t="str">
        <f>IFERROR(INDEX(DL_L,MATCH($CA511,DL_KEY,0)),"M")</f>
        <v>L</v>
      </c>
      <c r="AC511" s="35" t="str">
        <f>IFERROR(INDEX(DL_BI,MATCH($CA511,DL_KEY,0)),"M")</f>
        <v>L</v>
      </c>
      <c r="AD511" s="35" t="str">
        <f>IFERROR(INDEX(DL_Exp,MATCH($CA511,DL_KEY,0)),"M")</f>
        <v>L</v>
      </c>
      <c r="AE511" s="35" t="str">
        <f>IFERROR(INDEX(DL_Edu,MATCH($CA511,DL_KEY,0)),"M")</f>
        <v>L</v>
      </c>
      <c r="AF511" s="34" t="inlineStr">
        <is>
          <t>M</t>
        </is>
      </c>
      <c r="AG511" s="35" t="inlineStr">
        <is>
          <t>M</t>
        </is>
      </c>
      <c r="AH511" s="35" t="inlineStr">
        <is>
          <t>M</t>
        </is>
      </c>
      <c r="AI511" s="35" t="inlineStr">
        <is>
          <t>M</t>
        </is>
      </c>
      <c r="AJ511" s="35" t="inlineStr">
        <is>
          <t>M</t>
        </is>
      </c>
      <c r="AK511" s="35" t="inlineStr">
        <is>
          <t>M</t>
        </is>
      </c>
      <c r="AL511" s="35" t="inlineStr">
        <is>
          <t>M</t>
        </is>
      </c>
      <c r="AM511" s="36" t="n">
        <v>0.583</v>
      </c>
      <c r="AN511" s="37" t="n">
        <v>0.16</v>
      </c>
      <c r="AO511" s="37" t="n">
        <v>0.09</v>
      </c>
      <c r="AP511" s="37" t="n">
        <v>0</v>
      </c>
      <c r="AQ511" s="37" t="n">
        <v>0.063</v>
      </c>
      <c r="AR511" s="37" t="n">
        <v>0.06</v>
      </c>
      <c r="AS511" s="37" t="n">
        <v>0.04</v>
      </c>
      <c r="AT511" s="38" t="inlineStr">
        <is>
          <t>2–5</t>
        </is>
      </c>
      <c r="AU511" s="38" t="inlineStr">
        <is>
          <t>Graduate; relevant certification preferred</t>
        </is>
      </c>
      <c r="AV511" s="38" t="inlineStr">
        <is>
          <t>None · guides 1–3 juniors informally</t>
        </is>
      </c>
      <c r="AW511" s="38" t="inlineStr">
        <is>
          <t>P2 · SFIA 3 Apply</t>
        </is>
      </c>
      <c r="AX51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11" s="39" t="inlineStr">
        <is>
          <t>A3</t>
        </is>
      </c>
      <c r="AZ511" s="40" t="inlineStr">
        <is>
          <t>Band A · Practitioner · Senior Associate</t>
        </is>
      </c>
      <c r="BA511" s="40" t="inlineStr">
        <is>
          <t>Model A3 from the six ratings, the market-derived weights and rules R1–R13 · then No change · already below the manager</t>
        </is>
      </c>
      <c r="BB511" s="41" t="inlineStr">
        <is>
          <t>A3</t>
        </is>
      </c>
      <c r="BC511" s="40" t="inlineStr">
        <is>
          <t>The six ratings on the market-average weights of Band A · all tracks score 2.95 → A3 · Hay, Mercer IPE and public plans · experience 8.4 yrs vs the A3 market range 2–5</t>
        </is>
      </c>
      <c r="BD511" s="42">
        <f>IF(SUM(BM511,BN511,BO511,BP511,BQ511,BR511,BS511)=0,0,(BM511*BT511+BN511*BU511+BO511*BV511+BP511*BW511+BQ511*BX511+BR511*BY511+BS511*BZ511)/SUM(BM511,BN511,BO511,BP511,BQ511,BR511,BS511))</f>
        <v>0</v>
      </c>
      <c r="BE511" s="41" t="str">
        <f>IF(LEFT(AY511,1)="X",AY511,IF(OR(AY511="B+",AY511="C+"),INDEX(LAD_PC,MAX(1,MIN(14,MATCH(AY511,LAD_PC,0)+IF(BD511&gt;=0.5,1,IF(BD511&lt;=-0.5,-1,0))))),INDEX(LAD_STD,MAX(1,MIN(12,MATCH(AY511,LAD_STD,0)+IF(BD511&gt;=0.5,1,IF(BD511&lt;=-0.5,-1,0)))))))</f>
        <v>A3</v>
      </c>
      <c r="BF511" s="43" t="n"/>
      <c r="BG511" s="41" t="str">
        <f>IF(BF511&lt;&gt;"",BF511,BE511)</f>
        <v>A3</v>
      </c>
      <c r="BH511" s="40" t="str">
        <f>IFERROR(CHOOSE(INDEX(B_RANK,MATCH(BG511,B_LVL,0)),"Band A","Band B","B+ · Player-Coach","Band C","C+ · Player-Coach","Band D","Band E"),"Band X · Consultant")</f>
        <v>Band A</v>
      </c>
      <c r="BI511" s="40" t="str">
        <f>IF(BG511=AY511,"• Same",IF(INDEX(B_VAL,MATCH(BG511,B_LVL,0))&gt;INDEX(B_VAL,MATCH(AY511,B_LVL,0)),"▲ Up","▼ Down"))</f>
        <v>• Same</v>
      </c>
      <c r="BJ511" s="40" t="str">
        <f>IF(OR($M511="",$M511="—",$M511="Not in this file"),"",IFERROR(INDEX($BG$7:$BG$592,MATCH($M511,$D$7:$D$592,0)),""))</f>
        <v>B1</v>
      </c>
      <c r="BK511" s="40" t="str">
        <f>IFERROR(IF(BJ511="","—",IF(OR(LEFT(BG511,1)="X",LEFT(BJ511,1)="X"),"—",IF(AND(LEFT(BG511,1)="E",LEFT(BJ511,1)="E"),"Exception · Band E",IF(AND(INDEX(B_VAL,MATCH(BJ511,B_LVL,0))&gt;=7,INDEX(B_RANK,MATCH(BG511,B_LVL,0))&gt;=INDEX(B_RANK,MATCH(BJ511,B_LVL,0))),"⚠ Same band as a head manager",IF(INDEX(B_VAL,MATCH(BG511,B_LVL,0))&gt;=INDEX(B_VAL,MATCH(BJ511,B_LVL,0)),"⚠ At or above the manager's level","OK"))))),"—")</f>
        <v>OK</v>
      </c>
      <c r="BL511" s="43" t="n"/>
      <c r="BM511" s="44">
        <f>IFERROR(INDEX(LMH_PTS,MATCH(Y511,LMH_KEY,0)),0)</f>
        <v>9</v>
      </c>
      <c r="BN511" s="38">
        <f>IFERROR(INDEX(LMH_PTS,MATCH(Z511,LMH_KEY,0)),0)</f>
        <v>3</v>
      </c>
      <c r="BO511" s="38">
        <f>IFERROR(INDEX(LMH_PTS,MATCH(AA511,LMH_KEY,0)),0)</f>
        <v>1</v>
      </c>
      <c r="BP511" s="38">
        <f>IFERROR(INDEX(LMH_PTS,MATCH(AB511,LMH_KEY,0)),0)</f>
        <v>1</v>
      </c>
      <c r="BQ511" s="38">
        <f>IFERROR(INDEX(LMH_PTS,MATCH(AC511,LMH_KEY,0)),0)</f>
        <v>1</v>
      </c>
      <c r="BR511" s="38">
        <f>IFERROR(INDEX(LMH_PTS,MATCH(AD511,LMH_KEY,0)),0)</f>
        <v>1</v>
      </c>
      <c r="BS511" s="38">
        <f>IFERROR(INDEX(LMH_PTS,MATCH(AE511,LMH_KEY,0)),0)</f>
        <v>1</v>
      </c>
      <c r="BT511" s="38">
        <f>IFERROR(INDEX(LMH_STEP,MATCH(AF511,LMH_KEY,0)),0)</f>
        <v>0</v>
      </c>
      <c r="BU511" s="38">
        <f>IFERROR(INDEX(LMH_STEP,MATCH(AG511,LMH_KEY,0)),0)</f>
        <v>0</v>
      </c>
      <c r="BV511" s="38">
        <f>IFERROR(INDEX(LMH_STEP,MATCH(AH511,LMH_KEY,0)),0)</f>
        <v>0</v>
      </c>
      <c r="BW511" s="38">
        <f>IFERROR(INDEX(LMH_STEP,MATCH(AI511,LMH_KEY,0)),0)</f>
        <v>0</v>
      </c>
      <c r="BX511" s="38">
        <f>IFERROR(INDEX(LMH_STEP,MATCH(AJ511,LMH_KEY,0)),0)</f>
        <v>0</v>
      </c>
      <c r="BY511" s="38">
        <f>IFERROR(INDEX(LMH_STEP,MATCH(AK511,LMH_KEY,0)),0)</f>
        <v>0</v>
      </c>
      <c r="BZ511" s="38">
        <f>IFERROR(INDEX(LMH_STEP,MATCH(AL511,LMH_KEY,0)),0)</f>
        <v>0</v>
      </c>
      <c r="CA511" s="38" t="inlineStr">
        <is>
          <t>CARBON|Quality Assurance|Senior QA Engineer|A3|A</t>
        </is>
      </c>
    </row>
    <row r="512" ht="110" customHeight="1">
      <c r="A512" s="28" t="inlineStr">
        <is>
          <t>CARBON</t>
        </is>
      </c>
      <c r="B512" s="29" t="inlineStr">
        <is>
          <t>Quality Assurance</t>
        </is>
      </c>
      <c r="C512" s="29" t="n">
        <v>5</v>
      </c>
      <c r="D512" s="29" t="inlineStr">
        <is>
          <t>IRIS2388</t>
        </is>
      </c>
      <c r="E512" s="29" t="inlineStr">
        <is>
          <t>Hrishikesh Thombare</t>
        </is>
      </c>
      <c r="F512" s="29" t="inlineStr">
        <is>
          <t>QA Engineer</t>
        </is>
      </c>
      <c r="G512" s="29" t="inlineStr">
        <is>
          <t>Senior QA Engineer</t>
        </is>
      </c>
      <c r="H512" s="29" t="inlineStr">
        <is>
          <t>Quality Assurance</t>
        </is>
      </c>
      <c r="I512" s="29" t="inlineStr">
        <is>
          <t>Functional &amp; Domain Testing</t>
        </is>
      </c>
      <c r="J512" s="29" t="inlineStr">
        <is>
          <t>IC</t>
        </is>
      </c>
      <c r="K512" s="29" t="inlineStr">
        <is>
          <t>RC-141</t>
        </is>
      </c>
      <c r="L512" s="29" t="inlineStr">
        <is>
          <t>Vishal Panchal</t>
        </is>
      </c>
      <c r="M512" s="29" t="inlineStr">
        <is>
          <t>IRIS2014</t>
        </is>
      </c>
      <c r="N512" s="29" t="n">
        <v>4.1</v>
      </c>
      <c r="O512" s="29" t="n">
        <v>1.3</v>
      </c>
      <c r="P512" s="29" t="inlineStr">
        <is>
          <t>B.Com</t>
        </is>
      </c>
      <c r="Q512" s="29" t="inlineStr">
        <is>
          <t>L3 – Professional / Associate</t>
        </is>
      </c>
      <c r="R512" s="29" t="inlineStr">
        <is>
          <t>A3</t>
        </is>
      </c>
      <c r="S512" s="30" t="inlineStr">
        <is>
          <t>20 of 20</t>
        </is>
      </c>
      <c r="T512" s="31" t="inlineStr">
        <is>
          <t>Complexity: Evidence reads like A2: Manual functional and regression testing, test case creation on XBRL disclosure-management workflows; standard QA method → matches the start
Autonomy: Evidence reads like A2: Chooses which positive, negative and boundary scenarios to cover; judges whether a retest passes → matches the start
Accountability: Evidence reads …</t>
        </is>
      </c>
      <c r="U512" s="31" t="inlineStr">
        <is>
          <t>Received · manager annual · 1.Ensure 100% execution and validation of assigned functional and regression test cases for planned releases.
2.Develop strong product and domain knowledge for assigned modules and participate actively in requirement analysis and test design activities.
3.Ensure all customer-reported critical defects related to …</t>
        </is>
      </c>
      <c r="V512" s="31" t="inlineStr">
        <is>
          <t>Latest rating: Not rated · manager · 9-box: Reliable Specialist · Readiness: No rating data</t>
        </is>
      </c>
      <c r="W512" s="31" t="inlineStr">
        <is>
          <t>C M · Au M · Ac M · L L · BI M · Exp H · 4.1 yrs vs 0–2 yrs · Edu M · B.Com</t>
        </is>
      </c>
      <c r="X512" s="33" t="inlineStr">
        <is>
          <t>Open ▸</t>
        </is>
      </c>
      <c r="Y512" s="34" t="str">
        <f>IFERROR(INDEX(DL_C,MATCH($CA512,DL_KEY,0)),"M")</f>
        <v>H</v>
      </c>
      <c r="Z512" s="35" t="str">
        <f>IFERROR(INDEX(DL_Au,MATCH($CA512,DL_KEY,0)),"M")</f>
        <v>M</v>
      </c>
      <c r="AA512" s="35" t="str">
        <f>IFERROR(INDEX(DL_Ac,MATCH($CA512,DL_KEY,0)),"M")</f>
        <v>L</v>
      </c>
      <c r="AB512" s="35" t="str">
        <f>IFERROR(INDEX(DL_L,MATCH($CA512,DL_KEY,0)),"M")</f>
        <v>L</v>
      </c>
      <c r="AC512" s="35" t="str">
        <f>IFERROR(INDEX(DL_BI,MATCH($CA512,DL_KEY,0)),"M")</f>
        <v>L</v>
      </c>
      <c r="AD512" s="35" t="str">
        <f>IFERROR(INDEX(DL_Exp,MATCH($CA512,DL_KEY,0)),"M")</f>
        <v>L</v>
      </c>
      <c r="AE512" s="35" t="str">
        <f>IFERROR(INDEX(DL_Edu,MATCH($CA512,DL_KEY,0)),"M")</f>
        <v>L</v>
      </c>
      <c r="AF512" s="34" t="inlineStr">
        <is>
          <t>M</t>
        </is>
      </c>
      <c r="AG512" s="35" t="inlineStr">
        <is>
          <t>M</t>
        </is>
      </c>
      <c r="AH512" s="35" t="inlineStr">
        <is>
          <t>M</t>
        </is>
      </c>
      <c r="AI512" s="35" t="inlineStr">
        <is>
          <t>M</t>
        </is>
      </c>
      <c r="AJ512" s="35" t="inlineStr">
        <is>
          <t>M</t>
        </is>
      </c>
      <c r="AK512" s="35" t="inlineStr">
        <is>
          <t>M</t>
        </is>
      </c>
      <c r="AL512" s="35" t="inlineStr">
        <is>
          <t>M</t>
        </is>
      </c>
      <c r="AM512" s="36" t="n">
        <v>0.583</v>
      </c>
      <c r="AN512" s="37" t="n">
        <v>0.16</v>
      </c>
      <c r="AO512" s="37" t="n">
        <v>0.09</v>
      </c>
      <c r="AP512" s="37" t="n">
        <v>0</v>
      </c>
      <c r="AQ512" s="37" t="n">
        <v>0.063</v>
      </c>
      <c r="AR512" s="37" t="n">
        <v>0.06</v>
      </c>
      <c r="AS512" s="37" t="n">
        <v>0.04</v>
      </c>
      <c r="AT512" s="38" t="inlineStr">
        <is>
          <t>0–3</t>
        </is>
      </c>
      <c r="AU512" s="38" t="inlineStr">
        <is>
          <t>Graduate · or diploma with experience</t>
        </is>
      </c>
      <c r="AV512" s="38" t="inlineStr">
        <is>
          <t>No direct reports</t>
        </is>
      </c>
      <c r="AW512" s="38" t="inlineStr">
        <is>
          <t>P1–P2 · SFIA 2 Assist</t>
        </is>
      </c>
      <c r="AX51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12" s="39" t="inlineStr">
        <is>
          <t>A2</t>
        </is>
      </c>
      <c r="AZ512" s="40" t="inlineStr">
        <is>
          <t>Band A · Practitioner · Associate</t>
        </is>
      </c>
      <c r="BA512" s="40" t="inlineStr">
        <is>
          <t>Model A3 from the six ratings, the market-derived weights and rules R1–R13 · then Level rule: manager A3; a reportee sits at least one level below · A3 → A2 · move down · pay and title protected for one cycle</t>
        </is>
      </c>
      <c r="BB512" s="41" t="inlineStr">
        <is>
          <t>A2</t>
        </is>
      </c>
      <c r="BC512" s="40" t="inlineStr">
        <is>
          <t>The six ratings on the market-average weights of Band A · all tracks score 2.15 → A2 · Hay, Mercer IPE and public plans · experience 4.1 yrs vs the A2 market range 0–3</t>
        </is>
      </c>
      <c r="BD512" s="42">
        <f>IF(SUM(BM512,BN512,BO512,BP512,BQ512,BR512,BS512)=0,0,(BM512*BT512+BN512*BU512+BO512*BV512+BP512*BW512+BQ512*BX512+BR512*BY512+BS512*BZ512)/SUM(BM512,BN512,BO512,BP512,BQ512,BR512,BS512))</f>
        <v>0</v>
      </c>
      <c r="BE512" s="41" t="str">
        <f>IF(LEFT(AY512,1)="X",AY512,IF(OR(AY512="B+",AY512="C+"),INDEX(LAD_PC,MAX(1,MIN(14,MATCH(AY512,LAD_PC,0)+IF(BD512&gt;=0.5,1,IF(BD512&lt;=-0.5,-1,0))))),INDEX(LAD_STD,MAX(1,MIN(12,MATCH(AY512,LAD_STD,0)+IF(BD512&gt;=0.5,1,IF(BD512&lt;=-0.5,-1,0)))))))</f>
        <v>A2</v>
      </c>
      <c r="BF512" s="43" t="n"/>
      <c r="BG512" s="41" t="str">
        <f>IF(BF512&lt;&gt;"",BF512,BE512)</f>
        <v>A2</v>
      </c>
      <c r="BH512" s="40" t="str">
        <f>IFERROR(CHOOSE(INDEX(B_RANK,MATCH(BG512,B_LVL,0)),"Band A","Band B","B+ · Player-Coach","Band C","C+ · Player-Coach","Band D","Band E"),"Band X · Consultant")</f>
        <v>Band A</v>
      </c>
      <c r="BI512" s="40" t="str">
        <f>IF(BG512=AY512,"• Same",IF(INDEX(B_VAL,MATCH(BG512,B_LVL,0))&gt;INDEX(B_VAL,MATCH(AY512,B_LVL,0)),"▲ Up","▼ Down"))</f>
        <v>• Same</v>
      </c>
      <c r="BJ512" s="40" t="str">
        <f>IF(OR($M512="",$M512="—",$M512="Not in this file"),"",IFERROR(INDEX($BG$7:$BG$592,MATCH($M512,$D$7:$D$592,0)),""))</f>
        <v>A3</v>
      </c>
      <c r="BK512" s="40" t="str">
        <f>IFERROR(IF(BJ512="","—",IF(OR(LEFT(BG512,1)="X",LEFT(BJ512,1)="X"),"—",IF(AND(LEFT(BG512,1)="E",LEFT(BJ512,1)="E"),"Exception · Band E",IF(AND(INDEX(B_VAL,MATCH(BJ512,B_LVL,0))&gt;=7,INDEX(B_RANK,MATCH(BG512,B_LVL,0))&gt;=INDEX(B_RANK,MATCH(BJ512,B_LVL,0))),"⚠ Same band as a head manager",IF(INDEX(B_VAL,MATCH(BG512,B_LVL,0))&gt;=INDEX(B_VAL,MATCH(BJ512,B_LVL,0)),"⚠ At or above the manager's level","OK"))))),"—")</f>
        <v>OK</v>
      </c>
      <c r="BL512" s="43" t="n"/>
      <c r="BM512" s="44">
        <f>IFERROR(INDEX(LMH_PTS,MATCH(Y512,LMH_KEY,0)),0)</f>
        <v>9</v>
      </c>
      <c r="BN512" s="38">
        <f>IFERROR(INDEX(LMH_PTS,MATCH(Z512,LMH_KEY,0)),0)</f>
        <v>3</v>
      </c>
      <c r="BO512" s="38">
        <f>IFERROR(INDEX(LMH_PTS,MATCH(AA512,LMH_KEY,0)),0)</f>
        <v>1</v>
      </c>
      <c r="BP512" s="38">
        <f>IFERROR(INDEX(LMH_PTS,MATCH(AB512,LMH_KEY,0)),0)</f>
        <v>1</v>
      </c>
      <c r="BQ512" s="38">
        <f>IFERROR(INDEX(LMH_PTS,MATCH(AC512,LMH_KEY,0)),0)</f>
        <v>1</v>
      </c>
      <c r="BR512" s="38">
        <f>IFERROR(INDEX(LMH_PTS,MATCH(AD512,LMH_KEY,0)),0)</f>
        <v>1</v>
      </c>
      <c r="BS512" s="38">
        <f>IFERROR(INDEX(LMH_PTS,MATCH(AE512,LMH_KEY,0)),0)</f>
        <v>1</v>
      </c>
      <c r="BT512" s="38">
        <f>IFERROR(INDEX(LMH_STEP,MATCH(AF512,LMH_KEY,0)),0)</f>
        <v>0</v>
      </c>
      <c r="BU512" s="38">
        <f>IFERROR(INDEX(LMH_STEP,MATCH(AG512,LMH_KEY,0)),0)</f>
        <v>0</v>
      </c>
      <c r="BV512" s="38">
        <f>IFERROR(INDEX(LMH_STEP,MATCH(AH512,LMH_KEY,0)),0)</f>
        <v>0</v>
      </c>
      <c r="BW512" s="38">
        <f>IFERROR(INDEX(LMH_STEP,MATCH(AI512,LMH_KEY,0)),0)</f>
        <v>0</v>
      </c>
      <c r="BX512" s="38">
        <f>IFERROR(INDEX(LMH_STEP,MATCH(AJ512,LMH_KEY,0)),0)</f>
        <v>0</v>
      </c>
      <c r="BY512" s="38">
        <f>IFERROR(INDEX(LMH_STEP,MATCH(AK512,LMH_KEY,0)),0)</f>
        <v>0</v>
      </c>
      <c r="BZ512" s="38">
        <f>IFERROR(INDEX(LMH_STEP,MATCH(AL512,LMH_KEY,0)),0)</f>
        <v>0</v>
      </c>
      <c r="CA512" s="38" t="inlineStr">
        <is>
          <t>CARBON|Quality Assurance|Senior QA Engineer|A2|A</t>
        </is>
      </c>
    </row>
    <row r="513" ht="110" customHeight="1">
      <c r="A513" s="28" t="inlineStr">
        <is>
          <t>CARBON</t>
        </is>
      </c>
      <c r="B513" s="29" t="inlineStr">
        <is>
          <t>Quality Assurance</t>
        </is>
      </c>
      <c r="C513" s="29" t="n">
        <v>5</v>
      </c>
      <c r="D513" s="29" t="inlineStr">
        <is>
          <t>IRIS2107</t>
        </is>
      </c>
      <c r="E513" s="29" t="inlineStr">
        <is>
          <t>Pratikkumar Mistry</t>
        </is>
      </c>
      <c r="F513" s="29" t="inlineStr">
        <is>
          <t>QA Engineer</t>
        </is>
      </c>
      <c r="G513" s="29" t="inlineStr">
        <is>
          <t>Senior QA Engineer</t>
        </is>
      </c>
      <c r="H513" s="29" t="inlineStr">
        <is>
          <t>Quality Assurance</t>
        </is>
      </c>
      <c r="I513" s="29" t="inlineStr">
        <is>
          <t>Functional &amp; Domain Testing</t>
        </is>
      </c>
      <c r="J513" s="29" t="inlineStr">
        <is>
          <t>IC</t>
        </is>
      </c>
      <c r="K513" s="29" t="inlineStr">
        <is>
          <t>RC-141</t>
        </is>
      </c>
      <c r="L513" s="29" t="inlineStr">
        <is>
          <t>Vishal Panchal</t>
        </is>
      </c>
      <c r="M513" s="29" t="inlineStr">
        <is>
          <t>IRIS2014</t>
        </is>
      </c>
      <c r="N513" s="29" t="n">
        <v>6.9</v>
      </c>
      <c r="O513" s="29" t="n">
        <v>3.5</v>
      </c>
      <c r="P513" s="29" t="inlineStr">
        <is>
          <t>B.E</t>
        </is>
      </c>
      <c r="Q513" s="29" t="inlineStr">
        <is>
          <t>L3 – Professional / Associate</t>
        </is>
      </c>
      <c r="R513" s="29" t="inlineStr">
        <is>
          <t>A3</t>
        </is>
      </c>
      <c r="S513" s="30" t="inlineStr">
        <is>
          <t>20 of 20</t>
        </is>
      </c>
      <c r="T513" s="31" t="inlineStr">
        <is>
          <t>• Role / sub-team: QA.
• Core purpose: Check the product/features and verify that the client's stated requirements are met, finding defects/bugs before the system reaches production.
• Top 5 responsibilities: Write test cases; execute test cases; defect reporting; sprint grooming; replicating live issues.
• Decision-making autonomy: Free to generate test …</t>
        </is>
      </c>
      <c r="U513" s="31" t="inlineStr">
        <is>
          <t>Received · manager annual · 1. Own end-to-end quality assurance activities for assigned modules and ensure complete functional, regression, and release validation coverage for all planned releases.
2. Ensure that all critical customer-reported defects are incorporated into the regression suite · manual or automated within one sprint of defect …</t>
        </is>
      </c>
      <c r="V513" s="31" t="inlineStr">
        <is>
          <t>Latest rating: Not rated · manager · 9-box: Reliable Specialist · Readiness: No rating data</t>
        </is>
      </c>
      <c r="W513" s="31" t="inlineStr">
        <is>
          <t>C M · Au M · Ac M · L L · BI M · Exp H · 6.9 yrs vs 0–2 yrs · Edu M · B.E</t>
        </is>
      </c>
      <c r="X513" s="33" t="inlineStr">
        <is>
          <t>Open ▸</t>
        </is>
      </c>
      <c r="Y513" s="34" t="str">
        <f>IFERROR(INDEX(DL_C,MATCH($CA513,DL_KEY,0)),"M")</f>
        <v>H</v>
      </c>
      <c r="Z513" s="35" t="str">
        <f>IFERROR(INDEX(DL_Au,MATCH($CA513,DL_KEY,0)),"M")</f>
        <v>M</v>
      </c>
      <c r="AA513" s="35" t="str">
        <f>IFERROR(INDEX(DL_Ac,MATCH($CA513,DL_KEY,0)),"M")</f>
        <v>L</v>
      </c>
      <c r="AB513" s="35" t="str">
        <f>IFERROR(INDEX(DL_L,MATCH($CA513,DL_KEY,0)),"M")</f>
        <v>L</v>
      </c>
      <c r="AC513" s="35" t="str">
        <f>IFERROR(INDEX(DL_BI,MATCH($CA513,DL_KEY,0)),"M")</f>
        <v>L</v>
      </c>
      <c r="AD513" s="35" t="str">
        <f>IFERROR(INDEX(DL_Exp,MATCH($CA513,DL_KEY,0)),"M")</f>
        <v>L</v>
      </c>
      <c r="AE513" s="35" t="str">
        <f>IFERROR(INDEX(DL_Edu,MATCH($CA513,DL_KEY,0)),"M")</f>
        <v>L</v>
      </c>
      <c r="AF513" s="34" t="inlineStr">
        <is>
          <t>M</t>
        </is>
      </c>
      <c r="AG513" s="35" t="inlineStr">
        <is>
          <t>M</t>
        </is>
      </c>
      <c r="AH513" s="35" t="inlineStr">
        <is>
          <t>M</t>
        </is>
      </c>
      <c r="AI513" s="35" t="inlineStr">
        <is>
          <t>M</t>
        </is>
      </c>
      <c r="AJ513" s="35" t="inlineStr">
        <is>
          <t>M</t>
        </is>
      </c>
      <c r="AK513" s="35" t="inlineStr">
        <is>
          <t>M</t>
        </is>
      </c>
      <c r="AL513" s="35" t="inlineStr">
        <is>
          <t>M</t>
        </is>
      </c>
      <c r="AM513" s="36" t="n">
        <v>0.583</v>
      </c>
      <c r="AN513" s="37" t="n">
        <v>0.16</v>
      </c>
      <c r="AO513" s="37" t="n">
        <v>0.09</v>
      </c>
      <c r="AP513" s="37" t="n">
        <v>0</v>
      </c>
      <c r="AQ513" s="37" t="n">
        <v>0.063</v>
      </c>
      <c r="AR513" s="37" t="n">
        <v>0.06</v>
      </c>
      <c r="AS513" s="37" t="n">
        <v>0.04</v>
      </c>
      <c r="AT513" s="38" t="inlineStr">
        <is>
          <t>0–3</t>
        </is>
      </c>
      <c r="AU513" s="38" t="inlineStr">
        <is>
          <t>Graduate · or diploma with experience</t>
        </is>
      </c>
      <c r="AV513" s="38" t="inlineStr">
        <is>
          <t>No direct reports</t>
        </is>
      </c>
      <c r="AW513" s="38" t="inlineStr">
        <is>
          <t>P1–P2 · SFIA 2 Assist</t>
        </is>
      </c>
      <c r="AX51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13" s="39" t="inlineStr">
        <is>
          <t>A2</t>
        </is>
      </c>
      <c r="AZ513" s="40" t="inlineStr">
        <is>
          <t>Band A · Practitioner · Associate</t>
        </is>
      </c>
      <c r="BA513" s="40" t="inlineStr">
        <is>
          <t>Model A3 from the six ratings, the market-derived weights and rules R1–R13 · then Level rule: manager A3; a reportee sits at least one level below · A3 → A2 · move down · pay and title protected for one cycle</t>
        </is>
      </c>
      <c r="BB513" s="41" t="inlineStr">
        <is>
          <t>A2</t>
        </is>
      </c>
      <c r="BC513" s="40" t="inlineStr">
        <is>
          <t>The six ratings on the market-average weights of Band A · all tracks score 2.25 → A2 · Hay, Mercer IPE and public plans · experience 6.9 yrs vs the A2 market range 0–3</t>
        </is>
      </c>
      <c r="BD513" s="42">
        <f>IF(SUM(BM513,BN513,BO513,BP513,BQ513,BR513,BS513)=0,0,(BM513*BT513+BN513*BU513+BO513*BV513+BP513*BW513+BQ513*BX513+BR513*BY513+BS513*BZ513)/SUM(BM513,BN513,BO513,BP513,BQ513,BR513,BS513))</f>
        <v>0</v>
      </c>
      <c r="BE513" s="41" t="str">
        <f>IF(LEFT(AY513,1)="X",AY513,IF(OR(AY513="B+",AY513="C+"),INDEX(LAD_PC,MAX(1,MIN(14,MATCH(AY513,LAD_PC,0)+IF(BD513&gt;=0.5,1,IF(BD513&lt;=-0.5,-1,0))))),INDEX(LAD_STD,MAX(1,MIN(12,MATCH(AY513,LAD_STD,0)+IF(BD513&gt;=0.5,1,IF(BD513&lt;=-0.5,-1,0)))))))</f>
        <v>A2</v>
      </c>
      <c r="BF513" s="43" t="n"/>
      <c r="BG513" s="41" t="str">
        <f>IF(BF513&lt;&gt;"",BF513,BE513)</f>
        <v>A2</v>
      </c>
      <c r="BH513" s="40" t="str">
        <f>IFERROR(CHOOSE(INDEX(B_RANK,MATCH(BG513,B_LVL,0)),"Band A","Band B","B+ · Player-Coach","Band C","C+ · Player-Coach","Band D","Band E"),"Band X · Consultant")</f>
        <v>Band A</v>
      </c>
      <c r="BI513" s="40" t="str">
        <f>IF(BG513=AY513,"• Same",IF(INDEX(B_VAL,MATCH(BG513,B_LVL,0))&gt;INDEX(B_VAL,MATCH(AY513,B_LVL,0)),"▲ Up","▼ Down"))</f>
        <v>• Same</v>
      </c>
      <c r="BJ513" s="40" t="str">
        <f>IF(OR($M513="",$M513="—",$M513="Not in this file"),"",IFERROR(INDEX($BG$7:$BG$592,MATCH($M513,$D$7:$D$592,0)),""))</f>
        <v>A3</v>
      </c>
      <c r="BK513" s="40" t="str">
        <f>IFERROR(IF(BJ513="","—",IF(OR(LEFT(BG513,1)="X",LEFT(BJ513,1)="X"),"—",IF(AND(LEFT(BG513,1)="E",LEFT(BJ513,1)="E"),"Exception · Band E",IF(AND(INDEX(B_VAL,MATCH(BJ513,B_LVL,0))&gt;=7,INDEX(B_RANK,MATCH(BG513,B_LVL,0))&gt;=INDEX(B_RANK,MATCH(BJ513,B_LVL,0))),"⚠ Same band as a head manager",IF(INDEX(B_VAL,MATCH(BG513,B_LVL,0))&gt;=INDEX(B_VAL,MATCH(BJ513,B_LVL,0)),"⚠ At or above the manager's level","OK"))))),"—")</f>
        <v>OK</v>
      </c>
      <c r="BL513" s="43" t="n"/>
      <c r="BM513" s="44">
        <f>IFERROR(INDEX(LMH_PTS,MATCH(Y513,LMH_KEY,0)),0)</f>
        <v>9</v>
      </c>
      <c r="BN513" s="38">
        <f>IFERROR(INDEX(LMH_PTS,MATCH(Z513,LMH_KEY,0)),0)</f>
        <v>3</v>
      </c>
      <c r="BO513" s="38">
        <f>IFERROR(INDEX(LMH_PTS,MATCH(AA513,LMH_KEY,0)),0)</f>
        <v>1</v>
      </c>
      <c r="BP513" s="38">
        <f>IFERROR(INDEX(LMH_PTS,MATCH(AB513,LMH_KEY,0)),0)</f>
        <v>1</v>
      </c>
      <c r="BQ513" s="38">
        <f>IFERROR(INDEX(LMH_PTS,MATCH(AC513,LMH_KEY,0)),0)</f>
        <v>1</v>
      </c>
      <c r="BR513" s="38">
        <f>IFERROR(INDEX(LMH_PTS,MATCH(AD513,LMH_KEY,0)),0)</f>
        <v>1</v>
      </c>
      <c r="BS513" s="38">
        <f>IFERROR(INDEX(LMH_PTS,MATCH(AE513,LMH_KEY,0)),0)</f>
        <v>1</v>
      </c>
      <c r="BT513" s="38">
        <f>IFERROR(INDEX(LMH_STEP,MATCH(AF513,LMH_KEY,0)),0)</f>
        <v>0</v>
      </c>
      <c r="BU513" s="38">
        <f>IFERROR(INDEX(LMH_STEP,MATCH(AG513,LMH_KEY,0)),0)</f>
        <v>0</v>
      </c>
      <c r="BV513" s="38">
        <f>IFERROR(INDEX(LMH_STEP,MATCH(AH513,LMH_KEY,0)),0)</f>
        <v>0</v>
      </c>
      <c r="BW513" s="38">
        <f>IFERROR(INDEX(LMH_STEP,MATCH(AI513,LMH_KEY,0)),0)</f>
        <v>0</v>
      </c>
      <c r="BX513" s="38">
        <f>IFERROR(INDEX(LMH_STEP,MATCH(AJ513,LMH_KEY,0)),0)</f>
        <v>0</v>
      </c>
      <c r="BY513" s="38">
        <f>IFERROR(INDEX(LMH_STEP,MATCH(AK513,LMH_KEY,0)),0)</f>
        <v>0</v>
      </c>
      <c r="BZ513" s="38">
        <f>IFERROR(INDEX(LMH_STEP,MATCH(AL513,LMH_KEY,0)),0)</f>
        <v>0</v>
      </c>
      <c r="CA513" s="38" t="inlineStr">
        <is>
          <t>CARBON|Quality Assurance|Senior QA Engineer|A2|A</t>
        </is>
      </c>
    </row>
    <row r="514" ht="110" customHeight="1">
      <c r="A514" s="28" t="inlineStr">
        <is>
          <t>CARBON</t>
        </is>
      </c>
      <c r="B514" s="29" t="inlineStr">
        <is>
          <t>Quality Assurance</t>
        </is>
      </c>
      <c r="C514" s="29" t="n">
        <v>4</v>
      </c>
      <c r="D514" s="29" t="inlineStr">
        <is>
          <t>IRIS2112</t>
        </is>
      </c>
      <c r="E514" s="29" t="inlineStr">
        <is>
          <t>Vitiksha Gamit</t>
        </is>
      </c>
      <c r="F514" s="29" t="inlineStr">
        <is>
          <t>QA Automation Engineer</t>
        </is>
      </c>
      <c r="G514" s="29" t="inlineStr">
        <is>
          <t>Senior QA Automation Engineer</t>
        </is>
      </c>
      <c r="H514" s="29" t="inlineStr">
        <is>
          <t>Quality Assurance</t>
        </is>
      </c>
      <c r="I514" s="29" t="inlineStr">
        <is>
          <t>Test Automation</t>
        </is>
      </c>
      <c r="J514" s="29" t="inlineStr">
        <is>
          <t>IC</t>
        </is>
      </c>
      <c r="K514" s="29" t="inlineStr">
        <is>
          <t>RC-146</t>
        </is>
      </c>
      <c r="L514" s="29" t="inlineStr">
        <is>
          <t>Vinod Katekar</t>
        </is>
      </c>
      <c r="M514" s="29" t="inlineStr">
        <is>
          <t>IRIS0591</t>
        </is>
      </c>
      <c r="N514" s="29" t="n">
        <v>3.5</v>
      </c>
      <c r="O514" s="29" t="n">
        <v>3.5</v>
      </c>
      <c r="P514" s="29" t="inlineStr">
        <is>
          <t>MSC</t>
        </is>
      </c>
      <c r="Q514" s="29" t="inlineStr">
        <is>
          <t>L3 – Professional / Associate</t>
        </is>
      </c>
      <c r="R514" s="29" t="inlineStr">
        <is>
          <t>A3</t>
        </is>
      </c>
      <c r="S514" s="30" t="inlineStr">
        <is>
          <t>20 of 20</t>
        </is>
      </c>
      <c r="T514" s="31" t="inlineStr">
        <is>
          <t>• Role / sub-team: QA Automation.
• Core purpose: Create and maintain automation tests to make sure the application works correctly, reducing manual testing, finding defects early, and improving overall product quality.
• Top 5 responsibilities: Create automation scripts; execute automated test cases; find and report defects; improve automation coverage; …</t>
        </is>
      </c>
      <c r="U514" s="31" t="inlineStr">
        <is>
          <t>Received · manager annual · 1.Increase end-to-end automation coverage across all IRIS CARBON suites · DM, ESG, Carbon from current baseline to ≥ 90% regression coverage by end of FY.
2.Reduce complete regression execution cycle from current baseline to ≤ 5 hours per release through optimized automation framework and parallel …</t>
        </is>
      </c>
      <c r="V514" s="31" t="inlineStr">
        <is>
          <t>Latest rating: Not rated · manager · 9-box: Trusted Professional · Readiness: No rating data</t>
        </is>
      </c>
      <c r="W514" s="31" t="inlineStr">
        <is>
          <t>C M · Au M · Ac M · L L · BI M · Exp M · 3.5 yrs vs 2–4 yrs · Edu H · MSC</t>
        </is>
      </c>
      <c r="X514" s="33" t="inlineStr">
        <is>
          <t>Open ▸</t>
        </is>
      </c>
      <c r="Y514" s="34" t="str">
        <f>IFERROR(INDEX(DL_C,MATCH($CA514,DL_KEY,0)),"M")</f>
        <v>H</v>
      </c>
      <c r="Z514" s="35" t="str">
        <f>IFERROR(INDEX(DL_Au,MATCH($CA514,DL_KEY,0)),"M")</f>
        <v>M</v>
      </c>
      <c r="AA514" s="35" t="str">
        <f>IFERROR(INDEX(DL_Ac,MATCH($CA514,DL_KEY,0)),"M")</f>
        <v>L</v>
      </c>
      <c r="AB514" s="35" t="str">
        <f>IFERROR(INDEX(DL_L,MATCH($CA514,DL_KEY,0)),"M")</f>
        <v>L</v>
      </c>
      <c r="AC514" s="35" t="str">
        <f>IFERROR(INDEX(DL_BI,MATCH($CA514,DL_KEY,0)),"M")</f>
        <v>L</v>
      </c>
      <c r="AD514" s="35" t="str">
        <f>IFERROR(INDEX(DL_Exp,MATCH($CA514,DL_KEY,0)),"M")</f>
        <v>L</v>
      </c>
      <c r="AE514" s="35" t="str">
        <f>IFERROR(INDEX(DL_Edu,MATCH($CA514,DL_KEY,0)),"M")</f>
        <v>L</v>
      </c>
      <c r="AF514" s="34" t="inlineStr">
        <is>
          <t>M</t>
        </is>
      </c>
      <c r="AG514" s="35" t="inlineStr">
        <is>
          <t>M</t>
        </is>
      </c>
      <c r="AH514" s="35" t="inlineStr">
        <is>
          <t>M</t>
        </is>
      </c>
      <c r="AI514" s="35" t="inlineStr">
        <is>
          <t>M</t>
        </is>
      </c>
      <c r="AJ514" s="35" t="inlineStr">
        <is>
          <t>M</t>
        </is>
      </c>
      <c r="AK514" s="35" t="inlineStr">
        <is>
          <t>M</t>
        </is>
      </c>
      <c r="AL514" s="35" t="inlineStr">
        <is>
          <t>M</t>
        </is>
      </c>
      <c r="AM514" s="36" t="n">
        <v>0.583</v>
      </c>
      <c r="AN514" s="37" t="n">
        <v>0.16</v>
      </c>
      <c r="AO514" s="37" t="n">
        <v>0.09</v>
      </c>
      <c r="AP514" s="37" t="n">
        <v>0</v>
      </c>
      <c r="AQ514" s="37" t="n">
        <v>0.063</v>
      </c>
      <c r="AR514" s="37" t="n">
        <v>0.06</v>
      </c>
      <c r="AS514" s="37" t="n">
        <v>0.04</v>
      </c>
      <c r="AT514" s="38" t="inlineStr">
        <is>
          <t>2–5</t>
        </is>
      </c>
      <c r="AU514" s="38" t="inlineStr">
        <is>
          <t>Graduate; relevant certification preferred</t>
        </is>
      </c>
      <c r="AV514" s="38" t="inlineStr">
        <is>
          <t>None · guides 1–3 juniors informally</t>
        </is>
      </c>
      <c r="AW514" s="38" t="inlineStr">
        <is>
          <t>P2 · SFIA 3 Apply</t>
        </is>
      </c>
      <c r="AX51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14" s="39" t="inlineStr">
        <is>
          <t>A3</t>
        </is>
      </c>
      <c r="AZ514" s="40" t="inlineStr">
        <is>
          <t>Band A · Practitioner · Senior Associate</t>
        </is>
      </c>
      <c r="BA514" s="40" t="inlineStr">
        <is>
          <t>Model A3 from the six ratings, the market-derived weights and rules R1–R13 · then No change · already below the manager</t>
        </is>
      </c>
      <c r="BB514" s="41" t="inlineStr">
        <is>
          <t>A3</t>
        </is>
      </c>
      <c r="BC514" s="40" t="inlineStr">
        <is>
          <t>The six ratings on the market-average weights of Band A · all tracks score 2.60 → A3 · Hay, Mercer IPE and public plans · experience 3.5 yrs vs the A3 market range 2–5</t>
        </is>
      </c>
      <c r="BD514" s="42">
        <f>IF(SUM(BM514,BN514,BO514,BP514,BQ514,BR514,BS514)=0,0,(BM514*BT514+BN514*BU514+BO514*BV514+BP514*BW514+BQ514*BX514+BR514*BY514+BS514*BZ514)/SUM(BM514,BN514,BO514,BP514,BQ514,BR514,BS514))</f>
        <v>0</v>
      </c>
      <c r="BE514" s="41" t="str">
        <f>IF(LEFT(AY514,1)="X",AY514,IF(OR(AY514="B+",AY514="C+"),INDEX(LAD_PC,MAX(1,MIN(14,MATCH(AY514,LAD_PC,0)+IF(BD514&gt;=0.5,1,IF(BD514&lt;=-0.5,-1,0))))),INDEX(LAD_STD,MAX(1,MIN(12,MATCH(AY514,LAD_STD,0)+IF(BD514&gt;=0.5,1,IF(BD514&lt;=-0.5,-1,0)))))))</f>
        <v>A3</v>
      </c>
      <c r="BF514" s="43" t="n"/>
      <c r="BG514" s="41" t="str">
        <f>IF(BF514&lt;&gt;"",BF514,BE514)</f>
        <v>A3</v>
      </c>
      <c r="BH514" s="40" t="str">
        <f>IFERROR(CHOOSE(INDEX(B_RANK,MATCH(BG514,B_LVL,0)),"Band A","Band B","B+ · Player-Coach","Band C","C+ · Player-Coach","Band D","Band E"),"Band X · Consultant")</f>
        <v>Band A</v>
      </c>
      <c r="BI514" s="40" t="str">
        <f>IF(BG514=AY514,"• Same",IF(INDEX(B_VAL,MATCH(BG514,B_LVL,0))&gt;INDEX(B_VAL,MATCH(AY514,B_LVL,0)),"▲ Up","▼ Down"))</f>
        <v>• Same</v>
      </c>
      <c r="BJ514" s="40" t="str">
        <f>IF(OR($M514="",$M514="—",$M514="Not in this file"),"",IFERROR(INDEX($BG$7:$BG$592,MATCH($M514,$D$7:$D$592,0)),""))</f>
        <v>B1</v>
      </c>
      <c r="BK514" s="40" t="str">
        <f>IFERROR(IF(BJ514="","—",IF(OR(LEFT(BG514,1)="X",LEFT(BJ514,1)="X"),"—",IF(AND(LEFT(BG514,1)="E",LEFT(BJ514,1)="E"),"Exception · Band E",IF(AND(INDEX(B_VAL,MATCH(BJ514,B_LVL,0))&gt;=7,INDEX(B_RANK,MATCH(BG514,B_LVL,0))&gt;=INDEX(B_RANK,MATCH(BJ514,B_LVL,0))),"⚠ Same band as a head manager",IF(INDEX(B_VAL,MATCH(BG514,B_LVL,0))&gt;=INDEX(B_VAL,MATCH(BJ514,B_LVL,0)),"⚠ At or above the manager's level","OK"))))),"—")</f>
        <v>OK</v>
      </c>
      <c r="BL514" s="43" t="n"/>
      <c r="BM514" s="44">
        <f>IFERROR(INDEX(LMH_PTS,MATCH(Y514,LMH_KEY,0)),0)</f>
        <v>9</v>
      </c>
      <c r="BN514" s="38">
        <f>IFERROR(INDEX(LMH_PTS,MATCH(Z514,LMH_KEY,0)),0)</f>
        <v>3</v>
      </c>
      <c r="BO514" s="38">
        <f>IFERROR(INDEX(LMH_PTS,MATCH(AA514,LMH_KEY,0)),0)</f>
        <v>1</v>
      </c>
      <c r="BP514" s="38">
        <f>IFERROR(INDEX(LMH_PTS,MATCH(AB514,LMH_KEY,0)),0)</f>
        <v>1</v>
      </c>
      <c r="BQ514" s="38">
        <f>IFERROR(INDEX(LMH_PTS,MATCH(AC514,LMH_KEY,0)),0)</f>
        <v>1</v>
      </c>
      <c r="BR514" s="38">
        <f>IFERROR(INDEX(LMH_PTS,MATCH(AD514,LMH_KEY,0)),0)</f>
        <v>1</v>
      </c>
      <c r="BS514" s="38">
        <f>IFERROR(INDEX(LMH_PTS,MATCH(AE514,LMH_KEY,0)),0)</f>
        <v>1</v>
      </c>
      <c r="BT514" s="38">
        <f>IFERROR(INDEX(LMH_STEP,MATCH(AF514,LMH_KEY,0)),0)</f>
        <v>0</v>
      </c>
      <c r="BU514" s="38">
        <f>IFERROR(INDEX(LMH_STEP,MATCH(AG514,LMH_KEY,0)),0)</f>
        <v>0</v>
      </c>
      <c r="BV514" s="38">
        <f>IFERROR(INDEX(LMH_STEP,MATCH(AH514,LMH_KEY,0)),0)</f>
        <v>0</v>
      </c>
      <c r="BW514" s="38">
        <f>IFERROR(INDEX(LMH_STEP,MATCH(AI514,LMH_KEY,0)),0)</f>
        <v>0</v>
      </c>
      <c r="BX514" s="38">
        <f>IFERROR(INDEX(LMH_STEP,MATCH(AJ514,LMH_KEY,0)),0)</f>
        <v>0</v>
      </c>
      <c r="BY514" s="38">
        <f>IFERROR(INDEX(LMH_STEP,MATCH(AK514,LMH_KEY,0)),0)</f>
        <v>0</v>
      </c>
      <c r="BZ514" s="38">
        <f>IFERROR(INDEX(LMH_STEP,MATCH(AL514,LMH_KEY,0)),0)</f>
        <v>0</v>
      </c>
      <c r="CA514" s="38" t="inlineStr">
        <is>
          <t>CARBON|Quality Assurance|Senior QA Automation Engineer|A3|A</t>
        </is>
      </c>
    </row>
    <row r="515" ht="110" customHeight="1">
      <c r="A515" s="28" t="inlineStr">
        <is>
          <t>CARBON</t>
        </is>
      </c>
      <c r="B515" s="29" t="inlineStr">
        <is>
          <t>Technology</t>
        </is>
      </c>
      <c r="C515" s="29" t="n">
        <v>3</v>
      </c>
      <c r="D515" s="29" t="inlineStr">
        <is>
          <t>IRIS2153</t>
        </is>
      </c>
      <c r="E515" s="29" t="inlineStr">
        <is>
          <t>Dhaval Lotwala</t>
        </is>
      </c>
      <c r="F515" s="29" t="inlineStr">
        <is>
          <t>Senior Business Analyst</t>
        </is>
      </c>
      <c r="G515" s="29" t="inlineStr">
        <is>
          <t>Business Analysis Specialist</t>
        </is>
      </c>
      <c r="H515" s="29" t="inlineStr">
        <is>
          <t>Business Analysis</t>
        </is>
      </c>
      <c r="I515" s="29" t="inlineStr">
        <is>
          <t>Business Analysis</t>
        </is>
      </c>
      <c r="J515" s="29" t="inlineStr">
        <is>
          <t>IC</t>
        </is>
      </c>
      <c r="K515" s="29" t="inlineStr">
        <is>
          <t>RC-010</t>
        </is>
      </c>
      <c r="L515" s="29" t="inlineStr">
        <is>
          <t>Prasad Shirke</t>
        </is>
      </c>
      <c r="M515" s="29" t="inlineStr">
        <is>
          <t>IRIS0622</t>
        </is>
      </c>
      <c r="N515" s="29" t="n">
        <v>11.6</v>
      </c>
      <c r="O515" s="29" t="n">
        <v>3.2</v>
      </c>
      <c r="P515" s="29" t="inlineStr">
        <is>
          <t>B.E</t>
        </is>
      </c>
      <c r="Q515" s="29" t="inlineStr">
        <is>
          <t>L4 – Senior</t>
        </is>
      </c>
      <c r="R515" s="29" t="inlineStr">
        <is>
          <t>B1</t>
        </is>
      </c>
      <c r="S515" s="30" t="inlineStr">
        <is>
          <t>20 of 20</t>
        </is>
      </c>
      <c r="T515" s="31" t="inlineStr">
        <is>
          <t>• Role / sub-team: Technology — Senior Business Analyst.
• Core purpose: To improve the productivity, communicate with multiple teams to improved inter team collaboration and felicitate agile workflow to the product team.
• Decision-making autonomy: Can independently stakeholder communication; Defining system flow.
• Is this something only they do: A few of …</t>
        </is>
      </c>
      <c r="U515" s="31" t="inlineStr">
        <is>
          <t>Received · manager annual · 1.Ensure ≥ 95% user stories are prepared before development start with complete business requirements, acceptance criteria, dependencies, and edge-case coverage.
2.Improve sprint planning effectiveness by ensuring 100% stories are grooming-ready before sprint planning, reducing last-minute clarifications and …</t>
        </is>
      </c>
      <c r="V515" s="31" t="inlineStr">
        <is>
          <t>Latest rating: Not rated · manager · 9-box: Underperformer / Exit Risk · Readiness: No rating data</t>
        </is>
      </c>
      <c r="W515" s="31" t="inlineStr">
        <is>
          <t>C M · Au M · Ac M · L L · BI M · Exp H · 11.6 yrs vs 4–7 yrs · Edu M · B.E</t>
        </is>
      </c>
      <c r="X515" s="33" t="inlineStr">
        <is>
          <t>Open ▸</t>
        </is>
      </c>
      <c r="Y515" s="34" t="str">
        <f>IFERROR(INDEX(DL_C,MATCH($CA515,DL_KEY,0)),"M")</f>
        <v>H</v>
      </c>
      <c r="Z515" s="35" t="str">
        <f>IFERROR(INDEX(DL_Au,MATCH($CA515,DL_KEY,0)),"M")</f>
        <v>M</v>
      </c>
      <c r="AA515" s="35" t="str">
        <f>IFERROR(INDEX(DL_Ac,MATCH($CA515,DL_KEY,0)),"M")</f>
        <v>L</v>
      </c>
      <c r="AB515" s="35" t="str">
        <f>IFERROR(INDEX(DL_L,MATCH($CA515,DL_KEY,0)),"M")</f>
        <v>L</v>
      </c>
      <c r="AC515" s="35" t="str">
        <f>IFERROR(INDEX(DL_BI,MATCH($CA515,DL_KEY,0)),"M")</f>
        <v>L</v>
      </c>
      <c r="AD515" s="35" t="str">
        <f>IFERROR(INDEX(DL_Exp,MATCH($CA515,DL_KEY,0)),"M")</f>
        <v>L</v>
      </c>
      <c r="AE515" s="35" t="str">
        <f>IFERROR(INDEX(DL_Edu,MATCH($CA515,DL_KEY,0)),"M")</f>
        <v>L</v>
      </c>
      <c r="AF515" s="34" t="inlineStr">
        <is>
          <t>M</t>
        </is>
      </c>
      <c r="AG515" s="35" t="inlineStr">
        <is>
          <t>M</t>
        </is>
      </c>
      <c r="AH515" s="35" t="inlineStr">
        <is>
          <t>M</t>
        </is>
      </c>
      <c r="AI515" s="35" t="inlineStr">
        <is>
          <t>M</t>
        </is>
      </c>
      <c r="AJ515" s="35" t="inlineStr">
        <is>
          <t>M</t>
        </is>
      </c>
      <c r="AK515" s="35" t="inlineStr">
        <is>
          <t>M</t>
        </is>
      </c>
      <c r="AL515" s="35" t="inlineStr">
        <is>
          <t>M</t>
        </is>
      </c>
      <c r="AM515" s="36" t="n">
        <v>0.513</v>
      </c>
      <c r="AN515" s="37" t="n">
        <v>0.173</v>
      </c>
      <c r="AO515" s="37" t="n">
        <v>0.09699999999999999</v>
      </c>
      <c r="AP515" s="37" t="n">
        <v>0.05</v>
      </c>
      <c r="AQ515" s="37" t="n">
        <v>0.07000000000000001</v>
      </c>
      <c r="AR515" s="37" t="n">
        <v>0.06</v>
      </c>
      <c r="AS515" s="37" t="n">
        <v>0.04</v>
      </c>
      <c r="AT515" s="38" t="inlineStr">
        <is>
          <t>4–8</t>
        </is>
      </c>
      <c r="AU515" s="38" t="inlineStr">
        <is>
          <t>Graduate + relevant qualification or certification preferred</t>
        </is>
      </c>
      <c r="AV515" s="38" t="inlineStr">
        <is>
          <t>IC: none · Team Lead: 3–5</t>
        </is>
      </c>
      <c r="AW515" s="38" t="inlineStr">
        <is>
          <t>P3 / M2 · SFIA 4 Enable</t>
        </is>
      </c>
      <c r="AX51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15" s="39" t="inlineStr">
        <is>
          <t>B1</t>
        </is>
      </c>
      <c r="AZ515" s="40" t="inlineStr">
        <is>
          <t>Band B · Specialist / Manager · Specialist</t>
        </is>
      </c>
      <c r="BA515" s="40" t="inlineStr">
        <is>
          <t>Model B1 from the six ratings, the market-derived weights and rules R1–R13 · then No change · already below the manager</t>
        </is>
      </c>
      <c r="BB515" s="41" t="inlineStr">
        <is>
          <t>B1</t>
        </is>
      </c>
      <c r="BC515" s="40" t="inlineStr">
        <is>
          <t>The six ratings on the market-average weights of Band B · Specialist / POD Lead score 3.80 → B1 · Hay, Mercer IPE and public plans · experience 11.6 yrs vs the B1 market range 4–8</t>
        </is>
      </c>
      <c r="BD515" s="42">
        <f>IF(SUM(BM515,BN515,BO515,BP515,BQ515,BR515,BS515)=0,0,(BM515*BT515+BN515*BU515+BO515*BV515+BP515*BW515+BQ515*BX515+BR515*BY515+BS515*BZ515)/SUM(BM515,BN515,BO515,BP515,BQ515,BR515,BS515))</f>
        <v>0</v>
      </c>
      <c r="BE515" s="41" t="str">
        <f>IF(LEFT(AY515,1)="X",AY515,IF(OR(AY515="B+",AY515="C+"),INDEX(LAD_PC,MAX(1,MIN(14,MATCH(AY515,LAD_PC,0)+IF(BD515&gt;=0.5,1,IF(BD515&lt;=-0.5,-1,0))))),INDEX(LAD_STD,MAX(1,MIN(12,MATCH(AY515,LAD_STD,0)+IF(BD515&gt;=0.5,1,IF(BD515&lt;=-0.5,-1,0)))))))</f>
        <v>B1</v>
      </c>
      <c r="BF515" s="43" t="n"/>
      <c r="BG515" s="41" t="str">
        <f>IF(BF515&lt;&gt;"",BF515,BE515)</f>
        <v>B1</v>
      </c>
      <c r="BH515" s="40" t="str">
        <f>IFERROR(CHOOSE(INDEX(B_RANK,MATCH(BG515,B_LVL,0)),"Band A","Band B","B+ · Player-Coach","Band C","C+ · Player-Coach","Band D","Band E"),"Band X · Consultant")</f>
        <v>Band B</v>
      </c>
      <c r="BI515" s="40" t="str">
        <f>IF(BG515=AY515,"• Same",IF(INDEX(B_VAL,MATCH(BG515,B_LVL,0))&gt;INDEX(B_VAL,MATCH(AY515,B_LVL,0)),"▲ Up","▼ Down"))</f>
        <v>• Same</v>
      </c>
      <c r="BJ515" s="40" t="str">
        <f>IF(OR($M515="",$M515="—",$M515="Not in this file"),"",IFERROR(INDEX($BG$7:$BG$592,MATCH($M515,$D$7:$D$592,0)),""))</f>
        <v>B2</v>
      </c>
      <c r="BK515" s="40" t="str">
        <f>IFERROR(IF(BJ515="","—",IF(OR(LEFT(BG515,1)="X",LEFT(BJ515,1)="X"),"—",IF(AND(LEFT(BG515,1)="E",LEFT(BJ515,1)="E"),"Exception · Band E",IF(AND(INDEX(B_VAL,MATCH(BJ515,B_LVL,0))&gt;=7,INDEX(B_RANK,MATCH(BG515,B_LVL,0))&gt;=INDEX(B_RANK,MATCH(BJ515,B_LVL,0))),"⚠ Same band as a head manager",IF(INDEX(B_VAL,MATCH(BG515,B_LVL,0))&gt;=INDEX(B_VAL,MATCH(BJ515,B_LVL,0)),"⚠ At or above the manager's level","OK"))))),"—")</f>
        <v>OK</v>
      </c>
      <c r="BL515" s="43" t="n"/>
      <c r="BM515" s="44">
        <f>IFERROR(INDEX(LMH_PTS,MATCH(Y515,LMH_KEY,0)),0)</f>
        <v>9</v>
      </c>
      <c r="BN515" s="38">
        <f>IFERROR(INDEX(LMH_PTS,MATCH(Z515,LMH_KEY,0)),0)</f>
        <v>3</v>
      </c>
      <c r="BO515" s="38">
        <f>IFERROR(INDEX(LMH_PTS,MATCH(AA515,LMH_KEY,0)),0)</f>
        <v>1</v>
      </c>
      <c r="BP515" s="38">
        <f>IFERROR(INDEX(LMH_PTS,MATCH(AB515,LMH_KEY,0)),0)</f>
        <v>1</v>
      </c>
      <c r="BQ515" s="38">
        <f>IFERROR(INDEX(LMH_PTS,MATCH(AC515,LMH_KEY,0)),0)</f>
        <v>1</v>
      </c>
      <c r="BR515" s="38">
        <f>IFERROR(INDEX(LMH_PTS,MATCH(AD515,LMH_KEY,0)),0)</f>
        <v>1</v>
      </c>
      <c r="BS515" s="38">
        <f>IFERROR(INDEX(LMH_PTS,MATCH(AE515,LMH_KEY,0)),0)</f>
        <v>1</v>
      </c>
      <c r="BT515" s="38">
        <f>IFERROR(INDEX(LMH_STEP,MATCH(AF515,LMH_KEY,0)),0)</f>
        <v>0</v>
      </c>
      <c r="BU515" s="38">
        <f>IFERROR(INDEX(LMH_STEP,MATCH(AG515,LMH_KEY,0)),0)</f>
        <v>0</v>
      </c>
      <c r="BV515" s="38">
        <f>IFERROR(INDEX(LMH_STEP,MATCH(AH515,LMH_KEY,0)),0)</f>
        <v>0</v>
      </c>
      <c r="BW515" s="38">
        <f>IFERROR(INDEX(LMH_STEP,MATCH(AI515,LMH_KEY,0)),0)</f>
        <v>0</v>
      </c>
      <c r="BX515" s="38">
        <f>IFERROR(INDEX(LMH_STEP,MATCH(AJ515,LMH_KEY,0)),0)</f>
        <v>0</v>
      </c>
      <c r="BY515" s="38">
        <f>IFERROR(INDEX(LMH_STEP,MATCH(AK515,LMH_KEY,0)),0)</f>
        <v>0</v>
      </c>
      <c r="BZ515" s="38">
        <f>IFERROR(INDEX(LMH_STEP,MATCH(AL515,LMH_KEY,0)),0)</f>
        <v>0</v>
      </c>
      <c r="CA515" s="38" t="inlineStr">
        <is>
          <t>CARBON|Technology|Business Analysis Specialist|B1|B-IC</t>
        </is>
      </c>
    </row>
    <row r="516" ht="110" customHeight="1">
      <c r="A516" s="28" t="inlineStr">
        <is>
          <t>CARBON</t>
        </is>
      </c>
      <c r="B516" s="29" t="inlineStr">
        <is>
          <t>Technology</t>
        </is>
      </c>
      <c r="C516" s="29" t="n">
        <v>3</v>
      </c>
      <c r="D516" s="29" t="inlineStr">
        <is>
          <t>IRIS2284</t>
        </is>
      </c>
      <c r="E516" s="29" t="inlineStr">
        <is>
          <t>Saniya Baxi</t>
        </is>
      </c>
      <c r="F516" s="29" t="inlineStr">
        <is>
          <t>Trainee Business Analyst</t>
        </is>
      </c>
      <c r="G516" s="29" t="inlineStr">
        <is>
          <t>Business Analyst</t>
        </is>
      </c>
      <c r="H516" s="29" t="inlineStr">
        <is>
          <t>Business Analysis</t>
        </is>
      </c>
      <c r="I516" s="29" t="inlineStr">
        <is>
          <t>Business Analysis</t>
        </is>
      </c>
      <c r="J516" s="29" t="inlineStr">
        <is>
          <t>IC</t>
        </is>
      </c>
      <c r="K516" s="29" t="inlineStr">
        <is>
          <t>RC-008</t>
        </is>
      </c>
      <c r="L516" s="29" t="inlineStr">
        <is>
          <t>Prasad Shirke</t>
        </is>
      </c>
      <c r="M516" s="29" t="inlineStr">
        <is>
          <t>IRIS0622</t>
        </is>
      </c>
      <c r="N516" s="29" t="n">
        <v>2.2</v>
      </c>
      <c r="O516" s="29" t="n">
        <v>2.2</v>
      </c>
      <c r="P516" s="29" t="inlineStr">
        <is>
          <t>Bachelor of Science</t>
        </is>
      </c>
      <c r="Q516" s="29" t="inlineStr">
        <is>
          <t>L2 – Trainee</t>
        </is>
      </c>
      <c r="R516" s="29" t="inlineStr">
        <is>
          <t>A2</t>
        </is>
      </c>
      <c r="S516" s="30" t="inlineStr">
        <is>
          <t>20 of 20</t>
        </is>
      </c>
      <c r="T516" s="31" t="inlineStr">
        <is>
          <t>• Role / sub-team: Technology — Trainee Business Analyst.
• Core purpose: Ensuring that the needs and road-blocks of the end users are communicated correctly across all teams in a structured and well-defined manner.  Translating wants into full-fledged features.
• Decision-making autonomy: Can independently brainstorming user flows.
• Is this something only …</t>
        </is>
      </c>
      <c r="U516" s="31" t="inlineStr">
        <is>
          <t>Received · manager annual · 1.Ensure ≥ 95% user stories for ESG module are documented with complete business rules, acceptance criteria, dependencies, and edge cases before sprint planning.
2.Reduce requirement clarification gaps and requirement-related rework by ≥ 40% YoY through better analysis and documentation.
3.Improve sprint planning …</t>
        </is>
      </c>
      <c r="V516" s="31" t="inlineStr">
        <is>
          <t>Latest rating: Not rated · manager · 9-box: Future Leader · Readiness: No rating data</t>
        </is>
      </c>
      <c r="W516" s="31" t="inlineStr">
        <is>
          <t>C M · Au M · Ac M · L L · BI M · Exp H · 2.2 yrs vs 0–2 yrs · Edu M · Bachelor of Science</t>
        </is>
      </c>
      <c r="X516" s="33" t="inlineStr">
        <is>
          <t>Open ▸</t>
        </is>
      </c>
      <c r="Y516" s="34" t="str">
        <f>IFERROR(INDEX(DL_C,MATCH($CA516,DL_KEY,0)),"M")</f>
        <v>H</v>
      </c>
      <c r="Z516" s="35" t="str">
        <f>IFERROR(INDEX(DL_Au,MATCH($CA516,DL_KEY,0)),"M")</f>
        <v>M</v>
      </c>
      <c r="AA516" s="35" t="str">
        <f>IFERROR(INDEX(DL_Ac,MATCH($CA516,DL_KEY,0)),"M")</f>
        <v>L</v>
      </c>
      <c r="AB516" s="35" t="str">
        <f>IFERROR(INDEX(DL_L,MATCH($CA516,DL_KEY,0)),"M")</f>
        <v>L</v>
      </c>
      <c r="AC516" s="35" t="str">
        <f>IFERROR(INDEX(DL_BI,MATCH($CA516,DL_KEY,0)),"M")</f>
        <v>L</v>
      </c>
      <c r="AD516" s="35" t="str">
        <f>IFERROR(INDEX(DL_Exp,MATCH($CA516,DL_KEY,0)),"M")</f>
        <v>L</v>
      </c>
      <c r="AE516" s="35" t="str">
        <f>IFERROR(INDEX(DL_Edu,MATCH($CA516,DL_KEY,0)),"M")</f>
        <v>L</v>
      </c>
      <c r="AF516" s="34" t="inlineStr">
        <is>
          <t>M</t>
        </is>
      </c>
      <c r="AG516" s="35" t="inlineStr">
        <is>
          <t>M</t>
        </is>
      </c>
      <c r="AH516" s="35" t="inlineStr">
        <is>
          <t>M</t>
        </is>
      </c>
      <c r="AI516" s="35" t="inlineStr">
        <is>
          <t>M</t>
        </is>
      </c>
      <c r="AJ516" s="35" t="inlineStr">
        <is>
          <t>M</t>
        </is>
      </c>
      <c r="AK516" s="35" t="inlineStr">
        <is>
          <t>M</t>
        </is>
      </c>
      <c r="AL516" s="35" t="inlineStr">
        <is>
          <t>M</t>
        </is>
      </c>
      <c r="AM516" s="36" t="n">
        <v>0.583</v>
      </c>
      <c r="AN516" s="37" t="n">
        <v>0.16</v>
      </c>
      <c r="AO516" s="37" t="n">
        <v>0.09</v>
      </c>
      <c r="AP516" s="37" t="n">
        <v>0</v>
      </c>
      <c r="AQ516" s="37" t="n">
        <v>0.063</v>
      </c>
      <c r="AR516" s="37" t="n">
        <v>0.06</v>
      </c>
      <c r="AS516" s="37" t="n">
        <v>0.04</v>
      </c>
      <c r="AT516" s="38" t="inlineStr">
        <is>
          <t>0–3</t>
        </is>
      </c>
      <c r="AU516" s="38" t="inlineStr">
        <is>
          <t>Graduate · or diploma with experience</t>
        </is>
      </c>
      <c r="AV516" s="38" t="inlineStr">
        <is>
          <t>No direct reports</t>
        </is>
      </c>
      <c r="AW516" s="38" t="inlineStr">
        <is>
          <t>P1–P2 · SFIA 2 Assist</t>
        </is>
      </c>
      <c r="AX51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16" s="39" t="inlineStr">
        <is>
          <t>A2</t>
        </is>
      </c>
      <c r="AZ516" s="40" t="inlineStr">
        <is>
          <t>Band A · Practitioner · Associate</t>
        </is>
      </c>
      <c r="BA516" s="40" t="inlineStr">
        <is>
          <t>Model A2 from the six ratings, the market-derived weights and rules R1–R13 · then No change · already below the manager</t>
        </is>
      </c>
      <c r="BB516" s="41" t="inlineStr">
        <is>
          <t>A2</t>
        </is>
      </c>
      <c r="BC516" s="40" t="inlineStr">
        <is>
          <t>The six ratings on the market-average weights of Band A · all tracks score 1.89 → A2 · Hay, Mercer IPE and public plans · experience 2.2 yrs vs the A2 market range 0–3</t>
        </is>
      </c>
      <c r="BD516" s="42">
        <f>IF(SUM(BM516,BN516,BO516,BP516,BQ516,BR516,BS516)=0,0,(BM516*BT516+BN516*BU516+BO516*BV516+BP516*BW516+BQ516*BX516+BR516*BY516+BS516*BZ516)/SUM(BM516,BN516,BO516,BP516,BQ516,BR516,BS516))</f>
        <v>0</v>
      </c>
      <c r="BE516" s="41" t="str">
        <f>IF(LEFT(AY516,1)="X",AY516,IF(OR(AY516="B+",AY516="C+"),INDEX(LAD_PC,MAX(1,MIN(14,MATCH(AY516,LAD_PC,0)+IF(BD516&gt;=0.5,1,IF(BD516&lt;=-0.5,-1,0))))),INDEX(LAD_STD,MAX(1,MIN(12,MATCH(AY516,LAD_STD,0)+IF(BD516&gt;=0.5,1,IF(BD516&lt;=-0.5,-1,0)))))))</f>
        <v>A2</v>
      </c>
      <c r="BF516" s="43" t="n"/>
      <c r="BG516" s="41" t="str">
        <f>IF(BF516&lt;&gt;"",BF516,BE516)</f>
        <v>A2</v>
      </c>
      <c r="BH516" s="40" t="str">
        <f>IFERROR(CHOOSE(INDEX(B_RANK,MATCH(BG516,B_LVL,0)),"Band A","Band B","B+ · Player-Coach","Band C","C+ · Player-Coach","Band D","Band E"),"Band X · Consultant")</f>
        <v>Band A</v>
      </c>
      <c r="BI516" s="40" t="str">
        <f>IF(BG516=AY516,"• Same",IF(INDEX(B_VAL,MATCH(BG516,B_LVL,0))&gt;INDEX(B_VAL,MATCH(AY516,B_LVL,0)),"▲ Up","▼ Down"))</f>
        <v>• Same</v>
      </c>
      <c r="BJ516" s="40" t="str">
        <f>IF(OR($M516="",$M516="—",$M516="Not in this file"),"",IFERROR(INDEX($BG$7:$BG$592,MATCH($M516,$D$7:$D$592,0)),""))</f>
        <v>B2</v>
      </c>
      <c r="BK516" s="40" t="str">
        <f>IFERROR(IF(BJ516="","—",IF(OR(LEFT(BG516,1)="X",LEFT(BJ516,1)="X"),"—",IF(AND(LEFT(BG516,1)="E",LEFT(BJ516,1)="E"),"Exception · Band E",IF(AND(INDEX(B_VAL,MATCH(BJ516,B_LVL,0))&gt;=7,INDEX(B_RANK,MATCH(BG516,B_LVL,0))&gt;=INDEX(B_RANK,MATCH(BJ516,B_LVL,0))),"⚠ Same band as a head manager",IF(INDEX(B_VAL,MATCH(BG516,B_LVL,0))&gt;=INDEX(B_VAL,MATCH(BJ516,B_LVL,0)),"⚠ At or above the manager's level","OK"))))),"—")</f>
        <v>OK</v>
      </c>
      <c r="BL516" s="43" t="n"/>
      <c r="BM516" s="44">
        <f>IFERROR(INDEX(LMH_PTS,MATCH(Y516,LMH_KEY,0)),0)</f>
        <v>9</v>
      </c>
      <c r="BN516" s="38">
        <f>IFERROR(INDEX(LMH_PTS,MATCH(Z516,LMH_KEY,0)),0)</f>
        <v>3</v>
      </c>
      <c r="BO516" s="38">
        <f>IFERROR(INDEX(LMH_PTS,MATCH(AA516,LMH_KEY,0)),0)</f>
        <v>1</v>
      </c>
      <c r="BP516" s="38">
        <f>IFERROR(INDEX(LMH_PTS,MATCH(AB516,LMH_KEY,0)),0)</f>
        <v>1</v>
      </c>
      <c r="BQ516" s="38">
        <f>IFERROR(INDEX(LMH_PTS,MATCH(AC516,LMH_KEY,0)),0)</f>
        <v>1</v>
      </c>
      <c r="BR516" s="38">
        <f>IFERROR(INDEX(LMH_PTS,MATCH(AD516,LMH_KEY,0)),0)</f>
        <v>1</v>
      </c>
      <c r="BS516" s="38">
        <f>IFERROR(INDEX(LMH_PTS,MATCH(AE516,LMH_KEY,0)),0)</f>
        <v>1</v>
      </c>
      <c r="BT516" s="38">
        <f>IFERROR(INDEX(LMH_STEP,MATCH(AF516,LMH_KEY,0)),0)</f>
        <v>0</v>
      </c>
      <c r="BU516" s="38">
        <f>IFERROR(INDEX(LMH_STEP,MATCH(AG516,LMH_KEY,0)),0)</f>
        <v>0</v>
      </c>
      <c r="BV516" s="38">
        <f>IFERROR(INDEX(LMH_STEP,MATCH(AH516,LMH_KEY,0)),0)</f>
        <v>0</v>
      </c>
      <c r="BW516" s="38">
        <f>IFERROR(INDEX(LMH_STEP,MATCH(AI516,LMH_KEY,0)),0)</f>
        <v>0</v>
      </c>
      <c r="BX516" s="38">
        <f>IFERROR(INDEX(LMH_STEP,MATCH(AJ516,LMH_KEY,0)),0)</f>
        <v>0</v>
      </c>
      <c r="BY516" s="38">
        <f>IFERROR(INDEX(LMH_STEP,MATCH(AK516,LMH_KEY,0)),0)</f>
        <v>0</v>
      </c>
      <c r="BZ516" s="38">
        <f>IFERROR(INDEX(LMH_STEP,MATCH(AL516,LMH_KEY,0)),0)</f>
        <v>0</v>
      </c>
      <c r="CA516" s="38" t="inlineStr">
        <is>
          <t>CARBON|Technology|Business Analyst|A2|A</t>
        </is>
      </c>
    </row>
    <row r="517" ht="110" customHeight="1">
      <c r="A517" s="28" t="inlineStr">
        <is>
          <t>CARBON</t>
        </is>
      </c>
      <c r="B517" s="29" t="inlineStr">
        <is>
          <t>Technology</t>
        </is>
      </c>
      <c r="C517" s="29" t="n">
        <v>2</v>
      </c>
      <c r="D517" s="29" t="inlineStr">
        <is>
          <t>IRIS1986</t>
        </is>
      </c>
      <c r="E517" s="29" t="inlineStr">
        <is>
          <t>Sarfaraz Badi</t>
        </is>
      </c>
      <c r="F517" s="29" t="inlineStr">
        <is>
          <t>Lead Software Engineer</t>
        </is>
      </c>
      <c r="G517" s="29" t="inlineStr">
        <is>
          <t>Lead Software Engineer – POD Lead</t>
        </is>
      </c>
      <c r="H517" s="29" t="inlineStr">
        <is>
          <t>Engineering &amp; Development</t>
        </is>
      </c>
      <c r="I517" s="29" t="inlineStr">
        <is>
          <t>Backend Development</t>
        </is>
      </c>
      <c r="J517" s="29" t="inlineStr">
        <is>
          <t>POD Lead</t>
        </is>
      </c>
      <c r="K517" s="29" t="inlineStr">
        <is>
          <t>RC-069</t>
        </is>
      </c>
      <c r="L517" s="29" t="inlineStr">
        <is>
          <t>Ashish Singhvi</t>
        </is>
      </c>
      <c r="M517" s="29" t="inlineStr">
        <is>
          <t>IRIS0249</t>
        </is>
      </c>
      <c r="N517" s="29" t="n">
        <v>13.6</v>
      </c>
      <c r="O517" s="29" t="n">
        <v>4.6</v>
      </c>
      <c r="P517" s="29" t="inlineStr">
        <is>
          <t>MCA</t>
        </is>
      </c>
      <c r="Q517" s="29" t="inlineStr">
        <is>
          <t>L5 – Lead · IC</t>
        </is>
      </c>
      <c r="R517" s="29" t="inlineStr">
        <is>
          <t>B2</t>
        </is>
      </c>
      <c r="S517" s="30" t="inlineStr">
        <is>
          <t>20 of 20</t>
        </is>
      </c>
      <c r="T517" s="31" t="inlineStr">
        <is>
          <t>• Role / sub-team: Technology — Lead Software Engineer.
• Core purpose: To provide technical leadership and build scalable reliable solutions while helping to team and high quality productivity and continues improvement in engineering practices and skills.
• Decision-making autonomy: Can independently technical decision; implementation approach; AI based …</t>
        </is>
      </c>
      <c r="U517" s="31" t="inlineStr">
        <is>
          <t>Received · manager annual · 1.Improve engineering fundamentals and ensure ≥ 90% assigned deliverables meet expected quality standards without missing basic validations.
2.Reduce rework and repeated corrections by ≥ 60% YoY through better analysis, review, and validation before delivery.
3.Improve delivery ownership by completing ≥ 85% assigned …</t>
        </is>
      </c>
      <c r="V517" s="31" t="inlineStr">
        <is>
          <t>Latest rating: Not rated · manager · 9-box: Underperformer / Exit Risk · Readiness: No rating data</t>
        </is>
      </c>
      <c r="W517" s="31" t="inlineStr">
        <is>
          <t>C M · Au M · Ac M · L M · BI M · Exp H · 13.6 yrs vs 6–9 yrs · Edu H · MCA</t>
        </is>
      </c>
      <c r="X517" s="33" t="inlineStr">
        <is>
          <t>Open ▸</t>
        </is>
      </c>
      <c r="Y517" s="34" t="str">
        <f>IFERROR(INDEX(DL_C,MATCH($CA517,DL_KEY,0)),"M")</f>
        <v>H</v>
      </c>
      <c r="Z517" s="35" t="str">
        <f>IFERROR(INDEX(DL_Au,MATCH($CA517,DL_KEY,0)),"M")</f>
        <v>M</v>
      </c>
      <c r="AA517" s="35" t="str">
        <f>IFERROR(INDEX(DL_Ac,MATCH($CA517,DL_KEY,0)),"M")</f>
        <v>L</v>
      </c>
      <c r="AB517" s="35" t="str">
        <f>IFERROR(INDEX(DL_L,MATCH($CA517,DL_KEY,0)),"M")</f>
        <v>L</v>
      </c>
      <c r="AC517" s="35" t="str">
        <f>IFERROR(INDEX(DL_BI,MATCH($CA517,DL_KEY,0)),"M")</f>
        <v>L</v>
      </c>
      <c r="AD517" s="35" t="str">
        <f>IFERROR(INDEX(DL_Exp,MATCH($CA517,DL_KEY,0)),"M")</f>
        <v>L</v>
      </c>
      <c r="AE517" s="35" t="str">
        <f>IFERROR(INDEX(DL_Edu,MATCH($CA517,DL_KEY,0)),"M")</f>
        <v>L</v>
      </c>
      <c r="AF517" s="34" t="inlineStr">
        <is>
          <t>M</t>
        </is>
      </c>
      <c r="AG517" s="35" t="inlineStr">
        <is>
          <t>M</t>
        </is>
      </c>
      <c r="AH517" s="35" t="inlineStr">
        <is>
          <t>M</t>
        </is>
      </c>
      <c r="AI517" s="35" t="inlineStr">
        <is>
          <t>M</t>
        </is>
      </c>
      <c r="AJ517" s="35" t="inlineStr">
        <is>
          <t>M</t>
        </is>
      </c>
      <c r="AK517" s="35" t="inlineStr">
        <is>
          <t>M</t>
        </is>
      </c>
      <c r="AL517" s="35" t="inlineStr">
        <is>
          <t>M</t>
        </is>
      </c>
      <c r="AM517" s="36" t="n">
        <v>0.513</v>
      </c>
      <c r="AN517" s="37" t="n">
        <v>0.173</v>
      </c>
      <c r="AO517" s="37" t="n">
        <v>0.09699999999999999</v>
      </c>
      <c r="AP517" s="37" t="n">
        <v>0.05</v>
      </c>
      <c r="AQ517" s="37" t="n">
        <v>0.07000000000000001</v>
      </c>
      <c r="AR517" s="37" t="n">
        <v>0.06</v>
      </c>
      <c r="AS517" s="37" t="n">
        <v>0.04</v>
      </c>
      <c r="AT517" s="38" t="inlineStr">
        <is>
          <t>6–10</t>
        </is>
      </c>
      <c r="AU517" s="38" t="inlineStr">
        <is>
          <t>Graduate or postgraduate; professional qualification preferred</t>
        </is>
      </c>
      <c r="AV517" s="38" t="inlineStr">
        <is>
          <t>IC: none · People: 6–8 knowledge work, 8–12 standardised delivery</t>
        </is>
      </c>
      <c r="AW517" s="38" t="inlineStr">
        <is>
          <t>P4 / M3 · SFIA 4–5</t>
        </is>
      </c>
      <c r="AX51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17" s="39" t="inlineStr">
        <is>
          <t>B2</t>
        </is>
      </c>
      <c r="AZ517" s="40" t="inlineStr">
        <is>
          <t>Band B · Specialist / Manager · Manager</t>
        </is>
      </c>
      <c r="BA517" s="40" t="inlineStr">
        <is>
          <t>Model B2 from the six ratings, the market-derived weights and rules R1–R13 · then No change · already below the manager</t>
        </is>
      </c>
      <c r="BB517" s="41" t="inlineStr">
        <is>
          <t>B2</t>
        </is>
      </c>
      <c r="BC517" s="40" t="inlineStr">
        <is>
          <t>The six ratings on the market-average weights of Band B · Specialist / POD Lead score 5.45 → B2 · Hay, Mercer IPE and public plans · experience 13.6 yrs vs the B2 market range 6–10</t>
        </is>
      </c>
      <c r="BD517" s="42">
        <f>IF(SUM(BM517,BN517,BO517,BP517,BQ517,BR517,BS517)=0,0,(BM517*BT517+BN517*BU517+BO517*BV517+BP517*BW517+BQ517*BX517+BR517*BY517+BS517*BZ517)/SUM(BM517,BN517,BO517,BP517,BQ517,BR517,BS517))</f>
        <v>0</v>
      </c>
      <c r="BE517" s="41" t="str">
        <f>IF(LEFT(AY517,1)="X",AY517,IF(OR(AY517="B+",AY517="C+"),INDEX(LAD_PC,MAX(1,MIN(14,MATCH(AY517,LAD_PC,0)+IF(BD517&gt;=0.5,1,IF(BD517&lt;=-0.5,-1,0))))),INDEX(LAD_STD,MAX(1,MIN(12,MATCH(AY517,LAD_STD,0)+IF(BD517&gt;=0.5,1,IF(BD517&lt;=-0.5,-1,0)))))))</f>
        <v>B2</v>
      </c>
      <c r="BF517" s="43" t="n"/>
      <c r="BG517" s="41" t="str">
        <f>IF(BF517&lt;&gt;"",BF517,BE517)</f>
        <v>B2</v>
      </c>
      <c r="BH517" s="40" t="str">
        <f>IFERROR(CHOOSE(INDEX(B_RANK,MATCH(BG517,B_LVL,0)),"Band A","Band B","B+ · Player-Coach","Band C","C+ · Player-Coach","Band D","Band E"),"Band X · Consultant")</f>
        <v>Band B</v>
      </c>
      <c r="BI517" s="40" t="str">
        <f>IF(BG517=AY517,"• Same",IF(INDEX(B_VAL,MATCH(BG517,B_LVL,0))&gt;INDEX(B_VAL,MATCH(AY517,B_LVL,0)),"▲ Up","▼ Down"))</f>
        <v>• Same</v>
      </c>
      <c r="BJ517" s="40" t="str">
        <f>IF(OR($M517="",$M517="—",$M517="Not in this file"),"",IFERROR(INDEX($BG$7:$BG$592,MATCH($M517,$D$7:$D$592,0)),""))</f>
        <v>C2</v>
      </c>
      <c r="BK517" s="40" t="str">
        <f>IFERROR(IF(BJ517="","—",IF(OR(LEFT(BG517,1)="X",LEFT(BJ517,1)="X"),"—",IF(AND(LEFT(BG517,1)="E",LEFT(BJ517,1)="E"),"Exception · Band E",IF(AND(INDEX(B_VAL,MATCH(BJ517,B_LVL,0))&gt;=7,INDEX(B_RANK,MATCH(BG517,B_LVL,0))&gt;=INDEX(B_RANK,MATCH(BJ517,B_LVL,0))),"⚠ Same band as a head manager",IF(INDEX(B_VAL,MATCH(BG517,B_LVL,0))&gt;=INDEX(B_VAL,MATCH(BJ517,B_LVL,0)),"⚠ At or above the manager's level","OK"))))),"—")</f>
        <v>OK</v>
      </c>
      <c r="BL517" s="43" t="n"/>
      <c r="BM517" s="44">
        <f>IFERROR(INDEX(LMH_PTS,MATCH(Y517,LMH_KEY,0)),0)</f>
        <v>9</v>
      </c>
      <c r="BN517" s="38">
        <f>IFERROR(INDEX(LMH_PTS,MATCH(Z517,LMH_KEY,0)),0)</f>
        <v>3</v>
      </c>
      <c r="BO517" s="38">
        <f>IFERROR(INDEX(LMH_PTS,MATCH(AA517,LMH_KEY,0)),0)</f>
        <v>1</v>
      </c>
      <c r="BP517" s="38">
        <f>IFERROR(INDEX(LMH_PTS,MATCH(AB517,LMH_KEY,0)),0)</f>
        <v>1</v>
      </c>
      <c r="BQ517" s="38">
        <f>IFERROR(INDEX(LMH_PTS,MATCH(AC517,LMH_KEY,0)),0)</f>
        <v>1</v>
      </c>
      <c r="BR517" s="38">
        <f>IFERROR(INDEX(LMH_PTS,MATCH(AD517,LMH_KEY,0)),0)</f>
        <v>1</v>
      </c>
      <c r="BS517" s="38">
        <f>IFERROR(INDEX(LMH_PTS,MATCH(AE517,LMH_KEY,0)),0)</f>
        <v>1</v>
      </c>
      <c r="BT517" s="38">
        <f>IFERROR(INDEX(LMH_STEP,MATCH(AF517,LMH_KEY,0)),0)</f>
        <v>0</v>
      </c>
      <c r="BU517" s="38">
        <f>IFERROR(INDEX(LMH_STEP,MATCH(AG517,LMH_KEY,0)),0)</f>
        <v>0</v>
      </c>
      <c r="BV517" s="38">
        <f>IFERROR(INDEX(LMH_STEP,MATCH(AH517,LMH_KEY,0)),0)</f>
        <v>0</v>
      </c>
      <c r="BW517" s="38">
        <f>IFERROR(INDEX(LMH_STEP,MATCH(AI517,LMH_KEY,0)),0)</f>
        <v>0</v>
      </c>
      <c r="BX517" s="38">
        <f>IFERROR(INDEX(LMH_STEP,MATCH(AJ517,LMH_KEY,0)),0)</f>
        <v>0</v>
      </c>
      <c r="BY517" s="38">
        <f>IFERROR(INDEX(LMH_STEP,MATCH(AK517,LMH_KEY,0)),0)</f>
        <v>0</v>
      </c>
      <c r="BZ517" s="38">
        <f>IFERROR(INDEX(LMH_STEP,MATCH(AL517,LMH_KEY,0)),0)</f>
        <v>0</v>
      </c>
      <c r="CA517" s="38" t="inlineStr">
        <is>
          <t>CARBON|Technology|Lead Software Engineer – POD Lead|B2|B-IC</t>
        </is>
      </c>
    </row>
    <row r="518" ht="110" customHeight="1">
      <c r="A518" s="28" t="inlineStr">
        <is>
          <t>CARBON</t>
        </is>
      </c>
      <c r="B518" s="29" t="inlineStr">
        <is>
          <t>Technology</t>
        </is>
      </c>
      <c r="C518" s="29" t="n">
        <v>3</v>
      </c>
      <c r="D518" s="29" t="inlineStr">
        <is>
          <t>IRIS2440</t>
        </is>
      </c>
      <c r="E518" s="29" t="inlineStr">
        <is>
          <t>Aniket Kale</t>
        </is>
      </c>
      <c r="F518" s="29" t="inlineStr">
        <is>
          <t>Senior Software Engineer</t>
        </is>
      </c>
      <c r="G518" s="29" t="inlineStr">
        <is>
          <t>Senior Software Engineer</t>
        </is>
      </c>
      <c r="H518" s="29" t="inlineStr">
        <is>
          <t>Engineering &amp; Development</t>
        </is>
      </c>
      <c r="I518" s="29" t="inlineStr">
        <is>
          <t>Backend Development</t>
        </is>
      </c>
      <c r="J518" s="29" t="inlineStr">
        <is>
          <t>IC</t>
        </is>
      </c>
      <c r="K518" s="29" t="inlineStr">
        <is>
          <t>RC-067</t>
        </is>
      </c>
      <c r="L518" s="29" t="inlineStr">
        <is>
          <t>Sarfaraz Badi</t>
        </is>
      </c>
      <c r="M518" s="29" t="inlineStr">
        <is>
          <t>IRIS1986</t>
        </is>
      </c>
      <c r="N518" s="29" t="n">
        <v>6.9</v>
      </c>
      <c r="O518" s="29" t="n">
        <v>0.9</v>
      </c>
      <c r="P518" s="29" t="inlineStr">
        <is>
          <t>B.E</t>
        </is>
      </c>
      <c r="Q518" s="29" t="inlineStr">
        <is>
          <t>L4 – Senior</t>
        </is>
      </c>
      <c r="R518" s="29" t="inlineStr">
        <is>
          <t>A3</t>
        </is>
      </c>
      <c r="S518" s="30" t="inlineStr">
        <is>
          <t>20 of 20</t>
        </is>
      </c>
      <c r="T518" s="31" t="inlineStr">
        <is>
          <t>• Role / sub-team: Technology — Senior Software Engineer.
• Core purpose: The core purpose of this role is to design, build, and improve scalable, reliable product solutions that solve user and business problems while maintaining high quality and engineering standards.
• Decision-making autonomy: No input received.
• Is this something only they do: A few of …</t>
        </is>
      </c>
      <c r="U518" s="31" t="inlineStr">
        <is>
          <t>Received · manager annual · 1. Achieve ≥ 92% sprint and release delivery adherence by completing committed tasks within agreed timelines with high-quality execution and minimal dependency.
2. Strengthen advanced technical expertise in .NET, APIs, database design, system design, and scalable implementation by contributing to ≥ 60% end-to-end …</t>
        </is>
      </c>
      <c r="V518" s="31" t="inlineStr">
        <is>
          <t>Latest rating: Not rated · manager · 9-box: Reliable Specialist · Readiness: No rating data</t>
        </is>
      </c>
      <c r="W518" s="31" t="inlineStr">
        <is>
          <t>C M · Au M · Ac M · L M · BI M · Exp H · 6.9 yrs vs 2–4 yrs · Edu M · B.E</t>
        </is>
      </c>
      <c r="X518" s="33" t="inlineStr">
        <is>
          <t>Open ▸</t>
        </is>
      </c>
      <c r="Y518" s="34" t="str">
        <f>IFERROR(INDEX(DL_C,MATCH($CA518,DL_KEY,0)),"M")</f>
        <v>H</v>
      </c>
      <c r="Z518" s="35" t="str">
        <f>IFERROR(INDEX(DL_Au,MATCH($CA518,DL_KEY,0)),"M")</f>
        <v>M</v>
      </c>
      <c r="AA518" s="35" t="str">
        <f>IFERROR(INDEX(DL_Ac,MATCH($CA518,DL_KEY,0)),"M")</f>
        <v>L</v>
      </c>
      <c r="AB518" s="35" t="str">
        <f>IFERROR(INDEX(DL_L,MATCH($CA518,DL_KEY,0)),"M")</f>
        <v>L</v>
      </c>
      <c r="AC518" s="35" t="str">
        <f>IFERROR(INDEX(DL_BI,MATCH($CA518,DL_KEY,0)),"M")</f>
        <v>L</v>
      </c>
      <c r="AD518" s="35" t="str">
        <f>IFERROR(INDEX(DL_Exp,MATCH($CA518,DL_KEY,0)),"M")</f>
        <v>L</v>
      </c>
      <c r="AE518" s="35" t="str">
        <f>IFERROR(INDEX(DL_Edu,MATCH($CA518,DL_KEY,0)),"M")</f>
        <v>L</v>
      </c>
      <c r="AF518" s="34" t="inlineStr">
        <is>
          <t>M</t>
        </is>
      </c>
      <c r="AG518" s="35" t="inlineStr">
        <is>
          <t>M</t>
        </is>
      </c>
      <c r="AH518" s="35" t="inlineStr">
        <is>
          <t>M</t>
        </is>
      </c>
      <c r="AI518" s="35" t="inlineStr">
        <is>
          <t>M</t>
        </is>
      </c>
      <c r="AJ518" s="35" t="inlineStr">
        <is>
          <t>M</t>
        </is>
      </c>
      <c r="AK518" s="35" t="inlineStr">
        <is>
          <t>M</t>
        </is>
      </c>
      <c r="AL518" s="35" t="inlineStr">
        <is>
          <t>M</t>
        </is>
      </c>
      <c r="AM518" s="36" t="n">
        <v>0.583</v>
      </c>
      <c r="AN518" s="37" t="n">
        <v>0.16</v>
      </c>
      <c r="AO518" s="37" t="n">
        <v>0.09</v>
      </c>
      <c r="AP518" s="37" t="n">
        <v>0</v>
      </c>
      <c r="AQ518" s="37" t="n">
        <v>0.063</v>
      </c>
      <c r="AR518" s="37" t="n">
        <v>0.06</v>
      </c>
      <c r="AS518" s="37" t="n">
        <v>0.04</v>
      </c>
      <c r="AT518" s="38" t="inlineStr">
        <is>
          <t>2–5</t>
        </is>
      </c>
      <c r="AU518" s="38" t="inlineStr">
        <is>
          <t>Graduate; relevant certification preferred</t>
        </is>
      </c>
      <c r="AV518" s="38" t="inlineStr">
        <is>
          <t>None · guides 1–3 juniors informally</t>
        </is>
      </c>
      <c r="AW518" s="38" t="inlineStr">
        <is>
          <t>P2 · SFIA 3 Apply</t>
        </is>
      </c>
      <c r="AX51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18" s="39" t="inlineStr">
        <is>
          <t>A3</t>
        </is>
      </c>
      <c r="AZ518" s="40" t="inlineStr">
        <is>
          <t>Band A · Practitioner · Senior Associate</t>
        </is>
      </c>
      <c r="BA518" s="40" t="inlineStr">
        <is>
          <t>Model A3 from the six ratings, the market-derived weights and rules R1–R13 · then No change · already below the manager</t>
        </is>
      </c>
      <c r="BB518" s="41" t="inlineStr">
        <is>
          <t>A3</t>
        </is>
      </c>
      <c r="BC518" s="40" t="inlineStr">
        <is>
          <t>The six ratings on the market-average weights of Band A · all tracks score 3.15 → A3 · Hay, Mercer IPE and public plans · experience 6.9 yrs vs the A3 market range 2–5</t>
        </is>
      </c>
      <c r="BD518" s="42">
        <f>IF(SUM(BM518,BN518,BO518,BP518,BQ518,BR518,BS518)=0,0,(BM518*BT518+BN518*BU518+BO518*BV518+BP518*BW518+BQ518*BX518+BR518*BY518+BS518*BZ518)/SUM(BM518,BN518,BO518,BP518,BQ518,BR518,BS518))</f>
        <v>0</v>
      </c>
      <c r="BE518" s="41" t="str">
        <f>IF(LEFT(AY518,1)="X",AY518,IF(OR(AY518="B+",AY518="C+"),INDEX(LAD_PC,MAX(1,MIN(14,MATCH(AY518,LAD_PC,0)+IF(BD518&gt;=0.5,1,IF(BD518&lt;=-0.5,-1,0))))),INDEX(LAD_STD,MAX(1,MIN(12,MATCH(AY518,LAD_STD,0)+IF(BD518&gt;=0.5,1,IF(BD518&lt;=-0.5,-1,0)))))))</f>
        <v>A3</v>
      </c>
      <c r="BF518" s="43" t="n"/>
      <c r="BG518" s="41" t="str">
        <f>IF(BF518&lt;&gt;"",BF518,BE518)</f>
        <v>A3</v>
      </c>
      <c r="BH518" s="40" t="str">
        <f>IFERROR(CHOOSE(INDEX(B_RANK,MATCH(BG518,B_LVL,0)),"Band A","Band B","B+ · Player-Coach","Band C","C+ · Player-Coach","Band D","Band E"),"Band X · Consultant")</f>
        <v>Band A</v>
      </c>
      <c r="BI518" s="40" t="str">
        <f>IF(BG518=AY518,"• Same",IF(INDEX(B_VAL,MATCH(BG518,B_LVL,0))&gt;INDEX(B_VAL,MATCH(AY518,B_LVL,0)),"▲ Up","▼ Down"))</f>
        <v>• Same</v>
      </c>
      <c r="BJ518" s="40" t="str">
        <f>IF(OR($M518="",$M518="—",$M518="Not in this file"),"",IFERROR(INDEX($BG$7:$BG$592,MATCH($M518,$D$7:$D$592,0)),""))</f>
        <v>B2</v>
      </c>
      <c r="BK518" s="40" t="str">
        <f>IFERROR(IF(BJ518="","—",IF(OR(LEFT(BG518,1)="X",LEFT(BJ518,1)="X"),"—",IF(AND(LEFT(BG518,1)="E",LEFT(BJ518,1)="E"),"Exception · Band E",IF(AND(INDEX(B_VAL,MATCH(BJ518,B_LVL,0))&gt;=7,INDEX(B_RANK,MATCH(BG518,B_LVL,0))&gt;=INDEX(B_RANK,MATCH(BJ518,B_LVL,0))),"⚠ Same band as a head manager",IF(INDEX(B_VAL,MATCH(BG518,B_LVL,0))&gt;=INDEX(B_VAL,MATCH(BJ518,B_LVL,0)),"⚠ At or above the manager's level","OK"))))),"—")</f>
        <v>OK</v>
      </c>
      <c r="BL518" s="43" t="n"/>
      <c r="BM518" s="44">
        <f>IFERROR(INDEX(LMH_PTS,MATCH(Y518,LMH_KEY,0)),0)</f>
        <v>9</v>
      </c>
      <c r="BN518" s="38">
        <f>IFERROR(INDEX(LMH_PTS,MATCH(Z518,LMH_KEY,0)),0)</f>
        <v>3</v>
      </c>
      <c r="BO518" s="38">
        <f>IFERROR(INDEX(LMH_PTS,MATCH(AA518,LMH_KEY,0)),0)</f>
        <v>1</v>
      </c>
      <c r="BP518" s="38">
        <f>IFERROR(INDEX(LMH_PTS,MATCH(AB518,LMH_KEY,0)),0)</f>
        <v>1</v>
      </c>
      <c r="BQ518" s="38">
        <f>IFERROR(INDEX(LMH_PTS,MATCH(AC518,LMH_KEY,0)),0)</f>
        <v>1</v>
      </c>
      <c r="BR518" s="38">
        <f>IFERROR(INDEX(LMH_PTS,MATCH(AD518,LMH_KEY,0)),0)</f>
        <v>1</v>
      </c>
      <c r="BS518" s="38">
        <f>IFERROR(INDEX(LMH_PTS,MATCH(AE518,LMH_KEY,0)),0)</f>
        <v>1</v>
      </c>
      <c r="BT518" s="38">
        <f>IFERROR(INDEX(LMH_STEP,MATCH(AF518,LMH_KEY,0)),0)</f>
        <v>0</v>
      </c>
      <c r="BU518" s="38">
        <f>IFERROR(INDEX(LMH_STEP,MATCH(AG518,LMH_KEY,0)),0)</f>
        <v>0</v>
      </c>
      <c r="BV518" s="38">
        <f>IFERROR(INDEX(LMH_STEP,MATCH(AH518,LMH_KEY,0)),0)</f>
        <v>0</v>
      </c>
      <c r="BW518" s="38">
        <f>IFERROR(INDEX(LMH_STEP,MATCH(AI518,LMH_KEY,0)),0)</f>
        <v>0</v>
      </c>
      <c r="BX518" s="38">
        <f>IFERROR(INDEX(LMH_STEP,MATCH(AJ518,LMH_KEY,0)),0)</f>
        <v>0</v>
      </c>
      <c r="BY518" s="38">
        <f>IFERROR(INDEX(LMH_STEP,MATCH(AK518,LMH_KEY,0)),0)</f>
        <v>0</v>
      </c>
      <c r="BZ518" s="38">
        <f>IFERROR(INDEX(LMH_STEP,MATCH(AL518,LMH_KEY,0)),0)</f>
        <v>0</v>
      </c>
      <c r="CA518" s="38" t="inlineStr">
        <is>
          <t>CARBON|Technology|Senior Software Engineer|A3|A</t>
        </is>
      </c>
    </row>
    <row r="519" ht="110" customHeight="1">
      <c r="A519" s="28" t="inlineStr">
        <is>
          <t>CARBON</t>
        </is>
      </c>
      <c r="B519" s="29" t="inlineStr">
        <is>
          <t>Technology</t>
        </is>
      </c>
      <c r="C519" s="29" t="n">
        <v>3</v>
      </c>
      <c r="D519" s="29" t="inlineStr">
        <is>
          <t>IRIS2434</t>
        </is>
      </c>
      <c r="E519" s="29" t="inlineStr">
        <is>
          <t>Prachi Digambar Raut</t>
        </is>
      </c>
      <c r="F519" s="29" t="inlineStr">
        <is>
          <t>Software Engineer</t>
        </is>
      </c>
      <c r="G519" s="29" t="inlineStr">
        <is>
          <t>Senior Software Engineer</t>
        </is>
      </c>
      <c r="H519" s="29" t="inlineStr">
        <is>
          <t>Engineering &amp; Development</t>
        </is>
      </c>
      <c r="I519" s="29" t="inlineStr">
        <is>
          <t>Full-Stack Development</t>
        </is>
      </c>
      <c r="J519" s="29" t="inlineStr">
        <is>
          <t>IC</t>
        </is>
      </c>
      <c r="K519" s="29" t="inlineStr">
        <is>
          <t>RC-085</t>
        </is>
      </c>
      <c r="L519" s="29" t="inlineStr">
        <is>
          <t>Sarfaraz Badi</t>
        </is>
      </c>
      <c r="M519" s="29" t="inlineStr">
        <is>
          <t>IRIS1986</t>
        </is>
      </c>
      <c r="N519" s="29" t="n">
        <v>4.2</v>
      </c>
      <c r="O519" s="29" t="n">
        <v>1</v>
      </c>
      <c r="P519" s="29" t="inlineStr">
        <is>
          <t>BCA</t>
        </is>
      </c>
      <c r="Q519" s="29" t="inlineStr">
        <is>
          <t>L3 – Professional / Associate</t>
        </is>
      </c>
      <c r="R519" s="29" t="inlineStr">
        <is>
          <t>A3</t>
        </is>
      </c>
      <c r="S519" s="30" t="inlineStr">
        <is>
          <t>20 of 20</t>
        </is>
      </c>
      <c r="T519" s="31" t="inlineStr">
        <is>
          <t>My current role is Software Engineer, developing features, provide optimized solutions, brainstorming with team members for gathering ideas, Guiding team members as i m in a managerial background also; Brainstorming</t>
        </is>
      </c>
      <c r="U519" s="31" t="inlineStr">
        <is>
          <t>Received · manager annual · 1.Deliver ≥ 95% committed sprint and release tasks within agreed timelines with high-quality execution.
2.Improve solution quality by ensuring ≥ 90% major technical implementations include documented design considerations and architecture review.
3.Strengthen system design and architectural decision-making to reduce …</t>
        </is>
      </c>
      <c r="V519" s="31" t="inlineStr">
        <is>
          <t>Latest rating: Not rated · manager · 9-box: Not placed · manager · Readiness: No rating data</t>
        </is>
      </c>
      <c r="W519" s="31" t="inlineStr">
        <is>
          <t>C L · Au L · Ac M · L M · BI M · Exp M · 4.2 yrs vs 4–7 yrs · Edu M · BCA</t>
        </is>
      </c>
      <c r="X519" s="33" t="inlineStr">
        <is>
          <t>Open ▸</t>
        </is>
      </c>
      <c r="Y519" s="34" t="str">
        <f>IFERROR(INDEX(DL_C,MATCH($CA519,DL_KEY,0)),"M")</f>
        <v>H</v>
      </c>
      <c r="Z519" s="35" t="str">
        <f>IFERROR(INDEX(DL_Au,MATCH($CA519,DL_KEY,0)),"M")</f>
        <v>M</v>
      </c>
      <c r="AA519" s="35" t="str">
        <f>IFERROR(INDEX(DL_Ac,MATCH($CA519,DL_KEY,0)),"M")</f>
        <v>L</v>
      </c>
      <c r="AB519" s="35" t="str">
        <f>IFERROR(INDEX(DL_L,MATCH($CA519,DL_KEY,0)),"M")</f>
        <v>L</v>
      </c>
      <c r="AC519" s="35" t="str">
        <f>IFERROR(INDEX(DL_BI,MATCH($CA519,DL_KEY,0)),"M")</f>
        <v>L</v>
      </c>
      <c r="AD519" s="35" t="str">
        <f>IFERROR(INDEX(DL_Exp,MATCH($CA519,DL_KEY,0)),"M")</f>
        <v>L</v>
      </c>
      <c r="AE519" s="35" t="str">
        <f>IFERROR(INDEX(DL_Edu,MATCH($CA519,DL_KEY,0)),"M")</f>
        <v>L</v>
      </c>
      <c r="AF519" s="34" t="inlineStr">
        <is>
          <t>M</t>
        </is>
      </c>
      <c r="AG519" s="35" t="inlineStr">
        <is>
          <t>M</t>
        </is>
      </c>
      <c r="AH519" s="35" t="inlineStr">
        <is>
          <t>M</t>
        </is>
      </c>
      <c r="AI519" s="35" t="inlineStr">
        <is>
          <t>M</t>
        </is>
      </c>
      <c r="AJ519" s="35" t="inlineStr">
        <is>
          <t>M</t>
        </is>
      </c>
      <c r="AK519" s="35" t="inlineStr">
        <is>
          <t>M</t>
        </is>
      </c>
      <c r="AL519" s="35" t="inlineStr">
        <is>
          <t>M</t>
        </is>
      </c>
      <c r="AM519" s="36" t="n">
        <v>0.513</v>
      </c>
      <c r="AN519" s="37" t="n">
        <v>0.173</v>
      </c>
      <c r="AO519" s="37" t="n">
        <v>0.09699999999999999</v>
      </c>
      <c r="AP519" s="37" t="n">
        <v>0.05</v>
      </c>
      <c r="AQ519" s="37" t="n">
        <v>0.07000000000000001</v>
      </c>
      <c r="AR519" s="37" t="n">
        <v>0.06</v>
      </c>
      <c r="AS519" s="37" t="n">
        <v>0.04</v>
      </c>
      <c r="AT519" s="38" t="inlineStr">
        <is>
          <t>4–8</t>
        </is>
      </c>
      <c r="AU519" s="38" t="inlineStr">
        <is>
          <t>Graduate + relevant qualification or certification preferred</t>
        </is>
      </c>
      <c r="AV519" s="38" t="inlineStr">
        <is>
          <t>IC: none · Team Lead: 3–5</t>
        </is>
      </c>
      <c r="AW519" s="38" t="inlineStr">
        <is>
          <t>P3 / M2 · SFIA 4 Enable</t>
        </is>
      </c>
      <c r="AX51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19" s="39" t="inlineStr">
        <is>
          <t>B1</t>
        </is>
      </c>
      <c r="AZ519" s="40" t="inlineStr">
        <is>
          <t>Band B · Specialist / Manager · Specialist</t>
        </is>
      </c>
      <c r="BA519" s="40" t="inlineStr">
        <is>
          <t>Model A3 from the six ratings, the market-derived weights and rules R1–R13 · then Leads people at or above their own level · A3 → B1 Team Lead</t>
        </is>
      </c>
      <c r="BB519" s="41" t="inlineStr">
        <is>
          <t>A3</t>
        </is>
      </c>
      <c r="BC519" s="40" t="inlineStr">
        <is>
          <t>The six ratings on the market-average weights of Band B · Specialist / POD Lead score 2.60 → A3 · Hay, Mercer IPE and public plans · experience 4.2 yrs vs the A3 market range 2–5</t>
        </is>
      </c>
      <c r="BD519" s="42">
        <f>IF(SUM(BM519,BN519,BO519,BP519,BQ519,BR519,BS519)=0,0,(BM519*BT519+BN519*BU519+BO519*BV519+BP519*BW519+BQ519*BX519+BR519*BY519+BS519*BZ519)/SUM(BM519,BN519,BO519,BP519,BQ519,BR519,BS519))</f>
        <v>0</v>
      </c>
      <c r="BE519" s="41" t="str">
        <f>IF(LEFT(AY519,1)="X",AY519,IF(OR(AY519="B+",AY519="C+"),INDEX(LAD_PC,MAX(1,MIN(14,MATCH(AY519,LAD_PC,0)+IF(BD519&gt;=0.5,1,IF(BD519&lt;=-0.5,-1,0))))),INDEX(LAD_STD,MAX(1,MIN(12,MATCH(AY519,LAD_STD,0)+IF(BD519&gt;=0.5,1,IF(BD519&lt;=-0.5,-1,0)))))))</f>
        <v>B1</v>
      </c>
      <c r="BF519" s="43" t="n"/>
      <c r="BG519" s="41" t="str">
        <f>IF(BF519&lt;&gt;"",BF519,BE519)</f>
        <v>B1</v>
      </c>
      <c r="BH519" s="40" t="str">
        <f>IFERROR(CHOOSE(INDEX(B_RANK,MATCH(BG519,B_LVL,0)),"Band A","Band B","B+ · Player-Coach","Band C","C+ · Player-Coach","Band D","Band E"),"Band X · Consultant")</f>
        <v>Band B</v>
      </c>
      <c r="BI519" s="40" t="str">
        <f>IF(BG519=AY519,"• Same",IF(INDEX(B_VAL,MATCH(BG519,B_LVL,0))&gt;INDEX(B_VAL,MATCH(AY519,B_LVL,0)),"▲ Up","▼ Down"))</f>
        <v>• Same</v>
      </c>
      <c r="BJ519" s="40" t="str">
        <f>IF(OR($M519="",$M519="—",$M519="Not in this file"),"",IFERROR(INDEX($BG$7:$BG$592,MATCH($M519,$D$7:$D$592,0)),""))</f>
        <v>B2</v>
      </c>
      <c r="BK519" s="40" t="str">
        <f>IFERROR(IF(BJ519="","—",IF(OR(LEFT(BG519,1)="X",LEFT(BJ519,1)="X"),"—",IF(AND(LEFT(BG519,1)="E",LEFT(BJ519,1)="E"),"Exception · Band E",IF(AND(INDEX(B_VAL,MATCH(BJ519,B_LVL,0))&gt;=7,INDEX(B_RANK,MATCH(BG519,B_LVL,0))&gt;=INDEX(B_RANK,MATCH(BJ519,B_LVL,0))),"⚠ Same band as a head manager",IF(INDEX(B_VAL,MATCH(BG519,B_LVL,0))&gt;=INDEX(B_VAL,MATCH(BJ519,B_LVL,0)),"⚠ At or above the manager's level","OK"))))),"—")</f>
        <v>OK</v>
      </c>
      <c r="BL519" s="43" t="n"/>
      <c r="BM519" s="44">
        <f>IFERROR(INDEX(LMH_PTS,MATCH(Y519,LMH_KEY,0)),0)</f>
        <v>9</v>
      </c>
      <c r="BN519" s="38">
        <f>IFERROR(INDEX(LMH_PTS,MATCH(Z519,LMH_KEY,0)),0)</f>
        <v>3</v>
      </c>
      <c r="BO519" s="38">
        <f>IFERROR(INDEX(LMH_PTS,MATCH(AA519,LMH_KEY,0)),0)</f>
        <v>1</v>
      </c>
      <c r="BP519" s="38">
        <f>IFERROR(INDEX(LMH_PTS,MATCH(AB519,LMH_KEY,0)),0)</f>
        <v>1</v>
      </c>
      <c r="BQ519" s="38">
        <f>IFERROR(INDEX(LMH_PTS,MATCH(AC519,LMH_KEY,0)),0)</f>
        <v>1</v>
      </c>
      <c r="BR519" s="38">
        <f>IFERROR(INDEX(LMH_PTS,MATCH(AD519,LMH_KEY,0)),0)</f>
        <v>1</v>
      </c>
      <c r="BS519" s="38">
        <f>IFERROR(INDEX(LMH_PTS,MATCH(AE519,LMH_KEY,0)),0)</f>
        <v>1</v>
      </c>
      <c r="BT519" s="38">
        <f>IFERROR(INDEX(LMH_STEP,MATCH(AF519,LMH_KEY,0)),0)</f>
        <v>0</v>
      </c>
      <c r="BU519" s="38">
        <f>IFERROR(INDEX(LMH_STEP,MATCH(AG519,LMH_KEY,0)),0)</f>
        <v>0</v>
      </c>
      <c r="BV519" s="38">
        <f>IFERROR(INDEX(LMH_STEP,MATCH(AH519,LMH_KEY,0)),0)</f>
        <v>0</v>
      </c>
      <c r="BW519" s="38">
        <f>IFERROR(INDEX(LMH_STEP,MATCH(AI519,LMH_KEY,0)),0)</f>
        <v>0</v>
      </c>
      <c r="BX519" s="38">
        <f>IFERROR(INDEX(LMH_STEP,MATCH(AJ519,LMH_KEY,0)),0)</f>
        <v>0</v>
      </c>
      <c r="BY519" s="38">
        <f>IFERROR(INDEX(LMH_STEP,MATCH(AK519,LMH_KEY,0)),0)</f>
        <v>0</v>
      </c>
      <c r="BZ519" s="38">
        <f>IFERROR(INDEX(LMH_STEP,MATCH(AL519,LMH_KEY,0)),0)</f>
        <v>0</v>
      </c>
      <c r="CA519" s="38" t="inlineStr">
        <is>
          <t>CARBON|Technology|Senior Software Engineer|B1|B-IC</t>
        </is>
      </c>
    </row>
    <row r="520" ht="110" customHeight="1">
      <c r="A520" s="28" t="inlineStr">
        <is>
          <t>CARBON</t>
        </is>
      </c>
      <c r="B520" s="29" t="inlineStr">
        <is>
          <t>Technology</t>
        </is>
      </c>
      <c r="C520" s="29" t="n">
        <v>4</v>
      </c>
      <c r="D520" s="29" t="inlineStr">
        <is>
          <t>IRIS2473</t>
        </is>
      </c>
      <c r="E520" s="29" t="inlineStr">
        <is>
          <t>Anuj Pardeshi</t>
        </is>
      </c>
      <c r="F520" s="29" t="inlineStr">
        <is>
          <t>Software Engineer</t>
        </is>
      </c>
      <c r="G520" s="29" t="inlineStr">
        <is>
          <t>Senior Software Engineer</t>
        </is>
      </c>
      <c r="H520" s="29" t="inlineStr">
        <is>
          <t>Engineering &amp; Development</t>
        </is>
      </c>
      <c r="I520" s="29" t="inlineStr">
        <is>
          <t>Full-Stack Development</t>
        </is>
      </c>
      <c r="J520" s="29" t="inlineStr">
        <is>
          <t>IC</t>
        </is>
      </c>
      <c r="K520" s="29" t="inlineStr">
        <is>
          <t>RC-085</t>
        </is>
      </c>
      <c r="L520" s="29" t="inlineStr">
        <is>
          <t>Prachi Digambar Raut</t>
        </is>
      </c>
      <c r="M520" s="29" t="inlineStr">
        <is>
          <t>IRIS2434</t>
        </is>
      </c>
      <c r="N520" s="29" t="n">
        <v>4</v>
      </c>
      <c r="O520" s="29" t="n">
        <v>0.6</v>
      </c>
      <c r="P520" s="29" t="inlineStr">
        <is>
          <t>B.Tech</t>
        </is>
      </c>
      <c r="Q520" s="29" t="inlineStr">
        <is>
          <t>L3 – Professional / Associate</t>
        </is>
      </c>
      <c r="R520" s="29" t="inlineStr">
        <is>
          <t>A3</t>
        </is>
      </c>
      <c r="S520" s="30" t="inlineStr">
        <is>
          <t>20 of 20</t>
        </is>
      </c>
      <c r="T520" s="31" t="inlineStr">
        <is>
          <t>Im a software engineer at iris developing and Maintaining esg product.; I connot</t>
        </is>
      </c>
      <c r="U520" s="31" t="inlineStr">
        <is>
          <t>Received · manager annual · 1. Achieve ≥ 90% sprint delivery adherence by completing committed tasks within agreed timelines with high-quality execution and minimal dependency.
2. Strengthen advanced technical expertise in .NET, React, APIs, database handling, and system design by contributing to ≥ 50% end-to-end implementation tasks.
3. Improve …</t>
        </is>
      </c>
      <c r="V520" s="31" t="inlineStr">
        <is>
          <t>Latest rating: Not rated · manager · 9-box: Trusted Professional · Readiness: No rating data</t>
        </is>
      </c>
      <c r="W520" s="31" t="inlineStr">
        <is>
          <t>C L · Au L · Ac L · L L · BI L · Exp M · 4 yrs vs 2–4 yrs · Edu M · B.Tech</t>
        </is>
      </c>
      <c r="X520" s="33" t="inlineStr">
        <is>
          <t>Open ▸</t>
        </is>
      </c>
      <c r="Y520" s="34" t="str">
        <f>IFERROR(INDEX(DL_C,MATCH($CA520,DL_KEY,0)),"M")</f>
        <v>H</v>
      </c>
      <c r="Z520" s="35" t="str">
        <f>IFERROR(INDEX(DL_Au,MATCH($CA520,DL_KEY,0)),"M")</f>
        <v>M</v>
      </c>
      <c r="AA520" s="35" t="str">
        <f>IFERROR(INDEX(DL_Ac,MATCH($CA520,DL_KEY,0)),"M")</f>
        <v>L</v>
      </c>
      <c r="AB520" s="35" t="str">
        <f>IFERROR(INDEX(DL_L,MATCH($CA520,DL_KEY,0)),"M")</f>
        <v>L</v>
      </c>
      <c r="AC520" s="35" t="str">
        <f>IFERROR(INDEX(DL_BI,MATCH($CA520,DL_KEY,0)),"M")</f>
        <v>L</v>
      </c>
      <c r="AD520" s="35" t="str">
        <f>IFERROR(INDEX(DL_Exp,MATCH($CA520,DL_KEY,0)),"M")</f>
        <v>L</v>
      </c>
      <c r="AE520" s="35" t="str">
        <f>IFERROR(INDEX(DL_Edu,MATCH($CA520,DL_KEY,0)),"M")</f>
        <v>L</v>
      </c>
      <c r="AF520" s="34" t="inlineStr">
        <is>
          <t>M</t>
        </is>
      </c>
      <c r="AG520" s="35" t="inlineStr">
        <is>
          <t>M</t>
        </is>
      </c>
      <c r="AH520" s="35" t="inlineStr">
        <is>
          <t>M</t>
        </is>
      </c>
      <c r="AI520" s="35" t="inlineStr">
        <is>
          <t>M</t>
        </is>
      </c>
      <c r="AJ520" s="35" t="inlineStr">
        <is>
          <t>M</t>
        </is>
      </c>
      <c r="AK520" s="35" t="inlineStr">
        <is>
          <t>M</t>
        </is>
      </c>
      <c r="AL520" s="35" t="inlineStr">
        <is>
          <t>M</t>
        </is>
      </c>
      <c r="AM520" s="36" t="n">
        <v>0.583</v>
      </c>
      <c r="AN520" s="37" t="n">
        <v>0.16</v>
      </c>
      <c r="AO520" s="37" t="n">
        <v>0.09</v>
      </c>
      <c r="AP520" s="37" t="n">
        <v>0</v>
      </c>
      <c r="AQ520" s="37" t="n">
        <v>0.063</v>
      </c>
      <c r="AR520" s="37" t="n">
        <v>0.06</v>
      </c>
      <c r="AS520" s="37" t="n">
        <v>0.04</v>
      </c>
      <c r="AT520" s="38" t="inlineStr">
        <is>
          <t>2–5</t>
        </is>
      </c>
      <c r="AU520" s="38" t="inlineStr">
        <is>
          <t>Graduate; relevant certification preferred</t>
        </is>
      </c>
      <c r="AV520" s="38" t="inlineStr">
        <is>
          <t>None · guides 1–3 juniors informally</t>
        </is>
      </c>
      <c r="AW520" s="38" t="inlineStr">
        <is>
          <t>P2 · SFIA 3 Apply</t>
        </is>
      </c>
      <c r="AX52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20" s="39" t="inlineStr">
        <is>
          <t>A3</t>
        </is>
      </c>
      <c r="AZ520" s="40" t="inlineStr">
        <is>
          <t>Band A · Practitioner · Senior Associate</t>
        </is>
      </c>
      <c r="BA520" s="40" t="inlineStr">
        <is>
          <t>Model A3 from the six ratings, the market-derived weights and rules R1–R13 · then No change · already below the manager</t>
        </is>
      </c>
      <c r="BB520" s="41" t="inlineStr">
        <is>
          <t>A2</t>
        </is>
      </c>
      <c r="BC520" s="40" t="inlineStr">
        <is>
          <t>The six ratings on the market-average weights of Band A · all tracks score 2.07 → A2 · Hay, Mercer IPE and public plans · experience 4 yrs vs the A2 market range 0–3</t>
        </is>
      </c>
      <c r="BD520" s="42">
        <f>IF(SUM(BM520,BN520,BO520,BP520,BQ520,BR520,BS520)=0,0,(BM520*BT520+BN520*BU520+BO520*BV520+BP520*BW520+BQ520*BX520+BR520*BY520+BS520*BZ520)/SUM(BM520,BN520,BO520,BP520,BQ520,BR520,BS520))</f>
        <v>0</v>
      </c>
      <c r="BE520" s="41" t="str">
        <f>IF(LEFT(AY520,1)="X",AY520,IF(OR(AY520="B+",AY520="C+"),INDEX(LAD_PC,MAX(1,MIN(14,MATCH(AY520,LAD_PC,0)+IF(BD520&gt;=0.5,1,IF(BD520&lt;=-0.5,-1,0))))),INDEX(LAD_STD,MAX(1,MIN(12,MATCH(AY520,LAD_STD,0)+IF(BD520&gt;=0.5,1,IF(BD520&lt;=-0.5,-1,0)))))))</f>
        <v>A3</v>
      </c>
      <c r="BF520" s="43" t="n"/>
      <c r="BG520" s="41" t="str">
        <f>IF(BF520&lt;&gt;"",BF520,BE520)</f>
        <v>A3</v>
      </c>
      <c r="BH520" s="40" t="str">
        <f>IFERROR(CHOOSE(INDEX(B_RANK,MATCH(BG520,B_LVL,0)),"Band A","Band B","B+ · Player-Coach","Band C","C+ · Player-Coach","Band D","Band E"),"Band X · Consultant")</f>
        <v>Band A</v>
      </c>
      <c r="BI520" s="40" t="str">
        <f>IF(BG520=AY520,"• Same",IF(INDEX(B_VAL,MATCH(BG520,B_LVL,0))&gt;INDEX(B_VAL,MATCH(AY520,B_LVL,0)),"▲ Up","▼ Down"))</f>
        <v>• Same</v>
      </c>
      <c r="BJ520" s="40" t="str">
        <f>IF(OR($M520="",$M520="—",$M520="Not in this file"),"",IFERROR(INDEX($BG$7:$BG$592,MATCH($M520,$D$7:$D$592,0)),""))</f>
        <v>B1</v>
      </c>
      <c r="BK520" s="40" t="str">
        <f>IFERROR(IF(BJ520="","—",IF(OR(LEFT(BG520,1)="X",LEFT(BJ520,1)="X"),"—",IF(AND(LEFT(BG520,1)="E",LEFT(BJ520,1)="E"),"Exception · Band E",IF(AND(INDEX(B_VAL,MATCH(BJ520,B_LVL,0))&gt;=7,INDEX(B_RANK,MATCH(BG520,B_LVL,0))&gt;=INDEX(B_RANK,MATCH(BJ520,B_LVL,0))),"⚠ Same band as a head manager",IF(INDEX(B_VAL,MATCH(BG520,B_LVL,0))&gt;=INDEX(B_VAL,MATCH(BJ520,B_LVL,0)),"⚠ At or above the manager's level","OK"))))),"—")</f>
        <v>OK</v>
      </c>
      <c r="BL520" s="43" t="n"/>
      <c r="BM520" s="44">
        <f>IFERROR(INDEX(LMH_PTS,MATCH(Y520,LMH_KEY,0)),0)</f>
        <v>9</v>
      </c>
      <c r="BN520" s="38">
        <f>IFERROR(INDEX(LMH_PTS,MATCH(Z520,LMH_KEY,0)),0)</f>
        <v>3</v>
      </c>
      <c r="BO520" s="38">
        <f>IFERROR(INDEX(LMH_PTS,MATCH(AA520,LMH_KEY,0)),0)</f>
        <v>1</v>
      </c>
      <c r="BP520" s="38">
        <f>IFERROR(INDEX(LMH_PTS,MATCH(AB520,LMH_KEY,0)),0)</f>
        <v>1</v>
      </c>
      <c r="BQ520" s="38">
        <f>IFERROR(INDEX(LMH_PTS,MATCH(AC520,LMH_KEY,0)),0)</f>
        <v>1</v>
      </c>
      <c r="BR520" s="38">
        <f>IFERROR(INDEX(LMH_PTS,MATCH(AD520,LMH_KEY,0)),0)</f>
        <v>1</v>
      </c>
      <c r="BS520" s="38">
        <f>IFERROR(INDEX(LMH_PTS,MATCH(AE520,LMH_KEY,0)),0)</f>
        <v>1</v>
      </c>
      <c r="BT520" s="38">
        <f>IFERROR(INDEX(LMH_STEP,MATCH(AF520,LMH_KEY,0)),0)</f>
        <v>0</v>
      </c>
      <c r="BU520" s="38">
        <f>IFERROR(INDEX(LMH_STEP,MATCH(AG520,LMH_KEY,0)),0)</f>
        <v>0</v>
      </c>
      <c r="BV520" s="38">
        <f>IFERROR(INDEX(LMH_STEP,MATCH(AH520,LMH_KEY,0)),0)</f>
        <v>0</v>
      </c>
      <c r="BW520" s="38">
        <f>IFERROR(INDEX(LMH_STEP,MATCH(AI520,LMH_KEY,0)),0)</f>
        <v>0</v>
      </c>
      <c r="BX520" s="38">
        <f>IFERROR(INDEX(LMH_STEP,MATCH(AJ520,LMH_KEY,0)),0)</f>
        <v>0</v>
      </c>
      <c r="BY520" s="38">
        <f>IFERROR(INDEX(LMH_STEP,MATCH(AK520,LMH_KEY,0)),0)</f>
        <v>0</v>
      </c>
      <c r="BZ520" s="38">
        <f>IFERROR(INDEX(LMH_STEP,MATCH(AL520,LMH_KEY,0)),0)</f>
        <v>0</v>
      </c>
      <c r="CA520" s="38" t="inlineStr">
        <is>
          <t>CARBON|Technology|Senior Software Engineer|A3|A</t>
        </is>
      </c>
    </row>
    <row r="521" ht="110" customHeight="1">
      <c r="A521" s="28" t="inlineStr">
        <is>
          <t>CARBON</t>
        </is>
      </c>
      <c r="B521" s="29" t="inlineStr">
        <is>
          <t>Technology</t>
        </is>
      </c>
      <c r="C521" s="29" t="n">
        <v>4</v>
      </c>
      <c r="D521" s="29" t="inlineStr">
        <is>
          <t>IRIS2472</t>
        </is>
      </c>
      <c r="E521" s="29" t="inlineStr">
        <is>
          <t>Karan Kapadia</t>
        </is>
      </c>
      <c r="F521" s="29" t="inlineStr">
        <is>
          <t>Software Engineer</t>
        </is>
      </c>
      <c r="G521" s="29" t="inlineStr">
        <is>
          <t>Senior Software Engineer</t>
        </is>
      </c>
      <c r="H521" s="29" t="inlineStr">
        <is>
          <t>Engineering &amp; Development</t>
        </is>
      </c>
      <c r="I521" s="29" t="inlineStr">
        <is>
          <t>Full-Stack Development</t>
        </is>
      </c>
      <c r="J521" s="29" t="inlineStr">
        <is>
          <t>IC</t>
        </is>
      </c>
      <c r="K521" s="29" t="inlineStr">
        <is>
          <t>RC-085</t>
        </is>
      </c>
      <c r="L521" s="29" t="inlineStr">
        <is>
          <t>Prachi Digambar Raut</t>
        </is>
      </c>
      <c r="M521" s="29" t="inlineStr">
        <is>
          <t>IRIS2434</t>
        </is>
      </c>
      <c r="N521" s="29" t="n">
        <v>4.4</v>
      </c>
      <c r="O521" s="29" t="n">
        <v>0.6</v>
      </c>
      <c r="P521" s="29" t="inlineStr">
        <is>
          <t>MCA</t>
        </is>
      </c>
      <c r="Q521" s="29" t="inlineStr">
        <is>
          <t>L3 – Professional / Associate</t>
        </is>
      </c>
      <c r="R521" s="29" t="inlineStr">
        <is>
          <t>A3</t>
        </is>
      </c>
      <c r="S521" s="30" t="inlineStr">
        <is>
          <t>19 of 20</t>
        </is>
      </c>
      <c r="T521" s="31" t="inlineStr">
        <is>
          <t>• Role / sub-team: Technology — Software Engineer.
• Core purpose: Understand the product domain rest will be manageable.
• Decision-making autonomy: Can independently model change request.
• Is this something only they do: Most of us.
• What's different about this role: Data Integration.</t>
        </is>
      </c>
      <c r="U521" s="31" t="inlineStr">
        <is>
          <t>Received · manager annual · 1. Strengthen technical expertise in .NET, React, APIs, database handling, and full-stack development by contributing to ≥ 50% end-to-end implementation tasks.
2. Achieve ≥ 90% sprint delivery adherence by completing committed tasks within agreed timelines with high-quality execution and minimal dependency.
3. …</t>
        </is>
      </c>
      <c r="V521" s="31" t="inlineStr">
        <is>
          <t>Latest rating: Not rated · manager · 9-box: Future Leader · Readiness: No rating data</t>
        </is>
      </c>
      <c r="W521" s="31" t="inlineStr">
        <is>
          <t>C L · Au L · Ac L · L L · BI L · Exp H · 4.4 yrs vs 2–4 yrs · Edu H · MCA</t>
        </is>
      </c>
      <c r="X521" s="33" t="inlineStr">
        <is>
          <t>Open ▸</t>
        </is>
      </c>
      <c r="Y521" s="34" t="str">
        <f>IFERROR(INDEX(DL_C,MATCH($CA521,DL_KEY,0)),"M")</f>
        <v>H</v>
      </c>
      <c r="Z521" s="35" t="str">
        <f>IFERROR(INDEX(DL_Au,MATCH($CA521,DL_KEY,0)),"M")</f>
        <v>M</v>
      </c>
      <c r="AA521" s="35" t="str">
        <f>IFERROR(INDEX(DL_Ac,MATCH($CA521,DL_KEY,0)),"M")</f>
        <v>L</v>
      </c>
      <c r="AB521" s="35" t="str">
        <f>IFERROR(INDEX(DL_L,MATCH($CA521,DL_KEY,0)),"M")</f>
        <v>L</v>
      </c>
      <c r="AC521" s="35" t="str">
        <f>IFERROR(INDEX(DL_BI,MATCH($CA521,DL_KEY,0)),"M")</f>
        <v>L</v>
      </c>
      <c r="AD521" s="35" t="str">
        <f>IFERROR(INDEX(DL_Exp,MATCH($CA521,DL_KEY,0)),"M")</f>
        <v>L</v>
      </c>
      <c r="AE521" s="35" t="str">
        <f>IFERROR(INDEX(DL_Edu,MATCH($CA521,DL_KEY,0)),"M")</f>
        <v>L</v>
      </c>
      <c r="AF521" s="34" t="inlineStr">
        <is>
          <t>M</t>
        </is>
      </c>
      <c r="AG521" s="35" t="inlineStr">
        <is>
          <t>M</t>
        </is>
      </c>
      <c r="AH521" s="35" t="inlineStr">
        <is>
          <t>M</t>
        </is>
      </c>
      <c r="AI521" s="35" t="inlineStr">
        <is>
          <t>M</t>
        </is>
      </c>
      <c r="AJ521" s="35" t="inlineStr">
        <is>
          <t>M</t>
        </is>
      </c>
      <c r="AK521" s="35" t="inlineStr">
        <is>
          <t>M</t>
        </is>
      </c>
      <c r="AL521" s="35" t="inlineStr">
        <is>
          <t>M</t>
        </is>
      </c>
      <c r="AM521" s="36" t="n">
        <v>0.583</v>
      </c>
      <c r="AN521" s="37" t="n">
        <v>0.16</v>
      </c>
      <c r="AO521" s="37" t="n">
        <v>0.09</v>
      </c>
      <c r="AP521" s="37" t="n">
        <v>0</v>
      </c>
      <c r="AQ521" s="37" t="n">
        <v>0.063</v>
      </c>
      <c r="AR521" s="37" t="n">
        <v>0.06</v>
      </c>
      <c r="AS521" s="37" t="n">
        <v>0.04</v>
      </c>
      <c r="AT521" s="38" t="inlineStr">
        <is>
          <t>2–5</t>
        </is>
      </c>
      <c r="AU521" s="38" t="inlineStr">
        <is>
          <t>Graduate; relevant certification preferred</t>
        </is>
      </c>
      <c r="AV521" s="38" t="inlineStr">
        <is>
          <t>None · guides 1–3 juniors informally</t>
        </is>
      </c>
      <c r="AW521" s="38" t="inlineStr">
        <is>
          <t>P2 · SFIA 3 Apply</t>
        </is>
      </c>
      <c r="AX52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21" s="39" t="inlineStr">
        <is>
          <t>A3</t>
        </is>
      </c>
      <c r="AZ521" s="40" t="inlineStr">
        <is>
          <t>Band A · Practitioner · Senior Associate</t>
        </is>
      </c>
      <c r="BA521" s="40" t="inlineStr">
        <is>
          <t>Model A3 from the six ratings, the market-derived weights and rules R1–R13 · then No change · already below the manager</t>
        </is>
      </c>
      <c r="BB521" s="41" t="inlineStr">
        <is>
          <t>A2</t>
        </is>
      </c>
      <c r="BC521" s="40" t="inlineStr">
        <is>
          <t>The six ratings on the market-average weights of Band A · all tracks score 2.20 → A2 · Hay, Mercer IPE and public plans · experience 4.4 yrs vs the A2 market range 0–3</t>
        </is>
      </c>
      <c r="BD521" s="42">
        <f>IF(SUM(BM521,BN521,BO521,BP521,BQ521,BR521,BS521)=0,0,(BM521*BT521+BN521*BU521+BO521*BV521+BP521*BW521+BQ521*BX521+BR521*BY521+BS521*BZ521)/SUM(BM521,BN521,BO521,BP521,BQ521,BR521,BS521))</f>
        <v>0</v>
      </c>
      <c r="BE521" s="41" t="str">
        <f>IF(LEFT(AY521,1)="X",AY521,IF(OR(AY521="B+",AY521="C+"),INDEX(LAD_PC,MAX(1,MIN(14,MATCH(AY521,LAD_PC,0)+IF(BD521&gt;=0.5,1,IF(BD521&lt;=-0.5,-1,0))))),INDEX(LAD_STD,MAX(1,MIN(12,MATCH(AY521,LAD_STD,0)+IF(BD521&gt;=0.5,1,IF(BD521&lt;=-0.5,-1,0)))))))</f>
        <v>A3</v>
      </c>
      <c r="BF521" s="43" t="n"/>
      <c r="BG521" s="41" t="str">
        <f>IF(BF521&lt;&gt;"",BF521,BE521)</f>
        <v>A3</v>
      </c>
      <c r="BH521" s="40" t="str">
        <f>IFERROR(CHOOSE(INDEX(B_RANK,MATCH(BG521,B_LVL,0)),"Band A","Band B","B+ · Player-Coach","Band C","C+ · Player-Coach","Band D","Band E"),"Band X · Consultant")</f>
        <v>Band A</v>
      </c>
      <c r="BI521" s="40" t="str">
        <f>IF(BG521=AY521,"• Same",IF(INDEX(B_VAL,MATCH(BG521,B_LVL,0))&gt;INDEX(B_VAL,MATCH(AY521,B_LVL,0)),"▲ Up","▼ Down"))</f>
        <v>• Same</v>
      </c>
      <c r="BJ521" s="40" t="str">
        <f>IF(OR($M521="",$M521="—",$M521="Not in this file"),"",IFERROR(INDEX($BG$7:$BG$592,MATCH($M521,$D$7:$D$592,0)),""))</f>
        <v>B1</v>
      </c>
      <c r="BK521" s="40" t="str">
        <f>IFERROR(IF(BJ521="","—",IF(OR(LEFT(BG521,1)="X",LEFT(BJ521,1)="X"),"—",IF(AND(LEFT(BG521,1)="E",LEFT(BJ521,1)="E"),"Exception · Band E",IF(AND(INDEX(B_VAL,MATCH(BJ521,B_LVL,0))&gt;=7,INDEX(B_RANK,MATCH(BG521,B_LVL,0))&gt;=INDEX(B_RANK,MATCH(BJ521,B_LVL,0))),"⚠ Same band as a head manager",IF(INDEX(B_VAL,MATCH(BG521,B_LVL,0))&gt;=INDEX(B_VAL,MATCH(BJ521,B_LVL,0)),"⚠ At or above the manager's level","OK"))))),"—")</f>
        <v>OK</v>
      </c>
      <c r="BL521" s="43" t="n"/>
      <c r="BM521" s="44">
        <f>IFERROR(INDEX(LMH_PTS,MATCH(Y521,LMH_KEY,0)),0)</f>
        <v>9</v>
      </c>
      <c r="BN521" s="38">
        <f>IFERROR(INDEX(LMH_PTS,MATCH(Z521,LMH_KEY,0)),0)</f>
        <v>3</v>
      </c>
      <c r="BO521" s="38">
        <f>IFERROR(INDEX(LMH_PTS,MATCH(AA521,LMH_KEY,0)),0)</f>
        <v>1</v>
      </c>
      <c r="BP521" s="38">
        <f>IFERROR(INDEX(LMH_PTS,MATCH(AB521,LMH_KEY,0)),0)</f>
        <v>1</v>
      </c>
      <c r="BQ521" s="38">
        <f>IFERROR(INDEX(LMH_PTS,MATCH(AC521,LMH_KEY,0)),0)</f>
        <v>1</v>
      </c>
      <c r="BR521" s="38">
        <f>IFERROR(INDEX(LMH_PTS,MATCH(AD521,LMH_KEY,0)),0)</f>
        <v>1</v>
      </c>
      <c r="BS521" s="38">
        <f>IFERROR(INDEX(LMH_PTS,MATCH(AE521,LMH_KEY,0)),0)</f>
        <v>1</v>
      </c>
      <c r="BT521" s="38">
        <f>IFERROR(INDEX(LMH_STEP,MATCH(AF521,LMH_KEY,0)),0)</f>
        <v>0</v>
      </c>
      <c r="BU521" s="38">
        <f>IFERROR(INDEX(LMH_STEP,MATCH(AG521,LMH_KEY,0)),0)</f>
        <v>0</v>
      </c>
      <c r="BV521" s="38">
        <f>IFERROR(INDEX(LMH_STEP,MATCH(AH521,LMH_KEY,0)),0)</f>
        <v>0</v>
      </c>
      <c r="BW521" s="38">
        <f>IFERROR(INDEX(LMH_STEP,MATCH(AI521,LMH_KEY,0)),0)</f>
        <v>0</v>
      </c>
      <c r="BX521" s="38">
        <f>IFERROR(INDEX(LMH_STEP,MATCH(AJ521,LMH_KEY,0)),0)</f>
        <v>0</v>
      </c>
      <c r="BY521" s="38">
        <f>IFERROR(INDEX(LMH_STEP,MATCH(AK521,LMH_KEY,0)),0)</f>
        <v>0</v>
      </c>
      <c r="BZ521" s="38">
        <f>IFERROR(INDEX(LMH_STEP,MATCH(AL521,LMH_KEY,0)),0)</f>
        <v>0</v>
      </c>
      <c r="CA521" s="38" t="inlineStr">
        <is>
          <t>CARBON|Technology|Senior Software Engineer|A3|A</t>
        </is>
      </c>
    </row>
    <row r="522" ht="110" customHeight="1">
      <c r="A522" s="28" t="inlineStr">
        <is>
          <t>CARBON</t>
        </is>
      </c>
      <c r="B522" s="29" t="inlineStr">
        <is>
          <t>Technology</t>
        </is>
      </c>
      <c r="C522" s="29" t="n">
        <v>4</v>
      </c>
      <c r="D522" s="29" t="inlineStr">
        <is>
          <t>IRIS2418</t>
        </is>
      </c>
      <c r="E522" s="29" t="inlineStr">
        <is>
          <t>Omkar Dhumal</t>
        </is>
      </c>
      <c r="F522" s="29" t="inlineStr">
        <is>
          <t>Software Engineer</t>
        </is>
      </c>
      <c r="G522" s="29" t="inlineStr">
        <is>
          <t>Senior UI Developer</t>
        </is>
      </c>
      <c r="H522" s="29" t="inlineStr">
        <is>
          <t>Engineering &amp; Development</t>
        </is>
      </c>
      <c r="I522" s="29" t="inlineStr">
        <is>
          <t>Front-End / UI Development</t>
        </is>
      </c>
      <c r="J522" s="29" t="inlineStr">
        <is>
          <t>IC</t>
        </is>
      </c>
      <c r="K522" s="29" t="inlineStr">
        <is>
          <t>RC-081</t>
        </is>
      </c>
      <c r="L522" s="29" t="inlineStr">
        <is>
          <t>Prachi Digambar Raut</t>
        </is>
      </c>
      <c r="M522" s="29" t="inlineStr">
        <is>
          <t>IRIS2434</t>
        </is>
      </c>
      <c r="N522" s="29" t="n">
        <v>3.3</v>
      </c>
      <c r="O522" s="29" t="n">
        <v>1.1</v>
      </c>
      <c r="P522" s="29" t="inlineStr">
        <is>
          <t>M.Sc</t>
        </is>
      </c>
      <c r="Q522" s="29" t="inlineStr">
        <is>
          <t>L3 – Professional / Associate</t>
        </is>
      </c>
      <c r="R522" s="29" t="inlineStr">
        <is>
          <t>A3</t>
        </is>
      </c>
      <c r="S522" s="30" t="inlineStr">
        <is>
          <t>20 of 20</t>
        </is>
      </c>
      <c r="T522" s="31" t="inlineStr">
        <is>
          <t>• Role / sub-team: Technology — Software Engineer.
• Core purpose: Input not given by Participant.
• Decision-making autonomy: Input not given by Participant.
• Is this something only they do: Input not given by Participant.</t>
        </is>
      </c>
      <c r="U522" s="31" t="inlineStr">
        <is>
          <t>Received · manager annual · 1. Achieve ≥ 90% sprint delivery adherence by completing committed tasks within agreed timelines with high-quality execution and minimal dependency.
2. Build strong full-stack development capability by contributing to ≥ 50% end-to-end implementation across frontend, backend, database, and API integration.
3. …</t>
        </is>
      </c>
      <c r="V522" s="31" t="inlineStr">
        <is>
          <t>Latest rating: Not rated · manager · 9-box: Reliable Specialist · Readiness: No rating data</t>
        </is>
      </c>
      <c r="W522" s="31" t="inlineStr">
        <is>
          <t>C M · Au L · Ac L · L L · BI L · Exp M · 3.3 yrs vs 2–4 yrs · Edu H · M.Sc</t>
        </is>
      </c>
      <c r="X522" s="33" t="inlineStr">
        <is>
          <t>Open ▸</t>
        </is>
      </c>
      <c r="Y522" s="34" t="str">
        <f>IFERROR(INDEX(DL_C,MATCH($CA522,DL_KEY,0)),"M")</f>
        <v>H</v>
      </c>
      <c r="Z522" s="35" t="str">
        <f>IFERROR(INDEX(DL_Au,MATCH($CA522,DL_KEY,0)),"M")</f>
        <v>M</v>
      </c>
      <c r="AA522" s="35" t="str">
        <f>IFERROR(INDEX(DL_Ac,MATCH($CA522,DL_KEY,0)),"M")</f>
        <v>L</v>
      </c>
      <c r="AB522" s="35" t="str">
        <f>IFERROR(INDEX(DL_L,MATCH($CA522,DL_KEY,0)),"M")</f>
        <v>L</v>
      </c>
      <c r="AC522" s="35" t="str">
        <f>IFERROR(INDEX(DL_BI,MATCH($CA522,DL_KEY,0)),"M")</f>
        <v>L</v>
      </c>
      <c r="AD522" s="35" t="str">
        <f>IFERROR(INDEX(DL_Exp,MATCH($CA522,DL_KEY,0)),"M")</f>
        <v>L</v>
      </c>
      <c r="AE522" s="35" t="str">
        <f>IFERROR(INDEX(DL_Edu,MATCH($CA522,DL_KEY,0)),"M")</f>
        <v>L</v>
      </c>
      <c r="AF522" s="34" t="inlineStr">
        <is>
          <t>M</t>
        </is>
      </c>
      <c r="AG522" s="35" t="inlineStr">
        <is>
          <t>M</t>
        </is>
      </c>
      <c r="AH522" s="35" t="inlineStr">
        <is>
          <t>M</t>
        </is>
      </c>
      <c r="AI522" s="35" t="inlineStr">
        <is>
          <t>M</t>
        </is>
      </c>
      <c r="AJ522" s="35" t="inlineStr">
        <is>
          <t>M</t>
        </is>
      </c>
      <c r="AK522" s="35" t="inlineStr">
        <is>
          <t>M</t>
        </is>
      </c>
      <c r="AL522" s="35" t="inlineStr">
        <is>
          <t>M</t>
        </is>
      </c>
      <c r="AM522" s="36" t="n">
        <v>0.583</v>
      </c>
      <c r="AN522" s="37" t="n">
        <v>0.16</v>
      </c>
      <c r="AO522" s="37" t="n">
        <v>0.09</v>
      </c>
      <c r="AP522" s="37" t="n">
        <v>0</v>
      </c>
      <c r="AQ522" s="37" t="n">
        <v>0.063</v>
      </c>
      <c r="AR522" s="37" t="n">
        <v>0.06</v>
      </c>
      <c r="AS522" s="37" t="n">
        <v>0.04</v>
      </c>
      <c r="AT522" s="38" t="inlineStr">
        <is>
          <t>2–5</t>
        </is>
      </c>
      <c r="AU522" s="38" t="inlineStr">
        <is>
          <t>Graduate; relevant certification preferred</t>
        </is>
      </c>
      <c r="AV522" s="38" t="inlineStr">
        <is>
          <t>None · guides 1–3 juniors informally</t>
        </is>
      </c>
      <c r="AW522" s="38" t="inlineStr">
        <is>
          <t>P2 · SFIA 3 Apply</t>
        </is>
      </c>
      <c r="AX52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22" s="39" t="inlineStr">
        <is>
          <t>A3</t>
        </is>
      </c>
      <c r="AZ522" s="40" t="inlineStr">
        <is>
          <t>Band A · Practitioner · Senior Associate</t>
        </is>
      </c>
      <c r="BA522" s="40" t="inlineStr">
        <is>
          <t>Model A3 from the six ratings, the market-derived weights and rules R1–R13 · then No change · already below the manager</t>
        </is>
      </c>
      <c r="BB522" s="41" t="inlineStr">
        <is>
          <t>A2</t>
        </is>
      </c>
      <c r="BC522" s="40" t="inlineStr">
        <is>
          <t>The six ratings on the market-average weights of Band A · all tracks score 2.44 → A2 · Hay, Mercer IPE and public plans · experience 3.3 yrs vs the A2 market range 0–3</t>
        </is>
      </c>
      <c r="BD522" s="42">
        <f>IF(SUM(BM522,BN522,BO522,BP522,BQ522,BR522,BS522)=0,0,(BM522*BT522+BN522*BU522+BO522*BV522+BP522*BW522+BQ522*BX522+BR522*BY522+BS522*BZ522)/SUM(BM522,BN522,BO522,BP522,BQ522,BR522,BS522))</f>
        <v>0</v>
      </c>
      <c r="BE522" s="41" t="str">
        <f>IF(LEFT(AY522,1)="X",AY522,IF(OR(AY522="B+",AY522="C+"),INDEX(LAD_PC,MAX(1,MIN(14,MATCH(AY522,LAD_PC,0)+IF(BD522&gt;=0.5,1,IF(BD522&lt;=-0.5,-1,0))))),INDEX(LAD_STD,MAX(1,MIN(12,MATCH(AY522,LAD_STD,0)+IF(BD522&gt;=0.5,1,IF(BD522&lt;=-0.5,-1,0)))))))</f>
        <v>A3</v>
      </c>
      <c r="BF522" s="43" t="n"/>
      <c r="BG522" s="41" t="str">
        <f>IF(BF522&lt;&gt;"",BF522,BE522)</f>
        <v>A3</v>
      </c>
      <c r="BH522" s="40" t="str">
        <f>IFERROR(CHOOSE(INDEX(B_RANK,MATCH(BG522,B_LVL,0)),"Band A","Band B","B+ · Player-Coach","Band C","C+ · Player-Coach","Band D","Band E"),"Band X · Consultant")</f>
        <v>Band A</v>
      </c>
      <c r="BI522" s="40" t="str">
        <f>IF(BG522=AY522,"• Same",IF(INDEX(B_VAL,MATCH(BG522,B_LVL,0))&gt;INDEX(B_VAL,MATCH(AY522,B_LVL,0)),"▲ Up","▼ Down"))</f>
        <v>• Same</v>
      </c>
      <c r="BJ522" s="40" t="str">
        <f>IF(OR($M522="",$M522="—",$M522="Not in this file"),"",IFERROR(INDEX($BG$7:$BG$592,MATCH($M522,$D$7:$D$592,0)),""))</f>
        <v>B1</v>
      </c>
      <c r="BK522" s="40" t="str">
        <f>IFERROR(IF(BJ522="","—",IF(OR(LEFT(BG522,1)="X",LEFT(BJ522,1)="X"),"—",IF(AND(LEFT(BG522,1)="E",LEFT(BJ522,1)="E"),"Exception · Band E",IF(AND(INDEX(B_VAL,MATCH(BJ522,B_LVL,0))&gt;=7,INDEX(B_RANK,MATCH(BG522,B_LVL,0))&gt;=INDEX(B_RANK,MATCH(BJ522,B_LVL,0))),"⚠ Same band as a head manager",IF(INDEX(B_VAL,MATCH(BG522,B_LVL,0))&gt;=INDEX(B_VAL,MATCH(BJ522,B_LVL,0)),"⚠ At or above the manager's level","OK"))))),"—")</f>
        <v>OK</v>
      </c>
      <c r="BL522" s="43" t="n"/>
      <c r="BM522" s="44">
        <f>IFERROR(INDEX(LMH_PTS,MATCH(Y522,LMH_KEY,0)),0)</f>
        <v>9</v>
      </c>
      <c r="BN522" s="38">
        <f>IFERROR(INDEX(LMH_PTS,MATCH(Z522,LMH_KEY,0)),0)</f>
        <v>3</v>
      </c>
      <c r="BO522" s="38">
        <f>IFERROR(INDEX(LMH_PTS,MATCH(AA522,LMH_KEY,0)),0)</f>
        <v>1</v>
      </c>
      <c r="BP522" s="38">
        <f>IFERROR(INDEX(LMH_PTS,MATCH(AB522,LMH_KEY,0)),0)</f>
        <v>1</v>
      </c>
      <c r="BQ522" s="38">
        <f>IFERROR(INDEX(LMH_PTS,MATCH(AC522,LMH_KEY,0)),0)</f>
        <v>1</v>
      </c>
      <c r="BR522" s="38">
        <f>IFERROR(INDEX(LMH_PTS,MATCH(AD522,LMH_KEY,0)),0)</f>
        <v>1</v>
      </c>
      <c r="BS522" s="38">
        <f>IFERROR(INDEX(LMH_PTS,MATCH(AE522,LMH_KEY,0)),0)</f>
        <v>1</v>
      </c>
      <c r="BT522" s="38">
        <f>IFERROR(INDEX(LMH_STEP,MATCH(AF522,LMH_KEY,0)),0)</f>
        <v>0</v>
      </c>
      <c r="BU522" s="38">
        <f>IFERROR(INDEX(LMH_STEP,MATCH(AG522,LMH_KEY,0)),0)</f>
        <v>0</v>
      </c>
      <c r="BV522" s="38">
        <f>IFERROR(INDEX(LMH_STEP,MATCH(AH522,LMH_KEY,0)),0)</f>
        <v>0</v>
      </c>
      <c r="BW522" s="38">
        <f>IFERROR(INDEX(LMH_STEP,MATCH(AI522,LMH_KEY,0)),0)</f>
        <v>0</v>
      </c>
      <c r="BX522" s="38">
        <f>IFERROR(INDEX(LMH_STEP,MATCH(AJ522,LMH_KEY,0)),0)</f>
        <v>0</v>
      </c>
      <c r="BY522" s="38">
        <f>IFERROR(INDEX(LMH_STEP,MATCH(AK522,LMH_KEY,0)),0)</f>
        <v>0</v>
      </c>
      <c r="BZ522" s="38">
        <f>IFERROR(INDEX(LMH_STEP,MATCH(AL522,LMH_KEY,0)),0)</f>
        <v>0</v>
      </c>
      <c r="CA522" s="38" t="inlineStr">
        <is>
          <t>CARBON|Technology|Senior UI Developer|A3|A</t>
        </is>
      </c>
    </row>
    <row r="523" ht="110" customHeight="1">
      <c r="A523" s="28" t="inlineStr">
        <is>
          <t>CARBON</t>
        </is>
      </c>
      <c r="B523" s="29" t="inlineStr">
        <is>
          <t>Technology</t>
        </is>
      </c>
      <c r="C523" s="29" t="n">
        <v>4</v>
      </c>
      <c r="D523" s="29" t="inlineStr">
        <is>
          <t>IRIS2375</t>
        </is>
      </c>
      <c r="E523" s="29" t="inlineStr">
        <is>
          <t>Shubham Baban Jagtap</t>
        </is>
      </c>
      <c r="F523" s="29" t="inlineStr">
        <is>
          <t>Software Engineer</t>
        </is>
      </c>
      <c r="G523" s="29" t="inlineStr">
        <is>
          <t>Senior UI Developer</t>
        </is>
      </c>
      <c r="H523" s="29" t="inlineStr">
        <is>
          <t>Engineering &amp; Development</t>
        </is>
      </c>
      <c r="I523" s="29" t="inlineStr">
        <is>
          <t>Front-End / UI Development</t>
        </is>
      </c>
      <c r="J523" s="29" t="inlineStr">
        <is>
          <t>IC</t>
        </is>
      </c>
      <c r="K523" s="29" t="inlineStr">
        <is>
          <t>RC-081</t>
        </is>
      </c>
      <c r="L523" s="29" t="inlineStr">
        <is>
          <t>Prachi Digambar Raut</t>
        </is>
      </c>
      <c r="M523" s="29" t="inlineStr">
        <is>
          <t>IRIS2434</t>
        </is>
      </c>
      <c r="N523" s="29" t="n">
        <v>5.1</v>
      </c>
      <c r="O523" s="29" t="n">
        <v>1.4</v>
      </c>
      <c r="P523" s="29" t="inlineStr">
        <is>
          <t>B.E</t>
        </is>
      </c>
      <c r="Q523" s="29" t="inlineStr">
        <is>
          <t>L3 – Professional / Associate</t>
        </is>
      </c>
      <c r="R523" s="29" t="inlineStr">
        <is>
          <t>A3</t>
        </is>
      </c>
      <c r="S523" s="30" t="inlineStr">
        <is>
          <t>19 of 20</t>
        </is>
      </c>
      <c r="T523" s="31" t="inlineStr">
        <is>
          <t>Here my role is a software engineer basically a full stack development; shared reusable component</t>
        </is>
      </c>
      <c r="U523" s="31" t="inlineStr">
        <is>
          <t>Received · manager annual · 1. Deliver ≥ 90% committed sprint tasks within agreed timelines with high-quality execution and minimal dependency.
2. Build strong full-stack development capability by contributing to ≥ 40% backend-related tasks and supporting end-to-end feature implementation.
3. Improve engineering quality by ensuring ≥ 85% …</t>
        </is>
      </c>
      <c r="V523" s="31" t="inlineStr">
        <is>
          <t>Latest rating: Not rated · manager · 9-box: Future Leader · Readiness: No rating data</t>
        </is>
      </c>
      <c r="W523" s="31" t="inlineStr">
        <is>
          <t>C M · Au L · Ac M · L L · BI M · Exp H · 5.1 yrs vs 2–4 yrs · Edu M · B.E</t>
        </is>
      </c>
      <c r="X523" s="33" t="inlineStr">
        <is>
          <t>Open ▸</t>
        </is>
      </c>
      <c r="Y523" s="34" t="str">
        <f>IFERROR(INDEX(DL_C,MATCH($CA523,DL_KEY,0)),"M")</f>
        <v>H</v>
      </c>
      <c r="Z523" s="35" t="str">
        <f>IFERROR(INDEX(DL_Au,MATCH($CA523,DL_KEY,0)),"M")</f>
        <v>M</v>
      </c>
      <c r="AA523" s="35" t="str">
        <f>IFERROR(INDEX(DL_Ac,MATCH($CA523,DL_KEY,0)),"M")</f>
        <v>L</v>
      </c>
      <c r="AB523" s="35" t="str">
        <f>IFERROR(INDEX(DL_L,MATCH($CA523,DL_KEY,0)),"M")</f>
        <v>L</v>
      </c>
      <c r="AC523" s="35" t="str">
        <f>IFERROR(INDEX(DL_BI,MATCH($CA523,DL_KEY,0)),"M")</f>
        <v>L</v>
      </c>
      <c r="AD523" s="35" t="str">
        <f>IFERROR(INDEX(DL_Exp,MATCH($CA523,DL_KEY,0)),"M")</f>
        <v>L</v>
      </c>
      <c r="AE523" s="35" t="str">
        <f>IFERROR(INDEX(DL_Edu,MATCH($CA523,DL_KEY,0)),"M")</f>
        <v>L</v>
      </c>
      <c r="AF523" s="34" t="inlineStr">
        <is>
          <t>M</t>
        </is>
      </c>
      <c r="AG523" s="35" t="inlineStr">
        <is>
          <t>M</t>
        </is>
      </c>
      <c r="AH523" s="35" t="inlineStr">
        <is>
          <t>M</t>
        </is>
      </c>
      <c r="AI523" s="35" t="inlineStr">
        <is>
          <t>M</t>
        </is>
      </c>
      <c r="AJ523" s="35" t="inlineStr">
        <is>
          <t>M</t>
        </is>
      </c>
      <c r="AK523" s="35" t="inlineStr">
        <is>
          <t>M</t>
        </is>
      </c>
      <c r="AL523" s="35" t="inlineStr">
        <is>
          <t>M</t>
        </is>
      </c>
      <c r="AM523" s="36" t="n">
        <v>0.583</v>
      </c>
      <c r="AN523" s="37" t="n">
        <v>0.16</v>
      </c>
      <c r="AO523" s="37" t="n">
        <v>0.09</v>
      </c>
      <c r="AP523" s="37" t="n">
        <v>0</v>
      </c>
      <c r="AQ523" s="37" t="n">
        <v>0.063</v>
      </c>
      <c r="AR523" s="37" t="n">
        <v>0.06</v>
      </c>
      <c r="AS523" s="37" t="n">
        <v>0.04</v>
      </c>
      <c r="AT523" s="38" t="inlineStr">
        <is>
          <t>2–5</t>
        </is>
      </c>
      <c r="AU523" s="38" t="inlineStr">
        <is>
          <t>Graduate; relevant certification preferred</t>
        </is>
      </c>
      <c r="AV523" s="38" t="inlineStr">
        <is>
          <t>None · guides 1–3 juniors informally</t>
        </is>
      </c>
      <c r="AW523" s="38" t="inlineStr">
        <is>
          <t>P2 · SFIA 3 Apply</t>
        </is>
      </c>
      <c r="AX52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23" s="39" t="inlineStr">
        <is>
          <t>A3</t>
        </is>
      </c>
      <c r="AZ523" s="40" t="inlineStr">
        <is>
          <t>Band A · Practitioner · Senior Associate</t>
        </is>
      </c>
      <c r="BA523" s="40" t="inlineStr">
        <is>
          <t>Model A3 from the six ratings, the market-derived weights and rules R1–R13 · then No change · already below the manager</t>
        </is>
      </c>
      <c r="BB523" s="41" t="inlineStr">
        <is>
          <t>A3</t>
        </is>
      </c>
      <c r="BC523" s="40" t="inlineStr">
        <is>
          <t>The six ratings on the market-average weights of Band A · all tracks score 2.57 → A3 · Hay, Mercer IPE and public plans · experience 5.1 yrs vs the A3 market range 2–5</t>
        </is>
      </c>
      <c r="BD523" s="42">
        <f>IF(SUM(BM523,BN523,BO523,BP523,BQ523,BR523,BS523)=0,0,(BM523*BT523+BN523*BU523+BO523*BV523+BP523*BW523+BQ523*BX523+BR523*BY523+BS523*BZ523)/SUM(BM523,BN523,BO523,BP523,BQ523,BR523,BS523))</f>
        <v>0</v>
      </c>
      <c r="BE523" s="41" t="str">
        <f>IF(LEFT(AY523,1)="X",AY523,IF(OR(AY523="B+",AY523="C+"),INDEX(LAD_PC,MAX(1,MIN(14,MATCH(AY523,LAD_PC,0)+IF(BD523&gt;=0.5,1,IF(BD523&lt;=-0.5,-1,0))))),INDEX(LAD_STD,MAX(1,MIN(12,MATCH(AY523,LAD_STD,0)+IF(BD523&gt;=0.5,1,IF(BD523&lt;=-0.5,-1,0)))))))</f>
        <v>A3</v>
      </c>
      <c r="BF523" s="43" t="n"/>
      <c r="BG523" s="41" t="str">
        <f>IF(BF523&lt;&gt;"",BF523,BE523)</f>
        <v>A3</v>
      </c>
      <c r="BH523" s="40" t="str">
        <f>IFERROR(CHOOSE(INDEX(B_RANK,MATCH(BG523,B_LVL,0)),"Band A","Band B","B+ · Player-Coach","Band C","C+ · Player-Coach","Band D","Band E"),"Band X · Consultant")</f>
        <v>Band A</v>
      </c>
      <c r="BI523" s="40" t="str">
        <f>IF(BG523=AY523,"• Same",IF(INDEX(B_VAL,MATCH(BG523,B_LVL,0))&gt;INDEX(B_VAL,MATCH(AY523,B_LVL,0)),"▲ Up","▼ Down"))</f>
        <v>• Same</v>
      </c>
      <c r="BJ523" s="40" t="str">
        <f>IF(OR($M523="",$M523="—",$M523="Not in this file"),"",IFERROR(INDEX($BG$7:$BG$592,MATCH($M523,$D$7:$D$592,0)),""))</f>
        <v>B1</v>
      </c>
      <c r="BK523" s="40" t="str">
        <f>IFERROR(IF(BJ523="","—",IF(OR(LEFT(BG523,1)="X",LEFT(BJ523,1)="X"),"—",IF(AND(LEFT(BG523,1)="E",LEFT(BJ523,1)="E"),"Exception · Band E",IF(AND(INDEX(B_VAL,MATCH(BJ523,B_LVL,0))&gt;=7,INDEX(B_RANK,MATCH(BG523,B_LVL,0))&gt;=INDEX(B_RANK,MATCH(BJ523,B_LVL,0))),"⚠ Same band as a head manager",IF(INDEX(B_VAL,MATCH(BG523,B_LVL,0))&gt;=INDEX(B_VAL,MATCH(BJ523,B_LVL,0)),"⚠ At or above the manager's level","OK"))))),"—")</f>
        <v>OK</v>
      </c>
      <c r="BL523" s="43" t="n"/>
      <c r="BM523" s="44">
        <f>IFERROR(INDEX(LMH_PTS,MATCH(Y523,LMH_KEY,0)),0)</f>
        <v>9</v>
      </c>
      <c r="BN523" s="38">
        <f>IFERROR(INDEX(LMH_PTS,MATCH(Z523,LMH_KEY,0)),0)</f>
        <v>3</v>
      </c>
      <c r="BO523" s="38">
        <f>IFERROR(INDEX(LMH_PTS,MATCH(AA523,LMH_KEY,0)),0)</f>
        <v>1</v>
      </c>
      <c r="BP523" s="38">
        <f>IFERROR(INDEX(LMH_PTS,MATCH(AB523,LMH_KEY,0)),0)</f>
        <v>1</v>
      </c>
      <c r="BQ523" s="38">
        <f>IFERROR(INDEX(LMH_PTS,MATCH(AC523,LMH_KEY,0)),0)</f>
        <v>1</v>
      </c>
      <c r="BR523" s="38">
        <f>IFERROR(INDEX(LMH_PTS,MATCH(AD523,LMH_KEY,0)),0)</f>
        <v>1</v>
      </c>
      <c r="BS523" s="38">
        <f>IFERROR(INDEX(LMH_PTS,MATCH(AE523,LMH_KEY,0)),0)</f>
        <v>1</v>
      </c>
      <c r="BT523" s="38">
        <f>IFERROR(INDEX(LMH_STEP,MATCH(AF523,LMH_KEY,0)),0)</f>
        <v>0</v>
      </c>
      <c r="BU523" s="38">
        <f>IFERROR(INDEX(LMH_STEP,MATCH(AG523,LMH_KEY,0)),0)</f>
        <v>0</v>
      </c>
      <c r="BV523" s="38">
        <f>IFERROR(INDEX(LMH_STEP,MATCH(AH523,LMH_KEY,0)),0)</f>
        <v>0</v>
      </c>
      <c r="BW523" s="38">
        <f>IFERROR(INDEX(LMH_STEP,MATCH(AI523,LMH_KEY,0)),0)</f>
        <v>0</v>
      </c>
      <c r="BX523" s="38">
        <f>IFERROR(INDEX(LMH_STEP,MATCH(AJ523,LMH_KEY,0)),0)</f>
        <v>0</v>
      </c>
      <c r="BY523" s="38">
        <f>IFERROR(INDEX(LMH_STEP,MATCH(AK523,LMH_KEY,0)),0)</f>
        <v>0</v>
      </c>
      <c r="BZ523" s="38">
        <f>IFERROR(INDEX(LMH_STEP,MATCH(AL523,LMH_KEY,0)),0)</f>
        <v>0</v>
      </c>
      <c r="CA523" s="38" t="inlineStr">
        <is>
          <t>CARBON|Technology|Senior UI Developer|A3|A</t>
        </is>
      </c>
    </row>
    <row r="524" ht="110" customHeight="1">
      <c r="A524" s="28" t="inlineStr">
        <is>
          <t>CARBON</t>
        </is>
      </c>
      <c r="B524" s="29" t="inlineStr">
        <is>
          <t>Technology</t>
        </is>
      </c>
      <c r="C524" s="29" t="n">
        <v>3</v>
      </c>
      <c r="D524" s="29" t="inlineStr">
        <is>
          <t>IRIS1797</t>
        </is>
      </c>
      <c r="E524" s="29" t="inlineStr">
        <is>
          <t>Rahul Mejari</t>
        </is>
      </c>
      <c r="F524" s="29" t="inlineStr">
        <is>
          <t>Senior UI Developer</t>
        </is>
      </c>
      <c r="G524" s="29" t="inlineStr">
        <is>
          <t>Senior UI Developer</t>
        </is>
      </c>
      <c r="H524" s="29" t="inlineStr">
        <is>
          <t>Engineering &amp; Development</t>
        </is>
      </c>
      <c r="I524" s="29" t="inlineStr">
        <is>
          <t>Front-End / UI Development</t>
        </is>
      </c>
      <c r="J524" s="29" t="inlineStr">
        <is>
          <t>IC</t>
        </is>
      </c>
      <c r="K524" s="29" t="inlineStr">
        <is>
          <t>RC-081</t>
        </is>
      </c>
      <c r="L524" s="29" t="inlineStr">
        <is>
          <t>Sarfaraz Badi</t>
        </is>
      </c>
      <c r="M524" s="29" t="inlineStr">
        <is>
          <t>IRIS1986</t>
        </is>
      </c>
      <c r="N524" s="29" t="n">
        <v>14</v>
      </c>
      <c r="O524" s="29" t="n">
        <v>7.2</v>
      </c>
      <c r="P524" s="29" t="inlineStr">
        <is>
          <t>B.E</t>
        </is>
      </c>
      <c r="Q524" s="29" t="inlineStr">
        <is>
          <t>L4 – Senior</t>
        </is>
      </c>
      <c r="R524" s="29" t="inlineStr">
        <is>
          <t>A3</t>
        </is>
      </c>
      <c r="S524" s="30" t="inlineStr">
        <is>
          <t>20 of 20</t>
        </is>
      </c>
      <c r="T524" s="31" t="inlineStr">
        <is>
          <t>The core purpose of my role is to translate business and user requirements into scalable, high-quality, and user-friendly frontend solutions.; Decide code approach</t>
        </is>
      </c>
      <c r="U524" s="31" t="inlineStr">
        <is>
          <t>Received · manager annual · 1. Ensure consistent sprint and release delivery by achieving ≥ 92% committed task completion within agreed timelines while maintaining high-quality execution.
2. Demonstrate strong ownership by independently driving critical modules/features and completing ≥ 85% assigned deliverables with minimal follow-up.
3. …</t>
        </is>
      </c>
      <c r="V524" s="31" t="inlineStr">
        <is>
          <t>Latest rating: Not rated · manager · 9-box: Underperformer / Exit Risk · Readiness: No rating data</t>
        </is>
      </c>
      <c r="W524" s="31" t="inlineStr">
        <is>
          <t>C M · Au M · Ac M · L L · BI M · Exp H · 14 yrs vs 2–4 yrs · Edu M · B.E</t>
        </is>
      </c>
      <c r="X524" s="33" t="inlineStr">
        <is>
          <t>Open ▸</t>
        </is>
      </c>
      <c r="Y524" s="34" t="str">
        <f>IFERROR(INDEX(DL_C,MATCH($CA524,DL_KEY,0)),"M")</f>
        <v>H</v>
      </c>
      <c r="Z524" s="35" t="str">
        <f>IFERROR(INDEX(DL_Au,MATCH($CA524,DL_KEY,0)),"M")</f>
        <v>M</v>
      </c>
      <c r="AA524" s="35" t="str">
        <f>IFERROR(INDEX(DL_Ac,MATCH($CA524,DL_KEY,0)),"M")</f>
        <v>L</v>
      </c>
      <c r="AB524" s="35" t="str">
        <f>IFERROR(INDEX(DL_L,MATCH($CA524,DL_KEY,0)),"M")</f>
        <v>L</v>
      </c>
      <c r="AC524" s="35" t="str">
        <f>IFERROR(INDEX(DL_BI,MATCH($CA524,DL_KEY,0)),"M")</f>
        <v>L</v>
      </c>
      <c r="AD524" s="35" t="str">
        <f>IFERROR(INDEX(DL_Exp,MATCH($CA524,DL_KEY,0)),"M")</f>
        <v>L</v>
      </c>
      <c r="AE524" s="35" t="str">
        <f>IFERROR(INDEX(DL_Edu,MATCH($CA524,DL_KEY,0)),"M")</f>
        <v>L</v>
      </c>
      <c r="AF524" s="34" t="inlineStr">
        <is>
          <t>M</t>
        </is>
      </c>
      <c r="AG524" s="35" t="inlineStr">
        <is>
          <t>M</t>
        </is>
      </c>
      <c r="AH524" s="35" t="inlineStr">
        <is>
          <t>M</t>
        </is>
      </c>
      <c r="AI524" s="35" t="inlineStr">
        <is>
          <t>M</t>
        </is>
      </c>
      <c r="AJ524" s="35" t="inlineStr">
        <is>
          <t>M</t>
        </is>
      </c>
      <c r="AK524" s="35" t="inlineStr">
        <is>
          <t>M</t>
        </is>
      </c>
      <c r="AL524" s="35" t="inlineStr">
        <is>
          <t>M</t>
        </is>
      </c>
      <c r="AM524" s="36" t="n">
        <v>0.583</v>
      </c>
      <c r="AN524" s="37" t="n">
        <v>0.16</v>
      </c>
      <c r="AO524" s="37" t="n">
        <v>0.09</v>
      </c>
      <c r="AP524" s="37" t="n">
        <v>0</v>
      </c>
      <c r="AQ524" s="37" t="n">
        <v>0.063</v>
      </c>
      <c r="AR524" s="37" t="n">
        <v>0.06</v>
      </c>
      <c r="AS524" s="37" t="n">
        <v>0.04</v>
      </c>
      <c r="AT524" s="38" t="inlineStr">
        <is>
          <t>2–5</t>
        </is>
      </c>
      <c r="AU524" s="38" t="inlineStr">
        <is>
          <t>Graduate; relevant certification preferred</t>
        </is>
      </c>
      <c r="AV524" s="38" t="inlineStr">
        <is>
          <t>None · guides 1–3 juniors informally</t>
        </is>
      </c>
      <c r="AW524" s="38" t="inlineStr">
        <is>
          <t>P2 · SFIA 3 Apply</t>
        </is>
      </c>
      <c r="AX52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24" s="39" t="inlineStr">
        <is>
          <t>A3</t>
        </is>
      </c>
      <c r="AZ524" s="40" t="inlineStr">
        <is>
          <t>Band A · Practitioner · Senior Associate</t>
        </is>
      </c>
      <c r="BA524" s="40" t="inlineStr">
        <is>
          <t>Model A3 from the six ratings, the market-derived weights and rules R1–R13 · then No change · already below the manager</t>
        </is>
      </c>
      <c r="BB524" s="41" t="inlineStr">
        <is>
          <t>A3</t>
        </is>
      </c>
      <c r="BC524" s="40" t="inlineStr">
        <is>
          <t>The six ratings on the market-average weights of Band A · all tracks score 3.05 → A3 · Hay, Mercer IPE and public plans · experience 14 yrs vs the A3 market range 2–5</t>
        </is>
      </c>
      <c r="BD524" s="42">
        <f>IF(SUM(BM524,BN524,BO524,BP524,BQ524,BR524,BS524)=0,0,(BM524*BT524+BN524*BU524+BO524*BV524+BP524*BW524+BQ524*BX524+BR524*BY524+BS524*BZ524)/SUM(BM524,BN524,BO524,BP524,BQ524,BR524,BS524))</f>
        <v>0</v>
      </c>
      <c r="BE524" s="41" t="str">
        <f>IF(LEFT(AY524,1)="X",AY524,IF(OR(AY524="B+",AY524="C+"),INDEX(LAD_PC,MAX(1,MIN(14,MATCH(AY524,LAD_PC,0)+IF(BD524&gt;=0.5,1,IF(BD524&lt;=-0.5,-1,0))))),INDEX(LAD_STD,MAX(1,MIN(12,MATCH(AY524,LAD_STD,0)+IF(BD524&gt;=0.5,1,IF(BD524&lt;=-0.5,-1,0)))))))</f>
        <v>A3</v>
      </c>
      <c r="BF524" s="43" t="n"/>
      <c r="BG524" s="41" t="str">
        <f>IF(BF524&lt;&gt;"",BF524,BE524)</f>
        <v>A3</v>
      </c>
      <c r="BH524" s="40" t="str">
        <f>IFERROR(CHOOSE(INDEX(B_RANK,MATCH(BG524,B_LVL,0)),"Band A","Band B","B+ · Player-Coach","Band C","C+ · Player-Coach","Band D","Band E"),"Band X · Consultant")</f>
        <v>Band A</v>
      </c>
      <c r="BI524" s="40" t="str">
        <f>IF(BG524=AY524,"• Same",IF(INDEX(B_VAL,MATCH(BG524,B_LVL,0))&gt;INDEX(B_VAL,MATCH(AY524,B_LVL,0)),"▲ Up","▼ Down"))</f>
        <v>• Same</v>
      </c>
      <c r="BJ524" s="40" t="str">
        <f>IF(OR($M524="",$M524="—",$M524="Not in this file"),"",IFERROR(INDEX($BG$7:$BG$592,MATCH($M524,$D$7:$D$592,0)),""))</f>
        <v>B2</v>
      </c>
      <c r="BK524" s="40" t="str">
        <f>IFERROR(IF(BJ524="","—",IF(OR(LEFT(BG524,1)="X",LEFT(BJ524,1)="X"),"—",IF(AND(LEFT(BG524,1)="E",LEFT(BJ524,1)="E"),"Exception · Band E",IF(AND(INDEX(B_VAL,MATCH(BJ524,B_LVL,0))&gt;=7,INDEX(B_RANK,MATCH(BG524,B_LVL,0))&gt;=INDEX(B_RANK,MATCH(BJ524,B_LVL,0))),"⚠ Same band as a head manager",IF(INDEX(B_VAL,MATCH(BG524,B_LVL,0))&gt;=INDEX(B_VAL,MATCH(BJ524,B_LVL,0)),"⚠ At or above the manager's level","OK"))))),"—")</f>
        <v>OK</v>
      </c>
      <c r="BL524" s="43" t="n"/>
      <c r="BM524" s="44">
        <f>IFERROR(INDEX(LMH_PTS,MATCH(Y524,LMH_KEY,0)),0)</f>
        <v>9</v>
      </c>
      <c r="BN524" s="38">
        <f>IFERROR(INDEX(LMH_PTS,MATCH(Z524,LMH_KEY,0)),0)</f>
        <v>3</v>
      </c>
      <c r="BO524" s="38">
        <f>IFERROR(INDEX(LMH_PTS,MATCH(AA524,LMH_KEY,0)),0)</f>
        <v>1</v>
      </c>
      <c r="BP524" s="38">
        <f>IFERROR(INDEX(LMH_PTS,MATCH(AB524,LMH_KEY,0)),0)</f>
        <v>1</v>
      </c>
      <c r="BQ524" s="38">
        <f>IFERROR(INDEX(LMH_PTS,MATCH(AC524,LMH_KEY,0)),0)</f>
        <v>1</v>
      </c>
      <c r="BR524" s="38">
        <f>IFERROR(INDEX(LMH_PTS,MATCH(AD524,LMH_KEY,0)),0)</f>
        <v>1</v>
      </c>
      <c r="BS524" s="38">
        <f>IFERROR(INDEX(LMH_PTS,MATCH(AE524,LMH_KEY,0)),0)</f>
        <v>1</v>
      </c>
      <c r="BT524" s="38">
        <f>IFERROR(INDEX(LMH_STEP,MATCH(AF524,LMH_KEY,0)),0)</f>
        <v>0</v>
      </c>
      <c r="BU524" s="38">
        <f>IFERROR(INDEX(LMH_STEP,MATCH(AG524,LMH_KEY,0)),0)</f>
        <v>0</v>
      </c>
      <c r="BV524" s="38">
        <f>IFERROR(INDEX(LMH_STEP,MATCH(AH524,LMH_KEY,0)),0)</f>
        <v>0</v>
      </c>
      <c r="BW524" s="38">
        <f>IFERROR(INDEX(LMH_STEP,MATCH(AI524,LMH_KEY,0)),0)</f>
        <v>0</v>
      </c>
      <c r="BX524" s="38">
        <f>IFERROR(INDEX(LMH_STEP,MATCH(AJ524,LMH_KEY,0)),0)</f>
        <v>0</v>
      </c>
      <c r="BY524" s="38">
        <f>IFERROR(INDEX(LMH_STEP,MATCH(AK524,LMH_KEY,0)),0)</f>
        <v>0</v>
      </c>
      <c r="BZ524" s="38">
        <f>IFERROR(INDEX(LMH_STEP,MATCH(AL524,LMH_KEY,0)),0)</f>
        <v>0</v>
      </c>
      <c r="CA524" s="38" t="inlineStr">
        <is>
          <t>CARBON|Technology|Senior UI Developer|A3|A</t>
        </is>
      </c>
    </row>
    <row r="525" ht="110" customHeight="1">
      <c r="A525" s="28" t="inlineStr">
        <is>
          <t>CARBON</t>
        </is>
      </c>
      <c r="B525" s="29" t="inlineStr">
        <is>
          <t>Technology</t>
        </is>
      </c>
      <c r="C525" s="29" t="n">
        <v>2</v>
      </c>
      <c r="D525" s="29" t="inlineStr">
        <is>
          <t>IRIS1535</t>
        </is>
      </c>
      <c r="E525" s="29" t="inlineStr">
        <is>
          <t>Siddhesh Kadam</t>
        </is>
      </c>
      <c r="F525" s="29" t="inlineStr">
        <is>
          <t>Senior Software Engineer</t>
        </is>
      </c>
      <c r="G525" s="29" t="inlineStr">
        <is>
          <t>Senior Technical Specialist – POD Lead</t>
        </is>
      </c>
      <c r="H525" s="29" t="inlineStr">
        <is>
          <t>Engineering &amp; Development</t>
        </is>
      </c>
      <c r="I525" s="29" t="inlineStr">
        <is>
          <t>Backend Development</t>
        </is>
      </c>
      <c r="J525" s="29" t="inlineStr">
        <is>
          <t>POD Lead</t>
        </is>
      </c>
      <c r="K525" s="29" t="inlineStr">
        <is>
          <t>RC-069</t>
        </is>
      </c>
      <c r="L525" s="29" t="inlineStr">
        <is>
          <t>Ashish Singhvi</t>
        </is>
      </c>
      <c r="M525" s="29" t="inlineStr">
        <is>
          <t>IRIS0249</t>
        </is>
      </c>
      <c r="N525" s="29" t="n">
        <v>11.4</v>
      </c>
      <c r="O525" s="29" t="n">
        <v>11.4</v>
      </c>
      <c r="P525" s="29" t="inlineStr">
        <is>
          <t>B.E</t>
        </is>
      </c>
      <c r="Q525" s="29" t="inlineStr">
        <is>
          <t>L4 – Senior</t>
        </is>
      </c>
      <c r="R525" s="29" t="inlineStr">
        <is>
          <t>B2</t>
        </is>
      </c>
      <c r="S525" s="30" t="inlineStr">
        <is>
          <t>20 of 20</t>
        </is>
      </c>
      <c r="T525" s="31" t="inlineStr">
        <is>
          <t>• Role / sub-team: Technology — Senior Software Engineer.
• Core purpose: Design, develop, and maintain reliable software solutions while contributing technical expertise to the team.
• Decision-making autonomy: Can independently design develop debug.
• Is this something only they do: My level of ownership and responsibility for complex technical tasks is …</t>
        </is>
      </c>
      <c r="U525" s="31" t="inlineStr">
        <is>
          <t>Received · manager annual · 1.Design, build, and maintain minimum 4 reusable organization-wide platforms/tools · such as Scanning Portal, ETL utilities, RFP Portal, pXBRL utilities to improve engineering productivity.
2.Ensure ≥ 80% adoption of developed internal portals/tools by relevant teams across the organization through enablement and …</t>
        </is>
      </c>
      <c r="V525" s="31" t="inlineStr">
        <is>
          <t>Latest rating: Not rated · manager · 9-box: Not placed · manager · Readiness: No rating data</t>
        </is>
      </c>
      <c r="W525" s="31" t="inlineStr">
        <is>
          <t>C L · Au M · Ac H · L H · BI H · Exp H · 11.4 yrs vs 6–9 yrs · Edu M · B.E</t>
        </is>
      </c>
      <c r="X525" s="33" t="inlineStr">
        <is>
          <t>Open ▸</t>
        </is>
      </c>
      <c r="Y525" s="34" t="str">
        <f>IFERROR(INDEX(DL_C,MATCH($CA525,DL_KEY,0)),"M")</f>
        <v>H</v>
      </c>
      <c r="Z525" s="35" t="str">
        <f>IFERROR(INDEX(DL_Au,MATCH($CA525,DL_KEY,0)),"M")</f>
        <v>M</v>
      </c>
      <c r="AA525" s="35" t="str">
        <f>IFERROR(INDEX(DL_Ac,MATCH($CA525,DL_KEY,0)),"M")</f>
        <v>L</v>
      </c>
      <c r="AB525" s="35" t="str">
        <f>IFERROR(INDEX(DL_L,MATCH($CA525,DL_KEY,0)),"M")</f>
        <v>L</v>
      </c>
      <c r="AC525" s="35" t="str">
        <f>IFERROR(INDEX(DL_BI,MATCH($CA525,DL_KEY,0)),"M")</f>
        <v>L</v>
      </c>
      <c r="AD525" s="35" t="str">
        <f>IFERROR(INDEX(DL_Exp,MATCH($CA525,DL_KEY,0)),"M")</f>
        <v>L</v>
      </c>
      <c r="AE525" s="35" t="str">
        <f>IFERROR(INDEX(DL_Edu,MATCH($CA525,DL_KEY,0)),"M")</f>
        <v>L</v>
      </c>
      <c r="AF525" s="34" t="inlineStr">
        <is>
          <t>M</t>
        </is>
      </c>
      <c r="AG525" s="35" t="inlineStr">
        <is>
          <t>M</t>
        </is>
      </c>
      <c r="AH525" s="35" t="inlineStr">
        <is>
          <t>M</t>
        </is>
      </c>
      <c r="AI525" s="35" t="inlineStr">
        <is>
          <t>M</t>
        </is>
      </c>
      <c r="AJ525" s="35" t="inlineStr">
        <is>
          <t>M</t>
        </is>
      </c>
      <c r="AK525" s="35" t="inlineStr">
        <is>
          <t>M</t>
        </is>
      </c>
      <c r="AL525" s="35" t="inlineStr">
        <is>
          <t>M</t>
        </is>
      </c>
      <c r="AM525" s="36" t="n">
        <v>0.513</v>
      </c>
      <c r="AN525" s="37" t="n">
        <v>0.173</v>
      </c>
      <c r="AO525" s="37" t="n">
        <v>0.09699999999999999</v>
      </c>
      <c r="AP525" s="37" t="n">
        <v>0.05</v>
      </c>
      <c r="AQ525" s="37" t="n">
        <v>0.07000000000000001</v>
      </c>
      <c r="AR525" s="37" t="n">
        <v>0.06</v>
      </c>
      <c r="AS525" s="37" t="n">
        <v>0.04</v>
      </c>
      <c r="AT525" s="38" t="inlineStr">
        <is>
          <t>6–10</t>
        </is>
      </c>
      <c r="AU525" s="38" t="inlineStr">
        <is>
          <t>Graduate or postgraduate; professional qualification preferred</t>
        </is>
      </c>
      <c r="AV525" s="38" t="inlineStr">
        <is>
          <t>IC: none · People: 6–8 knowledge work, 8–12 standardised delivery</t>
        </is>
      </c>
      <c r="AW525" s="38" t="inlineStr">
        <is>
          <t>P4 / M3 · SFIA 4–5</t>
        </is>
      </c>
      <c r="AX52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25" s="39" t="inlineStr">
        <is>
          <t>B2</t>
        </is>
      </c>
      <c r="AZ525" s="40" t="inlineStr">
        <is>
          <t>Band B · Specialist / Manager · Manager</t>
        </is>
      </c>
      <c r="BA525" s="40" t="inlineStr">
        <is>
          <t>Model B2 from the six ratings, the market-derived weights and rules R1–R13 · then No change · already below the manager</t>
        </is>
      </c>
      <c r="BB525" s="41" t="inlineStr">
        <is>
          <t>B2</t>
        </is>
      </c>
      <c r="BC525" s="40" t="inlineStr">
        <is>
          <t>The six ratings on the market-average weights of Band B · Specialist / POD Lead score 4.85 → B2 · Hay, Mercer IPE and public plans · experience 11.4 yrs vs the B2 market range 6–10</t>
        </is>
      </c>
      <c r="BD525" s="42">
        <f>IF(SUM(BM525,BN525,BO525,BP525,BQ525,BR525,BS525)=0,0,(BM525*BT525+BN525*BU525+BO525*BV525+BP525*BW525+BQ525*BX525+BR525*BY525+BS525*BZ525)/SUM(BM525,BN525,BO525,BP525,BQ525,BR525,BS525))</f>
        <v>0</v>
      </c>
      <c r="BE525" s="41" t="str">
        <f>IF(LEFT(AY525,1)="X",AY525,IF(OR(AY525="B+",AY525="C+"),INDEX(LAD_PC,MAX(1,MIN(14,MATCH(AY525,LAD_PC,0)+IF(BD525&gt;=0.5,1,IF(BD525&lt;=-0.5,-1,0))))),INDEX(LAD_STD,MAX(1,MIN(12,MATCH(AY525,LAD_STD,0)+IF(BD525&gt;=0.5,1,IF(BD525&lt;=-0.5,-1,0)))))))</f>
        <v>B2</v>
      </c>
      <c r="BF525" s="43" t="n"/>
      <c r="BG525" s="41" t="str">
        <f>IF(BF525&lt;&gt;"",BF525,BE525)</f>
        <v>B2</v>
      </c>
      <c r="BH525" s="40" t="str">
        <f>IFERROR(CHOOSE(INDEX(B_RANK,MATCH(BG525,B_LVL,0)),"Band A","Band B","B+ · Player-Coach","Band C","C+ · Player-Coach","Band D","Band E"),"Band X · Consultant")</f>
        <v>Band B</v>
      </c>
      <c r="BI525" s="40" t="str">
        <f>IF(BG525=AY525,"• Same",IF(INDEX(B_VAL,MATCH(BG525,B_LVL,0))&gt;INDEX(B_VAL,MATCH(AY525,B_LVL,0)),"▲ Up","▼ Down"))</f>
        <v>• Same</v>
      </c>
      <c r="BJ525" s="40" t="str">
        <f>IF(OR($M525="",$M525="—",$M525="Not in this file"),"",IFERROR(INDEX($BG$7:$BG$592,MATCH($M525,$D$7:$D$592,0)),""))</f>
        <v>C2</v>
      </c>
      <c r="BK525" s="40" t="str">
        <f>IFERROR(IF(BJ525="","—",IF(OR(LEFT(BG525,1)="X",LEFT(BJ525,1)="X"),"—",IF(AND(LEFT(BG525,1)="E",LEFT(BJ525,1)="E"),"Exception · Band E",IF(AND(INDEX(B_VAL,MATCH(BJ525,B_LVL,0))&gt;=7,INDEX(B_RANK,MATCH(BG525,B_LVL,0))&gt;=INDEX(B_RANK,MATCH(BJ525,B_LVL,0))),"⚠ Same band as a head manager",IF(INDEX(B_VAL,MATCH(BG525,B_LVL,0))&gt;=INDEX(B_VAL,MATCH(BJ525,B_LVL,0)),"⚠ At or above the manager's level","OK"))))),"—")</f>
        <v>OK</v>
      </c>
      <c r="BL525" s="43" t="n"/>
      <c r="BM525" s="44">
        <f>IFERROR(INDEX(LMH_PTS,MATCH(Y525,LMH_KEY,0)),0)</f>
        <v>9</v>
      </c>
      <c r="BN525" s="38">
        <f>IFERROR(INDEX(LMH_PTS,MATCH(Z525,LMH_KEY,0)),0)</f>
        <v>3</v>
      </c>
      <c r="BO525" s="38">
        <f>IFERROR(INDEX(LMH_PTS,MATCH(AA525,LMH_KEY,0)),0)</f>
        <v>1</v>
      </c>
      <c r="BP525" s="38">
        <f>IFERROR(INDEX(LMH_PTS,MATCH(AB525,LMH_KEY,0)),0)</f>
        <v>1</v>
      </c>
      <c r="BQ525" s="38">
        <f>IFERROR(INDEX(LMH_PTS,MATCH(AC525,LMH_KEY,0)),0)</f>
        <v>1</v>
      </c>
      <c r="BR525" s="38">
        <f>IFERROR(INDEX(LMH_PTS,MATCH(AD525,LMH_KEY,0)),0)</f>
        <v>1</v>
      </c>
      <c r="BS525" s="38">
        <f>IFERROR(INDEX(LMH_PTS,MATCH(AE525,LMH_KEY,0)),0)</f>
        <v>1</v>
      </c>
      <c r="BT525" s="38">
        <f>IFERROR(INDEX(LMH_STEP,MATCH(AF525,LMH_KEY,0)),0)</f>
        <v>0</v>
      </c>
      <c r="BU525" s="38">
        <f>IFERROR(INDEX(LMH_STEP,MATCH(AG525,LMH_KEY,0)),0)</f>
        <v>0</v>
      </c>
      <c r="BV525" s="38">
        <f>IFERROR(INDEX(LMH_STEP,MATCH(AH525,LMH_KEY,0)),0)</f>
        <v>0</v>
      </c>
      <c r="BW525" s="38">
        <f>IFERROR(INDEX(LMH_STEP,MATCH(AI525,LMH_KEY,0)),0)</f>
        <v>0</v>
      </c>
      <c r="BX525" s="38">
        <f>IFERROR(INDEX(LMH_STEP,MATCH(AJ525,LMH_KEY,0)),0)</f>
        <v>0</v>
      </c>
      <c r="BY525" s="38">
        <f>IFERROR(INDEX(LMH_STEP,MATCH(AK525,LMH_KEY,0)),0)</f>
        <v>0</v>
      </c>
      <c r="BZ525" s="38">
        <f>IFERROR(INDEX(LMH_STEP,MATCH(AL525,LMH_KEY,0)),0)</f>
        <v>0</v>
      </c>
      <c r="CA525" s="38" t="inlineStr">
        <is>
          <t>CARBON|Technology|Senior Technical Specialist – POD Lead|B2|B-IC</t>
        </is>
      </c>
    </row>
    <row r="526" ht="110" customHeight="1">
      <c r="A526" s="28" t="inlineStr">
        <is>
          <t>CARBON</t>
        </is>
      </c>
      <c r="B526" s="29" t="inlineStr">
        <is>
          <t>Technology</t>
        </is>
      </c>
      <c r="C526" s="29" t="n">
        <v>3</v>
      </c>
      <c r="D526" s="29" t="inlineStr">
        <is>
          <t>IRIS1890</t>
        </is>
      </c>
      <c r="E526" s="29" t="inlineStr">
        <is>
          <t>Hetal Chauhan</t>
        </is>
      </c>
      <c r="F526" s="29" t="inlineStr">
        <is>
          <t>Software Engineer</t>
        </is>
      </c>
      <c r="G526" s="29" t="inlineStr">
        <is>
          <t>Technical Specialist – POD Lead</t>
        </is>
      </c>
      <c r="H526" s="29" t="inlineStr">
        <is>
          <t>Engineering &amp; Development</t>
        </is>
      </c>
      <c r="I526" s="29" t="inlineStr">
        <is>
          <t>Backend Development</t>
        </is>
      </c>
      <c r="J526" s="29" t="inlineStr">
        <is>
          <t>POD Lead</t>
        </is>
      </c>
      <c r="K526" s="29" t="inlineStr">
        <is>
          <t>RC-068</t>
        </is>
      </c>
      <c r="L526" s="29" t="inlineStr">
        <is>
          <t>Siddhesh Kadam</t>
        </is>
      </c>
      <c r="M526" s="29" t="inlineStr">
        <is>
          <t>IRIS1535</t>
        </is>
      </c>
      <c r="N526" s="29" t="n">
        <v>16.8</v>
      </c>
      <c r="O526" s="29" t="n">
        <v>5.7</v>
      </c>
      <c r="P526" s="29" t="inlineStr">
        <is>
          <t>MCA</t>
        </is>
      </c>
      <c r="Q526" s="29" t="inlineStr">
        <is>
          <t>L3 – Professional / Associate</t>
        </is>
      </c>
      <c r="R526" s="29" t="inlineStr">
        <is>
          <t>B1</t>
        </is>
      </c>
      <c r="S526" s="30" t="inlineStr">
        <is>
          <t>19 of 20</t>
        </is>
      </c>
      <c r="T526" s="31" t="inlineStr">
        <is>
          <t>• Role / sub-team: Technology — Software Engineer.
• Core purpose: Input not given by Participant.
• Decision-making autonomy: Input not given by Participant.
• Is this something only they do: Input not given by Participant.</t>
        </is>
      </c>
      <c r="U526" s="31" t="inlineStr">
        <is>
          <t>Received · manager annual · 1.Deliver ≥ 95% committed tasks for legacy and current CARBON modules within agreed timelines with high-quality execution.
2.Maintain stable ownership of legacy CARBON stack and ensure ≥ 90% critical production issues are resolved within agreed SLA.
3.Improve design and architecture capability by contributing to ≥ 40% …</t>
        </is>
      </c>
      <c r="V526" s="31" t="inlineStr">
        <is>
          <t>Latest rating: Not rated · manager · 9-box: Underperformer / Exit Risk · Readiness: No rating data</t>
        </is>
      </c>
      <c r="W526" s="31" t="inlineStr">
        <is>
          <t>C L · Au L · Ac M · L M · BI M · Exp H · 16.8 yrs vs 4–7 yrs · Edu H · MCA</t>
        </is>
      </c>
      <c r="X526" s="33" t="inlineStr">
        <is>
          <t>Open ▸</t>
        </is>
      </c>
      <c r="Y526" s="34" t="str">
        <f>IFERROR(INDEX(DL_C,MATCH($CA526,DL_KEY,0)),"M")</f>
        <v>H</v>
      </c>
      <c r="Z526" s="35" t="str">
        <f>IFERROR(INDEX(DL_Au,MATCH($CA526,DL_KEY,0)),"M")</f>
        <v>M</v>
      </c>
      <c r="AA526" s="35" t="str">
        <f>IFERROR(INDEX(DL_Ac,MATCH($CA526,DL_KEY,0)),"M")</f>
        <v>L</v>
      </c>
      <c r="AB526" s="35" t="str">
        <f>IFERROR(INDEX(DL_L,MATCH($CA526,DL_KEY,0)),"M")</f>
        <v>L</v>
      </c>
      <c r="AC526" s="35" t="str">
        <f>IFERROR(INDEX(DL_BI,MATCH($CA526,DL_KEY,0)),"M")</f>
        <v>L</v>
      </c>
      <c r="AD526" s="35" t="str">
        <f>IFERROR(INDEX(DL_Exp,MATCH($CA526,DL_KEY,0)),"M")</f>
        <v>L</v>
      </c>
      <c r="AE526" s="35" t="str">
        <f>IFERROR(INDEX(DL_Edu,MATCH($CA526,DL_KEY,0)),"M")</f>
        <v>L</v>
      </c>
      <c r="AF526" s="34" t="inlineStr">
        <is>
          <t>M</t>
        </is>
      </c>
      <c r="AG526" s="35" t="inlineStr">
        <is>
          <t>M</t>
        </is>
      </c>
      <c r="AH526" s="35" t="inlineStr">
        <is>
          <t>M</t>
        </is>
      </c>
      <c r="AI526" s="35" t="inlineStr">
        <is>
          <t>M</t>
        </is>
      </c>
      <c r="AJ526" s="35" t="inlineStr">
        <is>
          <t>M</t>
        </is>
      </c>
      <c r="AK526" s="35" t="inlineStr">
        <is>
          <t>M</t>
        </is>
      </c>
      <c r="AL526" s="35" t="inlineStr">
        <is>
          <t>M</t>
        </is>
      </c>
      <c r="AM526" s="36" t="n">
        <v>0.513</v>
      </c>
      <c r="AN526" s="37" t="n">
        <v>0.173</v>
      </c>
      <c r="AO526" s="37" t="n">
        <v>0.09699999999999999</v>
      </c>
      <c r="AP526" s="37" t="n">
        <v>0.05</v>
      </c>
      <c r="AQ526" s="37" t="n">
        <v>0.07000000000000001</v>
      </c>
      <c r="AR526" s="37" t="n">
        <v>0.06</v>
      </c>
      <c r="AS526" s="37" t="n">
        <v>0.04</v>
      </c>
      <c r="AT526" s="38" t="inlineStr">
        <is>
          <t>4–8</t>
        </is>
      </c>
      <c r="AU526" s="38" t="inlineStr">
        <is>
          <t>Graduate + relevant qualification or certification preferred</t>
        </is>
      </c>
      <c r="AV526" s="38" t="inlineStr">
        <is>
          <t>IC: none · Team Lead: 3–5</t>
        </is>
      </c>
      <c r="AW526" s="38" t="inlineStr">
        <is>
          <t>P3 / M2 · SFIA 4 Enable</t>
        </is>
      </c>
      <c r="AX52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26" s="39" t="inlineStr">
        <is>
          <t>B1</t>
        </is>
      </c>
      <c r="AZ526" s="40" t="inlineStr">
        <is>
          <t>Band B · Specialist / Manager · Team Lead / Asst Manager</t>
        </is>
      </c>
      <c r="BA526" s="40" t="inlineStr">
        <is>
          <t>Model B1 from the six ratings, the market-derived weights and rules R1–R13 · then No change · already below the manager</t>
        </is>
      </c>
      <c r="BB526" s="41" t="inlineStr">
        <is>
          <t>B1</t>
        </is>
      </c>
      <c r="BC526" s="40" t="inlineStr">
        <is>
          <t>The six ratings on the market-average weights of Band B · Specialist / POD Lead score 3.50 → B1 · Hay, Mercer IPE and public plans · experience 16.8 yrs vs the B1 market range 4–8</t>
        </is>
      </c>
      <c r="BD526" s="42">
        <f>IF(SUM(BM526,BN526,BO526,BP526,BQ526,BR526,BS526)=0,0,(BM526*BT526+BN526*BU526+BO526*BV526+BP526*BW526+BQ526*BX526+BR526*BY526+BS526*BZ526)/SUM(BM526,BN526,BO526,BP526,BQ526,BR526,BS526))</f>
        <v>0</v>
      </c>
      <c r="BE526" s="41" t="str">
        <f>IF(LEFT(AY526,1)="X",AY526,IF(OR(AY526="B+",AY526="C+"),INDEX(LAD_PC,MAX(1,MIN(14,MATCH(AY526,LAD_PC,0)+IF(BD526&gt;=0.5,1,IF(BD526&lt;=-0.5,-1,0))))),INDEX(LAD_STD,MAX(1,MIN(12,MATCH(AY526,LAD_STD,0)+IF(BD526&gt;=0.5,1,IF(BD526&lt;=-0.5,-1,0)))))))</f>
        <v>B1</v>
      </c>
      <c r="BF526" s="43" t="n"/>
      <c r="BG526" s="41" t="str">
        <f>IF(BF526&lt;&gt;"",BF526,BE526)</f>
        <v>B1</v>
      </c>
      <c r="BH526" s="40" t="str">
        <f>IFERROR(CHOOSE(INDEX(B_RANK,MATCH(BG526,B_LVL,0)),"Band A","Band B","B+ · Player-Coach","Band C","C+ · Player-Coach","Band D","Band E"),"Band X · Consultant")</f>
        <v>Band B</v>
      </c>
      <c r="BI526" s="40" t="str">
        <f>IF(BG526=AY526,"• Same",IF(INDEX(B_VAL,MATCH(BG526,B_LVL,0))&gt;INDEX(B_VAL,MATCH(AY526,B_LVL,0)),"▲ Up","▼ Down"))</f>
        <v>• Same</v>
      </c>
      <c r="BJ526" s="40" t="str">
        <f>IF(OR($M526="",$M526="—",$M526="Not in this file"),"",IFERROR(INDEX($BG$7:$BG$592,MATCH($M526,$D$7:$D$592,0)),""))</f>
        <v>B2</v>
      </c>
      <c r="BK526" s="40" t="str">
        <f>IFERROR(IF(BJ526="","—",IF(OR(LEFT(BG526,1)="X",LEFT(BJ526,1)="X"),"—",IF(AND(LEFT(BG526,1)="E",LEFT(BJ526,1)="E"),"Exception · Band E",IF(AND(INDEX(B_VAL,MATCH(BJ526,B_LVL,0))&gt;=7,INDEX(B_RANK,MATCH(BG526,B_LVL,0))&gt;=INDEX(B_RANK,MATCH(BJ526,B_LVL,0))),"⚠ Same band as a head manager",IF(INDEX(B_VAL,MATCH(BG526,B_LVL,0))&gt;=INDEX(B_VAL,MATCH(BJ526,B_LVL,0)),"⚠ At or above the manager's level","OK"))))),"—")</f>
        <v>OK</v>
      </c>
      <c r="BL526" s="43" t="n"/>
      <c r="BM526" s="44">
        <f>IFERROR(INDEX(LMH_PTS,MATCH(Y526,LMH_KEY,0)),0)</f>
        <v>9</v>
      </c>
      <c r="BN526" s="38">
        <f>IFERROR(INDEX(LMH_PTS,MATCH(Z526,LMH_KEY,0)),0)</f>
        <v>3</v>
      </c>
      <c r="BO526" s="38">
        <f>IFERROR(INDEX(LMH_PTS,MATCH(AA526,LMH_KEY,0)),0)</f>
        <v>1</v>
      </c>
      <c r="BP526" s="38">
        <f>IFERROR(INDEX(LMH_PTS,MATCH(AB526,LMH_KEY,0)),0)</f>
        <v>1</v>
      </c>
      <c r="BQ526" s="38">
        <f>IFERROR(INDEX(LMH_PTS,MATCH(AC526,LMH_KEY,0)),0)</f>
        <v>1</v>
      </c>
      <c r="BR526" s="38">
        <f>IFERROR(INDEX(LMH_PTS,MATCH(AD526,LMH_KEY,0)),0)</f>
        <v>1</v>
      </c>
      <c r="BS526" s="38">
        <f>IFERROR(INDEX(LMH_PTS,MATCH(AE526,LMH_KEY,0)),0)</f>
        <v>1</v>
      </c>
      <c r="BT526" s="38">
        <f>IFERROR(INDEX(LMH_STEP,MATCH(AF526,LMH_KEY,0)),0)</f>
        <v>0</v>
      </c>
      <c r="BU526" s="38">
        <f>IFERROR(INDEX(LMH_STEP,MATCH(AG526,LMH_KEY,0)),0)</f>
        <v>0</v>
      </c>
      <c r="BV526" s="38">
        <f>IFERROR(INDEX(LMH_STEP,MATCH(AH526,LMH_KEY,0)),0)</f>
        <v>0</v>
      </c>
      <c r="BW526" s="38">
        <f>IFERROR(INDEX(LMH_STEP,MATCH(AI526,LMH_KEY,0)),0)</f>
        <v>0</v>
      </c>
      <c r="BX526" s="38">
        <f>IFERROR(INDEX(LMH_STEP,MATCH(AJ526,LMH_KEY,0)),0)</f>
        <v>0</v>
      </c>
      <c r="BY526" s="38">
        <f>IFERROR(INDEX(LMH_STEP,MATCH(AK526,LMH_KEY,0)),0)</f>
        <v>0</v>
      </c>
      <c r="BZ526" s="38">
        <f>IFERROR(INDEX(LMH_STEP,MATCH(AL526,LMH_KEY,0)),0)</f>
        <v>0</v>
      </c>
      <c r="CA526" s="38" t="inlineStr">
        <is>
          <t>CARBON|Technology|Technical Specialist – POD Lead|B1|B-IC</t>
        </is>
      </c>
    </row>
    <row r="527" ht="110" customHeight="1">
      <c r="A527" s="28" t="inlineStr">
        <is>
          <t>CARBON</t>
        </is>
      </c>
      <c r="B527" s="29" t="inlineStr">
        <is>
          <t>Technology</t>
        </is>
      </c>
      <c r="C527" s="29" t="n">
        <v>4</v>
      </c>
      <c r="D527" s="29" t="inlineStr">
        <is>
          <t>IRIS2280</t>
        </is>
      </c>
      <c r="E527" s="29" t="inlineStr">
        <is>
          <t>Harsh Borad</t>
        </is>
      </c>
      <c r="F527" s="29" t="inlineStr">
        <is>
          <t>Software Engineer</t>
        </is>
      </c>
      <c r="G527" s="29" t="inlineStr">
        <is>
          <t>Senior Software Engineer</t>
        </is>
      </c>
      <c r="H527" s="29" t="inlineStr">
        <is>
          <t>Engineering &amp; Development</t>
        </is>
      </c>
      <c r="I527" s="29" t="inlineStr">
        <is>
          <t>Full-Stack Development</t>
        </is>
      </c>
      <c r="J527" s="29" t="inlineStr">
        <is>
          <t>IC</t>
        </is>
      </c>
      <c r="K527" s="29" t="inlineStr">
        <is>
          <t>RC-085</t>
        </is>
      </c>
      <c r="L527" s="29" t="inlineStr">
        <is>
          <t>Hetal Chauhan</t>
        </is>
      </c>
      <c r="M527" s="29" t="inlineStr">
        <is>
          <t>IRIS1890</t>
        </is>
      </c>
      <c r="N527" s="29" t="n">
        <v>2.4</v>
      </c>
      <c r="O527" s="29" t="n">
        <v>2.2</v>
      </c>
      <c r="P527" s="29" t="inlineStr">
        <is>
          <t>B.Tech</t>
        </is>
      </c>
      <c r="Q527" s="29" t="inlineStr">
        <is>
          <t>L3 – Professional / Associate</t>
        </is>
      </c>
      <c r="R527" s="29" t="inlineStr">
        <is>
          <t>A3</t>
        </is>
      </c>
      <c r="S527" s="30" t="inlineStr">
        <is>
          <t>20 of 20</t>
        </is>
      </c>
      <c r="T527" s="31" t="inlineStr">
        <is>
          <t>• Role / sub-team: Technology — Software Engineer.
• Core purpose: I am responsible to create resuable components for frontend and create the REST apis on backend for and entire feature and giving end to end feature delivery.
• Decision-making autonomy: Can independently feature enhancement; solving performance issue; Code structure; Bug fixes.
• Is this …</t>
        </is>
      </c>
      <c r="U527" s="31" t="inlineStr">
        <is>
          <t>Received · manager annual · 1.Deliver ≥ 85% committed frontend tasks within agreed timelines with improved execution speed and quality.
2.Improve execution speed and reduce task completion turnaround time by ≥ 35% YoY.
3.Reduce dependency on detailed task-level guidance by independently completing ≥ 70% assigned tasks by FY end.
4.Strengthen …</t>
        </is>
      </c>
      <c r="V527" s="31" t="inlineStr">
        <is>
          <t>Latest rating: Not rated · manager · 9-box: Trusted Professional · Readiness: No rating data</t>
        </is>
      </c>
      <c r="W527" s="31" t="inlineStr">
        <is>
          <t>C M · Au M · Ac L · L L · BI L · Exp M · 2.4 yrs vs 2–4 yrs · Edu M · B.Tech</t>
        </is>
      </c>
      <c r="X527" s="33" t="inlineStr">
        <is>
          <t>Open ▸</t>
        </is>
      </c>
      <c r="Y527" s="34" t="str">
        <f>IFERROR(INDEX(DL_C,MATCH($CA527,DL_KEY,0)),"M")</f>
        <v>H</v>
      </c>
      <c r="Z527" s="35" t="str">
        <f>IFERROR(INDEX(DL_Au,MATCH($CA527,DL_KEY,0)),"M")</f>
        <v>M</v>
      </c>
      <c r="AA527" s="35" t="str">
        <f>IFERROR(INDEX(DL_Ac,MATCH($CA527,DL_KEY,0)),"M")</f>
        <v>L</v>
      </c>
      <c r="AB527" s="35" t="str">
        <f>IFERROR(INDEX(DL_L,MATCH($CA527,DL_KEY,0)),"M")</f>
        <v>L</v>
      </c>
      <c r="AC527" s="35" t="str">
        <f>IFERROR(INDEX(DL_BI,MATCH($CA527,DL_KEY,0)),"M")</f>
        <v>L</v>
      </c>
      <c r="AD527" s="35" t="str">
        <f>IFERROR(INDEX(DL_Exp,MATCH($CA527,DL_KEY,0)),"M")</f>
        <v>L</v>
      </c>
      <c r="AE527" s="35" t="str">
        <f>IFERROR(INDEX(DL_Edu,MATCH($CA527,DL_KEY,0)),"M")</f>
        <v>L</v>
      </c>
      <c r="AF527" s="34" t="inlineStr">
        <is>
          <t>M</t>
        </is>
      </c>
      <c r="AG527" s="35" t="inlineStr">
        <is>
          <t>M</t>
        </is>
      </c>
      <c r="AH527" s="35" t="inlineStr">
        <is>
          <t>M</t>
        </is>
      </c>
      <c r="AI527" s="35" t="inlineStr">
        <is>
          <t>M</t>
        </is>
      </c>
      <c r="AJ527" s="35" t="inlineStr">
        <is>
          <t>M</t>
        </is>
      </c>
      <c r="AK527" s="35" t="inlineStr">
        <is>
          <t>M</t>
        </is>
      </c>
      <c r="AL527" s="35" t="inlineStr">
        <is>
          <t>M</t>
        </is>
      </c>
      <c r="AM527" s="36" t="n">
        <v>0.583</v>
      </c>
      <c r="AN527" s="37" t="n">
        <v>0.16</v>
      </c>
      <c r="AO527" s="37" t="n">
        <v>0.09</v>
      </c>
      <c r="AP527" s="37" t="n">
        <v>0</v>
      </c>
      <c r="AQ527" s="37" t="n">
        <v>0.063</v>
      </c>
      <c r="AR527" s="37" t="n">
        <v>0.06</v>
      </c>
      <c r="AS527" s="37" t="n">
        <v>0.04</v>
      </c>
      <c r="AT527" s="38" t="inlineStr">
        <is>
          <t>2–5</t>
        </is>
      </c>
      <c r="AU527" s="38" t="inlineStr">
        <is>
          <t>Graduate; relevant certification preferred</t>
        </is>
      </c>
      <c r="AV527" s="38" t="inlineStr">
        <is>
          <t>None · guides 1–3 juniors informally</t>
        </is>
      </c>
      <c r="AW527" s="38" t="inlineStr">
        <is>
          <t>P2 · SFIA 3 Apply</t>
        </is>
      </c>
      <c r="AX52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27" s="39" t="inlineStr">
        <is>
          <t>A3</t>
        </is>
      </c>
      <c r="AZ527" s="40" t="inlineStr">
        <is>
          <t>Band A · Practitioner · Senior Associate</t>
        </is>
      </c>
      <c r="BA527" s="40" t="inlineStr">
        <is>
          <t>Model A3 from the six ratings, the market-derived weights and rules R1–R13 · then No change · already below the manager</t>
        </is>
      </c>
      <c r="BB527" s="41" t="inlineStr">
        <is>
          <t>A2</t>
        </is>
      </c>
      <c r="BC527" s="40" t="inlineStr">
        <is>
          <t>The six ratings on the market-average weights of Band A · all tracks score 2.42 → A2 · Hay, Mercer IPE and public plans · experience 2.4 yrs vs the A2 market range 0–3</t>
        </is>
      </c>
      <c r="BD527" s="42">
        <f>IF(SUM(BM527,BN527,BO527,BP527,BQ527,BR527,BS527)=0,0,(BM527*BT527+BN527*BU527+BO527*BV527+BP527*BW527+BQ527*BX527+BR527*BY527+BS527*BZ527)/SUM(BM527,BN527,BO527,BP527,BQ527,BR527,BS527))</f>
        <v>0</v>
      </c>
      <c r="BE527" s="41" t="str">
        <f>IF(LEFT(AY527,1)="X",AY527,IF(OR(AY527="B+",AY527="C+"),INDEX(LAD_PC,MAX(1,MIN(14,MATCH(AY527,LAD_PC,0)+IF(BD527&gt;=0.5,1,IF(BD527&lt;=-0.5,-1,0))))),INDEX(LAD_STD,MAX(1,MIN(12,MATCH(AY527,LAD_STD,0)+IF(BD527&gt;=0.5,1,IF(BD527&lt;=-0.5,-1,0)))))))</f>
        <v>A3</v>
      </c>
      <c r="BF527" s="43" t="n"/>
      <c r="BG527" s="41" t="str">
        <f>IF(BF527&lt;&gt;"",BF527,BE527)</f>
        <v>A3</v>
      </c>
      <c r="BH527" s="40" t="str">
        <f>IFERROR(CHOOSE(INDEX(B_RANK,MATCH(BG527,B_LVL,0)),"Band A","Band B","B+ · Player-Coach","Band C","C+ · Player-Coach","Band D","Band E"),"Band X · Consultant")</f>
        <v>Band A</v>
      </c>
      <c r="BI527" s="40" t="str">
        <f>IF(BG527=AY527,"• Same",IF(INDEX(B_VAL,MATCH(BG527,B_LVL,0))&gt;INDEX(B_VAL,MATCH(AY527,B_LVL,0)),"▲ Up","▼ Down"))</f>
        <v>• Same</v>
      </c>
      <c r="BJ527" s="40" t="str">
        <f>IF(OR($M527="",$M527="—",$M527="Not in this file"),"",IFERROR(INDEX($BG$7:$BG$592,MATCH($M527,$D$7:$D$592,0)),""))</f>
        <v>B1</v>
      </c>
      <c r="BK527" s="40" t="str">
        <f>IFERROR(IF(BJ527="","—",IF(OR(LEFT(BG527,1)="X",LEFT(BJ527,1)="X"),"—",IF(AND(LEFT(BG527,1)="E",LEFT(BJ527,1)="E"),"Exception · Band E",IF(AND(INDEX(B_VAL,MATCH(BJ527,B_LVL,0))&gt;=7,INDEX(B_RANK,MATCH(BG527,B_LVL,0))&gt;=INDEX(B_RANK,MATCH(BJ527,B_LVL,0))),"⚠ Same band as a head manager",IF(INDEX(B_VAL,MATCH(BG527,B_LVL,0))&gt;=INDEX(B_VAL,MATCH(BJ527,B_LVL,0)),"⚠ At or above the manager's level","OK"))))),"—")</f>
        <v>OK</v>
      </c>
      <c r="BL527" s="43" t="n"/>
      <c r="BM527" s="44">
        <f>IFERROR(INDEX(LMH_PTS,MATCH(Y527,LMH_KEY,0)),0)</f>
        <v>9</v>
      </c>
      <c r="BN527" s="38">
        <f>IFERROR(INDEX(LMH_PTS,MATCH(Z527,LMH_KEY,0)),0)</f>
        <v>3</v>
      </c>
      <c r="BO527" s="38">
        <f>IFERROR(INDEX(LMH_PTS,MATCH(AA527,LMH_KEY,0)),0)</f>
        <v>1</v>
      </c>
      <c r="BP527" s="38">
        <f>IFERROR(INDEX(LMH_PTS,MATCH(AB527,LMH_KEY,0)),0)</f>
        <v>1</v>
      </c>
      <c r="BQ527" s="38">
        <f>IFERROR(INDEX(LMH_PTS,MATCH(AC527,LMH_KEY,0)),0)</f>
        <v>1</v>
      </c>
      <c r="BR527" s="38">
        <f>IFERROR(INDEX(LMH_PTS,MATCH(AD527,LMH_KEY,0)),0)</f>
        <v>1</v>
      </c>
      <c r="BS527" s="38">
        <f>IFERROR(INDEX(LMH_PTS,MATCH(AE527,LMH_KEY,0)),0)</f>
        <v>1</v>
      </c>
      <c r="BT527" s="38">
        <f>IFERROR(INDEX(LMH_STEP,MATCH(AF527,LMH_KEY,0)),0)</f>
        <v>0</v>
      </c>
      <c r="BU527" s="38">
        <f>IFERROR(INDEX(LMH_STEP,MATCH(AG527,LMH_KEY,0)),0)</f>
        <v>0</v>
      </c>
      <c r="BV527" s="38">
        <f>IFERROR(INDEX(LMH_STEP,MATCH(AH527,LMH_KEY,0)),0)</f>
        <v>0</v>
      </c>
      <c r="BW527" s="38">
        <f>IFERROR(INDEX(LMH_STEP,MATCH(AI527,LMH_KEY,0)),0)</f>
        <v>0</v>
      </c>
      <c r="BX527" s="38">
        <f>IFERROR(INDEX(LMH_STEP,MATCH(AJ527,LMH_KEY,0)),0)</f>
        <v>0</v>
      </c>
      <c r="BY527" s="38">
        <f>IFERROR(INDEX(LMH_STEP,MATCH(AK527,LMH_KEY,0)),0)</f>
        <v>0</v>
      </c>
      <c r="BZ527" s="38">
        <f>IFERROR(INDEX(LMH_STEP,MATCH(AL527,LMH_KEY,0)),0)</f>
        <v>0</v>
      </c>
      <c r="CA527" s="38" t="inlineStr">
        <is>
          <t>CARBON|Technology|Senior Software Engineer|A3|A</t>
        </is>
      </c>
    </row>
    <row r="528" ht="110" customHeight="1">
      <c r="A528" s="28" t="inlineStr">
        <is>
          <t>CARBON</t>
        </is>
      </c>
      <c r="B528" s="29" t="inlineStr">
        <is>
          <t>Technology</t>
        </is>
      </c>
      <c r="C528" s="29" t="n">
        <v>4</v>
      </c>
      <c r="D528" s="29" t="inlineStr">
        <is>
          <t>IRIS2160</t>
        </is>
      </c>
      <c r="E528" s="29" t="inlineStr">
        <is>
          <t>Parth Jitendrabhai Parmar</t>
        </is>
      </c>
      <c r="F528" s="29" t="inlineStr">
        <is>
          <t>Software Engineer</t>
        </is>
      </c>
      <c r="G528" s="29" t="inlineStr">
        <is>
          <t>Senior Software Engineer</t>
        </is>
      </c>
      <c r="H528" s="29" t="inlineStr">
        <is>
          <t>Engineering &amp; Development</t>
        </is>
      </c>
      <c r="I528" s="29" t="inlineStr">
        <is>
          <t>Full-Stack Development</t>
        </is>
      </c>
      <c r="J528" s="29" t="inlineStr">
        <is>
          <t>IC</t>
        </is>
      </c>
      <c r="K528" s="29" t="inlineStr">
        <is>
          <t>RC-085</t>
        </is>
      </c>
      <c r="L528" s="29" t="inlineStr">
        <is>
          <t>Hetal Chauhan</t>
        </is>
      </c>
      <c r="M528" s="29" t="inlineStr">
        <is>
          <t>IRIS1890</t>
        </is>
      </c>
      <c r="N528" s="29" t="n">
        <v>4.4</v>
      </c>
      <c r="O528" s="29" t="n">
        <v>3.2</v>
      </c>
      <c r="P528" s="29" t="inlineStr">
        <is>
          <t>B.SC</t>
        </is>
      </c>
      <c r="Q528" s="29" t="inlineStr">
        <is>
          <t>L3 – Professional / Associate</t>
        </is>
      </c>
      <c r="R528" s="29" t="inlineStr">
        <is>
          <t>A3</t>
        </is>
      </c>
      <c r="S528" s="30" t="inlineStr">
        <is>
          <t>20 of 20</t>
        </is>
      </c>
      <c r="T528" s="31" t="inlineStr">
        <is>
          <t>• Role / sub-team: Technology — Software Engineer.
• Core purpose: To build scalable, secure, and high-quality full-stack solutions while leveraging AI and modern technologies to improve product capabilities and engineering efficiency.
• Decision-making autonomy: Can independently design solution; optimize code; taking ownership; Repeated task automation.
• …</t>
        </is>
      </c>
      <c r="U528" s="31" t="inlineStr">
        <is>
          <t>Received · manager annual · 1.Deliver ≥ 95% committed full-stack and DevOps tasks within agreed timelines with high-quality execution.
2.Successfully manage and deliver critical mandates · including FERC and CBCR support with ≥ 90% milestone adherence.
3.Improve DevOps automation and reduce manual deployment/operational effort by ≥ 40% YoY …</t>
        </is>
      </c>
      <c r="V528" s="31" t="inlineStr">
        <is>
          <t>Latest rating: Not rated · manager · 9-box: Not placed · manager · Readiness: No rating data</t>
        </is>
      </c>
      <c r="W528" s="31" t="inlineStr">
        <is>
          <t>C M · Au M · Ac M · L M · BI M · Exp H · 4.4 yrs vs 2–4 yrs · Edu M · B.SC</t>
        </is>
      </c>
      <c r="X528" s="33" t="inlineStr">
        <is>
          <t>Open ▸</t>
        </is>
      </c>
      <c r="Y528" s="34" t="str">
        <f>IFERROR(INDEX(DL_C,MATCH($CA528,DL_KEY,0)),"M")</f>
        <v>H</v>
      </c>
      <c r="Z528" s="35" t="str">
        <f>IFERROR(INDEX(DL_Au,MATCH($CA528,DL_KEY,0)),"M")</f>
        <v>M</v>
      </c>
      <c r="AA528" s="35" t="str">
        <f>IFERROR(INDEX(DL_Ac,MATCH($CA528,DL_KEY,0)),"M")</f>
        <v>L</v>
      </c>
      <c r="AB528" s="35" t="str">
        <f>IFERROR(INDEX(DL_L,MATCH($CA528,DL_KEY,0)),"M")</f>
        <v>L</v>
      </c>
      <c r="AC528" s="35" t="str">
        <f>IFERROR(INDEX(DL_BI,MATCH($CA528,DL_KEY,0)),"M")</f>
        <v>L</v>
      </c>
      <c r="AD528" s="35" t="str">
        <f>IFERROR(INDEX(DL_Exp,MATCH($CA528,DL_KEY,0)),"M")</f>
        <v>L</v>
      </c>
      <c r="AE528" s="35" t="str">
        <f>IFERROR(INDEX(DL_Edu,MATCH($CA528,DL_KEY,0)),"M")</f>
        <v>L</v>
      </c>
      <c r="AF528" s="34" t="inlineStr">
        <is>
          <t>M</t>
        </is>
      </c>
      <c r="AG528" s="35" t="inlineStr">
        <is>
          <t>M</t>
        </is>
      </c>
      <c r="AH528" s="35" t="inlineStr">
        <is>
          <t>M</t>
        </is>
      </c>
      <c r="AI528" s="35" t="inlineStr">
        <is>
          <t>M</t>
        </is>
      </c>
      <c r="AJ528" s="35" t="inlineStr">
        <is>
          <t>M</t>
        </is>
      </c>
      <c r="AK528" s="35" t="inlineStr">
        <is>
          <t>M</t>
        </is>
      </c>
      <c r="AL528" s="35" t="inlineStr">
        <is>
          <t>M</t>
        </is>
      </c>
      <c r="AM528" s="36" t="n">
        <v>0.583</v>
      </c>
      <c r="AN528" s="37" t="n">
        <v>0.16</v>
      </c>
      <c r="AO528" s="37" t="n">
        <v>0.09</v>
      </c>
      <c r="AP528" s="37" t="n">
        <v>0</v>
      </c>
      <c r="AQ528" s="37" t="n">
        <v>0.063</v>
      </c>
      <c r="AR528" s="37" t="n">
        <v>0.06</v>
      </c>
      <c r="AS528" s="37" t="n">
        <v>0.04</v>
      </c>
      <c r="AT528" s="38" t="inlineStr">
        <is>
          <t>2–5</t>
        </is>
      </c>
      <c r="AU528" s="38" t="inlineStr">
        <is>
          <t>Graduate; relevant certification preferred</t>
        </is>
      </c>
      <c r="AV528" s="38" t="inlineStr">
        <is>
          <t>None · guides 1–3 juniors informally</t>
        </is>
      </c>
      <c r="AW528" s="38" t="inlineStr">
        <is>
          <t>P2 · SFIA 3 Apply</t>
        </is>
      </c>
      <c r="AX52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28" s="39" t="inlineStr">
        <is>
          <t>A3</t>
        </is>
      </c>
      <c r="AZ528" s="40" t="inlineStr">
        <is>
          <t>Band A · Practitioner · Senior Associate</t>
        </is>
      </c>
      <c r="BA528" s="40" t="inlineStr">
        <is>
          <t>Model A3 from the six ratings, the market-derived weights and rules R1–R13 · then No change · already below the manager</t>
        </is>
      </c>
      <c r="BB528" s="41" t="inlineStr">
        <is>
          <t>A3</t>
        </is>
      </c>
      <c r="BC528" s="40" t="inlineStr">
        <is>
          <t>The six ratings on the market-average weights of Band A · all tracks score 2.83 → A3 · Hay, Mercer IPE and public plans · experience 4.4 yrs vs the A3 market range 2–5</t>
        </is>
      </c>
      <c r="BD528" s="42">
        <f>IF(SUM(BM528,BN528,BO528,BP528,BQ528,BR528,BS528)=0,0,(BM528*BT528+BN528*BU528+BO528*BV528+BP528*BW528+BQ528*BX528+BR528*BY528+BS528*BZ528)/SUM(BM528,BN528,BO528,BP528,BQ528,BR528,BS528))</f>
        <v>0</v>
      </c>
      <c r="BE528" s="41" t="str">
        <f>IF(LEFT(AY528,1)="X",AY528,IF(OR(AY528="B+",AY528="C+"),INDEX(LAD_PC,MAX(1,MIN(14,MATCH(AY528,LAD_PC,0)+IF(BD528&gt;=0.5,1,IF(BD528&lt;=-0.5,-1,0))))),INDEX(LAD_STD,MAX(1,MIN(12,MATCH(AY528,LAD_STD,0)+IF(BD528&gt;=0.5,1,IF(BD528&lt;=-0.5,-1,0)))))))</f>
        <v>A3</v>
      </c>
      <c r="BF528" s="43" t="n"/>
      <c r="BG528" s="41" t="str">
        <f>IF(BF528&lt;&gt;"",BF528,BE528)</f>
        <v>A3</v>
      </c>
      <c r="BH528" s="40" t="str">
        <f>IFERROR(CHOOSE(INDEX(B_RANK,MATCH(BG528,B_LVL,0)),"Band A","Band B","B+ · Player-Coach","Band C","C+ · Player-Coach","Band D","Band E"),"Band X · Consultant")</f>
        <v>Band A</v>
      </c>
      <c r="BI528" s="40" t="str">
        <f>IF(BG528=AY528,"• Same",IF(INDEX(B_VAL,MATCH(BG528,B_LVL,0))&gt;INDEX(B_VAL,MATCH(AY528,B_LVL,0)),"▲ Up","▼ Down"))</f>
        <v>• Same</v>
      </c>
      <c r="BJ528" s="40" t="str">
        <f>IF(OR($M528="",$M528="—",$M528="Not in this file"),"",IFERROR(INDEX($BG$7:$BG$592,MATCH($M528,$D$7:$D$592,0)),""))</f>
        <v>B1</v>
      </c>
      <c r="BK528" s="40" t="str">
        <f>IFERROR(IF(BJ528="","—",IF(OR(LEFT(BG528,1)="X",LEFT(BJ528,1)="X"),"—",IF(AND(LEFT(BG528,1)="E",LEFT(BJ528,1)="E"),"Exception · Band E",IF(AND(INDEX(B_VAL,MATCH(BJ528,B_LVL,0))&gt;=7,INDEX(B_RANK,MATCH(BG528,B_LVL,0))&gt;=INDEX(B_RANK,MATCH(BJ528,B_LVL,0))),"⚠ Same band as a head manager",IF(INDEX(B_VAL,MATCH(BG528,B_LVL,0))&gt;=INDEX(B_VAL,MATCH(BJ528,B_LVL,0)),"⚠ At or above the manager's level","OK"))))),"—")</f>
        <v>OK</v>
      </c>
      <c r="BL528" s="43" t="n"/>
      <c r="BM528" s="44">
        <f>IFERROR(INDEX(LMH_PTS,MATCH(Y528,LMH_KEY,0)),0)</f>
        <v>9</v>
      </c>
      <c r="BN528" s="38">
        <f>IFERROR(INDEX(LMH_PTS,MATCH(Z528,LMH_KEY,0)),0)</f>
        <v>3</v>
      </c>
      <c r="BO528" s="38">
        <f>IFERROR(INDEX(LMH_PTS,MATCH(AA528,LMH_KEY,0)),0)</f>
        <v>1</v>
      </c>
      <c r="BP528" s="38">
        <f>IFERROR(INDEX(LMH_PTS,MATCH(AB528,LMH_KEY,0)),0)</f>
        <v>1</v>
      </c>
      <c r="BQ528" s="38">
        <f>IFERROR(INDEX(LMH_PTS,MATCH(AC528,LMH_KEY,0)),0)</f>
        <v>1</v>
      </c>
      <c r="BR528" s="38">
        <f>IFERROR(INDEX(LMH_PTS,MATCH(AD528,LMH_KEY,0)),0)</f>
        <v>1</v>
      </c>
      <c r="BS528" s="38">
        <f>IFERROR(INDEX(LMH_PTS,MATCH(AE528,LMH_KEY,0)),0)</f>
        <v>1</v>
      </c>
      <c r="BT528" s="38">
        <f>IFERROR(INDEX(LMH_STEP,MATCH(AF528,LMH_KEY,0)),0)</f>
        <v>0</v>
      </c>
      <c r="BU528" s="38">
        <f>IFERROR(INDEX(LMH_STEP,MATCH(AG528,LMH_KEY,0)),0)</f>
        <v>0</v>
      </c>
      <c r="BV528" s="38">
        <f>IFERROR(INDEX(LMH_STEP,MATCH(AH528,LMH_KEY,0)),0)</f>
        <v>0</v>
      </c>
      <c r="BW528" s="38">
        <f>IFERROR(INDEX(LMH_STEP,MATCH(AI528,LMH_KEY,0)),0)</f>
        <v>0</v>
      </c>
      <c r="BX528" s="38">
        <f>IFERROR(INDEX(LMH_STEP,MATCH(AJ528,LMH_KEY,0)),0)</f>
        <v>0</v>
      </c>
      <c r="BY528" s="38">
        <f>IFERROR(INDEX(LMH_STEP,MATCH(AK528,LMH_KEY,0)),0)</f>
        <v>0</v>
      </c>
      <c r="BZ528" s="38">
        <f>IFERROR(INDEX(LMH_STEP,MATCH(AL528,LMH_KEY,0)),0)</f>
        <v>0</v>
      </c>
      <c r="CA528" s="38" t="inlineStr">
        <is>
          <t>CARBON|Technology|Senior Software Engineer|A3|A</t>
        </is>
      </c>
    </row>
    <row r="529" ht="110" customHeight="1">
      <c r="A529" s="28" t="inlineStr">
        <is>
          <t>CARBON</t>
        </is>
      </c>
      <c r="B529" s="29" t="inlineStr">
        <is>
          <t>Technology</t>
        </is>
      </c>
      <c r="C529" s="29" t="n">
        <v>5</v>
      </c>
      <c r="D529" s="29" t="inlineStr">
        <is>
          <t>IRIS2031</t>
        </is>
      </c>
      <c r="E529" s="29" t="inlineStr">
        <is>
          <t>Bansi Amipara</t>
        </is>
      </c>
      <c r="F529" s="29" t="inlineStr">
        <is>
          <t>Software Engineer</t>
        </is>
      </c>
      <c r="G529" s="29" t="inlineStr">
        <is>
          <t>Senior Software Engineer</t>
        </is>
      </c>
      <c r="H529" s="29" t="inlineStr">
        <is>
          <t>Engineering &amp; Development</t>
        </is>
      </c>
      <c r="I529" s="29" t="inlineStr">
        <is>
          <t>Backend Development</t>
        </is>
      </c>
      <c r="J529" s="29" t="inlineStr">
        <is>
          <t>IC</t>
        </is>
      </c>
      <c r="K529" s="29" t="inlineStr">
        <is>
          <t>RC-067</t>
        </is>
      </c>
      <c r="L529" s="29" t="inlineStr">
        <is>
          <t>Parth Jitendrabhai Parmar</t>
        </is>
      </c>
      <c r="M529" s="29" t="inlineStr">
        <is>
          <t>IRIS2160</t>
        </is>
      </c>
      <c r="N529" s="29" t="n">
        <v>4.2</v>
      </c>
      <c r="O529" s="29" t="n">
        <v>4.2</v>
      </c>
      <c r="P529" s="29" t="inlineStr">
        <is>
          <t>MSC-ICT</t>
        </is>
      </c>
      <c r="Q529" s="29" t="inlineStr">
        <is>
          <t>L3 – Professional / Associate</t>
        </is>
      </c>
      <c r="R529" s="29" t="inlineStr">
        <is>
          <t>A3</t>
        </is>
      </c>
      <c r="S529" s="30" t="inlineStr">
        <is>
          <t>20 of 20</t>
        </is>
      </c>
      <c r="T529" s="31" t="inlineStr">
        <is>
          <t>• Role / sub-team: Technology — Software Engineer.
• Core purpose: Create the ai based  reuable component, so that process will improve and better way to run the product.
• Decision-making autonomy: Can independently optimising existing outpt.
• Is this something only they do: A few of us.</t>
        </is>
      </c>
      <c r="U529" s="31" t="inlineStr">
        <is>
          <t>Received · manager annual · 1.Deliver ≥ 95% committed frontend/full-stack tasks within agreed timelines with high-quality implementation.
2.Strengthen expertise in advanced React, frontend architecture, reusable component design, and performance optimization, contributing to ≥ 40% technical design discussions.
3.Expand into full-stack capability …</t>
        </is>
      </c>
      <c r="V529" s="31" t="inlineStr">
        <is>
          <t>Latest rating: Not rated · manager · 9-box: Trusted Professional · Readiness: No rating data</t>
        </is>
      </c>
      <c r="W529" s="31" t="inlineStr">
        <is>
          <t>C M · Au M · Ac M · L L · BI M · Exp H · 4.2 yrs vs 0–2 yrs · Edu H · MSC-ICT</t>
        </is>
      </c>
      <c r="X529" s="33" t="inlineStr">
        <is>
          <t>Open ▸</t>
        </is>
      </c>
      <c r="Y529" s="34" t="str">
        <f>IFERROR(INDEX(DL_C,MATCH($CA529,DL_KEY,0)),"M")</f>
        <v>H</v>
      </c>
      <c r="Z529" s="35" t="str">
        <f>IFERROR(INDEX(DL_Au,MATCH($CA529,DL_KEY,0)),"M")</f>
        <v>M</v>
      </c>
      <c r="AA529" s="35" t="str">
        <f>IFERROR(INDEX(DL_Ac,MATCH($CA529,DL_KEY,0)),"M")</f>
        <v>L</v>
      </c>
      <c r="AB529" s="35" t="str">
        <f>IFERROR(INDEX(DL_L,MATCH($CA529,DL_KEY,0)),"M")</f>
        <v>L</v>
      </c>
      <c r="AC529" s="35" t="str">
        <f>IFERROR(INDEX(DL_BI,MATCH($CA529,DL_KEY,0)),"M")</f>
        <v>L</v>
      </c>
      <c r="AD529" s="35" t="str">
        <f>IFERROR(INDEX(DL_Exp,MATCH($CA529,DL_KEY,0)),"M")</f>
        <v>L</v>
      </c>
      <c r="AE529" s="35" t="str">
        <f>IFERROR(INDEX(DL_Edu,MATCH($CA529,DL_KEY,0)),"M")</f>
        <v>L</v>
      </c>
      <c r="AF529" s="34" t="inlineStr">
        <is>
          <t>M</t>
        </is>
      </c>
      <c r="AG529" s="35" t="inlineStr">
        <is>
          <t>M</t>
        </is>
      </c>
      <c r="AH529" s="35" t="inlineStr">
        <is>
          <t>M</t>
        </is>
      </c>
      <c r="AI529" s="35" t="inlineStr">
        <is>
          <t>M</t>
        </is>
      </c>
      <c r="AJ529" s="35" t="inlineStr">
        <is>
          <t>M</t>
        </is>
      </c>
      <c r="AK529" s="35" t="inlineStr">
        <is>
          <t>M</t>
        </is>
      </c>
      <c r="AL529" s="35" t="inlineStr">
        <is>
          <t>M</t>
        </is>
      </c>
      <c r="AM529" s="36" t="n">
        <v>0.583</v>
      </c>
      <c r="AN529" s="37" t="n">
        <v>0.16</v>
      </c>
      <c r="AO529" s="37" t="n">
        <v>0.09</v>
      </c>
      <c r="AP529" s="37" t="n">
        <v>0</v>
      </c>
      <c r="AQ529" s="37" t="n">
        <v>0.063</v>
      </c>
      <c r="AR529" s="37" t="n">
        <v>0.06</v>
      </c>
      <c r="AS529" s="37" t="n">
        <v>0.04</v>
      </c>
      <c r="AT529" s="38" t="inlineStr">
        <is>
          <t>0–3</t>
        </is>
      </c>
      <c r="AU529" s="38" t="inlineStr">
        <is>
          <t>Graduate · or diploma with experience</t>
        </is>
      </c>
      <c r="AV529" s="38" t="inlineStr">
        <is>
          <t>No direct reports</t>
        </is>
      </c>
      <c r="AW529" s="38" t="inlineStr">
        <is>
          <t>P1–P2 · SFIA 2 Assist</t>
        </is>
      </c>
      <c r="AX52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29" s="39" t="inlineStr">
        <is>
          <t>A2</t>
        </is>
      </c>
      <c r="AZ529" s="40" t="inlineStr">
        <is>
          <t>Band A · Practitioner · Associate</t>
        </is>
      </c>
      <c r="BA529" s="40" t="inlineStr">
        <is>
          <t>Model A3 from the six ratings, the market-derived weights and rules R1–R13 · then Level rule: manager A3; a reportee sits at least one level below · A3 → A2 · move down · pay and title protected for one cycle</t>
        </is>
      </c>
      <c r="BB529" s="41" t="inlineStr">
        <is>
          <t>A2</t>
        </is>
      </c>
      <c r="BC529" s="40" t="inlineStr">
        <is>
          <t>The six ratings on the market-average weights of Band A · all tracks score 2.20 → A2 · Hay, Mercer IPE and public plans · experience 4.2 yrs vs the A2 market range 0–3</t>
        </is>
      </c>
      <c r="BD529" s="42">
        <f>IF(SUM(BM529,BN529,BO529,BP529,BQ529,BR529,BS529)=0,0,(BM529*BT529+BN529*BU529+BO529*BV529+BP529*BW529+BQ529*BX529+BR529*BY529+BS529*BZ529)/SUM(BM529,BN529,BO529,BP529,BQ529,BR529,BS529))</f>
        <v>0</v>
      </c>
      <c r="BE529" s="41" t="str">
        <f>IF(LEFT(AY529,1)="X",AY529,IF(OR(AY529="B+",AY529="C+"),INDEX(LAD_PC,MAX(1,MIN(14,MATCH(AY529,LAD_PC,0)+IF(BD529&gt;=0.5,1,IF(BD529&lt;=-0.5,-1,0))))),INDEX(LAD_STD,MAX(1,MIN(12,MATCH(AY529,LAD_STD,0)+IF(BD529&gt;=0.5,1,IF(BD529&lt;=-0.5,-1,0)))))))</f>
        <v>A2</v>
      </c>
      <c r="BF529" s="43" t="n"/>
      <c r="BG529" s="41" t="str">
        <f>IF(BF529&lt;&gt;"",BF529,BE529)</f>
        <v>A2</v>
      </c>
      <c r="BH529" s="40" t="str">
        <f>IFERROR(CHOOSE(INDEX(B_RANK,MATCH(BG529,B_LVL,0)),"Band A","Band B","B+ · Player-Coach","Band C","C+ · Player-Coach","Band D","Band E"),"Band X · Consultant")</f>
        <v>Band A</v>
      </c>
      <c r="BI529" s="40" t="str">
        <f>IF(BG529=AY529,"• Same",IF(INDEX(B_VAL,MATCH(BG529,B_LVL,0))&gt;INDEX(B_VAL,MATCH(AY529,B_LVL,0)),"▲ Up","▼ Down"))</f>
        <v>• Same</v>
      </c>
      <c r="BJ529" s="40" t="str">
        <f>IF(OR($M529="",$M529="—",$M529="Not in this file"),"",IFERROR(INDEX($BG$7:$BG$592,MATCH($M529,$D$7:$D$592,0)),""))</f>
        <v>A3</v>
      </c>
      <c r="BK529" s="40" t="str">
        <f>IFERROR(IF(BJ529="","—",IF(OR(LEFT(BG529,1)="X",LEFT(BJ529,1)="X"),"—",IF(AND(LEFT(BG529,1)="E",LEFT(BJ529,1)="E"),"Exception · Band E",IF(AND(INDEX(B_VAL,MATCH(BJ529,B_LVL,0))&gt;=7,INDEX(B_RANK,MATCH(BG529,B_LVL,0))&gt;=INDEX(B_RANK,MATCH(BJ529,B_LVL,0))),"⚠ Same band as a head manager",IF(INDEX(B_VAL,MATCH(BG529,B_LVL,0))&gt;=INDEX(B_VAL,MATCH(BJ529,B_LVL,0)),"⚠ At or above the manager's level","OK"))))),"—")</f>
        <v>OK</v>
      </c>
      <c r="BL529" s="43" t="n"/>
      <c r="BM529" s="44">
        <f>IFERROR(INDEX(LMH_PTS,MATCH(Y529,LMH_KEY,0)),0)</f>
        <v>9</v>
      </c>
      <c r="BN529" s="38">
        <f>IFERROR(INDEX(LMH_PTS,MATCH(Z529,LMH_KEY,0)),0)</f>
        <v>3</v>
      </c>
      <c r="BO529" s="38">
        <f>IFERROR(INDEX(LMH_PTS,MATCH(AA529,LMH_KEY,0)),0)</f>
        <v>1</v>
      </c>
      <c r="BP529" s="38">
        <f>IFERROR(INDEX(LMH_PTS,MATCH(AB529,LMH_KEY,0)),0)</f>
        <v>1</v>
      </c>
      <c r="BQ529" s="38">
        <f>IFERROR(INDEX(LMH_PTS,MATCH(AC529,LMH_KEY,0)),0)</f>
        <v>1</v>
      </c>
      <c r="BR529" s="38">
        <f>IFERROR(INDEX(LMH_PTS,MATCH(AD529,LMH_KEY,0)),0)</f>
        <v>1</v>
      </c>
      <c r="BS529" s="38">
        <f>IFERROR(INDEX(LMH_PTS,MATCH(AE529,LMH_KEY,0)),0)</f>
        <v>1</v>
      </c>
      <c r="BT529" s="38">
        <f>IFERROR(INDEX(LMH_STEP,MATCH(AF529,LMH_KEY,0)),0)</f>
        <v>0</v>
      </c>
      <c r="BU529" s="38">
        <f>IFERROR(INDEX(LMH_STEP,MATCH(AG529,LMH_KEY,0)),0)</f>
        <v>0</v>
      </c>
      <c r="BV529" s="38">
        <f>IFERROR(INDEX(LMH_STEP,MATCH(AH529,LMH_KEY,0)),0)</f>
        <v>0</v>
      </c>
      <c r="BW529" s="38">
        <f>IFERROR(INDEX(LMH_STEP,MATCH(AI529,LMH_KEY,0)),0)</f>
        <v>0</v>
      </c>
      <c r="BX529" s="38">
        <f>IFERROR(INDEX(LMH_STEP,MATCH(AJ529,LMH_KEY,0)),0)</f>
        <v>0</v>
      </c>
      <c r="BY529" s="38">
        <f>IFERROR(INDEX(LMH_STEP,MATCH(AK529,LMH_KEY,0)),0)</f>
        <v>0</v>
      </c>
      <c r="BZ529" s="38">
        <f>IFERROR(INDEX(LMH_STEP,MATCH(AL529,LMH_KEY,0)),0)</f>
        <v>0</v>
      </c>
      <c r="CA529" s="38" t="inlineStr">
        <is>
          <t>CARBON|Technology|Senior Software Engineer|A2|A</t>
        </is>
      </c>
    </row>
    <row r="530" ht="110" customHeight="1">
      <c r="A530" s="28" t="inlineStr">
        <is>
          <t>CARBON</t>
        </is>
      </c>
      <c r="B530" s="29" t="inlineStr">
        <is>
          <t>Technology</t>
        </is>
      </c>
      <c r="C530" s="29" t="n">
        <v>5</v>
      </c>
      <c r="D530" s="29" t="inlineStr">
        <is>
          <t>IRIS2159</t>
        </is>
      </c>
      <c r="E530" s="29" t="inlineStr">
        <is>
          <t>Rushali Patel</t>
        </is>
      </c>
      <c r="F530" s="29" t="inlineStr">
        <is>
          <t>Software Engineer</t>
        </is>
      </c>
      <c r="G530" s="29" t="inlineStr">
        <is>
          <t>Senior UI Developer</t>
        </is>
      </c>
      <c r="H530" s="29" t="inlineStr">
        <is>
          <t>Engineering &amp; Development</t>
        </is>
      </c>
      <c r="I530" s="29" t="inlineStr">
        <is>
          <t>Front-End / UI Development</t>
        </is>
      </c>
      <c r="J530" s="29" t="inlineStr">
        <is>
          <t>IC</t>
        </is>
      </c>
      <c r="K530" s="29" t="inlineStr">
        <is>
          <t>RC-081</t>
        </is>
      </c>
      <c r="L530" s="29" t="inlineStr">
        <is>
          <t>Parth Jitendrabhai Parmar</t>
        </is>
      </c>
      <c r="M530" s="29" t="inlineStr">
        <is>
          <t>IRIS2160</t>
        </is>
      </c>
      <c r="N530" s="29" t="n">
        <v>3.2</v>
      </c>
      <c r="O530" s="29" t="n">
        <v>3.2</v>
      </c>
      <c r="P530" s="29" t="inlineStr">
        <is>
          <t>MSc</t>
        </is>
      </c>
      <c r="Q530" s="29" t="inlineStr">
        <is>
          <t>L3 – Professional / Associate</t>
        </is>
      </c>
      <c r="R530" s="29" t="inlineStr">
        <is>
          <t>A3</t>
        </is>
      </c>
      <c r="S530" s="30" t="inlineStr">
        <is>
          <t>20 of 20</t>
        </is>
      </c>
      <c r="T530" s="31" t="inlineStr">
        <is>
          <t>• Role / sub-team: Technology — Software Engineer.
• Core purpose: I am a frontend developer, mainly working on UI and frontend features. I am also learning backend development to improve my overall technical skills.
• Decision-making autonomy: Can independently understand the problem.
• Is this something only they do: Most of us.
• What's different about …</t>
        </is>
      </c>
      <c r="U530" s="31" t="inlineStr">
        <is>
          <t>Received · manager annual · 1.Deliver ≥ 95% committed frontend/full-stack tasks within agreed timelines with high-quality implementation.
2.Strengthen frontend architecture expertise in React, component design, performance optimization, and reusable UI framework development, contributing to ≥ 40% frontend design discussions.
3.Build full-stack …</t>
        </is>
      </c>
      <c r="V530" s="31" t="inlineStr">
        <is>
          <t>Latest rating: Not rated · manager · 9-box: Future Leader · Readiness: No rating data</t>
        </is>
      </c>
      <c r="W530" s="31" t="inlineStr">
        <is>
          <t>C M · Au M · Ac M · L L · BI M · Exp H · 3.2 yrs vs 0–2 yrs · Edu H · MSc</t>
        </is>
      </c>
      <c r="X530" s="33" t="inlineStr">
        <is>
          <t>Open ▸</t>
        </is>
      </c>
      <c r="Y530" s="34" t="str">
        <f>IFERROR(INDEX(DL_C,MATCH($CA530,DL_KEY,0)),"M")</f>
        <v>H</v>
      </c>
      <c r="Z530" s="35" t="str">
        <f>IFERROR(INDEX(DL_Au,MATCH($CA530,DL_KEY,0)),"M")</f>
        <v>M</v>
      </c>
      <c r="AA530" s="35" t="str">
        <f>IFERROR(INDEX(DL_Ac,MATCH($CA530,DL_KEY,0)),"M")</f>
        <v>L</v>
      </c>
      <c r="AB530" s="35" t="str">
        <f>IFERROR(INDEX(DL_L,MATCH($CA530,DL_KEY,0)),"M")</f>
        <v>L</v>
      </c>
      <c r="AC530" s="35" t="str">
        <f>IFERROR(INDEX(DL_BI,MATCH($CA530,DL_KEY,0)),"M")</f>
        <v>L</v>
      </c>
      <c r="AD530" s="35" t="str">
        <f>IFERROR(INDEX(DL_Exp,MATCH($CA530,DL_KEY,0)),"M")</f>
        <v>L</v>
      </c>
      <c r="AE530" s="35" t="str">
        <f>IFERROR(INDEX(DL_Edu,MATCH($CA530,DL_KEY,0)),"M")</f>
        <v>L</v>
      </c>
      <c r="AF530" s="34" t="inlineStr">
        <is>
          <t>M</t>
        </is>
      </c>
      <c r="AG530" s="35" t="inlineStr">
        <is>
          <t>M</t>
        </is>
      </c>
      <c r="AH530" s="35" t="inlineStr">
        <is>
          <t>M</t>
        </is>
      </c>
      <c r="AI530" s="35" t="inlineStr">
        <is>
          <t>M</t>
        </is>
      </c>
      <c r="AJ530" s="35" t="inlineStr">
        <is>
          <t>M</t>
        </is>
      </c>
      <c r="AK530" s="35" t="inlineStr">
        <is>
          <t>M</t>
        </is>
      </c>
      <c r="AL530" s="35" t="inlineStr">
        <is>
          <t>M</t>
        </is>
      </c>
      <c r="AM530" s="36" t="n">
        <v>0.583</v>
      </c>
      <c r="AN530" s="37" t="n">
        <v>0.16</v>
      </c>
      <c r="AO530" s="37" t="n">
        <v>0.09</v>
      </c>
      <c r="AP530" s="37" t="n">
        <v>0</v>
      </c>
      <c r="AQ530" s="37" t="n">
        <v>0.063</v>
      </c>
      <c r="AR530" s="37" t="n">
        <v>0.06</v>
      </c>
      <c r="AS530" s="37" t="n">
        <v>0.04</v>
      </c>
      <c r="AT530" s="38" t="inlineStr">
        <is>
          <t>0–3</t>
        </is>
      </c>
      <c r="AU530" s="38" t="inlineStr">
        <is>
          <t>Graduate · or diploma with experience</t>
        </is>
      </c>
      <c r="AV530" s="38" t="inlineStr">
        <is>
          <t>No direct reports</t>
        </is>
      </c>
      <c r="AW530" s="38" t="inlineStr">
        <is>
          <t>P1–P2 · SFIA 2 Assist</t>
        </is>
      </c>
      <c r="AX53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30" s="39" t="inlineStr">
        <is>
          <t>A2</t>
        </is>
      </c>
      <c r="AZ530" s="40" t="inlineStr">
        <is>
          <t>Band A · Practitioner · Associate</t>
        </is>
      </c>
      <c r="BA530" s="40" t="inlineStr">
        <is>
          <t>Model A3 from the six ratings, the market-derived weights and rules R1–R13 · then Level rule: manager A3; a reportee sits at least one level below · A3 → A2 · move down · pay and title protected for one cycle</t>
        </is>
      </c>
      <c r="BB530" s="41" t="inlineStr">
        <is>
          <t>A2</t>
        </is>
      </c>
      <c r="BC530" s="40" t="inlineStr">
        <is>
          <t>The six ratings on the market-average weights of Band A · all tracks score 2.15 → A2 · Hay, Mercer IPE and public plans · experience 3.2 yrs vs the A2 market range 0–3</t>
        </is>
      </c>
      <c r="BD530" s="42">
        <f>IF(SUM(BM530,BN530,BO530,BP530,BQ530,BR530,BS530)=0,0,(BM530*BT530+BN530*BU530+BO530*BV530+BP530*BW530+BQ530*BX530+BR530*BY530+BS530*BZ530)/SUM(BM530,BN530,BO530,BP530,BQ530,BR530,BS530))</f>
        <v>0</v>
      </c>
      <c r="BE530" s="41" t="str">
        <f>IF(LEFT(AY530,1)="X",AY530,IF(OR(AY530="B+",AY530="C+"),INDEX(LAD_PC,MAX(1,MIN(14,MATCH(AY530,LAD_PC,0)+IF(BD530&gt;=0.5,1,IF(BD530&lt;=-0.5,-1,0))))),INDEX(LAD_STD,MAX(1,MIN(12,MATCH(AY530,LAD_STD,0)+IF(BD530&gt;=0.5,1,IF(BD530&lt;=-0.5,-1,0)))))))</f>
        <v>A2</v>
      </c>
      <c r="BF530" s="43" t="n"/>
      <c r="BG530" s="41" t="str">
        <f>IF(BF530&lt;&gt;"",BF530,BE530)</f>
        <v>A2</v>
      </c>
      <c r="BH530" s="40" t="str">
        <f>IFERROR(CHOOSE(INDEX(B_RANK,MATCH(BG530,B_LVL,0)),"Band A","Band B","B+ · Player-Coach","Band C","C+ · Player-Coach","Band D","Band E"),"Band X · Consultant")</f>
        <v>Band A</v>
      </c>
      <c r="BI530" s="40" t="str">
        <f>IF(BG530=AY530,"• Same",IF(INDEX(B_VAL,MATCH(BG530,B_LVL,0))&gt;INDEX(B_VAL,MATCH(AY530,B_LVL,0)),"▲ Up","▼ Down"))</f>
        <v>• Same</v>
      </c>
      <c r="BJ530" s="40" t="str">
        <f>IF(OR($M530="",$M530="—",$M530="Not in this file"),"",IFERROR(INDEX($BG$7:$BG$592,MATCH($M530,$D$7:$D$592,0)),""))</f>
        <v>A3</v>
      </c>
      <c r="BK530" s="40" t="str">
        <f>IFERROR(IF(BJ530="","—",IF(OR(LEFT(BG530,1)="X",LEFT(BJ530,1)="X"),"—",IF(AND(LEFT(BG530,1)="E",LEFT(BJ530,1)="E"),"Exception · Band E",IF(AND(INDEX(B_VAL,MATCH(BJ530,B_LVL,0))&gt;=7,INDEX(B_RANK,MATCH(BG530,B_LVL,0))&gt;=INDEX(B_RANK,MATCH(BJ530,B_LVL,0))),"⚠ Same band as a head manager",IF(INDEX(B_VAL,MATCH(BG530,B_LVL,0))&gt;=INDEX(B_VAL,MATCH(BJ530,B_LVL,0)),"⚠ At or above the manager's level","OK"))))),"—")</f>
        <v>OK</v>
      </c>
      <c r="BL530" s="43" t="n"/>
      <c r="BM530" s="44">
        <f>IFERROR(INDEX(LMH_PTS,MATCH(Y530,LMH_KEY,0)),0)</f>
        <v>9</v>
      </c>
      <c r="BN530" s="38">
        <f>IFERROR(INDEX(LMH_PTS,MATCH(Z530,LMH_KEY,0)),0)</f>
        <v>3</v>
      </c>
      <c r="BO530" s="38">
        <f>IFERROR(INDEX(LMH_PTS,MATCH(AA530,LMH_KEY,0)),0)</f>
        <v>1</v>
      </c>
      <c r="BP530" s="38">
        <f>IFERROR(INDEX(LMH_PTS,MATCH(AB530,LMH_KEY,0)),0)</f>
        <v>1</v>
      </c>
      <c r="BQ530" s="38">
        <f>IFERROR(INDEX(LMH_PTS,MATCH(AC530,LMH_KEY,0)),0)</f>
        <v>1</v>
      </c>
      <c r="BR530" s="38">
        <f>IFERROR(INDEX(LMH_PTS,MATCH(AD530,LMH_KEY,0)),0)</f>
        <v>1</v>
      </c>
      <c r="BS530" s="38">
        <f>IFERROR(INDEX(LMH_PTS,MATCH(AE530,LMH_KEY,0)),0)</f>
        <v>1</v>
      </c>
      <c r="BT530" s="38">
        <f>IFERROR(INDEX(LMH_STEP,MATCH(AF530,LMH_KEY,0)),0)</f>
        <v>0</v>
      </c>
      <c r="BU530" s="38">
        <f>IFERROR(INDEX(LMH_STEP,MATCH(AG530,LMH_KEY,0)),0)</f>
        <v>0</v>
      </c>
      <c r="BV530" s="38">
        <f>IFERROR(INDEX(LMH_STEP,MATCH(AH530,LMH_KEY,0)),0)</f>
        <v>0</v>
      </c>
      <c r="BW530" s="38">
        <f>IFERROR(INDEX(LMH_STEP,MATCH(AI530,LMH_KEY,0)),0)</f>
        <v>0</v>
      </c>
      <c r="BX530" s="38">
        <f>IFERROR(INDEX(LMH_STEP,MATCH(AJ530,LMH_KEY,0)),0)</f>
        <v>0</v>
      </c>
      <c r="BY530" s="38">
        <f>IFERROR(INDEX(LMH_STEP,MATCH(AK530,LMH_KEY,0)),0)</f>
        <v>0</v>
      </c>
      <c r="BZ530" s="38">
        <f>IFERROR(INDEX(LMH_STEP,MATCH(AL530,LMH_KEY,0)),0)</f>
        <v>0</v>
      </c>
      <c r="CA530" s="38" t="inlineStr">
        <is>
          <t>CARBON|Technology|Senior UI Developer|A2|A</t>
        </is>
      </c>
    </row>
    <row r="531" ht="110" customHeight="1">
      <c r="A531" s="28" t="inlineStr">
        <is>
          <t>CARBON</t>
        </is>
      </c>
      <c r="B531" s="29" t="inlineStr">
        <is>
          <t>Technology</t>
        </is>
      </c>
      <c r="C531" s="29" t="n">
        <v>4</v>
      </c>
      <c r="D531" s="29" t="inlineStr">
        <is>
          <t>IRIS2281</t>
        </is>
      </c>
      <c r="E531" s="29" t="inlineStr">
        <is>
          <t>Riya Parekh</t>
        </is>
      </c>
      <c r="F531" s="29" t="inlineStr">
        <is>
          <t>Software Engineer</t>
        </is>
      </c>
      <c r="G531" s="29" t="inlineStr">
        <is>
          <t>Senior Software Engineer</t>
        </is>
      </c>
      <c r="H531" s="29" t="inlineStr">
        <is>
          <t>Engineering &amp; Development</t>
        </is>
      </c>
      <c r="I531" s="29" t="inlineStr">
        <is>
          <t>Full-Stack Development</t>
        </is>
      </c>
      <c r="J531" s="29" t="inlineStr">
        <is>
          <t>IC</t>
        </is>
      </c>
      <c r="K531" s="29" t="inlineStr">
        <is>
          <t>RC-085</t>
        </is>
      </c>
      <c r="L531" s="29" t="inlineStr">
        <is>
          <t>Hetal Chauhan</t>
        </is>
      </c>
      <c r="M531" s="29" t="inlineStr">
        <is>
          <t>IRIS1890</t>
        </is>
      </c>
      <c r="N531" s="29" t="n">
        <v>2.2</v>
      </c>
      <c r="O531" s="29" t="n">
        <v>2.2</v>
      </c>
      <c r="P531" s="29" t="inlineStr">
        <is>
          <t>Bachelor of Science</t>
        </is>
      </c>
      <c r="Q531" s="29" t="inlineStr">
        <is>
          <t>L3 – Professional / Associate</t>
        </is>
      </c>
      <c r="R531" s="29" t="inlineStr">
        <is>
          <t>A3</t>
        </is>
      </c>
      <c r="S531" s="30" t="inlineStr">
        <is>
          <t>20 of 20</t>
        </is>
      </c>
      <c r="T531" s="31" t="inlineStr">
        <is>
          <t>• Role / sub-team: Technology — Software Engineer.
• Core purpose: I am responsible for handling the backend part of the web application. Creating APIs, managing data which gets stored in the DB, how to fetch all that data in the quick manner.
• Decision-making autonomy: Can independently aPIs optimization.
• Is this something only they do: A few of us - …</t>
        </is>
      </c>
      <c r="U531" s="31" t="inlineStr">
        <is>
          <t>Received · manager annual · 1.Deliver ≥ 95% committed backend/API tasks within agreed timelines with high-quality implementation.
2.Strengthen backend engineering expertise in advanced .NET Core, scalable API design, caching, performance optimization, and security, contributing to ≥ 40% technical design discussions by FY end.
3.Build frontend …</t>
        </is>
      </c>
      <c r="V531" s="31" t="inlineStr">
        <is>
          <t>Latest rating: Not rated · manager · 9-box: Not placed · manager · Readiness: No rating data</t>
        </is>
      </c>
      <c r="W531" s="31" t="inlineStr">
        <is>
          <t>C M · Au L · Ac M · L L · BI M · Exp M · 2.2 yrs vs 2–4 yrs · Edu M · Bachelor of Science</t>
        </is>
      </c>
      <c r="X531" s="33" t="inlineStr">
        <is>
          <t>Open ▸</t>
        </is>
      </c>
      <c r="Y531" s="34" t="str">
        <f>IFERROR(INDEX(DL_C,MATCH($CA531,DL_KEY,0)),"M")</f>
        <v>H</v>
      </c>
      <c r="Z531" s="35" t="str">
        <f>IFERROR(INDEX(DL_Au,MATCH($CA531,DL_KEY,0)),"M")</f>
        <v>M</v>
      </c>
      <c r="AA531" s="35" t="str">
        <f>IFERROR(INDEX(DL_Ac,MATCH($CA531,DL_KEY,0)),"M")</f>
        <v>L</v>
      </c>
      <c r="AB531" s="35" t="str">
        <f>IFERROR(INDEX(DL_L,MATCH($CA531,DL_KEY,0)),"M")</f>
        <v>L</v>
      </c>
      <c r="AC531" s="35" t="str">
        <f>IFERROR(INDEX(DL_BI,MATCH($CA531,DL_KEY,0)),"M")</f>
        <v>L</v>
      </c>
      <c r="AD531" s="35" t="str">
        <f>IFERROR(INDEX(DL_Exp,MATCH($CA531,DL_KEY,0)),"M")</f>
        <v>L</v>
      </c>
      <c r="AE531" s="35" t="str">
        <f>IFERROR(INDEX(DL_Edu,MATCH($CA531,DL_KEY,0)),"M")</f>
        <v>L</v>
      </c>
      <c r="AF531" s="34" t="inlineStr">
        <is>
          <t>M</t>
        </is>
      </c>
      <c r="AG531" s="35" t="inlineStr">
        <is>
          <t>M</t>
        </is>
      </c>
      <c r="AH531" s="35" t="inlineStr">
        <is>
          <t>M</t>
        </is>
      </c>
      <c r="AI531" s="35" t="inlineStr">
        <is>
          <t>M</t>
        </is>
      </c>
      <c r="AJ531" s="35" t="inlineStr">
        <is>
          <t>M</t>
        </is>
      </c>
      <c r="AK531" s="35" t="inlineStr">
        <is>
          <t>M</t>
        </is>
      </c>
      <c r="AL531" s="35" t="inlineStr">
        <is>
          <t>M</t>
        </is>
      </c>
      <c r="AM531" s="36" t="n">
        <v>0.583</v>
      </c>
      <c r="AN531" s="37" t="n">
        <v>0.16</v>
      </c>
      <c r="AO531" s="37" t="n">
        <v>0.09</v>
      </c>
      <c r="AP531" s="37" t="n">
        <v>0</v>
      </c>
      <c r="AQ531" s="37" t="n">
        <v>0.063</v>
      </c>
      <c r="AR531" s="37" t="n">
        <v>0.06</v>
      </c>
      <c r="AS531" s="37" t="n">
        <v>0.04</v>
      </c>
      <c r="AT531" s="38" t="inlineStr">
        <is>
          <t>2–5</t>
        </is>
      </c>
      <c r="AU531" s="38" t="inlineStr">
        <is>
          <t>Graduate; relevant certification preferred</t>
        </is>
      </c>
      <c r="AV531" s="38" t="inlineStr">
        <is>
          <t>None · guides 1–3 juniors informally</t>
        </is>
      </c>
      <c r="AW531" s="38" t="inlineStr">
        <is>
          <t>P2 · SFIA 3 Apply</t>
        </is>
      </c>
      <c r="AX53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31" s="39" t="inlineStr">
        <is>
          <t>A3</t>
        </is>
      </c>
      <c r="AZ531" s="40" t="inlineStr">
        <is>
          <t>Band A · Practitioner · Senior Associate</t>
        </is>
      </c>
      <c r="BA531" s="40" t="inlineStr">
        <is>
          <t>Model A3 from the six ratings, the market-derived weights and rules R1–R13 · then No change · already below the manager</t>
        </is>
      </c>
      <c r="BB531" s="41" t="inlineStr">
        <is>
          <t>A2</t>
        </is>
      </c>
      <c r="BC531" s="40" t="inlineStr">
        <is>
          <t>The six ratings on the market-average weights of Band A · all tracks score 2.42 → A2 · Hay, Mercer IPE and public plans · experience 2.2 yrs vs the A2 market range 0–3</t>
        </is>
      </c>
      <c r="BD531" s="42">
        <f>IF(SUM(BM531,BN531,BO531,BP531,BQ531,BR531,BS531)=0,0,(BM531*BT531+BN531*BU531+BO531*BV531+BP531*BW531+BQ531*BX531+BR531*BY531+BS531*BZ531)/SUM(BM531,BN531,BO531,BP531,BQ531,BR531,BS531))</f>
        <v>0</v>
      </c>
      <c r="BE531" s="41" t="str">
        <f>IF(LEFT(AY531,1)="X",AY531,IF(OR(AY531="B+",AY531="C+"),INDEX(LAD_PC,MAX(1,MIN(14,MATCH(AY531,LAD_PC,0)+IF(BD531&gt;=0.5,1,IF(BD531&lt;=-0.5,-1,0))))),INDEX(LAD_STD,MAX(1,MIN(12,MATCH(AY531,LAD_STD,0)+IF(BD531&gt;=0.5,1,IF(BD531&lt;=-0.5,-1,0)))))))</f>
        <v>A3</v>
      </c>
      <c r="BF531" s="43" t="n"/>
      <c r="BG531" s="41" t="str">
        <f>IF(BF531&lt;&gt;"",BF531,BE531)</f>
        <v>A3</v>
      </c>
      <c r="BH531" s="40" t="str">
        <f>IFERROR(CHOOSE(INDEX(B_RANK,MATCH(BG531,B_LVL,0)),"Band A","Band B","B+ · Player-Coach","Band C","C+ · Player-Coach","Band D","Band E"),"Band X · Consultant")</f>
        <v>Band A</v>
      </c>
      <c r="BI531" s="40" t="str">
        <f>IF(BG531=AY531,"• Same",IF(INDEX(B_VAL,MATCH(BG531,B_LVL,0))&gt;INDEX(B_VAL,MATCH(AY531,B_LVL,0)),"▲ Up","▼ Down"))</f>
        <v>• Same</v>
      </c>
      <c r="BJ531" s="40" t="str">
        <f>IF(OR($M531="",$M531="—",$M531="Not in this file"),"",IFERROR(INDEX($BG$7:$BG$592,MATCH($M531,$D$7:$D$592,0)),""))</f>
        <v>B1</v>
      </c>
      <c r="BK531" s="40" t="str">
        <f>IFERROR(IF(BJ531="","—",IF(OR(LEFT(BG531,1)="X",LEFT(BJ531,1)="X"),"—",IF(AND(LEFT(BG531,1)="E",LEFT(BJ531,1)="E"),"Exception · Band E",IF(AND(INDEX(B_VAL,MATCH(BJ531,B_LVL,0))&gt;=7,INDEX(B_RANK,MATCH(BG531,B_LVL,0))&gt;=INDEX(B_RANK,MATCH(BJ531,B_LVL,0))),"⚠ Same band as a head manager",IF(INDEX(B_VAL,MATCH(BG531,B_LVL,0))&gt;=INDEX(B_VAL,MATCH(BJ531,B_LVL,0)),"⚠ At or above the manager's level","OK"))))),"—")</f>
        <v>OK</v>
      </c>
      <c r="BL531" s="43" t="n"/>
      <c r="BM531" s="44">
        <f>IFERROR(INDEX(LMH_PTS,MATCH(Y531,LMH_KEY,0)),0)</f>
        <v>9</v>
      </c>
      <c r="BN531" s="38">
        <f>IFERROR(INDEX(LMH_PTS,MATCH(Z531,LMH_KEY,0)),0)</f>
        <v>3</v>
      </c>
      <c r="BO531" s="38">
        <f>IFERROR(INDEX(LMH_PTS,MATCH(AA531,LMH_KEY,0)),0)</f>
        <v>1</v>
      </c>
      <c r="BP531" s="38">
        <f>IFERROR(INDEX(LMH_PTS,MATCH(AB531,LMH_KEY,0)),0)</f>
        <v>1</v>
      </c>
      <c r="BQ531" s="38">
        <f>IFERROR(INDEX(LMH_PTS,MATCH(AC531,LMH_KEY,0)),0)</f>
        <v>1</v>
      </c>
      <c r="BR531" s="38">
        <f>IFERROR(INDEX(LMH_PTS,MATCH(AD531,LMH_KEY,0)),0)</f>
        <v>1</v>
      </c>
      <c r="BS531" s="38">
        <f>IFERROR(INDEX(LMH_PTS,MATCH(AE531,LMH_KEY,0)),0)</f>
        <v>1</v>
      </c>
      <c r="BT531" s="38">
        <f>IFERROR(INDEX(LMH_STEP,MATCH(AF531,LMH_KEY,0)),0)</f>
        <v>0</v>
      </c>
      <c r="BU531" s="38">
        <f>IFERROR(INDEX(LMH_STEP,MATCH(AG531,LMH_KEY,0)),0)</f>
        <v>0</v>
      </c>
      <c r="BV531" s="38">
        <f>IFERROR(INDEX(LMH_STEP,MATCH(AH531,LMH_KEY,0)),0)</f>
        <v>0</v>
      </c>
      <c r="BW531" s="38">
        <f>IFERROR(INDEX(LMH_STEP,MATCH(AI531,LMH_KEY,0)),0)</f>
        <v>0</v>
      </c>
      <c r="BX531" s="38">
        <f>IFERROR(INDEX(LMH_STEP,MATCH(AJ531,LMH_KEY,0)),0)</f>
        <v>0</v>
      </c>
      <c r="BY531" s="38">
        <f>IFERROR(INDEX(LMH_STEP,MATCH(AK531,LMH_KEY,0)),0)</f>
        <v>0</v>
      </c>
      <c r="BZ531" s="38">
        <f>IFERROR(INDEX(LMH_STEP,MATCH(AL531,LMH_KEY,0)),0)</f>
        <v>0</v>
      </c>
      <c r="CA531" s="38" t="inlineStr">
        <is>
          <t>CARBON|Technology|Senior Software Engineer|A3|A</t>
        </is>
      </c>
    </row>
    <row r="532" ht="110" customHeight="1">
      <c r="A532" s="28" t="inlineStr">
        <is>
          <t>CARBON</t>
        </is>
      </c>
      <c r="B532" s="29" t="inlineStr">
        <is>
          <t>Technology</t>
        </is>
      </c>
      <c r="C532" s="29" t="n">
        <v>3</v>
      </c>
      <c r="D532" s="29" t="inlineStr">
        <is>
          <t>IRIS2544</t>
        </is>
      </c>
      <c r="E532" s="29" t="inlineStr">
        <is>
          <t>Harsh Icecreamwala</t>
        </is>
      </c>
      <c r="F532" s="29" t="inlineStr">
        <is>
          <t>Software Engineer</t>
        </is>
      </c>
      <c r="G532" s="29" t="inlineStr">
        <is>
          <t>Senior Software Engineer</t>
        </is>
      </c>
      <c r="H532" s="29" t="inlineStr">
        <is>
          <t>Engineering &amp; Development</t>
        </is>
      </c>
      <c r="I532" s="29" t="inlineStr">
        <is>
          <t>Backend Development</t>
        </is>
      </c>
      <c r="J532" s="29" t="inlineStr">
        <is>
          <t>IC</t>
        </is>
      </c>
      <c r="K532" s="29" t="inlineStr">
        <is>
          <t>RC-067</t>
        </is>
      </c>
      <c r="L532" s="29" t="inlineStr">
        <is>
          <t>Siddhesh Kadam</t>
        </is>
      </c>
      <c r="M532" s="29" t="inlineStr">
        <is>
          <t>IRIS1535</t>
        </is>
      </c>
      <c r="N532" s="29" t="n">
        <v>2.9</v>
      </c>
      <c r="O532" s="29" t="n">
        <v>0.2</v>
      </c>
      <c r="P532" s="29" t="inlineStr">
        <is>
          <t>Master of Science</t>
        </is>
      </c>
      <c r="Q532" s="29" t="inlineStr">
        <is>
          <t>Not in current mapping files</t>
        </is>
      </c>
      <c r="R532" s="29" t="inlineStr">
        <is>
          <t>A3</t>
        </is>
      </c>
      <c r="S532" s="30" t="inlineStr">
        <is>
          <t>20 of 20</t>
        </is>
      </c>
      <c r="T532" s="31" t="inlineStr">
        <is>
          <t>Complexity: Evidence reads like A2: Builds product features from gathered requirements, checking compatibility with existing features → matches the start
Autonomy: Evidence reads like A2: Decides the end-to-end flow of own features → matches the start
Accountability: Evidence reads like A2: Features personally built for clients; delay hurts release …</t>
        </is>
      </c>
      <c r="U532" s="32" t="inlineStr">
        <is>
          <t>KRAs not received · manager to supply</t>
        </is>
      </c>
      <c r="V532" s="31" t="inlineStr">
        <is>
          <t>Latest rating: Not rated · manager · 9-box: Not placed · manager · Readiness: No rating data</t>
        </is>
      </c>
      <c r="W532" s="31" t="inlineStr">
        <is>
          <t>C L · Au L · Ac L · L L · BI L · Exp M · 2.9 yrs vs 2–4 yrs · Edu H · Master of Science</t>
        </is>
      </c>
      <c r="X532" s="33" t="inlineStr">
        <is>
          <t>Open ▸</t>
        </is>
      </c>
      <c r="Y532" s="34" t="str">
        <f>IFERROR(INDEX(DL_C,MATCH($CA532,DL_KEY,0)),"M")</f>
        <v>H</v>
      </c>
      <c r="Z532" s="35" t="str">
        <f>IFERROR(INDEX(DL_Au,MATCH($CA532,DL_KEY,0)),"M")</f>
        <v>M</v>
      </c>
      <c r="AA532" s="35" t="str">
        <f>IFERROR(INDEX(DL_Ac,MATCH($CA532,DL_KEY,0)),"M")</f>
        <v>L</v>
      </c>
      <c r="AB532" s="35" t="str">
        <f>IFERROR(INDEX(DL_L,MATCH($CA532,DL_KEY,0)),"M")</f>
        <v>L</v>
      </c>
      <c r="AC532" s="35" t="str">
        <f>IFERROR(INDEX(DL_BI,MATCH($CA532,DL_KEY,0)),"M")</f>
        <v>L</v>
      </c>
      <c r="AD532" s="35" t="str">
        <f>IFERROR(INDEX(DL_Exp,MATCH($CA532,DL_KEY,0)),"M")</f>
        <v>L</v>
      </c>
      <c r="AE532" s="35" t="str">
        <f>IFERROR(INDEX(DL_Edu,MATCH($CA532,DL_KEY,0)),"M")</f>
        <v>L</v>
      </c>
      <c r="AF532" s="34" t="inlineStr">
        <is>
          <t>M</t>
        </is>
      </c>
      <c r="AG532" s="35" t="inlineStr">
        <is>
          <t>M</t>
        </is>
      </c>
      <c r="AH532" s="35" t="inlineStr">
        <is>
          <t>M</t>
        </is>
      </c>
      <c r="AI532" s="35" t="inlineStr">
        <is>
          <t>M</t>
        </is>
      </c>
      <c r="AJ532" s="35" t="inlineStr">
        <is>
          <t>M</t>
        </is>
      </c>
      <c r="AK532" s="35" t="inlineStr">
        <is>
          <t>M</t>
        </is>
      </c>
      <c r="AL532" s="35" t="inlineStr">
        <is>
          <t>M</t>
        </is>
      </c>
      <c r="AM532" s="36" t="n">
        <v>0.583</v>
      </c>
      <c r="AN532" s="37" t="n">
        <v>0.16</v>
      </c>
      <c r="AO532" s="37" t="n">
        <v>0.09</v>
      </c>
      <c r="AP532" s="37" t="n">
        <v>0</v>
      </c>
      <c r="AQ532" s="37" t="n">
        <v>0.063</v>
      </c>
      <c r="AR532" s="37" t="n">
        <v>0.06</v>
      </c>
      <c r="AS532" s="37" t="n">
        <v>0.04</v>
      </c>
      <c r="AT532" s="38" t="inlineStr">
        <is>
          <t>2–5</t>
        </is>
      </c>
      <c r="AU532" s="38" t="inlineStr">
        <is>
          <t>Graduate; relevant certification preferred</t>
        </is>
      </c>
      <c r="AV532" s="38" t="inlineStr">
        <is>
          <t>None · guides 1–3 juniors informally</t>
        </is>
      </c>
      <c r="AW532" s="38" t="inlineStr">
        <is>
          <t>P2 · SFIA 3 Apply</t>
        </is>
      </c>
      <c r="AX53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32" s="39" t="inlineStr">
        <is>
          <t>A3</t>
        </is>
      </c>
      <c r="AZ532" s="40" t="inlineStr">
        <is>
          <t>Band A · Practitioner · Senior Associate</t>
        </is>
      </c>
      <c r="BA532" s="40" t="inlineStr">
        <is>
          <t>Model A3 from the six ratings, the market-derived weights and rules R1–R13 · then No change · already below the manager</t>
        </is>
      </c>
      <c r="BB532" s="41" t="inlineStr">
        <is>
          <t>A2</t>
        </is>
      </c>
      <c r="BC532" s="40" t="inlineStr">
        <is>
          <t>The six ratings on the market-average weights of Band A · all tracks score 2.15 → A2 · Hay, Mercer IPE and public plans · experience 2.9 yrs vs the A2 market range 0–3</t>
        </is>
      </c>
      <c r="BD532" s="42">
        <f>IF(SUM(BM532,BN532,BO532,BP532,BQ532,BR532,BS532)=0,0,(BM532*BT532+BN532*BU532+BO532*BV532+BP532*BW532+BQ532*BX532+BR532*BY532+BS532*BZ532)/SUM(BM532,BN532,BO532,BP532,BQ532,BR532,BS532))</f>
        <v>0</v>
      </c>
      <c r="BE532" s="41" t="str">
        <f>IF(LEFT(AY532,1)="X",AY532,IF(OR(AY532="B+",AY532="C+"),INDEX(LAD_PC,MAX(1,MIN(14,MATCH(AY532,LAD_PC,0)+IF(BD532&gt;=0.5,1,IF(BD532&lt;=-0.5,-1,0))))),INDEX(LAD_STD,MAX(1,MIN(12,MATCH(AY532,LAD_STD,0)+IF(BD532&gt;=0.5,1,IF(BD532&lt;=-0.5,-1,0)))))))</f>
        <v>A3</v>
      </c>
      <c r="BF532" s="43" t="n"/>
      <c r="BG532" s="41" t="str">
        <f>IF(BF532&lt;&gt;"",BF532,BE532)</f>
        <v>A3</v>
      </c>
      <c r="BH532" s="40" t="str">
        <f>IFERROR(CHOOSE(INDEX(B_RANK,MATCH(BG532,B_LVL,0)),"Band A","Band B","B+ · Player-Coach","Band C","C+ · Player-Coach","Band D","Band E"),"Band X · Consultant")</f>
        <v>Band A</v>
      </c>
      <c r="BI532" s="40" t="str">
        <f>IF(BG532=AY532,"• Same",IF(INDEX(B_VAL,MATCH(BG532,B_LVL,0))&gt;INDEX(B_VAL,MATCH(AY532,B_LVL,0)),"▲ Up","▼ Down"))</f>
        <v>• Same</v>
      </c>
      <c r="BJ532" s="40" t="str">
        <f>IF(OR($M532="",$M532="—",$M532="Not in this file"),"",IFERROR(INDEX($BG$7:$BG$592,MATCH($M532,$D$7:$D$592,0)),""))</f>
        <v>B2</v>
      </c>
      <c r="BK532" s="40" t="str">
        <f>IFERROR(IF(BJ532="","—",IF(OR(LEFT(BG532,1)="X",LEFT(BJ532,1)="X"),"—",IF(AND(LEFT(BG532,1)="E",LEFT(BJ532,1)="E"),"Exception · Band E",IF(AND(INDEX(B_VAL,MATCH(BJ532,B_LVL,0))&gt;=7,INDEX(B_RANK,MATCH(BG532,B_LVL,0))&gt;=INDEX(B_RANK,MATCH(BJ532,B_LVL,0))),"⚠ Same band as a head manager",IF(INDEX(B_VAL,MATCH(BG532,B_LVL,0))&gt;=INDEX(B_VAL,MATCH(BJ532,B_LVL,0)),"⚠ At or above the manager's level","OK"))))),"—")</f>
        <v>OK</v>
      </c>
      <c r="BL532" s="43" t="n"/>
      <c r="BM532" s="44">
        <f>IFERROR(INDEX(LMH_PTS,MATCH(Y532,LMH_KEY,0)),0)</f>
        <v>9</v>
      </c>
      <c r="BN532" s="38">
        <f>IFERROR(INDEX(LMH_PTS,MATCH(Z532,LMH_KEY,0)),0)</f>
        <v>3</v>
      </c>
      <c r="BO532" s="38">
        <f>IFERROR(INDEX(LMH_PTS,MATCH(AA532,LMH_KEY,0)),0)</f>
        <v>1</v>
      </c>
      <c r="BP532" s="38">
        <f>IFERROR(INDEX(LMH_PTS,MATCH(AB532,LMH_KEY,0)),0)</f>
        <v>1</v>
      </c>
      <c r="BQ532" s="38">
        <f>IFERROR(INDEX(LMH_PTS,MATCH(AC532,LMH_KEY,0)),0)</f>
        <v>1</v>
      </c>
      <c r="BR532" s="38">
        <f>IFERROR(INDEX(LMH_PTS,MATCH(AD532,LMH_KEY,0)),0)</f>
        <v>1</v>
      </c>
      <c r="BS532" s="38">
        <f>IFERROR(INDEX(LMH_PTS,MATCH(AE532,LMH_KEY,0)),0)</f>
        <v>1</v>
      </c>
      <c r="BT532" s="38">
        <f>IFERROR(INDEX(LMH_STEP,MATCH(AF532,LMH_KEY,0)),0)</f>
        <v>0</v>
      </c>
      <c r="BU532" s="38">
        <f>IFERROR(INDEX(LMH_STEP,MATCH(AG532,LMH_KEY,0)),0)</f>
        <v>0</v>
      </c>
      <c r="BV532" s="38">
        <f>IFERROR(INDEX(LMH_STEP,MATCH(AH532,LMH_KEY,0)),0)</f>
        <v>0</v>
      </c>
      <c r="BW532" s="38">
        <f>IFERROR(INDEX(LMH_STEP,MATCH(AI532,LMH_KEY,0)),0)</f>
        <v>0</v>
      </c>
      <c r="BX532" s="38">
        <f>IFERROR(INDEX(LMH_STEP,MATCH(AJ532,LMH_KEY,0)),0)</f>
        <v>0</v>
      </c>
      <c r="BY532" s="38">
        <f>IFERROR(INDEX(LMH_STEP,MATCH(AK532,LMH_KEY,0)),0)</f>
        <v>0</v>
      </c>
      <c r="BZ532" s="38">
        <f>IFERROR(INDEX(LMH_STEP,MATCH(AL532,LMH_KEY,0)),0)</f>
        <v>0</v>
      </c>
      <c r="CA532" s="38" t="inlineStr">
        <is>
          <t>CARBON|Technology|Senior Software Engineer|A3|A</t>
        </is>
      </c>
    </row>
    <row r="533" ht="110" customHeight="1">
      <c r="A533" s="28" t="inlineStr">
        <is>
          <t>CARBON</t>
        </is>
      </c>
      <c r="B533" s="29" t="inlineStr">
        <is>
          <t>Technology</t>
        </is>
      </c>
      <c r="C533" s="29" t="n">
        <v>3</v>
      </c>
      <c r="D533" s="29" t="inlineStr">
        <is>
          <t>IRIS2146</t>
        </is>
      </c>
      <c r="E533" s="29" t="inlineStr">
        <is>
          <t>Parthviben Mistry</t>
        </is>
      </c>
      <c r="F533" s="29" t="inlineStr">
        <is>
          <t>Software Engineer</t>
        </is>
      </c>
      <c r="G533" s="29" t="inlineStr">
        <is>
          <t>Senior Software Engineer</t>
        </is>
      </c>
      <c r="H533" s="29" t="inlineStr">
        <is>
          <t>Engineering &amp; Development</t>
        </is>
      </c>
      <c r="I533" s="29" t="inlineStr">
        <is>
          <t>Full-Stack Development</t>
        </is>
      </c>
      <c r="J533" s="29" t="inlineStr">
        <is>
          <t>IC</t>
        </is>
      </c>
      <c r="K533" s="29" t="inlineStr">
        <is>
          <t>RC-085</t>
        </is>
      </c>
      <c r="L533" s="29" t="inlineStr">
        <is>
          <t>Siddhesh Kadam</t>
        </is>
      </c>
      <c r="M533" s="29" t="inlineStr">
        <is>
          <t>IRIS1535</t>
        </is>
      </c>
      <c r="N533" s="29" t="n">
        <v>4.3</v>
      </c>
      <c r="O533" s="29" t="n">
        <v>3.3</v>
      </c>
      <c r="P533" s="29" t="inlineStr">
        <is>
          <t>B.Tech</t>
        </is>
      </c>
      <c r="Q533" s="29" t="inlineStr">
        <is>
          <t>L3 – Professional / Associate</t>
        </is>
      </c>
      <c r="R533" s="29" t="inlineStr">
        <is>
          <t>A3</t>
        </is>
      </c>
      <c r="S533" s="30" t="inlineStr">
        <is>
          <t>20 of 20</t>
        </is>
      </c>
      <c r="T533" s="31" t="inlineStr">
        <is>
          <t>• Role / sub-team: Technology — Software Engineer.
• Core purpose: Input not given by Participant.
• Decision-making autonomy: Input not given by Participant.
• Is this something only they do: Input not given by Participant.</t>
        </is>
      </c>
      <c r="U533" s="31" t="inlineStr">
        <is>
          <t>Received · manager annual · 1.Maintain and enhance CARBON 3.0 frontend architecture to ensure ≥ 95% adherence to UI framework standards and reusable component design.
2.Improve frontend delivery efficiency by reducing UI development and rework effort by ≥ 30% YoY through reusable components and better design patterns.
3.Develop backend …</t>
        </is>
      </c>
      <c r="V533" s="31" t="inlineStr">
        <is>
          <t>Latest rating: Not rated · manager · 9-box: Trusted Professional · Readiness: No rating data</t>
        </is>
      </c>
      <c r="W533" s="31" t="inlineStr">
        <is>
          <t>C M · Au M · Ac M · L L · BI M · Exp H · 4.3 yrs vs 2–4 yrs · Edu M · B.Tech</t>
        </is>
      </c>
      <c r="X533" s="33" t="inlineStr">
        <is>
          <t>Open ▸</t>
        </is>
      </c>
      <c r="Y533" s="34" t="str">
        <f>IFERROR(INDEX(DL_C,MATCH($CA533,DL_KEY,0)),"M")</f>
        <v>H</v>
      </c>
      <c r="Z533" s="35" t="str">
        <f>IFERROR(INDEX(DL_Au,MATCH($CA533,DL_KEY,0)),"M")</f>
        <v>M</v>
      </c>
      <c r="AA533" s="35" t="str">
        <f>IFERROR(INDEX(DL_Ac,MATCH($CA533,DL_KEY,0)),"M")</f>
        <v>L</v>
      </c>
      <c r="AB533" s="35" t="str">
        <f>IFERROR(INDEX(DL_L,MATCH($CA533,DL_KEY,0)),"M")</f>
        <v>L</v>
      </c>
      <c r="AC533" s="35" t="str">
        <f>IFERROR(INDEX(DL_BI,MATCH($CA533,DL_KEY,0)),"M")</f>
        <v>L</v>
      </c>
      <c r="AD533" s="35" t="str">
        <f>IFERROR(INDEX(DL_Exp,MATCH($CA533,DL_KEY,0)),"M")</f>
        <v>L</v>
      </c>
      <c r="AE533" s="35" t="str">
        <f>IFERROR(INDEX(DL_Edu,MATCH($CA533,DL_KEY,0)),"M")</f>
        <v>L</v>
      </c>
      <c r="AF533" s="34" t="inlineStr">
        <is>
          <t>M</t>
        </is>
      </c>
      <c r="AG533" s="35" t="inlineStr">
        <is>
          <t>M</t>
        </is>
      </c>
      <c r="AH533" s="35" t="inlineStr">
        <is>
          <t>M</t>
        </is>
      </c>
      <c r="AI533" s="35" t="inlineStr">
        <is>
          <t>M</t>
        </is>
      </c>
      <c r="AJ533" s="35" t="inlineStr">
        <is>
          <t>M</t>
        </is>
      </c>
      <c r="AK533" s="35" t="inlineStr">
        <is>
          <t>M</t>
        </is>
      </c>
      <c r="AL533" s="35" t="inlineStr">
        <is>
          <t>M</t>
        </is>
      </c>
      <c r="AM533" s="36" t="n">
        <v>0.583</v>
      </c>
      <c r="AN533" s="37" t="n">
        <v>0.16</v>
      </c>
      <c r="AO533" s="37" t="n">
        <v>0.09</v>
      </c>
      <c r="AP533" s="37" t="n">
        <v>0</v>
      </c>
      <c r="AQ533" s="37" t="n">
        <v>0.063</v>
      </c>
      <c r="AR533" s="37" t="n">
        <v>0.06</v>
      </c>
      <c r="AS533" s="37" t="n">
        <v>0.04</v>
      </c>
      <c r="AT533" s="38" t="inlineStr">
        <is>
          <t>2–5</t>
        </is>
      </c>
      <c r="AU533" s="38" t="inlineStr">
        <is>
          <t>Graduate; relevant certification preferred</t>
        </is>
      </c>
      <c r="AV533" s="38" t="inlineStr">
        <is>
          <t>None · guides 1–3 juniors informally</t>
        </is>
      </c>
      <c r="AW533" s="38" t="inlineStr">
        <is>
          <t>P2 · SFIA 3 Apply</t>
        </is>
      </c>
      <c r="AX53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33" s="39" t="inlineStr">
        <is>
          <t>A3</t>
        </is>
      </c>
      <c r="AZ533" s="40" t="inlineStr">
        <is>
          <t>Band A · Practitioner · Senior Associate</t>
        </is>
      </c>
      <c r="BA533" s="40" t="inlineStr">
        <is>
          <t>Model A3 from the six ratings, the market-derived weights and rules R1–R13 · then No change · already below the manager</t>
        </is>
      </c>
      <c r="BB533" s="41" t="inlineStr">
        <is>
          <t>A3</t>
        </is>
      </c>
      <c r="BC533" s="40" t="inlineStr">
        <is>
          <t>The six ratings on the market-average weights of Band A · all tracks score 3.05 → A3 · Hay, Mercer IPE and public plans · experience 4.3 yrs vs the A3 market range 2–5</t>
        </is>
      </c>
      <c r="BD533" s="42">
        <f>IF(SUM(BM533,BN533,BO533,BP533,BQ533,BR533,BS533)=0,0,(BM533*BT533+BN533*BU533+BO533*BV533+BP533*BW533+BQ533*BX533+BR533*BY533+BS533*BZ533)/SUM(BM533,BN533,BO533,BP533,BQ533,BR533,BS533))</f>
        <v>0</v>
      </c>
      <c r="BE533" s="41" t="str">
        <f>IF(LEFT(AY533,1)="X",AY533,IF(OR(AY533="B+",AY533="C+"),INDEX(LAD_PC,MAX(1,MIN(14,MATCH(AY533,LAD_PC,0)+IF(BD533&gt;=0.5,1,IF(BD533&lt;=-0.5,-1,0))))),INDEX(LAD_STD,MAX(1,MIN(12,MATCH(AY533,LAD_STD,0)+IF(BD533&gt;=0.5,1,IF(BD533&lt;=-0.5,-1,0)))))))</f>
        <v>A3</v>
      </c>
      <c r="BF533" s="43" t="n"/>
      <c r="BG533" s="41" t="str">
        <f>IF(BF533&lt;&gt;"",BF533,BE533)</f>
        <v>A3</v>
      </c>
      <c r="BH533" s="40" t="str">
        <f>IFERROR(CHOOSE(INDEX(B_RANK,MATCH(BG533,B_LVL,0)),"Band A","Band B","B+ · Player-Coach","Band C","C+ · Player-Coach","Band D","Band E"),"Band X · Consultant")</f>
        <v>Band A</v>
      </c>
      <c r="BI533" s="40" t="str">
        <f>IF(BG533=AY533,"• Same",IF(INDEX(B_VAL,MATCH(BG533,B_LVL,0))&gt;INDEX(B_VAL,MATCH(AY533,B_LVL,0)),"▲ Up","▼ Down"))</f>
        <v>• Same</v>
      </c>
      <c r="BJ533" s="40" t="str">
        <f>IF(OR($M533="",$M533="—",$M533="Not in this file"),"",IFERROR(INDEX($BG$7:$BG$592,MATCH($M533,$D$7:$D$592,0)),""))</f>
        <v>B2</v>
      </c>
      <c r="BK533" s="40" t="str">
        <f>IFERROR(IF(BJ533="","—",IF(OR(LEFT(BG533,1)="X",LEFT(BJ533,1)="X"),"—",IF(AND(LEFT(BG533,1)="E",LEFT(BJ533,1)="E"),"Exception · Band E",IF(AND(INDEX(B_VAL,MATCH(BJ533,B_LVL,0))&gt;=7,INDEX(B_RANK,MATCH(BG533,B_LVL,0))&gt;=INDEX(B_RANK,MATCH(BJ533,B_LVL,0))),"⚠ Same band as a head manager",IF(INDEX(B_VAL,MATCH(BG533,B_LVL,0))&gt;=INDEX(B_VAL,MATCH(BJ533,B_LVL,0)),"⚠ At or above the manager's level","OK"))))),"—")</f>
        <v>OK</v>
      </c>
      <c r="BL533" s="43" t="n"/>
      <c r="BM533" s="44">
        <f>IFERROR(INDEX(LMH_PTS,MATCH(Y533,LMH_KEY,0)),0)</f>
        <v>9</v>
      </c>
      <c r="BN533" s="38">
        <f>IFERROR(INDEX(LMH_PTS,MATCH(Z533,LMH_KEY,0)),0)</f>
        <v>3</v>
      </c>
      <c r="BO533" s="38">
        <f>IFERROR(INDEX(LMH_PTS,MATCH(AA533,LMH_KEY,0)),0)</f>
        <v>1</v>
      </c>
      <c r="BP533" s="38">
        <f>IFERROR(INDEX(LMH_PTS,MATCH(AB533,LMH_KEY,0)),0)</f>
        <v>1</v>
      </c>
      <c r="BQ533" s="38">
        <f>IFERROR(INDEX(LMH_PTS,MATCH(AC533,LMH_KEY,0)),0)</f>
        <v>1</v>
      </c>
      <c r="BR533" s="38">
        <f>IFERROR(INDEX(LMH_PTS,MATCH(AD533,LMH_KEY,0)),0)</f>
        <v>1</v>
      </c>
      <c r="BS533" s="38">
        <f>IFERROR(INDEX(LMH_PTS,MATCH(AE533,LMH_KEY,0)),0)</f>
        <v>1</v>
      </c>
      <c r="BT533" s="38">
        <f>IFERROR(INDEX(LMH_STEP,MATCH(AF533,LMH_KEY,0)),0)</f>
        <v>0</v>
      </c>
      <c r="BU533" s="38">
        <f>IFERROR(INDEX(LMH_STEP,MATCH(AG533,LMH_KEY,0)),0)</f>
        <v>0</v>
      </c>
      <c r="BV533" s="38">
        <f>IFERROR(INDEX(LMH_STEP,MATCH(AH533,LMH_KEY,0)),0)</f>
        <v>0</v>
      </c>
      <c r="BW533" s="38">
        <f>IFERROR(INDEX(LMH_STEP,MATCH(AI533,LMH_KEY,0)),0)</f>
        <v>0</v>
      </c>
      <c r="BX533" s="38">
        <f>IFERROR(INDEX(LMH_STEP,MATCH(AJ533,LMH_KEY,0)),0)</f>
        <v>0</v>
      </c>
      <c r="BY533" s="38">
        <f>IFERROR(INDEX(LMH_STEP,MATCH(AK533,LMH_KEY,0)),0)</f>
        <v>0</v>
      </c>
      <c r="BZ533" s="38">
        <f>IFERROR(INDEX(LMH_STEP,MATCH(AL533,LMH_KEY,0)),0)</f>
        <v>0</v>
      </c>
      <c r="CA533" s="38" t="inlineStr">
        <is>
          <t>CARBON|Technology|Senior Software Engineer|A3|A</t>
        </is>
      </c>
    </row>
    <row r="534" ht="110" customHeight="1">
      <c r="A534" s="28" t="inlineStr">
        <is>
          <t>CARBON</t>
        </is>
      </c>
      <c r="B534" s="29" t="inlineStr">
        <is>
          <t>Technology</t>
        </is>
      </c>
      <c r="C534" s="29" t="n">
        <v>2</v>
      </c>
      <c r="D534" s="29" t="inlineStr">
        <is>
          <t>IRIS2495</t>
        </is>
      </c>
      <c r="E534" s="29" t="inlineStr">
        <is>
          <t>Manasvi Sharma</t>
        </is>
      </c>
      <c r="F534" s="29" t="inlineStr">
        <is>
          <t>Senior Software Engineer - AI/ML</t>
        </is>
      </c>
      <c r="G534" s="29" t="inlineStr">
        <is>
          <t>AI/ML Specialist – POD Lead</t>
        </is>
      </c>
      <c r="H534" s="29" t="inlineStr">
        <is>
          <t>Engineering &amp; Development</t>
        </is>
      </c>
      <c r="I534" s="29" t="inlineStr">
        <is>
          <t>AI / ML &amp; GenAI Engineering</t>
        </is>
      </c>
      <c r="J534" s="29" t="inlineStr">
        <is>
          <t>POD Lead</t>
        </is>
      </c>
      <c r="K534" s="29" t="inlineStr">
        <is>
          <t>RC-061</t>
        </is>
      </c>
      <c r="L534" s="29" t="inlineStr">
        <is>
          <t>Ashish Singhvi</t>
        </is>
      </c>
      <c r="M534" s="29" t="inlineStr">
        <is>
          <t>IRIS0249</t>
        </is>
      </c>
      <c r="N534" s="29" t="n">
        <v>7.5</v>
      </c>
      <c r="O534" s="29" t="n">
        <v>0.5</v>
      </c>
      <c r="P534" s="29" t="inlineStr">
        <is>
          <t>B.Sc</t>
        </is>
      </c>
      <c r="Q534" s="29" t="inlineStr">
        <is>
          <t>L4 – Senior</t>
        </is>
      </c>
      <c r="R534" s="29" t="inlineStr">
        <is>
          <t>B1</t>
        </is>
      </c>
      <c r="S534" s="30" t="inlineStr">
        <is>
          <t>20 of 20</t>
        </is>
      </c>
      <c r="T534" s="31" t="inlineStr">
        <is>
          <t>• Role / sub-team: Technology — Senior Software Engineer - AI/ML.
• Core purpose: I help my organisation in space of AI development,where AI can help further enhance the business &amp; it's use cases,along with building AI components which keeps AI tools within our own infrastructure.
• Decision-making autonomy: Can independently research methodology; …</t>
        </is>
      </c>
      <c r="U534" s="31" t="inlineStr">
        <is>
          <t>Received · manager annual · 1.Benchmark and evaluate minimum 5 open-source LLMs / SLMs against commercial models for IRIS AI use cases.
2.Reduce dependency on commercial AI APIs by ≥ 80% YoY through adoption of open LLMs / SLMs.
3.Fine-tune minimum 2 domain-specific SLMs / AI models for IRIS use cases · table, embedding, classification, …</t>
        </is>
      </c>
      <c r="V534" s="31" t="inlineStr">
        <is>
          <t>Latest rating: Not rated · manager · 9-box: Trusted Professional · Readiness: No rating data</t>
        </is>
      </c>
      <c r="W534" s="31" t="inlineStr">
        <is>
          <t>C M · Au L · Ac L · L L · BI M · Exp H · 7.5 yrs vs 4–7 yrs · Edu M · B.Sc</t>
        </is>
      </c>
      <c r="X534" s="33" t="inlineStr">
        <is>
          <t>Open ▸</t>
        </is>
      </c>
      <c r="Y534" s="34" t="str">
        <f>IFERROR(INDEX(DL_C,MATCH($CA534,DL_KEY,0)),"M")</f>
        <v>H</v>
      </c>
      <c r="Z534" s="35" t="str">
        <f>IFERROR(INDEX(DL_Au,MATCH($CA534,DL_KEY,0)),"M")</f>
        <v>M</v>
      </c>
      <c r="AA534" s="35" t="str">
        <f>IFERROR(INDEX(DL_Ac,MATCH($CA534,DL_KEY,0)),"M")</f>
        <v>L</v>
      </c>
      <c r="AB534" s="35" t="str">
        <f>IFERROR(INDEX(DL_L,MATCH($CA534,DL_KEY,0)),"M")</f>
        <v>L</v>
      </c>
      <c r="AC534" s="35" t="str">
        <f>IFERROR(INDEX(DL_BI,MATCH($CA534,DL_KEY,0)),"M")</f>
        <v>L</v>
      </c>
      <c r="AD534" s="35" t="str">
        <f>IFERROR(INDEX(DL_Exp,MATCH($CA534,DL_KEY,0)),"M")</f>
        <v>L</v>
      </c>
      <c r="AE534" s="35" t="str">
        <f>IFERROR(INDEX(DL_Edu,MATCH($CA534,DL_KEY,0)),"M")</f>
        <v>L</v>
      </c>
      <c r="AF534" s="34" t="inlineStr">
        <is>
          <t>M</t>
        </is>
      </c>
      <c r="AG534" s="35" t="inlineStr">
        <is>
          <t>M</t>
        </is>
      </c>
      <c r="AH534" s="35" t="inlineStr">
        <is>
          <t>M</t>
        </is>
      </c>
      <c r="AI534" s="35" t="inlineStr">
        <is>
          <t>M</t>
        </is>
      </c>
      <c r="AJ534" s="35" t="inlineStr">
        <is>
          <t>M</t>
        </is>
      </c>
      <c r="AK534" s="35" t="inlineStr">
        <is>
          <t>M</t>
        </is>
      </c>
      <c r="AL534" s="35" t="inlineStr">
        <is>
          <t>M</t>
        </is>
      </c>
      <c r="AM534" s="36" t="n">
        <v>0.513</v>
      </c>
      <c r="AN534" s="37" t="n">
        <v>0.173</v>
      </c>
      <c r="AO534" s="37" t="n">
        <v>0.09699999999999999</v>
      </c>
      <c r="AP534" s="37" t="n">
        <v>0.05</v>
      </c>
      <c r="AQ534" s="37" t="n">
        <v>0.07000000000000001</v>
      </c>
      <c r="AR534" s="37" t="n">
        <v>0.06</v>
      </c>
      <c r="AS534" s="37" t="n">
        <v>0.04</v>
      </c>
      <c r="AT534" s="38" t="inlineStr">
        <is>
          <t>4–8</t>
        </is>
      </c>
      <c r="AU534" s="38" t="inlineStr">
        <is>
          <t>Graduate + relevant qualification or certification preferred</t>
        </is>
      </c>
      <c r="AV534" s="38" t="inlineStr">
        <is>
          <t>IC: none · Team Lead: 3–5</t>
        </is>
      </c>
      <c r="AW534" s="38" t="inlineStr">
        <is>
          <t>P3 / M2 · SFIA 4 Enable</t>
        </is>
      </c>
      <c r="AX53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34" s="39" t="inlineStr">
        <is>
          <t>B1</t>
        </is>
      </c>
      <c r="AZ534" s="40" t="inlineStr">
        <is>
          <t>Band B · Specialist / Manager · Team Lead / Asst Manager</t>
        </is>
      </c>
      <c r="BA534" s="40" t="inlineStr">
        <is>
          <t>Model B1 from the six ratings, the market-derived weights and rules R1–R13 · then No change · already below the manager</t>
        </is>
      </c>
      <c r="BB534" s="41" t="inlineStr">
        <is>
          <t>A3</t>
        </is>
      </c>
      <c r="BC534" s="40" t="inlineStr">
        <is>
          <t>The six ratings on the market-average weights of Band B · Specialist / POD Lead score 3.49 → A3 · Hay, Mercer IPE and public plans · experience 7.5 yrs vs the A3 market range 2–5</t>
        </is>
      </c>
      <c r="BD534" s="42">
        <f>IF(SUM(BM534,BN534,BO534,BP534,BQ534,BR534,BS534)=0,0,(BM534*BT534+BN534*BU534+BO534*BV534+BP534*BW534+BQ534*BX534+BR534*BY534+BS534*BZ534)/SUM(BM534,BN534,BO534,BP534,BQ534,BR534,BS534))</f>
        <v>0</v>
      </c>
      <c r="BE534" s="41" t="str">
        <f>IF(LEFT(AY534,1)="X",AY534,IF(OR(AY534="B+",AY534="C+"),INDEX(LAD_PC,MAX(1,MIN(14,MATCH(AY534,LAD_PC,0)+IF(BD534&gt;=0.5,1,IF(BD534&lt;=-0.5,-1,0))))),INDEX(LAD_STD,MAX(1,MIN(12,MATCH(AY534,LAD_STD,0)+IF(BD534&gt;=0.5,1,IF(BD534&lt;=-0.5,-1,0)))))))</f>
        <v>B1</v>
      </c>
      <c r="BF534" s="43" t="n"/>
      <c r="BG534" s="41" t="str">
        <f>IF(BF534&lt;&gt;"",BF534,BE534)</f>
        <v>B1</v>
      </c>
      <c r="BH534" s="40" t="str">
        <f>IFERROR(CHOOSE(INDEX(B_RANK,MATCH(BG534,B_LVL,0)),"Band A","Band B","B+ · Player-Coach","Band C","C+ · Player-Coach","Band D","Band E"),"Band X · Consultant")</f>
        <v>Band B</v>
      </c>
      <c r="BI534" s="40" t="str">
        <f>IF(BG534=AY534,"• Same",IF(INDEX(B_VAL,MATCH(BG534,B_LVL,0))&gt;INDEX(B_VAL,MATCH(AY534,B_LVL,0)),"▲ Up","▼ Down"))</f>
        <v>• Same</v>
      </c>
      <c r="BJ534" s="40" t="str">
        <f>IF(OR($M534="",$M534="—",$M534="Not in this file"),"",IFERROR(INDEX($BG$7:$BG$592,MATCH($M534,$D$7:$D$592,0)),""))</f>
        <v>C2</v>
      </c>
      <c r="BK534" s="40" t="str">
        <f>IFERROR(IF(BJ534="","—",IF(OR(LEFT(BG534,1)="X",LEFT(BJ534,1)="X"),"—",IF(AND(LEFT(BG534,1)="E",LEFT(BJ534,1)="E"),"Exception · Band E",IF(AND(INDEX(B_VAL,MATCH(BJ534,B_LVL,0))&gt;=7,INDEX(B_RANK,MATCH(BG534,B_LVL,0))&gt;=INDEX(B_RANK,MATCH(BJ534,B_LVL,0))),"⚠ Same band as a head manager",IF(INDEX(B_VAL,MATCH(BG534,B_LVL,0))&gt;=INDEX(B_VAL,MATCH(BJ534,B_LVL,0)),"⚠ At or above the manager's level","OK"))))),"—")</f>
        <v>OK</v>
      </c>
      <c r="BL534" s="43" t="n"/>
      <c r="BM534" s="44">
        <f>IFERROR(INDEX(LMH_PTS,MATCH(Y534,LMH_KEY,0)),0)</f>
        <v>9</v>
      </c>
      <c r="BN534" s="38">
        <f>IFERROR(INDEX(LMH_PTS,MATCH(Z534,LMH_KEY,0)),0)</f>
        <v>3</v>
      </c>
      <c r="BO534" s="38">
        <f>IFERROR(INDEX(LMH_PTS,MATCH(AA534,LMH_KEY,0)),0)</f>
        <v>1</v>
      </c>
      <c r="BP534" s="38">
        <f>IFERROR(INDEX(LMH_PTS,MATCH(AB534,LMH_KEY,0)),0)</f>
        <v>1</v>
      </c>
      <c r="BQ534" s="38">
        <f>IFERROR(INDEX(LMH_PTS,MATCH(AC534,LMH_KEY,0)),0)</f>
        <v>1</v>
      </c>
      <c r="BR534" s="38">
        <f>IFERROR(INDEX(LMH_PTS,MATCH(AD534,LMH_KEY,0)),0)</f>
        <v>1</v>
      </c>
      <c r="BS534" s="38">
        <f>IFERROR(INDEX(LMH_PTS,MATCH(AE534,LMH_KEY,0)),0)</f>
        <v>1</v>
      </c>
      <c r="BT534" s="38">
        <f>IFERROR(INDEX(LMH_STEP,MATCH(AF534,LMH_KEY,0)),0)</f>
        <v>0</v>
      </c>
      <c r="BU534" s="38">
        <f>IFERROR(INDEX(LMH_STEP,MATCH(AG534,LMH_KEY,0)),0)</f>
        <v>0</v>
      </c>
      <c r="BV534" s="38">
        <f>IFERROR(INDEX(LMH_STEP,MATCH(AH534,LMH_KEY,0)),0)</f>
        <v>0</v>
      </c>
      <c r="BW534" s="38">
        <f>IFERROR(INDEX(LMH_STEP,MATCH(AI534,LMH_KEY,0)),0)</f>
        <v>0</v>
      </c>
      <c r="BX534" s="38">
        <f>IFERROR(INDEX(LMH_STEP,MATCH(AJ534,LMH_KEY,0)),0)</f>
        <v>0</v>
      </c>
      <c r="BY534" s="38">
        <f>IFERROR(INDEX(LMH_STEP,MATCH(AK534,LMH_KEY,0)),0)</f>
        <v>0</v>
      </c>
      <c r="BZ534" s="38">
        <f>IFERROR(INDEX(LMH_STEP,MATCH(AL534,LMH_KEY,0)),0)</f>
        <v>0</v>
      </c>
      <c r="CA534" s="38" t="inlineStr">
        <is>
          <t>CARBON|Technology|AI/ML Specialist – POD Lead|B1|B-IC</t>
        </is>
      </c>
    </row>
    <row r="535" ht="110" customHeight="1">
      <c r="A535" s="28" t="inlineStr">
        <is>
          <t>CARBON</t>
        </is>
      </c>
      <c r="B535" s="29" t="inlineStr">
        <is>
          <t>Technology</t>
        </is>
      </c>
      <c r="C535" s="29" t="n">
        <v>3</v>
      </c>
      <c r="D535" s="29" t="inlineStr">
        <is>
          <t>IRIS2407</t>
        </is>
      </c>
      <c r="E535" s="29" t="inlineStr">
        <is>
          <t>Ayush Dattatraya Tikone</t>
        </is>
      </c>
      <c r="F535" s="29" t="inlineStr">
        <is>
          <t>Software Engineer - AI/ML</t>
        </is>
      </c>
      <c r="G535" s="29" t="inlineStr">
        <is>
          <t>AI/ML Engineer</t>
        </is>
      </c>
      <c r="H535" s="29" t="inlineStr">
        <is>
          <t>Engineering &amp; Development</t>
        </is>
      </c>
      <c r="I535" s="29" t="inlineStr">
        <is>
          <t>AI / ML &amp; GenAI Engineering</t>
        </is>
      </c>
      <c r="J535" s="29" t="inlineStr">
        <is>
          <t>IC</t>
        </is>
      </c>
      <c r="K535" s="29" t="inlineStr">
        <is>
          <t>RC-059</t>
        </is>
      </c>
      <c r="L535" s="29" t="inlineStr">
        <is>
          <t>Manasvi Sharma</t>
        </is>
      </c>
      <c r="M535" s="29" t="inlineStr">
        <is>
          <t>IRIS2495</t>
        </is>
      </c>
      <c r="N535" s="29" t="n">
        <v>1.2</v>
      </c>
      <c r="O535" s="29" t="n">
        <v>1.2</v>
      </c>
      <c r="P535" s="29" t="inlineStr">
        <is>
          <t>B.Tech</t>
        </is>
      </c>
      <c r="Q535" s="29" t="inlineStr">
        <is>
          <t>L3 – Professional / Associate</t>
        </is>
      </c>
      <c r="R535" s="29" t="inlineStr">
        <is>
          <t>A2</t>
        </is>
      </c>
      <c r="S535" s="30" t="inlineStr">
        <is>
          <t>20 of 20</t>
        </is>
      </c>
      <c r="T535" s="31" t="inlineStr">
        <is>
          <t>Complexity: Evidence reads like A3: Designs and builds AI applications end to end: LLM/RAG solutions, pipelines, model testing and evaluation → moved up 0.5
Autonomy: Evidence reads like A2: Only cites prioritising own tasks → matches the start
Accountability: Evidence reads like A3: Accountable for AI/ML solutions built and maintained, including model …</t>
        </is>
      </c>
      <c r="U535" s="31" t="inlineStr">
        <is>
          <t>Received · manager annual · 1.Build strong AI/ML fundamentals by completing training in machine learning, deep learning, LLM basics, embeddings, RAG, and model evaluation.
2.Improve Python programming and logical problem-solving skills to independently implement and debug AI workflows.
3.Improve execution speed and reduce task completion …</t>
        </is>
      </c>
      <c r="V535" s="31" t="inlineStr">
        <is>
          <t>Latest rating: Not rated · manager · 9-box: Underperformer / Exit Risk · Readiness: No rating data</t>
        </is>
      </c>
      <c r="W535" s="31" t="inlineStr">
        <is>
          <t>C M · Au M · Ac M · L L · BI M · Exp M · 1.2 yrs vs 0–2 yrs · Edu M · B.Tech</t>
        </is>
      </c>
      <c r="X535" s="33" t="inlineStr">
        <is>
          <t>Open ▸</t>
        </is>
      </c>
      <c r="Y535" s="34" t="str">
        <f>IFERROR(INDEX(DL_C,MATCH($CA535,DL_KEY,0)),"M")</f>
        <v>H</v>
      </c>
      <c r="Z535" s="35" t="str">
        <f>IFERROR(INDEX(DL_Au,MATCH($CA535,DL_KEY,0)),"M")</f>
        <v>M</v>
      </c>
      <c r="AA535" s="35" t="str">
        <f>IFERROR(INDEX(DL_Ac,MATCH($CA535,DL_KEY,0)),"M")</f>
        <v>L</v>
      </c>
      <c r="AB535" s="35" t="str">
        <f>IFERROR(INDEX(DL_L,MATCH($CA535,DL_KEY,0)),"M")</f>
        <v>L</v>
      </c>
      <c r="AC535" s="35" t="str">
        <f>IFERROR(INDEX(DL_BI,MATCH($CA535,DL_KEY,0)),"M")</f>
        <v>L</v>
      </c>
      <c r="AD535" s="35" t="str">
        <f>IFERROR(INDEX(DL_Exp,MATCH($CA535,DL_KEY,0)),"M")</f>
        <v>L</v>
      </c>
      <c r="AE535" s="35" t="str">
        <f>IFERROR(INDEX(DL_Edu,MATCH($CA535,DL_KEY,0)),"M")</f>
        <v>L</v>
      </c>
      <c r="AF535" s="34" t="inlineStr">
        <is>
          <t>M</t>
        </is>
      </c>
      <c r="AG535" s="35" t="inlineStr">
        <is>
          <t>M</t>
        </is>
      </c>
      <c r="AH535" s="35" t="inlineStr">
        <is>
          <t>M</t>
        </is>
      </c>
      <c r="AI535" s="35" t="inlineStr">
        <is>
          <t>M</t>
        </is>
      </c>
      <c r="AJ535" s="35" t="inlineStr">
        <is>
          <t>M</t>
        </is>
      </c>
      <c r="AK535" s="35" t="inlineStr">
        <is>
          <t>M</t>
        </is>
      </c>
      <c r="AL535" s="35" t="inlineStr">
        <is>
          <t>M</t>
        </is>
      </c>
      <c r="AM535" s="36" t="n">
        <v>0.583</v>
      </c>
      <c r="AN535" s="37" t="n">
        <v>0.16</v>
      </c>
      <c r="AO535" s="37" t="n">
        <v>0.09</v>
      </c>
      <c r="AP535" s="37" t="n">
        <v>0</v>
      </c>
      <c r="AQ535" s="37" t="n">
        <v>0.063</v>
      </c>
      <c r="AR535" s="37" t="n">
        <v>0.06</v>
      </c>
      <c r="AS535" s="37" t="n">
        <v>0.04</v>
      </c>
      <c r="AT535" s="38" t="inlineStr">
        <is>
          <t>0–3</t>
        </is>
      </c>
      <c r="AU535" s="38" t="inlineStr">
        <is>
          <t>Graduate · or diploma with experience</t>
        </is>
      </c>
      <c r="AV535" s="38" t="inlineStr">
        <is>
          <t>No direct reports</t>
        </is>
      </c>
      <c r="AW535" s="38" t="inlineStr">
        <is>
          <t>P1–P2 · SFIA 2 Assist</t>
        </is>
      </c>
      <c r="AX53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35" s="39" t="inlineStr">
        <is>
          <t>A2</t>
        </is>
      </c>
      <c r="AZ535" s="40" t="inlineStr">
        <is>
          <t>Band A · Practitioner · Associate</t>
        </is>
      </c>
      <c r="BA535" s="40" t="inlineStr">
        <is>
          <t>Model A2 from the six ratings, the market-derived weights and rules R1–R13 · then No change · already below the manager</t>
        </is>
      </c>
      <c r="BB535" s="41" t="inlineStr">
        <is>
          <t>A2</t>
        </is>
      </c>
      <c r="BC535" s="40" t="inlineStr">
        <is>
          <t>The six ratings on the market-average weights of Band A · all tracks score 2.37 → A2 · Hay, Mercer IPE and public plans · experience 1.2 yrs vs the A2 market range 0–3</t>
        </is>
      </c>
      <c r="BD535" s="42">
        <f>IF(SUM(BM535,BN535,BO535,BP535,BQ535,BR535,BS535)=0,0,(BM535*BT535+BN535*BU535+BO535*BV535+BP535*BW535+BQ535*BX535+BR535*BY535+BS535*BZ535)/SUM(BM535,BN535,BO535,BP535,BQ535,BR535,BS535))</f>
        <v>0</v>
      </c>
      <c r="BE535" s="41" t="str">
        <f>IF(LEFT(AY535,1)="X",AY535,IF(OR(AY535="B+",AY535="C+"),INDEX(LAD_PC,MAX(1,MIN(14,MATCH(AY535,LAD_PC,0)+IF(BD535&gt;=0.5,1,IF(BD535&lt;=-0.5,-1,0))))),INDEX(LAD_STD,MAX(1,MIN(12,MATCH(AY535,LAD_STD,0)+IF(BD535&gt;=0.5,1,IF(BD535&lt;=-0.5,-1,0)))))))</f>
        <v>A2</v>
      </c>
      <c r="BF535" s="43" t="n"/>
      <c r="BG535" s="41" t="str">
        <f>IF(BF535&lt;&gt;"",BF535,BE535)</f>
        <v>A2</v>
      </c>
      <c r="BH535" s="40" t="str">
        <f>IFERROR(CHOOSE(INDEX(B_RANK,MATCH(BG535,B_LVL,0)),"Band A","Band B","B+ · Player-Coach","Band C","C+ · Player-Coach","Band D","Band E"),"Band X · Consultant")</f>
        <v>Band A</v>
      </c>
      <c r="BI535" s="40" t="str">
        <f>IF(BG535=AY535,"• Same",IF(INDEX(B_VAL,MATCH(BG535,B_LVL,0))&gt;INDEX(B_VAL,MATCH(AY535,B_LVL,0)),"▲ Up","▼ Down"))</f>
        <v>• Same</v>
      </c>
      <c r="BJ535" s="40" t="str">
        <f>IF(OR($M535="",$M535="—",$M535="Not in this file"),"",IFERROR(INDEX($BG$7:$BG$592,MATCH($M535,$D$7:$D$592,0)),""))</f>
        <v>B1</v>
      </c>
      <c r="BK535" s="40" t="str">
        <f>IFERROR(IF(BJ535="","—",IF(OR(LEFT(BG535,1)="X",LEFT(BJ535,1)="X"),"—",IF(AND(LEFT(BG535,1)="E",LEFT(BJ535,1)="E"),"Exception · Band E",IF(AND(INDEX(B_VAL,MATCH(BJ535,B_LVL,0))&gt;=7,INDEX(B_RANK,MATCH(BG535,B_LVL,0))&gt;=INDEX(B_RANK,MATCH(BJ535,B_LVL,0))),"⚠ Same band as a head manager",IF(INDEX(B_VAL,MATCH(BG535,B_LVL,0))&gt;=INDEX(B_VAL,MATCH(BJ535,B_LVL,0)),"⚠ At or above the manager's level","OK"))))),"—")</f>
        <v>OK</v>
      </c>
      <c r="BL535" s="43" t="n"/>
      <c r="BM535" s="44">
        <f>IFERROR(INDEX(LMH_PTS,MATCH(Y535,LMH_KEY,0)),0)</f>
        <v>9</v>
      </c>
      <c r="BN535" s="38">
        <f>IFERROR(INDEX(LMH_PTS,MATCH(Z535,LMH_KEY,0)),0)</f>
        <v>3</v>
      </c>
      <c r="BO535" s="38">
        <f>IFERROR(INDEX(LMH_PTS,MATCH(AA535,LMH_KEY,0)),0)</f>
        <v>1</v>
      </c>
      <c r="BP535" s="38">
        <f>IFERROR(INDEX(LMH_PTS,MATCH(AB535,LMH_KEY,0)),0)</f>
        <v>1</v>
      </c>
      <c r="BQ535" s="38">
        <f>IFERROR(INDEX(LMH_PTS,MATCH(AC535,LMH_KEY,0)),0)</f>
        <v>1</v>
      </c>
      <c r="BR535" s="38">
        <f>IFERROR(INDEX(LMH_PTS,MATCH(AD535,LMH_KEY,0)),0)</f>
        <v>1</v>
      </c>
      <c r="BS535" s="38">
        <f>IFERROR(INDEX(LMH_PTS,MATCH(AE535,LMH_KEY,0)),0)</f>
        <v>1</v>
      </c>
      <c r="BT535" s="38">
        <f>IFERROR(INDEX(LMH_STEP,MATCH(AF535,LMH_KEY,0)),0)</f>
        <v>0</v>
      </c>
      <c r="BU535" s="38">
        <f>IFERROR(INDEX(LMH_STEP,MATCH(AG535,LMH_KEY,0)),0)</f>
        <v>0</v>
      </c>
      <c r="BV535" s="38">
        <f>IFERROR(INDEX(LMH_STEP,MATCH(AH535,LMH_KEY,0)),0)</f>
        <v>0</v>
      </c>
      <c r="BW535" s="38">
        <f>IFERROR(INDEX(LMH_STEP,MATCH(AI535,LMH_KEY,0)),0)</f>
        <v>0</v>
      </c>
      <c r="BX535" s="38">
        <f>IFERROR(INDEX(LMH_STEP,MATCH(AJ535,LMH_KEY,0)),0)</f>
        <v>0</v>
      </c>
      <c r="BY535" s="38">
        <f>IFERROR(INDEX(LMH_STEP,MATCH(AK535,LMH_KEY,0)),0)</f>
        <v>0</v>
      </c>
      <c r="BZ535" s="38">
        <f>IFERROR(INDEX(LMH_STEP,MATCH(AL535,LMH_KEY,0)),0)</f>
        <v>0</v>
      </c>
      <c r="CA535" s="38" t="inlineStr">
        <is>
          <t>CARBON|Technology|AI/ML Engineer|A2|A</t>
        </is>
      </c>
    </row>
    <row r="536" ht="110" customHeight="1">
      <c r="A536" s="28" t="inlineStr">
        <is>
          <t>CARBON</t>
        </is>
      </c>
      <c r="B536" s="29" t="inlineStr">
        <is>
          <t>Technology</t>
        </is>
      </c>
      <c r="C536" s="29" t="n">
        <v>2</v>
      </c>
      <c r="D536" s="29" t="inlineStr">
        <is>
          <t>IRIS2509</t>
        </is>
      </c>
      <c r="E536" s="29" t="inlineStr">
        <is>
          <t>Mandar Ukrulkar</t>
        </is>
      </c>
      <c r="F536" s="29" t="inlineStr">
        <is>
          <t>Software Engineer - AI/ML</t>
        </is>
      </c>
      <c r="G536" s="29" t="inlineStr">
        <is>
          <t>Senior AI/ML Engineer</t>
        </is>
      </c>
      <c r="H536" s="29" t="inlineStr">
        <is>
          <t>Engineering &amp; Development</t>
        </is>
      </c>
      <c r="I536" s="29" t="inlineStr">
        <is>
          <t>AI / ML &amp; GenAI Engineering</t>
        </is>
      </c>
      <c r="J536" s="29" t="inlineStr">
        <is>
          <t>IC</t>
        </is>
      </c>
      <c r="K536" s="29" t="inlineStr">
        <is>
          <t>RC-060</t>
        </is>
      </c>
      <c r="L536" s="29" t="inlineStr">
        <is>
          <t>Ashish Singhvi</t>
        </is>
      </c>
      <c r="M536" s="29" t="inlineStr">
        <is>
          <t>IRIS0249</t>
        </is>
      </c>
      <c r="N536" s="29" t="n">
        <v>4.4</v>
      </c>
      <c r="O536" s="29" t="n">
        <v>0.4</v>
      </c>
      <c r="P536" s="29" t="inlineStr">
        <is>
          <t>B.E</t>
        </is>
      </c>
      <c r="Q536" s="29" t="inlineStr">
        <is>
          <t>L3 – Professional / Associate</t>
        </is>
      </c>
      <c r="R536" s="29" t="inlineStr">
        <is>
          <t>A3</t>
        </is>
      </c>
      <c r="S536" s="30" t="inlineStr">
        <is>
          <t>20 of 20</t>
        </is>
      </c>
      <c r="T536" s="31" t="inlineStr">
        <is>
          <t>Complexity: Evidence reads like A2: Builds AI backends and APIs in Python; very little detail on the problems solved → matches the start
Autonomy: Evidence reads like A2: Only cites debugging as an independent decision → moved down 0.5
Accountability: Evidence reads like A2: Accountable for quality of AI-generated content; errors are root-caused and …</t>
        </is>
      </c>
      <c r="U536" s="31" t="inlineStr">
        <is>
          <t>Received · manager annual · 1.Benchmark and evaluate minimum 5 open-source LLMs / SLMs against commercial models for IRIS AI use cases.
2.Reduce dependency on commercial AI APIs by ≥ 80% YoY through adoption of open LLMs / SLMs.
3.Fine-tune minimum 2 domain-specific SLMs / AI models for IRIS use cases · table, embedding, classification, …</t>
        </is>
      </c>
      <c r="V536" s="31" t="inlineStr">
        <is>
          <t>Latest rating: Not rated · manager · 9-box: Future Leader · Readiness: No rating data</t>
        </is>
      </c>
      <c r="W536" s="31" t="inlineStr">
        <is>
          <t>C L · Au L · Ac L · L L · BI L · Exp M · 4.4 yrs vs 4–7 yrs · Edu M · B.E</t>
        </is>
      </c>
      <c r="X536" s="33" t="inlineStr">
        <is>
          <t>Open ▸</t>
        </is>
      </c>
      <c r="Y536" s="34" t="str">
        <f>IFERROR(INDEX(DL_C,MATCH($CA536,DL_KEY,0)),"M")</f>
        <v>H</v>
      </c>
      <c r="Z536" s="35" t="str">
        <f>IFERROR(INDEX(DL_Au,MATCH($CA536,DL_KEY,0)),"M")</f>
        <v>M</v>
      </c>
      <c r="AA536" s="35" t="str">
        <f>IFERROR(INDEX(DL_Ac,MATCH($CA536,DL_KEY,0)),"M")</f>
        <v>L</v>
      </c>
      <c r="AB536" s="35" t="str">
        <f>IFERROR(INDEX(DL_L,MATCH($CA536,DL_KEY,0)),"M")</f>
        <v>L</v>
      </c>
      <c r="AC536" s="35" t="str">
        <f>IFERROR(INDEX(DL_BI,MATCH($CA536,DL_KEY,0)),"M")</f>
        <v>L</v>
      </c>
      <c r="AD536" s="35" t="str">
        <f>IFERROR(INDEX(DL_Exp,MATCH($CA536,DL_KEY,0)),"M")</f>
        <v>L</v>
      </c>
      <c r="AE536" s="35" t="str">
        <f>IFERROR(INDEX(DL_Edu,MATCH($CA536,DL_KEY,0)),"M")</f>
        <v>L</v>
      </c>
      <c r="AF536" s="34" t="inlineStr">
        <is>
          <t>M</t>
        </is>
      </c>
      <c r="AG536" s="35" t="inlineStr">
        <is>
          <t>M</t>
        </is>
      </c>
      <c r="AH536" s="35" t="inlineStr">
        <is>
          <t>M</t>
        </is>
      </c>
      <c r="AI536" s="35" t="inlineStr">
        <is>
          <t>M</t>
        </is>
      </c>
      <c r="AJ536" s="35" t="inlineStr">
        <is>
          <t>M</t>
        </is>
      </c>
      <c r="AK536" s="35" t="inlineStr">
        <is>
          <t>M</t>
        </is>
      </c>
      <c r="AL536" s="35" t="inlineStr">
        <is>
          <t>M</t>
        </is>
      </c>
      <c r="AM536" s="36" t="n">
        <v>0.513</v>
      </c>
      <c r="AN536" s="37" t="n">
        <v>0.173</v>
      </c>
      <c r="AO536" s="37" t="n">
        <v>0.09699999999999999</v>
      </c>
      <c r="AP536" s="37" t="n">
        <v>0.05</v>
      </c>
      <c r="AQ536" s="37" t="n">
        <v>0.07000000000000001</v>
      </c>
      <c r="AR536" s="37" t="n">
        <v>0.06</v>
      </c>
      <c r="AS536" s="37" t="n">
        <v>0.04</v>
      </c>
      <c r="AT536" s="38" t="inlineStr">
        <is>
          <t>4–8</t>
        </is>
      </c>
      <c r="AU536" s="38" t="inlineStr">
        <is>
          <t>Graduate + relevant qualification or certification preferred</t>
        </is>
      </c>
      <c r="AV536" s="38" t="inlineStr">
        <is>
          <t>IC: none · Team Lead: 3–5</t>
        </is>
      </c>
      <c r="AW536" s="38" t="inlineStr">
        <is>
          <t>P3 / M2 · SFIA 4 Enable</t>
        </is>
      </c>
      <c r="AX53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36" s="39" t="inlineStr">
        <is>
          <t>B1</t>
        </is>
      </c>
      <c r="AZ536" s="40" t="inlineStr">
        <is>
          <t>Band B · Specialist / Manager · Specialist</t>
        </is>
      </c>
      <c r="BA536" s="40" t="inlineStr">
        <is>
          <t>Model A3 from the six ratings, the market-derived weights and rules R1–R13 · then Leads people at or above their own level · A3 → B1 Team Lead</t>
        </is>
      </c>
      <c r="BB536" s="41" t="inlineStr">
        <is>
          <t>A2</t>
        </is>
      </c>
      <c r="BC536" s="40" t="inlineStr">
        <is>
          <t>The six ratings on the market-average weights of Band B · Specialist / POD Lead score 2.37 → A2 · Hay, Mercer IPE and public plans · experience 4.4 yrs vs the A2 market range 0–3</t>
        </is>
      </c>
      <c r="BD536" s="42">
        <f>IF(SUM(BM536,BN536,BO536,BP536,BQ536,BR536,BS536)=0,0,(BM536*BT536+BN536*BU536+BO536*BV536+BP536*BW536+BQ536*BX536+BR536*BY536+BS536*BZ536)/SUM(BM536,BN536,BO536,BP536,BQ536,BR536,BS536))</f>
        <v>0</v>
      </c>
      <c r="BE536" s="41" t="str">
        <f>IF(LEFT(AY536,1)="X",AY536,IF(OR(AY536="B+",AY536="C+"),INDEX(LAD_PC,MAX(1,MIN(14,MATCH(AY536,LAD_PC,0)+IF(BD536&gt;=0.5,1,IF(BD536&lt;=-0.5,-1,0))))),INDEX(LAD_STD,MAX(1,MIN(12,MATCH(AY536,LAD_STD,0)+IF(BD536&gt;=0.5,1,IF(BD536&lt;=-0.5,-1,0)))))))</f>
        <v>B1</v>
      </c>
      <c r="BF536" s="43" t="n"/>
      <c r="BG536" s="41" t="str">
        <f>IF(BF536&lt;&gt;"",BF536,BE536)</f>
        <v>B1</v>
      </c>
      <c r="BH536" s="40" t="str">
        <f>IFERROR(CHOOSE(INDEX(B_RANK,MATCH(BG536,B_LVL,0)),"Band A","Band B","B+ · Player-Coach","Band C","C+ · Player-Coach","Band D","Band E"),"Band X · Consultant")</f>
        <v>Band B</v>
      </c>
      <c r="BI536" s="40" t="str">
        <f>IF(BG536=AY536,"• Same",IF(INDEX(B_VAL,MATCH(BG536,B_LVL,0))&gt;INDEX(B_VAL,MATCH(AY536,B_LVL,0)),"▲ Up","▼ Down"))</f>
        <v>• Same</v>
      </c>
      <c r="BJ536" s="40" t="str">
        <f>IF(OR($M536="",$M536="—",$M536="Not in this file"),"",IFERROR(INDEX($BG$7:$BG$592,MATCH($M536,$D$7:$D$592,0)),""))</f>
        <v>C2</v>
      </c>
      <c r="BK536" s="40" t="str">
        <f>IFERROR(IF(BJ536="","—",IF(OR(LEFT(BG536,1)="X",LEFT(BJ536,1)="X"),"—",IF(AND(LEFT(BG536,1)="E",LEFT(BJ536,1)="E"),"Exception · Band E",IF(AND(INDEX(B_VAL,MATCH(BJ536,B_LVL,0))&gt;=7,INDEX(B_RANK,MATCH(BG536,B_LVL,0))&gt;=INDEX(B_RANK,MATCH(BJ536,B_LVL,0))),"⚠ Same band as a head manager",IF(INDEX(B_VAL,MATCH(BG536,B_LVL,0))&gt;=INDEX(B_VAL,MATCH(BJ536,B_LVL,0)),"⚠ At or above the manager's level","OK"))))),"—")</f>
        <v>OK</v>
      </c>
      <c r="BL536" s="43" t="n"/>
      <c r="BM536" s="44">
        <f>IFERROR(INDEX(LMH_PTS,MATCH(Y536,LMH_KEY,0)),0)</f>
        <v>9</v>
      </c>
      <c r="BN536" s="38">
        <f>IFERROR(INDEX(LMH_PTS,MATCH(Z536,LMH_KEY,0)),0)</f>
        <v>3</v>
      </c>
      <c r="BO536" s="38">
        <f>IFERROR(INDEX(LMH_PTS,MATCH(AA536,LMH_KEY,0)),0)</f>
        <v>1</v>
      </c>
      <c r="BP536" s="38">
        <f>IFERROR(INDEX(LMH_PTS,MATCH(AB536,LMH_KEY,0)),0)</f>
        <v>1</v>
      </c>
      <c r="BQ536" s="38">
        <f>IFERROR(INDEX(LMH_PTS,MATCH(AC536,LMH_KEY,0)),0)</f>
        <v>1</v>
      </c>
      <c r="BR536" s="38">
        <f>IFERROR(INDEX(LMH_PTS,MATCH(AD536,LMH_KEY,0)),0)</f>
        <v>1</v>
      </c>
      <c r="BS536" s="38">
        <f>IFERROR(INDEX(LMH_PTS,MATCH(AE536,LMH_KEY,0)),0)</f>
        <v>1</v>
      </c>
      <c r="BT536" s="38">
        <f>IFERROR(INDEX(LMH_STEP,MATCH(AF536,LMH_KEY,0)),0)</f>
        <v>0</v>
      </c>
      <c r="BU536" s="38">
        <f>IFERROR(INDEX(LMH_STEP,MATCH(AG536,LMH_KEY,0)),0)</f>
        <v>0</v>
      </c>
      <c r="BV536" s="38">
        <f>IFERROR(INDEX(LMH_STEP,MATCH(AH536,LMH_KEY,0)),0)</f>
        <v>0</v>
      </c>
      <c r="BW536" s="38">
        <f>IFERROR(INDEX(LMH_STEP,MATCH(AI536,LMH_KEY,0)),0)</f>
        <v>0</v>
      </c>
      <c r="BX536" s="38">
        <f>IFERROR(INDEX(LMH_STEP,MATCH(AJ536,LMH_KEY,0)),0)</f>
        <v>0</v>
      </c>
      <c r="BY536" s="38">
        <f>IFERROR(INDEX(LMH_STEP,MATCH(AK536,LMH_KEY,0)),0)</f>
        <v>0</v>
      </c>
      <c r="BZ536" s="38">
        <f>IFERROR(INDEX(LMH_STEP,MATCH(AL536,LMH_KEY,0)),0)</f>
        <v>0</v>
      </c>
      <c r="CA536" s="38" t="inlineStr">
        <is>
          <t>CARBON|Technology|Senior AI/ML Engineer|B1|B-IC</t>
        </is>
      </c>
    </row>
    <row r="537" ht="110" customHeight="1">
      <c r="A537" s="28" t="inlineStr">
        <is>
          <t>CARBON</t>
        </is>
      </c>
      <c r="B537" s="29" t="inlineStr">
        <is>
          <t>Technology</t>
        </is>
      </c>
      <c r="C537" s="29" t="n">
        <v>3</v>
      </c>
      <c r="D537" s="29" t="inlineStr">
        <is>
          <t>IRIS2406</t>
        </is>
      </c>
      <c r="E537" s="29" t="inlineStr">
        <is>
          <t>Saurabh Kadam</t>
        </is>
      </c>
      <c r="F537" s="29" t="inlineStr">
        <is>
          <t>Software Engineer - AI/ML</t>
        </is>
      </c>
      <c r="G537" s="29" t="inlineStr">
        <is>
          <t>Senior AI/ML Engineer</t>
        </is>
      </c>
      <c r="H537" s="29" t="inlineStr">
        <is>
          <t>Engineering &amp; Development</t>
        </is>
      </c>
      <c r="I537" s="29" t="inlineStr">
        <is>
          <t>AI / ML &amp; GenAI Engineering</t>
        </is>
      </c>
      <c r="J537" s="29" t="inlineStr">
        <is>
          <t>IC</t>
        </is>
      </c>
      <c r="K537" s="29" t="inlineStr">
        <is>
          <t>RC-060</t>
        </is>
      </c>
      <c r="L537" s="29" t="inlineStr">
        <is>
          <t>Mandar Ukrulkar</t>
        </is>
      </c>
      <c r="M537" s="29" t="inlineStr">
        <is>
          <t>IRIS2509</t>
        </is>
      </c>
      <c r="N537" s="29" t="n">
        <v>3.2</v>
      </c>
      <c r="O537" s="29" t="n">
        <v>1.2</v>
      </c>
      <c r="P537" s="29" t="inlineStr">
        <is>
          <t>M.Sc</t>
        </is>
      </c>
      <c r="Q537" s="29" t="inlineStr">
        <is>
          <t>L3 – Professional / Associate</t>
        </is>
      </c>
      <c r="R537" s="29" t="inlineStr">
        <is>
          <t>A3</t>
        </is>
      </c>
      <c r="S537" s="30" t="inlineStr">
        <is>
          <t>0 of 20</t>
        </is>
      </c>
      <c r="T537" s="31"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t>
        </is>
      </c>
      <c r="U537" s="31" t="inlineStr">
        <is>
          <t>Received · manager annual · 1.Improve AI/ML fundamentals by successfully completing training in machine learning, deep learning, model evaluation, and fine-tuning techniques.
2.Improve model experimentation quality by achieving ≥ 80% reproducibility across training runs with proper documentation of datasets, parameters, and results.
3.Contribute …</t>
        </is>
      </c>
      <c r="V537" s="31" t="inlineStr">
        <is>
          <t>Latest rating: 4 · Potential: High · 9-box: Trusted Professional · Readiness: Ready now</t>
        </is>
      </c>
      <c r="W537" s="31" t="inlineStr">
        <is>
          <t>C L · Au L · Ac L · L L · BI L · Exp M · 3.2 yrs vs 2–4 yrs · Edu H · M.Sc</t>
        </is>
      </c>
      <c r="X537" s="33" t="inlineStr">
        <is>
          <t>Open ▸</t>
        </is>
      </c>
      <c r="Y537" s="34" t="str">
        <f>IFERROR(INDEX(DL_C,MATCH($CA537,DL_KEY,0)),"M")</f>
        <v>H</v>
      </c>
      <c r="Z537" s="35" t="str">
        <f>IFERROR(INDEX(DL_Au,MATCH($CA537,DL_KEY,0)),"M")</f>
        <v>M</v>
      </c>
      <c r="AA537" s="35" t="str">
        <f>IFERROR(INDEX(DL_Ac,MATCH($CA537,DL_KEY,0)),"M")</f>
        <v>L</v>
      </c>
      <c r="AB537" s="35" t="str">
        <f>IFERROR(INDEX(DL_L,MATCH($CA537,DL_KEY,0)),"M")</f>
        <v>L</v>
      </c>
      <c r="AC537" s="35" t="str">
        <f>IFERROR(INDEX(DL_BI,MATCH($CA537,DL_KEY,0)),"M")</f>
        <v>L</v>
      </c>
      <c r="AD537" s="35" t="str">
        <f>IFERROR(INDEX(DL_Exp,MATCH($CA537,DL_KEY,0)),"M")</f>
        <v>L</v>
      </c>
      <c r="AE537" s="35" t="str">
        <f>IFERROR(INDEX(DL_Edu,MATCH($CA537,DL_KEY,0)),"M")</f>
        <v>L</v>
      </c>
      <c r="AF537" s="34" t="inlineStr">
        <is>
          <t>M</t>
        </is>
      </c>
      <c r="AG537" s="35" t="inlineStr">
        <is>
          <t>M</t>
        </is>
      </c>
      <c r="AH537" s="35" t="inlineStr">
        <is>
          <t>M</t>
        </is>
      </c>
      <c r="AI537" s="35" t="inlineStr">
        <is>
          <t>M</t>
        </is>
      </c>
      <c r="AJ537" s="35" t="inlineStr">
        <is>
          <t>M</t>
        </is>
      </c>
      <c r="AK537" s="35" t="inlineStr">
        <is>
          <t>M</t>
        </is>
      </c>
      <c r="AL537" s="35" t="inlineStr">
        <is>
          <t>M</t>
        </is>
      </c>
      <c r="AM537" s="36" t="n">
        <v>0.583</v>
      </c>
      <c r="AN537" s="37" t="n">
        <v>0.16</v>
      </c>
      <c r="AO537" s="37" t="n">
        <v>0.09</v>
      </c>
      <c r="AP537" s="37" t="n">
        <v>0</v>
      </c>
      <c r="AQ537" s="37" t="n">
        <v>0.063</v>
      </c>
      <c r="AR537" s="37" t="n">
        <v>0.06</v>
      </c>
      <c r="AS537" s="37" t="n">
        <v>0.04</v>
      </c>
      <c r="AT537" s="38" t="inlineStr">
        <is>
          <t>2–5</t>
        </is>
      </c>
      <c r="AU537" s="38" t="inlineStr">
        <is>
          <t>Graduate; relevant certification preferred</t>
        </is>
      </c>
      <c r="AV537" s="38" t="inlineStr">
        <is>
          <t>None · guides 1–3 juniors informally</t>
        </is>
      </c>
      <c r="AW537" s="38" t="inlineStr">
        <is>
          <t>P2 · SFIA 3 Apply</t>
        </is>
      </c>
      <c r="AX53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37" s="39" t="inlineStr">
        <is>
          <t>A3</t>
        </is>
      </c>
      <c r="AZ537" s="40" t="inlineStr">
        <is>
          <t>Band A · Practitioner · Senior Associate</t>
        </is>
      </c>
      <c r="BA537" s="40" t="inlineStr">
        <is>
          <t>Model A3 from the six ratings, the market-derived weights and rules R1–R13 · then No change · already below the manager</t>
        </is>
      </c>
      <c r="BB537" s="41" t="inlineStr">
        <is>
          <t>A2</t>
        </is>
      </c>
      <c r="BC537" s="40" t="inlineStr">
        <is>
          <t>The six ratings on the market-average weights of Band A · all tracks score 2.15 → A2 · Hay, Mercer IPE and public plans · experience 3.2 yrs vs the A2 market range 0–3</t>
        </is>
      </c>
      <c r="BD537" s="42">
        <f>IF(SUM(BM537,BN537,BO537,BP537,BQ537,BR537,BS537)=0,0,(BM537*BT537+BN537*BU537+BO537*BV537+BP537*BW537+BQ537*BX537+BR537*BY537+BS537*BZ537)/SUM(BM537,BN537,BO537,BP537,BQ537,BR537,BS537))</f>
        <v>0</v>
      </c>
      <c r="BE537" s="41" t="str">
        <f>IF(LEFT(AY537,1)="X",AY537,IF(OR(AY537="B+",AY537="C+"),INDEX(LAD_PC,MAX(1,MIN(14,MATCH(AY537,LAD_PC,0)+IF(BD537&gt;=0.5,1,IF(BD537&lt;=-0.5,-1,0))))),INDEX(LAD_STD,MAX(1,MIN(12,MATCH(AY537,LAD_STD,0)+IF(BD537&gt;=0.5,1,IF(BD537&lt;=-0.5,-1,0)))))))</f>
        <v>A3</v>
      </c>
      <c r="BF537" s="43" t="n"/>
      <c r="BG537" s="41" t="str">
        <f>IF(BF537&lt;&gt;"",BF537,BE537)</f>
        <v>A3</v>
      </c>
      <c r="BH537" s="40" t="str">
        <f>IFERROR(CHOOSE(INDEX(B_RANK,MATCH(BG537,B_LVL,0)),"Band A","Band B","B+ · Player-Coach","Band C","C+ · Player-Coach","Band D","Band E"),"Band X · Consultant")</f>
        <v>Band A</v>
      </c>
      <c r="BI537" s="40" t="str">
        <f>IF(BG537=AY537,"• Same",IF(INDEX(B_VAL,MATCH(BG537,B_LVL,0))&gt;INDEX(B_VAL,MATCH(AY537,B_LVL,0)),"▲ Up","▼ Down"))</f>
        <v>• Same</v>
      </c>
      <c r="BJ537" s="40" t="str">
        <f>IF(OR($M537="",$M537="—",$M537="Not in this file"),"",IFERROR(INDEX($BG$7:$BG$592,MATCH($M537,$D$7:$D$592,0)),""))</f>
        <v>B1</v>
      </c>
      <c r="BK537" s="40" t="str">
        <f>IFERROR(IF(BJ537="","—",IF(OR(LEFT(BG537,1)="X",LEFT(BJ537,1)="X"),"—",IF(AND(LEFT(BG537,1)="E",LEFT(BJ537,1)="E"),"Exception · Band E",IF(AND(INDEX(B_VAL,MATCH(BJ537,B_LVL,0))&gt;=7,INDEX(B_RANK,MATCH(BG537,B_LVL,0))&gt;=INDEX(B_RANK,MATCH(BJ537,B_LVL,0))),"⚠ Same band as a head manager",IF(INDEX(B_VAL,MATCH(BG537,B_LVL,0))&gt;=INDEX(B_VAL,MATCH(BJ537,B_LVL,0)),"⚠ At or above the manager's level","OK"))))),"—")</f>
        <v>OK</v>
      </c>
      <c r="BL537" s="43" t="n"/>
      <c r="BM537" s="44">
        <f>IFERROR(INDEX(LMH_PTS,MATCH(Y537,LMH_KEY,0)),0)</f>
        <v>9</v>
      </c>
      <c r="BN537" s="38">
        <f>IFERROR(INDEX(LMH_PTS,MATCH(Z537,LMH_KEY,0)),0)</f>
        <v>3</v>
      </c>
      <c r="BO537" s="38">
        <f>IFERROR(INDEX(LMH_PTS,MATCH(AA537,LMH_KEY,0)),0)</f>
        <v>1</v>
      </c>
      <c r="BP537" s="38">
        <f>IFERROR(INDEX(LMH_PTS,MATCH(AB537,LMH_KEY,0)),0)</f>
        <v>1</v>
      </c>
      <c r="BQ537" s="38">
        <f>IFERROR(INDEX(LMH_PTS,MATCH(AC537,LMH_KEY,0)),0)</f>
        <v>1</v>
      </c>
      <c r="BR537" s="38">
        <f>IFERROR(INDEX(LMH_PTS,MATCH(AD537,LMH_KEY,0)),0)</f>
        <v>1</v>
      </c>
      <c r="BS537" s="38">
        <f>IFERROR(INDEX(LMH_PTS,MATCH(AE537,LMH_KEY,0)),0)</f>
        <v>1</v>
      </c>
      <c r="BT537" s="38">
        <f>IFERROR(INDEX(LMH_STEP,MATCH(AF537,LMH_KEY,0)),0)</f>
        <v>0</v>
      </c>
      <c r="BU537" s="38">
        <f>IFERROR(INDEX(LMH_STEP,MATCH(AG537,LMH_KEY,0)),0)</f>
        <v>0</v>
      </c>
      <c r="BV537" s="38">
        <f>IFERROR(INDEX(LMH_STEP,MATCH(AH537,LMH_KEY,0)),0)</f>
        <v>0</v>
      </c>
      <c r="BW537" s="38">
        <f>IFERROR(INDEX(LMH_STEP,MATCH(AI537,LMH_KEY,0)),0)</f>
        <v>0</v>
      </c>
      <c r="BX537" s="38">
        <f>IFERROR(INDEX(LMH_STEP,MATCH(AJ537,LMH_KEY,0)),0)</f>
        <v>0</v>
      </c>
      <c r="BY537" s="38">
        <f>IFERROR(INDEX(LMH_STEP,MATCH(AK537,LMH_KEY,0)),0)</f>
        <v>0</v>
      </c>
      <c r="BZ537" s="38">
        <f>IFERROR(INDEX(LMH_STEP,MATCH(AL537,LMH_KEY,0)),0)</f>
        <v>0</v>
      </c>
      <c r="CA537" s="38" t="inlineStr">
        <is>
          <t>CARBON|Technology|Senior AI/ML Engineer|A3|A</t>
        </is>
      </c>
    </row>
    <row r="538" ht="110" customHeight="1">
      <c r="A538" s="28" t="inlineStr">
        <is>
          <t>iFile</t>
        </is>
      </c>
      <c r="B538" s="29" t="inlineStr">
        <is>
          <t>Technology</t>
        </is>
      </c>
      <c r="C538" s="29" t="n">
        <v>4</v>
      </c>
      <c r="D538" s="29" t="inlineStr">
        <is>
          <t>IRIS0553</t>
        </is>
      </c>
      <c r="E538" s="29" t="inlineStr">
        <is>
          <t>Chetan Galande</t>
        </is>
      </c>
      <c r="F538" s="29" t="inlineStr">
        <is>
          <t>Business Analyst</t>
        </is>
      </c>
      <c r="G538" s="29" t="inlineStr">
        <is>
          <t>Business Analysis Specialist</t>
        </is>
      </c>
      <c r="H538" s="29" t="inlineStr">
        <is>
          <t>Business Analysis</t>
        </is>
      </c>
      <c r="I538" s="29" t="inlineStr">
        <is>
          <t>Business Analysis</t>
        </is>
      </c>
      <c r="J538" s="29" t="inlineStr">
        <is>
          <t>IC</t>
        </is>
      </c>
      <c r="K538" s="29" t="inlineStr">
        <is>
          <t>RC-009</t>
        </is>
      </c>
      <c r="L538" s="29" t="inlineStr">
        <is>
          <t>Saurabh Kadam</t>
        </is>
      </c>
      <c r="M538" s="29" t="inlineStr">
        <is>
          <t>IRIS2406</t>
        </is>
      </c>
      <c r="N538" s="29" t="n">
        <v>15.6</v>
      </c>
      <c r="O538" s="29" t="n">
        <v>15.6</v>
      </c>
      <c r="P538" s="29" t="inlineStr">
        <is>
          <t>MBA</t>
        </is>
      </c>
      <c r="Q538" s="29" t="inlineStr">
        <is>
          <t>L3 – Professional / Associate</t>
        </is>
      </c>
      <c r="R538" s="29" t="inlineStr">
        <is>
          <t>A3</t>
        </is>
      </c>
      <c r="S538" s="30" t="inlineStr">
        <is>
          <t>20 of 20</t>
        </is>
      </c>
      <c r="T538" s="31" t="inlineStr">
        <is>
          <t>Complexity: Evidence reads like A3: Drives requirements through to production release; Figma prototypes, reviews documentation, product owner sign-off → matches the start
Autonomy: Evidence reads like A2: Decides only on reviewing documentation; clarifies doubts → moved down 0.5
Accountability: Evidence reads like A3: Drives process from stakeholder …</t>
        </is>
      </c>
      <c r="U538" s="31" t="inlineStr">
        <is>
          <t>Received · manager annual, quarterly · 1. Successfully deliver strategic project initiatives with 100% milestone adherence and proactive risk management.
2. Improve requirement quality resulting in 95% first-time UAT success and less than 5% change requests after sign-off.
3. Build financial domain capability by completing advanced certifications or 40+ …</t>
        </is>
      </c>
      <c r="V538" s="31" t="inlineStr">
        <is>
          <t>Latest rating: 4 · Potential: High · 9-box: Trusted Professional · Readiness: Ready now</t>
        </is>
      </c>
      <c r="W538" s="31" t="inlineStr">
        <is>
          <t>C H · Au M · Ac H · L M · BI H · Exp H · 15.6 yrs vs 0–2 yrs · Edu H · MBA</t>
        </is>
      </c>
      <c r="X538" s="33" t="inlineStr">
        <is>
          <t>Open ▸</t>
        </is>
      </c>
      <c r="Y538" s="34" t="str">
        <f>IFERROR(INDEX(DL_C,MATCH($CA538,DL_KEY,0)),"M")</f>
        <v>H</v>
      </c>
      <c r="Z538" s="35" t="str">
        <f>IFERROR(INDEX(DL_Au,MATCH($CA538,DL_KEY,0)),"M")</f>
        <v>M</v>
      </c>
      <c r="AA538" s="35" t="str">
        <f>IFERROR(INDEX(DL_Ac,MATCH($CA538,DL_KEY,0)),"M")</f>
        <v>L</v>
      </c>
      <c r="AB538" s="35" t="str">
        <f>IFERROR(INDEX(DL_L,MATCH($CA538,DL_KEY,0)),"M")</f>
        <v>L</v>
      </c>
      <c r="AC538" s="35" t="str">
        <f>IFERROR(INDEX(DL_BI,MATCH($CA538,DL_KEY,0)),"M")</f>
        <v>L</v>
      </c>
      <c r="AD538" s="35" t="str">
        <f>IFERROR(INDEX(DL_Exp,MATCH($CA538,DL_KEY,0)),"M")</f>
        <v>L</v>
      </c>
      <c r="AE538" s="35" t="str">
        <f>IFERROR(INDEX(DL_Edu,MATCH($CA538,DL_KEY,0)),"M")</f>
        <v>L</v>
      </c>
      <c r="AF538" s="34" t="inlineStr">
        <is>
          <t>M</t>
        </is>
      </c>
      <c r="AG538" s="35" t="inlineStr">
        <is>
          <t>M</t>
        </is>
      </c>
      <c r="AH538" s="35" t="inlineStr">
        <is>
          <t>M</t>
        </is>
      </c>
      <c r="AI538" s="35" t="inlineStr">
        <is>
          <t>M</t>
        </is>
      </c>
      <c r="AJ538" s="35" t="inlineStr">
        <is>
          <t>M</t>
        </is>
      </c>
      <c r="AK538" s="35" t="inlineStr">
        <is>
          <t>M</t>
        </is>
      </c>
      <c r="AL538" s="35" t="inlineStr">
        <is>
          <t>M</t>
        </is>
      </c>
      <c r="AM538" s="36" t="n">
        <v>0.583</v>
      </c>
      <c r="AN538" s="37" t="n">
        <v>0.16</v>
      </c>
      <c r="AO538" s="37" t="n">
        <v>0.09</v>
      </c>
      <c r="AP538" s="37" t="n">
        <v>0</v>
      </c>
      <c r="AQ538" s="37" t="n">
        <v>0.063</v>
      </c>
      <c r="AR538" s="37" t="n">
        <v>0.06</v>
      </c>
      <c r="AS538" s="37" t="n">
        <v>0.04</v>
      </c>
      <c r="AT538" s="38" t="inlineStr">
        <is>
          <t>0–3</t>
        </is>
      </c>
      <c r="AU538" s="38" t="inlineStr">
        <is>
          <t>Graduate · or diploma with experience</t>
        </is>
      </c>
      <c r="AV538" s="38" t="inlineStr">
        <is>
          <t>No direct reports</t>
        </is>
      </c>
      <c r="AW538" s="38" t="inlineStr">
        <is>
          <t>P1–P2 · SFIA 2 Assist</t>
        </is>
      </c>
      <c r="AX53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38" s="39" t="inlineStr">
        <is>
          <t>A2</t>
        </is>
      </c>
      <c r="AZ538" s="40" t="inlineStr">
        <is>
          <t>Band A · Practitioner · Associate</t>
        </is>
      </c>
      <c r="BA538" s="40" t="inlineStr">
        <is>
          <t>Model A3 from the six ratings, the market-derived weights and rules R1–R13 · then Level rule: manager A3; a reportee sits at least one level below · A3 → A2 · move down · pay and title protected for one cycle</t>
        </is>
      </c>
      <c r="BB538" s="41" t="inlineStr">
        <is>
          <t>A3</t>
        </is>
      </c>
      <c r="BC538" s="40" t="inlineStr">
        <is>
          <t>The six ratings on the market-average weights of Band A · all tracks score 3.47 → A3 · Hay, Mercer IPE and public plans · experience 15.6 yrs vs the A3 market range 2–5</t>
        </is>
      </c>
      <c r="BD538" s="42">
        <f>IF(SUM(BM538,BN538,BO538,BP538,BQ538,BR538,BS538)=0,0,(BM538*BT538+BN538*BU538+BO538*BV538+BP538*BW538+BQ538*BX538+BR538*BY538+BS538*BZ538)/SUM(BM538,BN538,BO538,BP538,BQ538,BR538,BS538))</f>
        <v>0</v>
      </c>
      <c r="BE538" s="41" t="str">
        <f>IF(LEFT(AY538,1)="X",AY538,IF(OR(AY538="B+",AY538="C+"),INDEX(LAD_PC,MAX(1,MIN(14,MATCH(AY538,LAD_PC,0)+IF(BD538&gt;=0.5,1,IF(BD538&lt;=-0.5,-1,0))))),INDEX(LAD_STD,MAX(1,MIN(12,MATCH(AY538,LAD_STD,0)+IF(BD538&gt;=0.5,1,IF(BD538&lt;=-0.5,-1,0)))))))</f>
        <v>A2</v>
      </c>
      <c r="BF538" s="43" t="n"/>
      <c r="BG538" s="41" t="str">
        <f>IF(BF538&lt;&gt;"",BF538,BE538)</f>
        <v>A2</v>
      </c>
      <c r="BH538" s="40" t="str">
        <f>IFERROR(CHOOSE(INDEX(B_RANK,MATCH(BG538,B_LVL,0)),"Band A","Band B","B+ · Player-Coach","Band C","C+ · Player-Coach","Band D","Band E"),"Band X · Consultant")</f>
        <v>Band A</v>
      </c>
      <c r="BI538" s="40" t="str">
        <f>IF(BG538=AY538,"• Same",IF(INDEX(B_VAL,MATCH(BG538,B_LVL,0))&gt;INDEX(B_VAL,MATCH(AY538,B_LVL,0)),"▲ Up","▼ Down"))</f>
        <v>• Same</v>
      </c>
      <c r="BJ538" s="40" t="str">
        <f>IF(OR($M538="",$M538="—",$M538="Not in this file"),"",IFERROR(INDEX($BG$7:$BG$592,MATCH($M538,$D$7:$D$592,0)),""))</f>
        <v>A3</v>
      </c>
      <c r="BK538" s="40" t="str">
        <f>IFERROR(IF(BJ538="","—",IF(OR(LEFT(BG538,1)="X",LEFT(BJ538,1)="X"),"—",IF(AND(LEFT(BG538,1)="E",LEFT(BJ538,1)="E"),"Exception · Band E",IF(AND(INDEX(B_VAL,MATCH(BJ538,B_LVL,0))&gt;=7,INDEX(B_RANK,MATCH(BG538,B_LVL,0))&gt;=INDEX(B_RANK,MATCH(BJ538,B_LVL,0))),"⚠ Same band as a head manager",IF(INDEX(B_VAL,MATCH(BG538,B_LVL,0))&gt;=INDEX(B_VAL,MATCH(BJ538,B_LVL,0)),"⚠ At or above the manager's level","OK"))))),"—")</f>
        <v>OK</v>
      </c>
      <c r="BL538" s="43" t="n"/>
      <c r="BM538" s="44">
        <f>IFERROR(INDEX(LMH_PTS,MATCH(Y538,LMH_KEY,0)),0)</f>
        <v>9</v>
      </c>
      <c r="BN538" s="38">
        <f>IFERROR(INDEX(LMH_PTS,MATCH(Z538,LMH_KEY,0)),0)</f>
        <v>3</v>
      </c>
      <c r="BO538" s="38">
        <f>IFERROR(INDEX(LMH_PTS,MATCH(AA538,LMH_KEY,0)),0)</f>
        <v>1</v>
      </c>
      <c r="BP538" s="38">
        <f>IFERROR(INDEX(LMH_PTS,MATCH(AB538,LMH_KEY,0)),0)</f>
        <v>1</v>
      </c>
      <c r="BQ538" s="38">
        <f>IFERROR(INDEX(LMH_PTS,MATCH(AC538,LMH_KEY,0)),0)</f>
        <v>1</v>
      </c>
      <c r="BR538" s="38">
        <f>IFERROR(INDEX(LMH_PTS,MATCH(AD538,LMH_KEY,0)),0)</f>
        <v>1</v>
      </c>
      <c r="BS538" s="38">
        <f>IFERROR(INDEX(LMH_PTS,MATCH(AE538,LMH_KEY,0)),0)</f>
        <v>1</v>
      </c>
      <c r="BT538" s="38">
        <f>IFERROR(INDEX(LMH_STEP,MATCH(AF538,LMH_KEY,0)),0)</f>
        <v>0</v>
      </c>
      <c r="BU538" s="38">
        <f>IFERROR(INDEX(LMH_STEP,MATCH(AG538,LMH_KEY,0)),0)</f>
        <v>0</v>
      </c>
      <c r="BV538" s="38">
        <f>IFERROR(INDEX(LMH_STEP,MATCH(AH538,LMH_KEY,0)),0)</f>
        <v>0</v>
      </c>
      <c r="BW538" s="38">
        <f>IFERROR(INDEX(LMH_STEP,MATCH(AI538,LMH_KEY,0)),0)</f>
        <v>0</v>
      </c>
      <c r="BX538" s="38">
        <f>IFERROR(INDEX(LMH_STEP,MATCH(AJ538,LMH_KEY,0)),0)</f>
        <v>0</v>
      </c>
      <c r="BY538" s="38">
        <f>IFERROR(INDEX(LMH_STEP,MATCH(AK538,LMH_KEY,0)),0)</f>
        <v>0</v>
      </c>
      <c r="BZ538" s="38">
        <f>IFERROR(INDEX(LMH_STEP,MATCH(AL538,LMH_KEY,0)),0)</f>
        <v>0</v>
      </c>
      <c r="CA538" s="38" t="inlineStr">
        <is>
          <t>iFile|Technology|Business Analysis Specialist|A2|A</t>
        </is>
      </c>
    </row>
    <row r="539" ht="110" customHeight="1">
      <c r="A539" s="28" t="inlineStr">
        <is>
          <t>iFile</t>
        </is>
      </c>
      <c r="B539" s="29" t="inlineStr">
        <is>
          <t>Technology</t>
        </is>
      </c>
      <c r="C539" s="29" t="n">
        <v>4</v>
      </c>
      <c r="D539" s="29" t="inlineStr">
        <is>
          <t>IRIS2378</t>
        </is>
      </c>
      <c r="E539" s="29" t="inlineStr">
        <is>
          <t>Darshit Vora</t>
        </is>
      </c>
      <c r="F539" s="29" t="inlineStr">
        <is>
          <t>Business Analyst</t>
        </is>
      </c>
      <c r="G539" s="29" t="inlineStr">
        <is>
          <t>Senior Business Analyst</t>
        </is>
      </c>
      <c r="H539" s="29" t="inlineStr">
        <is>
          <t>Business Analysis</t>
        </is>
      </c>
      <c r="I539" s="29" t="inlineStr">
        <is>
          <t>Business Analysis</t>
        </is>
      </c>
      <c r="J539" s="29" t="inlineStr">
        <is>
          <t>IC</t>
        </is>
      </c>
      <c r="K539" s="29" t="inlineStr">
        <is>
          <t>RC-009</t>
        </is>
      </c>
      <c r="L539" s="29" t="inlineStr">
        <is>
          <t>Saurabh Kadam</t>
        </is>
      </c>
      <c r="M539" s="29" t="inlineStr">
        <is>
          <t>IRIS2406</t>
        </is>
      </c>
      <c r="N539" s="29" t="n">
        <v>9.199999999999999</v>
      </c>
      <c r="O539" s="29" t="n">
        <v>1.3</v>
      </c>
      <c r="P539" s="29" t="inlineStr">
        <is>
          <t>Post Graduate Program in Management</t>
        </is>
      </c>
      <c r="Q539" s="29" t="inlineStr">
        <is>
          <t>L3 – Professional / Associate</t>
        </is>
      </c>
      <c r="R539" s="29" t="inlineStr">
        <is>
          <t>A3</t>
        </is>
      </c>
      <c r="S539" s="30" t="inlineStr">
        <is>
          <t>20 of 20</t>
        </is>
      </c>
      <c r="T539" s="31" t="inlineStr">
        <is>
          <t>Complexity: Evidence reads like A3: Requirement elicitation, process definitions, user stories, acceptance criteria, wireframing, prototyping, proposing solutions → matches the start
Autonomy: Evidence reads like A3: Independently decides process definitions, user stories and acceptance criteria → matches the start
Accountability: Evidence reads like A2: …</t>
        </is>
      </c>
      <c r="U539" s="31" t="inlineStr">
        <is>
          <t>Received · manager annual, quarterly · 1. Lead successful delivery of assigned project modules ensuring 100% milestone achievement with less than 5% schedule variance.
2. Maintain 95% first-time approval for requirements and support successful UAT and production rollout.
3. Complete 40+ hours of advanced Financial Regulatory and Banking learning while …</t>
        </is>
      </c>
      <c r="V539" s="31" t="inlineStr">
        <is>
          <t>Latest rating: 4 · Potential: High · 9-box: High Impact / Growth Talent · Readiness: Ready now</t>
        </is>
      </c>
      <c r="W539" s="31" t="inlineStr">
        <is>
          <t>C H · Au H · Ac M · L M · BI M · Exp H · 9.2 yrs vs 0–2 yrs · Edu H · Post Graduate Program in Management</t>
        </is>
      </c>
      <c r="X539" s="33" t="inlineStr">
        <is>
          <t>Open ▸</t>
        </is>
      </c>
      <c r="Y539" s="34" t="str">
        <f>IFERROR(INDEX(DL_C,MATCH($CA539,DL_KEY,0)),"M")</f>
        <v>H</v>
      </c>
      <c r="Z539" s="35" t="str">
        <f>IFERROR(INDEX(DL_Au,MATCH($CA539,DL_KEY,0)),"M")</f>
        <v>M</v>
      </c>
      <c r="AA539" s="35" t="str">
        <f>IFERROR(INDEX(DL_Ac,MATCH($CA539,DL_KEY,0)),"M")</f>
        <v>L</v>
      </c>
      <c r="AB539" s="35" t="str">
        <f>IFERROR(INDEX(DL_L,MATCH($CA539,DL_KEY,0)),"M")</f>
        <v>L</v>
      </c>
      <c r="AC539" s="35" t="str">
        <f>IFERROR(INDEX(DL_BI,MATCH($CA539,DL_KEY,0)),"M")</f>
        <v>L</v>
      </c>
      <c r="AD539" s="35" t="str">
        <f>IFERROR(INDEX(DL_Exp,MATCH($CA539,DL_KEY,0)),"M")</f>
        <v>L</v>
      </c>
      <c r="AE539" s="35" t="str">
        <f>IFERROR(INDEX(DL_Edu,MATCH($CA539,DL_KEY,0)),"M")</f>
        <v>L</v>
      </c>
      <c r="AF539" s="34" t="inlineStr">
        <is>
          <t>M</t>
        </is>
      </c>
      <c r="AG539" s="35" t="inlineStr">
        <is>
          <t>M</t>
        </is>
      </c>
      <c r="AH539" s="35" t="inlineStr">
        <is>
          <t>M</t>
        </is>
      </c>
      <c r="AI539" s="35" t="inlineStr">
        <is>
          <t>M</t>
        </is>
      </c>
      <c r="AJ539" s="35" t="inlineStr">
        <is>
          <t>M</t>
        </is>
      </c>
      <c r="AK539" s="35" t="inlineStr">
        <is>
          <t>M</t>
        </is>
      </c>
      <c r="AL539" s="35" t="inlineStr">
        <is>
          <t>M</t>
        </is>
      </c>
      <c r="AM539" s="36" t="n">
        <v>0.583</v>
      </c>
      <c r="AN539" s="37" t="n">
        <v>0.16</v>
      </c>
      <c r="AO539" s="37" t="n">
        <v>0.09</v>
      </c>
      <c r="AP539" s="37" t="n">
        <v>0</v>
      </c>
      <c r="AQ539" s="37" t="n">
        <v>0.063</v>
      </c>
      <c r="AR539" s="37" t="n">
        <v>0.06</v>
      </c>
      <c r="AS539" s="37" t="n">
        <v>0.04</v>
      </c>
      <c r="AT539" s="38" t="inlineStr">
        <is>
          <t>0–3</t>
        </is>
      </c>
      <c r="AU539" s="38" t="inlineStr">
        <is>
          <t>Graduate · or diploma with experience</t>
        </is>
      </c>
      <c r="AV539" s="38" t="inlineStr">
        <is>
          <t>No direct reports</t>
        </is>
      </c>
      <c r="AW539" s="38" t="inlineStr">
        <is>
          <t>P1–P2 · SFIA 2 Assist</t>
        </is>
      </c>
      <c r="AX53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39" s="39" t="inlineStr">
        <is>
          <t>A2</t>
        </is>
      </c>
      <c r="AZ539" s="40" t="inlineStr">
        <is>
          <t>Band A · Practitioner · Associate</t>
        </is>
      </c>
      <c r="BA539" s="40" t="inlineStr">
        <is>
          <t>Model A3 from the six ratings, the market-derived weights and rules R1–R13 · then Level rule: manager A3; a reportee sits at least one level below · A3 → A2 · move down · pay and title protected for one cycle</t>
        </is>
      </c>
      <c r="BB539" s="41" t="inlineStr">
        <is>
          <t>A3</t>
        </is>
      </c>
      <c r="BC539" s="40" t="inlineStr">
        <is>
          <t>The six ratings on the market-average weights of Band A · all tracks score 3.17 → A3 · Hay, Mercer IPE and public plans · experience 9.2 yrs vs the A3 market range 2–5</t>
        </is>
      </c>
      <c r="BD539" s="42">
        <f>IF(SUM(BM539,BN539,BO539,BP539,BQ539,BR539,BS539)=0,0,(BM539*BT539+BN539*BU539+BO539*BV539+BP539*BW539+BQ539*BX539+BR539*BY539+BS539*BZ539)/SUM(BM539,BN539,BO539,BP539,BQ539,BR539,BS539))</f>
        <v>0</v>
      </c>
      <c r="BE539" s="41" t="str">
        <f>IF(LEFT(AY539,1)="X",AY539,IF(OR(AY539="B+",AY539="C+"),INDEX(LAD_PC,MAX(1,MIN(14,MATCH(AY539,LAD_PC,0)+IF(BD539&gt;=0.5,1,IF(BD539&lt;=-0.5,-1,0))))),INDEX(LAD_STD,MAX(1,MIN(12,MATCH(AY539,LAD_STD,0)+IF(BD539&gt;=0.5,1,IF(BD539&lt;=-0.5,-1,0)))))))</f>
        <v>A2</v>
      </c>
      <c r="BF539" s="43" t="n"/>
      <c r="BG539" s="41" t="str">
        <f>IF(BF539&lt;&gt;"",BF539,BE539)</f>
        <v>A2</v>
      </c>
      <c r="BH539" s="40" t="str">
        <f>IFERROR(CHOOSE(INDEX(B_RANK,MATCH(BG539,B_LVL,0)),"Band A","Band B","B+ · Player-Coach","Band C","C+ · Player-Coach","Band D","Band E"),"Band X · Consultant")</f>
        <v>Band A</v>
      </c>
      <c r="BI539" s="40" t="str">
        <f>IF(BG539=AY539,"• Same",IF(INDEX(B_VAL,MATCH(BG539,B_LVL,0))&gt;INDEX(B_VAL,MATCH(AY539,B_LVL,0)),"▲ Up","▼ Down"))</f>
        <v>• Same</v>
      </c>
      <c r="BJ539" s="40" t="str">
        <f>IF(OR($M539="",$M539="—",$M539="Not in this file"),"",IFERROR(INDEX($BG$7:$BG$592,MATCH($M539,$D$7:$D$592,0)),""))</f>
        <v>A3</v>
      </c>
      <c r="BK539" s="40" t="str">
        <f>IFERROR(IF(BJ539="","—",IF(OR(LEFT(BG539,1)="X",LEFT(BJ539,1)="X"),"—",IF(AND(LEFT(BG539,1)="E",LEFT(BJ539,1)="E"),"Exception · Band E",IF(AND(INDEX(B_VAL,MATCH(BJ539,B_LVL,0))&gt;=7,INDEX(B_RANK,MATCH(BG539,B_LVL,0))&gt;=INDEX(B_RANK,MATCH(BJ539,B_LVL,0))),"⚠ Same band as a head manager",IF(INDEX(B_VAL,MATCH(BG539,B_LVL,0))&gt;=INDEX(B_VAL,MATCH(BJ539,B_LVL,0)),"⚠ At or above the manager's level","OK"))))),"—")</f>
        <v>OK</v>
      </c>
      <c r="BL539" s="43" t="n"/>
      <c r="BM539" s="44">
        <f>IFERROR(INDEX(LMH_PTS,MATCH(Y539,LMH_KEY,0)),0)</f>
        <v>9</v>
      </c>
      <c r="BN539" s="38">
        <f>IFERROR(INDEX(LMH_PTS,MATCH(Z539,LMH_KEY,0)),0)</f>
        <v>3</v>
      </c>
      <c r="BO539" s="38">
        <f>IFERROR(INDEX(LMH_PTS,MATCH(AA539,LMH_KEY,0)),0)</f>
        <v>1</v>
      </c>
      <c r="BP539" s="38">
        <f>IFERROR(INDEX(LMH_PTS,MATCH(AB539,LMH_KEY,0)),0)</f>
        <v>1</v>
      </c>
      <c r="BQ539" s="38">
        <f>IFERROR(INDEX(LMH_PTS,MATCH(AC539,LMH_KEY,0)),0)</f>
        <v>1</v>
      </c>
      <c r="BR539" s="38">
        <f>IFERROR(INDEX(LMH_PTS,MATCH(AD539,LMH_KEY,0)),0)</f>
        <v>1</v>
      </c>
      <c r="BS539" s="38">
        <f>IFERROR(INDEX(LMH_PTS,MATCH(AE539,LMH_KEY,0)),0)</f>
        <v>1</v>
      </c>
      <c r="BT539" s="38">
        <f>IFERROR(INDEX(LMH_STEP,MATCH(AF539,LMH_KEY,0)),0)</f>
        <v>0</v>
      </c>
      <c r="BU539" s="38">
        <f>IFERROR(INDEX(LMH_STEP,MATCH(AG539,LMH_KEY,0)),0)</f>
        <v>0</v>
      </c>
      <c r="BV539" s="38">
        <f>IFERROR(INDEX(LMH_STEP,MATCH(AH539,LMH_KEY,0)),0)</f>
        <v>0</v>
      </c>
      <c r="BW539" s="38">
        <f>IFERROR(INDEX(LMH_STEP,MATCH(AI539,LMH_KEY,0)),0)</f>
        <v>0</v>
      </c>
      <c r="BX539" s="38">
        <f>IFERROR(INDEX(LMH_STEP,MATCH(AJ539,LMH_KEY,0)),0)</f>
        <v>0</v>
      </c>
      <c r="BY539" s="38">
        <f>IFERROR(INDEX(LMH_STEP,MATCH(AK539,LMH_KEY,0)),0)</f>
        <v>0</v>
      </c>
      <c r="BZ539" s="38">
        <f>IFERROR(INDEX(LMH_STEP,MATCH(AL539,LMH_KEY,0)),0)</f>
        <v>0</v>
      </c>
      <c r="CA539" s="38" t="inlineStr">
        <is>
          <t>iFile|Technology|Senior Business Analyst|A2|A</t>
        </is>
      </c>
    </row>
    <row r="540" ht="110" customHeight="1">
      <c r="A540" s="28" t="inlineStr">
        <is>
          <t>iFile</t>
        </is>
      </c>
      <c r="B540" s="29" t="inlineStr">
        <is>
          <t>Technology</t>
        </is>
      </c>
      <c r="C540" s="29" t="n">
        <v>4</v>
      </c>
      <c r="D540" s="29" t="inlineStr">
        <is>
          <t>IRIS2251</t>
        </is>
      </c>
      <c r="E540" s="29" t="inlineStr">
        <is>
          <t>Saurabh Dutta</t>
        </is>
      </c>
      <c r="F540" s="29" t="inlineStr">
        <is>
          <t>Business Analyst</t>
        </is>
      </c>
      <c r="G540" s="29" t="inlineStr">
        <is>
          <t>Senior Business Analyst</t>
        </is>
      </c>
      <c r="H540" s="29" t="inlineStr">
        <is>
          <t>Business Analysis</t>
        </is>
      </c>
      <c r="I540" s="29" t="inlineStr">
        <is>
          <t>Business Analysis</t>
        </is>
      </c>
      <c r="J540" s="29" t="inlineStr">
        <is>
          <t>IC</t>
        </is>
      </c>
      <c r="K540" s="29" t="inlineStr">
        <is>
          <t>RC-009</t>
        </is>
      </c>
      <c r="L540" s="29" t="inlineStr">
        <is>
          <t>Saurabh Kadam</t>
        </is>
      </c>
      <c r="M540" s="29" t="inlineStr">
        <is>
          <t>IRIS2406</t>
        </is>
      </c>
      <c r="N540" s="29" t="n">
        <v>5.4</v>
      </c>
      <c r="O540" s="29" t="n">
        <v>2.3</v>
      </c>
      <c r="P540" s="29" t="inlineStr">
        <is>
          <t>MBA</t>
        </is>
      </c>
      <c r="Q540" s="29" t="inlineStr">
        <is>
          <t>L3 – Professional / Associate</t>
        </is>
      </c>
      <c r="R540" s="29" t="inlineStr">
        <is>
          <t>A3</t>
        </is>
      </c>
      <c r="S540" s="30" t="inlineStr">
        <is>
          <t>20 of 20</t>
        </is>
      </c>
      <c r="T540" s="31" t="inlineStr">
        <is>
          <t>Complexity: Evidence reads like A3: Manages requirements workstream for clients: impact analysis, documentation, UAT management → matches the start
Autonomy: Evidence reads like A2: Decides only impact analysis; fixes or backlogs issues by bandwidth → moved down 0.5
Accountability: Evidence reads like A3: Sprint requirement deliverables through UAT to …</t>
        </is>
      </c>
      <c r="U540" s="31" t="inlineStr">
        <is>
          <t>Received · manager annual, quarterly · 1. Successfully deliver 100% assigned SARB Data Submission project requirements and BA deliverables · User stories, Validations, Test-Signoff's and Owner Signoff's  within agreed timelines while maintaining less than 10% post sign-off rework.
2. Achieve 95% first-time UAT acceptance for owned features through quality …</t>
        </is>
      </c>
      <c r="V540" s="31" t="inlineStr">
        <is>
          <t>Latest rating: 4 · Potential: High · 9-box: Core Contributor · Readiness: Ready now</t>
        </is>
      </c>
      <c r="W540" s="31" t="inlineStr">
        <is>
          <t>C H · Au M · Ac H · L M · BI H · Exp H · 5.4 yrs vs 0–2 yrs · Edu H · MBA</t>
        </is>
      </c>
      <c r="X540" s="33" t="inlineStr">
        <is>
          <t>Open ▸</t>
        </is>
      </c>
      <c r="Y540" s="34" t="str">
        <f>IFERROR(INDEX(DL_C,MATCH($CA540,DL_KEY,0)),"M")</f>
        <v>H</v>
      </c>
      <c r="Z540" s="35" t="str">
        <f>IFERROR(INDEX(DL_Au,MATCH($CA540,DL_KEY,0)),"M")</f>
        <v>M</v>
      </c>
      <c r="AA540" s="35" t="str">
        <f>IFERROR(INDEX(DL_Ac,MATCH($CA540,DL_KEY,0)),"M")</f>
        <v>L</v>
      </c>
      <c r="AB540" s="35" t="str">
        <f>IFERROR(INDEX(DL_L,MATCH($CA540,DL_KEY,0)),"M")</f>
        <v>L</v>
      </c>
      <c r="AC540" s="35" t="str">
        <f>IFERROR(INDEX(DL_BI,MATCH($CA540,DL_KEY,0)),"M")</f>
        <v>L</v>
      </c>
      <c r="AD540" s="35" t="str">
        <f>IFERROR(INDEX(DL_Exp,MATCH($CA540,DL_KEY,0)),"M")</f>
        <v>L</v>
      </c>
      <c r="AE540" s="35" t="str">
        <f>IFERROR(INDEX(DL_Edu,MATCH($CA540,DL_KEY,0)),"M")</f>
        <v>L</v>
      </c>
      <c r="AF540" s="34" t="inlineStr">
        <is>
          <t>M</t>
        </is>
      </c>
      <c r="AG540" s="35" t="inlineStr">
        <is>
          <t>M</t>
        </is>
      </c>
      <c r="AH540" s="35" t="inlineStr">
        <is>
          <t>M</t>
        </is>
      </c>
      <c r="AI540" s="35" t="inlineStr">
        <is>
          <t>M</t>
        </is>
      </c>
      <c r="AJ540" s="35" t="inlineStr">
        <is>
          <t>M</t>
        </is>
      </c>
      <c r="AK540" s="35" t="inlineStr">
        <is>
          <t>M</t>
        </is>
      </c>
      <c r="AL540" s="35" t="inlineStr">
        <is>
          <t>M</t>
        </is>
      </c>
      <c r="AM540" s="36" t="n">
        <v>0.583</v>
      </c>
      <c r="AN540" s="37" t="n">
        <v>0.16</v>
      </c>
      <c r="AO540" s="37" t="n">
        <v>0.09</v>
      </c>
      <c r="AP540" s="37" t="n">
        <v>0</v>
      </c>
      <c r="AQ540" s="37" t="n">
        <v>0.063</v>
      </c>
      <c r="AR540" s="37" t="n">
        <v>0.06</v>
      </c>
      <c r="AS540" s="37" t="n">
        <v>0.04</v>
      </c>
      <c r="AT540" s="38" t="inlineStr">
        <is>
          <t>0–3</t>
        </is>
      </c>
      <c r="AU540" s="38" t="inlineStr">
        <is>
          <t>Graduate · or diploma with experience</t>
        </is>
      </c>
      <c r="AV540" s="38" t="inlineStr">
        <is>
          <t>No direct reports</t>
        </is>
      </c>
      <c r="AW540" s="38" t="inlineStr">
        <is>
          <t>P1–P2 · SFIA 2 Assist</t>
        </is>
      </c>
      <c r="AX54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40" s="39" t="inlineStr">
        <is>
          <t>A2</t>
        </is>
      </c>
      <c r="AZ540" s="40" t="inlineStr">
        <is>
          <t>Band A · Practitioner · Associate</t>
        </is>
      </c>
      <c r="BA540" s="40" t="inlineStr">
        <is>
          <t>Model A3 from the six ratings, the market-derived weights and rules R1–R13 · then Level rule: manager A3; a reportee sits at least one level below · A3 → A2 · move down · pay and title protected for one cycle</t>
        </is>
      </c>
      <c r="BB540" s="41" t="inlineStr">
        <is>
          <t>A3</t>
        </is>
      </c>
      <c r="BC540" s="40" t="inlineStr">
        <is>
          <t>The six ratings on the market-average weights of Band A · all tracks score 3.02 → A3 · Hay, Mercer IPE and public plans · experience 5.4 yrs vs the A3 market range 2–5</t>
        </is>
      </c>
      <c r="BD540" s="42">
        <f>IF(SUM(BM540,BN540,BO540,BP540,BQ540,BR540,BS540)=0,0,(BM540*BT540+BN540*BU540+BO540*BV540+BP540*BW540+BQ540*BX540+BR540*BY540+BS540*BZ540)/SUM(BM540,BN540,BO540,BP540,BQ540,BR540,BS540))</f>
        <v>0</v>
      </c>
      <c r="BE540" s="41" t="str">
        <f>IF(LEFT(AY540,1)="X",AY540,IF(OR(AY540="B+",AY540="C+"),INDEX(LAD_PC,MAX(1,MIN(14,MATCH(AY540,LAD_PC,0)+IF(BD540&gt;=0.5,1,IF(BD540&lt;=-0.5,-1,0))))),INDEX(LAD_STD,MAX(1,MIN(12,MATCH(AY540,LAD_STD,0)+IF(BD540&gt;=0.5,1,IF(BD540&lt;=-0.5,-1,0)))))))</f>
        <v>A2</v>
      </c>
      <c r="BF540" s="43" t="n"/>
      <c r="BG540" s="41" t="str">
        <f>IF(BF540&lt;&gt;"",BF540,BE540)</f>
        <v>A2</v>
      </c>
      <c r="BH540" s="40" t="str">
        <f>IFERROR(CHOOSE(INDEX(B_RANK,MATCH(BG540,B_LVL,0)),"Band A","Band B","B+ · Player-Coach","Band C","C+ · Player-Coach","Band D","Band E"),"Band X · Consultant")</f>
        <v>Band A</v>
      </c>
      <c r="BI540" s="40" t="str">
        <f>IF(BG540=AY540,"• Same",IF(INDEX(B_VAL,MATCH(BG540,B_LVL,0))&gt;INDEX(B_VAL,MATCH(AY540,B_LVL,0)),"▲ Up","▼ Down"))</f>
        <v>• Same</v>
      </c>
      <c r="BJ540" s="40" t="str">
        <f>IF(OR($M540="",$M540="—",$M540="Not in this file"),"",IFERROR(INDEX($BG$7:$BG$592,MATCH($M540,$D$7:$D$592,0)),""))</f>
        <v>A3</v>
      </c>
      <c r="BK540" s="40" t="str">
        <f>IFERROR(IF(BJ540="","—",IF(OR(LEFT(BG540,1)="X",LEFT(BJ540,1)="X"),"—",IF(AND(LEFT(BG540,1)="E",LEFT(BJ540,1)="E"),"Exception · Band E",IF(AND(INDEX(B_VAL,MATCH(BJ540,B_LVL,0))&gt;=7,INDEX(B_RANK,MATCH(BG540,B_LVL,0))&gt;=INDEX(B_RANK,MATCH(BJ540,B_LVL,0))),"⚠ Same band as a head manager",IF(INDEX(B_VAL,MATCH(BG540,B_LVL,0))&gt;=INDEX(B_VAL,MATCH(BJ540,B_LVL,0)),"⚠ At or above the manager's level","OK"))))),"—")</f>
        <v>OK</v>
      </c>
      <c r="BL540" s="43" t="n"/>
      <c r="BM540" s="44">
        <f>IFERROR(INDEX(LMH_PTS,MATCH(Y540,LMH_KEY,0)),0)</f>
        <v>9</v>
      </c>
      <c r="BN540" s="38">
        <f>IFERROR(INDEX(LMH_PTS,MATCH(Z540,LMH_KEY,0)),0)</f>
        <v>3</v>
      </c>
      <c r="BO540" s="38">
        <f>IFERROR(INDEX(LMH_PTS,MATCH(AA540,LMH_KEY,0)),0)</f>
        <v>1</v>
      </c>
      <c r="BP540" s="38">
        <f>IFERROR(INDEX(LMH_PTS,MATCH(AB540,LMH_KEY,0)),0)</f>
        <v>1</v>
      </c>
      <c r="BQ540" s="38">
        <f>IFERROR(INDEX(LMH_PTS,MATCH(AC540,LMH_KEY,0)),0)</f>
        <v>1</v>
      </c>
      <c r="BR540" s="38">
        <f>IFERROR(INDEX(LMH_PTS,MATCH(AD540,LMH_KEY,0)),0)</f>
        <v>1</v>
      </c>
      <c r="BS540" s="38">
        <f>IFERROR(INDEX(LMH_PTS,MATCH(AE540,LMH_KEY,0)),0)</f>
        <v>1</v>
      </c>
      <c r="BT540" s="38">
        <f>IFERROR(INDEX(LMH_STEP,MATCH(AF540,LMH_KEY,0)),0)</f>
        <v>0</v>
      </c>
      <c r="BU540" s="38">
        <f>IFERROR(INDEX(LMH_STEP,MATCH(AG540,LMH_KEY,0)),0)</f>
        <v>0</v>
      </c>
      <c r="BV540" s="38">
        <f>IFERROR(INDEX(LMH_STEP,MATCH(AH540,LMH_KEY,0)),0)</f>
        <v>0</v>
      </c>
      <c r="BW540" s="38">
        <f>IFERROR(INDEX(LMH_STEP,MATCH(AI540,LMH_KEY,0)),0)</f>
        <v>0</v>
      </c>
      <c r="BX540" s="38">
        <f>IFERROR(INDEX(LMH_STEP,MATCH(AJ540,LMH_KEY,0)),0)</f>
        <v>0</v>
      </c>
      <c r="BY540" s="38">
        <f>IFERROR(INDEX(LMH_STEP,MATCH(AK540,LMH_KEY,0)),0)</f>
        <v>0</v>
      </c>
      <c r="BZ540" s="38">
        <f>IFERROR(INDEX(LMH_STEP,MATCH(AL540,LMH_KEY,0)),0)</f>
        <v>0</v>
      </c>
      <c r="CA540" s="38" t="inlineStr">
        <is>
          <t>iFile|Technology|Senior Business Analyst|A2|A</t>
        </is>
      </c>
    </row>
    <row r="541" ht="110" customHeight="1">
      <c r="A541" s="28" t="inlineStr">
        <is>
          <t>iFile</t>
        </is>
      </c>
      <c r="B541" s="29" t="inlineStr">
        <is>
          <t>Technology</t>
        </is>
      </c>
      <c r="C541" s="29" t="n">
        <v>4</v>
      </c>
      <c r="D541" s="29" t="inlineStr">
        <is>
          <t>IRIS2542</t>
        </is>
      </c>
      <c r="E541" s="29" t="inlineStr">
        <is>
          <t>Parmesh Vala</t>
        </is>
      </c>
      <c r="F541" s="29" t="inlineStr">
        <is>
          <t>Trainee Business Analyst</t>
        </is>
      </c>
      <c r="G541" s="29" t="inlineStr">
        <is>
          <t>Trainee Business Analyst</t>
        </is>
      </c>
      <c r="H541" s="29" t="inlineStr">
        <is>
          <t>Business Analysis</t>
        </is>
      </c>
      <c r="I541" s="29" t="inlineStr">
        <is>
          <t>Business Analysis</t>
        </is>
      </c>
      <c r="J541" s="29" t="inlineStr">
        <is>
          <t>IC</t>
        </is>
      </c>
      <c r="K541" s="29" t="inlineStr">
        <is>
          <t>RC-007</t>
        </is>
      </c>
      <c r="L541" s="29" t="inlineStr">
        <is>
          <t>Saurabh Kadam</t>
        </is>
      </c>
      <c r="M541" s="29" t="inlineStr">
        <is>
          <t>IRIS2406</t>
        </is>
      </c>
      <c r="N541" s="29" t="n">
        <v>0.2</v>
      </c>
      <c r="O541" s="29" t="n">
        <v>0.2</v>
      </c>
      <c r="P541" s="29" t="inlineStr">
        <is>
          <t>B.Tech</t>
        </is>
      </c>
      <c r="Q541" s="29" t="inlineStr">
        <is>
          <t>L1 – Intern</t>
        </is>
      </c>
      <c r="R541" s="29" t="inlineStr">
        <is>
          <t>A1</t>
        </is>
      </c>
      <c r="S541" s="30" t="inlineStr">
        <is>
          <t>20 of 20</t>
        </is>
      </c>
      <c r="T541" s="32" t="inlineStr">
        <is>
          <t>Full survey answers not in the files received · How We Grow export needed · HR</t>
        </is>
      </c>
      <c r="U541" s="31" t="inlineStr">
        <is>
          <t>Received · manager annual, quarterly · 1. Successfully complete 100% assigned BA tasks within agreed timelines with mentor guidance.
2. Learn Business Analysis fundamentals and prepare minimum 20 functional documents · User Stories, BRDs, Process Flows, UAT documents with 90% quality acceptance.
3. Complete 60 learning hours covering Banking Domain, …</t>
        </is>
      </c>
      <c r="V541" s="31" t="inlineStr">
        <is>
          <t>Latest rating: 4 · Potential: High · 9-box: Emerging Talent · Readiness: Ready now</t>
        </is>
      </c>
      <c r="W541" s="31" t="inlineStr">
        <is>
          <t>C — · Au — · Ac — · L — · BI — · Exp H · 0.2 yrs vs 0 yrs · fresher / intern · Edu M · B.Tech</t>
        </is>
      </c>
      <c r="X541" s="33" t="inlineStr">
        <is>
          <t>Open ▸</t>
        </is>
      </c>
      <c r="Y541" s="34" t="str">
        <f>IFERROR(INDEX(DL_C,MATCH($CA541,DL_KEY,0)),"M")</f>
        <v>H</v>
      </c>
      <c r="Z541" s="35" t="str">
        <f>IFERROR(INDEX(DL_Au,MATCH($CA541,DL_KEY,0)),"M")</f>
        <v>M</v>
      </c>
      <c r="AA541" s="35" t="str">
        <f>IFERROR(INDEX(DL_Ac,MATCH($CA541,DL_KEY,0)),"M")</f>
        <v>L</v>
      </c>
      <c r="AB541" s="35" t="str">
        <f>IFERROR(INDEX(DL_L,MATCH($CA541,DL_KEY,0)),"M")</f>
        <v>L</v>
      </c>
      <c r="AC541" s="35" t="str">
        <f>IFERROR(INDEX(DL_BI,MATCH($CA541,DL_KEY,0)),"M")</f>
        <v>L</v>
      </c>
      <c r="AD541" s="35" t="str">
        <f>IFERROR(INDEX(DL_Exp,MATCH($CA541,DL_KEY,0)),"M")</f>
        <v>L</v>
      </c>
      <c r="AE541" s="35" t="str">
        <f>IFERROR(INDEX(DL_Edu,MATCH($CA541,DL_KEY,0)),"M")</f>
        <v>L</v>
      </c>
      <c r="AF541" s="34" t="inlineStr">
        <is>
          <t>M</t>
        </is>
      </c>
      <c r="AG541" s="35" t="inlineStr">
        <is>
          <t>M</t>
        </is>
      </c>
      <c r="AH541" s="35" t="inlineStr">
        <is>
          <t>M</t>
        </is>
      </c>
      <c r="AI541" s="35" t="inlineStr">
        <is>
          <t>M</t>
        </is>
      </c>
      <c r="AJ541" s="35" t="inlineStr">
        <is>
          <t>M</t>
        </is>
      </c>
      <c r="AK541" s="35" t="inlineStr">
        <is>
          <t>M</t>
        </is>
      </c>
      <c r="AL541" s="35" t="inlineStr">
        <is>
          <t>M</t>
        </is>
      </c>
      <c r="AM541" s="36" t="n">
        <v>0.583</v>
      </c>
      <c r="AN541" s="37" t="n">
        <v>0.16</v>
      </c>
      <c r="AO541" s="37" t="n">
        <v>0.09</v>
      </c>
      <c r="AP541" s="37" t="n">
        <v>0</v>
      </c>
      <c r="AQ541" s="37" t="n">
        <v>0.063</v>
      </c>
      <c r="AR541" s="37" t="n">
        <v>0.06</v>
      </c>
      <c r="AS541" s="37" t="n">
        <v>0.04</v>
      </c>
      <c r="AT541" s="38" t="inlineStr">
        <is>
          <t>0 yrs · fresher / intern</t>
        </is>
      </c>
      <c r="AU541" s="38" t="inlineStr">
        <is>
          <t>Pursuing or completed graduation / diploma</t>
        </is>
      </c>
      <c r="AV541" s="38" t="inlineStr">
        <is>
          <t>No direct reports</t>
        </is>
      </c>
      <c r="AW541" s="38" t="inlineStr">
        <is>
          <t>Entry / P1 · intern · SFIA 1 Follow</t>
        </is>
      </c>
      <c r="AX54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41" s="39" t="inlineStr">
        <is>
          <t>A1</t>
        </is>
      </c>
      <c r="AZ541" s="40" t="inlineStr">
        <is>
          <t>Band A · Practitioner · Intern / Trainee</t>
        </is>
      </c>
      <c r="BA541" s="40" t="inlineStr">
        <is>
          <t>Model A1 from the six ratings, the market-derived weights and rules R1–R13 · then No change · already below the manager</t>
        </is>
      </c>
      <c r="BB541" s="41" t="inlineStr">
        <is>
          <t>A1</t>
        </is>
      </c>
      <c r="BC541" s="40" t="inlineStr">
        <is>
          <t>Placed by a category rule — no full set of ratings · benchmark follows the HR proposed level</t>
        </is>
      </c>
      <c r="BD541" s="42">
        <f>IF(SUM(BM541,BN541,BO541,BP541,BQ541,BR541,BS541)=0,0,(BM541*BT541+BN541*BU541+BO541*BV541+BP541*BW541+BQ541*BX541+BR541*BY541+BS541*BZ541)/SUM(BM541,BN541,BO541,BP541,BQ541,BR541,BS541))</f>
        <v>0</v>
      </c>
      <c r="BE541" s="41" t="str">
        <f>IF(LEFT(AY541,1)="X",AY541,IF(OR(AY541="B+",AY541="C+"),INDEX(LAD_PC,MAX(1,MIN(14,MATCH(AY541,LAD_PC,0)+IF(BD541&gt;=0.5,1,IF(BD541&lt;=-0.5,-1,0))))),INDEX(LAD_STD,MAX(1,MIN(12,MATCH(AY541,LAD_STD,0)+IF(BD541&gt;=0.5,1,IF(BD541&lt;=-0.5,-1,0)))))))</f>
        <v>A1</v>
      </c>
      <c r="BF541" s="43" t="n"/>
      <c r="BG541" s="41" t="str">
        <f>IF(BF541&lt;&gt;"",BF541,BE541)</f>
        <v>A1</v>
      </c>
      <c r="BH541" s="40" t="str">
        <f>IFERROR(CHOOSE(INDEX(B_RANK,MATCH(BG541,B_LVL,0)),"Band A","Band B","B+ · Player-Coach","Band C","C+ · Player-Coach","Band D","Band E"),"Band X · Consultant")</f>
        <v>Band A</v>
      </c>
      <c r="BI541" s="40" t="str">
        <f>IF(BG541=AY541,"• Same",IF(INDEX(B_VAL,MATCH(BG541,B_LVL,0))&gt;INDEX(B_VAL,MATCH(AY541,B_LVL,0)),"▲ Up","▼ Down"))</f>
        <v>• Same</v>
      </c>
      <c r="BJ541" s="40" t="str">
        <f>IF(OR($M541="",$M541="—",$M541="Not in this file"),"",IFERROR(INDEX($BG$7:$BG$592,MATCH($M541,$D$7:$D$592,0)),""))</f>
        <v>A3</v>
      </c>
      <c r="BK541" s="40" t="str">
        <f>IFERROR(IF(BJ541="","—",IF(OR(LEFT(BG541,1)="X",LEFT(BJ541,1)="X"),"—",IF(AND(LEFT(BG541,1)="E",LEFT(BJ541,1)="E"),"Exception · Band E",IF(AND(INDEX(B_VAL,MATCH(BJ541,B_LVL,0))&gt;=7,INDEX(B_RANK,MATCH(BG541,B_LVL,0))&gt;=INDEX(B_RANK,MATCH(BJ541,B_LVL,0))),"⚠ Same band as a head manager",IF(INDEX(B_VAL,MATCH(BG541,B_LVL,0))&gt;=INDEX(B_VAL,MATCH(BJ541,B_LVL,0)),"⚠ At or above the manager's level","OK"))))),"—")</f>
        <v>OK</v>
      </c>
      <c r="BL541" s="43" t="n"/>
      <c r="BM541" s="44">
        <f>IFERROR(INDEX(LMH_PTS,MATCH(Y541,LMH_KEY,0)),0)</f>
        <v>9</v>
      </c>
      <c r="BN541" s="38">
        <f>IFERROR(INDEX(LMH_PTS,MATCH(Z541,LMH_KEY,0)),0)</f>
        <v>3</v>
      </c>
      <c r="BO541" s="38">
        <f>IFERROR(INDEX(LMH_PTS,MATCH(AA541,LMH_KEY,0)),0)</f>
        <v>1</v>
      </c>
      <c r="BP541" s="38">
        <f>IFERROR(INDEX(LMH_PTS,MATCH(AB541,LMH_KEY,0)),0)</f>
        <v>1</v>
      </c>
      <c r="BQ541" s="38">
        <f>IFERROR(INDEX(LMH_PTS,MATCH(AC541,LMH_KEY,0)),0)</f>
        <v>1</v>
      </c>
      <c r="BR541" s="38">
        <f>IFERROR(INDEX(LMH_PTS,MATCH(AD541,LMH_KEY,0)),0)</f>
        <v>1</v>
      </c>
      <c r="BS541" s="38">
        <f>IFERROR(INDEX(LMH_PTS,MATCH(AE541,LMH_KEY,0)),0)</f>
        <v>1</v>
      </c>
      <c r="BT541" s="38">
        <f>IFERROR(INDEX(LMH_STEP,MATCH(AF541,LMH_KEY,0)),0)</f>
        <v>0</v>
      </c>
      <c r="BU541" s="38">
        <f>IFERROR(INDEX(LMH_STEP,MATCH(AG541,LMH_KEY,0)),0)</f>
        <v>0</v>
      </c>
      <c r="BV541" s="38">
        <f>IFERROR(INDEX(LMH_STEP,MATCH(AH541,LMH_KEY,0)),0)</f>
        <v>0</v>
      </c>
      <c r="BW541" s="38">
        <f>IFERROR(INDEX(LMH_STEP,MATCH(AI541,LMH_KEY,0)),0)</f>
        <v>0</v>
      </c>
      <c r="BX541" s="38">
        <f>IFERROR(INDEX(LMH_STEP,MATCH(AJ541,LMH_KEY,0)),0)</f>
        <v>0</v>
      </c>
      <c r="BY541" s="38">
        <f>IFERROR(INDEX(LMH_STEP,MATCH(AK541,LMH_KEY,0)),0)</f>
        <v>0</v>
      </c>
      <c r="BZ541" s="38">
        <f>IFERROR(INDEX(LMH_STEP,MATCH(AL541,LMH_KEY,0)),0)</f>
        <v>0</v>
      </c>
      <c r="CA541" s="38" t="inlineStr">
        <is>
          <t>iFile|Technology|Trainee Business Analyst|A1|A</t>
        </is>
      </c>
    </row>
    <row r="542" ht="110" customHeight="1">
      <c r="A542" s="28" t="inlineStr">
        <is>
          <t>CARBON</t>
        </is>
      </c>
      <c r="B542" s="29" t="inlineStr">
        <is>
          <t>Technology</t>
        </is>
      </c>
      <c r="C542" s="29" t="n">
        <v>2</v>
      </c>
      <c r="D542" s="29" t="inlineStr">
        <is>
          <t>IRIS2445</t>
        </is>
      </c>
      <c r="E542" s="29" t="inlineStr">
        <is>
          <t>Mohammad Irfan</t>
        </is>
      </c>
      <c r="F542" s="29" t="inlineStr">
        <is>
          <t>Senior Software Engineer - AI/ML</t>
        </is>
      </c>
      <c r="G542" s="29" t="inlineStr">
        <is>
          <t>Senior AI/ML Engineer</t>
        </is>
      </c>
      <c r="H542" s="29" t="inlineStr">
        <is>
          <t>Engineering &amp; Development</t>
        </is>
      </c>
      <c r="I542" s="29" t="inlineStr">
        <is>
          <t>AI / ML &amp; GenAI Engineering</t>
        </is>
      </c>
      <c r="J542" s="29" t="inlineStr">
        <is>
          <t>IC</t>
        </is>
      </c>
      <c r="K542" s="29" t="inlineStr">
        <is>
          <t>RC-060</t>
        </is>
      </c>
      <c r="L542" s="29" t="inlineStr">
        <is>
          <t>Ashish Singhvi</t>
        </is>
      </c>
      <c r="M542" s="29" t="inlineStr">
        <is>
          <t>IRIS0249</t>
        </is>
      </c>
      <c r="N542" s="29" t="n">
        <v>4.5</v>
      </c>
      <c r="O542" s="29" t="n">
        <v>0.8</v>
      </c>
      <c r="P542" s="29" t="inlineStr">
        <is>
          <t>M.Sc</t>
        </is>
      </c>
      <c r="Q542" s="29" t="inlineStr">
        <is>
          <t>L4 – Senior</t>
        </is>
      </c>
      <c r="R542" s="29" t="inlineStr">
        <is>
          <t>A3</t>
        </is>
      </c>
      <c r="S542" s="30" t="inlineStr">
        <is>
          <t>20 of 20</t>
        </is>
      </c>
      <c r="T542" s="31" t="inlineStr">
        <is>
          <t>• Role / sub-team: Technology — Senior Software Engineer - AI/ML.
• Core purpose: To research, brainstorm, and implement Generative AI based solutions/features for our internal Carbon product.
• Decision-making autonomy: Can independently research and experiment.
• Is this something only they do: Only me, I independently own the end-to-end design, …</t>
        </is>
      </c>
      <c r="U542" s="31" t="inlineStr">
        <is>
          <t>Received · manager annual · 1.Design and implement reusable IDP components/services by reusing current copilot capabilities, reducing duplicate development effort by ≥ 40% YoY.
2.Build minimum 3 plug-and-play AI components/modules that can be integrated across multiple CARBON workflows.
3.Design and implement minimum 2 Agentic AI workflows for …</t>
        </is>
      </c>
      <c r="V542" s="31" t="inlineStr">
        <is>
          <t>Latest rating: Not rated · manager · 9-box: Future Leader · Readiness: No rating data</t>
        </is>
      </c>
      <c r="W542" s="31" t="inlineStr">
        <is>
          <t>C M · Au M · Ac M · L L · BI M · Exp H · 4.5 yrs vs 2–4 yrs · Edu H · M.Sc</t>
        </is>
      </c>
      <c r="X542" s="33" t="inlineStr">
        <is>
          <t>Open ▸</t>
        </is>
      </c>
      <c r="Y542" s="34" t="str">
        <f>IFERROR(INDEX(DL_C,MATCH($CA542,DL_KEY,0)),"M")</f>
        <v>H</v>
      </c>
      <c r="Z542" s="35" t="str">
        <f>IFERROR(INDEX(DL_Au,MATCH($CA542,DL_KEY,0)),"M")</f>
        <v>M</v>
      </c>
      <c r="AA542" s="35" t="str">
        <f>IFERROR(INDEX(DL_Ac,MATCH($CA542,DL_KEY,0)),"M")</f>
        <v>L</v>
      </c>
      <c r="AB542" s="35" t="str">
        <f>IFERROR(INDEX(DL_L,MATCH($CA542,DL_KEY,0)),"M")</f>
        <v>L</v>
      </c>
      <c r="AC542" s="35" t="str">
        <f>IFERROR(INDEX(DL_BI,MATCH($CA542,DL_KEY,0)),"M")</f>
        <v>L</v>
      </c>
      <c r="AD542" s="35" t="str">
        <f>IFERROR(INDEX(DL_Exp,MATCH($CA542,DL_KEY,0)),"M")</f>
        <v>L</v>
      </c>
      <c r="AE542" s="35" t="str">
        <f>IFERROR(INDEX(DL_Edu,MATCH($CA542,DL_KEY,0)),"M")</f>
        <v>L</v>
      </c>
      <c r="AF542" s="34" t="inlineStr">
        <is>
          <t>M</t>
        </is>
      </c>
      <c r="AG542" s="35" t="inlineStr">
        <is>
          <t>M</t>
        </is>
      </c>
      <c r="AH542" s="35" t="inlineStr">
        <is>
          <t>M</t>
        </is>
      </c>
      <c r="AI542" s="35" t="inlineStr">
        <is>
          <t>M</t>
        </is>
      </c>
      <c r="AJ542" s="35" t="inlineStr">
        <is>
          <t>M</t>
        </is>
      </c>
      <c r="AK542" s="35" t="inlineStr">
        <is>
          <t>M</t>
        </is>
      </c>
      <c r="AL542" s="35" t="inlineStr">
        <is>
          <t>M</t>
        </is>
      </c>
      <c r="AM542" s="36" t="n">
        <v>0.583</v>
      </c>
      <c r="AN542" s="37" t="n">
        <v>0.16</v>
      </c>
      <c r="AO542" s="37" t="n">
        <v>0.09</v>
      </c>
      <c r="AP542" s="37" t="n">
        <v>0</v>
      </c>
      <c r="AQ542" s="37" t="n">
        <v>0.063</v>
      </c>
      <c r="AR542" s="37" t="n">
        <v>0.06</v>
      </c>
      <c r="AS542" s="37" t="n">
        <v>0.04</v>
      </c>
      <c r="AT542" s="38" t="inlineStr">
        <is>
          <t>2–5</t>
        </is>
      </c>
      <c r="AU542" s="38" t="inlineStr">
        <is>
          <t>Graduate; relevant certification preferred</t>
        </is>
      </c>
      <c r="AV542" s="38" t="inlineStr">
        <is>
          <t>None · guides 1–3 juniors informally</t>
        </is>
      </c>
      <c r="AW542" s="38" t="inlineStr">
        <is>
          <t>P2 · SFIA 3 Apply</t>
        </is>
      </c>
      <c r="AX54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42" s="39" t="inlineStr">
        <is>
          <t>A3</t>
        </is>
      </c>
      <c r="AZ542" s="40" t="inlineStr">
        <is>
          <t>Band A · Practitioner · Senior Associate</t>
        </is>
      </c>
      <c r="BA542" s="40" t="inlineStr">
        <is>
          <t>Model A3 from the six ratings, the market-derived weights and rules R1–R13 · then No change · already below the manager</t>
        </is>
      </c>
      <c r="BB542" s="41" t="inlineStr">
        <is>
          <t>A3</t>
        </is>
      </c>
      <c r="BC542" s="40" t="inlineStr">
        <is>
          <t>The six ratings on the market-average weights of Band A · all tracks score 3.39 → A3 · Hay, Mercer IPE and public plans · experience 4.5 yrs vs the A3 market range 2–5</t>
        </is>
      </c>
      <c r="BD542" s="42">
        <f>IF(SUM(BM542,BN542,BO542,BP542,BQ542,BR542,BS542)=0,0,(BM542*BT542+BN542*BU542+BO542*BV542+BP542*BW542+BQ542*BX542+BR542*BY542+BS542*BZ542)/SUM(BM542,BN542,BO542,BP542,BQ542,BR542,BS542))</f>
        <v>0</v>
      </c>
      <c r="BE542" s="41" t="str">
        <f>IF(LEFT(AY542,1)="X",AY542,IF(OR(AY542="B+",AY542="C+"),INDEX(LAD_PC,MAX(1,MIN(14,MATCH(AY542,LAD_PC,0)+IF(BD542&gt;=0.5,1,IF(BD542&lt;=-0.5,-1,0))))),INDEX(LAD_STD,MAX(1,MIN(12,MATCH(AY542,LAD_STD,0)+IF(BD542&gt;=0.5,1,IF(BD542&lt;=-0.5,-1,0)))))))</f>
        <v>A3</v>
      </c>
      <c r="BF542" s="43" t="n"/>
      <c r="BG542" s="41" t="str">
        <f>IF(BF542&lt;&gt;"",BF542,BE542)</f>
        <v>A3</v>
      </c>
      <c r="BH542" s="40" t="str">
        <f>IFERROR(CHOOSE(INDEX(B_RANK,MATCH(BG542,B_LVL,0)),"Band A","Band B","B+ · Player-Coach","Band C","C+ · Player-Coach","Band D","Band E"),"Band X · Consultant")</f>
        <v>Band A</v>
      </c>
      <c r="BI542" s="40" t="str">
        <f>IF(BG542=AY542,"• Same",IF(INDEX(B_VAL,MATCH(BG542,B_LVL,0))&gt;INDEX(B_VAL,MATCH(AY542,B_LVL,0)),"▲ Up","▼ Down"))</f>
        <v>• Same</v>
      </c>
      <c r="BJ542" s="40" t="str">
        <f>IF(OR($M542="",$M542="—",$M542="Not in this file"),"",IFERROR(INDEX($BG$7:$BG$592,MATCH($M542,$D$7:$D$592,0)),""))</f>
        <v>C2</v>
      </c>
      <c r="BK542" s="40" t="str">
        <f>IFERROR(IF(BJ542="","—",IF(OR(LEFT(BG542,1)="X",LEFT(BJ542,1)="X"),"—",IF(AND(LEFT(BG542,1)="E",LEFT(BJ542,1)="E"),"Exception · Band E",IF(AND(INDEX(B_VAL,MATCH(BJ542,B_LVL,0))&gt;=7,INDEX(B_RANK,MATCH(BG542,B_LVL,0))&gt;=INDEX(B_RANK,MATCH(BJ542,B_LVL,0))),"⚠ Same band as a head manager",IF(INDEX(B_VAL,MATCH(BG542,B_LVL,0))&gt;=INDEX(B_VAL,MATCH(BJ542,B_LVL,0)),"⚠ At or above the manager's level","OK"))))),"—")</f>
        <v>OK</v>
      </c>
      <c r="BL542" s="43" t="n"/>
      <c r="BM542" s="44">
        <f>IFERROR(INDEX(LMH_PTS,MATCH(Y542,LMH_KEY,0)),0)</f>
        <v>9</v>
      </c>
      <c r="BN542" s="38">
        <f>IFERROR(INDEX(LMH_PTS,MATCH(Z542,LMH_KEY,0)),0)</f>
        <v>3</v>
      </c>
      <c r="BO542" s="38">
        <f>IFERROR(INDEX(LMH_PTS,MATCH(AA542,LMH_KEY,0)),0)</f>
        <v>1</v>
      </c>
      <c r="BP542" s="38">
        <f>IFERROR(INDEX(LMH_PTS,MATCH(AB542,LMH_KEY,0)),0)</f>
        <v>1</v>
      </c>
      <c r="BQ542" s="38">
        <f>IFERROR(INDEX(LMH_PTS,MATCH(AC542,LMH_KEY,0)),0)</f>
        <v>1</v>
      </c>
      <c r="BR542" s="38">
        <f>IFERROR(INDEX(LMH_PTS,MATCH(AD542,LMH_KEY,0)),0)</f>
        <v>1</v>
      </c>
      <c r="BS542" s="38">
        <f>IFERROR(INDEX(LMH_PTS,MATCH(AE542,LMH_KEY,0)),0)</f>
        <v>1</v>
      </c>
      <c r="BT542" s="38">
        <f>IFERROR(INDEX(LMH_STEP,MATCH(AF542,LMH_KEY,0)),0)</f>
        <v>0</v>
      </c>
      <c r="BU542" s="38">
        <f>IFERROR(INDEX(LMH_STEP,MATCH(AG542,LMH_KEY,0)),0)</f>
        <v>0</v>
      </c>
      <c r="BV542" s="38">
        <f>IFERROR(INDEX(LMH_STEP,MATCH(AH542,LMH_KEY,0)),0)</f>
        <v>0</v>
      </c>
      <c r="BW542" s="38">
        <f>IFERROR(INDEX(LMH_STEP,MATCH(AI542,LMH_KEY,0)),0)</f>
        <v>0</v>
      </c>
      <c r="BX542" s="38">
        <f>IFERROR(INDEX(LMH_STEP,MATCH(AJ542,LMH_KEY,0)),0)</f>
        <v>0</v>
      </c>
      <c r="BY542" s="38">
        <f>IFERROR(INDEX(LMH_STEP,MATCH(AK542,LMH_KEY,0)),0)</f>
        <v>0</v>
      </c>
      <c r="BZ542" s="38">
        <f>IFERROR(INDEX(LMH_STEP,MATCH(AL542,LMH_KEY,0)),0)</f>
        <v>0</v>
      </c>
      <c r="CA542" s="38" t="inlineStr">
        <is>
          <t>CARBON|Technology|Senior AI/ML Engineer|A3|A</t>
        </is>
      </c>
    </row>
    <row r="543" ht="110" customHeight="1">
      <c r="A543" s="28" t="inlineStr">
        <is>
          <t>CARBON</t>
        </is>
      </c>
      <c r="B543" s="29" t="inlineStr">
        <is>
          <t>Technology</t>
        </is>
      </c>
      <c r="C543" s="29" t="n">
        <v>2</v>
      </c>
      <c r="D543" s="29" t="inlineStr">
        <is>
          <t>IRIS2500</t>
        </is>
      </c>
      <c r="E543" s="29" t="inlineStr">
        <is>
          <t>Vishal Nanaware</t>
        </is>
      </c>
      <c r="F543" s="29" t="inlineStr">
        <is>
          <t>Senior Software Engineer - AI/ML</t>
        </is>
      </c>
      <c r="G543" s="29" t="inlineStr">
        <is>
          <t>Senior AI/ML Engineer</t>
        </is>
      </c>
      <c r="H543" s="29" t="inlineStr">
        <is>
          <t>Engineering &amp; Development</t>
        </is>
      </c>
      <c r="I543" s="29" t="inlineStr">
        <is>
          <t>AI / ML &amp; GenAI Engineering</t>
        </is>
      </c>
      <c r="J543" s="29" t="inlineStr">
        <is>
          <t>IC</t>
        </is>
      </c>
      <c r="K543" s="29" t="inlineStr">
        <is>
          <t>RC-060</t>
        </is>
      </c>
      <c r="L543" s="29" t="inlineStr">
        <is>
          <t>Ashish Singhvi</t>
        </is>
      </c>
      <c r="M543" s="29" t="inlineStr">
        <is>
          <t>IRIS0249</t>
        </is>
      </c>
      <c r="N543" s="29" t="n">
        <v>4.5</v>
      </c>
      <c r="O543" s="29" t="n">
        <v>0.5</v>
      </c>
      <c r="P543" s="29" t="inlineStr">
        <is>
          <t>M.Tech</t>
        </is>
      </c>
      <c r="Q543" s="29" t="inlineStr">
        <is>
          <t>L4 – Senior</t>
        </is>
      </c>
      <c r="R543" s="29" t="inlineStr">
        <is>
          <t>A3</t>
        </is>
      </c>
      <c r="S543" s="30" t="inlineStr">
        <is>
          <t>20 of 20</t>
        </is>
      </c>
      <c r="T543" s="31" t="inlineStr">
        <is>
          <t>• Role / sub-team: Technology — Senior Software Engineer - AI/ML.
• Core purpose: Enhance the existing AI features; Add the new AI feature in the system; Elominate the use of commercial llm and train the open ended llm.
• Decision-making autonomy: Can independently decide the approach; Test the development.
• Is this something only they do: Most of us.
• …</t>
        </is>
      </c>
      <c r="U543" s="31" t="inlineStr">
        <is>
          <t>Received · manager annual · 1.Benchmark and evaluate minimum 5 open-source LLMs / SLMs against commercial models for IRIS AI use cases.
2.Reduce dependency on commercial AI APIs by ≥ 80% YoY through adoption of open LLMs / SLMs.
3.Fine-tune minimum 2 domain-specific SLMs / AI models for IRIS use cases · table, embedding, classification, …</t>
        </is>
      </c>
      <c r="V543" s="31" t="inlineStr">
        <is>
          <t>Latest rating: Not rated · manager · 9-box: Future Leader · Readiness: No rating data</t>
        </is>
      </c>
      <c r="W543" s="31" t="inlineStr">
        <is>
          <t>C M · Au M · Ac M · L L · BI M · Exp H · 4.5 yrs vs 2–4 yrs · Edu H · M.Tech</t>
        </is>
      </c>
      <c r="X543" s="33" t="inlineStr">
        <is>
          <t>Open ▸</t>
        </is>
      </c>
      <c r="Y543" s="34" t="str">
        <f>IFERROR(INDEX(DL_C,MATCH($CA543,DL_KEY,0)),"M")</f>
        <v>H</v>
      </c>
      <c r="Z543" s="35" t="str">
        <f>IFERROR(INDEX(DL_Au,MATCH($CA543,DL_KEY,0)),"M")</f>
        <v>M</v>
      </c>
      <c r="AA543" s="35" t="str">
        <f>IFERROR(INDEX(DL_Ac,MATCH($CA543,DL_KEY,0)),"M")</f>
        <v>L</v>
      </c>
      <c r="AB543" s="35" t="str">
        <f>IFERROR(INDEX(DL_L,MATCH($CA543,DL_KEY,0)),"M")</f>
        <v>L</v>
      </c>
      <c r="AC543" s="35" t="str">
        <f>IFERROR(INDEX(DL_BI,MATCH($CA543,DL_KEY,0)),"M")</f>
        <v>L</v>
      </c>
      <c r="AD543" s="35" t="str">
        <f>IFERROR(INDEX(DL_Exp,MATCH($CA543,DL_KEY,0)),"M")</f>
        <v>L</v>
      </c>
      <c r="AE543" s="35" t="str">
        <f>IFERROR(INDEX(DL_Edu,MATCH($CA543,DL_KEY,0)),"M")</f>
        <v>L</v>
      </c>
      <c r="AF543" s="34" t="inlineStr">
        <is>
          <t>M</t>
        </is>
      </c>
      <c r="AG543" s="35" t="inlineStr">
        <is>
          <t>M</t>
        </is>
      </c>
      <c r="AH543" s="35" t="inlineStr">
        <is>
          <t>M</t>
        </is>
      </c>
      <c r="AI543" s="35" t="inlineStr">
        <is>
          <t>M</t>
        </is>
      </c>
      <c r="AJ543" s="35" t="inlineStr">
        <is>
          <t>M</t>
        </is>
      </c>
      <c r="AK543" s="35" t="inlineStr">
        <is>
          <t>M</t>
        </is>
      </c>
      <c r="AL543" s="35" t="inlineStr">
        <is>
          <t>M</t>
        </is>
      </c>
      <c r="AM543" s="36" t="n">
        <v>0.583</v>
      </c>
      <c r="AN543" s="37" t="n">
        <v>0.16</v>
      </c>
      <c r="AO543" s="37" t="n">
        <v>0.09</v>
      </c>
      <c r="AP543" s="37" t="n">
        <v>0</v>
      </c>
      <c r="AQ543" s="37" t="n">
        <v>0.063</v>
      </c>
      <c r="AR543" s="37" t="n">
        <v>0.06</v>
      </c>
      <c r="AS543" s="37" t="n">
        <v>0.04</v>
      </c>
      <c r="AT543" s="38" t="inlineStr">
        <is>
          <t>2–5</t>
        </is>
      </c>
      <c r="AU543" s="38" t="inlineStr">
        <is>
          <t>Graduate; relevant certification preferred</t>
        </is>
      </c>
      <c r="AV543" s="38" t="inlineStr">
        <is>
          <t>None · guides 1–3 juniors informally</t>
        </is>
      </c>
      <c r="AW543" s="38" t="inlineStr">
        <is>
          <t>P2 · SFIA 3 Apply</t>
        </is>
      </c>
      <c r="AX54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43" s="39" t="inlineStr">
        <is>
          <t>A3</t>
        </is>
      </c>
      <c r="AZ543" s="40" t="inlineStr">
        <is>
          <t>Band A · Practitioner · Senior Associate</t>
        </is>
      </c>
      <c r="BA543" s="40" t="inlineStr">
        <is>
          <t>Model A3 from the six ratings, the market-derived weights and rules R1–R13 · then No change · already below the manager</t>
        </is>
      </c>
      <c r="BB543" s="41" t="inlineStr">
        <is>
          <t>A3</t>
        </is>
      </c>
      <c r="BC543" s="40" t="inlineStr">
        <is>
          <t>The six ratings on the market-average weights of Band A · all tracks score 2.94 → A3 · Hay, Mercer IPE and public plans · experience 4.5 yrs vs the A3 market range 2–5</t>
        </is>
      </c>
      <c r="BD543" s="42">
        <f>IF(SUM(BM543,BN543,BO543,BP543,BQ543,BR543,BS543)=0,0,(BM543*BT543+BN543*BU543+BO543*BV543+BP543*BW543+BQ543*BX543+BR543*BY543+BS543*BZ543)/SUM(BM543,BN543,BO543,BP543,BQ543,BR543,BS543))</f>
        <v>0</v>
      </c>
      <c r="BE543" s="41" t="str">
        <f>IF(LEFT(AY543,1)="X",AY543,IF(OR(AY543="B+",AY543="C+"),INDEX(LAD_PC,MAX(1,MIN(14,MATCH(AY543,LAD_PC,0)+IF(BD543&gt;=0.5,1,IF(BD543&lt;=-0.5,-1,0))))),INDEX(LAD_STD,MAX(1,MIN(12,MATCH(AY543,LAD_STD,0)+IF(BD543&gt;=0.5,1,IF(BD543&lt;=-0.5,-1,0)))))))</f>
        <v>A3</v>
      </c>
      <c r="BF543" s="43" t="n"/>
      <c r="BG543" s="41" t="str">
        <f>IF(BF543&lt;&gt;"",BF543,BE543)</f>
        <v>A3</v>
      </c>
      <c r="BH543" s="40" t="str">
        <f>IFERROR(CHOOSE(INDEX(B_RANK,MATCH(BG543,B_LVL,0)),"Band A","Band B","B+ · Player-Coach","Band C","C+ · Player-Coach","Band D","Band E"),"Band X · Consultant")</f>
        <v>Band A</v>
      </c>
      <c r="BI543" s="40" t="str">
        <f>IF(BG543=AY543,"• Same",IF(INDEX(B_VAL,MATCH(BG543,B_LVL,0))&gt;INDEX(B_VAL,MATCH(AY543,B_LVL,0)),"▲ Up","▼ Down"))</f>
        <v>• Same</v>
      </c>
      <c r="BJ543" s="40" t="str">
        <f>IF(OR($M543="",$M543="—",$M543="Not in this file"),"",IFERROR(INDEX($BG$7:$BG$592,MATCH($M543,$D$7:$D$592,0)),""))</f>
        <v>C2</v>
      </c>
      <c r="BK543" s="40" t="str">
        <f>IFERROR(IF(BJ543="","—",IF(OR(LEFT(BG543,1)="X",LEFT(BJ543,1)="X"),"—",IF(AND(LEFT(BG543,1)="E",LEFT(BJ543,1)="E"),"Exception · Band E",IF(AND(INDEX(B_VAL,MATCH(BJ543,B_LVL,0))&gt;=7,INDEX(B_RANK,MATCH(BG543,B_LVL,0))&gt;=INDEX(B_RANK,MATCH(BJ543,B_LVL,0))),"⚠ Same band as a head manager",IF(INDEX(B_VAL,MATCH(BG543,B_LVL,0))&gt;=INDEX(B_VAL,MATCH(BJ543,B_LVL,0)),"⚠ At or above the manager's level","OK"))))),"—")</f>
        <v>OK</v>
      </c>
      <c r="BL543" s="43" t="n"/>
      <c r="BM543" s="44">
        <f>IFERROR(INDEX(LMH_PTS,MATCH(Y543,LMH_KEY,0)),0)</f>
        <v>9</v>
      </c>
      <c r="BN543" s="38">
        <f>IFERROR(INDEX(LMH_PTS,MATCH(Z543,LMH_KEY,0)),0)</f>
        <v>3</v>
      </c>
      <c r="BO543" s="38">
        <f>IFERROR(INDEX(LMH_PTS,MATCH(AA543,LMH_KEY,0)),0)</f>
        <v>1</v>
      </c>
      <c r="BP543" s="38">
        <f>IFERROR(INDEX(LMH_PTS,MATCH(AB543,LMH_KEY,0)),0)</f>
        <v>1</v>
      </c>
      <c r="BQ543" s="38">
        <f>IFERROR(INDEX(LMH_PTS,MATCH(AC543,LMH_KEY,0)),0)</f>
        <v>1</v>
      </c>
      <c r="BR543" s="38">
        <f>IFERROR(INDEX(LMH_PTS,MATCH(AD543,LMH_KEY,0)),0)</f>
        <v>1</v>
      </c>
      <c r="BS543" s="38">
        <f>IFERROR(INDEX(LMH_PTS,MATCH(AE543,LMH_KEY,0)),0)</f>
        <v>1</v>
      </c>
      <c r="BT543" s="38">
        <f>IFERROR(INDEX(LMH_STEP,MATCH(AF543,LMH_KEY,0)),0)</f>
        <v>0</v>
      </c>
      <c r="BU543" s="38">
        <f>IFERROR(INDEX(LMH_STEP,MATCH(AG543,LMH_KEY,0)),0)</f>
        <v>0</v>
      </c>
      <c r="BV543" s="38">
        <f>IFERROR(INDEX(LMH_STEP,MATCH(AH543,LMH_KEY,0)),0)</f>
        <v>0</v>
      </c>
      <c r="BW543" s="38">
        <f>IFERROR(INDEX(LMH_STEP,MATCH(AI543,LMH_KEY,0)),0)</f>
        <v>0</v>
      </c>
      <c r="BX543" s="38">
        <f>IFERROR(INDEX(LMH_STEP,MATCH(AJ543,LMH_KEY,0)),0)</f>
        <v>0</v>
      </c>
      <c r="BY543" s="38">
        <f>IFERROR(INDEX(LMH_STEP,MATCH(AK543,LMH_KEY,0)),0)</f>
        <v>0</v>
      </c>
      <c r="BZ543" s="38">
        <f>IFERROR(INDEX(LMH_STEP,MATCH(AL543,LMH_KEY,0)),0)</f>
        <v>0</v>
      </c>
      <c r="CA543" s="38" t="inlineStr">
        <is>
          <t>CARBON|Technology|Senior AI/ML Engineer|A3|A</t>
        </is>
      </c>
    </row>
    <row r="544" ht="110" customHeight="1">
      <c r="A544" s="28" t="inlineStr">
        <is>
          <t>iFile</t>
        </is>
      </c>
      <c r="B544" s="29" t="inlineStr">
        <is>
          <t>Technology</t>
        </is>
      </c>
      <c r="C544" s="29" t="n">
        <v>1</v>
      </c>
      <c r="D544" s="29" t="inlineStr">
        <is>
          <t>IRIS1689</t>
        </is>
      </c>
      <c r="E544" s="29" t="inlineStr">
        <is>
          <t>Suman Kumar</t>
        </is>
      </c>
      <c r="F544" s="29" t="inlineStr">
        <is>
          <t>Technical Architect</t>
        </is>
      </c>
      <c r="G544" s="29" t="inlineStr">
        <is>
          <t>Practice Lead – Solution &amp; Technical Architecture · Player-Coach</t>
        </is>
      </c>
      <c r="H544" s="29" t="inlineStr">
        <is>
          <t>Engineering &amp; Architecture</t>
        </is>
      </c>
      <c r="I544" s="29" t="inlineStr">
        <is>
          <t>Solution &amp; Technical Architecture</t>
        </is>
      </c>
      <c r="J544" s="29" t="inlineStr">
        <is>
          <t>Player-Coach</t>
        </is>
      </c>
      <c r="K544" s="29" t="inlineStr">
        <is>
          <t>RC-056</t>
        </is>
      </c>
      <c r="L544" s="29" t="inlineStr">
        <is>
          <t>P K X Thomas</t>
        </is>
      </c>
      <c r="M544" s="29" t="inlineStr">
        <is>
          <t>IRIS2060</t>
        </is>
      </c>
      <c r="N544" s="29" t="n">
        <v>17.2</v>
      </c>
      <c r="O544" s="29" t="n">
        <v>8.800000000000001</v>
      </c>
      <c r="P544" s="29" t="inlineStr">
        <is>
          <t>B.E</t>
        </is>
      </c>
      <c r="Q544" s="29" t="inlineStr">
        <is>
          <t>L3 – Professional / Associate</t>
        </is>
      </c>
      <c r="R544" s="29" t="inlineStr">
        <is>
          <t>B+</t>
        </is>
      </c>
      <c r="S544" s="30" t="inlineStr">
        <is>
          <t>20 of 20</t>
        </is>
      </c>
      <c r="T544" s="31" t="inlineStr">
        <is>
          <t>Complexity: Evidence reads like B3: Architects complex client solutions with datasets up to 30GB; KRA spans several regulator programmes → moved down 0.5
Autonomy: Evidence reads like B1: Decides the solution approach that technical and functional teams then implement → moved down 1
Accountability: Evidence reads like B2: Accountable for solution …</t>
        </is>
      </c>
      <c r="U544" s="31" t="inlineStr">
        <is>
          <t>Received · manager annual, quarterly · 1. SARB Program
Lead architecture, execution, and delivery governance for SARB program including Phase 4  
&gt;90% milestone adherence for Change Request and Phase 4
Zero critical design failures impacting production
&lt;4 major escalations in a year
2. Saudi Stock Exchange Upgrade
Own end-to-end technical design and ensure …</t>
        </is>
      </c>
      <c r="V544" s="31" t="inlineStr">
        <is>
          <t>Latest rating: 5 · Potential: High · 9-box: Future Leader · Readiness: Ready now</t>
        </is>
      </c>
      <c r="W544" s="31" t="inlineStr">
        <is>
          <t>C M · Au M · Ac M · L L · BI M · Exp H · 17.2 yrs vs 9–14 yrs · Edu L · B.E</t>
        </is>
      </c>
      <c r="X544" s="33" t="inlineStr">
        <is>
          <t>Open ▸</t>
        </is>
      </c>
      <c r="Y544" s="34" t="str">
        <f>IFERROR(INDEX(DL_C,MATCH($CA544,DL_KEY,0)),"M")</f>
        <v>H</v>
      </c>
      <c r="Z544" s="35" t="str">
        <f>IFERROR(INDEX(DL_Au,MATCH($CA544,DL_KEY,0)),"M")</f>
        <v>M</v>
      </c>
      <c r="AA544" s="35" t="str">
        <f>IFERROR(INDEX(DL_Ac,MATCH($CA544,DL_KEY,0)),"M")</f>
        <v>L</v>
      </c>
      <c r="AB544" s="35" t="str">
        <f>IFERROR(INDEX(DL_L,MATCH($CA544,DL_KEY,0)),"M")</f>
        <v>M</v>
      </c>
      <c r="AC544" s="35" t="str">
        <f>IFERROR(INDEX(DL_BI,MATCH($CA544,DL_KEY,0)),"M")</f>
        <v>L</v>
      </c>
      <c r="AD544" s="35" t="str">
        <f>IFERROR(INDEX(DL_Exp,MATCH($CA544,DL_KEY,0)),"M")</f>
        <v>L</v>
      </c>
      <c r="AE544" s="35" t="str">
        <f>IFERROR(INDEX(DL_Edu,MATCH($CA544,DL_KEY,0)),"M")</f>
        <v>L</v>
      </c>
      <c r="AF544" s="34" t="inlineStr">
        <is>
          <t>M</t>
        </is>
      </c>
      <c r="AG544" s="35" t="inlineStr">
        <is>
          <t>M</t>
        </is>
      </c>
      <c r="AH544" s="35" t="inlineStr">
        <is>
          <t>M</t>
        </is>
      </c>
      <c r="AI544" s="35" t="inlineStr">
        <is>
          <t>M</t>
        </is>
      </c>
      <c r="AJ544" s="35" t="inlineStr">
        <is>
          <t>M</t>
        </is>
      </c>
      <c r="AK544" s="35" t="inlineStr">
        <is>
          <t>M</t>
        </is>
      </c>
      <c r="AL544" s="35" t="inlineStr">
        <is>
          <t>M</t>
        </is>
      </c>
      <c r="AM544" s="36" t="n">
        <v>0.44</v>
      </c>
      <c r="AN544" s="37" t="n">
        <v>0.177</v>
      </c>
      <c r="AO544" s="37" t="n">
        <v>0.103</v>
      </c>
      <c r="AP544" s="37" t="n">
        <v>0.1</v>
      </c>
      <c r="AQ544" s="37" t="n">
        <v>0.077</v>
      </c>
      <c r="AR544" s="37" t="n">
        <v>0.06</v>
      </c>
      <c r="AS544" s="37" t="n">
        <v>0.04</v>
      </c>
      <c r="AT544" s="38" t="inlineStr">
        <is>
          <t>9–14</t>
        </is>
      </c>
      <c r="AU544" s="38" t="inlineStr">
        <is>
          <t>Postgraduate or professional qualification preferred</t>
        </is>
      </c>
      <c r="AV544" s="38" t="inlineStr">
        <is>
          <t>3–6 direct reports with ≥ 40% of time on own delivery · McKinsey player/coach 3–5; Google Tech Lead Manager</t>
        </is>
      </c>
      <c r="AW544" s="38" t="inlineStr">
        <is>
          <t>P5–P6 / M4–M5 · SFIA 5 Ensure, advise</t>
        </is>
      </c>
      <c r="AX54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44" s="39" t="inlineStr">
        <is>
          <t>B+</t>
        </is>
      </c>
      <c r="AZ544" s="40" t="inlineStr">
        <is>
          <t>B+ · Player-Coach · Practice Lead · Player-Coach</t>
        </is>
      </c>
      <c r="BA544" s="40" t="inlineStr">
        <is>
          <t>Model B+ from the six ratings, the market-derived weights and rules R1–R13 · then No change · already below the manager</t>
        </is>
      </c>
      <c r="BB544" s="41" t="inlineStr">
        <is>
          <t>C1</t>
        </is>
      </c>
      <c r="BC544" s="40" t="inlineStr">
        <is>
          <t>The six ratings on the market-average weights of B+ · Player-Coach score 6.51 → C1 · Hay, Mercer IPE and public plans · experience 17.2 yrs vs the C1 market range 12–17</t>
        </is>
      </c>
      <c r="BD544" s="42">
        <f>IF(SUM(BM544,BN544,BO544,BP544,BQ544,BR544,BS544)=0,0,(BM544*BT544+BN544*BU544+BO544*BV544+BP544*BW544+BQ544*BX544+BR544*BY544+BS544*BZ544)/SUM(BM544,BN544,BO544,BP544,BQ544,BR544,BS544))</f>
        <v>0</v>
      </c>
      <c r="BE544" s="41" t="str">
        <f>IF(LEFT(AY544,1)="X",AY544,IF(OR(AY544="B+",AY544="C+"),INDEX(LAD_PC,MAX(1,MIN(14,MATCH(AY544,LAD_PC,0)+IF(BD544&gt;=0.5,1,IF(BD544&lt;=-0.5,-1,0))))),INDEX(LAD_STD,MAX(1,MIN(12,MATCH(AY544,LAD_STD,0)+IF(BD544&gt;=0.5,1,IF(BD544&lt;=-0.5,-1,0)))))))</f>
        <v>B+</v>
      </c>
      <c r="BF544" s="43" t="n"/>
      <c r="BG544" s="41" t="str">
        <f>IF(BF544&lt;&gt;"",BF544,BE544)</f>
        <v>B+</v>
      </c>
      <c r="BH544" s="40" t="str">
        <f>IFERROR(CHOOSE(INDEX(B_RANK,MATCH(BG544,B_LVL,0)),"Band A","Band B","B+ · Player-Coach","Band C","C+ · Player-Coach","Band D","Band E"),"Band X · Consultant")</f>
        <v>B+ · Player-Coach</v>
      </c>
      <c r="BI544" s="40" t="str">
        <f>IF(BG544=AY544,"• Same",IF(INDEX(B_VAL,MATCH(BG544,B_LVL,0))&gt;INDEX(B_VAL,MATCH(AY544,B_LVL,0)),"▲ Up","▼ Down"))</f>
        <v>• Same</v>
      </c>
      <c r="BJ544" s="40" t="str">
        <f>IF(OR($M544="",$M544="—",$M544="Not in this file"),"",IFERROR(INDEX($BG$7:$BG$592,MATCH($M544,$D$7:$D$592,0)),""))</f>
        <v>E1</v>
      </c>
      <c r="BK544" s="40" t="str">
        <f>IFERROR(IF(BJ544="","—",IF(OR(LEFT(BG544,1)="X",LEFT(BJ544,1)="X"),"—",IF(AND(LEFT(BG544,1)="E",LEFT(BJ544,1)="E"),"Exception · Band E",IF(AND(INDEX(B_VAL,MATCH(BJ544,B_LVL,0))&gt;=7,INDEX(B_RANK,MATCH(BG544,B_LVL,0))&gt;=INDEX(B_RANK,MATCH(BJ544,B_LVL,0))),"⚠ Same band as a head manager",IF(INDEX(B_VAL,MATCH(BG544,B_LVL,0))&gt;=INDEX(B_VAL,MATCH(BJ544,B_LVL,0)),"⚠ At or above the manager's level","OK"))))),"—")</f>
        <v>OK</v>
      </c>
      <c r="BL544" s="43" t="n"/>
      <c r="BM544" s="44">
        <f>IFERROR(INDEX(LMH_PTS,MATCH(Y544,LMH_KEY,0)),0)</f>
        <v>9</v>
      </c>
      <c r="BN544" s="38">
        <f>IFERROR(INDEX(LMH_PTS,MATCH(Z544,LMH_KEY,0)),0)</f>
        <v>3</v>
      </c>
      <c r="BO544" s="38">
        <f>IFERROR(INDEX(LMH_PTS,MATCH(AA544,LMH_KEY,0)),0)</f>
        <v>1</v>
      </c>
      <c r="BP544" s="38">
        <f>IFERROR(INDEX(LMH_PTS,MATCH(AB544,LMH_KEY,0)),0)</f>
        <v>3</v>
      </c>
      <c r="BQ544" s="38">
        <f>IFERROR(INDEX(LMH_PTS,MATCH(AC544,LMH_KEY,0)),0)</f>
        <v>1</v>
      </c>
      <c r="BR544" s="38">
        <f>IFERROR(INDEX(LMH_PTS,MATCH(AD544,LMH_KEY,0)),0)</f>
        <v>1</v>
      </c>
      <c r="BS544" s="38">
        <f>IFERROR(INDEX(LMH_PTS,MATCH(AE544,LMH_KEY,0)),0)</f>
        <v>1</v>
      </c>
      <c r="BT544" s="38">
        <f>IFERROR(INDEX(LMH_STEP,MATCH(AF544,LMH_KEY,0)),0)</f>
        <v>0</v>
      </c>
      <c r="BU544" s="38">
        <f>IFERROR(INDEX(LMH_STEP,MATCH(AG544,LMH_KEY,0)),0)</f>
        <v>0</v>
      </c>
      <c r="BV544" s="38">
        <f>IFERROR(INDEX(LMH_STEP,MATCH(AH544,LMH_KEY,0)),0)</f>
        <v>0</v>
      </c>
      <c r="BW544" s="38">
        <f>IFERROR(INDEX(LMH_STEP,MATCH(AI544,LMH_KEY,0)),0)</f>
        <v>0</v>
      </c>
      <c r="BX544" s="38">
        <f>IFERROR(INDEX(LMH_STEP,MATCH(AJ544,LMH_KEY,0)),0)</f>
        <v>0</v>
      </c>
      <c r="BY544" s="38">
        <f>IFERROR(INDEX(LMH_STEP,MATCH(AK544,LMH_KEY,0)),0)</f>
        <v>0</v>
      </c>
      <c r="BZ544" s="38">
        <f>IFERROR(INDEX(LMH_STEP,MATCH(AL544,LMH_KEY,0)),0)</f>
        <v>0</v>
      </c>
      <c r="CA544" s="38" t="inlineStr">
        <is>
          <t>iFile|Technology|Practice Lead – Solution &amp; Technical Architecture · Player-Coach|B+|B+</t>
        </is>
      </c>
    </row>
    <row r="545" ht="110" customHeight="1">
      <c r="A545" s="28" t="inlineStr">
        <is>
          <t>iFile</t>
        </is>
      </c>
      <c r="B545" s="29" t="inlineStr">
        <is>
          <t>Technology</t>
        </is>
      </c>
      <c r="C545" s="29" t="n">
        <v>2</v>
      </c>
      <c r="D545" s="29" t="inlineStr">
        <is>
          <t>IRIS2082</t>
        </is>
      </c>
      <c r="E545" s="29" t="inlineStr">
        <is>
          <t>Giridhar Singh</t>
        </is>
      </c>
      <c r="F545" s="29" t="inlineStr">
        <is>
          <t>Technical Architect</t>
        </is>
      </c>
      <c r="G545" s="29" t="inlineStr">
        <is>
          <t>Technical Architect</t>
        </is>
      </c>
      <c r="H545" s="29" t="inlineStr">
        <is>
          <t>Engineering &amp; Architecture</t>
        </is>
      </c>
      <c r="I545" s="29" t="inlineStr">
        <is>
          <t>Solution &amp; Technical Architecture</t>
        </is>
      </c>
      <c r="J545" s="29" t="inlineStr">
        <is>
          <t>IC</t>
        </is>
      </c>
      <c r="K545" s="29" t="inlineStr">
        <is>
          <t>RC-055</t>
        </is>
      </c>
      <c r="L545" s="29" t="inlineStr">
        <is>
          <t>Suman Kumar</t>
        </is>
      </c>
      <c r="M545" s="29" t="inlineStr">
        <is>
          <t>IRIS1689</t>
        </is>
      </c>
      <c r="N545" s="29" t="n">
        <v>17.9</v>
      </c>
      <c r="O545" s="29" t="n">
        <v>3.8</v>
      </c>
      <c r="P545" s="29" t="inlineStr">
        <is>
          <t>B.SC</t>
        </is>
      </c>
      <c r="Q545" s="29" t="inlineStr">
        <is>
          <t>L3 – Professional / Associate</t>
        </is>
      </c>
      <c r="R545" s="29" t="inlineStr">
        <is>
          <t>B3</t>
        </is>
      </c>
      <c r="S545" s="30" t="inlineStr">
        <is>
          <t>20 of 20</t>
        </is>
      </c>
      <c r="T545" s="31" t="inlineStr">
        <is>
          <t>Complexity: Evidence reads like B3: Architecture for Mini iFile: HLD, LLD, database design for all modules, Tadawul and WebForm integrations → moved down 0.5
Autonomy: Evidence reads like B1: Decides technical design, implementation approach and code standards for the platform → moved down 1
Accountability: Evidence reads like B1: Accountable for technical …</t>
        </is>
      </c>
      <c r="U545" s="31" t="inlineStr">
        <is>
          <t>Received · manager annual, quarterly, self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545" s="31" t="inlineStr">
        <is>
          <t>Latest rating: 2 · Potential: Low · 9-box: Performance Risk · Readiness: Performance first</t>
        </is>
      </c>
      <c r="W545" s="31" t="inlineStr">
        <is>
          <t>C M · Au M · Ac M · L L · BI M · Exp H · 17.9 yrs vs 8–12 yrs · Edu L · B.SC</t>
        </is>
      </c>
      <c r="X545" s="33" t="inlineStr">
        <is>
          <t>Open ▸</t>
        </is>
      </c>
      <c r="Y545" s="34" t="str">
        <f>IFERROR(INDEX(DL_C,MATCH($CA545,DL_KEY,0)),"M")</f>
        <v>H</v>
      </c>
      <c r="Z545" s="35" t="str">
        <f>IFERROR(INDEX(DL_Au,MATCH($CA545,DL_KEY,0)),"M")</f>
        <v>M</v>
      </c>
      <c r="AA545" s="35" t="str">
        <f>IFERROR(INDEX(DL_Ac,MATCH($CA545,DL_KEY,0)),"M")</f>
        <v>L</v>
      </c>
      <c r="AB545" s="35" t="str">
        <f>IFERROR(INDEX(DL_L,MATCH($CA545,DL_KEY,0)),"M")</f>
        <v>L</v>
      </c>
      <c r="AC545" s="35" t="str">
        <f>IFERROR(INDEX(DL_BI,MATCH($CA545,DL_KEY,0)),"M")</f>
        <v>L</v>
      </c>
      <c r="AD545" s="35" t="str">
        <f>IFERROR(INDEX(DL_Exp,MATCH($CA545,DL_KEY,0)),"M")</f>
        <v>L</v>
      </c>
      <c r="AE545" s="35" t="str">
        <f>IFERROR(INDEX(DL_Edu,MATCH($CA545,DL_KEY,0)),"M")</f>
        <v>L</v>
      </c>
      <c r="AF545" s="34" t="inlineStr">
        <is>
          <t>M</t>
        </is>
      </c>
      <c r="AG545" s="35" t="inlineStr">
        <is>
          <t>M</t>
        </is>
      </c>
      <c r="AH545" s="35" t="inlineStr">
        <is>
          <t>M</t>
        </is>
      </c>
      <c r="AI545" s="35" t="inlineStr">
        <is>
          <t>M</t>
        </is>
      </c>
      <c r="AJ545" s="35" t="inlineStr">
        <is>
          <t>M</t>
        </is>
      </c>
      <c r="AK545" s="35" t="inlineStr">
        <is>
          <t>M</t>
        </is>
      </c>
      <c r="AL545" s="35" t="inlineStr">
        <is>
          <t>M</t>
        </is>
      </c>
      <c r="AM545" s="36" t="n">
        <v>0.513</v>
      </c>
      <c r="AN545" s="37" t="n">
        <v>0.173</v>
      </c>
      <c r="AO545" s="37" t="n">
        <v>0.09699999999999999</v>
      </c>
      <c r="AP545" s="37" t="n">
        <v>0.05</v>
      </c>
      <c r="AQ545" s="37" t="n">
        <v>0.07000000000000001</v>
      </c>
      <c r="AR545" s="37" t="n">
        <v>0.06</v>
      </c>
      <c r="AS545" s="37" t="n">
        <v>0.04</v>
      </c>
      <c r="AT545" s="38" t="inlineStr">
        <is>
          <t>8–13</t>
        </is>
      </c>
      <c r="AU545" s="38" t="inlineStr">
        <is>
          <t>Postgraduate or professional qualification preferred</t>
        </is>
      </c>
      <c r="AV545" s="38" t="inlineStr">
        <is>
          <t>IC: none · People: 5–8 incl. team leads</t>
        </is>
      </c>
      <c r="AW545" s="38" t="inlineStr">
        <is>
          <t>P5 / M4 · SFIA 5 Ensure, advise</t>
        </is>
      </c>
      <c r="AX54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45" s="39" t="inlineStr">
        <is>
          <t>B3</t>
        </is>
      </c>
      <c r="AZ545" s="40" t="inlineStr">
        <is>
          <t>Band B · Specialist / Manager · Lead Specialist</t>
        </is>
      </c>
      <c r="BA545" s="40" t="inlineStr">
        <is>
          <t>Model B3 from the six ratings, the market-derived weights and rules R1–R13 · then No change · already below the manager</t>
        </is>
      </c>
      <c r="BB545" s="41" t="inlineStr">
        <is>
          <t>C1</t>
        </is>
      </c>
      <c r="BC545" s="40" t="inlineStr">
        <is>
          <t>The six ratings on the market-average weights of Band B · Specialist / POD Lead score 6.54 → C1 · Hay, Mercer IPE and public plans · experience 17.9 yrs vs the C1 market range 12–17</t>
        </is>
      </c>
      <c r="BD545" s="42">
        <f>IF(SUM(BM545,BN545,BO545,BP545,BQ545,BR545,BS545)=0,0,(BM545*BT545+BN545*BU545+BO545*BV545+BP545*BW545+BQ545*BX545+BR545*BY545+BS545*BZ545)/SUM(BM545,BN545,BO545,BP545,BQ545,BR545,BS545))</f>
        <v>0</v>
      </c>
      <c r="BE545" s="41" t="str">
        <f>IF(LEFT(AY545,1)="X",AY545,IF(OR(AY545="B+",AY545="C+"),INDEX(LAD_PC,MAX(1,MIN(14,MATCH(AY545,LAD_PC,0)+IF(BD545&gt;=0.5,1,IF(BD545&lt;=-0.5,-1,0))))),INDEX(LAD_STD,MAX(1,MIN(12,MATCH(AY545,LAD_STD,0)+IF(BD545&gt;=0.5,1,IF(BD545&lt;=-0.5,-1,0)))))))</f>
        <v>B3</v>
      </c>
      <c r="BF545" s="43" t="n"/>
      <c r="BG545" s="41" t="str">
        <f>IF(BF545&lt;&gt;"",BF545,BE545)</f>
        <v>B3</v>
      </c>
      <c r="BH545" s="40" t="str">
        <f>IFERROR(CHOOSE(INDEX(B_RANK,MATCH(BG545,B_LVL,0)),"Band A","Band B","B+ · Player-Coach","Band C","C+ · Player-Coach","Band D","Band E"),"Band X · Consultant")</f>
        <v>Band B</v>
      </c>
      <c r="BI545" s="40" t="str">
        <f>IF(BG545=AY545,"• Same",IF(INDEX(B_VAL,MATCH(BG545,B_LVL,0))&gt;INDEX(B_VAL,MATCH(AY545,B_LVL,0)),"▲ Up","▼ Down"))</f>
        <v>• Same</v>
      </c>
      <c r="BJ545" s="40" t="str">
        <f>IF(OR($M545="",$M545="—",$M545="Not in this file"),"",IFERROR(INDEX($BG$7:$BG$592,MATCH($M545,$D$7:$D$592,0)),""))</f>
        <v>B+</v>
      </c>
      <c r="BK545" s="40" t="str">
        <f>IFERROR(IF(BJ545="","—",IF(OR(LEFT(BG545,1)="X",LEFT(BJ545,1)="X"),"—",IF(AND(LEFT(BG545,1)="E",LEFT(BJ545,1)="E"),"Exception · Band E",IF(AND(INDEX(B_VAL,MATCH(BJ545,B_LVL,0))&gt;=7,INDEX(B_RANK,MATCH(BG545,B_LVL,0))&gt;=INDEX(B_RANK,MATCH(BJ545,B_LVL,0))),"⚠ Same band as a head manager",IF(INDEX(B_VAL,MATCH(BG545,B_LVL,0))&gt;=INDEX(B_VAL,MATCH(BJ545,B_LVL,0)),"⚠ At or above the manager's level","OK"))))),"—")</f>
        <v>OK</v>
      </c>
      <c r="BL545" s="43" t="n"/>
      <c r="BM545" s="44">
        <f>IFERROR(INDEX(LMH_PTS,MATCH(Y545,LMH_KEY,0)),0)</f>
        <v>9</v>
      </c>
      <c r="BN545" s="38">
        <f>IFERROR(INDEX(LMH_PTS,MATCH(Z545,LMH_KEY,0)),0)</f>
        <v>3</v>
      </c>
      <c r="BO545" s="38">
        <f>IFERROR(INDEX(LMH_PTS,MATCH(AA545,LMH_KEY,0)),0)</f>
        <v>1</v>
      </c>
      <c r="BP545" s="38">
        <f>IFERROR(INDEX(LMH_PTS,MATCH(AB545,LMH_KEY,0)),0)</f>
        <v>1</v>
      </c>
      <c r="BQ545" s="38">
        <f>IFERROR(INDEX(LMH_PTS,MATCH(AC545,LMH_KEY,0)),0)</f>
        <v>1</v>
      </c>
      <c r="BR545" s="38">
        <f>IFERROR(INDEX(LMH_PTS,MATCH(AD545,LMH_KEY,0)),0)</f>
        <v>1</v>
      </c>
      <c r="BS545" s="38">
        <f>IFERROR(INDEX(LMH_PTS,MATCH(AE545,LMH_KEY,0)),0)</f>
        <v>1</v>
      </c>
      <c r="BT545" s="38">
        <f>IFERROR(INDEX(LMH_STEP,MATCH(AF545,LMH_KEY,0)),0)</f>
        <v>0</v>
      </c>
      <c r="BU545" s="38">
        <f>IFERROR(INDEX(LMH_STEP,MATCH(AG545,LMH_KEY,0)),0)</f>
        <v>0</v>
      </c>
      <c r="BV545" s="38">
        <f>IFERROR(INDEX(LMH_STEP,MATCH(AH545,LMH_KEY,0)),0)</f>
        <v>0</v>
      </c>
      <c r="BW545" s="38">
        <f>IFERROR(INDEX(LMH_STEP,MATCH(AI545,LMH_KEY,0)),0)</f>
        <v>0</v>
      </c>
      <c r="BX545" s="38">
        <f>IFERROR(INDEX(LMH_STEP,MATCH(AJ545,LMH_KEY,0)),0)</f>
        <v>0</v>
      </c>
      <c r="BY545" s="38">
        <f>IFERROR(INDEX(LMH_STEP,MATCH(AK545,LMH_KEY,0)),0)</f>
        <v>0</v>
      </c>
      <c r="BZ545" s="38">
        <f>IFERROR(INDEX(LMH_STEP,MATCH(AL545,LMH_KEY,0)),0)</f>
        <v>0</v>
      </c>
      <c r="CA545" s="38" t="inlineStr">
        <is>
          <t>iFile|Technology|Technical Architect|B3|B-IC</t>
        </is>
      </c>
    </row>
    <row r="546" ht="110" customHeight="1">
      <c r="A546" s="28" t="inlineStr">
        <is>
          <t>iFile</t>
        </is>
      </c>
      <c r="B546" s="29" t="inlineStr">
        <is>
          <t>Technology</t>
        </is>
      </c>
      <c r="C546" s="29" t="n">
        <v>2</v>
      </c>
      <c r="D546" s="29" t="inlineStr">
        <is>
          <t>IRIS2465</t>
        </is>
      </c>
      <c r="E546" s="29" t="inlineStr">
        <is>
          <t>Monisha Ubriani</t>
        </is>
      </c>
      <c r="F546" s="29" t="inlineStr">
        <is>
          <t>Lead Software Engineer</t>
        </is>
      </c>
      <c r="G546" s="29" t="inlineStr">
        <is>
          <t>Senior Technical Specialist</t>
        </is>
      </c>
      <c r="H546" s="29" t="inlineStr">
        <is>
          <t>Engineering &amp; Development</t>
        </is>
      </c>
      <c r="I546" s="29" t="inlineStr">
        <is>
          <t>Backend Development</t>
        </is>
      </c>
      <c r="J546" s="29" t="inlineStr">
        <is>
          <t>IC</t>
        </is>
      </c>
      <c r="K546" s="29" t="inlineStr">
        <is>
          <t>RC-069</t>
        </is>
      </c>
      <c r="L546" s="29" t="inlineStr">
        <is>
          <t>Suman Kumar</t>
        </is>
      </c>
      <c r="M546" s="29" t="inlineStr">
        <is>
          <t>IRIS1689</t>
        </is>
      </c>
      <c r="N546" s="29" t="n">
        <v>11.7</v>
      </c>
      <c r="O546" s="29" t="n">
        <v>0.7</v>
      </c>
      <c r="P546" s="29" t="inlineStr">
        <is>
          <t>B.E</t>
        </is>
      </c>
      <c r="Q546" s="29" t="inlineStr">
        <is>
          <t>L5 – Lead · IC</t>
        </is>
      </c>
      <c r="R546" s="29" t="inlineStr">
        <is>
          <t>B2</t>
        </is>
      </c>
      <c r="S546" s="30" t="inlineStr">
        <is>
          <t>20 of 20</t>
        </is>
      </c>
      <c r="T546" s="31" t="inlineStr">
        <is>
          <t>Complexity: Evidence reads like B1: Requirement analysis, process and solution design, test cases, code reviews, reusable AI skills → moved down 1
Autonomy: Evidence reads like B1: Gives developers day-to-day direction; decides test coverage, defect priority, team's AI tooling use → moved down 1
Accountability: Evidence reads like B1: Owns features end to …</t>
        </is>
      </c>
      <c r="U546" s="31" t="inlineStr">
        <is>
          <t>Received · manager annual, quarterly, self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546" s="31" t="inlineStr">
        <is>
          <t>Latest rating: 4 · Potential: High · 9-box: High Impact / Growth Talent · Readiness: Ready now</t>
        </is>
      </c>
      <c r="W546" s="31" t="inlineStr">
        <is>
          <t>C M · Au M · Ac M · L L · BI M · Exp H · 11.7 yrs vs 6–9 yrs · Edu M · B.E</t>
        </is>
      </c>
      <c r="X546" s="33" t="inlineStr">
        <is>
          <t>Open ▸</t>
        </is>
      </c>
      <c r="Y546" s="34" t="str">
        <f>IFERROR(INDEX(DL_C,MATCH($CA546,DL_KEY,0)),"M")</f>
        <v>H</v>
      </c>
      <c r="Z546" s="35" t="str">
        <f>IFERROR(INDEX(DL_Au,MATCH($CA546,DL_KEY,0)),"M")</f>
        <v>M</v>
      </c>
      <c r="AA546" s="35" t="str">
        <f>IFERROR(INDEX(DL_Ac,MATCH($CA546,DL_KEY,0)),"M")</f>
        <v>L</v>
      </c>
      <c r="AB546" s="35" t="str">
        <f>IFERROR(INDEX(DL_L,MATCH($CA546,DL_KEY,0)),"M")</f>
        <v>L</v>
      </c>
      <c r="AC546" s="35" t="str">
        <f>IFERROR(INDEX(DL_BI,MATCH($CA546,DL_KEY,0)),"M")</f>
        <v>L</v>
      </c>
      <c r="AD546" s="35" t="str">
        <f>IFERROR(INDEX(DL_Exp,MATCH($CA546,DL_KEY,0)),"M")</f>
        <v>L</v>
      </c>
      <c r="AE546" s="35" t="str">
        <f>IFERROR(INDEX(DL_Edu,MATCH($CA546,DL_KEY,0)),"M")</f>
        <v>L</v>
      </c>
      <c r="AF546" s="34" t="inlineStr">
        <is>
          <t>M</t>
        </is>
      </c>
      <c r="AG546" s="35" t="inlineStr">
        <is>
          <t>M</t>
        </is>
      </c>
      <c r="AH546" s="35" t="inlineStr">
        <is>
          <t>M</t>
        </is>
      </c>
      <c r="AI546" s="35" t="inlineStr">
        <is>
          <t>M</t>
        </is>
      </c>
      <c r="AJ546" s="35" t="inlineStr">
        <is>
          <t>M</t>
        </is>
      </c>
      <c r="AK546" s="35" t="inlineStr">
        <is>
          <t>M</t>
        </is>
      </c>
      <c r="AL546" s="35" t="inlineStr">
        <is>
          <t>M</t>
        </is>
      </c>
      <c r="AM546" s="36" t="n">
        <v>0.513</v>
      </c>
      <c r="AN546" s="37" t="n">
        <v>0.173</v>
      </c>
      <c r="AO546" s="37" t="n">
        <v>0.09699999999999999</v>
      </c>
      <c r="AP546" s="37" t="n">
        <v>0.05</v>
      </c>
      <c r="AQ546" s="37" t="n">
        <v>0.07000000000000001</v>
      </c>
      <c r="AR546" s="37" t="n">
        <v>0.06</v>
      </c>
      <c r="AS546" s="37" t="n">
        <v>0.04</v>
      </c>
      <c r="AT546" s="38" t="inlineStr">
        <is>
          <t>6–10</t>
        </is>
      </c>
      <c r="AU546" s="38" t="inlineStr">
        <is>
          <t>Graduate or postgraduate; professional qualification preferred</t>
        </is>
      </c>
      <c r="AV546" s="38" t="inlineStr">
        <is>
          <t>IC: none · People: 6–8 knowledge work, 8–12 standardised delivery</t>
        </is>
      </c>
      <c r="AW546" s="38" t="inlineStr">
        <is>
          <t>P4 / M3 · SFIA 4–5</t>
        </is>
      </c>
      <c r="AX54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46" s="39" t="inlineStr">
        <is>
          <t>B2</t>
        </is>
      </c>
      <c r="AZ546" s="40" t="inlineStr">
        <is>
          <t>Band B · Specialist / Manager · Senior Specialist</t>
        </is>
      </c>
      <c r="BA546" s="40" t="inlineStr">
        <is>
          <t>Model B2 from the six ratings, the market-derived weights and rules R1–R13 · then No change · already below the manager</t>
        </is>
      </c>
      <c r="BB546" s="41" t="inlineStr">
        <is>
          <t>B2</t>
        </is>
      </c>
      <c r="BC546" s="40" t="inlineStr">
        <is>
          <t>The six ratings on the market-average weights of Band B · Specialist / POD Lead score 5.18 → B2 · Hay, Mercer IPE and public plans · experience 11.7 yrs vs the B2 market range 6–10</t>
        </is>
      </c>
      <c r="BD546" s="42">
        <f>IF(SUM(BM546,BN546,BO546,BP546,BQ546,BR546,BS546)=0,0,(BM546*BT546+BN546*BU546+BO546*BV546+BP546*BW546+BQ546*BX546+BR546*BY546+BS546*BZ546)/SUM(BM546,BN546,BO546,BP546,BQ546,BR546,BS546))</f>
        <v>0</v>
      </c>
      <c r="BE546" s="41" t="str">
        <f>IF(LEFT(AY546,1)="X",AY546,IF(OR(AY546="B+",AY546="C+"),INDEX(LAD_PC,MAX(1,MIN(14,MATCH(AY546,LAD_PC,0)+IF(BD546&gt;=0.5,1,IF(BD546&lt;=-0.5,-1,0))))),INDEX(LAD_STD,MAX(1,MIN(12,MATCH(AY546,LAD_STD,0)+IF(BD546&gt;=0.5,1,IF(BD546&lt;=-0.5,-1,0)))))))</f>
        <v>B2</v>
      </c>
      <c r="BF546" s="43" t="n"/>
      <c r="BG546" s="41" t="str">
        <f>IF(BF546&lt;&gt;"",BF546,BE546)</f>
        <v>B2</v>
      </c>
      <c r="BH546" s="40" t="str">
        <f>IFERROR(CHOOSE(INDEX(B_RANK,MATCH(BG546,B_LVL,0)),"Band A","Band B","B+ · Player-Coach","Band C","C+ · Player-Coach","Band D","Band E"),"Band X · Consultant")</f>
        <v>Band B</v>
      </c>
      <c r="BI546" s="40" t="str">
        <f>IF(BG546=AY546,"• Same",IF(INDEX(B_VAL,MATCH(BG546,B_LVL,0))&gt;INDEX(B_VAL,MATCH(AY546,B_LVL,0)),"▲ Up","▼ Down"))</f>
        <v>• Same</v>
      </c>
      <c r="BJ546" s="40" t="str">
        <f>IF(OR($M546="",$M546="—",$M546="Not in this file"),"",IFERROR(INDEX($BG$7:$BG$592,MATCH($M546,$D$7:$D$592,0)),""))</f>
        <v>B+</v>
      </c>
      <c r="BK546" s="40" t="str">
        <f>IFERROR(IF(BJ546="","—",IF(OR(LEFT(BG546,1)="X",LEFT(BJ546,1)="X"),"—",IF(AND(LEFT(BG546,1)="E",LEFT(BJ546,1)="E"),"Exception · Band E",IF(AND(INDEX(B_VAL,MATCH(BJ546,B_LVL,0))&gt;=7,INDEX(B_RANK,MATCH(BG546,B_LVL,0))&gt;=INDEX(B_RANK,MATCH(BJ546,B_LVL,0))),"⚠ Same band as a head manager",IF(INDEX(B_VAL,MATCH(BG546,B_LVL,0))&gt;=INDEX(B_VAL,MATCH(BJ546,B_LVL,0)),"⚠ At or above the manager's level","OK"))))),"—")</f>
        <v>OK</v>
      </c>
      <c r="BL546" s="43" t="n"/>
      <c r="BM546" s="44">
        <f>IFERROR(INDEX(LMH_PTS,MATCH(Y546,LMH_KEY,0)),0)</f>
        <v>9</v>
      </c>
      <c r="BN546" s="38">
        <f>IFERROR(INDEX(LMH_PTS,MATCH(Z546,LMH_KEY,0)),0)</f>
        <v>3</v>
      </c>
      <c r="BO546" s="38">
        <f>IFERROR(INDEX(LMH_PTS,MATCH(AA546,LMH_KEY,0)),0)</f>
        <v>1</v>
      </c>
      <c r="BP546" s="38">
        <f>IFERROR(INDEX(LMH_PTS,MATCH(AB546,LMH_KEY,0)),0)</f>
        <v>1</v>
      </c>
      <c r="BQ546" s="38">
        <f>IFERROR(INDEX(LMH_PTS,MATCH(AC546,LMH_KEY,0)),0)</f>
        <v>1</v>
      </c>
      <c r="BR546" s="38">
        <f>IFERROR(INDEX(LMH_PTS,MATCH(AD546,LMH_KEY,0)),0)</f>
        <v>1</v>
      </c>
      <c r="BS546" s="38">
        <f>IFERROR(INDEX(LMH_PTS,MATCH(AE546,LMH_KEY,0)),0)</f>
        <v>1</v>
      </c>
      <c r="BT546" s="38">
        <f>IFERROR(INDEX(LMH_STEP,MATCH(AF546,LMH_KEY,0)),0)</f>
        <v>0</v>
      </c>
      <c r="BU546" s="38">
        <f>IFERROR(INDEX(LMH_STEP,MATCH(AG546,LMH_KEY,0)),0)</f>
        <v>0</v>
      </c>
      <c r="BV546" s="38">
        <f>IFERROR(INDEX(LMH_STEP,MATCH(AH546,LMH_KEY,0)),0)</f>
        <v>0</v>
      </c>
      <c r="BW546" s="38">
        <f>IFERROR(INDEX(LMH_STEP,MATCH(AI546,LMH_KEY,0)),0)</f>
        <v>0</v>
      </c>
      <c r="BX546" s="38">
        <f>IFERROR(INDEX(LMH_STEP,MATCH(AJ546,LMH_KEY,0)),0)</f>
        <v>0</v>
      </c>
      <c r="BY546" s="38">
        <f>IFERROR(INDEX(LMH_STEP,MATCH(AK546,LMH_KEY,0)),0)</f>
        <v>0</v>
      </c>
      <c r="BZ546" s="38">
        <f>IFERROR(INDEX(LMH_STEP,MATCH(AL546,LMH_KEY,0)),0)</f>
        <v>0</v>
      </c>
      <c r="CA546" s="38" t="inlineStr">
        <is>
          <t>iFile|Technology|Senior Technical Specialist|B2|B-IC</t>
        </is>
      </c>
    </row>
    <row r="547" ht="110" customHeight="1">
      <c r="A547" s="28" t="inlineStr">
        <is>
          <t>iFile</t>
        </is>
      </c>
      <c r="B547" s="29" t="inlineStr">
        <is>
          <t>Technology</t>
        </is>
      </c>
      <c r="C547" s="29" t="n">
        <v>2</v>
      </c>
      <c r="D547" s="29" t="inlineStr">
        <is>
          <t>IRIS1804</t>
        </is>
      </c>
      <c r="E547" s="29" t="inlineStr">
        <is>
          <t>Sagar Jadhav</t>
        </is>
      </c>
      <c r="F547" s="29" t="inlineStr">
        <is>
          <t>Lead Software Engineer</t>
        </is>
      </c>
      <c r="G547" s="29" t="inlineStr">
        <is>
          <t>Engineering Manager</t>
        </is>
      </c>
      <c r="H547" s="29" t="inlineStr">
        <is>
          <t>Engineering &amp; Development</t>
        </is>
      </c>
      <c r="I547" s="29" t="inlineStr">
        <is>
          <t>Full-Stack Development</t>
        </is>
      </c>
      <c r="J547" s="29" t="inlineStr">
        <is>
          <t>People Manager</t>
        </is>
      </c>
      <c r="K547" s="29" t="inlineStr">
        <is>
          <t>RC-088</t>
        </is>
      </c>
      <c r="L547" s="29" t="inlineStr">
        <is>
          <t>Suman Kumar</t>
        </is>
      </c>
      <c r="M547" s="29" t="inlineStr">
        <is>
          <t>IRIS1689</t>
        </is>
      </c>
      <c r="N547" s="29" t="n">
        <v>13.1</v>
      </c>
      <c r="O547" s="29" t="n">
        <v>7.1</v>
      </c>
      <c r="P547" s="29" t="inlineStr">
        <is>
          <t>B.E</t>
        </is>
      </c>
      <c r="Q547" s="29" t="inlineStr">
        <is>
          <t>L5 – Lead · IC</t>
        </is>
      </c>
      <c r="R547" s="29" t="inlineStr">
        <is>
          <t>B2</t>
        </is>
      </c>
      <c r="S547" s="30" t="inlineStr">
        <is>
          <t>20 of 20</t>
        </is>
      </c>
      <c r="T547" s="31" t="inlineStr">
        <is>
          <t>Business Impact: Moved +0.5: the survey / manager mapping marks it business-critical.</t>
        </is>
      </c>
      <c r="U547" s="31" t="inlineStr">
        <is>
          <t>Received · manager annual, quarterly, self · 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t>
        </is>
      </c>
      <c r="V547" s="31" t="inlineStr">
        <is>
          <t>Latest rating: 4 · Potential: High · 9-box: High Impact / Growth Talent · Readiness: Ready now</t>
        </is>
      </c>
      <c r="W547" s="31" t="inlineStr">
        <is>
          <t>C M · Au M · Ac M · L M · BI M · Exp H · 13.1 yrs vs 6–9 yrs · Edu M · B.E</t>
        </is>
      </c>
      <c r="X547" s="33" t="inlineStr">
        <is>
          <t>Open ▸</t>
        </is>
      </c>
      <c r="Y547" s="34" t="str">
        <f>IFERROR(INDEX(DL_C,MATCH($CA547,DL_KEY,0)),"M")</f>
        <v>H</v>
      </c>
      <c r="Z547" s="35" t="str">
        <f>IFERROR(INDEX(DL_Au,MATCH($CA547,DL_KEY,0)),"M")</f>
        <v>M</v>
      </c>
      <c r="AA547" s="35" t="str">
        <f>IFERROR(INDEX(DL_Ac,MATCH($CA547,DL_KEY,0)),"M")</f>
        <v>L</v>
      </c>
      <c r="AB547" s="35" t="str">
        <f>IFERROR(INDEX(DL_L,MATCH($CA547,DL_KEY,0)),"M")</f>
        <v>M</v>
      </c>
      <c r="AC547" s="35" t="str">
        <f>IFERROR(INDEX(DL_BI,MATCH($CA547,DL_KEY,0)),"M")</f>
        <v>L</v>
      </c>
      <c r="AD547" s="35" t="str">
        <f>IFERROR(INDEX(DL_Exp,MATCH($CA547,DL_KEY,0)),"M")</f>
        <v>L</v>
      </c>
      <c r="AE547" s="35" t="str">
        <f>IFERROR(INDEX(DL_Edu,MATCH($CA547,DL_KEY,0)),"M")</f>
        <v>L</v>
      </c>
      <c r="AF547" s="34" t="inlineStr">
        <is>
          <t>M</t>
        </is>
      </c>
      <c r="AG547" s="35" t="inlineStr">
        <is>
          <t>M</t>
        </is>
      </c>
      <c r="AH547" s="35" t="inlineStr">
        <is>
          <t>M</t>
        </is>
      </c>
      <c r="AI547" s="35" t="inlineStr">
        <is>
          <t>M</t>
        </is>
      </c>
      <c r="AJ547" s="35" t="inlineStr">
        <is>
          <t>M</t>
        </is>
      </c>
      <c r="AK547" s="35" t="inlineStr">
        <is>
          <t>M</t>
        </is>
      </c>
      <c r="AL547" s="35" t="inlineStr">
        <is>
          <t>M</t>
        </is>
      </c>
      <c r="AM547" s="36" t="n">
        <v>0.37</v>
      </c>
      <c r="AN547" s="37" t="n">
        <v>0.183</v>
      </c>
      <c r="AO547" s="37" t="n">
        <v>0.113</v>
      </c>
      <c r="AP547" s="37" t="n">
        <v>0.15</v>
      </c>
      <c r="AQ547" s="37" t="n">
        <v>0.08699999999999999</v>
      </c>
      <c r="AR547" s="37" t="n">
        <v>0.06</v>
      </c>
      <c r="AS547" s="37" t="n">
        <v>0.04</v>
      </c>
      <c r="AT547" s="38" t="inlineStr">
        <is>
          <t>6–10</t>
        </is>
      </c>
      <c r="AU547" s="38" t="inlineStr">
        <is>
          <t>Graduate or postgraduate; professional qualification preferred</t>
        </is>
      </c>
      <c r="AV547" s="38" t="inlineStr">
        <is>
          <t>IC: none · People: 6–8 knowledge work, 8–12 standardised delivery</t>
        </is>
      </c>
      <c r="AW547" s="38" t="inlineStr">
        <is>
          <t>P4 / M3 · SFIA 4–5</t>
        </is>
      </c>
      <c r="AX54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47" s="39" t="inlineStr">
        <is>
          <t>B2</t>
        </is>
      </c>
      <c r="AZ547" s="40" t="inlineStr">
        <is>
          <t>Band B · Specialist / Manager · Manager</t>
        </is>
      </c>
      <c r="BA547" s="40" t="inlineStr">
        <is>
          <t>Model B2 from the six ratings, the market-derived weights and rules R1–R13 · then No change · already below the manager</t>
        </is>
      </c>
      <c r="BB547" s="41" t="inlineStr">
        <is>
          <t>B2</t>
        </is>
      </c>
      <c r="BC547" s="40" t="inlineStr">
        <is>
          <t>The six ratings on the market-average weights of Band B · People Manager score 5.12 → B2 · Hay, Mercer IPE and public plans · experience 13.1 yrs vs the B2 market range 6–10</t>
        </is>
      </c>
      <c r="BD547" s="42">
        <f>IF(SUM(BM547,BN547,BO547,BP547,BQ547,BR547,BS547)=0,0,(BM547*BT547+BN547*BU547+BO547*BV547+BP547*BW547+BQ547*BX547+BR547*BY547+BS547*BZ547)/SUM(BM547,BN547,BO547,BP547,BQ547,BR547,BS547))</f>
        <v>0</v>
      </c>
      <c r="BE547" s="41" t="str">
        <f>IF(LEFT(AY547,1)="X",AY547,IF(OR(AY547="B+",AY547="C+"),INDEX(LAD_PC,MAX(1,MIN(14,MATCH(AY547,LAD_PC,0)+IF(BD547&gt;=0.5,1,IF(BD547&lt;=-0.5,-1,0))))),INDEX(LAD_STD,MAX(1,MIN(12,MATCH(AY547,LAD_STD,0)+IF(BD547&gt;=0.5,1,IF(BD547&lt;=-0.5,-1,0)))))))</f>
        <v>B2</v>
      </c>
      <c r="BF547" s="43" t="n"/>
      <c r="BG547" s="41" t="str">
        <f>IF(BF547&lt;&gt;"",BF547,BE547)</f>
        <v>B2</v>
      </c>
      <c r="BH547" s="40" t="str">
        <f>IFERROR(CHOOSE(INDEX(B_RANK,MATCH(BG547,B_LVL,0)),"Band A","Band B","B+ · Player-Coach","Band C","C+ · Player-Coach","Band D","Band E"),"Band X · Consultant")</f>
        <v>Band B</v>
      </c>
      <c r="BI547" s="40" t="str">
        <f>IF(BG547=AY547,"• Same",IF(INDEX(B_VAL,MATCH(BG547,B_LVL,0))&gt;INDEX(B_VAL,MATCH(AY547,B_LVL,0)),"▲ Up","▼ Down"))</f>
        <v>• Same</v>
      </c>
      <c r="BJ547" s="40" t="str">
        <f>IF(OR($M547="",$M547="—",$M547="Not in this file"),"",IFERROR(INDEX($BG$7:$BG$592,MATCH($M547,$D$7:$D$592,0)),""))</f>
        <v>B+</v>
      </c>
      <c r="BK547" s="40" t="str">
        <f>IFERROR(IF(BJ547="","—",IF(OR(LEFT(BG547,1)="X",LEFT(BJ547,1)="X"),"—",IF(AND(LEFT(BG547,1)="E",LEFT(BJ547,1)="E"),"Exception · Band E",IF(AND(INDEX(B_VAL,MATCH(BJ547,B_LVL,0))&gt;=7,INDEX(B_RANK,MATCH(BG547,B_LVL,0))&gt;=INDEX(B_RANK,MATCH(BJ547,B_LVL,0))),"⚠ Same band as a head manager",IF(INDEX(B_VAL,MATCH(BG547,B_LVL,0))&gt;=INDEX(B_VAL,MATCH(BJ547,B_LVL,0)),"⚠ At or above the manager's level","OK"))))),"—")</f>
        <v>OK</v>
      </c>
      <c r="BL547" s="43" t="n"/>
      <c r="BM547" s="44">
        <f>IFERROR(INDEX(LMH_PTS,MATCH(Y547,LMH_KEY,0)),0)</f>
        <v>9</v>
      </c>
      <c r="BN547" s="38">
        <f>IFERROR(INDEX(LMH_PTS,MATCH(Z547,LMH_KEY,0)),0)</f>
        <v>3</v>
      </c>
      <c r="BO547" s="38">
        <f>IFERROR(INDEX(LMH_PTS,MATCH(AA547,LMH_KEY,0)),0)</f>
        <v>1</v>
      </c>
      <c r="BP547" s="38">
        <f>IFERROR(INDEX(LMH_PTS,MATCH(AB547,LMH_KEY,0)),0)</f>
        <v>3</v>
      </c>
      <c r="BQ547" s="38">
        <f>IFERROR(INDEX(LMH_PTS,MATCH(AC547,LMH_KEY,0)),0)</f>
        <v>1</v>
      </c>
      <c r="BR547" s="38">
        <f>IFERROR(INDEX(LMH_PTS,MATCH(AD547,LMH_KEY,0)),0)</f>
        <v>1</v>
      </c>
      <c r="BS547" s="38">
        <f>IFERROR(INDEX(LMH_PTS,MATCH(AE547,LMH_KEY,0)),0)</f>
        <v>1</v>
      </c>
      <c r="BT547" s="38">
        <f>IFERROR(INDEX(LMH_STEP,MATCH(AF547,LMH_KEY,0)),0)</f>
        <v>0</v>
      </c>
      <c r="BU547" s="38">
        <f>IFERROR(INDEX(LMH_STEP,MATCH(AG547,LMH_KEY,0)),0)</f>
        <v>0</v>
      </c>
      <c r="BV547" s="38">
        <f>IFERROR(INDEX(LMH_STEP,MATCH(AH547,LMH_KEY,0)),0)</f>
        <v>0</v>
      </c>
      <c r="BW547" s="38">
        <f>IFERROR(INDEX(LMH_STEP,MATCH(AI547,LMH_KEY,0)),0)</f>
        <v>0</v>
      </c>
      <c r="BX547" s="38">
        <f>IFERROR(INDEX(LMH_STEP,MATCH(AJ547,LMH_KEY,0)),0)</f>
        <v>0</v>
      </c>
      <c r="BY547" s="38">
        <f>IFERROR(INDEX(LMH_STEP,MATCH(AK547,LMH_KEY,0)),0)</f>
        <v>0</v>
      </c>
      <c r="BZ547" s="38">
        <f>IFERROR(INDEX(LMH_STEP,MATCH(AL547,LMH_KEY,0)),0)</f>
        <v>0</v>
      </c>
      <c r="CA547" s="38" t="inlineStr">
        <is>
          <t>iFile|Technology|Engineering Manager|B2|B-M</t>
        </is>
      </c>
    </row>
    <row r="548" ht="110" customHeight="1">
      <c r="A548" s="28" t="inlineStr">
        <is>
          <t>iFile</t>
        </is>
      </c>
      <c r="B548" s="29" t="inlineStr">
        <is>
          <t>Technology</t>
        </is>
      </c>
      <c r="C548" s="29" t="n">
        <v>3</v>
      </c>
      <c r="D548" s="29" t="inlineStr">
        <is>
          <t>IRIS2293</t>
        </is>
      </c>
      <c r="E548" s="29" t="inlineStr">
        <is>
          <t>Chetan Yerpude</t>
        </is>
      </c>
      <c r="F548" s="29" t="inlineStr">
        <is>
          <t>Software Engineer</t>
        </is>
      </c>
      <c r="G548" s="29" t="inlineStr">
        <is>
          <t>Senior Software Engineer</t>
        </is>
      </c>
      <c r="H548" s="29" t="inlineStr">
        <is>
          <t>Engineering &amp; Development</t>
        </is>
      </c>
      <c r="I548" s="29" t="inlineStr">
        <is>
          <t>Backend Development</t>
        </is>
      </c>
      <c r="J548" s="29" t="inlineStr">
        <is>
          <t>IC</t>
        </is>
      </c>
      <c r="K548" s="29" t="inlineStr">
        <is>
          <t>RC-067</t>
        </is>
      </c>
      <c r="L548" s="29" t="inlineStr">
        <is>
          <t>Sagar Jadhav</t>
        </is>
      </c>
      <c r="M548" s="29" t="inlineStr">
        <is>
          <t>IRIS1804</t>
        </is>
      </c>
      <c r="N548" s="29" t="n">
        <v>6.2</v>
      </c>
      <c r="O548" s="29" t="n">
        <v>2.2</v>
      </c>
      <c r="P548" s="29" t="inlineStr">
        <is>
          <t>B.Tech + PG diploma in Advance Computing · CDAC</t>
        </is>
      </c>
      <c r="Q548" s="29" t="inlineStr">
        <is>
          <t>L3 – Professional / Associate</t>
        </is>
      </c>
      <c r="R548" s="29" t="inlineStr">
        <is>
          <t>A3</t>
        </is>
      </c>
      <c r="S548" s="30" t="inlineStr">
        <is>
          <t>20 of 20</t>
        </is>
      </c>
      <c r="T548" s="31" t="inlineStr">
        <is>
          <t>Business Impact: Moved +0.5: the survey / manager mapping marks it business-critical.</t>
        </is>
      </c>
      <c r="U548" s="31" t="inlineStr">
        <is>
          <t>Received · manager annual, quarterly, self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548" s="31" t="inlineStr">
        <is>
          <t>Latest rating: 3 · Potential: Medium · 9-box: Core Contributor · Readiness: Develop in role</t>
        </is>
      </c>
      <c r="W548" s="31" t="inlineStr">
        <is>
          <t>C M · Au L · Ac M · L L · BI M · Exp H · 6.2 yrs vs 2–4 yrs · Edu H · B.Tech + PG diploma in Advance Computing · CDAC</t>
        </is>
      </c>
      <c r="X548" s="33" t="inlineStr">
        <is>
          <t>Open ▸</t>
        </is>
      </c>
      <c r="Y548" s="34" t="str">
        <f>IFERROR(INDEX(DL_C,MATCH($CA548,DL_KEY,0)),"M")</f>
        <v>H</v>
      </c>
      <c r="Z548" s="35" t="str">
        <f>IFERROR(INDEX(DL_Au,MATCH($CA548,DL_KEY,0)),"M")</f>
        <v>M</v>
      </c>
      <c r="AA548" s="35" t="str">
        <f>IFERROR(INDEX(DL_Ac,MATCH($CA548,DL_KEY,0)),"M")</f>
        <v>L</v>
      </c>
      <c r="AB548" s="35" t="str">
        <f>IFERROR(INDEX(DL_L,MATCH($CA548,DL_KEY,0)),"M")</f>
        <v>L</v>
      </c>
      <c r="AC548" s="35" t="str">
        <f>IFERROR(INDEX(DL_BI,MATCH($CA548,DL_KEY,0)),"M")</f>
        <v>L</v>
      </c>
      <c r="AD548" s="35" t="str">
        <f>IFERROR(INDEX(DL_Exp,MATCH($CA548,DL_KEY,0)),"M")</f>
        <v>L</v>
      </c>
      <c r="AE548" s="35" t="str">
        <f>IFERROR(INDEX(DL_Edu,MATCH($CA548,DL_KEY,0)),"M")</f>
        <v>L</v>
      </c>
      <c r="AF548" s="34" t="inlineStr">
        <is>
          <t>M</t>
        </is>
      </c>
      <c r="AG548" s="35" t="inlineStr">
        <is>
          <t>M</t>
        </is>
      </c>
      <c r="AH548" s="35" t="inlineStr">
        <is>
          <t>M</t>
        </is>
      </c>
      <c r="AI548" s="35" t="inlineStr">
        <is>
          <t>M</t>
        </is>
      </c>
      <c r="AJ548" s="35" t="inlineStr">
        <is>
          <t>M</t>
        </is>
      </c>
      <c r="AK548" s="35" t="inlineStr">
        <is>
          <t>M</t>
        </is>
      </c>
      <c r="AL548" s="35" t="inlineStr">
        <is>
          <t>M</t>
        </is>
      </c>
      <c r="AM548" s="36" t="n">
        <v>0.583</v>
      </c>
      <c r="AN548" s="37" t="n">
        <v>0.16</v>
      </c>
      <c r="AO548" s="37" t="n">
        <v>0.09</v>
      </c>
      <c r="AP548" s="37" t="n">
        <v>0</v>
      </c>
      <c r="AQ548" s="37" t="n">
        <v>0.063</v>
      </c>
      <c r="AR548" s="37" t="n">
        <v>0.06</v>
      </c>
      <c r="AS548" s="37" t="n">
        <v>0.04</v>
      </c>
      <c r="AT548" s="38" t="inlineStr">
        <is>
          <t>2–5</t>
        </is>
      </c>
      <c r="AU548" s="38" t="inlineStr">
        <is>
          <t>Graduate; relevant certification preferred</t>
        </is>
      </c>
      <c r="AV548" s="38" t="inlineStr">
        <is>
          <t>None · guides 1–3 juniors informally</t>
        </is>
      </c>
      <c r="AW548" s="38" t="inlineStr">
        <is>
          <t>P2 · SFIA 3 Apply</t>
        </is>
      </c>
      <c r="AX54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48" s="39" t="inlineStr">
        <is>
          <t>A3</t>
        </is>
      </c>
      <c r="AZ548" s="40" t="inlineStr">
        <is>
          <t>Band A · Practitioner · Senior Associate</t>
        </is>
      </c>
      <c r="BA548" s="40" t="inlineStr">
        <is>
          <t>Model A3 from the six ratings, the market-derived weights and rules R1–R13 · then No change · already below the manager</t>
        </is>
      </c>
      <c r="BB548" s="41" t="inlineStr">
        <is>
          <t>A3</t>
        </is>
      </c>
      <c r="BC548" s="40" t="inlineStr">
        <is>
          <t>The six ratings on the market-average weights of Band A · all tracks score 2.70 → A3 · Hay, Mercer IPE and public plans · experience 6.2 yrs vs the A3 market range 2–5</t>
        </is>
      </c>
      <c r="BD548" s="42">
        <f>IF(SUM(BM548,BN548,BO548,BP548,BQ548,BR548,BS548)=0,0,(BM548*BT548+BN548*BU548+BO548*BV548+BP548*BW548+BQ548*BX548+BR548*BY548+BS548*BZ548)/SUM(BM548,BN548,BO548,BP548,BQ548,BR548,BS548))</f>
        <v>0</v>
      </c>
      <c r="BE548" s="41" t="str">
        <f>IF(LEFT(AY548,1)="X",AY548,IF(OR(AY548="B+",AY548="C+"),INDEX(LAD_PC,MAX(1,MIN(14,MATCH(AY548,LAD_PC,0)+IF(BD548&gt;=0.5,1,IF(BD548&lt;=-0.5,-1,0))))),INDEX(LAD_STD,MAX(1,MIN(12,MATCH(AY548,LAD_STD,0)+IF(BD548&gt;=0.5,1,IF(BD548&lt;=-0.5,-1,0)))))))</f>
        <v>A3</v>
      </c>
      <c r="BF548" s="43" t="n"/>
      <c r="BG548" s="41" t="str">
        <f>IF(BF548&lt;&gt;"",BF548,BE548)</f>
        <v>A3</v>
      </c>
      <c r="BH548" s="40" t="str">
        <f>IFERROR(CHOOSE(INDEX(B_RANK,MATCH(BG548,B_LVL,0)),"Band A","Band B","B+ · Player-Coach","Band C","C+ · Player-Coach","Band D","Band E"),"Band X · Consultant")</f>
        <v>Band A</v>
      </c>
      <c r="BI548" s="40" t="str">
        <f>IF(BG548=AY548,"• Same",IF(INDEX(B_VAL,MATCH(BG548,B_LVL,0))&gt;INDEX(B_VAL,MATCH(AY548,B_LVL,0)),"▲ Up","▼ Down"))</f>
        <v>• Same</v>
      </c>
      <c r="BJ548" s="40" t="str">
        <f>IF(OR($M548="",$M548="—",$M548="Not in this file"),"",IFERROR(INDEX($BG$7:$BG$592,MATCH($M548,$D$7:$D$592,0)),""))</f>
        <v>B2</v>
      </c>
      <c r="BK548" s="40" t="str">
        <f>IFERROR(IF(BJ548="","—",IF(OR(LEFT(BG548,1)="X",LEFT(BJ548,1)="X"),"—",IF(AND(LEFT(BG548,1)="E",LEFT(BJ548,1)="E"),"Exception · Band E",IF(AND(INDEX(B_VAL,MATCH(BJ548,B_LVL,0))&gt;=7,INDEX(B_RANK,MATCH(BG548,B_LVL,0))&gt;=INDEX(B_RANK,MATCH(BJ548,B_LVL,0))),"⚠ Same band as a head manager",IF(INDEX(B_VAL,MATCH(BG548,B_LVL,0))&gt;=INDEX(B_VAL,MATCH(BJ548,B_LVL,0)),"⚠ At or above the manager's level","OK"))))),"—")</f>
        <v>OK</v>
      </c>
      <c r="BL548" s="43" t="n"/>
      <c r="BM548" s="44">
        <f>IFERROR(INDEX(LMH_PTS,MATCH(Y548,LMH_KEY,0)),0)</f>
        <v>9</v>
      </c>
      <c r="BN548" s="38">
        <f>IFERROR(INDEX(LMH_PTS,MATCH(Z548,LMH_KEY,0)),0)</f>
        <v>3</v>
      </c>
      <c r="BO548" s="38">
        <f>IFERROR(INDEX(LMH_PTS,MATCH(AA548,LMH_KEY,0)),0)</f>
        <v>1</v>
      </c>
      <c r="BP548" s="38">
        <f>IFERROR(INDEX(LMH_PTS,MATCH(AB548,LMH_KEY,0)),0)</f>
        <v>1</v>
      </c>
      <c r="BQ548" s="38">
        <f>IFERROR(INDEX(LMH_PTS,MATCH(AC548,LMH_KEY,0)),0)</f>
        <v>1</v>
      </c>
      <c r="BR548" s="38">
        <f>IFERROR(INDEX(LMH_PTS,MATCH(AD548,LMH_KEY,0)),0)</f>
        <v>1</v>
      </c>
      <c r="BS548" s="38">
        <f>IFERROR(INDEX(LMH_PTS,MATCH(AE548,LMH_KEY,0)),0)</f>
        <v>1</v>
      </c>
      <c r="BT548" s="38">
        <f>IFERROR(INDEX(LMH_STEP,MATCH(AF548,LMH_KEY,0)),0)</f>
        <v>0</v>
      </c>
      <c r="BU548" s="38">
        <f>IFERROR(INDEX(LMH_STEP,MATCH(AG548,LMH_KEY,0)),0)</f>
        <v>0</v>
      </c>
      <c r="BV548" s="38">
        <f>IFERROR(INDEX(LMH_STEP,MATCH(AH548,LMH_KEY,0)),0)</f>
        <v>0</v>
      </c>
      <c r="BW548" s="38">
        <f>IFERROR(INDEX(LMH_STEP,MATCH(AI548,LMH_KEY,0)),0)</f>
        <v>0</v>
      </c>
      <c r="BX548" s="38">
        <f>IFERROR(INDEX(LMH_STEP,MATCH(AJ548,LMH_KEY,0)),0)</f>
        <v>0</v>
      </c>
      <c r="BY548" s="38">
        <f>IFERROR(INDEX(LMH_STEP,MATCH(AK548,LMH_KEY,0)),0)</f>
        <v>0</v>
      </c>
      <c r="BZ548" s="38">
        <f>IFERROR(INDEX(LMH_STEP,MATCH(AL548,LMH_KEY,0)),0)</f>
        <v>0</v>
      </c>
      <c r="CA548" s="38" t="inlineStr">
        <is>
          <t>iFile|Technology|Senior Software Engineer|A3|A</t>
        </is>
      </c>
    </row>
    <row r="549" ht="110" customHeight="1">
      <c r="A549" s="28" t="inlineStr">
        <is>
          <t>iFile</t>
        </is>
      </c>
      <c r="B549" s="29" t="inlineStr">
        <is>
          <t>Technology</t>
        </is>
      </c>
      <c r="C549" s="29" t="n">
        <v>3</v>
      </c>
      <c r="D549" s="29" t="inlineStr">
        <is>
          <t>IRIS2221</t>
        </is>
      </c>
      <c r="E549" s="29" t="inlineStr">
        <is>
          <t>Rajshree Bhosale</t>
        </is>
      </c>
      <c r="F549" s="29" t="inlineStr">
        <is>
          <t>Software Engineer</t>
        </is>
      </c>
      <c r="G549" s="29" t="inlineStr">
        <is>
          <t>Senior UI Developer</t>
        </is>
      </c>
      <c r="H549" s="29" t="inlineStr">
        <is>
          <t>Engineering &amp; Development</t>
        </is>
      </c>
      <c r="I549" s="29" t="inlineStr">
        <is>
          <t>Front-End / UI Development</t>
        </is>
      </c>
      <c r="J549" s="29" t="inlineStr">
        <is>
          <t>IC</t>
        </is>
      </c>
      <c r="K549" s="29" t="inlineStr">
        <is>
          <t>RC-081</t>
        </is>
      </c>
      <c r="L549" s="29" t="inlineStr">
        <is>
          <t>Sagar Jadhav</t>
        </is>
      </c>
      <c r="M549" s="29" t="inlineStr">
        <is>
          <t>IRIS1804</t>
        </is>
      </c>
      <c r="N549" s="29" t="n">
        <v>6.2</v>
      </c>
      <c r="O549" s="29" t="n">
        <v>2.7</v>
      </c>
      <c r="P549" s="29" t="inlineStr">
        <is>
          <t>MCA</t>
        </is>
      </c>
      <c r="Q549" s="29" t="inlineStr">
        <is>
          <t>L3 – Professional / Associate</t>
        </is>
      </c>
      <c r="R549" s="29" t="inlineStr">
        <is>
          <t>A3</t>
        </is>
      </c>
      <c r="S549" s="30" t="inlineStr">
        <is>
          <t>20 of 20</t>
        </is>
      </c>
      <c r="T549" s="31" t="inlineStr">
        <is>
          <t>Complexity: Evidence reads like A3: Decides project structure, builds UI and API integration; KRA: Angular 16-to-21 migration and lint/Sonar setup → moved up 0.5
Autonomy: Evidence reads like A3: Decides code and project structure and how to fix issues → moved up 0.5
Accountability: Evidence reads like A3: KRA: owns Payment Management module front end …</t>
        </is>
      </c>
      <c r="U549" s="31" t="inlineStr">
        <is>
          <t>Received · manager annual, quarterly, self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549" s="31" t="inlineStr">
        <is>
          <t>Latest rating: 4 · Potential: High · 9-box: High Impact / Growth Talent · Readiness: Ready now</t>
        </is>
      </c>
      <c r="W549" s="31" t="inlineStr">
        <is>
          <t>C M · Au M · Ac M · L L · BI M · Exp H · 6.2 yrs vs 2–4 yrs · Edu H · MCA</t>
        </is>
      </c>
      <c r="X549" s="33" t="inlineStr">
        <is>
          <t>Open ▸</t>
        </is>
      </c>
      <c r="Y549" s="34" t="str">
        <f>IFERROR(INDEX(DL_C,MATCH($CA549,DL_KEY,0)),"M")</f>
        <v>H</v>
      </c>
      <c r="Z549" s="35" t="str">
        <f>IFERROR(INDEX(DL_Au,MATCH($CA549,DL_KEY,0)),"M")</f>
        <v>M</v>
      </c>
      <c r="AA549" s="35" t="str">
        <f>IFERROR(INDEX(DL_Ac,MATCH($CA549,DL_KEY,0)),"M")</f>
        <v>L</v>
      </c>
      <c r="AB549" s="35" t="str">
        <f>IFERROR(INDEX(DL_L,MATCH($CA549,DL_KEY,0)),"M")</f>
        <v>L</v>
      </c>
      <c r="AC549" s="35" t="str">
        <f>IFERROR(INDEX(DL_BI,MATCH($CA549,DL_KEY,0)),"M")</f>
        <v>L</v>
      </c>
      <c r="AD549" s="35" t="str">
        <f>IFERROR(INDEX(DL_Exp,MATCH($CA549,DL_KEY,0)),"M")</f>
        <v>L</v>
      </c>
      <c r="AE549" s="35" t="str">
        <f>IFERROR(INDEX(DL_Edu,MATCH($CA549,DL_KEY,0)),"M")</f>
        <v>L</v>
      </c>
      <c r="AF549" s="34" t="inlineStr">
        <is>
          <t>M</t>
        </is>
      </c>
      <c r="AG549" s="35" t="inlineStr">
        <is>
          <t>M</t>
        </is>
      </c>
      <c r="AH549" s="35" t="inlineStr">
        <is>
          <t>M</t>
        </is>
      </c>
      <c r="AI549" s="35" t="inlineStr">
        <is>
          <t>M</t>
        </is>
      </c>
      <c r="AJ549" s="35" t="inlineStr">
        <is>
          <t>M</t>
        </is>
      </c>
      <c r="AK549" s="35" t="inlineStr">
        <is>
          <t>M</t>
        </is>
      </c>
      <c r="AL549" s="35" t="inlineStr">
        <is>
          <t>M</t>
        </is>
      </c>
      <c r="AM549" s="36" t="n">
        <v>0.583</v>
      </c>
      <c r="AN549" s="37" t="n">
        <v>0.16</v>
      </c>
      <c r="AO549" s="37" t="n">
        <v>0.09</v>
      </c>
      <c r="AP549" s="37" t="n">
        <v>0</v>
      </c>
      <c r="AQ549" s="37" t="n">
        <v>0.063</v>
      </c>
      <c r="AR549" s="37" t="n">
        <v>0.06</v>
      </c>
      <c r="AS549" s="37" t="n">
        <v>0.04</v>
      </c>
      <c r="AT549" s="38" t="inlineStr">
        <is>
          <t>2–5</t>
        </is>
      </c>
      <c r="AU549" s="38" t="inlineStr">
        <is>
          <t>Graduate; relevant certification preferred</t>
        </is>
      </c>
      <c r="AV549" s="38" t="inlineStr">
        <is>
          <t>None · guides 1–3 juniors informally</t>
        </is>
      </c>
      <c r="AW549" s="38" t="inlineStr">
        <is>
          <t>P2 · SFIA 3 Apply</t>
        </is>
      </c>
      <c r="AX54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49" s="39" t="inlineStr">
        <is>
          <t>A3</t>
        </is>
      </c>
      <c r="AZ549" s="40" t="inlineStr">
        <is>
          <t>Band A · Practitioner · Senior Associate</t>
        </is>
      </c>
      <c r="BA549" s="40" t="inlineStr">
        <is>
          <t>Model A3 from the six ratings, the market-derived weights and rules R1–R13 · then No change · already below the manager</t>
        </is>
      </c>
      <c r="BB549" s="41" t="inlineStr">
        <is>
          <t>A3</t>
        </is>
      </c>
      <c r="BC549" s="40" t="inlineStr">
        <is>
          <t>The six ratings on the market-average weights of Band A · all tracks score 2.78 → A3 · Hay, Mercer IPE and public plans · experience 6.2 yrs vs the A3 market range 2–5</t>
        </is>
      </c>
      <c r="BD549" s="42">
        <f>IF(SUM(BM549,BN549,BO549,BP549,BQ549,BR549,BS549)=0,0,(BM549*BT549+BN549*BU549+BO549*BV549+BP549*BW549+BQ549*BX549+BR549*BY549+BS549*BZ549)/SUM(BM549,BN549,BO549,BP549,BQ549,BR549,BS549))</f>
        <v>0</v>
      </c>
      <c r="BE549" s="41" t="str">
        <f>IF(LEFT(AY549,1)="X",AY549,IF(OR(AY549="B+",AY549="C+"),INDEX(LAD_PC,MAX(1,MIN(14,MATCH(AY549,LAD_PC,0)+IF(BD549&gt;=0.5,1,IF(BD549&lt;=-0.5,-1,0))))),INDEX(LAD_STD,MAX(1,MIN(12,MATCH(AY549,LAD_STD,0)+IF(BD549&gt;=0.5,1,IF(BD549&lt;=-0.5,-1,0)))))))</f>
        <v>A3</v>
      </c>
      <c r="BF549" s="43" t="n"/>
      <c r="BG549" s="41" t="str">
        <f>IF(BF549&lt;&gt;"",BF549,BE549)</f>
        <v>A3</v>
      </c>
      <c r="BH549" s="40" t="str">
        <f>IFERROR(CHOOSE(INDEX(B_RANK,MATCH(BG549,B_LVL,0)),"Band A","Band B","B+ · Player-Coach","Band C","C+ · Player-Coach","Band D","Band E"),"Band X · Consultant")</f>
        <v>Band A</v>
      </c>
      <c r="BI549" s="40" t="str">
        <f>IF(BG549=AY549,"• Same",IF(INDEX(B_VAL,MATCH(BG549,B_LVL,0))&gt;INDEX(B_VAL,MATCH(AY549,B_LVL,0)),"▲ Up","▼ Down"))</f>
        <v>• Same</v>
      </c>
      <c r="BJ549" s="40" t="str">
        <f>IF(OR($M549="",$M549="—",$M549="Not in this file"),"",IFERROR(INDEX($BG$7:$BG$592,MATCH($M549,$D$7:$D$592,0)),""))</f>
        <v>B2</v>
      </c>
      <c r="BK549" s="40" t="str">
        <f>IFERROR(IF(BJ549="","—",IF(OR(LEFT(BG549,1)="X",LEFT(BJ549,1)="X"),"—",IF(AND(LEFT(BG549,1)="E",LEFT(BJ549,1)="E"),"Exception · Band E",IF(AND(INDEX(B_VAL,MATCH(BJ549,B_LVL,0))&gt;=7,INDEX(B_RANK,MATCH(BG549,B_LVL,0))&gt;=INDEX(B_RANK,MATCH(BJ549,B_LVL,0))),"⚠ Same band as a head manager",IF(INDEX(B_VAL,MATCH(BG549,B_LVL,0))&gt;=INDEX(B_VAL,MATCH(BJ549,B_LVL,0)),"⚠ At or above the manager's level","OK"))))),"—")</f>
        <v>OK</v>
      </c>
      <c r="BL549" s="43" t="n"/>
      <c r="BM549" s="44">
        <f>IFERROR(INDEX(LMH_PTS,MATCH(Y549,LMH_KEY,0)),0)</f>
        <v>9</v>
      </c>
      <c r="BN549" s="38">
        <f>IFERROR(INDEX(LMH_PTS,MATCH(Z549,LMH_KEY,0)),0)</f>
        <v>3</v>
      </c>
      <c r="BO549" s="38">
        <f>IFERROR(INDEX(LMH_PTS,MATCH(AA549,LMH_KEY,0)),0)</f>
        <v>1</v>
      </c>
      <c r="BP549" s="38">
        <f>IFERROR(INDEX(LMH_PTS,MATCH(AB549,LMH_KEY,0)),0)</f>
        <v>1</v>
      </c>
      <c r="BQ549" s="38">
        <f>IFERROR(INDEX(LMH_PTS,MATCH(AC549,LMH_KEY,0)),0)</f>
        <v>1</v>
      </c>
      <c r="BR549" s="38">
        <f>IFERROR(INDEX(LMH_PTS,MATCH(AD549,LMH_KEY,0)),0)</f>
        <v>1</v>
      </c>
      <c r="BS549" s="38">
        <f>IFERROR(INDEX(LMH_PTS,MATCH(AE549,LMH_KEY,0)),0)</f>
        <v>1</v>
      </c>
      <c r="BT549" s="38">
        <f>IFERROR(INDEX(LMH_STEP,MATCH(AF549,LMH_KEY,0)),0)</f>
        <v>0</v>
      </c>
      <c r="BU549" s="38">
        <f>IFERROR(INDEX(LMH_STEP,MATCH(AG549,LMH_KEY,0)),0)</f>
        <v>0</v>
      </c>
      <c r="BV549" s="38">
        <f>IFERROR(INDEX(LMH_STEP,MATCH(AH549,LMH_KEY,0)),0)</f>
        <v>0</v>
      </c>
      <c r="BW549" s="38">
        <f>IFERROR(INDEX(LMH_STEP,MATCH(AI549,LMH_KEY,0)),0)</f>
        <v>0</v>
      </c>
      <c r="BX549" s="38">
        <f>IFERROR(INDEX(LMH_STEP,MATCH(AJ549,LMH_KEY,0)),0)</f>
        <v>0</v>
      </c>
      <c r="BY549" s="38">
        <f>IFERROR(INDEX(LMH_STEP,MATCH(AK549,LMH_KEY,0)),0)</f>
        <v>0</v>
      </c>
      <c r="BZ549" s="38">
        <f>IFERROR(INDEX(LMH_STEP,MATCH(AL549,LMH_KEY,0)),0)</f>
        <v>0</v>
      </c>
      <c r="CA549" s="38" t="inlineStr">
        <is>
          <t>iFile|Technology|Senior UI Developer|A3|A</t>
        </is>
      </c>
    </row>
    <row r="550" ht="110" customHeight="1">
      <c r="A550" s="28" t="inlineStr">
        <is>
          <t>iFile</t>
        </is>
      </c>
      <c r="B550" s="29" t="inlineStr">
        <is>
          <t>Technology</t>
        </is>
      </c>
      <c r="C550" s="29" t="n">
        <v>3</v>
      </c>
      <c r="D550" s="29" t="inlineStr">
        <is>
          <t>IRIS2321</t>
        </is>
      </c>
      <c r="E550" s="29" t="inlineStr">
        <is>
          <t>Chandani Gusain</t>
        </is>
      </c>
      <c r="F550" s="29" t="inlineStr">
        <is>
          <t>Software Engineer</t>
        </is>
      </c>
      <c r="G550" s="29" t="inlineStr">
        <is>
          <t>UI Developer</t>
        </is>
      </c>
      <c r="H550" s="29" t="inlineStr">
        <is>
          <t>Engineering &amp; Development</t>
        </is>
      </c>
      <c r="I550" s="29" t="inlineStr">
        <is>
          <t>Front-End / UI Development</t>
        </is>
      </c>
      <c r="J550" s="29" t="inlineStr">
        <is>
          <t>IC</t>
        </is>
      </c>
      <c r="K550" s="29" t="inlineStr">
        <is>
          <t>RC-080</t>
        </is>
      </c>
      <c r="L550" s="29" t="inlineStr">
        <is>
          <t>Sagar Jadhav</t>
        </is>
      </c>
      <c r="M550" s="29" t="inlineStr">
        <is>
          <t>IRIS1804</t>
        </is>
      </c>
      <c r="N550" s="29" t="n">
        <v>1.9</v>
      </c>
      <c r="O550" s="29" t="n">
        <v>1.9</v>
      </c>
      <c r="P550" s="29" t="inlineStr">
        <is>
          <t>B.SC</t>
        </is>
      </c>
      <c r="Q550" s="29" t="inlineStr">
        <is>
          <t>L3 – Professional / Associate</t>
        </is>
      </c>
      <c r="R550" s="29" t="inlineStr">
        <is>
          <t>A2</t>
        </is>
      </c>
      <c r="S550" s="30" t="inlineStr">
        <is>
          <t>20 of 20</t>
        </is>
      </c>
      <c r="T550" s="31" t="inlineStr">
        <is>
          <t>Complexity: Evidence reads like A2: Angular web modules, API integration, testing and debugging; KRA lists delivered modules → matches the start
Autonomy: Evidence reads like A2: Decides to optimise and refactor own code → matches the start
Accountability: Evidence reads like A2: Own UI features from requirement understanding to delivery → matches the …</t>
        </is>
      </c>
      <c r="U550" s="31" t="inlineStr">
        <is>
          <t>Received · manager annual, quarterly, self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550" s="31" t="inlineStr">
        <is>
          <t>Latest rating: 3 · Potential: High · 9-box: Trusted Professional · Readiness: Ready in 6–12 months</t>
        </is>
      </c>
      <c r="W550" s="31" t="inlineStr">
        <is>
          <t>C M · Au M · Ac M · L L · BI M · Exp M · 1.9 yrs vs 0–2 yrs · Edu M · B.SC</t>
        </is>
      </c>
      <c r="X550" s="33" t="inlineStr">
        <is>
          <t>Open ▸</t>
        </is>
      </c>
      <c r="Y550" s="34" t="str">
        <f>IFERROR(INDEX(DL_C,MATCH($CA550,DL_KEY,0)),"M")</f>
        <v>H</v>
      </c>
      <c r="Z550" s="35" t="str">
        <f>IFERROR(INDEX(DL_Au,MATCH($CA550,DL_KEY,0)),"M")</f>
        <v>M</v>
      </c>
      <c r="AA550" s="35" t="str">
        <f>IFERROR(INDEX(DL_Ac,MATCH($CA550,DL_KEY,0)),"M")</f>
        <v>L</v>
      </c>
      <c r="AB550" s="35" t="str">
        <f>IFERROR(INDEX(DL_L,MATCH($CA550,DL_KEY,0)),"M")</f>
        <v>L</v>
      </c>
      <c r="AC550" s="35" t="str">
        <f>IFERROR(INDEX(DL_BI,MATCH($CA550,DL_KEY,0)),"M")</f>
        <v>L</v>
      </c>
      <c r="AD550" s="35" t="str">
        <f>IFERROR(INDEX(DL_Exp,MATCH($CA550,DL_KEY,0)),"M")</f>
        <v>L</v>
      </c>
      <c r="AE550" s="35" t="str">
        <f>IFERROR(INDEX(DL_Edu,MATCH($CA550,DL_KEY,0)),"M")</f>
        <v>L</v>
      </c>
      <c r="AF550" s="34" t="inlineStr">
        <is>
          <t>M</t>
        </is>
      </c>
      <c r="AG550" s="35" t="inlineStr">
        <is>
          <t>M</t>
        </is>
      </c>
      <c r="AH550" s="35" t="inlineStr">
        <is>
          <t>M</t>
        </is>
      </c>
      <c r="AI550" s="35" t="inlineStr">
        <is>
          <t>M</t>
        </is>
      </c>
      <c r="AJ550" s="35" t="inlineStr">
        <is>
          <t>M</t>
        </is>
      </c>
      <c r="AK550" s="35" t="inlineStr">
        <is>
          <t>M</t>
        </is>
      </c>
      <c r="AL550" s="35" t="inlineStr">
        <is>
          <t>M</t>
        </is>
      </c>
      <c r="AM550" s="36" t="n">
        <v>0.583</v>
      </c>
      <c r="AN550" s="37" t="n">
        <v>0.16</v>
      </c>
      <c r="AO550" s="37" t="n">
        <v>0.09</v>
      </c>
      <c r="AP550" s="37" t="n">
        <v>0</v>
      </c>
      <c r="AQ550" s="37" t="n">
        <v>0.063</v>
      </c>
      <c r="AR550" s="37" t="n">
        <v>0.06</v>
      </c>
      <c r="AS550" s="37" t="n">
        <v>0.04</v>
      </c>
      <c r="AT550" s="38" t="inlineStr">
        <is>
          <t>0–3</t>
        </is>
      </c>
      <c r="AU550" s="38" t="inlineStr">
        <is>
          <t>Graduate · or diploma with experience</t>
        </is>
      </c>
      <c r="AV550" s="38" t="inlineStr">
        <is>
          <t>No direct reports</t>
        </is>
      </c>
      <c r="AW550" s="38" t="inlineStr">
        <is>
          <t>P1–P2 · SFIA 2 Assist</t>
        </is>
      </c>
      <c r="AX55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50" s="39" t="inlineStr">
        <is>
          <t>A2</t>
        </is>
      </c>
      <c r="AZ550" s="40" t="inlineStr">
        <is>
          <t>Band A · Practitioner · Associate</t>
        </is>
      </c>
      <c r="BA550" s="40" t="inlineStr">
        <is>
          <t>Model A2 from the six ratings, the market-derived weights and rules R1–R13 · then No change · already below the manager</t>
        </is>
      </c>
      <c r="BB550" s="41" t="inlineStr">
        <is>
          <t>A2</t>
        </is>
      </c>
      <c r="BC550" s="40" t="inlineStr">
        <is>
          <t>The six ratings on the market-average weights of Band A · all tracks score 2.08 → A2 · Hay, Mercer IPE and public plans · experience 1.9 yrs vs the A2 market range 0–3</t>
        </is>
      </c>
      <c r="BD550" s="42">
        <f>IF(SUM(BM550,BN550,BO550,BP550,BQ550,BR550,BS550)=0,0,(BM550*BT550+BN550*BU550+BO550*BV550+BP550*BW550+BQ550*BX550+BR550*BY550+BS550*BZ550)/SUM(BM550,BN550,BO550,BP550,BQ550,BR550,BS550))</f>
        <v>0</v>
      </c>
      <c r="BE550" s="41" t="str">
        <f>IF(LEFT(AY550,1)="X",AY550,IF(OR(AY550="B+",AY550="C+"),INDEX(LAD_PC,MAX(1,MIN(14,MATCH(AY550,LAD_PC,0)+IF(BD550&gt;=0.5,1,IF(BD550&lt;=-0.5,-1,0))))),INDEX(LAD_STD,MAX(1,MIN(12,MATCH(AY550,LAD_STD,0)+IF(BD550&gt;=0.5,1,IF(BD550&lt;=-0.5,-1,0)))))))</f>
        <v>A2</v>
      </c>
      <c r="BF550" s="43" t="n"/>
      <c r="BG550" s="41" t="str">
        <f>IF(BF550&lt;&gt;"",BF550,BE550)</f>
        <v>A2</v>
      </c>
      <c r="BH550" s="40" t="str">
        <f>IFERROR(CHOOSE(INDEX(B_RANK,MATCH(BG550,B_LVL,0)),"Band A","Band B","B+ · Player-Coach","Band C","C+ · Player-Coach","Band D","Band E"),"Band X · Consultant")</f>
        <v>Band A</v>
      </c>
      <c r="BI550" s="40" t="str">
        <f>IF(BG550=AY550,"• Same",IF(INDEX(B_VAL,MATCH(BG550,B_LVL,0))&gt;INDEX(B_VAL,MATCH(AY550,B_LVL,0)),"▲ Up","▼ Down"))</f>
        <v>• Same</v>
      </c>
      <c r="BJ550" s="40" t="str">
        <f>IF(OR($M550="",$M550="—",$M550="Not in this file"),"",IFERROR(INDEX($BG$7:$BG$592,MATCH($M550,$D$7:$D$592,0)),""))</f>
        <v>B2</v>
      </c>
      <c r="BK550" s="40" t="str">
        <f>IFERROR(IF(BJ550="","—",IF(OR(LEFT(BG550,1)="X",LEFT(BJ550,1)="X"),"—",IF(AND(LEFT(BG550,1)="E",LEFT(BJ550,1)="E"),"Exception · Band E",IF(AND(INDEX(B_VAL,MATCH(BJ550,B_LVL,0))&gt;=7,INDEX(B_RANK,MATCH(BG550,B_LVL,0))&gt;=INDEX(B_RANK,MATCH(BJ550,B_LVL,0))),"⚠ Same band as a head manager",IF(INDEX(B_VAL,MATCH(BG550,B_LVL,0))&gt;=INDEX(B_VAL,MATCH(BJ550,B_LVL,0)),"⚠ At or above the manager's level","OK"))))),"—")</f>
        <v>OK</v>
      </c>
      <c r="BL550" s="43" t="n"/>
      <c r="BM550" s="44">
        <f>IFERROR(INDEX(LMH_PTS,MATCH(Y550,LMH_KEY,0)),0)</f>
        <v>9</v>
      </c>
      <c r="BN550" s="38">
        <f>IFERROR(INDEX(LMH_PTS,MATCH(Z550,LMH_KEY,0)),0)</f>
        <v>3</v>
      </c>
      <c r="BO550" s="38">
        <f>IFERROR(INDEX(LMH_PTS,MATCH(AA550,LMH_KEY,0)),0)</f>
        <v>1</v>
      </c>
      <c r="BP550" s="38">
        <f>IFERROR(INDEX(LMH_PTS,MATCH(AB550,LMH_KEY,0)),0)</f>
        <v>1</v>
      </c>
      <c r="BQ550" s="38">
        <f>IFERROR(INDEX(LMH_PTS,MATCH(AC550,LMH_KEY,0)),0)</f>
        <v>1</v>
      </c>
      <c r="BR550" s="38">
        <f>IFERROR(INDEX(LMH_PTS,MATCH(AD550,LMH_KEY,0)),0)</f>
        <v>1</v>
      </c>
      <c r="BS550" s="38">
        <f>IFERROR(INDEX(LMH_PTS,MATCH(AE550,LMH_KEY,0)),0)</f>
        <v>1</v>
      </c>
      <c r="BT550" s="38">
        <f>IFERROR(INDEX(LMH_STEP,MATCH(AF550,LMH_KEY,0)),0)</f>
        <v>0</v>
      </c>
      <c r="BU550" s="38">
        <f>IFERROR(INDEX(LMH_STEP,MATCH(AG550,LMH_KEY,0)),0)</f>
        <v>0</v>
      </c>
      <c r="BV550" s="38">
        <f>IFERROR(INDEX(LMH_STEP,MATCH(AH550,LMH_KEY,0)),0)</f>
        <v>0</v>
      </c>
      <c r="BW550" s="38">
        <f>IFERROR(INDEX(LMH_STEP,MATCH(AI550,LMH_KEY,0)),0)</f>
        <v>0</v>
      </c>
      <c r="BX550" s="38">
        <f>IFERROR(INDEX(LMH_STEP,MATCH(AJ550,LMH_KEY,0)),0)</f>
        <v>0</v>
      </c>
      <c r="BY550" s="38">
        <f>IFERROR(INDEX(LMH_STEP,MATCH(AK550,LMH_KEY,0)),0)</f>
        <v>0</v>
      </c>
      <c r="BZ550" s="38">
        <f>IFERROR(INDEX(LMH_STEP,MATCH(AL550,LMH_KEY,0)),0)</f>
        <v>0</v>
      </c>
      <c r="CA550" s="38" t="inlineStr">
        <is>
          <t>iFile|Technology|UI Developer|A2|A</t>
        </is>
      </c>
    </row>
    <row r="551" ht="110" customHeight="1">
      <c r="A551" s="28" t="inlineStr">
        <is>
          <t>iFile</t>
        </is>
      </c>
      <c r="B551" s="29" t="inlineStr">
        <is>
          <t>Technology</t>
        </is>
      </c>
      <c r="C551" s="29" t="n">
        <v>3</v>
      </c>
      <c r="D551" s="29" t="inlineStr">
        <is>
          <t>IRIS2320</t>
        </is>
      </c>
      <c r="E551" s="29" t="inlineStr">
        <is>
          <t>Faisal Pathan</t>
        </is>
      </c>
      <c r="F551" s="29" t="inlineStr">
        <is>
          <t>Software Engineer</t>
        </is>
      </c>
      <c r="G551" s="29" t="inlineStr">
        <is>
          <t>UI Developer</t>
        </is>
      </c>
      <c r="H551" s="29" t="inlineStr">
        <is>
          <t>Engineering &amp; Development</t>
        </is>
      </c>
      <c r="I551" s="29" t="inlineStr">
        <is>
          <t>Front-End / UI Development</t>
        </is>
      </c>
      <c r="J551" s="29" t="inlineStr">
        <is>
          <t>IC</t>
        </is>
      </c>
      <c r="K551" s="29" t="inlineStr">
        <is>
          <t>RC-080</t>
        </is>
      </c>
      <c r="L551" s="29" t="inlineStr">
        <is>
          <t>Sagar Jadhav</t>
        </is>
      </c>
      <c r="M551" s="29" t="inlineStr">
        <is>
          <t>IRIS1804</t>
        </is>
      </c>
      <c r="N551" s="29" t="n">
        <v>1.9</v>
      </c>
      <c r="O551" s="29" t="n">
        <v>1.9</v>
      </c>
      <c r="P551" s="29" t="inlineStr">
        <is>
          <t>B.SC</t>
        </is>
      </c>
      <c r="Q551" s="29" t="inlineStr">
        <is>
          <t>L3 – Professional / Associate</t>
        </is>
      </c>
      <c r="R551" s="29" t="inlineStr">
        <is>
          <t>A2</t>
        </is>
      </c>
      <c r="S551" s="30" t="inlineStr">
        <is>
          <t>20 of 20</t>
        </is>
      </c>
      <c r="T551" s="31" t="inlineStr">
        <is>
          <t>Business Impact: Moved +0.5: the survey / manager mapping marks it business-critical.</t>
        </is>
      </c>
      <c r="U551" s="31" t="inlineStr">
        <is>
          <t>Received · manager annual, quarterly, self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551" s="31" t="inlineStr">
        <is>
          <t>Latest rating: 4 · Potential: High · 9-box: High Impact / Growth Talent · Readiness: Ready now</t>
        </is>
      </c>
      <c r="W551" s="31" t="inlineStr">
        <is>
          <t>C M · Au M · Ac M · L L · BI H · Exp M · 1.9 yrs vs 0–2 yrs · Edu M · B.SC</t>
        </is>
      </c>
      <c r="X551" s="33" t="inlineStr">
        <is>
          <t>Open ▸</t>
        </is>
      </c>
      <c r="Y551" s="34" t="str">
        <f>IFERROR(INDEX(DL_C,MATCH($CA551,DL_KEY,0)),"M")</f>
        <v>H</v>
      </c>
      <c r="Z551" s="35" t="str">
        <f>IFERROR(INDEX(DL_Au,MATCH($CA551,DL_KEY,0)),"M")</f>
        <v>M</v>
      </c>
      <c r="AA551" s="35" t="str">
        <f>IFERROR(INDEX(DL_Ac,MATCH($CA551,DL_KEY,0)),"M")</f>
        <v>L</v>
      </c>
      <c r="AB551" s="35" t="str">
        <f>IFERROR(INDEX(DL_L,MATCH($CA551,DL_KEY,0)),"M")</f>
        <v>L</v>
      </c>
      <c r="AC551" s="35" t="str">
        <f>IFERROR(INDEX(DL_BI,MATCH($CA551,DL_KEY,0)),"M")</f>
        <v>L</v>
      </c>
      <c r="AD551" s="35" t="str">
        <f>IFERROR(INDEX(DL_Exp,MATCH($CA551,DL_KEY,0)),"M")</f>
        <v>L</v>
      </c>
      <c r="AE551" s="35" t="str">
        <f>IFERROR(INDEX(DL_Edu,MATCH($CA551,DL_KEY,0)),"M")</f>
        <v>L</v>
      </c>
      <c r="AF551" s="34" t="inlineStr">
        <is>
          <t>M</t>
        </is>
      </c>
      <c r="AG551" s="35" t="inlineStr">
        <is>
          <t>M</t>
        </is>
      </c>
      <c r="AH551" s="35" t="inlineStr">
        <is>
          <t>M</t>
        </is>
      </c>
      <c r="AI551" s="35" t="inlineStr">
        <is>
          <t>M</t>
        </is>
      </c>
      <c r="AJ551" s="35" t="inlineStr">
        <is>
          <t>M</t>
        </is>
      </c>
      <c r="AK551" s="35" t="inlineStr">
        <is>
          <t>M</t>
        </is>
      </c>
      <c r="AL551" s="35" t="inlineStr">
        <is>
          <t>M</t>
        </is>
      </c>
      <c r="AM551" s="36" t="n">
        <v>0.583</v>
      </c>
      <c r="AN551" s="37" t="n">
        <v>0.16</v>
      </c>
      <c r="AO551" s="37" t="n">
        <v>0.09</v>
      </c>
      <c r="AP551" s="37" t="n">
        <v>0</v>
      </c>
      <c r="AQ551" s="37" t="n">
        <v>0.063</v>
      </c>
      <c r="AR551" s="37" t="n">
        <v>0.06</v>
      </c>
      <c r="AS551" s="37" t="n">
        <v>0.04</v>
      </c>
      <c r="AT551" s="38" t="inlineStr">
        <is>
          <t>0–3</t>
        </is>
      </c>
      <c r="AU551" s="38" t="inlineStr">
        <is>
          <t>Graduate · or diploma with experience</t>
        </is>
      </c>
      <c r="AV551" s="38" t="inlineStr">
        <is>
          <t>No direct reports</t>
        </is>
      </c>
      <c r="AW551" s="38" t="inlineStr">
        <is>
          <t>P1–P2 · SFIA 2 Assist</t>
        </is>
      </c>
      <c r="AX55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51" s="39" t="inlineStr">
        <is>
          <t>A2</t>
        </is>
      </c>
      <c r="AZ551" s="40" t="inlineStr">
        <is>
          <t>Band A · Practitioner · Associate</t>
        </is>
      </c>
      <c r="BA551" s="40" t="inlineStr">
        <is>
          <t>Model A2 from the six ratings, the market-derived weights and rules R1–R13 · then No change · already below the manager</t>
        </is>
      </c>
      <c r="BB551" s="41" t="inlineStr">
        <is>
          <t>A2</t>
        </is>
      </c>
      <c r="BC551" s="40" t="inlineStr">
        <is>
          <t>The six ratings on the market-average weights of Band A · all tracks score 2.45 → A2 · Hay, Mercer IPE and public plans · experience 1.9 yrs vs the A2 market range 0–3</t>
        </is>
      </c>
      <c r="BD551" s="42">
        <f>IF(SUM(BM551,BN551,BO551,BP551,BQ551,BR551,BS551)=0,0,(BM551*BT551+BN551*BU551+BO551*BV551+BP551*BW551+BQ551*BX551+BR551*BY551+BS551*BZ551)/SUM(BM551,BN551,BO551,BP551,BQ551,BR551,BS551))</f>
        <v>0</v>
      </c>
      <c r="BE551" s="41" t="str">
        <f>IF(LEFT(AY551,1)="X",AY551,IF(OR(AY551="B+",AY551="C+"),INDEX(LAD_PC,MAX(1,MIN(14,MATCH(AY551,LAD_PC,0)+IF(BD551&gt;=0.5,1,IF(BD551&lt;=-0.5,-1,0))))),INDEX(LAD_STD,MAX(1,MIN(12,MATCH(AY551,LAD_STD,0)+IF(BD551&gt;=0.5,1,IF(BD551&lt;=-0.5,-1,0)))))))</f>
        <v>A2</v>
      </c>
      <c r="BF551" s="43" t="n"/>
      <c r="BG551" s="41" t="str">
        <f>IF(BF551&lt;&gt;"",BF551,BE551)</f>
        <v>A2</v>
      </c>
      <c r="BH551" s="40" t="str">
        <f>IFERROR(CHOOSE(INDEX(B_RANK,MATCH(BG551,B_LVL,0)),"Band A","Band B","B+ · Player-Coach","Band C","C+ · Player-Coach","Band D","Band E"),"Band X · Consultant")</f>
        <v>Band A</v>
      </c>
      <c r="BI551" s="40" t="str">
        <f>IF(BG551=AY551,"• Same",IF(INDEX(B_VAL,MATCH(BG551,B_LVL,0))&gt;INDEX(B_VAL,MATCH(AY551,B_LVL,0)),"▲ Up","▼ Down"))</f>
        <v>• Same</v>
      </c>
      <c r="BJ551" s="40" t="str">
        <f>IF(OR($M551="",$M551="—",$M551="Not in this file"),"",IFERROR(INDEX($BG$7:$BG$592,MATCH($M551,$D$7:$D$592,0)),""))</f>
        <v>B2</v>
      </c>
      <c r="BK551" s="40" t="str">
        <f>IFERROR(IF(BJ551="","—",IF(OR(LEFT(BG551,1)="X",LEFT(BJ551,1)="X"),"—",IF(AND(LEFT(BG551,1)="E",LEFT(BJ551,1)="E"),"Exception · Band E",IF(AND(INDEX(B_VAL,MATCH(BJ551,B_LVL,0))&gt;=7,INDEX(B_RANK,MATCH(BG551,B_LVL,0))&gt;=INDEX(B_RANK,MATCH(BJ551,B_LVL,0))),"⚠ Same band as a head manager",IF(INDEX(B_VAL,MATCH(BG551,B_LVL,0))&gt;=INDEX(B_VAL,MATCH(BJ551,B_LVL,0)),"⚠ At or above the manager's level","OK"))))),"—")</f>
        <v>OK</v>
      </c>
      <c r="BL551" s="43" t="n"/>
      <c r="BM551" s="44">
        <f>IFERROR(INDEX(LMH_PTS,MATCH(Y551,LMH_KEY,0)),0)</f>
        <v>9</v>
      </c>
      <c r="BN551" s="38">
        <f>IFERROR(INDEX(LMH_PTS,MATCH(Z551,LMH_KEY,0)),0)</f>
        <v>3</v>
      </c>
      <c r="BO551" s="38">
        <f>IFERROR(INDEX(LMH_PTS,MATCH(AA551,LMH_KEY,0)),0)</f>
        <v>1</v>
      </c>
      <c r="BP551" s="38">
        <f>IFERROR(INDEX(LMH_PTS,MATCH(AB551,LMH_KEY,0)),0)</f>
        <v>1</v>
      </c>
      <c r="BQ551" s="38">
        <f>IFERROR(INDEX(LMH_PTS,MATCH(AC551,LMH_KEY,0)),0)</f>
        <v>1</v>
      </c>
      <c r="BR551" s="38">
        <f>IFERROR(INDEX(LMH_PTS,MATCH(AD551,LMH_KEY,0)),0)</f>
        <v>1</v>
      </c>
      <c r="BS551" s="38">
        <f>IFERROR(INDEX(LMH_PTS,MATCH(AE551,LMH_KEY,0)),0)</f>
        <v>1</v>
      </c>
      <c r="BT551" s="38">
        <f>IFERROR(INDEX(LMH_STEP,MATCH(AF551,LMH_KEY,0)),0)</f>
        <v>0</v>
      </c>
      <c r="BU551" s="38">
        <f>IFERROR(INDEX(LMH_STEP,MATCH(AG551,LMH_KEY,0)),0)</f>
        <v>0</v>
      </c>
      <c r="BV551" s="38">
        <f>IFERROR(INDEX(LMH_STEP,MATCH(AH551,LMH_KEY,0)),0)</f>
        <v>0</v>
      </c>
      <c r="BW551" s="38">
        <f>IFERROR(INDEX(LMH_STEP,MATCH(AI551,LMH_KEY,0)),0)</f>
        <v>0</v>
      </c>
      <c r="BX551" s="38">
        <f>IFERROR(INDEX(LMH_STEP,MATCH(AJ551,LMH_KEY,0)),0)</f>
        <v>0</v>
      </c>
      <c r="BY551" s="38">
        <f>IFERROR(INDEX(LMH_STEP,MATCH(AK551,LMH_KEY,0)),0)</f>
        <v>0</v>
      </c>
      <c r="BZ551" s="38">
        <f>IFERROR(INDEX(LMH_STEP,MATCH(AL551,LMH_KEY,0)),0)</f>
        <v>0</v>
      </c>
      <c r="CA551" s="38" t="inlineStr">
        <is>
          <t>iFile|Technology|UI Developer|A2|A</t>
        </is>
      </c>
    </row>
    <row r="552" ht="110" customHeight="1">
      <c r="A552" s="28" t="inlineStr">
        <is>
          <t>iFile</t>
        </is>
      </c>
      <c r="B552" s="29" t="inlineStr">
        <is>
          <t>Technology</t>
        </is>
      </c>
      <c r="C552" s="29" t="n">
        <v>3</v>
      </c>
      <c r="D552" s="29" t="inlineStr">
        <is>
          <t>IRIS2322</t>
        </is>
      </c>
      <c r="E552" s="29" t="inlineStr">
        <is>
          <t>Lalita Dixit</t>
        </is>
      </c>
      <c r="F552" s="29" t="inlineStr">
        <is>
          <t>Software Engineer</t>
        </is>
      </c>
      <c r="G552" s="29" t="inlineStr">
        <is>
          <t>UI Developer</t>
        </is>
      </c>
      <c r="H552" s="29" t="inlineStr">
        <is>
          <t>Engineering &amp; Development</t>
        </is>
      </c>
      <c r="I552" s="29" t="inlineStr">
        <is>
          <t>Front-End / UI Development</t>
        </is>
      </c>
      <c r="J552" s="29" t="inlineStr">
        <is>
          <t>IC</t>
        </is>
      </c>
      <c r="K552" s="29" t="inlineStr">
        <is>
          <t>RC-080</t>
        </is>
      </c>
      <c r="L552" s="29" t="inlineStr">
        <is>
          <t>Sagar Jadhav</t>
        </is>
      </c>
      <c r="M552" s="29" t="inlineStr">
        <is>
          <t>IRIS1804</t>
        </is>
      </c>
      <c r="N552" s="29" t="n">
        <v>1.9</v>
      </c>
      <c r="O552" s="29" t="n">
        <v>1.9</v>
      </c>
      <c r="P552" s="29" t="inlineStr">
        <is>
          <t>B.SC</t>
        </is>
      </c>
      <c r="Q552" s="29" t="inlineStr">
        <is>
          <t>L3 – Professional / Associate</t>
        </is>
      </c>
      <c r="R552" s="29" t="inlineStr">
        <is>
          <t>A2</t>
        </is>
      </c>
      <c r="S552" s="30" t="inlineStr">
        <is>
          <t>20 of 20</t>
        </is>
      </c>
      <c r="T552" s="31" t="inlineStr">
        <is>
          <t>Business Impact: Moved +0.5: the survey / manager mapping marks it business-critical.</t>
        </is>
      </c>
      <c r="U552" s="31" t="inlineStr">
        <is>
          <t>Received · manager annual, quarterly, self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552" s="31" t="inlineStr">
        <is>
          <t>Latest rating: 3 · Potential: Medium · 9-box: Reliable Specialist · Readiness: Develop in role</t>
        </is>
      </c>
      <c r="W552" s="31" t="inlineStr">
        <is>
          <t>C M · Au M · Ac M · L L · BI H · Exp M · 1.9 yrs vs 0–2 yrs · Edu M · B.SC</t>
        </is>
      </c>
      <c r="X552" s="33" t="inlineStr">
        <is>
          <t>Open ▸</t>
        </is>
      </c>
      <c r="Y552" s="34" t="str">
        <f>IFERROR(INDEX(DL_C,MATCH($CA552,DL_KEY,0)),"M")</f>
        <v>H</v>
      </c>
      <c r="Z552" s="35" t="str">
        <f>IFERROR(INDEX(DL_Au,MATCH($CA552,DL_KEY,0)),"M")</f>
        <v>M</v>
      </c>
      <c r="AA552" s="35" t="str">
        <f>IFERROR(INDEX(DL_Ac,MATCH($CA552,DL_KEY,0)),"M")</f>
        <v>L</v>
      </c>
      <c r="AB552" s="35" t="str">
        <f>IFERROR(INDEX(DL_L,MATCH($CA552,DL_KEY,0)),"M")</f>
        <v>L</v>
      </c>
      <c r="AC552" s="35" t="str">
        <f>IFERROR(INDEX(DL_BI,MATCH($CA552,DL_KEY,0)),"M")</f>
        <v>L</v>
      </c>
      <c r="AD552" s="35" t="str">
        <f>IFERROR(INDEX(DL_Exp,MATCH($CA552,DL_KEY,0)),"M")</f>
        <v>L</v>
      </c>
      <c r="AE552" s="35" t="str">
        <f>IFERROR(INDEX(DL_Edu,MATCH($CA552,DL_KEY,0)),"M")</f>
        <v>L</v>
      </c>
      <c r="AF552" s="34" t="inlineStr">
        <is>
          <t>M</t>
        </is>
      </c>
      <c r="AG552" s="35" t="inlineStr">
        <is>
          <t>M</t>
        </is>
      </c>
      <c r="AH552" s="35" t="inlineStr">
        <is>
          <t>M</t>
        </is>
      </c>
      <c r="AI552" s="35" t="inlineStr">
        <is>
          <t>M</t>
        </is>
      </c>
      <c r="AJ552" s="35" t="inlineStr">
        <is>
          <t>M</t>
        </is>
      </c>
      <c r="AK552" s="35" t="inlineStr">
        <is>
          <t>M</t>
        </is>
      </c>
      <c r="AL552" s="35" t="inlineStr">
        <is>
          <t>M</t>
        </is>
      </c>
      <c r="AM552" s="36" t="n">
        <v>0.583</v>
      </c>
      <c r="AN552" s="37" t="n">
        <v>0.16</v>
      </c>
      <c r="AO552" s="37" t="n">
        <v>0.09</v>
      </c>
      <c r="AP552" s="37" t="n">
        <v>0</v>
      </c>
      <c r="AQ552" s="37" t="n">
        <v>0.063</v>
      </c>
      <c r="AR552" s="37" t="n">
        <v>0.06</v>
      </c>
      <c r="AS552" s="37" t="n">
        <v>0.04</v>
      </c>
      <c r="AT552" s="38" t="inlineStr">
        <is>
          <t>0–3</t>
        </is>
      </c>
      <c r="AU552" s="38" t="inlineStr">
        <is>
          <t>Graduate · or diploma with experience</t>
        </is>
      </c>
      <c r="AV552" s="38" t="inlineStr">
        <is>
          <t>No direct reports</t>
        </is>
      </c>
      <c r="AW552" s="38" t="inlineStr">
        <is>
          <t>P1–P2 · SFIA 2 Assist</t>
        </is>
      </c>
      <c r="AX55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52" s="39" t="inlineStr">
        <is>
          <t>A2</t>
        </is>
      </c>
      <c r="AZ552" s="40" t="inlineStr">
        <is>
          <t>Band A · Practitioner · Associate</t>
        </is>
      </c>
      <c r="BA552" s="40" t="inlineStr">
        <is>
          <t>Model A2 from the six ratings, the market-derived weights and rules R1–R13 · then No change · already below the manager</t>
        </is>
      </c>
      <c r="BB552" s="41" t="inlineStr">
        <is>
          <t>A2</t>
        </is>
      </c>
      <c r="BC552" s="40" t="inlineStr">
        <is>
          <t>The six ratings on the market-average weights of Band A · all tracks score 2.45 → A2 · Hay, Mercer IPE and public plans · experience 1.9 yrs vs the A2 market range 0–3</t>
        </is>
      </c>
      <c r="BD552" s="42">
        <f>IF(SUM(BM552,BN552,BO552,BP552,BQ552,BR552,BS552)=0,0,(BM552*BT552+BN552*BU552+BO552*BV552+BP552*BW552+BQ552*BX552+BR552*BY552+BS552*BZ552)/SUM(BM552,BN552,BO552,BP552,BQ552,BR552,BS552))</f>
        <v>0</v>
      </c>
      <c r="BE552" s="41" t="str">
        <f>IF(LEFT(AY552,1)="X",AY552,IF(OR(AY552="B+",AY552="C+"),INDEX(LAD_PC,MAX(1,MIN(14,MATCH(AY552,LAD_PC,0)+IF(BD552&gt;=0.5,1,IF(BD552&lt;=-0.5,-1,0))))),INDEX(LAD_STD,MAX(1,MIN(12,MATCH(AY552,LAD_STD,0)+IF(BD552&gt;=0.5,1,IF(BD552&lt;=-0.5,-1,0)))))))</f>
        <v>A2</v>
      </c>
      <c r="BF552" s="43" t="n"/>
      <c r="BG552" s="41" t="str">
        <f>IF(BF552&lt;&gt;"",BF552,BE552)</f>
        <v>A2</v>
      </c>
      <c r="BH552" s="40" t="str">
        <f>IFERROR(CHOOSE(INDEX(B_RANK,MATCH(BG552,B_LVL,0)),"Band A","Band B","B+ · Player-Coach","Band C","C+ · Player-Coach","Band D","Band E"),"Band X · Consultant")</f>
        <v>Band A</v>
      </c>
      <c r="BI552" s="40" t="str">
        <f>IF(BG552=AY552,"• Same",IF(INDEX(B_VAL,MATCH(BG552,B_LVL,0))&gt;INDEX(B_VAL,MATCH(AY552,B_LVL,0)),"▲ Up","▼ Down"))</f>
        <v>• Same</v>
      </c>
      <c r="BJ552" s="40" t="str">
        <f>IF(OR($M552="",$M552="—",$M552="Not in this file"),"",IFERROR(INDEX($BG$7:$BG$592,MATCH($M552,$D$7:$D$592,0)),""))</f>
        <v>B2</v>
      </c>
      <c r="BK552" s="40" t="str">
        <f>IFERROR(IF(BJ552="","—",IF(OR(LEFT(BG552,1)="X",LEFT(BJ552,1)="X"),"—",IF(AND(LEFT(BG552,1)="E",LEFT(BJ552,1)="E"),"Exception · Band E",IF(AND(INDEX(B_VAL,MATCH(BJ552,B_LVL,0))&gt;=7,INDEX(B_RANK,MATCH(BG552,B_LVL,0))&gt;=INDEX(B_RANK,MATCH(BJ552,B_LVL,0))),"⚠ Same band as a head manager",IF(INDEX(B_VAL,MATCH(BG552,B_LVL,0))&gt;=INDEX(B_VAL,MATCH(BJ552,B_LVL,0)),"⚠ At or above the manager's level","OK"))))),"—")</f>
        <v>OK</v>
      </c>
      <c r="BL552" s="43" t="n"/>
      <c r="BM552" s="44">
        <f>IFERROR(INDEX(LMH_PTS,MATCH(Y552,LMH_KEY,0)),0)</f>
        <v>9</v>
      </c>
      <c r="BN552" s="38">
        <f>IFERROR(INDEX(LMH_PTS,MATCH(Z552,LMH_KEY,0)),0)</f>
        <v>3</v>
      </c>
      <c r="BO552" s="38">
        <f>IFERROR(INDEX(LMH_PTS,MATCH(AA552,LMH_KEY,0)),0)</f>
        <v>1</v>
      </c>
      <c r="BP552" s="38">
        <f>IFERROR(INDEX(LMH_PTS,MATCH(AB552,LMH_KEY,0)),0)</f>
        <v>1</v>
      </c>
      <c r="BQ552" s="38">
        <f>IFERROR(INDEX(LMH_PTS,MATCH(AC552,LMH_KEY,0)),0)</f>
        <v>1</v>
      </c>
      <c r="BR552" s="38">
        <f>IFERROR(INDEX(LMH_PTS,MATCH(AD552,LMH_KEY,0)),0)</f>
        <v>1</v>
      </c>
      <c r="BS552" s="38">
        <f>IFERROR(INDEX(LMH_PTS,MATCH(AE552,LMH_KEY,0)),0)</f>
        <v>1</v>
      </c>
      <c r="BT552" s="38">
        <f>IFERROR(INDEX(LMH_STEP,MATCH(AF552,LMH_KEY,0)),0)</f>
        <v>0</v>
      </c>
      <c r="BU552" s="38">
        <f>IFERROR(INDEX(LMH_STEP,MATCH(AG552,LMH_KEY,0)),0)</f>
        <v>0</v>
      </c>
      <c r="BV552" s="38">
        <f>IFERROR(INDEX(LMH_STEP,MATCH(AH552,LMH_KEY,0)),0)</f>
        <v>0</v>
      </c>
      <c r="BW552" s="38">
        <f>IFERROR(INDEX(LMH_STEP,MATCH(AI552,LMH_KEY,0)),0)</f>
        <v>0</v>
      </c>
      <c r="BX552" s="38">
        <f>IFERROR(INDEX(LMH_STEP,MATCH(AJ552,LMH_KEY,0)),0)</f>
        <v>0</v>
      </c>
      <c r="BY552" s="38">
        <f>IFERROR(INDEX(LMH_STEP,MATCH(AK552,LMH_KEY,0)),0)</f>
        <v>0</v>
      </c>
      <c r="BZ552" s="38">
        <f>IFERROR(INDEX(LMH_STEP,MATCH(AL552,LMH_KEY,0)),0)</f>
        <v>0</v>
      </c>
      <c r="CA552" s="38" t="inlineStr">
        <is>
          <t>iFile|Technology|UI Developer|A2|A</t>
        </is>
      </c>
    </row>
    <row r="553" ht="110" customHeight="1">
      <c r="A553" s="28" t="inlineStr">
        <is>
          <t>iFile</t>
        </is>
      </c>
      <c r="B553" s="29" t="inlineStr">
        <is>
          <t>Technology</t>
        </is>
      </c>
      <c r="C553" s="29" t="n">
        <v>2</v>
      </c>
      <c r="D553" s="29" t="inlineStr">
        <is>
          <t>IRIS1640</t>
        </is>
      </c>
      <c r="E553" s="29" t="inlineStr">
        <is>
          <t>Vivek Shinde</t>
        </is>
      </c>
      <c r="F553" s="29" t="inlineStr">
        <is>
          <t>Senior Software Engineer</t>
        </is>
      </c>
      <c r="G553" s="29" t="inlineStr">
        <is>
          <t>Technical Specialist – POD Lead</t>
        </is>
      </c>
      <c r="H553" s="29" t="inlineStr">
        <is>
          <t>Engineering &amp; Development</t>
        </is>
      </c>
      <c r="I553" s="29" t="inlineStr">
        <is>
          <t>Backend Development</t>
        </is>
      </c>
      <c r="J553" s="29" t="inlineStr">
        <is>
          <t>POD Lead</t>
        </is>
      </c>
      <c r="K553" s="29" t="inlineStr">
        <is>
          <t>RC-068</t>
        </is>
      </c>
      <c r="L553" s="29" t="inlineStr">
        <is>
          <t>Suman Kumar</t>
        </is>
      </c>
      <c r="M553" s="29" t="inlineStr">
        <is>
          <t>IRIS1689</t>
        </is>
      </c>
      <c r="N553" s="29" t="n">
        <v>9.4</v>
      </c>
      <c r="O553" s="29" t="n">
        <v>9.4</v>
      </c>
      <c r="P553" s="29" t="inlineStr">
        <is>
          <t>MMS</t>
        </is>
      </c>
      <c r="Q553" s="29" t="inlineStr">
        <is>
          <t>L4 – Senior</t>
        </is>
      </c>
      <c r="R553" s="29" t="inlineStr">
        <is>
          <t>B1</t>
        </is>
      </c>
      <c r="S553" s="30" t="inlineStr">
        <is>
          <t>20 of 20</t>
        </is>
      </c>
      <c r="T553" s="31" t="inlineStr">
        <is>
          <t>Complexity: Evidence reads like B1: Backend development plus effort estimation, sprint planning and managing the full release lifecycle → moved up 0.5
Autonomy: Evidence reads like B1: Plans sprints and the release for the team; cites technical analysis as own decision → moved up 0.5
Accountability: Evidence reads like B1: Feature delivery in planned …</t>
        </is>
      </c>
      <c r="U553" s="31" t="inlineStr">
        <is>
          <t>Received · manager annual, quarterly, self · 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t>
        </is>
      </c>
      <c r="V553" s="31" t="inlineStr">
        <is>
          <t>Latest rating: 3 · Potential: Low · 9-box: Reliable Specialist · Readiness: Develop in role</t>
        </is>
      </c>
      <c r="W553" s="31" t="inlineStr">
        <is>
          <t>C M · Au M · Ac M · L M · BI M · Exp H · 9.4 yrs vs 4–7 yrs · Edu H · MMS</t>
        </is>
      </c>
      <c r="X553" s="33" t="inlineStr">
        <is>
          <t>Open ▸</t>
        </is>
      </c>
      <c r="Y553" s="34" t="str">
        <f>IFERROR(INDEX(DL_C,MATCH($CA553,DL_KEY,0)),"M")</f>
        <v>H</v>
      </c>
      <c r="Z553" s="35" t="str">
        <f>IFERROR(INDEX(DL_Au,MATCH($CA553,DL_KEY,0)),"M")</f>
        <v>M</v>
      </c>
      <c r="AA553" s="35" t="str">
        <f>IFERROR(INDEX(DL_Ac,MATCH($CA553,DL_KEY,0)),"M")</f>
        <v>L</v>
      </c>
      <c r="AB553" s="35" t="str">
        <f>IFERROR(INDEX(DL_L,MATCH($CA553,DL_KEY,0)),"M")</f>
        <v>L</v>
      </c>
      <c r="AC553" s="35" t="str">
        <f>IFERROR(INDEX(DL_BI,MATCH($CA553,DL_KEY,0)),"M")</f>
        <v>L</v>
      </c>
      <c r="AD553" s="35" t="str">
        <f>IFERROR(INDEX(DL_Exp,MATCH($CA553,DL_KEY,0)),"M")</f>
        <v>L</v>
      </c>
      <c r="AE553" s="35" t="str">
        <f>IFERROR(INDEX(DL_Edu,MATCH($CA553,DL_KEY,0)),"M")</f>
        <v>L</v>
      </c>
      <c r="AF553" s="34" t="inlineStr">
        <is>
          <t>M</t>
        </is>
      </c>
      <c r="AG553" s="35" t="inlineStr">
        <is>
          <t>M</t>
        </is>
      </c>
      <c r="AH553" s="35" t="inlineStr">
        <is>
          <t>M</t>
        </is>
      </c>
      <c r="AI553" s="35" t="inlineStr">
        <is>
          <t>M</t>
        </is>
      </c>
      <c r="AJ553" s="35" t="inlineStr">
        <is>
          <t>M</t>
        </is>
      </c>
      <c r="AK553" s="35" t="inlineStr">
        <is>
          <t>M</t>
        </is>
      </c>
      <c r="AL553" s="35" t="inlineStr">
        <is>
          <t>M</t>
        </is>
      </c>
      <c r="AM553" s="36" t="n">
        <v>0.513</v>
      </c>
      <c r="AN553" s="37" t="n">
        <v>0.173</v>
      </c>
      <c r="AO553" s="37" t="n">
        <v>0.09699999999999999</v>
      </c>
      <c r="AP553" s="37" t="n">
        <v>0.05</v>
      </c>
      <c r="AQ553" s="37" t="n">
        <v>0.07000000000000001</v>
      </c>
      <c r="AR553" s="37" t="n">
        <v>0.06</v>
      </c>
      <c r="AS553" s="37" t="n">
        <v>0.04</v>
      </c>
      <c r="AT553" s="38" t="inlineStr">
        <is>
          <t>4–8</t>
        </is>
      </c>
      <c r="AU553" s="38" t="inlineStr">
        <is>
          <t>Graduate + relevant qualification or certification preferred</t>
        </is>
      </c>
      <c r="AV553" s="38" t="inlineStr">
        <is>
          <t>IC: none · Team Lead: 3–5</t>
        </is>
      </c>
      <c r="AW553" s="38" t="inlineStr">
        <is>
          <t>P3 / M2 · SFIA 4 Enable</t>
        </is>
      </c>
      <c r="AX55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53" s="39" t="inlineStr">
        <is>
          <t>B1</t>
        </is>
      </c>
      <c r="AZ553" s="40" t="inlineStr">
        <is>
          <t>Band B · Specialist / Manager · Team Lead / Asst Manager</t>
        </is>
      </c>
      <c r="BA553" s="40" t="inlineStr">
        <is>
          <t>Model B1 from the six ratings, the market-derived weights and rules R1–R13 · then No change · already below the manager</t>
        </is>
      </c>
      <c r="BB553" s="41" t="inlineStr">
        <is>
          <t>B1</t>
        </is>
      </c>
      <c r="BC553" s="40" t="inlineStr">
        <is>
          <t>The six ratings on the market-average weights of Band B · Specialist / POD Lead score 3.89 → B1 · Hay, Mercer IPE and public plans · experience 9.4 yrs vs the B1 market range 4–8</t>
        </is>
      </c>
      <c r="BD553" s="42">
        <f>IF(SUM(BM553,BN553,BO553,BP553,BQ553,BR553,BS553)=0,0,(BM553*BT553+BN553*BU553+BO553*BV553+BP553*BW553+BQ553*BX553+BR553*BY553+BS553*BZ553)/SUM(BM553,BN553,BO553,BP553,BQ553,BR553,BS553))</f>
        <v>0</v>
      </c>
      <c r="BE553" s="41" t="str">
        <f>IF(LEFT(AY553,1)="X",AY553,IF(OR(AY553="B+",AY553="C+"),INDEX(LAD_PC,MAX(1,MIN(14,MATCH(AY553,LAD_PC,0)+IF(BD553&gt;=0.5,1,IF(BD553&lt;=-0.5,-1,0))))),INDEX(LAD_STD,MAX(1,MIN(12,MATCH(AY553,LAD_STD,0)+IF(BD553&gt;=0.5,1,IF(BD553&lt;=-0.5,-1,0)))))))</f>
        <v>B1</v>
      </c>
      <c r="BF553" s="43" t="n"/>
      <c r="BG553" s="41" t="str">
        <f>IF(BF553&lt;&gt;"",BF553,BE553)</f>
        <v>B1</v>
      </c>
      <c r="BH553" s="40" t="str">
        <f>IFERROR(CHOOSE(INDEX(B_RANK,MATCH(BG553,B_LVL,0)),"Band A","Band B","B+ · Player-Coach","Band C","C+ · Player-Coach","Band D","Band E"),"Band X · Consultant")</f>
        <v>Band B</v>
      </c>
      <c r="BI553" s="40" t="str">
        <f>IF(BG553=AY553,"• Same",IF(INDEX(B_VAL,MATCH(BG553,B_LVL,0))&gt;INDEX(B_VAL,MATCH(AY553,B_LVL,0)),"▲ Up","▼ Down"))</f>
        <v>• Same</v>
      </c>
      <c r="BJ553" s="40" t="str">
        <f>IF(OR($M553="",$M553="—",$M553="Not in this file"),"",IFERROR(INDEX($BG$7:$BG$592,MATCH($M553,$D$7:$D$592,0)),""))</f>
        <v>B+</v>
      </c>
      <c r="BK553" s="40" t="str">
        <f>IFERROR(IF(BJ553="","—",IF(OR(LEFT(BG553,1)="X",LEFT(BJ553,1)="X"),"—",IF(AND(LEFT(BG553,1)="E",LEFT(BJ553,1)="E"),"Exception · Band E",IF(AND(INDEX(B_VAL,MATCH(BJ553,B_LVL,0))&gt;=7,INDEX(B_RANK,MATCH(BG553,B_LVL,0))&gt;=INDEX(B_RANK,MATCH(BJ553,B_LVL,0))),"⚠ Same band as a head manager",IF(INDEX(B_VAL,MATCH(BG553,B_LVL,0))&gt;=INDEX(B_VAL,MATCH(BJ553,B_LVL,0)),"⚠ At or above the manager's level","OK"))))),"—")</f>
        <v>OK</v>
      </c>
      <c r="BL553" s="43" t="n"/>
      <c r="BM553" s="44">
        <f>IFERROR(INDEX(LMH_PTS,MATCH(Y553,LMH_KEY,0)),0)</f>
        <v>9</v>
      </c>
      <c r="BN553" s="38">
        <f>IFERROR(INDEX(LMH_PTS,MATCH(Z553,LMH_KEY,0)),0)</f>
        <v>3</v>
      </c>
      <c r="BO553" s="38">
        <f>IFERROR(INDEX(LMH_PTS,MATCH(AA553,LMH_KEY,0)),0)</f>
        <v>1</v>
      </c>
      <c r="BP553" s="38">
        <f>IFERROR(INDEX(LMH_PTS,MATCH(AB553,LMH_KEY,0)),0)</f>
        <v>1</v>
      </c>
      <c r="BQ553" s="38">
        <f>IFERROR(INDEX(LMH_PTS,MATCH(AC553,LMH_KEY,0)),0)</f>
        <v>1</v>
      </c>
      <c r="BR553" s="38">
        <f>IFERROR(INDEX(LMH_PTS,MATCH(AD553,LMH_KEY,0)),0)</f>
        <v>1</v>
      </c>
      <c r="BS553" s="38">
        <f>IFERROR(INDEX(LMH_PTS,MATCH(AE553,LMH_KEY,0)),0)</f>
        <v>1</v>
      </c>
      <c r="BT553" s="38">
        <f>IFERROR(INDEX(LMH_STEP,MATCH(AF553,LMH_KEY,0)),0)</f>
        <v>0</v>
      </c>
      <c r="BU553" s="38">
        <f>IFERROR(INDEX(LMH_STEP,MATCH(AG553,LMH_KEY,0)),0)</f>
        <v>0</v>
      </c>
      <c r="BV553" s="38">
        <f>IFERROR(INDEX(LMH_STEP,MATCH(AH553,LMH_KEY,0)),0)</f>
        <v>0</v>
      </c>
      <c r="BW553" s="38">
        <f>IFERROR(INDEX(LMH_STEP,MATCH(AI553,LMH_KEY,0)),0)</f>
        <v>0</v>
      </c>
      <c r="BX553" s="38">
        <f>IFERROR(INDEX(LMH_STEP,MATCH(AJ553,LMH_KEY,0)),0)</f>
        <v>0</v>
      </c>
      <c r="BY553" s="38">
        <f>IFERROR(INDEX(LMH_STEP,MATCH(AK553,LMH_KEY,0)),0)</f>
        <v>0</v>
      </c>
      <c r="BZ553" s="38">
        <f>IFERROR(INDEX(LMH_STEP,MATCH(AL553,LMH_KEY,0)),0)</f>
        <v>0</v>
      </c>
      <c r="CA553" s="38" t="inlineStr">
        <is>
          <t>iFile|Technology|Technical Specialist – POD Lead|B1|B-IC</t>
        </is>
      </c>
    </row>
    <row r="554" ht="110" customHeight="1">
      <c r="A554" s="28" t="inlineStr">
        <is>
          <t>iFile</t>
        </is>
      </c>
      <c r="B554" s="29" t="inlineStr">
        <is>
          <t>Technology</t>
        </is>
      </c>
      <c r="C554" s="29" t="n">
        <v>3</v>
      </c>
      <c r="D554" s="29" t="inlineStr">
        <is>
          <t>IRIS2194</t>
        </is>
      </c>
      <c r="E554" s="29" t="inlineStr">
        <is>
          <t>Sahil Chavan</t>
        </is>
      </c>
      <c r="F554" s="29" t="inlineStr">
        <is>
          <t>Software Engineer</t>
        </is>
      </c>
      <c r="G554" s="29" t="inlineStr">
        <is>
          <t>Senior Software Engineer</t>
        </is>
      </c>
      <c r="H554" s="29" t="inlineStr">
        <is>
          <t>Engineering &amp; Development</t>
        </is>
      </c>
      <c r="I554" s="29" t="inlineStr">
        <is>
          <t>Backend Development</t>
        </is>
      </c>
      <c r="J554" s="29" t="inlineStr">
        <is>
          <t>IC</t>
        </is>
      </c>
      <c r="K554" s="29" t="inlineStr">
        <is>
          <t>RC-067</t>
        </is>
      </c>
      <c r="L554" s="29" t="inlineStr">
        <is>
          <t>Vivek Shinde</t>
        </is>
      </c>
      <c r="M554" s="29" t="inlineStr">
        <is>
          <t>IRIS1640</t>
        </is>
      </c>
      <c r="N554" s="29" t="n">
        <v>5.2</v>
      </c>
      <c r="O554" s="29" t="n">
        <v>3</v>
      </c>
      <c r="P554" s="29" t="inlineStr">
        <is>
          <t>B.E</t>
        </is>
      </c>
      <c r="Q554" s="29" t="inlineStr">
        <is>
          <t>L3 – Professional / Associate</t>
        </is>
      </c>
      <c r="R554" s="29" t="inlineStr">
        <is>
          <t>A3</t>
        </is>
      </c>
      <c r="S554" s="30" t="inlineStr">
        <is>
          <t>19 of 20</t>
        </is>
      </c>
      <c r="T554" s="31" t="inlineStr">
        <is>
          <t>Complexity: Evidence reads like A3: KRA: built and deployed reminder, external-user email and late-approval modules; researched restart-free properties refresh → moved up 0.5
Autonomy: Evidence reads like A2: Decides the code approach → matches the start
Accountability: Evidence reads like A3: KRA: features deployed to production for the client; accountable …</t>
        </is>
      </c>
      <c r="U554" s="31" t="inlineStr">
        <is>
          <t>Received · manager annual, quarterly, self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554" s="31" t="inlineStr">
        <is>
          <t>Latest rating: 3 · Potential: Medium · 9-box: Core Contributor · Readiness: Develop in role</t>
        </is>
      </c>
      <c r="W554" s="31" t="inlineStr">
        <is>
          <t>C M · Au L · Ac M · L L · BI M · Exp H · 5.2 yrs vs 2–4 yrs · Edu M · B.E</t>
        </is>
      </c>
      <c r="X554" s="33" t="inlineStr">
        <is>
          <t>Open ▸</t>
        </is>
      </c>
      <c r="Y554" s="34" t="str">
        <f>IFERROR(INDEX(DL_C,MATCH($CA554,DL_KEY,0)),"M")</f>
        <v>H</v>
      </c>
      <c r="Z554" s="35" t="str">
        <f>IFERROR(INDEX(DL_Au,MATCH($CA554,DL_KEY,0)),"M")</f>
        <v>M</v>
      </c>
      <c r="AA554" s="35" t="str">
        <f>IFERROR(INDEX(DL_Ac,MATCH($CA554,DL_KEY,0)),"M")</f>
        <v>L</v>
      </c>
      <c r="AB554" s="35" t="str">
        <f>IFERROR(INDEX(DL_L,MATCH($CA554,DL_KEY,0)),"M")</f>
        <v>L</v>
      </c>
      <c r="AC554" s="35" t="str">
        <f>IFERROR(INDEX(DL_BI,MATCH($CA554,DL_KEY,0)),"M")</f>
        <v>L</v>
      </c>
      <c r="AD554" s="35" t="str">
        <f>IFERROR(INDEX(DL_Exp,MATCH($CA554,DL_KEY,0)),"M")</f>
        <v>L</v>
      </c>
      <c r="AE554" s="35" t="str">
        <f>IFERROR(INDEX(DL_Edu,MATCH($CA554,DL_KEY,0)),"M")</f>
        <v>L</v>
      </c>
      <c r="AF554" s="34" t="inlineStr">
        <is>
          <t>M</t>
        </is>
      </c>
      <c r="AG554" s="35" t="inlineStr">
        <is>
          <t>M</t>
        </is>
      </c>
      <c r="AH554" s="35" t="inlineStr">
        <is>
          <t>M</t>
        </is>
      </c>
      <c r="AI554" s="35" t="inlineStr">
        <is>
          <t>M</t>
        </is>
      </c>
      <c r="AJ554" s="35" t="inlineStr">
        <is>
          <t>M</t>
        </is>
      </c>
      <c r="AK554" s="35" t="inlineStr">
        <is>
          <t>M</t>
        </is>
      </c>
      <c r="AL554" s="35" t="inlineStr">
        <is>
          <t>M</t>
        </is>
      </c>
      <c r="AM554" s="36" t="n">
        <v>0.583</v>
      </c>
      <c r="AN554" s="37" t="n">
        <v>0.16</v>
      </c>
      <c r="AO554" s="37" t="n">
        <v>0.09</v>
      </c>
      <c r="AP554" s="37" t="n">
        <v>0</v>
      </c>
      <c r="AQ554" s="37" t="n">
        <v>0.063</v>
      </c>
      <c r="AR554" s="37" t="n">
        <v>0.06</v>
      </c>
      <c r="AS554" s="37" t="n">
        <v>0.04</v>
      </c>
      <c r="AT554" s="38" t="inlineStr">
        <is>
          <t>2–5</t>
        </is>
      </c>
      <c r="AU554" s="38" t="inlineStr">
        <is>
          <t>Graduate; relevant certification preferred</t>
        </is>
      </c>
      <c r="AV554" s="38" t="inlineStr">
        <is>
          <t>None · guides 1–3 juniors informally</t>
        </is>
      </c>
      <c r="AW554" s="38" t="inlineStr">
        <is>
          <t>P2 · SFIA 3 Apply</t>
        </is>
      </c>
      <c r="AX55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54" s="39" t="inlineStr">
        <is>
          <t>A3</t>
        </is>
      </c>
      <c r="AZ554" s="40" t="inlineStr">
        <is>
          <t>Band A · Practitioner · Senior Associate</t>
        </is>
      </c>
      <c r="BA554" s="40" t="inlineStr">
        <is>
          <t>Model A3 from the six ratings, the market-derived weights and rules R1–R13 · then No change · already below the manager</t>
        </is>
      </c>
      <c r="BB554" s="41" t="inlineStr">
        <is>
          <t>A3</t>
        </is>
      </c>
      <c r="BC554" s="40" t="inlineStr">
        <is>
          <t>The six ratings on the market-average weights of Band A · all tracks score 2.60 → A3 · Hay, Mercer IPE and public plans · experience 5.2 yrs vs the A3 market range 2–5</t>
        </is>
      </c>
      <c r="BD554" s="42">
        <f>IF(SUM(BM554,BN554,BO554,BP554,BQ554,BR554,BS554)=0,0,(BM554*BT554+BN554*BU554+BO554*BV554+BP554*BW554+BQ554*BX554+BR554*BY554+BS554*BZ554)/SUM(BM554,BN554,BO554,BP554,BQ554,BR554,BS554))</f>
        <v>0</v>
      </c>
      <c r="BE554" s="41" t="str">
        <f>IF(LEFT(AY554,1)="X",AY554,IF(OR(AY554="B+",AY554="C+"),INDEX(LAD_PC,MAX(1,MIN(14,MATCH(AY554,LAD_PC,0)+IF(BD554&gt;=0.5,1,IF(BD554&lt;=-0.5,-1,0))))),INDEX(LAD_STD,MAX(1,MIN(12,MATCH(AY554,LAD_STD,0)+IF(BD554&gt;=0.5,1,IF(BD554&lt;=-0.5,-1,0)))))))</f>
        <v>A3</v>
      </c>
      <c r="BF554" s="43" t="n"/>
      <c r="BG554" s="41" t="str">
        <f>IF(BF554&lt;&gt;"",BF554,BE554)</f>
        <v>A3</v>
      </c>
      <c r="BH554" s="40" t="str">
        <f>IFERROR(CHOOSE(INDEX(B_RANK,MATCH(BG554,B_LVL,0)),"Band A","Band B","B+ · Player-Coach","Band C","C+ · Player-Coach","Band D","Band E"),"Band X · Consultant")</f>
        <v>Band A</v>
      </c>
      <c r="BI554" s="40" t="str">
        <f>IF(BG554=AY554,"• Same",IF(INDEX(B_VAL,MATCH(BG554,B_LVL,0))&gt;INDEX(B_VAL,MATCH(AY554,B_LVL,0)),"▲ Up","▼ Down"))</f>
        <v>• Same</v>
      </c>
      <c r="BJ554" s="40" t="str">
        <f>IF(OR($M554="",$M554="—",$M554="Not in this file"),"",IFERROR(INDEX($BG$7:$BG$592,MATCH($M554,$D$7:$D$592,0)),""))</f>
        <v>B1</v>
      </c>
      <c r="BK554" s="40" t="str">
        <f>IFERROR(IF(BJ554="","—",IF(OR(LEFT(BG554,1)="X",LEFT(BJ554,1)="X"),"—",IF(AND(LEFT(BG554,1)="E",LEFT(BJ554,1)="E"),"Exception · Band E",IF(AND(INDEX(B_VAL,MATCH(BJ554,B_LVL,0))&gt;=7,INDEX(B_RANK,MATCH(BG554,B_LVL,0))&gt;=INDEX(B_RANK,MATCH(BJ554,B_LVL,0))),"⚠ Same band as a head manager",IF(INDEX(B_VAL,MATCH(BG554,B_LVL,0))&gt;=INDEX(B_VAL,MATCH(BJ554,B_LVL,0)),"⚠ At or above the manager's level","OK"))))),"—")</f>
        <v>OK</v>
      </c>
      <c r="BL554" s="43" t="n"/>
      <c r="BM554" s="44">
        <f>IFERROR(INDEX(LMH_PTS,MATCH(Y554,LMH_KEY,0)),0)</f>
        <v>9</v>
      </c>
      <c r="BN554" s="38">
        <f>IFERROR(INDEX(LMH_PTS,MATCH(Z554,LMH_KEY,0)),0)</f>
        <v>3</v>
      </c>
      <c r="BO554" s="38">
        <f>IFERROR(INDEX(LMH_PTS,MATCH(AA554,LMH_KEY,0)),0)</f>
        <v>1</v>
      </c>
      <c r="BP554" s="38">
        <f>IFERROR(INDEX(LMH_PTS,MATCH(AB554,LMH_KEY,0)),0)</f>
        <v>1</v>
      </c>
      <c r="BQ554" s="38">
        <f>IFERROR(INDEX(LMH_PTS,MATCH(AC554,LMH_KEY,0)),0)</f>
        <v>1</v>
      </c>
      <c r="BR554" s="38">
        <f>IFERROR(INDEX(LMH_PTS,MATCH(AD554,LMH_KEY,0)),0)</f>
        <v>1</v>
      </c>
      <c r="BS554" s="38">
        <f>IFERROR(INDEX(LMH_PTS,MATCH(AE554,LMH_KEY,0)),0)</f>
        <v>1</v>
      </c>
      <c r="BT554" s="38">
        <f>IFERROR(INDEX(LMH_STEP,MATCH(AF554,LMH_KEY,0)),0)</f>
        <v>0</v>
      </c>
      <c r="BU554" s="38">
        <f>IFERROR(INDEX(LMH_STEP,MATCH(AG554,LMH_KEY,0)),0)</f>
        <v>0</v>
      </c>
      <c r="BV554" s="38">
        <f>IFERROR(INDEX(LMH_STEP,MATCH(AH554,LMH_KEY,0)),0)</f>
        <v>0</v>
      </c>
      <c r="BW554" s="38">
        <f>IFERROR(INDEX(LMH_STEP,MATCH(AI554,LMH_KEY,0)),0)</f>
        <v>0</v>
      </c>
      <c r="BX554" s="38">
        <f>IFERROR(INDEX(LMH_STEP,MATCH(AJ554,LMH_KEY,0)),0)</f>
        <v>0</v>
      </c>
      <c r="BY554" s="38">
        <f>IFERROR(INDEX(LMH_STEP,MATCH(AK554,LMH_KEY,0)),0)</f>
        <v>0</v>
      </c>
      <c r="BZ554" s="38">
        <f>IFERROR(INDEX(LMH_STEP,MATCH(AL554,LMH_KEY,0)),0)</f>
        <v>0</v>
      </c>
      <c r="CA554" s="38" t="inlineStr">
        <is>
          <t>iFile|Technology|Senior Software Engineer|A3|A</t>
        </is>
      </c>
    </row>
    <row r="555" ht="110" customHeight="1">
      <c r="A555" s="28" t="inlineStr">
        <is>
          <t>iFile</t>
        </is>
      </c>
      <c r="B555" s="29" t="inlineStr">
        <is>
          <t>Technology</t>
        </is>
      </c>
      <c r="C555" s="29" t="n">
        <v>3</v>
      </c>
      <c r="D555" s="29" t="inlineStr">
        <is>
          <t>IRIS2396</t>
        </is>
      </c>
      <c r="E555" s="29" t="inlineStr">
        <is>
          <t>Chirag Suryawanshi</t>
        </is>
      </c>
      <c r="F555" s="29" t="inlineStr">
        <is>
          <t>Trainee Software Engineer</t>
        </is>
      </c>
      <c r="G555" s="29" t="inlineStr">
        <is>
          <t>Software Engineer</t>
        </is>
      </c>
      <c r="H555" s="29" t="inlineStr">
        <is>
          <t>Engineering &amp; Development</t>
        </is>
      </c>
      <c r="I555" s="29" t="inlineStr">
        <is>
          <t>Backend Development</t>
        </is>
      </c>
      <c r="J555" s="29" t="inlineStr">
        <is>
          <t>IC</t>
        </is>
      </c>
      <c r="K555" s="29" t="inlineStr">
        <is>
          <t>RC-066</t>
        </is>
      </c>
      <c r="L555" s="29" t="inlineStr">
        <is>
          <t>Vivek Shinde</t>
        </is>
      </c>
      <c r="M555" s="29" t="inlineStr">
        <is>
          <t>IRIS1640</t>
        </is>
      </c>
      <c r="N555" s="29" t="n">
        <v>1.2</v>
      </c>
      <c r="O555" s="29" t="n">
        <v>1.2</v>
      </c>
      <c r="P555" s="29" t="inlineStr">
        <is>
          <t>B.Tech</t>
        </is>
      </c>
      <c r="Q555" s="29" t="inlineStr">
        <is>
          <t>L2 – Trainee</t>
        </is>
      </c>
      <c r="R555" s="29" t="inlineStr">
        <is>
          <t>A2</t>
        </is>
      </c>
      <c r="S555" s="30" t="inlineStr">
        <is>
          <t>18 of 20</t>
        </is>
      </c>
      <c r="T555" s="31" t="inlineStr">
        <is>
          <t>Business Impact: Moved +0.5: the survey / manager mapping marks it business-critical.</t>
        </is>
      </c>
      <c r="U555" s="31" t="inlineStr">
        <is>
          <t>Received · manager annual, quarterly, self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555" s="31" t="inlineStr">
        <is>
          <t>Latest rating: 4 · Potential: High · 9-box: High Impact / Growth Talent · Readiness: Ready now</t>
        </is>
      </c>
      <c r="W555" s="31" t="inlineStr">
        <is>
          <t>C M · Au M · Ac M · L L · BI M · Exp M · 1.2 yrs vs 0–2 yrs · Edu M · B.Tech</t>
        </is>
      </c>
      <c r="X555" s="33" t="inlineStr">
        <is>
          <t>Open ▸</t>
        </is>
      </c>
      <c r="Y555" s="34" t="str">
        <f>IFERROR(INDEX(DL_C,MATCH($CA555,DL_KEY,0)),"M")</f>
        <v>H</v>
      </c>
      <c r="Z555" s="35" t="str">
        <f>IFERROR(INDEX(DL_Au,MATCH($CA555,DL_KEY,0)),"M")</f>
        <v>M</v>
      </c>
      <c r="AA555" s="35" t="str">
        <f>IFERROR(INDEX(DL_Ac,MATCH($CA555,DL_KEY,0)),"M")</f>
        <v>L</v>
      </c>
      <c r="AB555" s="35" t="str">
        <f>IFERROR(INDEX(DL_L,MATCH($CA555,DL_KEY,0)),"M")</f>
        <v>L</v>
      </c>
      <c r="AC555" s="35" t="str">
        <f>IFERROR(INDEX(DL_BI,MATCH($CA555,DL_KEY,0)),"M")</f>
        <v>L</v>
      </c>
      <c r="AD555" s="35" t="str">
        <f>IFERROR(INDEX(DL_Exp,MATCH($CA555,DL_KEY,0)),"M")</f>
        <v>L</v>
      </c>
      <c r="AE555" s="35" t="str">
        <f>IFERROR(INDEX(DL_Edu,MATCH($CA555,DL_KEY,0)),"M")</f>
        <v>L</v>
      </c>
      <c r="AF555" s="34" t="inlineStr">
        <is>
          <t>M</t>
        </is>
      </c>
      <c r="AG555" s="35" t="inlineStr">
        <is>
          <t>M</t>
        </is>
      </c>
      <c r="AH555" s="35" t="inlineStr">
        <is>
          <t>M</t>
        </is>
      </c>
      <c r="AI555" s="35" t="inlineStr">
        <is>
          <t>M</t>
        </is>
      </c>
      <c r="AJ555" s="35" t="inlineStr">
        <is>
          <t>M</t>
        </is>
      </c>
      <c r="AK555" s="35" t="inlineStr">
        <is>
          <t>M</t>
        </is>
      </c>
      <c r="AL555" s="35" t="inlineStr">
        <is>
          <t>M</t>
        </is>
      </c>
      <c r="AM555" s="36" t="n">
        <v>0.583</v>
      </c>
      <c r="AN555" s="37" t="n">
        <v>0.16</v>
      </c>
      <c r="AO555" s="37" t="n">
        <v>0.09</v>
      </c>
      <c r="AP555" s="37" t="n">
        <v>0</v>
      </c>
      <c r="AQ555" s="37" t="n">
        <v>0.063</v>
      </c>
      <c r="AR555" s="37" t="n">
        <v>0.06</v>
      </c>
      <c r="AS555" s="37" t="n">
        <v>0.04</v>
      </c>
      <c r="AT555" s="38" t="inlineStr">
        <is>
          <t>0–3</t>
        </is>
      </c>
      <c r="AU555" s="38" t="inlineStr">
        <is>
          <t>Graduate · or diploma with experience</t>
        </is>
      </c>
      <c r="AV555" s="38" t="inlineStr">
        <is>
          <t>No direct reports</t>
        </is>
      </c>
      <c r="AW555" s="38" t="inlineStr">
        <is>
          <t>P1–P2 · SFIA 2 Assist</t>
        </is>
      </c>
      <c r="AX55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55" s="39" t="inlineStr">
        <is>
          <t>A2</t>
        </is>
      </c>
      <c r="AZ555" s="40" t="inlineStr">
        <is>
          <t>Band A · Practitioner · Associate</t>
        </is>
      </c>
      <c r="BA555" s="40" t="inlineStr">
        <is>
          <t>Model A2 from the six ratings, the market-derived weights and rules R1–R13 · then No change · already below the manager</t>
        </is>
      </c>
      <c r="BB555" s="41" t="inlineStr">
        <is>
          <t>A2</t>
        </is>
      </c>
      <c r="BC555" s="40" t="inlineStr">
        <is>
          <t>The six ratings on the market-average weights of Band A · all tracks score 1.87 → A2 · Hay, Mercer IPE and public plans · experience 1.2 yrs vs the A2 market range 0–3</t>
        </is>
      </c>
      <c r="BD555" s="42">
        <f>IF(SUM(BM555,BN555,BO555,BP555,BQ555,BR555,BS555)=0,0,(BM555*BT555+BN555*BU555+BO555*BV555+BP555*BW555+BQ555*BX555+BR555*BY555+BS555*BZ555)/SUM(BM555,BN555,BO555,BP555,BQ555,BR555,BS555))</f>
        <v>0</v>
      </c>
      <c r="BE555" s="41" t="str">
        <f>IF(LEFT(AY555,1)="X",AY555,IF(OR(AY555="B+",AY555="C+"),INDEX(LAD_PC,MAX(1,MIN(14,MATCH(AY555,LAD_PC,0)+IF(BD555&gt;=0.5,1,IF(BD555&lt;=-0.5,-1,0))))),INDEX(LAD_STD,MAX(1,MIN(12,MATCH(AY555,LAD_STD,0)+IF(BD555&gt;=0.5,1,IF(BD555&lt;=-0.5,-1,0)))))))</f>
        <v>A2</v>
      </c>
      <c r="BF555" s="43" t="n"/>
      <c r="BG555" s="41" t="str">
        <f>IF(BF555&lt;&gt;"",BF555,BE555)</f>
        <v>A2</v>
      </c>
      <c r="BH555" s="40" t="str">
        <f>IFERROR(CHOOSE(INDEX(B_RANK,MATCH(BG555,B_LVL,0)),"Band A","Band B","B+ · Player-Coach","Band C","C+ · Player-Coach","Band D","Band E"),"Band X · Consultant")</f>
        <v>Band A</v>
      </c>
      <c r="BI555" s="40" t="str">
        <f>IF(BG555=AY555,"• Same",IF(INDEX(B_VAL,MATCH(BG555,B_LVL,0))&gt;INDEX(B_VAL,MATCH(AY555,B_LVL,0)),"▲ Up","▼ Down"))</f>
        <v>• Same</v>
      </c>
      <c r="BJ555" s="40" t="str">
        <f>IF(OR($M555="",$M555="—",$M555="Not in this file"),"",IFERROR(INDEX($BG$7:$BG$592,MATCH($M555,$D$7:$D$592,0)),""))</f>
        <v>B1</v>
      </c>
      <c r="BK555" s="40" t="str">
        <f>IFERROR(IF(BJ555="","—",IF(OR(LEFT(BG555,1)="X",LEFT(BJ555,1)="X"),"—",IF(AND(LEFT(BG555,1)="E",LEFT(BJ555,1)="E"),"Exception · Band E",IF(AND(INDEX(B_VAL,MATCH(BJ555,B_LVL,0))&gt;=7,INDEX(B_RANK,MATCH(BG555,B_LVL,0))&gt;=INDEX(B_RANK,MATCH(BJ555,B_LVL,0))),"⚠ Same band as a head manager",IF(INDEX(B_VAL,MATCH(BG555,B_LVL,0))&gt;=INDEX(B_VAL,MATCH(BJ555,B_LVL,0)),"⚠ At or above the manager's level","OK"))))),"—")</f>
        <v>OK</v>
      </c>
      <c r="BL555" s="43" t="n"/>
      <c r="BM555" s="44">
        <f>IFERROR(INDEX(LMH_PTS,MATCH(Y555,LMH_KEY,0)),0)</f>
        <v>9</v>
      </c>
      <c r="BN555" s="38">
        <f>IFERROR(INDEX(LMH_PTS,MATCH(Z555,LMH_KEY,0)),0)</f>
        <v>3</v>
      </c>
      <c r="BO555" s="38">
        <f>IFERROR(INDEX(LMH_PTS,MATCH(AA555,LMH_KEY,0)),0)</f>
        <v>1</v>
      </c>
      <c r="BP555" s="38">
        <f>IFERROR(INDEX(LMH_PTS,MATCH(AB555,LMH_KEY,0)),0)</f>
        <v>1</v>
      </c>
      <c r="BQ555" s="38">
        <f>IFERROR(INDEX(LMH_PTS,MATCH(AC555,LMH_KEY,0)),0)</f>
        <v>1</v>
      </c>
      <c r="BR555" s="38">
        <f>IFERROR(INDEX(LMH_PTS,MATCH(AD555,LMH_KEY,0)),0)</f>
        <v>1</v>
      </c>
      <c r="BS555" s="38">
        <f>IFERROR(INDEX(LMH_PTS,MATCH(AE555,LMH_KEY,0)),0)</f>
        <v>1</v>
      </c>
      <c r="BT555" s="38">
        <f>IFERROR(INDEX(LMH_STEP,MATCH(AF555,LMH_KEY,0)),0)</f>
        <v>0</v>
      </c>
      <c r="BU555" s="38">
        <f>IFERROR(INDEX(LMH_STEP,MATCH(AG555,LMH_KEY,0)),0)</f>
        <v>0</v>
      </c>
      <c r="BV555" s="38">
        <f>IFERROR(INDEX(LMH_STEP,MATCH(AH555,LMH_KEY,0)),0)</f>
        <v>0</v>
      </c>
      <c r="BW555" s="38">
        <f>IFERROR(INDEX(LMH_STEP,MATCH(AI555,LMH_KEY,0)),0)</f>
        <v>0</v>
      </c>
      <c r="BX555" s="38">
        <f>IFERROR(INDEX(LMH_STEP,MATCH(AJ555,LMH_KEY,0)),0)</f>
        <v>0</v>
      </c>
      <c r="BY555" s="38">
        <f>IFERROR(INDEX(LMH_STEP,MATCH(AK555,LMH_KEY,0)),0)</f>
        <v>0</v>
      </c>
      <c r="BZ555" s="38">
        <f>IFERROR(INDEX(LMH_STEP,MATCH(AL555,LMH_KEY,0)),0)</f>
        <v>0</v>
      </c>
      <c r="CA555" s="38" t="inlineStr">
        <is>
          <t>iFile|Technology|Software Engineer|A2|A</t>
        </is>
      </c>
    </row>
    <row r="556" ht="110" customHeight="1">
      <c r="A556" s="28" t="inlineStr">
        <is>
          <t>iFile</t>
        </is>
      </c>
      <c r="B556" s="29" t="inlineStr">
        <is>
          <t>Technology</t>
        </is>
      </c>
      <c r="C556" s="29" t="n">
        <v>3</v>
      </c>
      <c r="D556" s="29" t="inlineStr">
        <is>
          <t>IRIS2255</t>
        </is>
      </c>
      <c r="E556" s="29" t="inlineStr">
        <is>
          <t>Tanay Hisariya</t>
        </is>
      </c>
      <c r="F556" s="29" t="inlineStr">
        <is>
          <t>Trainee Software Engineer</t>
        </is>
      </c>
      <c r="G556" s="29" t="inlineStr">
        <is>
          <t>Software Engineer</t>
        </is>
      </c>
      <c r="H556" s="29" t="inlineStr">
        <is>
          <t>Engineering &amp; Development</t>
        </is>
      </c>
      <c r="I556" s="29" t="inlineStr">
        <is>
          <t>Full-Stack Development</t>
        </is>
      </c>
      <c r="J556" s="29" t="inlineStr">
        <is>
          <t>IC</t>
        </is>
      </c>
      <c r="K556" s="29" t="inlineStr">
        <is>
          <t>RC-084</t>
        </is>
      </c>
      <c r="L556" s="29" t="inlineStr">
        <is>
          <t>Vivek Shinde</t>
        </is>
      </c>
      <c r="M556" s="29" t="inlineStr">
        <is>
          <t>IRIS1640</t>
        </is>
      </c>
      <c r="N556" s="29" t="n">
        <v>2.3</v>
      </c>
      <c r="O556" s="29" t="n">
        <v>2.3</v>
      </c>
      <c r="P556" s="29" t="inlineStr">
        <is>
          <t>B.E</t>
        </is>
      </c>
      <c r="Q556" s="29" t="inlineStr">
        <is>
          <t>L2 – Trainee</t>
        </is>
      </c>
      <c r="R556" s="29" t="inlineStr">
        <is>
          <t>A2</t>
        </is>
      </c>
      <c r="S556" s="30" t="inlineStr">
        <is>
          <t>20 of 20</t>
        </is>
      </c>
      <c r="T556" s="31" t="inlineStr">
        <is>
          <t>Complexity: Evidence reads like A2: Creates backend APIs/services in Java Spring Boot; coding, unit testing, deployment → moved up 0.5
Autonomy: Evidence reads like A2: Decides basic code architecture only → moved up 0.5
Accountability: Evidence reads like A2: Development, unit testing and proper working of own functionality → moved up 0.5
Leadership: …</t>
        </is>
      </c>
      <c r="U556" s="31" t="inlineStr">
        <is>
          <t>Received · manager annual, quarterly, self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556" s="31" t="inlineStr">
        <is>
          <t>Latest rating: 4 · Potential: High · 9-box: High Impact / Growth Talent · Readiness: Ready now</t>
        </is>
      </c>
      <c r="W556" s="31" t="inlineStr">
        <is>
          <t>C M · Au M · Ac M · L L · BI M · Exp H · 2.3 yrs vs 0–2 yrs · Edu M · B.E</t>
        </is>
      </c>
      <c r="X556" s="33" t="inlineStr">
        <is>
          <t>Open ▸</t>
        </is>
      </c>
      <c r="Y556" s="34" t="str">
        <f>IFERROR(INDEX(DL_C,MATCH($CA556,DL_KEY,0)),"M")</f>
        <v>H</v>
      </c>
      <c r="Z556" s="35" t="str">
        <f>IFERROR(INDEX(DL_Au,MATCH($CA556,DL_KEY,0)),"M")</f>
        <v>M</v>
      </c>
      <c r="AA556" s="35" t="str">
        <f>IFERROR(INDEX(DL_Ac,MATCH($CA556,DL_KEY,0)),"M")</f>
        <v>L</v>
      </c>
      <c r="AB556" s="35" t="str">
        <f>IFERROR(INDEX(DL_L,MATCH($CA556,DL_KEY,0)),"M")</f>
        <v>L</v>
      </c>
      <c r="AC556" s="35" t="str">
        <f>IFERROR(INDEX(DL_BI,MATCH($CA556,DL_KEY,0)),"M")</f>
        <v>L</v>
      </c>
      <c r="AD556" s="35" t="str">
        <f>IFERROR(INDEX(DL_Exp,MATCH($CA556,DL_KEY,0)),"M")</f>
        <v>L</v>
      </c>
      <c r="AE556" s="35" t="str">
        <f>IFERROR(INDEX(DL_Edu,MATCH($CA556,DL_KEY,0)),"M")</f>
        <v>L</v>
      </c>
      <c r="AF556" s="34" t="inlineStr">
        <is>
          <t>M</t>
        </is>
      </c>
      <c r="AG556" s="35" t="inlineStr">
        <is>
          <t>M</t>
        </is>
      </c>
      <c r="AH556" s="35" t="inlineStr">
        <is>
          <t>M</t>
        </is>
      </c>
      <c r="AI556" s="35" t="inlineStr">
        <is>
          <t>M</t>
        </is>
      </c>
      <c r="AJ556" s="35" t="inlineStr">
        <is>
          <t>M</t>
        </is>
      </c>
      <c r="AK556" s="35" t="inlineStr">
        <is>
          <t>M</t>
        </is>
      </c>
      <c r="AL556" s="35" t="inlineStr">
        <is>
          <t>M</t>
        </is>
      </c>
      <c r="AM556" s="36" t="n">
        <v>0.583</v>
      </c>
      <c r="AN556" s="37" t="n">
        <v>0.16</v>
      </c>
      <c r="AO556" s="37" t="n">
        <v>0.09</v>
      </c>
      <c r="AP556" s="37" t="n">
        <v>0</v>
      </c>
      <c r="AQ556" s="37" t="n">
        <v>0.063</v>
      </c>
      <c r="AR556" s="37" t="n">
        <v>0.06</v>
      </c>
      <c r="AS556" s="37" t="n">
        <v>0.04</v>
      </c>
      <c r="AT556" s="38" t="inlineStr">
        <is>
          <t>0–3</t>
        </is>
      </c>
      <c r="AU556" s="38" t="inlineStr">
        <is>
          <t>Graduate · or diploma with experience</t>
        </is>
      </c>
      <c r="AV556" s="38" t="inlineStr">
        <is>
          <t>No direct reports</t>
        </is>
      </c>
      <c r="AW556" s="38" t="inlineStr">
        <is>
          <t>P1–P2 · SFIA 2 Assist</t>
        </is>
      </c>
      <c r="AX55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56" s="39" t="inlineStr">
        <is>
          <t>A2</t>
        </is>
      </c>
      <c r="AZ556" s="40" t="inlineStr">
        <is>
          <t>Band A · Practitioner · Associate</t>
        </is>
      </c>
      <c r="BA556" s="40" t="inlineStr">
        <is>
          <t>Model A2 from the six ratings, the market-derived weights and rules R1–R13 · then No change · already below the manager</t>
        </is>
      </c>
      <c r="BB556" s="41" t="inlineStr">
        <is>
          <t>A2</t>
        </is>
      </c>
      <c r="BC556" s="40" t="inlineStr">
        <is>
          <t>The six ratings on the market-average weights of Band A · all tracks score 1.66 → A2 · Hay, Mercer IPE and public plans · experience 2.3 yrs vs the A2 market range 0–3</t>
        </is>
      </c>
      <c r="BD556" s="42">
        <f>IF(SUM(BM556,BN556,BO556,BP556,BQ556,BR556,BS556)=0,0,(BM556*BT556+BN556*BU556+BO556*BV556+BP556*BW556+BQ556*BX556+BR556*BY556+BS556*BZ556)/SUM(BM556,BN556,BO556,BP556,BQ556,BR556,BS556))</f>
        <v>0</v>
      </c>
      <c r="BE556" s="41" t="str">
        <f>IF(LEFT(AY556,1)="X",AY556,IF(OR(AY556="B+",AY556="C+"),INDEX(LAD_PC,MAX(1,MIN(14,MATCH(AY556,LAD_PC,0)+IF(BD556&gt;=0.5,1,IF(BD556&lt;=-0.5,-1,0))))),INDEX(LAD_STD,MAX(1,MIN(12,MATCH(AY556,LAD_STD,0)+IF(BD556&gt;=0.5,1,IF(BD556&lt;=-0.5,-1,0)))))))</f>
        <v>A2</v>
      </c>
      <c r="BF556" s="43" t="n"/>
      <c r="BG556" s="41" t="str">
        <f>IF(BF556&lt;&gt;"",BF556,BE556)</f>
        <v>A2</v>
      </c>
      <c r="BH556" s="40" t="str">
        <f>IFERROR(CHOOSE(INDEX(B_RANK,MATCH(BG556,B_LVL,0)),"Band A","Band B","B+ · Player-Coach","Band C","C+ · Player-Coach","Band D","Band E"),"Band X · Consultant")</f>
        <v>Band A</v>
      </c>
      <c r="BI556" s="40" t="str">
        <f>IF(BG556=AY556,"• Same",IF(INDEX(B_VAL,MATCH(BG556,B_LVL,0))&gt;INDEX(B_VAL,MATCH(AY556,B_LVL,0)),"▲ Up","▼ Down"))</f>
        <v>• Same</v>
      </c>
      <c r="BJ556" s="40" t="str">
        <f>IF(OR($M556="",$M556="—",$M556="Not in this file"),"",IFERROR(INDEX($BG$7:$BG$592,MATCH($M556,$D$7:$D$592,0)),""))</f>
        <v>B1</v>
      </c>
      <c r="BK556" s="40" t="str">
        <f>IFERROR(IF(BJ556="","—",IF(OR(LEFT(BG556,1)="X",LEFT(BJ556,1)="X"),"—",IF(AND(LEFT(BG556,1)="E",LEFT(BJ556,1)="E"),"Exception · Band E",IF(AND(INDEX(B_VAL,MATCH(BJ556,B_LVL,0))&gt;=7,INDEX(B_RANK,MATCH(BG556,B_LVL,0))&gt;=INDEX(B_RANK,MATCH(BJ556,B_LVL,0))),"⚠ Same band as a head manager",IF(INDEX(B_VAL,MATCH(BG556,B_LVL,0))&gt;=INDEX(B_VAL,MATCH(BJ556,B_LVL,0)),"⚠ At or above the manager's level","OK"))))),"—")</f>
        <v>OK</v>
      </c>
      <c r="BL556" s="43" t="n"/>
      <c r="BM556" s="44">
        <f>IFERROR(INDEX(LMH_PTS,MATCH(Y556,LMH_KEY,0)),0)</f>
        <v>9</v>
      </c>
      <c r="BN556" s="38">
        <f>IFERROR(INDEX(LMH_PTS,MATCH(Z556,LMH_KEY,0)),0)</f>
        <v>3</v>
      </c>
      <c r="BO556" s="38">
        <f>IFERROR(INDEX(LMH_PTS,MATCH(AA556,LMH_KEY,0)),0)</f>
        <v>1</v>
      </c>
      <c r="BP556" s="38">
        <f>IFERROR(INDEX(LMH_PTS,MATCH(AB556,LMH_KEY,0)),0)</f>
        <v>1</v>
      </c>
      <c r="BQ556" s="38">
        <f>IFERROR(INDEX(LMH_PTS,MATCH(AC556,LMH_KEY,0)),0)</f>
        <v>1</v>
      </c>
      <c r="BR556" s="38">
        <f>IFERROR(INDEX(LMH_PTS,MATCH(AD556,LMH_KEY,0)),0)</f>
        <v>1</v>
      </c>
      <c r="BS556" s="38">
        <f>IFERROR(INDEX(LMH_PTS,MATCH(AE556,LMH_KEY,0)),0)</f>
        <v>1</v>
      </c>
      <c r="BT556" s="38">
        <f>IFERROR(INDEX(LMH_STEP,MATCH(AF556,LMH_KEY,0)),0)</f>
        <v>0</v>
      </c>
      <c r="BU556" s="38">
        <f>IFERROR(INDEX(LMH_STEP,MATCH(AG556,LMH_KEY,0)),0)</f>
        <v>0</v>
      </c>
      <c r="BV556" s="38">
        <f>IFERROR(INDEX(LMH_STEP,MATCH(AH556,LMH_KEY,0)),0)</f>
        <v>0</v>
      </c>
      <c r="BW556" s="38">
        <f>IFERROR(INDEX(LMH_STEP,MATCH(AI556,LMH_KEY,0)),0)</f>
        <v>0</v>
      </c>
      <c r="BX556" s="38">
        <f>IFERROR(INDEX(LMH_STEP,MATCH(AJ556,LMH_KEY,0)),0)</f>
        <v>0</v>
      </c>
      <c r="BY556" s="38">
        <f>IFERROR(INDEX(LMH_STEP,MATCH(AK556,LMH_KEY,0)),0)</f>
        <v>0</v>
      </c>
      <c r="BZ556" s="38">
        <f>IFERROR(INDEX(LMH_STEP,MATCH(AL556,LMH_KEY,0)),0)</f>
        <v>0</v>
      </c>
      <c r="CA556" s="38" t="inlineStr">
        <is>
          <t>iFile|Technology|Software Engineer|A2|A</t>
        </is>
      </c>
    </row>
    <row r="557" ht="110" customHeight="1">
      <c r="A557" s="28" t="inlineStr">
        <is>
          <t>iFile</t>
        </is>
      </c>
      <c r="B557" s="29" t="inlineStr">
        <is>
          <t>Technology</t>
        </is>
      </c>
      <c r="C557" s="29" t="n">
        <v>2</v>
      </c>
      <c r="D557" s="29" t="inlineStr">
        <is>
          <t>IRIS2132</t>
        </is>
      </c>
      <c r="E557" s="29" t="inlineStr">
        <is>
          <t>Shubham Mhadgut</t>
        </is>
      </c>
      <c r="F557" s="29" t="inlineStr">
        <is>
          <t>Software Engineer</t>
        </is>
      </c>
      <c r="G557" s="29" t="inlineStr">
        <is>
          <t>Senior Software Engineer</t>
        </is>
      </c>
      <c r="H557" s="29" t="inlineStr">
        <is>
          <t>Engineering &amp; Development</t>
        </is>
      </c>
      <c r="I557" s="29" t="inlineStr">
        <is>
          <t>Backend Development</t>
        </is>
      </c>
      <c r="J557" s="29" t="inlineStr">
        <is>
          <t>IC</t>
        </is>
      </c>
      <c r="K557" s="29" t="inlineStr">
        <is>
          <t>RC-067</t>
        </is>
      </c>
      <c r="L557" s="29" t="inlineStr">
        <is>
          <t>Suman Kumar</t>
        </is>
      </c>
      <c r="M557" s="29" t="inlineStr">
        <is>
          <t>IRIS1689</t>
        </is>
      </c>
      <c r="N557" s="29" t="n">
        <v>6.3</v>
      </c>
      <c r="O557" s="29" t="n">
        <v>3.4</v>
      </c>
      <c r="P557" s="29" t="inlineStr">
        <is>
          <t>B.Tech</t>
        </is>
      </c>
      <c r="Q557" s="29" t="inlineStr">
        <is>
          <t>L3 – Professional / Associate</t>
        </is>
      </c>
      <c r="R557" s="29" t="inlineStr">
        <is>
          <t>A3</t>
        </is>
      </c>
      <c r="S557" s="30" t="inlineStr">
        <is>
          <t>20 of 20</t>
        </is>
      </c>
      <c r="T557" s="31" t="inlineStr">
        <is>
          <t>Complexity: Evidence reads like A3: Owns Java backend components for bespoke SARB app; KRA: sets code standards and reviews all modules → moved up 0.5
Autonomy: Evidence reads like A3: Makes implementation and component-structure decisions in own areas; aligns on architecture and scope → moved up 0.5
Accountability: Evidence reads like A3: Owns backend …</t>
        </is>
      </c>
      <c r="U557" s="31" t="inlineStr">
        <is>
          <t>Received · manager annual, quarterly, self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557" s="31" t="inlineStr">
        <is>
          <t>Latest rating: 4 · Potential: High · 9-box: Emerging Talent · Readiness: Ready now</t>
        </is>
      </c>
      <c r="W557" s="31" t="inlineStr">
        <is>
          <t>C M · Au M · Ac M · L L · BI M · Exp H · 6.3 yrs vs 2–4 yrs · Edu M · B.Tech</t>
        </is>
      </c>
      <c r="X557" s="33" t="inlineStr">
        <is>
          <t>Open ▸</t>
        </is>
      </c>
      <c r="Y557" s="34" t="str">
        <f>IFERROR(INDEX(DL_C,MATCH($CA557,DL_KEY,0)),"M")</f>
        <v>H</v>
      </c>
      <c r="Z557" s="35" t="str">
        <f>IFERROR(INDEX(DL_Au,MATCH($CA557,DL_KEY,0)),"M")</f>
        <v>M</v>
      </c>
      <c r="AA557" s="35" t="str">
        <f>IFERROR(INDEX(DL_Ac,MATCH($CA557,DL_KEY,0)),"M")</f>
        <v>L</v>
      </c>
      <c r="AB557" s="35" t="str">
        <f>IFERROR(INDEX(DL_L,MATCH($CA557,DL_KEY,0)),"M")</f>
        <v>L</v>
      </c>
      <c r="AC557" s="35" t="str">
        <f>IFERROR(INDEX(DL_BI,MATCH($CA557,DL_KEY,0)),"M")</f>
        <v>L</v>
      </c>
      <c r="AD557" s="35" t="str">
        <f>IFERROR(INDEX(DL_Exp,MATCH($CA557,DL_KEY,0)),"M")</f>
        <v>L</v>
      </c>
      <c r="AE557" s="35" t="str">
        <f>IFERROR(INDEX(DL_Edu,MATCH($CA557,DL_KEY,0)),"M")</f>
        <v>L</v>
      </c>
      <c r="AF557" s="34" t="inlineStr">
        <is>
          <t>M</t>
        </is>
      </c>
      <c r="AG557" s="35" t="inlineStr">
        <is>
          <t>M</t>
        </is>
      </c>
      <c r="AH557" s="35" t="inlineStr">
        <is>
          <t>M</t>
        </is>
      </c>
      <c r="AI557" s="35" t="inlineStr">
        <is>
          <t>M</t>
        </is>
      </c>
      <c r="AJ557" s="35" t="inlineStr">
        <is>
          <t>M</t>
        </is>
      </c>
      <c r="AK557" s="35" t="inlineStr">
        <is>
          <t>M</t>
        </is>
      </c>
      <c r="AL557" s="35" t="inlineStr">
        <is>
          <t>M</t>
        </is>
      </c>
      <c r="AM557" s="36" t="n">
        <v>0.583</v>
      </c>
      <c r="AN557" s="37" t="n">
        <v>0.16</v>
      </c>
      <c r="AO557" s="37" t="n">
        <v>0.09</v>
      </c>
      <c r="AP557" s="37" t="n">
        <v>0</v>
      </c>
      <c r="AQ557" s="37" t="n">
        <v>0.063</v>
      </c>
      <c r="AR557" s="37" t="n">
        <v>0.06</v>
      </c>
      <c r="AS557" s="37" t="n">
        <v>0.04</v>
      </c>
      <c r="AT557" s="38" t="inlineStr">
        <is>
          <t>2–5</t>
        </is>
      </c>
      <c r="AU557" s="38" t="inlineStr">
        <is>
          <t>Graduate; relevant certification preferred</t>
        </is>
      </c>
      <c r="AV557" s="38" t="inlineStr">
        <is>
          <t>None · guides 1–3 juniors informally</t>
        </is>
      </c>
      <c r="AW557" s="38" t="inlineStr">
        <is>
          <t>P2 · SFIA 3 Apply</t>
        </is>
      </c>
      <c r="AX55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57" s="39" t="inlineStr">
        <is>
          <t>A3</t>
        </is>
      </c>
      <c r="AZ557" s="40" t="inlineStr">
        <is>
          <t>Band A · Practitioner · Senior Associate</t>
        </is>
      </c>
      <c r="BA557" s="40" t="inlineStr">
        <is>
          <t>Model A3 from the six ratings, the market-derived weights and rules R1–R13 · then No change · already below the manager</t>
        </is>
      </c>
      <c r="BB557" s="41" t="inlineStr">
        <is>
          <t>A3</t>
        </is>
      </c>
      <c r="BC557" s="40" t="inlineStr">
        <is>
          <t>The six ratings on the market-average weights of Band A · all tracks score 2.73 → A3 · Hay, Mercer IPE and public plans · experience 6.3 yrs vs the A3 market range 2–5</t>
        </is>
      </c>
      <c r="BD557" s="42">
        <f>IF(SUM(BM557,BN557,BO557,BP557,BQ557,BR557,BS557)=0,0,(BM557*BT557+BN557*BU557+BO557*BV557+BP557*BW557+BQ557*BX557+BR557*BY557+BS557*BZ557)/SUM(BM557,BN557,BO557,BP557,BQ557,BR557,BS557))</f>
        <v>0</v>
      </c>
      <c r="BE557" s="41" t="str">
        <f>IF(LEFT(AY557,1)="X",AY557,IF(OR(AY557="B+",AY557="C+"),INDEX(LAD_PC,MAX(1,MIN(14,MATCH(AY557,LAD_PC,0)+IF(BD557&gt;=0.5,1,IF(BD557&lt;=-0.5,-1,0))))),INDEX(LAD_STD,MAX(1,MIN(12,MATCH(AY557,LAD_STD,0)+IF(BD557&gt;=0.5,1,IF(BD557&lt;=-0.5,-1,0)))))))</f>
        <v>A3</v>
      </c>
      <c r="BF557" s="43" t="n"/>
      <c r="BG557" s="41" t="str">
        <f>IF(BF557&lt;&gt;"",BF557,BE557)</f>
        <v>A3</v>
      </c>
      <c r="BH557" s="40" t="str">
        <f>IFERROR(CHOOSE(INDEX(B_RANK,MATCH(BG557,B_LVL,0)),"Band A","Band B","B+ · Player-Coach","Band C","C+ · Player-Coach","Band D","Band E"),"Band X · Consultant")</f>
        <v>Band A</v>
      </c>
      <c r="BI557" s="40" t="str">
        <f>IF(BG557=AY557,"• Same",IF(INDEX(B_VAL,MATCH(BG557,B_LVL,0))&gt;INDEX(B_VAL,MATCH(AY557,B_LVL,0)),"▲ Up","▼ Down"))</f>
        <v>• Same</v>
      </c>
      <c r="BJ557" s="40" t="str">
        <f>IF(OR($M557="",$M557="—",$M557="Not in this file"),"",IFERROR(INDEX($BG$7:$BG$592,MATCH($M557,$D$7:$D$592,0)),""))</f>
        <v>B+</v>
      </c>
      <c r="BK557" s="40" t="str">
        <f>IFERROR(IF(BJ557="","—",IF(OR(LEFT(BG557,1)="X",LEFT(BJ557,1)="X"),"—",IF(AND(LEFT(BG557,1)="E",LEFT(BJ557,1)="E"),"Exception · Band E",IF(AND(INDEX(B_VAL,MATCH(BJ557,B_LVL,0))&gt;=7,INDEX(B_RANK,MATCH(BG557,B_LVL,0))&gt;=INDEX(B_RANK,MATCH(BJ557,B_LVL,0))),"⚠ Same band as a head manager",IF(INDEX(B_VAL,MATCH(BG557,B_LVL,0))&gt;=INDEX(B_VAL,MATCH(BJ557,B_LVL,0)),"⚠ At or above the manager's level","OK"))))),"—")</f>
        <v>OK</v>
      </c>
      <c r="BL557" s="43" t="n"/>
      <c r="BM557" s="44">
        <f>IFERROR(INDEX(LMH_PTS,MATCH(Y557,LMH_KEY,0)),0)</f>
        <v>9</v>
      </c>
      <c r="BN557" s="38">
        <f>IFERROR(INDEX(LMH_PTS,MATCH(Z557,LMH_KEY,0)),0)</f>
        <v>3</v>
      </c>
      <c r="BO557" s="38">
        <f>IFERROR(INDEX(LMH_PTS,MATCH(AA557,LMH_KEY,0)),0)</f>
        <v>1</v>
      </c>
      <c r="BP557" s="38">
        <f>IFERROR(INDEX(LMH_PTS,MATCH(AB557,LMH_KEY,0)),0)</f>
        <v>1</v>
      </c>
      <c r="BQ557" s="38">
        <f>IFERROR(INDEX(LMH_PTS,MATCH(AC557,LMH_KEY,0)),0)</f>
        <v>1</v>
      </c>
      <c r="BR557" s="38">
        <f>IFERROR(INDEX(LMH_PTS,MATCH(AD557,LMH_KEY,0)),0)</f>
        <v>1</v>
      </c>
      <c r="BS557" s="38">
        <f>IFERROR(INDEX(LMH_PTS,MATCH(AE557,LMH_KEY,0)),0)</f>
        <v>1</v>
      </c>
      <c r="BT557" s="38">
        <f>IFERROR(INDEX(LMH_STEP,MATCH(AF557,LMH_KEY,0)),0)</f>
        <v>0</v>
      </c>
      <c r="BU557" s="38">
        <f>IFERROR(INDEX(LMH_STEP,MATCH(AG557,LMH_KEY,0)),0)</f>
        <v>0</v>
      </c>
      <c r="BV557" s="38">
        <f>IFERROR(INDEX(LMH_STEP,MATCH(AH557,LMH_KEY,0)),0)</f>
        <v>0</v>
      </c>
      <c r="BW557" s="38">
        <f>IFERROR(INDEX(LMH_STEP,MATCH(AI557,LMH_KEY,0)),0)</f>
        <v>0</v>
      </c>
      <c r="BX557" s="38">
        <f>IFERROR(INDEX(LMH_STEP,MATCH(AJ557,LMH_KEY,0)),0)</f>
        <v>0</v>
      </c>
      <c r="BY557" s="38">
        <f>IFERROR(INDEX(LMH_STEP,MATCH(AK557,LMH_KEY,0)),0)</f>
        <v>0</v>
      </c>
      <c r="BZ557" s="38">
        <f>IFERROR(INDEX(LMH_STEP,MATCH(AL557,LMH_KEY,0)),0)</f>
        <v>0</v>
      </c>
      <c r="CA557" s="38" t="inlineStr">
        <is>
          <t>iFile|Technology|Senior Software Engineer|A3|A</t>
        </is>
      </c>
    </row>
    <row r="558" ht="110" customHeight="1">
      <c r="A558" s="28" t="inlineStr">
        <is>
          <t>iFile</t>
        </is>
      </c>
      <c r="B558" s="29" t="inlineStr">
        <is>
          <t>Technology</t>
        </is>
      </c>
      <c r="C558" s="29" t="n">
        <v>2</v>
      </c>
      <c r="D558" s="29" t="inlineStr">
        <is>
          <t>IRIS2295</t>
        </is>
      </c>
      <c r="E558" s="29" t="inlineStr">
        <is>
          <t>Sourav Moharana</t>
        </is>
      </c>
      <c r="F558" s="29" t="inlineStr">
        <is>
          <t>Software Engineer</t>
        </is>
      </c>
      <c r="G558" s="29" t="inlineStr">
        <is>
          <t>Senior Software Engineer</t>
        </is>
      </c>
      <c r="H558" s="29" t="inlineStr">
        <is>
          <t>Engineering &amp; Development</t>
        </is>
      </c>
      <c r="I558" s="29" t="inlineStr">
        <is>
          <t>Backend Development</t>
        </is>
      </c>
      <c r="J558" s="29" t="inlineStr">
        <is>
          <t>IC</t>
        </is>
      </c>
      <c r="K558" s="29" t="inlineStr">
        <is>
          <t>RC-067</t>
        </is>
      </c>
      <c r="L558" s="29" t="inlineStr">
        <is>
          <t>Suman Kumar</t>
        </is>
      </c>
      <c r="M558" s="29" t="inlineStr">
        <is>
          <t>IRIS1689</t>
        </is>
      </c>
      <c r="N558" s="29" t="n">
        <v>5.2</v>
      </c>
      <c r="O558" s="29" t="n">
        <v>2.2</v>
      </c>
      <c r="P558" s="29" t="inlineStr">
        <is>
          <t>B.Tech</t>
        </is>
      </c>
      <c r="Q558" s="29" t="inlineStr">
        <is>
          <t>L3 – Professional / Associate</t>
        </is>
      </c>
      <c r="R558" s="29" t="inlineStr">
        <is>
          <t>A3</t>
        </is>
      </c>
      <c r="S558" s="30" t="inlineStr">
        <is>
          <t>20 of 20</t>
        </is>
      </c>
      <c r="T558" s="31" t="inlineStr">
        <is>
          <t>Business Impact: Moved +0.5: the survey / manager mapping marks it business-critical.</t>
        </is>
      </c>
      <c r="U558" s="31" t="inlineStr">
        <is>
          <t>Received · manager annual, quarterly, self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558" s="31" t="inlineStr">
        <is>
          <t>Latest rating: 4 · Potential: High · 9-box: Trusted Professional · Readiness: Ready now</t>
        </is>
      </c>
      <c r="W558" s="31" t="inlineStr">
        <is>
          <t>C M · Au L · Ac M · L L · BI M · Exp H · 5.2 yrs vs 2–4 yrs · Edu M · B.Tech</t>
        </is>
      </c>
      <c r="X558" s="33" t="inlineStr">
        <is>
          <t>Open ▸</t>
        </is>
      </c>
      <c r="Y558" s="34" t="str">
        <f>IFERROR(INDEX(DL_C,MATCH($CA558,DL_KEY,0)),"M")</f>
        <v>H</v>
      </c>
      <c r="Z558" s="35" t="str">
        <f>IFERROR(INDEX(DL_Au,MATCH($CA558,DL_KEY,0)),"M")</f>
        <v>M</v>
      </c>
      <c r="AA558" s="35" t="str">
        <f>IFERROR(INDEX(DL_Ac,MATCH($CA558,DL_KEY,0)),"M")</f>
        <v>L</v>
      </c>
      <c r="AB558" s="35" t="str">
        <f>IFERROR(INDEX(DL_L,MATCH($CA558,DL_KEY,0)),"M")</f>
        <v>L</v>
      </c>
      <c r="AC558" s="35" t="str">
        <f>IFERROR(INDEX(DL_BI,MATCH($CA558,DL_KEY,0)),"M")</f>
        <v>L</v>
      </c>
      <c r="AD558" s="35" t="str">
        <f>IFERROR(INDEX(DL_Exp,MATCH($CA558,DL_KEY,0)),"M")</f>
        <v>L</v>
      </c>
      <c r="AE558" s="35" t="str">
        <f>IFERROR(INDEX(DL_Edu,MATCH($CA558,DL_KEY,0)),"M")</f>
        <v>L</v>
      </c>
      <c r="AF558" s="34" t="inlineStr">
        <is>
          <t>M</t>
        </is>
      </c>
      <c r="AG558" s="35" t="inlineStr">
        <is>
          <t>M</t>
        </is>
      </c>
      <c r="AH558" s="35" t="inlineStr">
        <is>
          <t>M</t>
        </is>
      </c>
      <c r="AI558" s="35" t="inlineStr">
        <is>
          <t>M</t>
        </is>
      </c>
      <c r="AJ558" s="35" t="inlineStr">
        <is>
          <t>M</t>
        </is>
      </c>
      <c r="AK558" s="35" t="inlineStr">
        <is>
          <t>M</t>
        </is>
      </c>
      <c r="AL558" s="35" t="inlineStr">
        <is>
          <t>M</t>
        </is>
      </c>
      <c r="AM558" s="36" t="n">
        <v>0.583</v>
      </c>
      <c r="AN558" s="37" t="n">
        <v>0.16</v>
      </c>
      <c r="AO558" s="37" t="n">
        <v>0.09</v>
      </c>
      <c r="AP558" s="37" t="n">
        <v>0</v>
      </c>
      <c r="AQ558" s="37" t="n">
        <v>0.063</v>
      </c>
      <c r="AR558" s="37" t="n">
        <v>0.06</v>
      </c>
      <c r="AS558" s="37" t="n">
        <v>0.04</v>
      </c>
      <c r="AT558" s="38" t="inlineStr">
        <is>
          <t>2–5</t>
        </is>
      </c>
      <c r="AU558" s="38" t="inlineStr">
        <is>
          <t>Graduate; relevant certification preferred</t>
        </is>
      </c>
      <c r="AV558" s="38" t="inlineStr">
        <is>
          <t>None · guides 1–3 juniors informally</t>
        </is>
      </c>
      <c r="AW558" s="38" t="inlineStr">
        <is>
          <t>P2 · SFIA 3 Apply</t>
        </is>
      </c>
      <c r="AX55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58" s="39" t="inlineStr">
        <is>
          <t>A3</t>
        </is>
      </c>
      <c r="AZ558" s="40" t="inlineStr">
        <is>
          <t>Band A · Practitioner · Senior Associate</t>
        </is>
      </c>
      <c r="BA558" s="40" t="inlineStr">
        <is>
          <t>Model A3 from the six ratings, the market-derived weights and rules R1–R13 · then No change · already below the manager</t>
        </is>
      </c>
      <c r="BB558" s="41" t="inlineStr">
        <is>
          <t>A3</t>
        </is>
      </c>
      <c r="BC558" s="40" t="inlineStr">
        <is>
          <t>The six ratings on the market-average weights of Band A · all tracks score 2.60 → A3 · Hay, Mercer IPE and public plans · experience 5.2 yrs vs the A3 market range 2–5</t>
        </is>
      </c>
      <c r="BD558" s="42">
        <f>IF(SUM(BM558,BN558,BO558,BP558,BQ558,BR558,BS558)=0,0,(BM558*BT558+BN558*BU558+BO558*BV558+BP558*BW558+BQ558*BX558+BR558*BY558+BS558*BZ558)/SUM(BM558,BN558,BO558,BP558,BQ558,BR558,BS558))</f>
        <v>0</v>
      </c>
      <c r="BE558" s="41" t="str">
        <f>IF(LEFT(AY558,1)="X",AY558,IF(OR(AY558="B+",AY558="C+"),INDEX(LAD_PC,MAX(1,MIN(14,MATCH(AY558,LAD_PC,0)+IF(BD558&gt;=0.5,1,IF(BD558&lt;=-0.5,-1,0))))),INDEX(LAD_STD,MAX(1,MIN(12,MATCH(AY558,LAD_STD,0)+IF(BD558&gt;=0.5,1,IF(BD558&lt;=-0.5,-1,0)))))))</f>
        <v>A3</v>
      </c>
      <c r="BF558" s="43" t="n"/>
      <c r="BG558" s="41" t="str">
        <f>IF(BF558&lt;&gt;"",BF558,BE558)</f>
        <v>A3</v>
      </c>
      <c r="BH558" s="40" t="str">
        <f>IFERROR(CHOOSE(INDEX(B_RANK,MATCH(BG558,B_LVL,0)),"Band A","Band B","B+ · Player-Coach","Band C","C+ · Player-Coach","Band D","Band E"),"Band X · Consultant")</f>
        <v>Band A</v>
      </c>
      <c r="BI558" s="40" t="str">
        <f>IF(BG558=AY558,"• Same",IF(INDEX(B_VAL,MATCH(BG558,B_LVL,0))&gt;INDEX(B_VAL,MATCH(AY558,B_LVL,0)),"▲ Up","▼ Down"))</f>
        <v>• Same</v>
      </c>
      <c r="BJ558" s="40" t="str">
        <f>IF(OR($M558="",$M558="—",$M558="Not in this file"),"",IFERROR(INDEX($BG$7:$BG$592,MATCH($M558,$D$7:$D$592,0)),""))</f>
        <v>B+</v>
      </c>
      <c r="BK558" s="40" t="str">
        <f>IFERROR(IF(BJ558="","—",IF(OR(LEFT(BG558,1)="X",LEFT(BJ558,1)="X"),"—",IF(AND(LEFT(BG558,1)="E",LEFT(BJ558,1)="E"),"Exception · Band E",IF(AND(INDEX(B_VAL,MATCH(BJ558,B_LVL,0))&gt;=7,INDEX(B_RANK,MATCH(BG558,B_LVL,0))&gt;=INDEX(B_RANK,MATCH(BJ558,B_LVL,0))),"⚠ Same band as a head manager",IF(INDEX(B_VAL,MATCH(BG558,B_LVL,0))&gt;=INDEX(B_VAL,MATCH(BJ558,B_LVL,0)),"⚠ At or above the manager's level","OK"))))),"—")</f>
        <v>OK</v>
      </c>
      <c r="BL558" s="43" t="n"/>
      <c r="BM558" s="44">
        <f>IFERROR(INDEX(LMH_PTS,MATCH(Y558,LMH_KEY,0)),0)</f>
        <v>9</v>
      </c>
      <c r="BN558" s="38">
        <f>IFERROR(INDEX(LMH_PTS,MATCH(Z558,LMH_KEY,0)),0)</f>
        <v>3</v>
      </c>
      <c r="BO558" s="38">
        <f>IFERROR(INDEX(LMH_PTS,MATCH(AA558,LMH_KEY,0)),0)</f>
        <v>1</v>
      </c>
      <c r="BP558" s="38">
        <f>IFERROR(INDEX(LMH_PTS,MATCH(AB558,LMH_KEY,0)),0)</f>
        <v>1</v>
      </c>
      <c r="BQ558" s="38">
        <f>IFERROR(INDEX(LMH_PTS,MATCH(AC558,LMH_KEY,0)),0)</f>
        <v>1</v>
      </c>
      <c r="BR558" s="38">
        <f>IFERROR(INDEX(LMH_PTS,MATCH(AD558,LMH_KEY,0)),0)</f>
        <v>1</v>
      </c>
      <c r="BS558" s="38">
        <f>IFERROR(INDEX(LMH_PTS,MATCH(AE558,LMH_KEY,0)),0)</f>
        <v>1</v>
      </c>
      <c r="BT558" s="38">
        <f>IFERROR(INDEX(LMH_STEP,MATCH(AF558,LMH_KEY,0)),0)</f>
        <v>0</v>
      </c>
      <c r="BU558" s="38">
        <f>IFERROR(INDEX(LMH_STEP,MATCH(AG558,LMH_KEY,0)),0)</f>
        <v>0</v>
      </c>
      <c r="BV558" s="38">
        <f>IFERROR(INDEX(LMH_STEP,MATCH(AH558,LMH_KEY,0)),0)</f>
        <v>0</v>
      </c>
      <c r="BW558" s="38">
        <f>IFERROR(INDEX(LMH_STEP,MATCH(AI558,LMH_KEY,0)),0)</f>
        <v>0</v>
      </c>
      <c r="BX558" s="38">
        <f>IFERROR(INDEX(LMH_STEP,MATCH(AJ558,LMH_KEY,0)),0)</f>
        <v>0</v>
      </c>
      <c r="BY558" s="38">
        <f>IFERROR(INDEX(LMH_STEP,MATCH(AK558,LMH_KEY,0)),0)</f>
        <v>0</v>
      </c>
      <c r="BZ558" s="38">
        <f>IFERROR(INDEX(LMH_STEP,MATCH(AL558,LMH_KEY,0)),0)</f>
        <v>0</v>
      </c>
      <c r="CA558" s="38" t="inlineStr">
        <is>
          <t>iFile|Technology|Senior Software Engineer|A3|A</t>
        </is>
      </c>
    </row>
    <row r="559" ht="110" customHeight="1">
      <c r="A559" s="28" t="inlineStr">
        <is>
          <t>Corporate</t>
        </is>
      </c>
      <c r="B559" s="29" t="inlineStr">
        <is>
          <t>IT &amp; Infrastructure</t>
        </is>
      </c>
      <c r="C559" s="29" t="n">
        <v>1</v>
      </c>
      <c r="D559" s="29" t="inlineStr">
        <is>
          <t>IRIS2103</t>
        </is>
      </c>
      <c r="E559" s="29" t="inlineStr">
        <is>
          <t>Mahesh Tilave</t>
        </is>
      </c>
      <c r="F559" s="29" t="inlineStr">
        <is>
          <t>Team Lead – IT Infrastructure</t>
        </is>
      </c>
      <c r="G559" s="29" t="inlineStr">
        <is>
          <t>Senior IT Manager</t>
        </is>
      </c>
      <c r="H559" s="29" t="inlineStr">
        <is>
          <t>IT &amp; Infrastructure</t>
        </is>
      </c>
      <c r="I559" s="29" t="inlineStr">
        <is>
          <t>IT Infrastructure Leadership</t>
        </is>
      </c>
      <c r="J559" s="29" t="inlineStr">
        <is>
          <t>People Manager</t>
        </is>
      </c>
      <c r="K559" s="29" t="inlineStr">
        <is>
          <t>RC-107</t>
        </is>
      </c>
      <c r="L559" s="29" t="inlineStr">
        <is>
          <t>P K X Thomas</t>
        </is>
      </c>
      <c r="M559" s="29" t="inlineStr">
        <is>
          <t>IRIS2060</t>
        </is>
      </c>
      <c r="N559" s="29" t="n">
        <v>20.6</v>
      </c>
      <c r="O559" s="29" t="n">
        <v>3.6</v>
      </c>
      <c r="P559" s="29" t="inlineStr">
        <is>
          <t>BA</t>
        </is>
      </c>
      <c r="Q559" s="29" t="inlineStr">
        <is>
          <t>Not in current mapping files</t>
        </is>
      </c>
      <c r="R559" s="29" t="inlineStr">
        <is>
          <t>B2</t>
        </is>
      </c>
      <c r="S559" s="30" t="inlineStr">
        <is>
          <t>20 of 20</t>
        </is>
      </c>
      <c r="T559" s="31" t="inlineStr">
        <is>
          <t>Complexity: Evidence reads like B1: Covers infrastructure, network, security, cloud, Exchange, ISO audits, vendors and project implementation; little detail → matches the start
Autonomy: Evidence reads like B1: Says decides independently only 'sometimes'; handles escalations, vendors and projects for the team → moved down 0.5
Accountability: Evidence reads …</t>
        </is>
      </c>
      <c r="U559" s="32" t="inlineStr">
        <is>
          <t>KRAs not received · manager to supply</t>
        </is>
      </c>
      <c r="V559" s="31" t="inlineStr">
        <is>
          <t>Latest rating: Not rated · manager · 9-box: Not placed · manager · Readiness: No rating data</t>
        </is>
      </c>
      <c r="W559" s="31" t="inlineStr">
        <is>
          <t>C L · Au M · Ac M · L M · BI M · Exp H · 20.6 yrs vs 6–9 yrs · Edu M · BA</t>
        </is>
      </c>
      <c r="X559" s="33" t="inlineStr">
        <is>
          <t>Open ▸</t>
        </is>
      </c>
      <c r="Y559" s="34" t="str">
        <f>IFERROR(INDEX(DL_C,MATCH($CA559,DL_KEY,0)),"M")</f>
        <v>H</v>
      </c>
      <c r="Z559" s="35" t="str">
        <f>IFERROR(INDEX(DL_Au,MATCH($CA559,DL_KEY,0)),"M")</f>
        <v>M</v>
      </c>
      <c r="AA559" s="35" t="str">
        <f>IFERROR(INDEX(DL_Ac,MATCH($CA559,DL_KEY,0)),"M")</f>
        <v>L</v>
      </c>
      <c r="AB559" s="35" t="str">
        <f>IFERROR(INDEX(DL_L,MATCH($CA559,DL_KEY,0)),"M")</f>
        <v>M</v>
      </c>
      <c r="AC559" s="35" t="str">
        <f>IFERROR(INDEX(DL_BI,MATCH($CA559,DL_KEY,0)),"M")</f>
        <v>L</v>
      </c>
      <c r="AD559" s="35" t="str">
        <f>IFERROR(INDEX(DL_Exp,MATCH($CA559,DL_KEY,0)),"M")</f>
        <v>L</v>
      </c>
      <c r="AE559" s="35" t="str">
        <f>IFERROR(INDEX(DL_Edu,MATCH($CA559,DL_KEY,0)),"M")</f>
        <v>L</v>
      </c>
      <c r="AF559" s="34" t="inlineStr">
        <is>
          <t>M</t>
        </is>
      </c>
      <c r="AG559" s="35" t="inlineStr">
        <is>
          <t>M</t>
        </is>
      </c>
      <c r="AH559" s="35" t="inlineStr">
        <is>
          <t>M</t>
        </is>
      </c>
      <c r="AI559" s="35" t="inlineStr">
        <is>
          <t>M</t>
        </is>
      </c>
      <c r="AJ559" s="35" t="inlineStr">
        <is>
          <t>M</t>
        </is>
      </c>
      <c r="AK559" s="35" t="inlineStr">
        <is>
          <t>M</t>
        </is>
      </c>
      <c r="AL559" s="35" t="inlineStr">
        <is>
          <t>M</t>
        </is>
      </c>
      <c r="AM559" s="36" t="n">
        <v>0.37</v>
      </c>
      <c r="AN559" s="37" t="n">
        <v>0.183</v>
      </c>
      <c r="AO559" s="37" t="n">
        <v>0.113</v>
      </c>
      <c r="AP559" s="37" t="n">
        <v>0.15</v>
      </c>
      <c r="AQ559" s="37" t="n">
        <v>0.08699999999999999</v>
      </c>
      <c r="AR559" s="37" t="n">
        <v>0.06</v>
      </c>
      <c r="AS559" s="37" t="n">
        <v>0.04</v>
      </c>
      <c r="AT559" s="38" t="inlineStr">
        <is>
          <t>6–10</t>
        </is>
      </c>
      <c r="AU559" s="38" t="inlineStr">
        <is>
          <t>Graduate or postgraduate; professional qualification preferred</t>
        </is>
      </c>
      <c r="AV559" s="38" t="inlineStr">
        <is>
          <t>IC: none · People: 6–8 knowledge work, 8–12 standardised delivery</t>
        </is>
      </c>
      <c r="AW559" s="38" t="inlineStr">
        <is>
          <t>P4 / M3 · SFIA 4–5</t>
        </is>
      </c>
      <c r="AX55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59" s="39" t="inlineStr">
        <is>
          <t>B2</t>
        </is>
      </c>
      <c r="AZ559" s="40" t="inlineStr">
        <is>
          <t>Band B · Specialist / Manager · Manager</t>
        </is>
      </c>
      <c r="BA559" s="40" t="inlineStr">
        <is>
          <t>Model B2 from the six ratings, the market-derived weights and rules R1–R13 · then No change · already below the manager</t>
        </is>
      </c>
      <c r="BB559" s="41" t="inlineStr">
        <is>
          <t>B2</t>
        </is>
      </c>
      <c r="BC559" s="40" t="inlineStr">
        <is>
          <t>The six ratings on the market-average weights of Band B · People Manager score 5.21 → B2 · Hay, Mercer IPE and public plans · experience 20.6 yrs vs the B2 market range 6–10</t>
        </is>
      </c>
      <c r="BD559" s="42">
        <f>IF(SUM(BM559,BN559,BO559,BP559,BQ559,BR559,BS559)=0,0,(BM559*BT559+BN559*BU559+BO559*BV559+BP559*BW559+BQ559*BX559+BR559*BY559+BS559*BZ559)/SUM(BM559,BN559,BO559,BP559,BQ559,BR559,BS559))</f>
        <v>0</v>
      </c>
      <c r="BE559" s="41" t="str">
        <f>IF(LEFT(AY559,1)="X",AY559,IF(OR(AY559="B+",AY559="C+"),INDEX(LAD_PC,MAX(1,MIN(14,MATCH(AY559,LAD_PC,0)+IF(BD559&gt;=0.5,1,IF(BD559&lt;=-0.5,-1,0))))),INDEX(LAD_STD,MAX(1,MIN(12,MATCH(AY559,LAD_STD,0)+IF(BD559&gt;=0.5,1,IF(BD559&lt;=-0.5,-1,0)))))))</f>
        <v>B2</v>
      </c>
      <c r="BF559" s="43" t="n"/>
      <c r="BG559" s="41" t="str">
        <f>IF(BF559&lt;&gt;"",BF559,BE559)</f>
        <v>B2</v>
      </c>
      <c r="BH559" s="40" t="str">
        <f>IFERROR(CHOOSE(INDEX(B_RANK,MATCH(BG559,B_LVL,0)),"Band A","Band B","B+ · Player-Coach","Band C","C+ · Player-Coach","Band D","Band E"),"Band X · Consultant")</f>
        <v>Band B</v>
      </c>
      <c r="BI559" s="40" t="str">
        <f>IF(BG559=AY559,"• Same",IF(INDEX(B_VAL,MATCH(BG559,B_LVL,0))&gt;INDEX(B_VAL,MATCH(AY559,B_LVL,0)),"▲ Up","▼ Down"))</f>
        <v>• Same</v>
      </c>
      <c r="BJ559" s="40" t="str">
        <f>IF(OR($M559="",$M559="—",$M559="Not in this file"),"",IFERROR(INDEX($BG$7:$BG$592,MATCH($M559,$D$7:$D$592,0)),""))</f>
        <v>E1</v>
      </c>
      <c r="BK559" s="40" t="str">
        <f>IFERROR(IF(BJ559="","—",IF(OR(LEFT(BG559,1)="X",LEFT(BJ559,1)="X"),"—",IF(AND(LEFT(BG559,1)="E",LEFT(BJ559,1)="E"),"Exception · Band E",IF(AND(INDEX(B_VAL,MATCH(BJ559,B_LVL,0))&gt;=7,INDEX(B_RANK,MATCH(BG559,B_LVL,0))&gt;=INDEX(B_RANK,MATCH(BJ559,B_LVL,0))),"⚠ Same band as a head manager",IF(INDEX(B_VAL,MATCH(BG559,B_LVL,0))&gt;=INDEX(B_VAL,MATCH(BJ559,B_LVL,0)),"⚠ At or above the manager's level","OK"))))),"—")</f>
        <v>OK</v>
      </c>
      <c r="BL559" s="43" t="n"/>
      <c r="BM559" s="44">
        <f>IFERROR(INDEX(LMH_PTS,MATCH(Y559,LMH_KEY,0)),0)</f>
        <v>9</v>
      </c>
      <c r="BN559" s="38">
        <f>IFERROR(INDEX(LMH_PTS,MATCH(Z559,LMH_KEY,0)),0)</f>
        <v>3</v>
      </c>
      <c r="BO559" s="38">
        <f>IFERROR(INDEX(LMH_PTS,MATCH(AA559,LMH_KEY,0)),0)</f>
        <v>1</v>
      </c>
      <c r="BP559" s="38">
        <f>IFERROR(INDEX(LMH_PTS,MATCH(AB559,LMH_KEY,0)),0)</f>
        <v>3</v>
      </c>
      <c r="BQ559" s="38">
        <f>IFERROR(INDEX(LMH_PTS,MATCH(AC559,LMH_KEY,0)),0)</f>
        <v>1</v>
      </c>
      <c r="BR559" s="38">
        <f>IFERROR(INDEX(LMH_PTS,MATCH(AD559,LMH_KEY,0)),0)</f>
        <v>1</v>
      </c>
      <c r="BS559" s="38">
        <f>IFERROR(INDEX(LMH_PTS,MATCH(AE559,LMH_KEY,0)),0)</f>
        <v>1</v>
      </c>
      <c r="BT559" s="38">
        <f>IFERROR(INDEX(LMH_STEP,MATCH(AF559,LMH_KEY,0)),0)</f>
        <v>0</v>
      </c>
      <c r="BU559" s="38">
        <f>IFERROR(INDEX(LMH_STEP,MATCH(AG559,LMH_KEY,0)),0)</f>
        <v>0</v>
      </c>
      <c r="BV559" s="38">
        <f>IFERROR(INDEX(LMH_STEP,MATCH(AH559,LMH_KEY,0)),0)</f>
        <v>0</v>
      </c>
      <c r="BW559" s="38">
        <f>IFERROR(INDEX(LMH_STEP,MATCH(AI559,LMH_KEY,0)),0)</f>
        <v>0</v>
      </c>
      <c r="BX559" s="38">
        <f>IFERROR(INDEX(LMH_STEP,MATCH(AJ559,LMH_KEY,0)),0)</f>
        <v>0</v>
      </c>
      <c r="BY559" s="38">
        <f>IFERROR(INDEX(LMH_STEP,MATCH(AK559,LMH_KEY,0)),0)</f>
        <v>0</v>
      </c>
      <c r="BZ559" s="38">
        <f>IFERROR(INDEX(LMH_STEP,MATCH(AL559,LMH_KEY,0)),0)</f>
        <v>0</v>
      </c>
      <c r="CA559" s="38" t="inlineStr">
        <is>
          <t>Corporate|IT &amp; Infrastructure|Senior IT Manager|B2|B-M</t>
        </is>
      </c>
    </row>
    <row r="560" ht="110" customHeight="1">
      <c r="A560" s="28" t="inlineStr">
        <is>
          <t>Corporate</t>
        </is>
      </c>
      <c r="B560" s="29" t="inlineStr">
        <is>
          <t>IT &amp; Infrastructure</t>
        </is>
      </c>
      <c r="C560" s="29" t="n">
        <v>2</v>
      </c>
      <c r="D560" s="29" t="inlineStr">
        <is>
          <t>IRIS0265</t>
        </is>
      </c>
      <c r="E560" s="29" t="inlineStr">
        <is>
          <t>Rajit Kumar Sahu</t>
        </is>
      </c>
      <c r="F560" s="29" t="inlineStr">
        <is>
          <t>System Administrator</t>
        </is>
      </c>
      <c r="G560" s="29" t="inlineStr">
        <is>
          <t>Infrastructure Specialist</t>
        </is>
      </c>
      <c r="H560" s="29" t="inlineStr">
        <is>
          <t>IT &amp; Infrastructure</t>
        </is>
      </c>
      <c r="I560" s="29" t="inlineStr">
        <is>
          <t>Infrastructure &amp; Cloud Operations</t>
        </is>
      </c>
      <c r="J560" s="29" t="inlineStr">
        <is>
          <t>IC</t>
        </is>
      </c>
      <c r="K560" s="29" t="inlineStr">
        <is>
          <t>RC-109</t>
        </is>
      </c>
      <c r="L560" s="29" t="inlineStr">
        <is>
          <t>Mahesh Tilave</t>
        </is>
      </c>
      <c r="M560" s="29" t="inlineStr">
        <is>
          <t>IRIS2103</t>
        </is>
      </c>
      <c r="N560" s="29" t="n">
        <v>19</v>
      </c>
      <c r="O560" s="29" t="n">
        <v>17.6</v>
      </c>
      <c r="P560" s="29" t="inlineStr">
        <is>
          <t>BA</t>
        </is>
      </c>
      <c r="Q560" s="29" t="inlineStr">
        <is>
          <t>Not in current mapping files</t>
        </is>
      </c>
      <c r="R560" s="29" t="inlineStr">
        <is>
          <t>B1</t>
        </is>
      </c>
      <c r="S560" s="30" t="inlineStr">
        <is>
          <t>20 of 20</t>
        </is>
      </c>
      <c r="T560" s="31" t="inlineStr">
        <is>
          <t>Complexity: Evidence reads like A3: Administers Linux servers, PostgreSQL and Oracle databases and AWS, including backup, tuning, security → matches the start
Autonomy: Evidence reads like A3: Independently handles routine changes, incident resolution, performance tuning, backup recovery and security remediation → matches the start
Accountability: Evidence …</t>
        </is>
      </c>
      <c r="U560" s="32" t="inlineStr">
        <is>
          <t>KRAs not received · manager to supply</t>
        </is>
      </c>
      <c r="V560" s="31" t="inlineStr">
        <is>
          <t>Latest rating: Not rated · manager · 9-box: Not placed · manager · Readiness: No rating data</t>
        </is>
      </c>
      <c r="W560" s="31" t="inlineStr">
        <is>
          <t>C L · Au L · Ac L · L L · BI L · Exp H · 19 yrs vs 4–7 yrs · Edu M · BA</t>
        </is>
      </c>
      <c r="X560" s="33" t="inlineStr">
        <is>
          <t>Open ▸</t>
        </is>
      </c>
      <c r="Y560" s="34" t="str">
        <f>IFERROR(INDEX(DL_C,MATCH($CA560,DL_KEY,0)),"M")</f>
        <v>H</v>
      </c>
      <c r="Z560" s="35" t="str">
        <f>IFERROR(INDEX(DL_Au,MATCH($CA560,DL_KEY,0)),"M")</f>
        <v>M</v>
      </c>
      <c r="AA560" s="35" t="str">
        <f>IFERROR(INDEX(DL_Ac,MATCH($CA560,DL_KEY,0)),"M")</f>
        <v>L</v>
      </c>
      <c r="AB560" s="35" t="str">
        <f>IFERROR(INDEX(DL_L,MATCH($CA560,DL_KEY,0)),"M")</f>
        <v>L</v>
      </c>
      <c r="AC560" s="35" t="str">
        <f>IFERROR(INDEX(DL_BI,MATCH($CA560,DL_KEY,0)),"M")</f>
        <v>L</v>
      </c>
      <c r="AD560" s="35" t="str">
        <f>IFERROR(INDEX(DL_Exp,MATCH($CA560,DL_KEY,0)),"M")</f>
        <v>L</v>
      </c>
      <c r="AE560" s="35" t="str">
        <f>IFERROR(INDEX(DL_Edu,MATCH($CA560,DL_KEY,0)),"M")</f>
        <v>L</v>
      </c>
      <c r="AF560" s="34" t="inlineStr">
        <is>
          <t>M</t>
        </is>
      </c>
      <c r="AG560" s="35" t="inlineStr">
        <is>
          <t>M</t>
        </is>
      </c>
      <c r="AH560" s="35" t="inlineStr">
        <is>
          <t>M</t>
        </is>
      </c>
      <c r="AI560" s="35" t="inlineStr">
        <is>
          <t>M</t>
        </is>
      </c>
      <c r="AJ560" s="35" t="inlineStr">
        <is>
          <t>M</t>
        </is>
      </c>
      <c r="AK560" s="35" t="inlineStr">
        <is>
          <t>M</t>
        </is>
      </c>
      <c r="AL560" s="35" t="inlineStr">
        <is>
          <t>M</t>
        </is>
      </c>
      <c r="AM560" s="36" t="n">
        <v>0.513</v>
      </c>
      <c r="AN560" s="37" t="n">
        <v>0.173</v>
      </c>
      <c r="AO560" s="37" t="n">
        <v>0.09699999999999999</v>
      </c>
      <c r="AP560" s="37" t="n">
        <v>0.05</v>
      </c>
      <c r="AQ560" s="37" t="n">
        <v>0.07000000000000001</v>
      </c>
      <c r="AR560" s="37" t="n">
        <v>0.06</v>
      </c>
      <c r="AS560" s="37" t="n">
        <v>0.04</v>
      </c>
      <c r="AT560" s="38" t="inlineStr">
        <is>
          <t>4–8</t>
        </is>
      </c>
      <c r="AU560" s="38" t="inlineStr">
        <is>
          <t>Graduate + relevant qualification or certification preferred</t>
        </is>
      </c>
      <c r="AV560" s="38" t="inlineStr">
        <is>
          <t>IC: none · Team Lead: 3–5</t>
        </is>
      </c>
      <c r="AW560" s="38" t="inlineStr">
        <is>
          <t>P3 / M2 · SFIA 4 Enable</t>
        </is>
      </c>
      <c r="AX56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60" s="39" t="inlineStr">
        <is>
          <t>B1</t>
        </is>
      </c>
      <c r="AZ560" s="40" t="inlineStr">
        <is>
          <t>Band B · Specialist / Manager · Specialist</t>
        </is>
      </c>
      <c r="BA560" s="40" t="inlineStr">
        <is>
          <t>Model B1 from the six ratings, the market-derived weights and rules R1–R13 · then No change · already below the manager</t>
        </is>
      </c>
      <c r="BB560" s="41" t="inlineStr">
        <is>
          <t>B1</t>
        </is>
      </c>
      <c r="BC560" s="40" t="inlineStr">
        <is>
          <t>The six ratings on the market-average weights of Band B · Specialist / POD Lead score 3.57 → B1 · Hay, Mercer IPE and public plans · experience 19 yrs vs the B1 market range 4–8</t>
        </is>
      </c>
      <c r="BD560" s="42">
        <f>IF(SUM(BM560,BN560,BO560,BP560,BQ560,BR560,BS560)=0,0,(BM560*BT560+BN560*BU560+BO560*BV560+BP560*BW560+BQ560*BX560+BR560*BY560+BS560*BZ560)/SUM(BM560,BN560,BO560,BP560,BQ560,BR560,BS560))</f>
        <v>0</v>
      </c>
      <c r="BE560" s="41" t="str">
        <f>IF(LEFT(AY560,1)="X",AY560,IF(OR(AY560="B+",AY560="C+"),INDEX(LAD_PC,MAX(1,MIN(14,MATCH(AY560,LAD_PC,0)+IF(BD560&gt;=0.5,1,IF(BD560&lt;=-0.5,-1,0))))),INDEX(LAD_STD,MAX(1,MIN(12,MATCH(AY560,LAD_STD,0)+IF(BD560&gt;=0.5,1,IF(BD560&lt;=-0.5,-1,0)))))))</f>
        <v>B1</v>
      </c>
      <c r="BF560" s="43" t="n"/>
      <c r="BG560" s="41" t="str">
        <f>IF(BF560&lt;&gt;"",BF560,BE560)</f>
        <v>B1</v>
      </c>
      <c r="BH560" s="40" t="str">
        <f>IFERROR(CHOOSE(INDEX(B_RANK,MATCH(BG560,B_LVL,0)),"Band A","Band B","B+ · Player-Coach","Band C","C+ · Player-Coach","Band D","Band E"),"Band X · Consultant")</f>
        <v>Band B</v>
      </c>
      <c r="BI560" s="40" t="str">
        <f>IF(BG560=AY560,"• Same",IF(INDEX(B_VAL,MATCH(BG560,B_LVL,0))&gt;INDEX(B_VAL,MATCH(AY560,B_LVL,0)),"▲ Up","▼ Down"))</f>
        <v>• Same</v>
      </c>
      <c r="BJ560" s="40" t="str">
        <f>IF(OR($M560="",$M560="—",$M560="Not in this file"),"",IFERROR(INDEX($BG$7:$BG$592,MATCH($M560,$D$7:$D$592,0)),""))</f>
        <v>B2</v>
      </c>
      <c r="BK560" s="40" t="str">
        <f>IFERROR(IF(BJ560="","—",IF(OR(LEFT(BG560,1)="X",LEFT(BJ560,1)="X"),"—",IF(AND(LEFT(BG560,1)="E",LEFT(BJ560,1)="E"),"Exception · Band E",IF(AND(INDEX(B_VAL,MATCH(BJ560,B_LVL,0))&gt;=7,INDEX(B_RANK,MATCH(BG560,B_LVL,0))&gt;=INDEX(B_RANK,MATCH(BJ560,B_LVL,0))),"⚠ Same band as a head manager",IF(INDEX(B_VAL,MATCH(BG560,B_LVL,0))&gt;=INDEX(B_VAL,MATCH(BJ560,B_LVL,0)),"⚠ At or above the manager's level","OK"))))),"—")</f>
        <v>OK</v>
      </c>
      <c r="BL560" s="43" t="n"/>
      <c r="BM560" s="44">
        <f>IFERROR(INDEX(LMH_PTS,MATCH(Y560,LMH_KEY,0)),0)</f>
        <v>9</v>
      </c>
      <c r="BN560" s="38">
        <f>IFERROR(INDEX(LMH_PTS,MATCH(Z560,LMH_KEY,0)),0)</f>
        <v>3</v>
      </c>
      <c r="BO560" s="38">
        <f>IFERROR(INDEX(LMH_PTS,MATCH(AA560,LMH_KEY,0)),0)</f>
        <v>1</v>
      </c>
      <c r="BP560" s="38">
        <f>IFERROR(INDEX(LMH_PTS,MATCH(AB560,LMH_KEY,0)),0)</f>
        <v>1</v>
      </c>
      <c r="BQ560" s="38">
        <f>IFERROR(INDEX(LMH_PTS,MATCH(AC560,LMH_KEY,0)),0)</f>
        <v>1</v>
      </c>
      <c r="BR560" s="38">
        <f>IFERROR(INDEX(LMH_PTS,MATCH(AD560,LMH_KEY,0)),0)</f>
        <v>1</v>
      </c>
      <c r="BS560" s="38">
        <f>IFERROR(INDEX(LMH_PTS,MATCH(AE560,LMH_KEY,0)),0)</f>
        <v>1</v>
      </c>
      <c r="BT560" s="38">
        <f>IFERROR(INDEX(LMH_STEP,MATCH(AF560,LMH_KEY,0)),0)</f>
        <v>0</v>
      </c>
      <c r="BU560" s="38">
        <f>IFERROR(INDEX(LMH_STEP,MATCH(AG560,LMH_KEY,0)),0)</f>
        <v>0</v>
      </c>
      <c r="BV560" s="38">
        <f>IFERROR(INDEX(LMH_STEP,MATCH(AH560,LMH_KEY,0)),0)</f>
        <v>0</v>
      </c>
      <c r="BW560" s="38">
        <f>IFERROR(INDEX(LMH_STEP,MATCH(AI560,LMH_KEY,0)),0)</f>
        <v>0</v>
      </c>
      <c r="BX560" s="38">
        <f>IFERROR(INDEX(LMH_STEP,MATCH(AJ560,LMH_KEY,0)),0)</f>
        <v>0</v>
      </c>
      <c r="BY560" s="38">
        <f>IFERROR(INDEX(LMH_STEP,MATCH(AK560,LMH_KEY,0)),0)</f>
        <v>0</v>
      </c>
      <c r="BZ560" s="38">
        <f>IFERROR(INDEX(LMH_STEP,MATCH(AL560,LMH_KEY,0)),0)</f>
        <v>0</v>
      </c>
      <c r="CA560" s="38" t="inlineStr">
        <is>
          <t>Corporate|IT &amp; Infrastructure|Infrastructure Specialist|B1|B-IC</t>
        </is>
      </c>
    </row>
    <row r="561" ht="110" customHeight="1">
      <c r="A561" s="28" t="inlineStr">
        <is>
          <t>Corporate</t>
        </is>
      </c>
      <c r="B561" s="29" t="inlineStr">
        <is>
          <t>IT &amp; Infrastructure</t>
        </is>
      </c>
      <c r="C561" s="29" t="n">
        <v>2</v>
      </c>
      <c r="D561" s="29" t="inlineStr">
        <is>
          <t>IRIS0909</t>
        </is>
      </c>
      <c r="E561" s="29" t="inlineStr">
        <is>
          <t>Ramesh Kone</t>
        </is>
      </c>
      <c r="F561" s="29" t="inlineStr">
        <is>
          <t>System Administrator</t>
        </is>
      </c>
      <c r="G561" s="29" t="inlineStr">
        <is>
          <t>Infrastructure Specialist – POD Lead</t>
        </is>
      </c>
      <c r="H561" s="29" t="inlineStr">
        <is>
          <t>IT &amp; Infrastructure</t>
        </is>
      </c>
      <c r="I561" s="29" t="inlineStr">
        <is>
          <t>Infrastructure &amp; Cloud Operations</t>
        </is>
      </c>
      <c r="J561" s="29" t="inlineStr">
        <is>
          <t>POD Lead</t>
        </is>
      </c>
      <c r="K561" s="29" t="inlineStr">
        <is>
          <t>RC-109</t>
        </is>
      </c>
      <c r="L561" s="29" t="inlineStr">
        <is>
          <t>Mahesh Tilave</t>
        </is>
      </c>
      <c r="M561" s="29" t="inlineStr">
        <is>
          <t>IRIS2103</t>
        </is>
      </c>
      <c r="N561" s="29" t="n">
        <v>19.1</v>
      </c>
      <c r="O561" s="29" t="n">
        <v>15</v>
      </c>
      <c r="P561" s="29" t="inlineStr">
        <is>
          <t>B.Com</t>
        </is>
      </c>
      <c r="Q561" s="29" t="inlineStr">
        <is>
          <t>Not in current mapping files</t>
        </is>
      </c>
      <c r="R561" s="29" t="inlineStr">
        <is>
          <t>B1</t>
        </is>
      </c>
      <c r="S561" s="30" t="inlineStr">
        <is>
          <t>20 of 20</t>
        </is>
      </c>
      <c r="T561" s="31" t="inlineStr">
        <is>
          <t>Complexity: Evidence reads like A3: Runs Sophos console, Windows patching, Exchange licences, asset inventory, procurement, vendor reports, IT budgeting → matches the start
Autonomy: Evidence reads like A3: Quarantines detections, tunes exclusions, reassigns licences, sets report format and timing within policy → matches the start
Accountability: Evidence …</t>
        </is>
      </c>
      <c r="U561" s="32" t="inlineStr">
        <is>
          <t>KRAs not received · manager to supply</t>
        </is>
      </c>
      <c r="V561" s="31" t="inlineStr">
        <is>
          <t>Latest rating: Not rated · manager · 9-box: Not placed · manager · Readiness: No rating data</t>
        </is>
      </c>
      <c r="W561" s="31" t="inlineStr">
        <is>
          <t>C L · Au L · Ac L · L L · BI L · Exp H · 19.1 yrs vs 4–7 yrs · Edu M · B.Com</t>
        </is>
      </c>
      <c r="X561" s="33" t="inlineStr">
        <is>
          <t>Open ▸</t>
        </is>
      </c>
      <c r="Y561" s="34" t="str">
        <f>IFERROR(INDEX(DL_C,MATCH($CA561,DL_KEY,0)),"M")</f>
        <v>H</v>
      </c>
      <c r="Z561" s="35" t="str">
        <f>IFERROR(INDEX(DL_Au,MATCH($CA561,DL_KEY,0)),"M")</f>
        <v>M</v>
      </c>
      <c r="AA561" s="35" t="str">
        <f>IFERROR(INDEX(DL_Ac,MATCH($CA561,DL_KEY,0)),"M")</f>
        <v>L</v>
      </c>
      <c r="AB561" s="35" t="str">
        <f>IFERROR(INDEX(DL_L,MATCH($CA561,DL_KEY,0)),"M")</f>
        <v>L</v>
      </c>
      <c r="AC561" s="35" t="str">
        <f>IFERROR(INDEX(DL_BI,MATCH($CA561,DL_KEY,0)),"M")</f>
        <v>L</v>
      </c>
      <c r="AD561" s="35" t="str">
        <f>IFERROR(INDEX(DL_Exp,MATCH($CA561,DL_KEY,0)),"M")</f>
        <v>L</v>
      </c>
      <c r="AE561" s="35" t="str">
        <f>IFERROR(INDEX(DL_Edu,MATCH($CA561,DL_KEY,0)),"M")</f>
        <v>L</v>
      </c>
      <c r="AF561" s="34" t="inlineStr">
        <is>
          <t>M</t>
        </is>
      </c>
      <c r="AG561" s="35" t="inlineStr">
        <is>
          <t>M</t>
        </is>
      </c>
      <c r="AH561" s="35" t="inlineStr">
        <is>
          <t>M</t>
        </is>
      </c>
      <c r="AI561" s="35" t="inlineStr">
        <is>
          <t>M</t>
        </is>
      </c>
      <c r="AJ561" s="35" t="inlineStr">
        <is>
          <t>M</t>
        </is>
      </c>
      <c r="AK561" s="35" t="inlineStr">
        <is>
          <t>M</t>
        </is>
      </c>
      <c r="AL561" s="35" t="inlineStr">
        <is>
          <t>M</t>
        </is>
      </c>
      <c r="AM561" s="36" t="n">
        <v>0.513</v>
      </c>
      <c r="AN561" s="37" t="n">
        <v>0.173</v>
      </c>
      <c r="AO561" s="37" t="n">
        <v>0.09699999999999999</v>
      </c>
      <c r="AP561" s="37" t="n">
        <v>0.05</v>
      </c>
      <c r="AQ561" s="37" t="n">
        <v>0.07000000000000001</v>
      </c>
      <c r="AR561" s="37" t="n">
        <v>0.06</v>
      </c>
      <c r="AS561" s="37" t="n">
        <v>0.04</v>
      </c>
      <c r="AT561" s="38" t="inlineStr">
        <is>
          <t>4–8</t>
        </is>
      </c>
      <c r="AU561" s="38" t="inlineStr">
        <is>
          <t>Graduate + relevant qualification or certification preferred</t>
        </is>
      </c>
      <c r="AV561" s="38" t="inlineStr">
        <is>
          <t>IC: none · Team Lead: 3–5</t>
        </is>
      </c>
      <c r="AW561" s="38" t="inlineStr">
        <is>
          <t>P3 / M2 · SFIA 4 Enable</t>
        </is>
      </c>
      <c r="AX56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61" s="39" t="inlineStr">
        <is>
          <t>B1</t>
        </is>
      </c>
      <c r="AZ561" s="40" t="inlineStr">
        <is>
          <t>Band B · Specialist / Manager · Team Lead / Asst Manager</t>
        </is>
      </c>
      <c r="BA561" s="40" t="inlineStr">
        <is>
          <t>Model B1 from the six ratings, the market-derived weights and rules R1–R13 · then No change · already below the manager</t>
        </is>
      </c>
      <c r="BB561" s="41" t="inlineStr">
        <is>
          <t>B1</t>
        </is>
      </c>
      <c r="BC561" s="40" t="inlineStr">
        <is>
          <t>The six ratings on the market-average weights of Band B · Specialist / POD Lead score 3.65 → B1 · Hay, Mercer IPE and public plans · experience 19.1 yrs vs the B1 market range 4–8</t>
        </is>
      </c>
      <c r="BD561" s="42">
        <f>IF(SUM(BM561,BN561,BO561,BP561,BQ561,BR561,BS561)=0,0,(BM561*BT561+BN561*BU561+BO561*BV561+BP561*BW561+BQ561*BX561+BR561*BY561+BS561*BZ561)/SUM(BM561,BN561,BO561,BP561,BQ561,BR561,BS561))</f>
        <v>0</v>
      </c>
      <c r="BE561" s="41" t="str">
        <f>IF(LEFT(AY561,1)="X",AY561,IF(OR(AY561="B+",AY561="C+"),INDEX(LAD_PC,MAX(1,MIN(14,MATCH(AY561,LAD_PC,0)+IF(BD561&gt;=0.5,1,IF(BD561&lt;=-0.5,-1,0))))),INDEX(LAD_STD,MAX(1,MIN(12,MATCH(AY561,LAD_STD,0)+IF(BD561&gt;=0.5,1,IF(BD561&lt;=-0.5,-1,0)))))))</f>
        <v>B1</v>
      </c>
      <c r="BF561" s="43" t="n"/>
      <c r="BG561" s="41" t="str">
        <f>IF(BF561&lt;&gt;"",BF561,BE561)</f>
        <v>B1</v>
      </c>
      <c r="BH561" s="40" t="str">
        <f>IFERROR(CHOOSE(INDEX(B_RANK,MATCH(BG561,B_LVL,0)),"Band A","Band B","B+ · Player-Coach","Band C","C+ · Player-Coach","Band D","Band E"),"Band X · Consultant")</f>
        <v>Band B</v>
      </c>
      <c r="BI561" s="40" t="str">
        <f>IF(BG561=AY561,"• Same",IF(INDEX(B_VAL,MATCH(BG561,B_LVL,0))&gt;INDEX(B_VAL,MATCH(AY561,B_LVL,0)),"▲ Up","▼ Down"))</f>
        <v>• Same</v>
      </c>
      <c r="BJ561" s="40" t="str">
        <f>IF(OR($M561="",$M561="—",$M561="Not in this file"),"",IFERROR(INDEX($BG$7:$BG$592,MATCH($M561,$D$7:$D$592,0)),""))</f>
        <v>B2</v>
      </c>
      <c r="BK561" s="40" t="str">
        <f>IFERROR(IF(BJ561="","—",IF(OR(LEFT(BG561,1)="X",LEFT(BJ561,1)="X"),"—",IF(AND(LEFT(BG561,1)="E",LEFT(BJ561,1)="E"),"Exception · Band E",IF(AND(INDEX(B_VAL,MATCH(BJ561,B_LVL,0))&gt;=7,INDEX(B_RANK,MATCH(BG561,B_LVL,0))&gt;=INDEX(B_RANK,MATCH(BJ561,B_LVL,0))),"⚠ Same band as a head manager",IF(INDEX(B_VAL,MATCH(BG561,B_LVL,0))&gt;=INDEX(B_VAL,MATCH(BJ561,B_LVL,0)),"⚠ At or above the manager's level","OK"))))),"—")</f>
        <v>OK</v>
      </c>
      <c r="BL561" s="43" t="n"/>
      <c r="BM561" s="44">
        <f>IFERROR(INDEX(LMH_PTS,MATCH(Y561,LMH_KEY,0)),0)</f>
        <v>9</v>
      </c>
      <c r="BN561" s="38">
        <f>IFERROR(INDEX(LMH_PTS,MATCH(Z561,LMH_KEY,0)),0)</f>
        <v>3</v>
      </c>
      <c r="BO561" s="38">
        <f>IFERROR(INDEX(LMH_PTS,MATCH(AA561,LMH_KEY,0)),0)</f>
        <v>1</v>
      </c>
      <c r="BP561" s="38">
        <f>IFERROR(INDEX(LMH_PTS,MATCH(AB561,LMH_KEY,0)),0)</f>
        <v>1</v>
      </c>
      <c r="BQ561" s="38">
        <f>IFERROR(INDEX(LMH_PTS,MATCH(AC561,LMH_KEY,0)),0)</f>
        <v>1</v>
      </c>
      <c r="BR561" s="38">
        <f>IFERROR(INDEX(LMH_PTS,MATCH(AD561,LMH_KEY,0)),0)</f>
        <v>1</v>
      </c>
      <c r="BS561" s="38">
        <f>IFERROR(INDEX(LMH_PTS,MATCH(AE561,LMH_KEY,0)),0)</f>
        <v>1</v>
      </c>
      <c r="BT561" s="38">
        <f>IFERROR(INDEX(LMH_STEP,MATCH(AF561,LMH_KEY,0)),0)</f>
        <v>0</v>
      </c>
      <c r="BU561" s="38">
        <f>IFERROR(INDEX(LMH_STEP,MATCH(AG561,LMH_KEY,0)),0)</f>
        <v>0</v>
      </c>
      <c r="BV561" s="38">
        <f>IFERROR(INDEX(LMH_STEP,MATCH(AH561,LMH_KEY,0)),0)</f>
        <v>0</v>
      </c>
      <c r="BW561" s="38">
        <f>IFERROR(INDEX(LMH_STEP,MATCH(AI561,LMH_KEY,0)),0)</f>
        <v>0</v>
      </c>
      <c r="BX561" s="38">
        <f>IFERROR(INDEX(LMH_STEP,MATCH(AJ561,LMH_KEY,0)),0)</f>
        <v>0</v>
      </c>
      <c r="BY561" s="38">
        <f>IFERROR(INDEX(LMH_STEP,MATCH(AK561,LMH_KEY,0)),0)</f>
        <v>0</v>
      </c>
      <c r="BZ561" s="38">
        <f>IFERROR(INDEX(LMH_STEP,MATCH(AL561,LMH_KEY,0)),0)</f>
        <v>0</v>
      </c>
      <c r="CA561" s="38" t="inlineStr">
        <is>
          <t>Corporate|IT &amp; Infrastructure|Infrastructure Specialist – POD Lead|B1|B-IC</t>
        </is>
      </c>
    </row>
    <row r="562" ht="110" customHeight="1">
      <c r="A562" s="28" t="inlineStr">
        <is>
          <t>Corporate</t>
        </is>
      </c>
      <c r="B562" s="29" t="inlineStr">
        <is>
          <t>IT &amp; Infrastructure</t>
        </is>
      </c>
      <c r="C562" s="29" t="n">
        <v>3</v>
      </c>
      <c r="D562" s="29" t="inlineStr">
        <is>
          <t>IRIS2098</t>
        </is>
      </c>
      <c r="E562" s="29" t="inlineStr">
        <is>
          <t>Sagar Jamadar</t>
        </is>
      </c>
      <c r="F562" s="29" t="inlineStr">
        <is>
          <t>Desktop Support Engineer</t>
        </is>
      </c>
      <c r="G562" s="29" t="inlineStr">
        <is>
          <t>Senior Desktop Support Engineer</t>
        </is>
      </c>
      <c r="H562" s="29" t="inlineStr">
        <is>
          <t>IT &amp; Infrastructure</t>
        </is>
      </c>
      <c r="I562" s="29" t="inlineStr">
        <is>
          <t>End-User Support</t>
        </is>
      </c>
      <c r="J562" s="29" t="inlineStr">
        <is>
          <t>IC</t>
        </is>
      </c>
      <c r="K562" s="29" t="inlineStr">
        <is>
          <t>RC-106</t>
        </is>
      </c>
      <c r="L562" s="29" t="inlineStr">
        <is>
          <t>Ramesh Kone</t>
        </is>
      </c>
      <c r="M562" s="29" t="inlineStr">
        <is>
          <t>IRIS0909</t>
        </is>
      </c>
      <c r="N562" s="29" t="n">
        <v>8.6</v>
      </c>
      <c r="O562" s="29" t="n">
        <v>3.6</v>
      </c>
      <c r="P562" s="29" t="inlineStr">
        <is>
          <t>Undergraduate</t>
        </is>
      </c>
      <c r="Q562" s="29" t="inlineStr">
        <is>
          <t>Not in current mapping files</t>
        </is>
      </c>
      <c r="R562" s="29" t="inlineStr">
        <is>
          <t>A3</t>
        </is>
      </c>
      <c r="S562" s="30" t="inlineStr">
        <is>
          <t>20 of 20</t>
        </is>
      </c>
      <c r="T562" s="31" t="inlineStr">
        <is>
          <t>Complexity: Evidence reads like A2: Troubleshoots routine Windows, Outlook, network and hardware issues; resolves user tickets; manages user accounts → matches the start
Autonomy: Evidence reads like A2: Independently resolves routine IT issues; follows defined processes and escalates the rest → matches the start
Accountability: Evidence reads like A2: Own …</t>
        </is>
      </c>
      <c r="U562" s="32" t="inlineStr">
        <is>
          <t>KRAs not received · manager to supply</t>
        </is>
      </c>
      <c r="V562" s="31" t="inlineStr">
        <is>
          <t>Latest rating: Not rated · manager · 9-box: Not placed · manager · Readiness: No rating data</t>
        </is>
      </c>
      <c r="W562" s="31" t="inlineStr">
        <is>
          <t>C L · Au L · Ac L · L L · BI L · Exp H · 8.6 yrs vs 2–4 yrs · Edu L · Undergraduate</t>
        </is>
      </c>
      <c r="X562" s="33" t="inlineStr">
        <is>
          <t>Open ▸</t>
        </is>
      </c>
      <c r="Y562" s="34" t="str">
        <f>IFERROR(INDEX(DL_C,MATCH($CA562,DL_KEY,0)),"M")</f>
        <v>H</v>
      </c>
      <c r="Z562" s="35" t="str">
        <f>IFERROR(INDEX(DL_Au,MATCH($CA562,DL_KEY,0)),"M")</f>
        <v>M</v>
      </c>
      <c r="AA562" s="35" t="str">
        <f>IFERROR(INDEX(DL_Ac,MATCH($CA562,DL_KEY,0)),"M")</f>
        <v>L</v>
      </c>
      <c r="AB562" s="35" t="str">
        <f>IFERROR(INDEX(DL_L,MATCH($CA562,DL_KEY,0)),"M")</f>
        <v>L</v>
      </c>
      <c r="AC562" s="35" t="str">
        <f>IFERROR(INDEX(DL_BI,MATCH($CA562,DL_KEY,0)),"M")</f>
        <v>L</v>
      </c>
      <c r="AD562" s="35" t="str">
        <f>IFERROR(INDEX(DL_Exp,MATCH($CA562,DL_KEY,0)),"M")</f>
        <v>L</v>
      </c>
      <c r="AE562" s="35" t="str">
        <f>IFERROR(INDEX(DL_Edu,MATCH($CA562,DL_KEY,0)),"M")</f>
        <v>L</v>
      </c>
      <c r="AF562" s="34" t="inlineStr">
        <is>
          <t>M</t>
        </is>
      </c>
      <c r="AG562" s="35" t="inlineStr">
        <is>
          <t>M</t>
        </is>
      </c>
      <c r="AH562" s="35" t="inlineStr">
        <is>
          <t>M</t>
        </is>
      </c>
      <c r="AI562" s="35" t="inlineStr">
        <is>
          <t>M</t>
        </is>
      </c>
      <c r="AJ562" s="35" t="inlineStr">
        <is>
          <t>M</t>
        </is>
      </c>
      <c r="AK562" s="35" t="inlineStr">
        <is>
          <t>M</t>
        </is>
      </c>
      <c r="AL562" s="35" t="inlineStr">
        <is>
          <t>M</t>
        </is>
      </c>
      <c r="AM562" s="36" t="n">
        <v>0.583</v>
      </c>
      <c r="AN562" s="37" t="n">
        <v>0.16</v>
      </c>
      <c r="AO562" s="37" t="n">
        <v>0.09</v>
      </c>
      <c r="AP562" s="37" t="n">
        <v>0</v>
      </c>
      <c r="AQ562" s="37" t="n">
        <v>0.063</v>
      </c>
      <c r="AR562" s="37" t="n">
        <v>0.06</v>
      </c>
      <c r="AS562" s="37" t="n">
        <v>0.04</v>
      </c>
      <c r="AT562" s="38" t="inlineStr">
        <is>
          <t>2–5</t>
        </is>
      </c>
      <c r="AU562" s="38" t="inlineStr">
        <is>
          <t>Graduate; relevant certification preferred</t>
        </is>
      </c>
      <c r="AV562" s="38" t="inlineStr">
        <is>
          <t>None · guides 1–3 juniors informally</t>
        </is>
      </c>
      <c r="AW562" s="38" t="inlineStr">
        <is>
          <t>P2 · SFIA 3 Apply</t>
        </is>
      </c>
      <c r="AX56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62" s="39" t="inlineStr">
        <is>
          <t>A3</t>
        </is>
      </c>
      <c r="AZ562" s="40" t="inlineStr">
        <is>
          <t>Band A · Practitioner · Senior Associate</t>
        </is>
      </c>
      <c r="BA562" s="40" t="inlineStr">
        <is>
          <t>Model A3 from the six ratings, the market-derived weights and rules R1–R13 · then No change · already below the manager</t>
        </is>
      </c>
      <c r="BB562" s="41" t="inlineStr">
        <is>
          <t>A2</t>
        </is>
      </c>
      <c r="BC562" s="40" t="inlineStr">
        <is>
          <t>The six ratings on the market-average weights of Band A · all tracks score 2.30 → A2 · Hay, Mercer IPE and public plans · experience 8.6 yrs vs the A2 market range 0–3</t>
        </is>
      </c>
      <c r="BD562" s="42">
        <f>IF(SUM(BM562,BN562,BO562,BP562,BQ562,BR562,BS562)=0,0,(BM562*BT562+BN562*BU562+BO562*BV562+BP562*BW562+BQ562*BX562+BR562*BY562+BS562*BZ562)/SUM(BM562,BN562,BO562,BP562,BQ562,BR562,BS562))</f>
        <v>0</v>
      </c>
      <c r="BE562" s="41" t="str">
        <f>IF(LEFT(AY562,1)="X",AY562,IF(OR(AY562="B+",AY562="C+"),INDEX(LAD_PC,MAX(1,MIN(14,MATCH(AY562,LAD_PC,0)+IF(BD562&gt;=0.5,1,IF(BD562&lt;=-0.5,-1,0))))),INDEX(LAD_STD,MAX(1,MIN(12,MATCH(AY562,LAD_STD,0)+IF(BD562&gt;=0.5,1,IF(BD562&lt;=-0.5,-1,0)))))))</f>
        <v>A3</v>
      </c>
      <c r="BF562" s="43" t="n"/>
      <c r="BG562" s="41" t="str">
        <f>IF(BF562&lt;&gt;"",BF562,BE562)</f>
        <v>A3</v>
      </c>
      <c r="BH562" s="40" t="str">
        <f>IFERROR(CHOOSE(INDEX(B_RANK,MATCH(BG562,B_LVL,0)),"Band A","Band B","B+ · Player-Coach","Band C","C+ · Player-Coach","Band D","Band E"),"Band X · Consultant")</f>
        <v>Band A</v>
      </c>
      <c r="BI562" s="40" t="str">
        <f>IF(BG562=AY562,"• Same",IF(INDEX(B_VAL,MATCH(BG562,B_LVL,0))&gt;INDEX(B_VAL,MATCH(AY562,B_LVL,0)),"▲ Up","▼ Down"))</f>
        <v>• Same</v>
      </c>
      <c r="BJ562" s="40" t="str">
        <f>IF(OR($M562="",$M562="—",$M562="Not in this file"),"",IFERROR(INDEX($BG$7:$BG$592,MATCH($M562,$D$7:$D$592,0)),""))</f>
        <v>B1</v>
      </c>
      <c r="BK562" s="40" t="str">
        <f>IFERROR(IF(BJ562="","—",IF(OR(LEFT(BG562,1)="X",LEFT(BJ562,1)="X"),"—",IF(AND(LEFT(BG562,1)="E",LEFT(BJ562,1)="E"),"Exception · Band E",IF(AND(INDEX(B_VAL,MATCH(BJ562,B_LVL,0))&gt;=7,INDEX(B_RANK,MATCH(BG562,B_LVL,0))&gt;=INDEX(B_RANK,MATCH(BJ562,B_LVL,0))),"⚠ Same band as a head manager",IF(INDEX(B_VAL,MATCH(BG562,B_LVL,0))&gt;=INDEX(B_VAL,MATCH(BJ562,B_LVL,0)),"⚠ At or above the manager's level","OK"))))),"—")</f>
        <v>OK</v>
      </c>
      <c r="BL562" s="43" t="n"/>
      <c r="BM562" s="44">
        <f>IFERROR(INDEX(LMH_PTS,MATCH(Y562,LMH_KEY,0)),0)</f>
        <v>9</v>
      </c>
      <c r="BN562" s="38">
        <f>IFERROR(INDEX(LMH_PTS,MATCH(Z562,LMH_KEY,0)),0)</f>
        <v>3</v>
      </c>
      <c r="BO562" s="38">
        <f>IFERROR(INDEX(LMH_PTS,MATCH(AA562,LMH_KEY,0)),0)</f>
        <v>1</v>
      </c>
      <c r="BP562" s="38">
        <f>IFERROR(INDEX(LMH_PTS,MATCH(AB562,LMH_KEY,0)),0)</f>
        <v>1</v>
      </c>
      <c r="BQ562" s="38">
        <f>IFERROR(INDEX(LMH_PTS,MATCH(AC562,LMH_KEY,0)),0)</f>
        <v>1</v>
      </c>
      <c r="BR562" s="38">
        <f>IFERROR(INDEX(LMH_PTS,MATCH(AD562,LMH_KEY,0)),0)</f>
        <v>1</v>
      </c>
      <c r="BS562" s="38">
        <f>IFERROR(INDEX(LMH_PTS,MATCH(AE562,LMH_KEY,0)),0)</f>
        <v>1</v>
      </c>
      <c r="BT562" s="38">
        <f>IFERROR(INDEX(LMH_STEP,MATCH(AF562,LMH_KEY,0)),0)</f>
        <v>0</v>
      </c>
      <c r="BU562" s="38">
        <f>IFERROR(INDEX(LMH_STEP,MATCH(AG562,LMH_KEY,0)),0)</f>
        <v>0</v>
      </c>
      <c r="BV562" s="38">
        <f>IFERROR(INDEX(LMH_STEP,MATCH(AH562,LMH_KEY,0)),0)</f>
        <v>0</v>
      </c>
      <c r="BW562" s="38">
        <f>IFERROR(INDEX(LMH_STEP,MATCH(AI562,LMH_KEY,0)),0)</f>
        <v>0</v>
      </c>
      <c r="BX562" s="38">
        <f>IFERROR(INDEX(LMH_STEP,MATCH(AJ562,LMH_KEY,0)),0)</f>
        <v>0</v>
      </c>
      <c r="BY562" s="38">
        <f>IFERROR(INDEX(LMH_STEP,MATCH(AK562,LMH_KEY,0)),0)</f>
        <v>0</v>
      </c>
      <c r="BZ562" s="38">
        <f>IFERROR(INDEX(LMH_STEP,MATCH(AL562,LMH_KEY,0)),0)</f>
        <v>0</v>
      </c>
      <c r="CA562" s="38" t="inlineStr">
        <is>
          <t>Corporate|IT &amp; Infrastructure|Senior Desktop Support Engineer|A3|A</t>
        </is>
      </c>
    </row>
    <row r="563" ht="110" customHeight="1">
      <c r="A563" s="28" t="inlineStr">
        <is>
          <t>Corporate</t>
        </is>
      </c>
      <c r="B563" s="29" t="inlineStr">
        <is>
          <t>IT &amp; Infrastructure</t>
        </is>
      </c>
      <c r="C563" s="29" t="n">
        <v>2</v>
      </c>
      <c r="D563" s="29" t="inlineStr">
        <is>
          <t>IRIS0038</t>
        </is>
      </c>
      <c r="E563" s="29" t="inlineStr">
        <is>
          <t>Vikas Mithbawkar</t>
        </is>
      </c>
      <c r="F563" s="29" t="inlineStr">
        <is>
          <t>Senior System Administrator</t>
        </is>
      </c>
      <c r="G563" s="29" t="inlineStr">
        <is>
          <t>IT Infrastructure Manager</t>
        </is>
      </c>
      <c r="H563" s="29" t="inlineStr">
        <is>
          <t>IT &amp; Infrastructure</t>
        </is>
      </c>
      <c r="I563" s="29" t="inlineStr">
        <is>
          <t>Infrastructure &amp; Cloud Operations</t>
        </is>
      </c>
      <c r="J563" s="29" t="inlineStr">
        <is>
          <t>People Manager</t>
        </is>
      </c>
      <c r="K563" s="29" t="inlineStr">
        <is>
          <t>RC-110</t>
        </is>
      </c>
      <c r="L563" s="29" t="inlineStr">
        <is>
          <t>Mahesh Tilave</t>
        </is>
      </c>
      <c r="M563" s="29" t="inlineStr">
        <is>
          <t>IRIS2103</t>
        </is>
      </c>
      <c r="N563" s="29" t="n">
        <v>22.3</v>
      </c>
      <c r="O563" s="29" t="n">
        <v>20.3</v>
      </c>
      <c r="P563" s="29" t="inlineStr">
        <is>
          <t>B.SC</t>
        </is>
      </c>
      <c r="Q563" s="29" t="inlineStr">
        <is>
          <t>Not in current mapping files</t>
        </is>
      </c>
      <c r="R563" s="29" t="inlineStr">
        <is>
          <t>B1</t>
        </is>
      </c>
      <c r="S563" s="30" t="inlineStr">
        <is>
          <t>20 of 20</t>
        </is>
      </c>
      <c r="T563" s="31" t="inlineStr">
        <is>
          <t>Complexity: Evidence reads like B1: Runs RBI client-site website infrastructure: 24x7 support, incident resolution, SLA compliance → moved up 0.5
Autonomy: Evidence reads like B1: Decides team incident management for the 24x7 support team → moved up 0.5
Accountability: Evidence reads like B1: RBI website availability, SLA delivery and performance of a …</t>
        </is>
      </c>
      <c r="U563" s="32" t="inlineStr">
        <is>
          <t>KRAs not received · manager to supply</t>
        </is>
      </c>
      <c r="V563" s="31" t="inlineStr">
        <is>
          <t>Latest rating: Not rated · manager · 9-box: Not placed · manager · Readiness: No rating data</t>
        </is>
      </c>
      <c r="W563" s="31" t="inlineStr">
        <is>
          <t>C M · Au M · Ac M · L M · BI M · Exp H · 22.3 yrs vs 4–7 yrs · Edu M · B.SC</t>
        </is>
      </c>
      <c r="X563" s="33" t="inlineStr">
        <is>
          <t>Open ▸</t>
        </is>
      </c>
      <c r="Y563" s="34" t="str">
        <f>IFERROR(INDEX(DL_C,MATCH($CA563,DL_KEY,0)),"M")</f>
        <v>H</v>
      </c>
      <c r="Z563" s="35" t="str">
        <f>IFERROR(INDEX(DL_Au,MATCH($CA563,DL_KEY,0)),"M")</f>
        <v>M</v>
      </c>
      <c r="AA563" s="35" t="str">
        <f>IFERROR(INDEX(DL_Ac,MATCH($CA563,DL_KEY,0)),"M")</f>
        <v>L</v>
      </c>
      <c r="AB563" s="35" t="str">
        <f>IFERROR(INDEX(DL_L,MATCH($CA563,DL_KEY,0)),"M")</f>
        <v>M</v>
      </c>
      <c r="AC563" s="35" t="str">
        <f>IFERROR(INDEX(DL_BI,MATCH($CA563,DL_KEY,0)),"M")</f>
        <v>L</v>
      </c>
      <c r="AD563" s="35" t="str">
        <f>IFERROR(INDEX(DL_Exp,MATCH($CA563,DL_KEY,0)),"M")</f>
        <v>L</v>
      </c>
      <c r="AE563" s="35" t="str">
        <f>IFERROR(INDEX(DL_Edu,MATCH($CA563,DL_KEY,0)),"M")</f>
        <v>L</v>
      </c>
      <c r="AF563" s="34" t="inlineStr">
        <is>
          <t>M</t>
        </is>
      </c>
      <c r="AG563" s="35" t="inlineStr">
        <is>
          <t>M</t>
        </is>
      </c>
      <c r="AH563" s="35" t="inlineStr">
        <is>
          <t>M</t>
        </is>
      </c>
      <c r="AI563" s="35" t="inlineStr">
        <is>
          <t>M</t>
        </is>
      </c>
      <c r="AJ563" s="35" t="inlineStr">
        <is>
          <t>M</t>
        </is>
      </c>
      <c r="AK563" s="35" t="inlineStr">
        <is>
          <t>M</t>
        </is>
      </c>
      <c r="AL563" s="35" t="inlineStr">
        <is>
          <t>M</t>
        </is>
      </c>
      <c r="AM563" s="36" t="n">
        <v>0.37</v>
      </c>
      <c r="AN563" s="37" t="n">
        <v>0.183</v>
      </c>
      <c r="AO563" s="37" t="n">
        <v>0.113</v>
      </c>
      <c r="AP563" s="37" t="n">
        <v>0.15</v>
      </c>
      <c r="AQ563" s="37" t="n">
        <v>0.08699999999999999</v>
      </c>
      <c r="AR563" s="37" t="n">
        <v>0.06</v>
      </c>
      <c r="AS563" s="37" t="n">
        <v>0.04</v>
      </c>
      <c r="AT563" s="38" t="inlineStr">
        <is>
          <t>4–8</t>
        </is>
      </c>
      <c r="AU563" s="38" t="inlineStr">
        <is>
          <t>Graduate + relevant qualification or certification preferred</t>
        </is>
      </c>
      <c r="AV563" s="38" t="inlineStr">
        <is>
          <t>IC: none · Team Lead: 3–5</t>
        </is>
      </c>
      <c r="AW563" s="38" t="inlineStr">
        <is>
          <t>P3 / M2 · SFIA 4 Enable</t>
        </is>
      </c>
      <c r="AX56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63" s="39" t="inlineStr">
        <is>
          <t>B1</t>
        </is>
      </c>
      <c r="AZ563" s="40" t="inlineStr">
        <is>
          <t>Band B · Specialist / Manager · Team Lead / Asst Manager</t>
        </is>
      </c>
      <c r="BA563" s="40" t="inlineStr">
        <is>
          <t>Model B1 from the six ratings, the market-derived weights and rules R1–R13 · then No change · already below the manager</t>
        </is>
      </c>
      <c r="BB563" s="41" t="inlineStr">
        <is>
          <t>B1</t>
        </is>
      </c>
      <c r="BC563" s="40" t="inlineStr">
        <is>
          <t>The six ratings on the market-average weights of Band B · People Manager score 4.37 → B1 · Hay, Mercer IPE and public plans · experience 22.3 yrs vs the B1 market range 4–8</t>
        </is>
      </c>
      <c r="BD563" s="42">
        <f>IF(SUM(BM563,BN563,BO563,BP563,BQ563,BR563,BS563)=0,0,(BM563*BT563+BN563*BU563+BO563*BV563+BP563*BW563+BQ563*BX563+BR563*BY563+BS563*BZ563)/SUM(BM563,BN563,BO563,BP563,BQ563,BR563,BS563))</f>
        <v>0</v>
      </c>
      <c r="BE563" s="41" t="str">
        <f>IF(LEFT(AY563,1)="X",AY563,IF(OR(AY563="B+",AY563="C+"),INDEX(LAD_PC,MAX(1,MIN(14,MATCH(AY563,LAD_PC,0)+IF(BD563&gt;=0.5,1,IF(BD563&lt;=-0.5,-1,0))))),INDEX(LAD_STD,MAX(1,MIN(12,MATCH(AY563,LAD_STD,0)+IF(BD563&gt;=0.5,1,IF(BD563&lt;=-0.5,-1,0)))))))</f>
        <v>B1</v>
      </c>
      <c r="BF563" s="43" t="n"/>
      <c r="BG563" s="41" t="str">
        <f>IF(BF563&lt;&gt;"",BF563,BE563)</f>
        <v>B1</v>
      </c>
      <c r="BH563" s="40" t="str">
        <f>IFERROR(CHOOSE(INDEX(B_RANK,MATCH(BG563,B_LVL,0)),"Band A","Band B","B+ · Player-Coach","Band C","C+ · Player-Coach","Band D","Band E"),"Band X · Consultant")</f>
        <v>Band B</v>
      </c>
      <c r="BI563" s="40" t="str">
        <f>IF(BG563=AY563,"• Same",IF(INDEX(B_VAL,MATCH(BG563,B_LVL,0))&gt;INDEX(B_VAL,MATCH(AY563,B_LVL,0)),"▲ Up","▼ Down"))</f>
        <v>• Same</v>
      </c>
      <c r="BJ563" s="40" t="str">
        <f>IF(OR($M563="",$M563="—",$M563="Not in this file"),"",IFERROR(INDEX($BG$7:$BG$592,MATCH($M563,$D$7:$D$592,0)),""))</f>
        <v>B2</v>
      </c>
      <c r="BK563" s="40" t="str">
        <f>IFERROR(IF(BJ563="","—",IF(OR(LEFT(BG563,1)="X",LEFT(BJ563,1)="X"),"—",IF(AND(LEFT(BG563,1)="E",LEFT(BJ563,1)="E"),"Exception · Band E",IF(AND(INDEX(B_VAL,MATCH(BJ563,B_LVL,0))&gt;=7,INDEX(B_RANK,MATCH(BG563,B_LVL,0))&gt;=INDEX(B_RANK,MATCH(BJ563,B_LVL,0))),"⚠ Same band as a head manager",IF(INDEX(B_VAL,MATCH(BG563,B_LVL,0))&gt;=INDEX(B_VAL,MATCH(BJ563,B_LVL,0)),"⚠ At or above the manager's level","OK"))))),"—")</f>
        <v>OK</v>
      </c>
      <c r="BL563" s="43" t="n"/>
      <c r="BM563" s="44">
        <f>IFERROR(INDEX(LMH_PTS,MATCH(Y563,LMH_KEY,0)),0)</f>
        <v>9</v>
      </c>
      <c r="BN563" s="38">
        <f>IFERROR(INDEX(LMH_PTS,MATCH(Z563,LMH_KEY,0)),0)</f>
        <v>3</v>
      </c>
      <c r="BO563" s="38">
        <f>IFERROR(INDEX(LMH_PTS,MATCH(AA563,LMH_KEY,0)),0)</f>
        <v>1</v>
      </c>
      <c r="BP563" s="38">
        <f>IFERROR(INDEX(LMH_PTS,MATCH(AB563,LMH_KEY,0)),0)</f>
        <v>3</v>
      </c>
      <c r="BQ563" s="38">
        <f>IFERROR(INDEX(LMH_PTS,MATCH(AC563,LMH_KEY,0)),0)</f>
        <v>1</v>
      </c>
      <c r="BR563" s="38">
        <f>IFERROR(INDEX(LMH_PTS,MATCH(AD563,LMH_KEY,0)),0)</f>
        <v>1</v>
      </c>
      <c r="BS563" s="38">
        <f>IFERROR(INDEX(LMH_PTS,MATCH(AE563,LMH_KEY,0)),0)</f>
        <v>1</v>
      </c>
      <c r="BT563" s="38">
        <f>IFERROR(INDEX(LMH_STEP,MATCH(AF563,LMH_KEY,0)),0)</f>
        <v>0</v>
      </c>
      <c r="BU563" s="38">
        <f>IFERROR(INDEX(LMH_STEP,MATCH(AG563,LMH_KEY,0)),0)</f>
        <v>0</v>
      </c>
      <c r="BV563" s="38">
        <f>IFERROR(INDEX(LMH_STEP,MATCH(AH563,LMH_KEY,0)),0)</f>
        <v>0</v>
      </c>
      <c r="BW563" s="38">
        <f>IFERROR(INDEX(LMH_STEP,MATCH(AI563,LMH_KEY,0)),0)</f>
        <v>0</v>
      </c>
      <c r="BX563" s="38">
        <f>IFERROR(INDEX(LMH_STEP,MATCH(AJ563,LMH_KEY,0)),0)</f>
        <v>0</v>
      </c>
      <c r="BY563" s="38">
        <f>IFERROR(INDEX(LMH_STEP,MATCH(AK563,LMH_KEY,0)),0)</f>
        <v>0</v>
      </c>
      <c r="BZ563" s="38">
        <f>IFERROR(INDEX(LMH_STEP,MATCH(AL563,LMH_KEY,0)),0)</f>
        <v>0</v>
      </c>
      <c r="CA563" s="38" t="inlineStr">
        <is>
          <t>Corporate|IT &amp; Infrastructure|IT Infrastructure Manager|B1|B-M</t>
        </is>
      </c>
    </row>
    <row r="564" ht="110" customHeight="1">
      <c r="A564" s="28" t="inlineStr">
        <is>
          <t>Corporate</t>
        </is>
      </c>
      <c r="B564" s="29" t="inlineStr">
        <is>
          <t>IT &amp; Infrastructure</t>
        </is>
      </c>
      <c r="C564" s="29" t="n">
        <v>3</v>
      </c>
      <c r="D564" s="29" t="inlineStr">
        <is>
          <t>IRIS2468</t>
        </is>
      </c>
      <c r="E564" s="29" t="inlineStr">
        <is>
          <t>Amit Gangaram Kamble</t>
        </is>
      </c>
      <c r="F564" s="29" t="inlineStr">
        <is>
          <t>Windows Server Administrator L1</t>
        </is>
      </c>
      <c r="G564" s="29" t="inlineStr">
        <is>
          <t>Senior System Administrator</t>
        </is>
      </c>
      <c r="H564" s="29" t="inlineStr">
        <is>
          <t>IT &amp; Infrastructure</t>
        </is>
      </c>
      <c r="I564" s="29" t="inlineStr">
        <is>
          <t>Infrastructure &amp; Cloud Operations</t>
        </is>
      </c>
      <c r="J564" s="29" t="inlineStr">
        <is>
          <t>IC</t>
        </is>
      </c>
      <c r="K564" s="29" t="inlineStr">
        <is>
          <t>RC-108</t>
        </is>
      </c>
      <c r="L564" s="29" t="inlineStr">
        <is>
          <t>Vikas Mithbawkar</t>
        </is>
      </c>
      <c r="M564" s="29" t="inlineStr">
        <is>
          <t>IRIS0038</t>
        </is>
      </c>
      <c r="N564" s="29" t="n">
        <v>3.6</v>
      </c>
      <c r="O564" s="29" t="n">
        <v>0.6</v>
      </c>
      <c r="P564" s="29" t="inlineStr">
        <is>
          <t>B.Sc</t>
        </is>
      </c>
      <c r="Q564" s="29" t="inlineStr">
        <is>
          <t>Not in current mapping files</t>
        </is>
      </c>
      <c r="R564" s="29" t="inlineStr">
        <is>
          <t>A3</t>
        </is>
      </c>
      <c r="S564" s="30" t="inlineStr">
        <is>
          <t>0 of 20</t>
        </is>
      </c>
      <c r="T564" s="31"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t>
        </is>
      </c>
      <c r="U564" s="32" t="inlineStr">
        <is>
          <t>KRAs not received · manager to supply</t>
        </is>
      </c>
      <c r="V564" s="31" t="inlineStr">
        <is>
          <t>Latest rating: Not rated · manager · 9-box: Not placed · manager · Readiness: No rating data</t>
        </is>
      </c>
      <c r="W564" s="31" t="inlineStr">
        <is>
          <t>C L · Au L · Ac L · L L · BI L · Exp M · 3.6 yrs vs 2–4 yrs · Edu M · B.Sc</t>
        </is>
      </c>
      <c r="X564" s="33" t="inlineStr">
        <is>
          <t>Open ▸</t>
        </is>
      </c>
      <c r="Y564" s="34" t="str">
        <f>IFERROR(INDEX(DL_C,MATCH($CA564,DL_KEY,0)),"M")</f>
        <v>H</v>
      </c>
      <c r="Z564" s="35" t="str">
        <f>IFERROR(INDEX(DL_Au,MATCH($CA564,DL_KEY,0)),"M")</f>
        <v>M</v>
      </c>
      <c r="AA564" s="35" t="str">
        <f>IFERROR(INDEX(DL_Ac,MATCH($CA564,DL_KEY,0)),"M")</f>
        <v>L</v>
      </c>
      <c r="AB564" s="35" t="str">
        <f>IFERROR(INDEX(DL_L,MATCH($CA564,DL_KEY,0)),"M")</f>
        <v>L</v>
      </c>
      <c r="AC564" s="35" t="str">
        <f>IFERROR(INDEX(DL_BI,MATCH($CA564,DL_KEY,0)),"M")</f>
        <v>L</v>
      </c>
      <c r="AD564" s="35" t="str">
        <f>IFERROR(INDEX(DL_Exp,MATCH($CA564,DL_KEY,0)),"M")</f>
        <v>L</v>
      </c>
      <c r="AE564" s="35" t="str">
        <f>IFERROR(INDEX(DL_Edu,MATCH($CA564,DL_KEY,0)),"M")</f>
        <v>L</v>
      </c>
      <c r="AF564" s="34" t="inlineStr">
        <is>
          <t>M</t>
        </is>
      </c>
      <c r="AG564" s="35" t="inlineStr">
        <is>
          <t>M</t>
        </is>
      </c>
      <c r="AH564" s="35" t="inlineStr">
        <is>
          <t>M</t>
        </is>
      </c>
      <c r="AI564" s="35" t="inlineStr">
        <is>
          <t>M</t>
        </is>
      </c>
      <c r="AJ564" s="35" t="inlineStr">
        <is>
          <t>M</t>
        </is>
      </c>
      <c r="AK564" s="35" t="inlineStr">
        <is>
          <t>M</t>
        </is>
      </c>
      <c r="AL564" s="35" t="inlineStr">
        <is>
          <t>M</t>
        </is>
      </c>
      <c r="AM564" s="36" t="n">
        <v>0.583</v>
      </c>
      <c r="AN564" s="37" t="n">
        <v>0.16</v>
      </c>
      <c r="AO564" s="37" t="n">
        <v>0.09</v>
      </c>
      <c r="AP564" s="37" t="n">
        <v>0</v>
      </c>
      <c r="AQ564" s="37" t="n">
        <v>0.063</v>
      </c>
      <c r="AR564" s="37" t="n">
        <v>0.06</v>
      </c>
      <c r="AS564" s="37" t="n">
        <v>0.04</v>
      </c>
      <c r="AT564" s="38" t="inlineStr">
        <is>
          <t>2–5</t>
        </is>
      </c>
      <c r="AU564" s="38" t="inlineStr">
        <is>
          <t>Graduate; relevant certification preferred</t>
        </is>
      </c>
      <c r="AV564" s="38" t="inlineStr">
        <is>
          <t>None · guides 1–3 juniors informally</t>
        </is>
      </c>
      <c r="AW564" s="38" t="inlineStr">
        <is>
          <t>P2 · SFIA 3 Apply</t>
        </is>
      </c>
      <c r="AX56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64" s="39" t="inlineStr">
        <is>
          <t>A3</t>
        </is>
      </c>
      <c r="AZ564" s="40" t="inlineStr">
        <is>
          <t>Band A · Practitioner · Senior Associate</t>
        </is>
      </c>
      <c r="BA564" s="40" t="inlineStr">
        <is>
          <t>Model A3 from the six ratings, the market-derived weights and rules R1–R13 · then No change · already below the manager</t>
        </is>
      </c>
      <c r="BB564" s="41" t="inlineStr">
        <is>
          <t>A2</t>
        </is>
      </c>
      <c r="BC564" s="40" t="inlineStr">
        <is>
          <t>The six ratings on the market-average weights of Band A · all tracks score 2.10 → A2 · Hay, Mercer IPE and public plans · experience 3.6 yrs vs the A2 market range 0–3</t>
        </is>
      </c>
      <c r="BD564" s="42">
        <f>IF(SUM(BM564,BN564,BO564,BP564,BQ564,BR564,BS564)=0,0,(BM564*BT564+BN564*BU564+BO564*BV564+BP564*BW564+BQ564*BX564+BR564*BY564+BS564*BZ564)/SUM(BM564,BN564,BO564,BP564,BQ564,BR564,BS564))</f>
        <v>0</v>
      </c>
      <c r="BE564" s="41" t="str">
        <f>IF(LEFT(AY564,1)="X",AY564,IF(OR(AY564="B+",AY564="C+"),INDEX(LAD_PC,MAX(1,MIN(14,MATCH(AY564,LAD_PC,0)+IF(BD564&gt;=0.5,1,IF(BD564&lt;=-0.5,-1,0))))),INDEX(LAD_STD,MAX(1,MIN(12,MATCH(AY564,LAD_STD,0)+IF(BD564&gt;=0.5,1,IF(BD564&lt;=-0.5,-1,0)))))))</f>
        <v>A3</v>
      </c>
      <c r="BF564" s="43" t="n"/>
      <c r="BG564" s="41" t="str">
        <f>IF(BF564&lt;&gt;"",BF564,BE564)</f>
        <v>A3</v>
      </c>
      <c r="BH564" s="40" t="str">
        <f>IFERROR(CHOOSE(INDEX(B_RANK,MATCH(BG564,B_LVL,0)),"Band A","Band B","B+ · Player-Coach","Band C","C+ · Player-Coach","Band D","Band E"),"Band X · Consultant")</f>
        <v>Band A</v>
      </c>
      <c r="BI564" s="40" t="str">
        <f>IF(BG564=AY564,"• Same",IF(INDEX(B_VAL,MATCH(BG564,B_LVL,0))&gt;INDEX(B_VAL,MATCH(AY564,B_LVL,0)),"▲ Up","▼ Down"))</f>
        <v>• Same</v>
      </c>
      <c r="BJ564" s="40" t="str">
        <f>IF(OR($M564="",$M564="—",$M564="Not in this file"),"",IFERROR(INDEX($BG$7:$BG$592,MATCH($M564,$D$7:$D$592,0)),""))</f>
        <v>B1</v>
      </c>
      <c r="BK564" s="40" t="str">
        <f>IFERROR(IF(BJ564="","—",IF(OR(LEFT(BG564,1)="X",LEFT(BJ564,1)="X"),"—",IF(AND(LEFT(BG564,1)="E",LEFT(BJ564,1)="E"),"Exception · Band E",IF(AND(INDEX(B_VAL,MATCH(BJ564,B_LVL,0))&gt;=7,INDEX(B_RANK,MATCH(BG564,B_LVL,0))&gt;=INDEX(B_RANK,MATCH(BJ564,B_LVL,0))),"⚠ Same band as a head manager",IF(INDEX(B_VAL,MATCH(BG564,B_LVL,0))&gt;=INDEX(B_VAL,MATCH(BJ564,B_LVL,0)),"⚠ At or above the manager's level","OK"))))),"—")</f>
        <v>OK</v>
      </c>
      <c r="BL564" s="43" t="n"/>
      <c r="BM564" s="44">
        <f>IFERROR(INDEX(LMH_PTS,MATCH(Y564,LMH_KEY,0)),0)</f>
        <v>9</v>
      </c>
      <c r="BN564" s="38">
        <f>IFERROR(INDEX(LMH_PTS,MATCH(Z564,LMH_KEY,0)),0)</f>
        <v>3</v>
      </c>
      <c r="BO564" s="38">
        <f>IFERROR(INDEX(LMH_PTS,MATCH(AA564,LMH_KEY,0)),0)</f>
        <v>1</v>
      </c>
      <c r="BP564" s="38">
        <f>IFERROR(INDEX(LMH_PTS,MATCH(AB564,LMH_KEY,0)),0)</f>
        <v>1</v>
      </c>
      <c r="BQ564" s="38">
        <f>IFERROR(INDEX(LMH_PTS,MATCH(AC564,LMH_KEY,0)),0)</f>
        <v>1</v>
      </c>
      <c r="BR564" s="38">
        <f>IFERROR(INDEX(LMH_PTS,MATCH(AD564,LMH_KEY,0)),0)</f>
        <v>1</v>
      </c>
      <c r="BS564" s="38">
        <f>IFERROR(INDEX(LMH_PTS,MATCH(AE564,LMH_KEY,0)),0)</f>
        <v>1</v>
      </c>
      <c r="BT564" s="38">
        <f>IFERROR(INDEX(LMH_STEP,MATCH(AF564,LMH_KEY,0)),0)</f>
        <v>0</v>
      </c>
      <c r="BU564" s="38">
        <f>IFERROR(INDEX(LMH_STEP,MATCH(AG564,LMH_KEY,0)),0)</f>
        <v>0</v>
      </c>
      <c r="BV564" s="38">
        <f>IFERROR(INDEX(LMH_STEP,MATCH(AH564,LMH_KEY,0)),0)</f>
        <v>0</v>
      </c>
      <c r="BW564" s="38">
        <f>IFERROR(INDEX(LMH_STEP,MATCH(AI564,LMH_KEY,0)),0)</f>
        <v>0</v>
      </c>
      <c r="BX564" s="38">
        <f>IFERROR(INDEX(LMH_STEP,MATCH(AJ564,LMH_KEY,0)),0)</f>
        <v>0</v>
      </c>
      <c r="BY564" s="38">
        <f>IFERROR(INDEX(LMH_STEP,MATCH(AK564,LMH_KEY,0)),0)</f>
        <v>0</v>
      </c>
      <c r="BZ564" s="38">
        <f>IFERROR(INDEX(LMH_STEP,MATCH(AL564,LMH_KEY,0)),0)</f>
        <v>0</v>
      </c>
      <c r="CA564" s="38" t="inlineStr">
        <is>
          <t>Corporate|IT &amp; Infrastructure|Senior System Administrator|A3|A</t>
        </is>
      </c>
    </row>
    <row r="565" ht="110" customHeight="1">
      <c r="A565" s="28" t="inlineStr">
        <is>
          <t>Corporate</t>
        </is>
      </c>
      <c r="B565" s="29" t="inlineStr">
        <is>
          <t>IT &amp; Infrastructure</t>
        </is>
      </c>
      <c r="C565" s="29" t="n">
        <v>3</v>
      </c>
      <c r="D565" s="29" t="inlineStr">
        <is>
          <t>IRIS2315</t>
        </is>
      </c>
      <c r="E565" s="29" t="inlineStr">
        <is>
          <t>Gouri Kohale</t>
        </is>
      </c>
      <c r="F565" s="29" t="inlineStr">
        <is>
          <t>System Administrator</t>
        </is>
      </c>
      <c r="G565" s="29" t="inlineStr">
        <is>
          <t>Senior System Administrator</t>
        </is>
      </c>
      <c r="H565" s="29" t="inlineStr">
        <is>
          <t>IT &amp; Infrastructure</t>
        </is>
      </c>
      <c r="I565" s="29" t="inlineStr">
        <is>
          <t>Infrastructure &amp; Cloud Operations</t>
        </is>
      </c>
      <c r="J565" s="29" t="inlineStr">
        <is>
          <t>IC</t>
        </is>
      </c>
      <c r="K565" s="29" t="inlineStr">
        <is>
          <t>RC-108</t>
        </is>
      </c>
      <c r="L565" s="29" t="inlineStr">
        <is>
          <t>Vikas Mithbawkar</t>
        </is>
      </c>
      <c r="M565" s="29" t="inlineStr">
        <is>
          <t>IRIS0038</t>
        </is>
      </c>
      <c r="N565" s="29" t="n">
        <v>5.5</v>
      </c>
      <c r="O565" s="29" t="n">
        <v>2</v>
      </c>
      <c r="P565" s="29" t="inlineStr">
        <is>
          <t>B.E</t>
        </is>
      </c>
      <c r="Q565" s="29" t="inlineStr">
        <is>
          <t>Not in current mapping files</t>
        </is>
      </c>
      <c r="R565" s="29" t="inlineStr">
        <is>
          <t>A3</t>
        </is>
      </c>
      <c r="S565" s="30" t="inlineStr">
        <is>
          <t>20 of 20</t>
        </is>
      </c>
      <c r="T565" s="31" t="inlineStr">
        <is>
          <t>Complexity: Evidence reads like A2: Monitors DR site servers, checks availability, troubleshoots and resolves server incidents → moved down 0.5
Autonomy: Evidence reads like A2: Only independent item named is monitoring DR servers → moved down 0.5
Accountability: Evidence reads like A2: Own monitoring and timely resolution of DR server issues; DR readiness …</t>
        </is>
      </c>
      <c r="U565" s="32" t="inlineStr">
        <is>
          <t>KRAs not received · manager to supply</t>
        </is>
      </c>
      <c r="V565" s="31" t="inlineStr">
        <is>
          <t>Latest rating: Not rated · manager · 9-box: Not placed · manager · Readiness: No rating data</t>
        </is>
      </c>
      <c r="W565" s="31" t="inlineStr">
        <is>
          <t>C M · Au M · Ac M · L L · BI M · Exp H · 5.5 yrs vs 2–4 yrs · Edu M · B.E</t>
        </is>
      </c>
      <c r="X565" s="33" t="inlineStr">
        <is>
          <t>Open ▸</t>
        </is>
      </c>
      <c r="Y565" s="34" t="str">
        <f>IFERROR(INDEX(DL_C,MATCH($CA565,DL_KEY,0)),"M")</f>
        <v>H</v>
      </c>
      <c r="Z565" s="35" t="str">
        <f>IFERROR(INDEX(DL_Au,MATCH($CA565,DL_KEY,0)),"M")</f>
        <v>M</v>
      </c>
      <c r="AA565" s="35" t="str">
        <f>IFERROR(INDEX(DL_Ac,MATCH($CA565,DL_KEY,0)),"M")</f>
        <v>L</v>
      </c>
      <c r="AB565" s="35" t="str">
        <f>IFERROR(INDEX(DL_L,MATCH($CA565,DL_KEY,0)),"M")</f>
        <v>L</v>
      </c>
      <c r="AC565" s="35" t="str">
        <f>IFERROR(INDEX(DL_BI,MATCH($CA565,DL_KEY,0)),"M")</f>
        <v>L</v>
      </c>
      <c r="AD565" s="35" t="str">
        <f>IFERROR(INDEX(DL_Exp,MATCH($CA565,DL_KEY,0)),"M")</f>
        <v>L</v>
      </c>
      <c r="AE565" s="35" t="str">
        <f>IFERROR(INDEX(DL_Edu,MATCH($CA565,DL_KEY,0)),"M")</f>
        <v>L</v>
      </c>
      <c r="AF565" s="34" t="inlineStr">
        <is>
          <t>M</t>
        </is>
      </c>
      <c r="AG565" s="35" t="inlineStr">
        <is>
          <t>M</t>
        </is>
      </c>
      <c r="AH565" s="35" t="inlineStr">
        <is>
          <t>M</t>
        </is>
      </c>
      <c r="AI565" s="35" t="inlineStr">
        <is>
          <t>M</t>
        </is>
      </c>
      <c r="AJ565" s="35" t="inlineStr">
        <is>
          <t>M</t>
        </is>
      </c>
      <c r="AK565" s="35" t="inlineStr">
        <is>
          <t>M</t>
        </is>
      </c>
      <c r="AL565" s="35" t="inlineStr">
        <is>
          <t>M</t>
        </is>
      </c>
      <c r="AM565" s="36" t="n">
        <v>0.583</v>
      </c>
      <c r="AN565" s="37" t="n">
        <v>0.16</v>
      </c>
      <c r="AO565" s="37" t="n">
        <v>0.09</v>
      </c>
      <c r="AP565" s="37" t="n">
        <v>0</v>
      </c>
      <c r="AQ565" s="37" t="n">
        <v>0.063</v>
      </c>
      <c r="AR565" s="37" t="n">
        <v>0.06</v>
      </c>
      <c r="AS565" s="37" t="n">
        <v>0.04</v>
      </c>
      <c r="AT565" s="38" t="inlineStr">
        <is>
          <t>2–5</t>
        </is>
      </c>
      <c r="AU565" s="38" t="inlineStr">
        <is>
          <t>Graduate; relevant certification preferred</t>
        </is>
      </c>
      <c r="AV565" s="38" t="inlineStr">
        <is>
          <t>None · guides 1–3 juniors informally</t>
        </is>
      </c>
      <c r="AW565" s="38" t="inlineStr">
        <is>
          <t>P2 · SFIA 3 Apply</t>
        </is>
      </c>
      <c r="AX56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65" s="39" t="inlineStr">
        <is>
          <t>A3</t>
        </is>
      </c>
      <c r="AZ565" s="40" t="inlineStr">
        <is>
          <t>Band A · Practitioner · Senior Associate</t>
        </is>
      </c>
      <c r="BA565" s="40" t="inlineStr">
        <is>
          <t>Model A3 from the six ratings, the market-derived weights and rules R1–R13 · then No change · already below the manager</t>
        </is>
      </c>
      <c r="BB565" s="41" t="inlineStr">
        <is>
          <t>A3</t>
        </is>
      </c>
      <c r="BC565" s="40" t="inlineStr">
        <is>
          <t>The six ratings on the market-average weights of Band A · all tracks score 2.65 → A3 · Hay, Mercer IPE and public plans · experience 5.5 yrs vs the A3 market range 2–5</t>
        </is>
      </c>
      <c r="BD565" s="42">
        <f>IF(SUM(BM565,BN565,BO565,BP565,BQ565,BR565,BS565)=0,0,(BM565*BT565+BN565*BU565+BO565*BV565+BP565*BW565+BQ565*BX565+BR565*BY565+BS565*BZ565)/SUM(BM565,BN565,BO565,BP565,BQ565,BR565,BS565))</f>
        <v>0</v>
      </c>
      <c r="BE565" s="41" t="str">
        <f>IF(LEFT(AY565,1)="X",AY565,IF(OR(AY565="B+",AY565="C+"),INDEX(LAD_PC,MAX(1,MIN(14,MATCH(AY565,LAD_PC,0)+IF(BD565&gt;=0.5,1,IF(BD565&lt;=-0.5,-1,0))))),INDEX(LAD_STD,MAX(1,MIN(12,MATCH(AY565,LAD_STD,0)+IF(BD565&gt;=0.5,1,IF(BD565&lt;=-0.5,-1,0)))))))</f>
        <v>A3</v>
      </c>
      <c r="BF565" s="43" t="n"/>
      <c r="BG565" s="41" t="str">
        <f>IF(BF565&lt;&gt;"",BF565,BE565)</f>
        <v>A3</v>
      </c>
      <c r="BH565" s="40" t="str">
        <f>IFERROR(CHOOSE(INDEX(B_RANK,MATCH(BG565,B_LVL,0)),"Band A","Band B","B+ · Player-Coach","Band C","C+ · Player-Coach","Band D","Band E"),"Band X · Consultant")</f>
        <v>Band A</v>
      </c>
      <c r="BI565" s="40" t="str">
        <f>IF(BG565=AY565,"• Same",IF(INDEX(B_VAL,MATCH(BG565,B_LVL,0))&gt;INDEX(B_VAL,MATCH(AY565,B_LVL,0)),"▲ Up","▼ Down"))</f>
        <v>• Same</v>
      </c>
      <c r="BJ565" s="40" t="str">
        <f>IF(OR($M565="",$M565="—",$M565="Not in this file"),"",IFERROR(INDEX($BG$7:$BG$592,MATCH($M565,$D$7:$D$592,0)),""))</f>
        <v>B1</v>
      </c>
      <c r="BK565" s="40" t="str">
        <f>IFERROR(IF(BJ565="","—",IF(OR(LEFT(BG565,1)="X",LEFT(BJ565,1)="X"),"—",IF(AND(LEFT(BG565,1)="E",LEFT(BJ565,1)="E"),"Exception · Band E",IF(AND(INDEX(B_VAL,MATCH(BJ565,B_LVL,0))&gt;=7,INDEX(B_RANK,MATCH(BG565,B_LVL,0))&gt;=INDEX(B_RANK,MATCH(BJ565,B_LVL,0))),"⚠ Same band as a head manager",IF(INDEX(B_VAL,MATCH(BG565,B_LVL,0))&gt;=INDEX(B_VAL,MATCH(BJ565,B_LVL,0)),"⚠ At or above the manager's level","OK"))))),"—")</f>
        <v>OK</v>
      </c>
      <c r="BL565" s="43" t="n"/>
      <c r="BM565" s="44">
        <f>IFERROR(INDEX(LMH_PTS,MATCH(Y565,LMH_KEY,0)),0)</f>
        <v>9</v>
      </c>
      <c r="BN565" s="38">
        <f>IFERROR(INDEX(LMH_PTS,MATCH(Z565,LMH_KEY,0)),0)</f>
        <v>3</v>
      </c>
      <c r="BO565" s="38">
        <f>IFERROR(INDEX(LMH_PTS,MATCH(AA565,LMH_KEY,0)),0)</f>
        <v>1</v>
      </c>
      <c r="BP565" s="38">
        <f>IFERROR(INDEX(LMH_PTS,MATCH(AB565,LMH_KEY,0)),0)</f>
        <v>1</v>
      </c>
      <c r="BQ565" s="38">
        <f>IFERROR(INDEX(LMH_PTS,MATCH(AC565,LMH_KEY,0)),0)</f>
        <v>1</v>
      </c>
      <c r="BR565" s="38">
        <f>IFERROR(INDEX(LMH_PTS,MATCH(AD565,LMH_KEY,0)),0)</f>
        <v>1</v>
      </c>
      <c r="BS565" s="38">
        <f>IFERROR(INDEX(LMH_PTS,MATCH(AE565,LMH_KEY,0)),0)</f>
        <v>1</v>
      </c>
      <c r="BT565" s="38">
        <f>IFERROR(INDEX(LMH_STEP,MATCH(AF565,LMH_KEY,0)),0)</f>
        <v>0</v>
      </c>
      <c r="BU565" s="38">
        <f>IFERROR(INDEX(LMH_STEP,MATCH(AG565,LMH_KEY,0)),0)</f>
        <v>0</v>
      </c>
      <c r="BV565" s="38">
        <f>IFERROR(INDEX(LMH_STEP,MATCH(AH565,LMH_KEY,0)),0)</f>
        <v>0</v>
      </c>
      <c r="BW565" s="38">
        <f>IFERROR(INDEX(LMH_STEP,MATCH(AI565,LMH_KEY,0)),0)</f>
        <v>0</v>
      </c>
      <c r="BX565" s="38">
        <f>IFERROR(INDEX(LMH_STEP,MATCH(AJ565,LMH_KEY,0)),0)</f>
        <v>0</v>
      </c>
      <c r="BY565" s="38">
        <f>IFERROR(INDEX(LMH_STEP,MATCH(AK565,LMH_KEY,0)),0)</f>
        <v>0</v>
      </c>
      <c r="BZ565" s="38">
        <f>IFERROR(INDEX(LMH_STEP,MATCH(AL565,LMH_KEY,0)),0)</f>
        <v>0</v>
      </c>
      <c r="CA565" s="38" t="inlineStr">
        <is>
          <t>Corporate|IT &amp; Infrastructure|Senior System Administrator|A3|A</t>
        </is>
      </c>
    </row>
    <row r="566" ht="110" customHeight="1">
      <c r="A566" s="28" t="inlineStr">
        <is>
          <t>Corporate</t>
        </is>
      </c>
      <c r="B566" s="29" t="inlineStr">
        <is>
          <t>IT &amp; Infrastructure</t>
        </is>
      </c>
      <c r="C566" s="29" t="n">
        <v>3</v>
      </c>
      <c r="D566" s="29" t="inlineStr">
        <is>
          <t>IRIS2206</t>
        </is>
      </c>
      <c r="E566" s="29" t="inlineStr">
        <is>
          <t>Hemant Chordekar</t>
        </is>
      </c>
      <c r="F566" s="29" t="inlineStr">
        <is>
          <t>System Administrator</t>
        </is>
      </c>
      <c r="G566" s="29" t="inlineStr">
        <is>
          <t>Infrastructure Specialist</t>
        </is>
      </c>
      <c r="H566" s="29" t="inlineStr">
        <is>
          <t>IT &amp; Infrastructure</t>
        </is>
      </c>
      <c r="I566" s="29" t="inlineStr">
        <is>
          <t>Infrastructure &amp; Cloud Operations</t>
        </is>
      </c>
      <c r="J566" s="29" t="inlineStr">
        <is>
          <t>IC</t>
        </is>
      </c>
      <c r="K566" s="29" t="inlineStr">
        <is>
          <t>RC-108</t>
        </is>
      </c>
      <c r="L566" s="29" t="inlineStr">
        <is>
          <t>Vikas Mithbawkar</t>
        </is>
      </c>
      <c r="M566" s="29" t="inlineStr">
        <is>
          <t>IRIS0038</t>
        </is>
      </c>
      <c r="N566" s="29" t="n">
        <v>20.7</v>
      </c>
      <c r="O566" s="29" t="n">
        <v>2.9</v>
      </c>
      <c r="P566" s="29" t="inlineStr">
        <is>
          <t>Undergraduate</t>
        </is>
      </c>
      <c r="Q566" s="29" t="inlineStr">
        <is>
          <t>Not in current mapping files</t>
        </is>
      </c>
      <c r="R566" s="29" t="inlineStr">
        <is>
          <t>A3</t>
        </is>
      </c>
      <c r="S566" s="30" t="inlineStr">
        <is>
          <t>0 of 20</t>
        </is>
      </c>
      <c r="T566" s="31" t="inlineStr">
        <is>
          <t>Business Impact: No survey or manager-mapping signal on criticality: kept at the start point.</t>
        </is>
      </c>
      <c r="U566" s="32" t="inlineStr">
        <is>
          <t>KRAs not received · manager to supply</t>
        </is>
      </c>
      <c r="V566" s="31" t="inlineStr">
        <is>
          <t>Latest rating: Not rated · manager · 9-box: Not placed · manager · Readiness: No rating data</t>
        </is>
      </c>
      <c r="W566" s="31" t="inlineStr">
        <is>
          <t>C M · Au M · Ac M · L L · BI M · Exp H · 20.7 yrs vs 2–4 yrs · Edu L · Undergraduate</t>
        </is>
      </c>
      <c r="X566" s="33" t="inlineStr">
        <is>
          <t>Open ▸</t>
        </is>
      </c>
      <c r="Y566" s="34" t="str">
        <f>IFERROR(INDEX(DL_C,MATCH($CA566,DL_KEY,0)),"M")</f>
        <v>H</v>
      </c>
      <c r="Z566" s="35" t="str">
        <f>IFERROR(INDEX(DL_Au,MATCH($CA566,DL_KEY,0)),"M")</f>
        <v>M</v>
      </c>
      <c r="AA566" s="35" t="str">
        <f>IFERROR(INDEX(DL_Ac,MATCH($CA566,DL_KEY,0)),"M")</f>
        <v>L</v>
      </c>
      <c r="AB566" s="35" t="str">
        <f>IFERROR(INDEX(DL_L,MATCH($CA566,DL_KEY,0)),"M")</f>
        <v>L</v>
      </c>
      <c r="AC566" s="35" t="str">
        <f>IFERROR(INDEX(DL_BI,MATCH($CA566,DL_KEY,0)),"M")</f>
        <v>L</v>
      </c>
      <c r="AD566" s="35" t="str">
        <f>IFERROR(INDEX(DL_Exp,MATCH($CA566,DL_KEY,0)),"M")</f>
        <v>L</v>
      </c>
      <c r="AE566" s="35" t="str">
        <f>IFERROR(INDEX(DL_Edu,MATCH($CA566,DL_KEY,0)),"M")</f>
        <v>L</v>
      </c>
      <c r="AF566" s="34" t="inlineStr">
        <is>
          <t>M</t>
        </is>
      </c>
      <c r="AG566" s="35" t="inlineStr">
        <is>
          <t>M</t>
        </is>
      </c>
      <c r="AH566" s="35" t="inlineStr">
        <is>
          <t>M</t>
        </is>
      </c>
      <c r="AI566" s="35" t="inlineStr">
        <is>
          <t>M</t>
        </is>
      </c>
      <c r="AJ566" s="35" t="inlineStr">
        <is>
          <t>M</t>
        </is>
      </c>
      <c r="AK566" s="35" t="inlineStr">
        <is>
          <t>M</t>
        </is>
      </c>
      <c r="AL566" s="35" t="inlineStr">
        <is>
          <t>M</t>
        </is>
      </c>
      <c r="AM566" s="36" t="n">
        <v>0.583</v>
      </c>
      <c r="AN566" s="37" t="n">
        <v>0.16</v>
      </c>
      <c r="AO566" s="37" t="n">
        <v>0.09</v>
      </c>
      <c r="AP566" s="37" t="n">
        <v>0</v>
      </c>
      <c r="AQ566" s="37" t="n">
        <v>0.063</v>
      </c>
      <c r="AR566" s="37" t="n">
        <v>0.06</v>
      </c>
      <c r="AS566" s="37" t="n">
        <v>0.04</v>
      </c>
      <c r="AT566" s="38" t="inlineStr">
        <is>
          <t>2–5</t>
        </is>
      </c>
      <c r="AU566" s="38" t="inlineStr">
        <is>
          <t>Graduate; relevant certification preferred</t>
        </is>
      </c>
      <c r="AV566" s="38" t="inlineStr">
        <is>
          <t>None · guides 1–3 juniors informally</t>
        </is>
      </c>
      <c r="AW566" s="38" t="inlineStr">
        <is>
          <t>P2 · SFIA 3 Apply</t>
        </is>
      </c>
      <c r="AX56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66" s="39" t="inlineStr">
        <is>
          <t>A3</t>
        </is>
      </c>
      <c r="AZ566" s="40" t="inlineStr">
        <is>
          <t>Band A · Practitioner · Senior Associate</t>
        </is>
      </c>
      <c r="BA566" s="40" t="inlineStr">
        <is>
          <t>Model A3 from the six ratings, the market-derived weights and rules R1–R13 · then No change · already below the manager</t>
        </is>
      </c>
      <c r="BB566" s="41" t="inlineStr">
        <is>
          <t>B1</t>
        </is>
      </c>
      <c r="BC566" s="40" t="inlineStr">
        <is>
          <t>The six ratings on the market-average weights of Band A · all tracks score 3.57 → B1 · Hay, Mercer IPE and public plans · experience 20.7 yrs vs the B1 market range 4–8</t>
        </is>
      </c>
      <c r="BD566" s="42">
        <f>IF(SUM(BM566,BN566,BO566,BP566,BQ566,BR566,BS566)=0,0,(BM566*BT566+BN566*BU566+BO566*BV566+BP566*BW566+BQ566*BX566+BR566*BY566+BS566*BZ566)/SUM(BM566,BN566,BO566,BP566,BQ566,BR566,BS566))</f>
        <v>0</v>
      </c>
      <c r="BE566" s="41" t="str">
        <f>IF(LEFT(AY566,1)="X",AY566,IF(OR(AY566="B+",AY566="C+"),INDEX(LAD_PC,MAX(1,MIN(14,MATCH(AY566,LAD_PC,0)+IF(BD566&gt;=0.5,1,IF(BD566&lt;=-0.5,-1,0))))),INDEX(LAD_STD,MAX(1,MIN(12,MATCH(AY566,LAD_STD,0)+IF(BD566&gt;=0.5,1,IF(BD566&lt;=-0.5,-1,0)))))))</f>
        <v>A3</v>
      </c>
      <c r="BF566" s="43" t="n"/>
      <c r="BG566" s="41" t="str">
        <f>IF(BF566&lt;&gt;"",BF566,BE566)</f>
        <v>A3</v>
      </c>
      <c r="BH566" s="40" t="str">
        <f>IFERROR(CHOOSE(INDEX(B_RANK,MATCH(BG566,B_LVL,0)),"Band A","Band B","B+ · Player-Coach","Band C","C+ · Player-Coach","Band D","Band E"),"Band X · Consultant")</f>
        <v>Band A</v>
      </c>
      <c r="BI566" s="40" t="str">
        <f>IF(BG566=AY566,"• Same",IF(INDEX(B_VAL,MATCH(BG566,B_LVL,0))&gt;INDEX(B_VAL,MATCH(AY566,B_LVL,0)),"▲ Up","▼ Down"))</f>
        <v>• Same</v>
      </c>
      <c r="BJ566" s="40" t="str">
        <f>IF(OR($M566="",$M566="—",$M566="Not in this file"),"",IFERROR(INDEX($BG$7:$BG$592,MATCH($M566,$D$7:$D$592,0)),""))</f>
        <v>B1</v>
      </c>
      <c r="BK566" s="40" t="str">
        <f>IFERROR(IF(BJ566="","—",IF(OR(LEFT(BG566,1)="X",LEFT(BJ566,1)="X"),"—",IF(AND(LEFT(BG566,1)="E",LEFT(BJ566,1)="E"),"Exception · Band E",IF(AND(INDEX(B_VAL,MATCH(BJ566,B_LVL,0))&gt;=7,INDEX(B_RANK,MATCH(BG566,B_LVL,0))&gt;=INDEX(B_RANK,MATCH(BJ566,B_LVL,0))),"⚠ Same band as a head manager",IF(INDEX(B_VAL,MATCH(BG566,B_LVL,0))&gt;=INDEX(B_VAL,MATCH(BJ566,B_LVL,0)),"⚠ At or above the manager's level","OK"))))),"—")</f>
        <v>OK</v>
      </c>
      <c r="BL566" s="43" t="n"/>
      <c r="BM566" s="44">
        <f>IFERROR(INDEX(LMH_PTS,MATCH(Y566,LMH_KEY,0)),0)</f>
        <v>9</v>
      </c>
      <c r="BN566" s="38">
        <f>IFERROR(INDEX(LMH_PTS,MATCH(Z566,LMH_KEY,0)),0)</f>
        <v>3</v>
      </c>
      <c r="BO566" s="38">
        <f>IFERROR(INDEX(LMH_PTS,MATCH(AA566,LMH_KEY,0)),0)</f>
        <v>1</v>
      </c>
      <c r="BP566" s="38">
        <f>IFERROR(INDEX(LMH_PTS,MATCH(AB566,LMH_KEY,0)),0)</f>
        <v>1</v>
      </c>
      <c r="BQ566" s="38">
        <f>IFERROR(INDEX(LMH_PTS,MATCH(AC566,LMH_KEY,0)),0)</f>
        <v>1</v>
      </c>
      <c r="BR566" s="38">
        <f>IFERROR(INDEX(LMH_PTS,MATCH(AD566,LMH_KEY,0)),0)</f>
        <v>1</v>
      </c>
      <c r="BS566" s="38">
        <f>IFERROR(INDEX(LMH_PTS,MATCH(AE566,LMH_KEY,0)),0)</f>
        <v>1</v>
      </c>
      <c r="BT566" s="38">
        <f>IFERROR(INDEX(LMH_STEP,MATCH(AF566,LMH_KEY,0)),0)</f>
        <v>0</v>
      </c>
      <c r="BU566" s="38">
        <f>IFERROR(INDEX(LMH_STEP,MATCH(AG566,LMH_KEY,0)),0)</f>
        <v>0</v>
      </c>
      <c r="BV566" s="38">
        <f>IFERROR(INDEX(LMH_STEP,MATCH(AH566,LMH_KEY,0)),0)</f>
        <v>0</v>
      </c>
      <c r="BW566" s="38">
        <f>IFERROR(INDEX(LMH_STEP,MATCH(AI566,LMH_KEY,0)),0)</f>
        <v>0</v>
      </c>
      <c r="BX566" s="38">
        <f>IFERROR(INDEX(LMH_STEP,MATCH(AJ566,LMH_KEY,0)),0)</f>
        <v>0</v>
      </c>
      <c r="BY566" s="38">
        <f>IFERROR(INDEX(LMH_STEP,MATCH(AK566,LMH_KEY,0)),0)</f>
        <v>0</v>
      </c>
      <c r="BZ566" s="38">
        <f>IFERROR(INDEX(LMH_STEP,MATCH(AL566,LMH_KEY,0)),0)</f>
        <v>0</v>
      </c>
      <c r="CA566" s="38" t="inlineStr">
        <is>
          <t>Corporate|IT &amp; Infrastructure|Infrastructure Specialist|A3|A</t>
        </is>
      </c>
    </row>
    <row r="567" ht="110" customHeight="1">
      <c r="A567" s="28" t="inlineStr">
        <is>
          <t>Corporate</t>
        </is>
      </c>
      <c r="B567" s="29" t="inlineStr">
        <is>
          <t>IT &amp; Infrastructure</t>
        </is>
      </c>
      <c r="C567" s="29" t="n">
        <v>3</v>
      </c>
      <c r="D567" s="29" t="inlineStr">
        <is>
          <t>IRISC298</t>
        </is>
      </c>
      <c r="E567" s="29" t="inlineStr">
        <is>
          <t>Ketan Balbhadra Yadav</t>
        </is>
      </c>
      <c r="F567" s="29" t="inlineStr">
        <is>
          <t>Consultant</t>
        </is>
      </c>
      <c r="G567" s="29" t="inlineStr">
        <is>
          <t>Senior System Administrator</t>
        </is>
      </c>
      <c r="H567" s="29" t="inlineStr">
        <is>
          <t>IT &amp; Infrastructure</t>
        </is>
      </c>
      <c r="I567" s="29" t="inlineStr">
        <is>
          <t>Infrastructure &amp; Cloud Operations</t>
        </is>
      </c>
      <c r="J567" s="29" t="inlineStr">
        <is>
          <t>IC</t>
        </is>
      </c>
      <c r="K567" s="29" t="inlineStr">
        <is>
          <t>RC-108</t>
        </is>
      </c>
      <c r="L567" s="29" t="inlineStr">
        <is>
          <t>Vikas Mithbawkar</t>
        </is>
      </c>
      <c r="M567" s="29" t="inlineStr">
        <is>
          <t>IRIS0038</t>
        </is>
      </c>
      <c r="N567" s="29" t="n">
        <v>3.4</v>
      </c>
      <c r="O567" s="29" t="n">
        <v>1.9</v>
      </c>
      <c r="P567" s="29" t="inlineStr">
        <is>
          <t>B.SC</t>
        </is>
      </c>
      <c r="Q567" s="29" t="inlineStr">
        <is>
          <t>Not in current mapping files</t>
        </is>
      </c>
      <c r="R567" s="29" t="inlineStr">
        <is>
          <t>A3</t>
        </is>
      </c>
      <c r="S567" s="30" t="inlineStr">
        <is>
          <t>20 of 20</t>
        </is>
      </c>
      <c r="T567" s="31"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t>
        </is>
      </c>
      <c r="U567" s="32" t="inlineStr">
        <is>
          <t>KRAs not received · manager to supply</t>
        </is>
      </c>
      <c r="V567" s="31" t="inlineStr">
        <is>
          <t>Latest rating: Not rated · manager · 9-box: Not placed · manager · Readiness: No rating data</t>
        </is>
      </c>
      <c r="W567" s="31" t="inlineStr">
        <is>
          <t>C L · Au L · Ac L · L L · BI L · Exp M · 3.4 yrs vs 2–4 yrs · Edu M · B.SC</t>
        </is>
      </c>
      <c r="X567" s="33" t="inlineStr">
        <is>
          <t>Open ▸</t>
        </is>
      </c>
      <c r="Y567" s="34" t="str">
        <f>IFERROR(INDEX(DL_C,MATCH($CA567,DL_KEY,0)),"M")</f>
        <v>H</v>
      </c>
      <c r="Z567" s="35" t="str">
        <f>IFERROR(INDEX(DL_Au,MATCH($CA567,DL_KEY,0)),"M")</f>
        <v>M</v>
      </c>
      <c r="AA567" s="35" t="str">
        <f>IFERROR(INDEX(DL_Ac,MATCH($CA567,DL_KEY,0)),"M")</f>
        <v>L</v>
      </c>
      <c r="AB567" s="35" t="str">
        <f>IFERROR(INDEX(DL_L,MATCH($CA567,DL_KEY,0)),"M")</f>
        <v>L</v>
      </c>
      <c r="AC567" s="35" t="str">
        <f>IFERROR(INDEX(DL_BI,MATCH($CA567,DL_KEY,0)),"M")</f>
        <v>L</v>
      </c>
      <c r="AD567" s="35" t="str">
        <f>IFERROR(INDEX(DL_Exp,MATCH($CA567,DL_KEY,0)),"M")</f>
        <v>L</v>
      </c>
      <c r="AE567" s="35" t="str">
        <f>IFERROR(INDEX(DL_Edu,MATCH($CA567,DL_KEY,0)),"M")</f>
        <v>L</v>
      </c>
      <c r="AF567" s="34" t="inlineStr">
        <is>
          <t>M</t>
        </is>
      </c>
      <c r="AG567" s="35" t="inlineStr">
        <is>
          <t>M</t>
        </is>
      </c>
      <c r="AH567" s="35" t="inlineStr">
        <is>
          <t>M</t>
        </is>
      </c>
      <c r="AI567" s="35" t="inlineStr">
        <is>
          <t>M</t>
        </is>
      </c>
      <c r="AJ567" s="35" t="inlineStr">
        <is>
          <t>M</t>
        </is>
      </c>
      <c r="AK567" s="35" t="inlineStr">
        <is>
          <t>M</t>
        </is>
      </c>
      <c r="AL567" s="35" t="inlineStr">
        <is>
          <t>M</t>
        </is>
      </c>
      <c r="AM567" s="36" t="n">
        <v>0.583</v>
      </c>
      <c r="AN567" s="37" t="n">
        <v>0.16</v>
      </c>
      <c r="AO567" s="37" t="n">
        <v>0.09</v>
      </c>
      <c r="AP567" s="37" t="n">
        <v>0</v>
      </c>
      <c r="AQ567" s="37" t="n">
        <v>0.063</v>
      </c>
      <c r="AR567" s="37" t="n">
        <v>0.06</v>
      </c>
      <c r="AS567" s="37" t="n">
        <v>0.04</v>
      </c>
      <c r="AT567" s="38" t="inlineStr">
        <is>
          <t>2–5</t>
        </is>
      </c>
      <c r="AU567" s="38" t="inlineStr">
        <is>
          <t>Graduate; relevant certification preferred</t>
        </is>
      </c>
      <c r="AV567" s="38" t="inlineStr">
        <is>
          <t>None · guides 1–3 juniors informally</t>
        </is>
      </c>
      <c r="AW567" s="38" t="inlineStr">
        <is>
          <t>P2 · SFIA 3 Apply</t>
        </is>
      </c>
      <c r="AX56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67" s="39" t="inlineStr">
        <is>
          <t>A3</t>
        </is>
      </c>
      <c r="AZ567" s="40" t="inlineStr">
        <is>
          <t>Band A · Practitioner · Senior Associate</t>
        </is>
      </c>
      <c r="BA567" s="40" t="inlineStr">
        <is>
          <t>Model A3 from the six ratings, the market-derived weights and rules R1–R13 · then No change · already below the manager</t>
        </is>
      </c>
      <c r="BB567" s="41" t="inlineStr">
        <is>
          <t>A2</t>
        </is>
      </c>
      <c r="BC567" s="40" t="inlineStr">
        <is>
          <t>The six ratings on the market-average weights of Band A · all tracks score 2.10 → A2 · Hay, Mercer IPE and public plans · experience 3.4 yrs vs the A2 market range 0–3</t>
        </is>
      </c>
      <c r="BD567" s="42">
        <f>IF(SUM(BM567,BN567,BO567,BP567,BQ567,BR567,BS567)=0,0,(BM567*BT567+BN567*BU567+BO567*BV567+BP567*BW567+BQ567*BX567+BR567*BY567+BS567*BZ567)/SUM(BM567,BN567,BO567,BP567,BQ567,BR567,BS567))</f>
        <v>0</v>
      </c>
      <c r="BE567" s="41" t="str">
        <f>IF(LEFT(AY567,1)="X",AY567,IF(OR(AY567="B+",AY567="C+"),INDEX(LAD_PC,MAX(1,MIN(14,MATCH(AY567,LAD_PC,0)+IF(BD567&gt;=0.5,1,IF(BD567&lt;=-0.5,-1,0))))),INDEX(LAD_STD,MAX(1,MIN(12,MATCH(AY567,LAD_STD,0)+IF(BD567&gt;=0.5,1,IF(BD567&lt;=-0.5,-1,0)))))))</f>
        <v>A3</v>
      </c>
      <c r="BF567" s="43" t="n"/>
      <c r="BG567" s="41" t="str">
        <f>IF(BF567&lt;&gt;"",BF567,BE567)</f>
        <v>A3</v>
      </c>
      <c r="BH567" s="40" t="str">
        <f>IFERROR(CHOOSE(INDEX(B_RANK,MATCH(BG567,B_LVL,0)),"Band A","Band B","B+ · Player-Coach","Band C","C+ · Player-Coach","Band D","Band E"),"Band X · Consultant")</f>
        <v>Band A</v>
      </c>
      <c r="BI567" s="40" t="str">
        <f>IF(BG567=AY567,"• Same",IF(INDEX(B_VAL,MATCH(BG567,B_LVL,0))&gt;INDEX(B_VAL,MATCH(AY567,B_LVL,0)),"▲ Up","▼ Down"))</f>
        <v>• Same</v>
      </c>
      <c r="BJ567" s="40" t="str">
        <f>IF(OR($M567="",$M567="—",$M567="Not in this file"),"",IFERROR(INDEX($BG$7:$BG$592,MATCH($M567,$D$7:$D$592,0)),""))</f>
        <v>B1</v>
      </c>
      <c r="BK567" s="40" t="str">
        <f>IFERROR(IF(BJ567="","—",IF(OR(LEFT(BG567,1)="X",LEFT(BJ567,1)="X"),"—",IF(AND(LEFT(BG567,1)="E",LEFT(BJ567,1)="E"),"Exception · Band E",IF(AND(INDEX(B_VAL,MATCH(BJ567,B_LVL,0))&gt;=7,INDEX(B_RANK,MATCH(BG567,B_LVL,0))&gt;=INDEX(B_RANK,MATCH(BJ567,B_LVL,0))),"⚠ Same band as a head manager",IF(INDEX(B_VAL,MATCH(BG567,B_LVL,0))&gt;=INDEX(B_VAL,MATCH(BJ567,B_LVL,0)),"⚠ At or above the manager's level","OK"))))),"—")</f>
        <v>OK</v>
      </c>
      <c r="BL567" s="43" t="n"/>
      <c r="BM567" s="44">
        <f>IFERROR(INDEX(LMH_PTS,MATCH(Y567,LMH_KEY,0)),0)</f>
        <v>9</v>
      </c>
      <c r="BN567" s="38">
        <f>IFERROR(INDEX(LMH_PTS,MATCH(Z567,LMH_KEY,0)),0)</f>
        <v>3</v>
      </c>
      <c r="BO567" s="38">
        <f>IFERROR(INDEX(LMH_PTS,MATCH(AA567,LMH_KEY,0)),0)</f>
        <v>1</v>
      </c>
      <c r="BP567" s="38">
        <f>IFERROR(INDEX(LMH_PTS,MATCH(AB567,LMH_KEY,0)),0)</f>
        <v>1</v>
      </c>
      <c r="BQ567" s="38">
        <f>IFERROR(INDEX(LMH_PTS,MATCH(AC567,LMH_KEY,0)),0)</f>
        <v>1</v>
      </c>
      <c r="BR567" s="38">
        <f>IFERROR(INDEX(LMH_PTS,MATCH(AD567,LMH_KEY,0)),0)</f>
        <v>1</v>
      </c>
      <c r="BS567" s="38">
        <f>IFERROR(INDEX(LMH_PTS,MATCH(AE567,LMH_KEY,0)),0)</f>
        <v>1</v>
      </c>
      <c r="BT567" s="38">
        <f>IFERROR(INDEX(LMH_STEP,MATCH(AF567,LMH_KEY,0)),0)</f>
        <v>0</v>
      </c>
      <c r="BU567" s="38">
        <f>IFERROR(INDEX(LMH_STEP,MATCH(AG567,LMH_KEY,0)),0)</f>
        <v>0</v>
      </c>
      <c r="BV567" s="38">
        <f>IFERROR(INDEX(LMH_STEP,MATCH(AH567,LMH_KEY,0)),0)</f>
        <v>0</v>
      </c>
      <c r="BW567" s="38">
        <f>IFERROR(INDEX(LMH_STEP,MATCH(AI567,LMH_KEY,0)),0)</f>
        <v>0</v>
      </c>
      <c r="BX567" s="38">
        <f>IFERROR(INDEX(LMH_STEP,MATCH(AJ567,LMH_KEY,0)),0)</f>
        <v>0</v>
      </c>
      <c r="BY567" s="38">
        <f>IFERROR(INDEX(LMH_STEP,MATCH(AK567,LMH_KEY,0)),0)</f>
        <v>0</v>
      </c>
      <c r="BZ567" s="38">
        <f>IFERROR(INDEX(LMH_STEP,MATCH(AL567,LMH_KEY,0)),0)</f>
        <v>0</v>
      </c>
      <c r="CA567" s="38" t="inlineStr">
        <is>
          <t>Corporate|IT &amp; Infrastructure|Senior System Administrator|A3|A</t>
        </is>
      </c>
    </row>
    <row r="568" ht="110" customHeight="1">
      <c r="A568" s="28" t="inlineStr">
        <is>
          <t>Corporate</t>
        </is>
      </c>
      <c r="B568" s="29" t="inlineStr">
        <is>
          <t>IT &amp; Infrastructure</t>
        </is>
      </c>
      <c r="C568" s="29" t="n">
        <v>3</v>
      </c>
      <c r="D568" s="29" t="inlineStr">
        <is>
          <t>IRIS1998</t>
        </is>
      </c>
      <c r="E568" s="29" t="inlineStr">
        <is>
          <t>Nimit Sadafal</t>
        </is>
      </c>
      <c r="F568" s="29" t="inlineStr">
        <is>
          <t>System Administrator</t>
        </is>
      </c>
      <c r="G568" s="29" t="inlineStr">
        <is>
          <t>Senior System Administrator</t>
        </is>
      </c>
      <c r="H568" s="29" t="inlineStr">
        <is>
          <t>IT &amp; Infrastructure</t>
        </is>
      </c>
      <c r="I568" s="29" t="inlineStr">
        <is>
          <t>Infrastructure &amp; Cloud Operations</t>
        </is>
      </c>
      <c r="J568" s="29" t="inlineStr">
        <is>
          <t>IC</t>
        </is>
      </c>
      <c r="K568" s="29" t="inlineStr">
        <is>
          <t>RC-108</t>
        </is>
      </c>
      <c r="L568" s="29" t="inlineStr">
        <is>
          <t>Vikas Mithbawkar</t>
        </is>
      </c>
      <c r="M568" s="29" t="inlineStr">
        <is>
          <t>IRIS0038</t>
        </is>
      </c>
      <c r="N568" s="29" t="n">
        <v>13.6</v>
      </c>
      <c r="O568" s="29" t="n">
        <v>4.6</v>
      </c>
      <c r="P568" s="29" t="inlineStr">
        <is>
          <t>B.E</t>
        </is>
      </c>
      <c r="Q568" s="29" t="inlineStr">
        <is>
          <t>Not in current mapping files</t>
        </is>
      </c>
      <c r="R568" s="29" t="inlineStr">
        <is>
          <t>A3</t>
        </is>
      </c>
      <c r="S568" s="30" t="inlineStr">
        <is>
          <t>20 of 20</t>
        </is>
      </c>
      <c r="T568" s="31" t="inlineStr">
        <is>
          <t>Complexity: Evidence reads like A2: Maintains DNS records, raises CRFs for port/URL access and SMAX tickets, monitors server utilisation → moved down 0.5
Autonomy: Evidence reads like A2: Raises DNS change requests and tickets, answers DIT queries; changes go through CRF process → moved down 0.5
Accountability: Evidence reads like A3: RBI website …</t>
        </is>
      </c>
      <c r="U568" s="32" t="inlineStr">
        <is>
          <t>KRAs not received · manager to supply</t>
        </is>
      </c>
      <c r="V568" s="31" t="inlineStr">
        <is>
          <t>Latest rating: Not rated · manager · 9-box: Not placed · manager · Readiness: No rating data</t>
        </is>
      </c>
      <c r="W568" s="31" t="inlineStr">
        <is>
          <t>C M · Au M · Ac M · L L · BI M · Exp H · 13.6 yrs vs 2–4 yrs · Edu M · B.E</t>
        </is>
      </c>
      <c r="X568" s="33" t="inlineStr">
        <is>
          <t>Open ▸</t>
        </is>
      </c>
      <c r="Y568" s="34" t="str">
        <f>IFERROR(INDEX(DL_C,MATCH($CA568,DL_KEY,0)),"M")</f>
        <v>H</v>
      </c>
      <c r="Z568" s="35" t="str">
        <f>IFERROR(INDEX(DL_Au,MATCH($CA568,DL_KEY,0)),"M")</f>
        <v>M</v>
      </c>
      <c r="AA568" s="35" t="str">
        <f>IFERROR(INDEX(DL_Ac,MATCH($CA568,DL_KEY,0)),"M")</f>
        <v>L</v>
      </c>
      <c r="AB568" s="35" t="str">
        <f>IFERROR(INDEX(DL_L,MATCH($CA568,DL_KEY,0)),"M")</f>
        <v>L</v>
      </c>
      <c r="AC568" s="35" t="str">
        <f>IFERROR(INDEX(DL_BI,MATCH($CA568,DL_KEY,0)),"M")</f>
        <v>L</v>
      </c>
      <c r="AD568" s="35" t="str">
        <f>IFERROR(INDEX(DL_Exp,MATCH($CA568,DL_KEY,0)),"M")</f>
        <v>L</v>
      </c>
      <c r="AE568" s="35" t="str">
        <f>IFERROR(INDEX(DL_Edu,MATCH($CA568,DL_KEY,0)),"M")</f>
        <v>L</v>
      </c>
      <c r="AF568" s="34" t="inlineStr">
        <is>
          <t>M</t>
        </is>
      </c>
      <c r="AG568" s="35" t="inlineStr">
        <is>
          <t>M</t>
        </is>
      </c>
      <c r="AH568" s="35" t="inlineStr">
        <is>
          <t>M</t>
        </is>
      </c>
      <c r="AI568" s="35" t="inlineStr">
        <is>
          <t>M</t>
        </is>
      </c>
      <c r="AJ568" s="35" t="inlineStr">
        <is>
          <t>M</t>
        </is>
      </c>
      <c r="AK568" s="35" t="inlineStr">
        <is>
          <t>M</t>
        </is>
      </c>
      <c r="AL568" s="35" t="inlineStr">
        <is>
          <t>M</t>
        </is>
      </c>
      <c r="AM568" s="36" t="n">
        <v>0.583</v>
      </c>
      <c r="AN568" s="37" t="n">
        <v>0.16</v>
      </c>
      <c r="AO568" s="37" t="n">
        <v>0.09</v>
      </c>
      <c r="AP568" s="37" t="n">
        <v>0</v>
      </c>
      <c r="AQ568" s="37" t="n">
        <v>0.063</v>
      </c>
      <c r="AR568" s="37" t="n">
        <v>0.06</v>
      </c>
      <c r="AS568" s="37" t="n">
        <v>0.04</v>
      </c>
      <c r="AT568" s="38" t="inlineStr">
        <is>
          <t>2–5</t>
        </is>
      </c>
      <c r="AU568" s="38" t="inlineStr">
        <is>
          <t>Graduate; relevant certification preferred</t>
        </is>
      </c>
      <c r="AV568" s="38" t="inlineStr">
        <is>
          <t>None · guides 1–3 juniors informally</t>
        </is>
      </c>
      <c r="AW568" s="38" t="inlineStr">
        <is>
          <t>P2 · SFIA 3 Apply</t>
        </is>
      </c>
      <c r="AX56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68" s="39" t="inlineStr">
        <is>
          <t>A3</t>
        </is>
      </c>
      <c r="AZ568" s="40" t="inlineStr">
        <is>
          <t>Band A · Practitioner · Senior Associate</t>
        </is>
      </c>
      <c r="BA568" s="40" t="inlineStr">
        <is>
          <t>Model A3 from the six ratings, the market-derived weights and rules R1–R13 · then No change · already below the manager</t>
        </is>
      </c>
      <c r="BB568" s="41" t="inlineStr">
        <is>
          <t>A3</t>
        </is>
      </c>
      <c r="BC568" s="40" t="inlineStr">
        <is>
          <t>The six ratings on the market-average weights of Band A · all tracks score 3.08 → A3 · Hay, Mercer IPE and public plans · experience 13.6 yrs vs the A3 market range 2–5</t>
        </is>
      </c>
      <c r="BD568" s="42">
        <f>IF(SUM(BM568,BN568,BO568,BP568,BQ568,BR568,BS568)=0,0,(BM568*BT568+BN568*BU568+BO568*BV568+BP568*BW568+BQ568*BX568+BR568*BY568+BS568*BZ568)/SUM(BM568,BN568,BO568,BP568,BQ568,BR568,BS568))</f>
        <v>0</v>
      </c>
      <c r="BE568" s="41" t="str">
        <f>IF(LEFT(AY568,1)="X",AY568,IF(OR(AY568="B+",AY568="C+"),INDEX(LAD_PC,MAX(1,MIN(14,MATCH(AY568,LAD_PC,0)+IF(BD568&gt;=0.5,1,IF(BD568&lt;=-0.5,-1,0))))),INDEX(LAD_STD,MAX(1,MIN(12,MATCH(AY568,LAD_STD,0)+IF(BD568&gt;=0.5,1,IF(BD568&lt;=-0.5,-1,0)))))))</f>
        <v>A3</v>
      </c>
      <c r="BF568" s="43" t="n"/>
      <c r="BG568" s="41" t="str">
        <f>IF(BF568&lt;&gt;"",BF568,BE568)</f>
        <v>A3</v>
      </c>
      <c r="BH568" s="40" t="str">
        <f>IFERROR(CHOOSE(INDEX(B_RANK,MATCH(BG568,B_LVL,0)),"Band A","Band B","B+ · Player-Coach","Band C","C+ · Player-Coach","Band D","Band E"),"Band X · Consultant")</f>
        <v>Band A</v>
      </c>
      <c r="BI568" s="40" t="str">
        <f>IF(BG568=AY568,"• Same",IF(INDEX(B_VAL,MATCH(BG568,B_LVL,0))&gt;INDEX(B_VAL,MATCH(AY568,B_LVL,0)),"▲ Up","▼ Down"))</f>
        <v>• Same</v>
      </c>
      <c r="BJ568" s="40" t="str">
        <f>IF(OR($M568="",$M568="—",$M568="Not in this file"),"",IFERROR(INDEX($BG$7:$BG$592,MATCH($M568,$D$7:$D$592,0)),""))</f>
        <v>B1</v>
      </c>
      <c r="BK568" s="40" t="str">
        <f>IFERROR(IF(BJ568="","—",IF(OR(LEFT(BG568,1)="X",LEFT(BJ568,1)="X"),"—",IF(AND(LEFT(BG568,1)="E",LEFT(BJ568,1)="E"),"Exception · Band E",IF(AND(INDEX(B_VAL,MATCH(BJ568,B_LVL,0))&gt;=7,INDEX(B_RANK,MATCH(BG568,B_LVL,0))&gt;=INDEX(B_RANK,MATCH(BJ568,B_LVL,0))),"⚠ Same band as a head manager",IF(INDEX(B_VAL,MATCH(BG568,B_LVL,0))&gt;=INDEX(B_VAL,MATCH(BJ568,B_LVL,0)),"⚠ At or above the manager's level","OK"))))),"—")</f>
        <v>OK</v>
      </c>
      <c r="BL568" s="43" t="n"/>
      <c r="BM568" s="44">
        <f>IFERROR(INDEX(LMH_PTS,MATCH(Y568,LMH_KEY,0)),0)</f>
        <v>9</v>
      </c>
      <c r="BN568" s="38">
        <f>IFERROR(INDEX(LMH_PTS,MATCH(Z568,LMH_KEY,0)),0)</f>
        <v>3</v>
      </c>
      <c r="BO568" s="38">
        <f>IFERROR(INDEX(LMH_PTS,MATCH(AA568,LMH_KEY,0)),0)</f>
        <v>1</v>
      </c>
      <c r="BP568" s="38">
        <f>IFERROR(INDEX(LMH_PTS,MATCH(AB568,LMH_KEY,0)),0)</f>
        <v>1</v>
      </c>
      <c r="BQ568" s="38">
        <f>IFERROR(INDEX(LMH_PTS,MATCH(AC568,LMH_KEY,0)),0)</f>
        <v>1</v>
      </c>
      <c r="BR568" s="38">
        <f>IFERROR(INDEX(LMH_PTS,MATCH(AD568,LMH_KEY,0)),0)</f>
        <v>1</v>
      </c>
      <c r="BS568" s="38">
        <f>IFERROR(INDEX(LMH_PTS,MATCH(AE568,LMH_KEY,0)),0)</f>
        <v>1</v>
      </c>
      <c r="BT568" s="38">
        <f>IFERROR(INDEX(LMH_STEP,MATCH(AF568,LMH_KEY,0)),0)</f>
        <v>0</v>
      </c>
      <c r="BU568" s="38">
        <f>IFERROR(INDEX(LMH_STEP,MATCH(AG568,LMH_KEY,0)),0)</f>
        <v>0</v>
      </c>
      <c r="BV568" s="38">
        <f>IFERROR(INDEX(LMH_STEP,MATCH(AH568,LMH_KEY,0)),0)</f>
        <v>0</v>
      </c>
      <c r="BW568" s="38">
        <f>IFERROR(INDEX(LMH_STEP,MATCH(AI568,LMH_KEY,0)),0)</f>
        <v>0</v>
      </c>
      <c r="BX568" s="38">
        <f>IFERROR(INDEX(LMH_STEP,MATCH(AJ568,LMH_KEY,0)),0)</f>
        <v>0</v>
      </c>
      <c r="BY568" s="38">
        <f>IFERROR(INDEX(LMH_STEP,MATCH(AK568,LMH_KEY,0)),0)</f>
        <v>0</v>
      </c>
      <c r="BZ568" s="38">
        <f>IFERROR(INDEX(LMH_STEP,MATCH(AL568,LMH_KEY,0)),0)</f>
        <v>0</v>
      </c>
      <c r="CA568" s="38" t="inlineStr">
        <is>
          <t>Corporate|IT &amp; Infrastructure|Senior System Administrator|A3|A</t>
        </is>
      </c>
    </row>
    <row r="569" ht="110" customHeight="1">
      <c r="A569" s="28" t="inlineStr">
        <is>
          <t>Corporate</t>
        </is>
      </c>
      <c r="B569" s="29" t="inlineStr">
        <is>
          <t>IT &amp; Infrastructure</t>
        </is>
      </c>
      <c r="C569" s="29" t="n">
        <v>2</v>
      </c>
      <c r="D569" s="29" t="inlineStr">
        <is>
          <t>IRIS2099</t>
        </is>
      </c>
      <c r="E569" s="29" t="inlineStr">
        <is>
          <t>Parthiban Thangaraj</t>
        </is>
      </c>
      <c r="F569" s="29" t="inlineStr">
        <is>
          <t>Senior Software Engineer</t>
        </is>
      </c>
      <c r="G569" s="29" t="inlineStr">
        <is>
          <t>Senior DevOps Engineer</t>
        </is>
      </c>
      <c r="H569" s="29" t="inlineStr">
        <is>
          <t>Engineering &amp; Development</t>
        </is>
      </c>
      <c r="I569" s="29" t="inlineStr">
        <is>
          <t>DevOps &amp; Release Engineering</t>
        </is>
      </c>
      <c r="J569" s="29" t="inlineStr">
        <is>
          <t>IC</t>
        </is>
      </c>
      <c r="K569" s="29" t="inlineStr">
        <is>
          <t>RC-076</t>
        </is>
      </c>
      <c r="L569" s="29" t="inlineStr">
        <is>
          <t>Mahesh Tilave</t>
        </is>
      </c>
      <c r="M569" s="29" t="inlineStr">
        <is>
          <t>IRIS2103</t>
        </is>
      </c>
      <c r="N569" s="29" t="n">
        <v>9.800000000000001</v>
      </c>
      <c r="O569" s="29" t="n">
        <v>3.6</v>
      </c>
      <c r="P569" s="29" t="inlineStr">
        <is>
          <t>B.Tech</t>
        </is>
      </c>
      <c r="Q569" s="29" t="inlineStr">
        <is>
          <t>Not in current mapping files</t>
        </is>
      </c>
      <c r="R569" s="29" t="inlineStr">
        <is>
          <t>A3</t>
        </is>
      </c>
      <c r="S569" s="30" t="inlineStr">
        <is>
          <t>20 of 20</t>
        </is>
      </c>
      <c r="T569" s="31" t="inlineStr">
        <is>
          <t>Complexity: Evidence reads like A2: Creates AWS resources, manages access, migrates source code to Git; DevOps support tasks → moved down 0.5
Autonomy: Evidence reads like A2: Lists AWS resources, code migration and DevOps tasks; no calls beyond own routine work → moved down 0.5
Accountability: Evidence reads like A2: Answers for AWS resource creation, …</t>
        </is>
      </c>
      <c r="U569" s="32" t="inlineStr">
        <is>
          <t>KRAs not received · manager to supply</t>
        </is>
      </c>
      <c r="V569" s="31" t="inlineStr">
        <is>
          <t>Latest rating: Not rated · manager · 9-box: Not placed · manager · Readiness: No rating data</t>
        </is>
      </c>
      <c r="W569" s="31" t="inlineStr">
        <is>
          <t>C M · Au M · Ac M · L L · BI M · Exp H · 9.8 yrs vs 2–4 yrs · Edu M · B.Tech</t>
        </is>
      </c>
      <c r="X569" s="33" t="inlineStr">
        <is>
          <t>Open ▸</t>
        </is>
      </c>
      <c r="Y569" s="34" t="str">
        <f>IFERROR(INDEX(DL_C,MATCH($CA569,DL_KEY,0)),"M")</f>
        <v>H</v>
      </c>
      <c r="Z569" s="35" t="str">
        <f>IFERROR(INDEX(DL_Au,MATCH($CA569,DL_KEY,0)),"M")</f>
        <v>M</v>
      </c>
      <c r="AA569" s="35" t="str">
        <f>IFERROR(INDEX(DL_Ac,MATCH($CA569,DL_KEY,0)),"M")</f>
        <v>L</v>
      </c>
      <c r="AB569" s="35" t="str">
        <f>IFERROR(INDEX(DL_L,MATCH($CA569,DL_KEY,0)),"M")</f>
        <v>L</v>
      </c>
      <c r="AC569" s="35" t="str">
        <f>IFERROR(INDEX(DL_BI,MATCH($CA569,DL_KEY,0)),"M")</f>
        <v>L</v>
      </c>
      <c r="AD569" s="35" t="str">
        <f>IFERROR(INDEX(DL_Exp,MATCH($CA569,DL_KEY,0)),"M")</f>
        <v>L</v>
      </c>
      <c r="AE569" s="35" t="str">
        <f>IFERROR(INDEX(DL_Edu,MATCH($CA569,DL_KEY,0)),"M")</f>
        <v>L</v>
      </c>
      <c r="AF569" s="34" t="inlineStr">
        <is>
          <t>M</t>
        </is>
      </c>
      <c r="AG569" s="35" t="inlineStr">
        <is>
          <t>M</t>
        </is>
      </c>
      <c r="AH569" s="35" t="inlineStr">
        <is>
          <t>M</t>
        </is>
      </c>
      <c r="AI569" s="35" t="inlineStr">
        <is>
          <t>M</t>
        </is>
      </c>
      <c r="AJ569" s="35" t="inlineStr">
        <is>
          <t>M</t>
        </is>
      </c>
      <c r="AK569" s="35" t="inlineStr">
        <is>
          <t>M</t>
        </is>
      </c>
      <c r="AL569" s="35" t="inlineStr">
        <is>
          <t>M</t>
        </is>
      </c>
      <c r="AM569" s="36" t="n">
        <v>0.583</v>
      </c>
      <c r="AN569" s="37" t="n">
        <v>0.16</v>
      </c>
      <c r="AO569" s="37" t="n">
        <v>0.09</v>
      </c>
      <c r="AP569" s="37" t="n">
        <v>0</v>
      </c>
      <c r="AQ569" s="37" t="n">
        <v>0.063</v>
      </c>
      <c r="AR569" s="37" t="n">
        <v>0.06</v>
      </c>
      <c r="AS569" s="37" t="n">
        <v>0.04</v>
      </c>
      <c r="AT569" s="38" t="inlineStr">
        <is>
          <t>2–5</t>
        </is>
      </c>
      <c r="AU569" s="38" t="inlineStr">
        <is>
          <t>Graduate; relevant certification preferred</t>
        </is>
      </c>
      <c r="AV569" s="38" t="inlineStr">
        <is>
          <t>None · guides 1–3 juniors informally</t>
        </is>
      </c>
      <c r="AW569" s="38" t="inlineStr">
        <is>
          <t>P2 · SFIA 3 Apply</t>
        </is>
      </c>
      <c r="AX56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69" s="39" t="inlineStr">
        <is>
          <t>A3</t>
        </is>
      </c>
      <c r="AZ569" s="40" t="inlineStr">
        <is>
          <t>Band A · Practitioner · Senior Associate</t>
        </is>
      </c>
      <c r="BA569" s="40" t="inlineStr">
        <is>
          <t>Model A3 from the six ratings, the market-derived weights and rules R1–R13 · then No change · already below the manager</t>
        </is>
      </c>
      <c r="BB569" s="41" t="inlineStr">
        <is>
          <t>A3</t>
        </is>
      </c>
      <c r="BC569" s="40" t="inlineStr">
        <is>
          <t>The six ratings on the market-average weights of Band A · all tracks score 2.85 → A3 · Hay, Mercer IPE and public plans · experience 9.8 yrs vs the A3 market range 2–5</t>
        </is>
      </c>
      <c r="BD569" s="42">
        <f>IF(SUM(BM569,BN569,BO569,BP569,BQ569,BR569,BS569)=0,0,(BM569*BT569+BN569*BU569+BO569*BV569+BP569*BW569+BQ569*BX569+BR569*BY569+BS569*BZ569)/SUM(BM569,BN569,BO569,BP569,BQ569,BR569,BS569))</f>
        <v>0</v>
      </c>
      <c r="BE569" s="41" t="str">
        <f>IF(LEFT(AY569,1)="X",AY569,IF(OR(AY569="B+",AY569="C+"),INDEX(LAD_PC,MAX(1,MIN(14,MATCH(AY569,LAD_PC,0)+IF(BD569&gt;=0.5,1,IF(BD569&lt;=-0.5,-1,0))))),INDEX(LAD_STD,MAX(1,MIN(12,MATCH(AY569,LAD_STD,0)+IF(BD569&gt;=0.5,1,IF(BD569&lt;=-0.5,-1,0)))))))</f>
        <v>A3</v>
      </c>
      <c r="BF569" s="43" t="n"/>
      <c r="BG569" s="41" t="str">
        <f>IF(BF569&lt;&gt;"",BF569,BE569)</f>
        <v>A3</v>
      </c>
      <c r="BH569" s="40" t="str">
        <f>IFERROR(CHOOSE(INDEX(B_RANK,MATCH(BG569,B_LVL,0)),"Band A","Band B","B+ · Player-Coach","Band C","C+ · Player-Coach","Band D","Band E"),"Band X · Consultant")</f>
        <v>Band A</v>
      </c>
      <c r="BI569" s="40" t="str">
        <f>IF(BG569=AY569,"• Same",IF(INDEX(B_VAL,MATCH(BG569,B_LVL,0))&gt;INDEX(B_VAL,MATCH(AY569,B_LVL,0)),"▲ Up","▼ Down"))</f>
        <v>• Same</v>
      </c>
      <c r="BJ569" s="40" t="str">
        <f>IF(OR($M569="",$M569="—",$M569="Not in this file"),"",IFERROR(INDEX($BG$7:$BG$592,MATCH($M569,$D$7:$D$592,0)),""))</f>
        <v>B2</v>
      </c>
      <c r="BK569" s="40" t="str">
        <f>IFERROR(IF(BJ569="","—",IF(OR(LEFT(BG569,1)="X",LEFT(BJ569,1)="X"),"—",IF(AND(LEFT(BG569,1)="E",LEFT(BJ569,1)="E"),"Exception · Band E",IF(AND(INDEX(B_VAL,MATCH(BJ569,B_LVL,0))&gt;=7,INDEX(B_RANK,MATCH(BG569,B_LVL,0))&gt;=INDEX(B_RANK,MATCH(BJ569,B_LVL,0))),"⚠ Same band as a head manager",IF(INDEX(B_VAL,MATCH(BG569,B_LVL,0))&gt;=INDEX(B_VAL,MATCH(BJ569,B_LVL,0)),"⚠ At or above the manager's level","OK"))))),"—")</f>
        <v>OK</v>
      </c>
      <c r="BL569" s="43" t="n"/>
      <c r="BM569" s="44">
        <f>IFERROR(INDEX(LMH_PTS,MATCH(Y569,LMH_KEY,0)),0)</f>
        <v>9</v>
      </c>
      <c r="BN569" s="38">
        <f>IFERROR(INDEX(LMH_PTS,MATCH(Z569,LMH_KEY,0)),0)</f>
        <v>3</v>
      </c>
      <c r="BO569" s="38">
        <f>IFERROR(INDEX(LMH_PTS,MATCH(AA569,LMH_KEY,0)),0)</f>
        <v>1</v>
      </c>
      <c r="BP569" s="38">
        <f>IFERROR(INDEX(LMH_PTS,MATCH(AB569,LMH_KEY,0)),0)</f>
        <v>1</v>
      </c>
      <c r="BQ569" s="38">
        <f>IFERROR(INDEX(LMH_PTS,MATCH(AC569,LMH_KEY,0)),0)</f>
        <v>1</v>
      </c>
      <c r="BR569" s="38">
        <f>IFERROR(INDEX(LMH_PTS,MATCH(AD569,LMH_KEY,0)),0)</f>
        <v>1</v>
      </c>
      <c r="BS569" s="38">
        <f>IFERROR(INDEX(LMH_PTS,MATCH(AE569,LMH_KEY,0)),0)</f>
        <v>1</v>
      </c>
      <c r="BT569" s="38">
        <f>IFERROR(INDEX(LMH_STEP,MATCH(AF569,LMH_KEY,0)),0)</f>
        <v>0</v>
      </c>
      <c r="BU569" s="38">
        <f>IFERROR(INDEX(LMH_STEP,MATCH(AG569,LMH_KEY,0)),0)</f>
        <v>0</v>
      </c>
      <c r="BV569" s="38">
        <f>IFERROR(INDEX(LMH_STEP,MATCH(AH569,LMH_KEY,0)),0)</f>
        <v>0</v>
      </c>
      <c r="BW569" s="38">
        <f>IFERROR(INDEX(LMH_STEP,MATCH(AI569,LMH_KEY,0)),0)</f>
        <v>0</v>
      </c>
      <c r="BX569" s="38">
        <f>IFERROR(INDEX(LMH_STEP,MATCH(AJ569,LMH_KEY,0)),0)</f>
        <v>0</v>
      </c>
      <c r="BY569" s="38">
        <f>IFERROR(INDEX(LMH_STEP,MATCH(AK569,LMH_KEY,0)),0)</f>
        <v>0</v>
      </c>
      <c r="BZ569" s="38">
        <f>IFERROR(INDEX(LMH_STEP,MATCH(AL569,LMH_KEY,0)),0)</f>
        <v>0</v>
      </c>
      <c r="CA569" s="38" t="inlineStr">
        <is>
          <t>Corporate|IT &amp; Infrastructure|Senior DevOps Engineer|A3|A</t>
        </is>
      </c>
    </row>
    <row r="570" ht="110" customHeight="1">
      <c r="A570" s="28" t="inlineStr">
        <is>
          <t>Corporate</t>
        </is>
      </c>
      <c r="B570" s="29" t="inlineStr">
        <is>
          <t>IT &amp; Infrastructure</t>
        </is>
      </c>
      <c r="C570" s="29" t="n">
        <v>2</v>
      </c>
      <c r="D570" s="29" t="inlineStr">
        <is>
          <t>IRIS2003</t>
        </is>
      </c>
      <c r="E570" s="29" t="inlineStr">
        <is>
          <t>Rajyalakshmi Koyagura</t>
        </is>
      </c>
      <c r="F570" s="29" t="inlineStr">
        <is>
          <t>System Administrator</t>
        </is>
      </c>
      <c r="G570" s="29" t="inlineStr">
        <is>
          <t>Senior System Administrator</t>
        </is>
      </c>
      <c r="H570" s="29" t="inlineStr">
        <is>
          <t>IT &amp; Infrastructure</t>
        </is>
      </c>
      <c r="I570" s="29" t="inlineStr">
        <is>
          <t>Infrastructure &amp; Cloud Operations</t>
        </is>
      </c>
      <c r="J570" s="29" t="inlineStr">
        <is>
          <t>IC</t>
        </is>
      </c>
      <c r="K570" s="29" t="inlineStr">
        <is>
          <t>RC-108</t>
        </is>
      </c>
      <c r="L570" s="29" t="inlineStr">
        <is>
          <t>Mahesh Tilave</t>
        </is>
      </c>
      <c r="M570" s="29" t="inlineStr">
        <is>
          <t>IRIS2103</t>
        </is>
      </c>
      <c r="N570" s="29" t="n">
        <v>8</v>
      </c>
      <c r="O570" s="29" t="n">
        <v>4.5</v>
      </c>
      <c r="P570" s="29" t="inlineStr">
        <is>
          <t>B.Tech</t>
        </is>
      </c>
      <c r="Q570" s="29" t="inlineStr">
        <is>
          <t>Not in current mapping files</t>
        </is>
      </c>
      <c r="R570" s="29" t="inlineStr">
        <is>
          <t>A3</t>
        </is>
      </c>
      <c r="S570" s="30" t="inlineStr">
        <is>
          <t>19 of 20</t>
        </is>
      </c>
      <c r="T570" s="31" t="inlineStr">
        <is>
          <t>Complexity: Evidence reads like A3: Provisions and monitors AWS resources, administers Linux and Faveo, hardens OS, runs backups → matches the start
Autonomy: Evidence reads like A2: Monitors infrastructure, executes backup/restore, optimises AWS resources; routine operational calls → moved down 0.5
Accountability: Evidence reads like A3: Infrastructure …</t>
        </is>
      </c>
      <c r="U570" s="32" t="inlineStr">
        <is>
          <t>KRAs not received · manager to supply</t>
        </is>
      </c>
      <c r="V570" s="31" t="inlineStr">
        <is>
          <t>Latest rating: Not rated · manager · 9-box: Not placed · manager · Readiness: No rating data</t>
        </is>
      </c>
      <c r="W570" s="31" t="inlineStr">
        <is>
          <t>C M · Au M · Ac M · L L · BI M · Exp H · 8 yrs vs 2–4 yrs · Edu M · B.Tech</t>
        </is>
      </c>
      <c r="X570" s="33" t="inlineStr">
        <is>
          <t>Open ▸</t>
        </is>
      </c>
      <c r="Y570" s="34" t="str">
        <f>IFERROR(INDEX(DL_C,MATCH($CA570,DL_KEY,0)),"M")</f>
        <v>H</v>
      </c>
      <c r="Z570" s="35" t="str">
        <f>IFERROR(INDEX(DL_Au,MATCH($CA570,DL_KEY,0)),"M")</f>
        <v>M</v>
      </c>
      <c r="AA570" s="35" t="str">
        <f>IFERROR(INDEX(DL_Ac,MATCH($CA570,DL_KEY,0)),"M")</f>
        <v>L</v>
      </c>
      <c r="AB570" s="35" t="str">
        <f>IFERROR(INDEX(DL_L,MATCH($CA570,DL_KEY,0)),"M")</f>
        <v>L</v>
      </c>
      <c r="AC570" s="35" t="str">
        <f>IFERROR(INDEX(DL_BI,MATCH($CA570,DL_KEY,0)),"M")</f>
        <v>L</v>
      </c>
      <c r="AD570" s="35" t="str">
        <f>IFERROR(INDEX(DL_Exp,MATCH($CA570,DL_KEY,0)),"M")</f>
        <v>L</v>
      </c>
      <c r="AE570" s="35" t="str">
        <f>IFERROR(INDEX(DL_Edu,MATCH($CA570,DL_KEY,0)),"M")</f>
        <v>L</v>
      </c>
      <c r="AF570" s="34" t="inlineStr">
        <is>
          <t>M</t>
        </is>
      </c>
      <c r="AG570" s="35" t="inlineStr">
        <is>
          <t>M</t>
        </is>
      </c>
      <c r="AH570" s="35" t="inlineStr">
        <is>
          <t>M</t>
        </is>
      </c>
      <c r="AI570" s="35" t="inlineStr">
        <is>
          <t>M</t>
        </is>
      </c>
      <c r="AJ570" s="35" t="inlineStr">
        <is>
          <t>M</t>
        </is>
      </c>
      <c r="AK570" s="35" t="inlineStr">
        <is>
          <t>M</t>
        </is>
      </c>
      <c r="AL570" s="35" t="inlineStr">
        <is>
          <t>M</t>
        </is>
      </c>
      <c r="AM570" s="36" t="n">
        <v>0.583</v>
      </c>
      <c r="AN570" s="37" t="n">
        <v>0.16</v>
      </c>
      <c r="AO570" s="37" t="n">
        <v>0.09</v>
      </c>
      <c r="AP570" s="37" t="n">
        <v>0</v>
      </c>
      <c r="AQ570" s="37" t="n">
        <v>0.063</v>
      </c>
      <c r="AR570" s="37" t="n">
        <v>0.06</v>
      </c>
      <c r="AS570" s="37" t="n">
        <v>0.04</v>
      </c>
      <c r="AT570" s="38" t="inlineStr">
        <is>
          <t>2–5</t>
        </is>
      </c>
      <c r="AU570" s="38" t="inlineStr">
        <is>
          <t>Graduate; relevant certification preferred</t>
        </is>
      </c>
      <c r="AV570" s="38" t="inlineStr">
        <is>
          <t>None · guides 1–3 juniors informally</t>
        </is>
      </c>
      <c r="AW570" s="38" t="inlineStr">
        <is>
          <t>P2 · SFIA 3 Apply</t>
        </is>
      </c>
      <c r="AX57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70" s="39" t="inlineStr">
        <is>
          <t>A3</t>
        </is>
      </c>
      <c r="AZ570" s="40" t="inlineStr">
        <is>
          <t>Band A · Practitioner · Senior Associate</t>
        </is>
      </c>
      <c r="BA570" s="40" t="inlineStr">
        <is>
          <t>Model A3 from the six ratings, the market-derived weights and rules R1–R13 · then No change · already below the manager</t>
        </is>
      </c>
      <c r="BB570" s="41" t="inlineStr">
        <is>
          <t>A3</t>
        </is>
      </c>
      <c r="BC570" s="40" t="inlineStr">
        <is>
          <t>The six ratings on the market-average weights of Band A · all tracks score 3.12 → A3 · Hay, Mercer IPE and public plans · experience 8 yrs vs the A3 market range 2–5</t>
        </is>
      </c>
      <c r="BD570" s="42">
        <f>IF(SUM(BM570,BN570,BO570,BP570,BQ570,BR570,BS570)=0,0,(BM570*BT570+BN570*BU570+BO570*BV570+BP570*BW570+BQ570*BX570+BR570*BY570+BS570*BZ570)/SUM(BM570,BN570,BO570,BP570,BQ570,BR570,BS570))</f>
        <v>0</v>
      </c>
      <c r="BE570" s="41" t="str">
        <f>IF(LEFT(AY570,1)="X",AY570,IF(OR(AY570="B+",AY570="C+"),INDEX(LAD_PC,MAX(1,MIN(14,MATCH(AY570,LAD_PC,0)+IF(BD570&gt;=0.5,1,IF(BD570&lt;=-0.5,-1,0))))),INDEX(LAD_STD,MAX(1,MIN(12,MATCH(AY570,LAD_STD,0)+IF(BD570&gt;=0.5,1,IF(BD570&lt;=-0.5,-1,0)))))))</f>
        <v>A3</v>
      </c>
      <c r="BF570" s="43" t="n"/>
      <c r="BG570" s="41" t="str">
        <f>IF(BF570&lt;&gt;"",BF570,BE570)</f>
        <v>A3</v>
      </c>
      <c r="BH570" s="40" t="str">
        <f>IFERROR(CHOOSE(INDEX(B_RANK,MATCH(BG570,B_LVL,0)),"Band A","Band B","B+ · Player-Coach","Band C","C+ · Player-Coach","Band D","Band E"),"Band X · Consultant")</f>
        <v>Band A</v>
      </c>
      <c r="BI570" s="40" t="str">
        <f>IF(BG570=AY570,"• Same",IF(INDEX(B_VAL,MATCH(BG570,B_LVL,0))&gt;INDEX(B_VAL,MATCH(AY570,B_LVL,0)),"▲ Up","▼ Down"))</f>
        <v>• Same</v>
      </c>
      <c r="BJ570" s="40" t="str">
        <f>IF(OR($M570="",$M570="—",$M570="Not in this file"),"",IFERROR(INDEX($BG$7:$BG$592,MATCH($M570,$D$7:$D$592,0)),""))</f>
        <v>B2</v>
      </c>
      <c r="BK570" s="40" t="str">
        <f>IFERROR(IF(BJ570="","—",IF(OR(LEFT(BG570,1)="X",LEFT(BJ570,1)="X"),"—",IF(AND(LEFT(BG570,1)="E",LEFT(BJ570,1)="E"),"Exception · Band E",IF(AND(INDEX(B_VAL,MATCH(BJ570,B_LVL,0))&gt;=7,INDEX(B_RANK,MATCH(BG570,B_LVL,0))&gt;=INDEX(B_RANK,MATCH(BJ570,B_LVL,0))),"⚠ Same band as a head manager",IF(INDEX(B_VAL,MATCH(BG570,B_LVL,0))&gt;=INDEX(B_VAL,MATCH(BJ570,B_LVL,0)),"⚠ At or above the manager's level","OK"))))),"—")</f>
        <v>OK</v>
      </c>
      <c r="BL570" s="43" t="n"/>
      <c r="BM570" s="44">
        <f>IFERROR(INDEX(LMH_PTS,MATCH(Y570,LMH_KEY,0)),0)</f>
        <v>9</v>
      </c>
      <c r="BN570" s="38">
        <f>IFERROR(INDEX(LMH_PTS,MATCH(Z570,LMH_KEY,0)),0)</f>
        <v>3</v>
      </c>
      <c r="BO570" s="38">
        <f>IFERROR(INDEX(LMH_PTS,MATCH(AA570,LMH_KEY,0)),0)</f>
        <v>1</v>
      </c>
      <c r="BP570" s="38">
        <f>IFERROR(INDEX(LMH_PTS,MATCH(AB570,LMH_KEY,0)),0)</f>
        <v>1</v>
      </c>
      <c r="BQ570" s="38">
        <f>IFERROR(INDEX(LMH_PTS,MATCH(AC570,LMH_KEY,0)),0)</f>
        <v>1</v>
      </c>
      <c r="BR570" s="38">
        <f>IFERROR(INDEX(LMH_PTS,MATCH(AD570,LMH_KEY,0)),0)</f>
        <v>1</v>
      </c>
      <c r="BS570" s="38">
        <f>IFERROR(INDEX(LMH_PTS,MATCH(AE570,LMH_KEY,0)),0)</f>
        <v>1</v>
      </c>
      <c r="BT570" s="38">
        <f>IFERROR(INDEX(LMH_STEP,MATCH(AF570,LMH_KEY,0)),0)</f>
        <v>0</v>
      </c>
      <c r="BU570" s="38">
        <f>IFERROR(INDEX(LMH_STEP,MATCH(AG570,LMH_KEY,0)),0)</f>
        <v>0</v>
      </c>
      <c r="BV570" s="38">
        <f>IFERROR(INDEX(LMH_STEP,MATCH(AH570,LMH_KEY,0)),0)</f>
        <v>0</v>
      </c>
      <c r="BW570" s="38">
        <f>IFERROR(INDEX(LMH_STEP,MATCH(AI570,LMH_KEY,0)),0)</f>
        <v>0</v>
      </c>
      <c r="BX570" s="38">
        <f>IFERROR(INDEX(LMH_STEP,MATCH(AJ570,LMH_KEY,0)),0)</f>
        <v>0</v>
      </c>
      <c r="BY570" s="38">
        <f>IFERROR(INDEX(LMH_STEP,MATCH(AK570,LMH_KEY,0)),0)</f>
        <v>0</v>
      </c>
      <c r="BZ570" s="38">
        <f>IFERROR(INDEX(LMH_STEP,MATCH(AL570,LMH_KEY,0)),0)</f>
        <v>0</v>
      </c>
      <c r="CA570" s="38" t="inlineStr">
        <is>
          <t>Corporate|IT &amp; Infrastructure|Senior System Administrator|A3|A</t>
        </is>
      </c>
    </row>
    <row r="571" ht="110" customHeight="1">
      <c r="A571" s="28" t="inlineStr">
        <is>
          <t>Corporate</t>
        </is>
      </c>
      <c r="B571" s="29" t="inlineStr">
        <is>
          <t>IT &amp; Infrastructure</t>
        </is>
      </c>
      <c r="C571" s="29" t="n">
        <v>2</v>
      </c>
      <c r="D571" s="29" t="inlineStr">
        <is>
          <t>IRIS1958</t>
        </is>
      </c>
      <c r="E571" s="29" t="inlineStr">
        <is>
          <t>Sandip Mane</t>
        </is>
      </c>
      <c r="F571" s="29" t="inlineStr">
        <is>
          <t>System Administrator</t>
        </is>
      </c>
      <c r="G571" s="29" t="inlineStr">
        <is>
          <t>Senior System Administrator</t>
        </is>
      </c>
      <c r="H571" s="29" t="inlineStr">
        <is>
          <t>IT &amp; Infrastructure</t>
        </is>
      </c>
      <c r="I571" s="29" t="inlineStr">
        <is>
          <t>Infrastructure &amp; Cloud Operations</t>
        </is>
      </c>
      <c r="J571" s="29" t="inlineStr">
        <is>
          <t>IC</t>
        </is>
      </c>
      <c r="K571" s="29" t="inlineStr">
        <is>
          <t>RC-108</t>
        </is>
      </c>
      <c r="L571" s="29" t="inlineStr">
        <is>
          <t>Mahesh Tilave</t>
        </is>
      </c>
      <c r="M571" s="29" t="inlineStr">
        <is>
          <t>IRIS2103</t>
        </is>
      </c>
      <c r="N571" s="29" t="n">
        <v>10.6</v>
      </c>
      <c r="O571" s="29" t="n">
        <v>5</v>
      </c>
      <c r="P571" s="29" t="inlineStr">
        <is>
          <t>B.SC</t>
        </is>
      </c>
      <c r="Q571" s="29" t="inlineStr">
        <is>
          <t>Not in current mapping files</t>
        </is>
      </c>
      <c r="R571" s="29" t="inlineStr">
        <is>
          <t>A3</t>
        </is>
      </c>
      <c r="S571" s="30" t="inlineStr">
        <is>
          <t>20 of 20</t>
        </is>
      </c>
      <c r="T571" s="31" t="inlineStr">
        <is>
          <t>Complexity: Evidence reads like A3: Administers Active Directory, DNS, DHCP, GPO, TFS and Azure; patching and server security → matches the start
Autonomy: Evidence reads like A2: States only 'troubleshoot and resolve'; no wider calls described → moved down 0.5
Accountability: Evidence reads like A3: own survey / KRA answers · summarised by the rater; not …</t>
        </is>
      </c>
      <c r="U571" s="32" t="inlineStr">
        <is>
          <t>KRAs not received · manager to supply</t>
        </is>
      </c>
      <c r="V571" s="31" t="inlineStr">
        <is>
          <t>Latest rating: Not rated · manager · 9-box: Not placed · manager · Readiness: No rating data</t>
        </is>
      </c>
      <c r="W571" s="31" t="inlineStr">
        <is>
          <t>C M · Au M · Ac M · L L · BI M · Exp H · 10.6 yrs vs 2–4 yrs · Edu M · B.SC</t>
        </is>
      </c>
      <c r="X571" s="33" t="inlineStr">
        <is>
          <t>Open ▸</t>
        </is>
      </c>
      <c r="Y571" s="34" t="str">
        <f>IFERROR(INDEX(DL_C,MATCH($CA571,DL_KEY,0)),"M")</f>
        <v>H</v>
      </c>
      <c r="Z571" s="35" t="str">
        <f>IFERROR(INDEX(DL_Au,MATCH($CA571,DL_KEY,0)),"M")</f>
        <v>M</v>
      </c>
      <c r="AA571" s="35" t="str">
        <f>IFERROR(INDEX(DL_Ac,MATCH($CA571,DL_KEY,0)),"M")</f>
        <v>L</v>
      </c>
      <c r="AB571" s="35" t="str">
        <f>IFERROR(INDEX(DL_L,MATCH($CA571,DL_KEY,0)),"M")</f>
        <v>L</v>
      </c>
      <c r="AC571" s="35" t="str">
        <f>IFERROR(INDEX(DL_BI,MATCH($CA571,DL_KEY,0)),"M")</f>
        <v>L</v>
      </c>
      <c r="AD571" s="35" t="str">
        <f>IFERROR(INDEX(DL_Exp,MATCH($CA571,DL_KEY,0)),"M")</f>
        <v>L</v>
      </c>
      <c r="AE571" s="35" t="str">
        <f>IFERROR(INDEX(DL_Edu,MATCH($CA571,DL_KEY,0)),"M")</f>
        <v>L</v>
      </c>
      <c r="AF571" s="34" t="inlineStr">
        <is>
          <t>M</t>
        </is>
      </c>
      <c r="AG571" s="35" t="inlineStr">
        <is>
          <t>M</t>
        </is>
      </c>
      <c r="AH571" s="35" t="inlineStr">
        <is>
          <t>M</t>
        </is>
      </c>
      <c r="AI571" s="35" t="inlineStr">
        <is>
          <t>M</t>
        </is>
      </c>
      <c r="AJ571" s="35" t="inlineStr">
        <is>
          <t>M</t>
        </is>
      </c>
      <c r="AK571" s="35" t="inlineStr">
        <is>
          <t>M</t>
        </is>
      </c>
      <c r="AL571" s="35" t="inlineStr">
        <is>
          <t>M</t>
        </is>
      </c>
      <c r="AM571" s="36" t="n">
        <v>0.583</v>
      </c>
      <c r="AN571" s="37" t="n">
        <v>0.16</v>
      </c>
      <c r="AO571" s="37" t="n">
        <v>0.09</v>
      </c>
      <c r="AP571" s="37" t="n">
        <v>0</v>
      </c>
      <c r="AQ571" s="37" t="n">
        <v>0.063</v>
      </c>
      <c r="AR571" s="37" t="n">
        <v>0.06</v>
      </c>
      <c r="AS571" s="37" t="n">
        <v>0.04</v>
      </c>
      <c r="AT571" s="38" t="inlineStr">
        <is>
          <t>2–5</t>
        </is>
      </c>
      <c r="AU571" s="38" t="inlineStr">
        <is>
          <t>Graduate; relevant certification preferred</t>
        </is>
      </c>
      <c r="AV571" s="38" t="inlineStr">
        <is>
          <t>None · guides 1–3 juniors informally</t>
        </is>
      </c>
      <c r="AW571" s="38" t="inlineStr">
        <is>
          <t>P2 · SFIA 3 Apply</t>
        </is>
      </c>
      <c r="AX57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71" s="39" t="inlineStr">
        <is>
          <t>A3</t>
        </is>
      </c>
      <c r="AZ571" s="40" t="inlineStr">
        <is>
          <t>Band A · Practitioner · Senior Associate</t>
        </is>
      </c>
      <c r="BA571" s="40" t="inlineStr">
        <is>
          <t>Model A3 from the six ratings, the market-derived weights and rules R1–R13 · then No change · already below the manager</t>
        </is>
      </c>
      <c r="BB571" s="41" t="inlineStr">
        <is>
          <t>A3</t>
        </is>
      </c>
      <c r="BC571" s="40" t="inlineStr">
        <is>
          <t>The six ratings on the market-average weights of Band A · all tracks score 3.27 → A3 · Hay, Mercer IPE and public plans · experience 10.6 yrs vs the A3 market range 2–5</t>
        </is>
      </c>
      <c r="BD571" s="42">
        <f>IF(SUM(BM571,BN571,BO571,BP571,BQ571,BR571,BS571)=0,0,(BM571*BT571+BN571*BU571+BO571*BV571+BP571*BW571+BQ571*BX571+BR571*BY571+BS571*BZ571)/SUM(BM571,BN571,BO571,BP571,BQ571,BR571,BS571))</f>
        <v>0</v>
      </c>
      <c r="BE571" s="41" t="str">
        <f>IF(LEFT(AY571,1)="X",AY571,IF(OR(AY571="B+",AY571="C+"),INDEX(LAD_PC,MAX(1,MIN(14,MATCH(AY571,LAD_PC,0)+IF(BD571&gt;=0.5,1,IF(BD571&lt;=-0.5,-1,0))))),INDEX(LAD_STD,MAX(1,MIN(12,MATCH(AY571,LAD_STD,0)+IF(BD571&gt;=0.5,1,IF(BD571&lt;=-0.5,-1,0)))))))</f>
        <v>A3</v>
      </c>
      <c r="BF571" s="43" t="n"/>
      <c r="BG571" s="41" t="str">
        <f>IF(BF571&lt;&gt;"",BF571,BE571)</f>
        <v>A3</v>
      </c>
      <c r="BH571" s="40" t="str">
        <f>IFERROR(CHOOSE(INDEX(B_RANK,MATCH(BG571,B_LVL,0)),"Band A","Band B","B+ · Player-Coach","Band C","C+ · Player-Coach","Band D","Band E"),"Band X · Consultant")</f>
        <v>Band A</v>
      </c>
      <c r="BI571" s="40" t="str">
        <f>IF(BG571=AY571,"• Same",IF(INDEX(B_VAL,MATCH(BG571,B_LVL,0))&gt;INDEX(B_VAL,MATCH(AY571,B_LVL,0)),"▲ Up","▼ Down"))</f>
        <v>• Same</v>
      </c>
      <c r="BJ571" s="40" t="str">
        <f>IF(OR($M571="",$M571="—",$M571="Not in this file"),"",IFERROR(INDEX($BG$7:$BG$592,MATCH($M571,$D$7:$D$592,0)),""))</f>
        <v>B2</v>
      </c>
      <c r="BK571" s="40" t="str">
        <f>IFERROR(IF(BJ571="","—",IF(OR(LEFT(BG571,1)="X",LEFT(BJ571,1)="X"),"—",IF(AND(LEFT(BG571,1)="E",LEFT(BJ571,1)="E"),"Exception · Band E",IF(AND(INDEX(B_VAL,MATCH(BJ571,B_LVL,0))&gt;=7,INDEX(B_RANK,MATCH(BG571,B_LVL,0))&gt;=INDEX(B_RANK,MATCH(BJ571,B_LVL,0))),"⚠ Same band as a head manager",IF(INDEX(B_VAL,MATCH(BG571,B_LVL,0))&gt;=INDEX(B_VAL,MATCH(BJ571,B_LVL,0)),"⚠ At or above the manager's level","OK"))))),"—")</f>
        <v>OK</v>
      </c>
      <c r="BL571" s="43" t="n"/>
      <c r="BM571" s="44">
        <f>IFERROR(INDEX(LMH_PTS,MATCH(Y571,LMH_KEY,0)),0)</f>
        <v>9</v>
      </c>
      <c r="BN571" s="38">
        <f>IFERROR(INDEX(LMH_PTS,MATCH(Z571,LMH_KEY,0)),0)</f>
        <v>3</v>
      </c>
      <c r="BO571" s="38">
        <f>IFERROR(INDEX(LMH_PTS,MATCH(AA571,LMH_KEY,0)),0)</f>
        <v>1</v>
      </c>
      <c r="BP571" s="38">
        <f>IFERROR(INDEX(LMH_PTS,MATCH(AB571,LMH_KEY,0)),0)</f>
        <v>1</v>
      </c>
      <c r="BQ571" s="38">
        <f>IFERROR(INDEX(LMH_PTS,MATCH(AC571,LMH_KEY,0)),0)</f>
        <v>1</v>
      </c>
      <c r="BR571" s="38">
        <f>IFERROR(INDEX(LMH_PTS,MATCH(AD571,LMH_KEY,0)),0)</f>
        <v>1</v>
      </c>
      <c r="BS571" s="38">
        <f>IFERROR(INDEX(LMH_PTS,MATCH(AE571,LMH_KEY,0)),0)</f>
        <v>1</v>
      </c>
      <c r="BT571" s="38">
        <f>IFERROR(INDEX(LMH_STEP,MATCH(AF571,LMH_KEY,0)),0)</f>
        <v>0</v>
      </c>
      <c r="BU571" s="38">
        <f>IFERROR(INDEX(LMH_STEP,MATCH(AG571,LMH_KEY,0)),0)</f>
        <v>0</v>
      </c>
      <c r="BV571" s="38">
        <f>IFERROR(INDEX(LMH_STEP,MATCH(AH571,LMH_KEY,0)),0)</f>
        <v>0</v>
      </c>
      <c r="BW571" s="38">
        <f>IFERROR(INDEX(LMH_STEP,MATCH(AI571,LMH_KEY,0)),0)</f>
        <v>0</v>
      </c>
      <c r="BX571" s="38">
        <f>IFERROR(INDEX(LMH_STEP,MATCH(AJ571,LMH_KEY,0)),0)</f>
        <v>0</v>
      </c>
      <c r="BY571" s="38">
        <f>IFERROR(INDEX(LMH_STEP,MATCH(AK571,LMH_KEY,0)),0)</f>
        <v>0</v>
      </c>
      <c r="BZ571" s="38">
        <f>IFERROR(INDEX(LMH_STEP,MATCH(AL571,LMH_KEY,0)),0)</f>
        <v>0</v>
      </c>
      <c r="CA571" s="38" t="inlineStr">
        <is>
          <t>Corporate|IT &amp; Infrastructure|Senior System Administrator|A3|A</t>
        </is>
      </c>
    </row>
    <row r="572" ht="110" customHeight="1">
      <c r="A572" s="28" t="inlineStr">
        <is>
          <t>Corporate</t>
        </is>
      </c>
      <c r="B572" s="29" t="inlineStr">
        <is>
          <t>IT &amp; Infrastructure</t>
        </is>
      </c>
      <c r="C572" s="29" t="n">
        <v>2</v>
      </c>
      <c r="D572" s="29" t="inlineStr">
        <is>
          <t>IRIS1581</t>
        </is>
      </c>
      <c r="E572" s="29" t="inlineStr">
        <is>
          <t>Vishal Vare</t>
        </is>
      </c>
      <c r="F572" s="29" t="inlineStr">
        <is>
          <t>Senior System Administrator</t>
        </is>
      </c>
      <c r="G572" s="29" t="inlineStr">
        <is>
          <t>Senior System Administrator</t>
        </is>
      </c>
      <c r="H572" s="29" t="inlineStr">
        <is>
          <t>IT &amp; Infrastructure</t>
        </is>
      </c>
      <c r="I572" s="29" t="inlineStr">
        <is>
          <t>Infrastructure &amp; Cloud Operations</t>
        </is>
      </c>
      <c r="J572" s="29" t="inlineStr">
        <is>
          <t>IC</t>
        </is>
      </c>
      <c r="K572" s="29" t="inlineStr">
        <is>
          <t>RC-108</t>
        </is>
      </c>
      <c r="L572" s="29" t="inlineStr">
        <is>
          <t>Mahesh Tilave</t>
        </is>
      </c>
      <c r="M572" s="29" t="inlineStr">
        <is>
          <t>IRIS2103</t>
        </is>
      </c>
      <c r="N572" s="29" t="n">
        <v>10.3</v>
      </c>
      <c r="O572" s="29" t="n">
        <v>10.3</v>
      </c>
      <c r="P572" s="29" t="inlineStr">
        <is>
          <t>B.SC</t>
        </is>
      </c>
      <c r="Q572" s="29" t="inlineStr">
        <is>
          <t>Not in current mapping files</t>
        </is>
      </c>
      <c r="R572" s="29" t="inlineStr">
        <is>
          <t>A3</t>
        </is>
      </c>
      <c r="S572" s="30" t="inlineStr">
        <is>
          <t>20 of 20</t>
        </is>
      </c>
      <c r="T572" s="31" t="inlineStr">
        <is>
          <t>Complexity: Evidence reads like A3: Administers AWS infrastructure, GSuite, SendGrid, Linux servers and Cloudflare DNS for the organisation → matches the start
Autonomy: Evidence reads like A2: States only 'Operations'; no specific independent decisions given → moved down 0.5
Accountability: Evidence reads like A3: own survey / KRA answers · summarised by …</t>
        </is>
      </c>
      <c r="U572" s="32" t="inlineStr">
        <is>
          <t>KRAs not received · manager to supply</t>
        </is>
      </c>
      <c r="V572" s="31" t="inlineStr">
        <is>
          <t>Latest rating: Not rated · manager · 9-box: Not placed · manager · Readiness: No rating data</t>
        </is>
      </c>
      <c r="W572" s="31" t="inlineStr">
        <is>
          <t>C M · Au M · Ac M · L L · BI M · Exp H · 10.3 yrs vs 2–4 yrs · Edu M · B.SC</t>
        </is>
      </c>
      <c r="X572" s="33" t="inlineStr">
        <is>
          <t>Open ▸</t>
        </is>
      </c>
      <c r="Y572" s="34" t="str">
        <f>IFERROR(INDEX(DL_C,MATCH($CA572,DL_KEY,0)),"M")</f>
        <v>H</v>
      </c>
      <c r="Z572" s="35" t="str">
        <f>IFERROR(INDEX(DL_Au,MATCH($CA572,DL_KEY,0)),"M")</f>
        <v>M</v>
      </c>
      <c r="AA572" s="35" t="str">
        <f>IFERROR(INDEX(DL_Ac,MATCH($CA572,DL_KEY,0)),"M")</f>
        <v>L</v>
      </c>
      <c r="AB572" s="35" t="str">
        <f>IFERROR(INDEX(DL_L,MATCH($CA572,DL_KEY,0)),"M")</f>
        <v>L</v>
      </c>
      <c r="AC572" s="35" t="str">
        <f>IFERROR(INDEX(DL_BI,MATCH($CA572,DL_KEY,0)),"M")</f>
        <v>L</v>
      </c>
      <c r="AD572" s="35" t="str">
        <f>IFERROR(INDEX(DL_Exp,MATCH($CA572,DL_KEY,0)),"M")</f>
        <v>L</v>
      </c>
      <c r="AE572" s="35" t="str">
        <f>IFERROR(INDEX(DL_Edu,MATCH($CA572,DL_KEY,0)),"M")</f>
        <v>L</v>
      </c>
      <c r="AF572" s="34" t="inlineStr">
        <is>
          <t>M</t>
        </is>
      </c>
      <c r="AG572" s="35" t="inlineStr">
        <is>
          <t>M</t>
        </is>
      </c>
      <c r="AH572" s="35" t="inlineStr">
        <is>
          <t>M</t>
        </is>
      </c>
      <c r="AI572" s="35" t="inlineStr">
        <is>
          <t>M</t>
        </is>
      </c>
      <c r="AJ572" s="35" t="inlineStr">
        <is>
          <t>M</t>
        </is>
      </c>
      <c r="AK572" s="35" t="inlineStr">
        <is>
          <t>M</t>
        </is>
      </c>
      <c r="AL572" s="35" t="inlineStr">
        <is>
          <t>M</t>
        </is>
      </c>
      <c r="AM572" s="36" t="n">
        <v>0.583</v>
      </c>
      <c r="AN572" s="37" t="n">
        <v>0.16</v>
      </c>
      <c r="AO572" s="37" t="n">
        <v>0.09</v>
      </c>
      <c r="AP572" s="37" t="n">
        <v>0</v>
      </c>
      <c r="AQ572" s="37" t="n">
        <v>0.063</v>
      </c>
      <c r="AR572" s="37" t="n">
        <v>0.06</v>
      </c>
      <c r="AS572" s="37" t="n">
        <v>0.04</v>
      </c>
      <c r="AT572" s="38" t="inlineStr">
        <is>
          <t>2–5</t>
        </is>
      </c>
      <c r="AU572" s="38" t="inlineStr">
        <is>
          <t>Graduate; relevant certification preferred</t>
        </is>
      </c>
      <c r="AV572" s="38" t="inlineStr">
        <is>
          <t>None · guides 1–3 juniors informally</t>
        </is>
      </c>
      <c r="AW572" s="38" t="inlineStr">
        <is>
          <t>P2 · SFIA 3 Apply</t>
        </is>
      </c>
      <c r="AX57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72" s="39" t="inlineStr">
        <is>
          <t>A3</t>
        </is>
      </c>
      <c r="AZ572" s="40" t="inlineStr">
        <is>
          <t>Band A · Practitioner · Senior Associate</t>
        </is>
      </c>
      <c r="BA572" s="40" t="inlineStr">
        <is>
          <t>Model A3 from the six ratings, the market-derived weights and rules R1–R13 · then No change · already below the manager</t>
        </is>
      </c>
      <c r="BB572" s="41" t="inlineStr">
        <is>
          <t>A3</t>
        </is>
      </c>
      <c r="BC572" s="40" t="inlineStr">
        <is>
          <t>The six ratings on the market-average weights of Band A · all tracks score 3.22 → A3 · Hay, Mercer IPE and public plans · experience 10.3 yrs vs the A3 market range 2–5</t>
        </is>
      </c>
      <c r="BD572" s="42">
        <f>IF(SUM(BM572,BN572,BO572,BP572,BQ572,BR572,BS572)=0,0,(BM572*BT572+BN572*BU572+BO572*BV572+BP572*BW572+BQ572*BX572+BR572*BY572+BS572*BZ572)/SUM(BM572,BN572,BO572,BP572,BQ572,BR572,BS572))</f>
        <v>0</v>
      </c>
      <c r="BE572" s="41" t="str">
        <f>IF(LEFT(AY572,1)="X",AY572,IF(OR(AY572="B+",AY572="C+"),INDEX(LAD_PC,MAX(1,MIN(14,MATCH(AY572,LAD_PC,0)+IF(BD572&gt;=0.5,1,IF(BD572&lt;=-0.5,-1,0))))),INDEX(LAD_STD,MAX(1,MIN(12,MATCH(AY572,LAD_STD,0)+IF(BD572&gt;=0.5,1,IF(BD572&lt;=-0.5,-1,0)))))))</f>
        <v>A3</v>
      </c>
      <c r="BF572" s="43" t="n"/>
      <c r="BG572" s="41" t="str">
        <f>IF(BF572&lt;&gt;"",BF572,BE572)</f>
        <v>A3</v>
      </c>
      <c r="BH572" s="40" t="str">
        <f>IFERROR(CHOOSE(INDEX(B_RANK,MATCH(BG572,B_LVL,0)),"Band A","Band B","B+ · Player-Coach","Band C","C+ · Player-Coach","Band D","Band E"),"Band X · Consultant")</f>
        <v>Band A</v>
      </c>
      <c r="BI572" s="40" t="str">
        <f>IF(BG572=AY572,"• Same",IF(INDEX(B_VAL,MATCH(BG572,B_LVL,0))&gt;INDEX(B_VAL,MATCH(AY572,B_LVL,0)),"▲ Up","▼ Down"))</f>
        <v>• Same</v>
      </c>
      <c r="BJ572" s="40" t="str">
        <f>IF(OR($M572="",$M572="—",$M572="Not in this file"),"",IFERROR(INDEX($BG$7:$BG$592,MATCH($M572,$D$7:$D$592,0)),""))</f>
        <v>B2</v>
      </c>
      <c r="BK572" s="40" t="str">
        <f>IFERROR(IF(BJ572="","—",IF(OR(LEFT(BG572,1)="X",LEFT(BJ572,1)="X"),"—",IF(AND(LEFT(BG572,1)="E",LEFT(BJ572,1)="E"),"Exception · Band E",IF(AND(INDEX(B_VAL,MATCH(BJ572,B_LVL,0))&gt;=7,INDEX(B_RANK,MATCH(BG572,B_LVL,0))&gt;=INDEX(B_RANK,MATCH(BJ572,B_LVL,0))),"⚠ Same band as a head manager",IF(INDEX(B_VAL,MATCH(BG572,B_LVL,0))&gt;=INDEX(B_VAL,MATCH(BJ572,B_LVL,0)),"⚠ At or above the manager's level","OK"))))),"—")</f>
        <v>OK</v>
      </c>
      <c r="BL572" s="43" t="n"/>
      <c r="BM572" s="44">
        <f>IFERROR(INDEX(LMH_PTS,MATCH(Y572,LMH_KEY,0)),0)</f>
        <v>9</v>
      </c>
      <c r="BN572" s="38">
        <f>IFERROR(INDEX(LMH_PTS,MATCH(Z572,LMH_KEY,0)),0)</f>
        <v>3</v>
      </c>
      <c r="BO572" s="38">
        <f>IFERROR(INDEX(LMH_PTS,MATCH(AA572,LMH_KEY,0)),0)</f>
        <v>1</v>
      </c>
      <c r="BP572" s="38">
        <f>IFERROR(INDEX(LMH_PTS,MATCH(AB572,LMH_KEY,0)),0)</f>
        <v>1</v>
      </c>
      <c r="BQ572" s="38">
        <f>IFERROR(INDEX(LMH_PTS,MATCH(AC572,LMH_KEY,0)),0)</f>
        <v>1</v>
      </c>
      <c r="BR572" s="38">
        <f>IFERROR(INDEX(LMH_PTS,MATCH(AD572,LMH_KEY,0)),0)</f>
        <v>1</v>
      </c>
      <c r="BS572" s="38">
        <f>IFERROR(INDEX(LMH_PTS,MATCH(AE572,LMH_KEY,0)),0)</f>
        <v>1</v>
      </c>
      <c r="BT572" s="38">
        <f>IFERROR(INDEX(LMH_STEP,MATCH(AF572,LMH_KEY,0)),0)</f>
        <v>0</v>
      </c>
      <c r="BU572" s="38">
        <f>IFERROR(INDEX(LMH_STEP,MATCH(AG572,LMH_KEY,0)),0)</f>
        <v>0</v>
      </c>
      <c r="BV572" s="38">
        <f>IFERROR(INDEX(LMH_STEP,MATCH(AH572,LMH_KEY,0)),0)</f>
        <v>0</v>
      </c>
      <c r="BW572" s="38">
        <f>IFERROR(INDEX(LMH_STEP,MATCH(AI572,LMH_KEY,0)),0)</f>
        <v>0</v>
      </c>
      <c r="BX572" s="38">
        <f>IFERROR(INDEX(LMH_STEP,MATCH(AJ572,LMH_KEY,0)),0)</f>
        <v>0</v>
      </c>
      <c r="BY572" s="38">
        <f>IFERROR(INDEX(LMH_STEP,MATCH(AK572,LMH_KEY,0)),0)</f>
        <v>0</v>
      </c>
      <c r="BZ572" s="38">
        <f>IFERROR(INDEX(LMH_STEP,MATCH(AL572,LMH_KEY,0)),0)</f>
        <v>0</v>
      </c>
      <c r="CA572" s="38" t="inlineStr">
        <is>
          <t>Corporate|IT &amp; Infrastructure|Senior System Administrator|A3|A</t>
        </is>
      </c>
    </row>
    <row r="573" ht="110" customHeight="1">
      <c r="A573" s="28" t="inlineStr">
        <is>
          <t>iFile</t>
        </is>
      </c>
      <c r="B573" s="29" t="inlineStr">
        <is>
          <t>Technology</t>
        </is>
      </c>
      <c r="C573" s="29" t="n">
        <v>0</v>
      </c>
      <c r="D573" s="29" t="inlineStr">
        <is>
          <t>No Emp ID · in-house consultant</t>
        </is>
      </c>
      <c r="E573" s="29" t="inlineStr">
        <is>
          <t>Aloke Chatterjee</t>
        </is>
      </c>
      <c r="F573" s="29" t="inlineStr">
        <is>
          <t>Consultant</t>
        </is>
      </c>
      <c r="G573" s="29" t="inlineStr">
        <is>
          <t>Associate Consultant – Software Development</t>
        </is>
      </c>
      <c r="H573" s="29" t="inlineStr">
        <is>
          <t>Engineering &amp; Development</t>
        </is>
      </c>
      <c r="I573" s="29" t="inlineStr">
        <is>
          <t>Backend Development</t>
        </is>
      </c>
      <c r="J573" s="29" t="inlineStr">
        <is>
          <t>Consultant</t>
        </is>
      </c>
      <c r="K573" s="29" t="inlineStr">
        <is>
          <t>RC-073</t>
        </is>
      </c>
      <c r="L573" s="29" t="inlineStr">
        <is>
          <t>Not provided · HRIS</t>
        </is>
      </c>
      <c r="M573" s="29" t="inlineStr">
        <is>
          <t>Not in this file</t>
        </is>
      </c>
      <c r="N573" s="29" t="inlineStr">
        <is>
          <t>Not provided · HRIS</t>
        </is>
      </c>
      <c r="O573" s="29" t="n">
        <v>0.7</v>
      </c>
      <c r="P573" s="29" t="inlineStr">
        <is>
          <t>Not provided · HRIS</t>
        </is>
      </c>
      <c r="Q573" s="29" t="inlineStr">
        <is>
          <t>—</t>
        </is>
      </c>
      <c r="R573" s="29" t="inlineStr">
        <is>
          <t>X1</t>
        </is>
      </c>
      <c r="S573" s="30" t="inlineStr">
        <is>
          <t>0 of 20</t>
        </is>
      </c>
      <c r="T573" s="32" t="inlineStr">
        <is>
          <t>No survey response on file</t>
        </is>
      </c>
      <c r="U573" s="32" t="inlineStr">
        <is>
          <t>KRAs not received · manager to supply</t>
        </is>
      </c>
      <c r="V573" s="31" t="inlineStr">
        <is>
          <t>Latest rating: Not rated · manager · Readiness: n/a · consultant</t>
        </is>
      </c>
      <c r="W573" s="31" t="inlineStr">
        <is>
          <t>Consultant · outside the ladder</t>
        </is>
      </c>
      <c r="X573" s="33" t="inlineStr">
        <is>
          <t>Open ▸</t>
        </is>
      </c>
      <c r="Y573" s="34" t="n"/>
      <c r="Z573" s="35" t="n"/>
      <c r="AA573" s="35" t="n"/>
      <c r="AB573" s="35" t="n"/>
      <c r="AC573" s="35" t="n"/>
      <c r="AD573" s="35" t="n"/>
      <c r="AE573" s="35" t="n"/>
      <c r="AF573" s="34" t="n"/>
      <c r="AG573" s="35" t="n"/>
      <c r="AH573" s="35" t="n"/>
      <c r="AI573" s="35" t="n"/>
      <c r="AJ573" s="35" t="n"/>
      <c r="AK573" s="35" t="n"/>
      <c r="AL573" s="35" t="n"/>
      <c r="AM573" s="36" t="n"/>
      <c r="AN573" s="37" t="n"/>
      <c r="AO573" s="37" t="n"/>
      <c r="AP573" s="37" t="n"/>
      <c r="AQ573" s="37" t="n"/>
      <c r="AR573" s="37" t="n"/>
      <c r="AS573" s="37" t="n"/>
      <c r="AT573" s="38" t="n"/>
      <c r="AU573" s="38" t="n"/>
      <c r="AV573" s="38" t="n"/>
      <c r="AW573" s="38" t="inlineStr">
        <is>
          <t>—</t>
        </is>
      </c>
      <c r="AX57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73" s="39" t="inlineStr">
        <is>
          <t>X1</t>
        </is>
      </c>
      <c r="AZ573" s="40" t="inlineStr">
        <is>
          <t xml:space="preserve">Band X · Consultant · </t>
        </is>
      </c>
      <c r="BA573" s="40" t="inlineStr">
        <is>
          <t>Model X1 from the six ratings, the market-derived weights and rules R1–R13 · then Consultant · outside the ladder</t>
        </is>
      </c>
      <c r="BB573" s="41" t="n"/>
      <c r="BC573" s="40" t="inlineStr">
        <is>
          <t>Consultant · outside the ladder</t>
        </is>
      </c>
      <c r="BD573" s="42">
        <f>IF(SUM(BM573,BN573,BO573,BP573,BQ573,BR573,BS573)=0,0,(BM573*BT573+BN573*BU573+BO573*BV573+BP573*BW573+BQ573*BX573+BR573*BY573+BS573*BZ573)/SUM(BM573,BN573,BO573,BP573,BQ573,BR573,BS573))</f>
        <v>0</v>
      </c>
      <c r="BE573" s="41" t="str">
        <f>IF(LEFT(AY573,1)="X",AY573,IF(OR(AY573="B+",AY573="C+"),INDEX(LAD_PC,MAX(1,MIN(14,MATCH(AY573,LAD_PC,0)+IF(BD573&gt;=0.5,1,IF(BD573&lt;=-0.5,-1,0))))),INDEX(LAD_STD,MAX(1,MIN(12,MATCH(AY573,LAD_STD,0)+IF(BD573&gt;=0.5,1,IF(BD573&lt;=-0.5,-1,0)))))))</f>
        <v>X1</v>
      </c>
      <c r="BF573" s="43" t="n"/>
      <c r="BG573" s="41" t="str">
        <f>IF(BF573&lt;&gt;"",BF573,BE573)</f>
        <v>X1</v>
      </c>
      <c r="BH573" s="40" t="str">
        <f>IFERROR(CHOOSE(INDEX(B_RANK,MATCH(BG573,B_LVL,0)),"Band A","Band B","B+ · Player-Coach","Band C","C+ · Player-Coach","Band D","Band E"),"Band X · Consultant")</f>
        <v>Band X · Consultant</v>
      </c>
      <c r="BI573" s="40" t="str">
        <f>IF(BG573=AY573,"• Same",IF(INDEX(B_VAL,MATCH(BG573,B_LVL,0))&gt;INDEX(B_VAL,MATCH(AY573,B_LVL,0)),"▲ Up","▼ Down"))</f>
        <v>• Same</v>
      </c>
      <c r="BJ573" s="40" t="str">
        <f>IF(OR($M573="",$M573="—",$M573="Not in this file"),"",IFERROR(INDEX($BG$7:$BG$592,MATCH($M573,$D$7:$D$592,0)),""))</f>
        <v/>
      </c>
      <c r="BK573" s="40" t="str">
        <f>IFERROR(IF(BJ573="","—",IF(OR(LEFT(BG573,1)="X",LEFT(BJ573,1)="X"),"—",IF(AND(LEFT(BG573,1)="E",LEFT(BJ573,1)="E"),"Exception · Band E",IF(AND(INDEX(B_VAL,MATCH(BJ573,B_LVL,0))&gt;=7,INDEX(B_RANK,MATCH(BG573,B_LVL,0))&gt;=INDEX(B_RANK,MATCH(BJ573,B_LVL,0))),"⚠ Same band as a head manager",IF(INDEX(B_VAL,MATCH(BG573,B_LVL,0))&gt;=INDEX(B_VAL,MATCH(BJ573,B_LVL,0)),"⚠ At or above the manager's level","OK"))))),"—")</f>
        <v>—</v>
      </c>
      <c r="BL573" s="43" t="n"/>
      <c r="BM573" s="44">
        <f>IFERROR(INDEX(LMH_PTS,MATCH(Y573,LMH_KEY,0)),0)</f>
        <v>0</v>
      </c>
      <c r="BN573" s="38">
        <f>IFERROR(INDEX(LMH_PTS,MATCH(Z573,LMH_KEY,0)),0)</f>
        <v>0</v>
      </c>
      <c r="BO573" s="38">
        <f>IFERROR(INDEX(LMH_PTS,MATCH(AA573,LMH_KEY,0)),0)</f>
        <v>0</v>
      </c>
      <c r="BP573" s="38">
        <f>IFERROR(INDEX(LMH_PTS,MATCH(AB573,LMH_KEY,0)),0)</f>
        <v>0</v>
      </c>
      <c r="BQ573" s="38">
        <f>IFERROR(INDEX(LMH_PTS,MATCH(AC573,LMH_KEY,0)),0)</f>
        <v>0</v>
      </c>
      <c r="BR573" s="38">
        <f>IFERROR(INDEX(LMH_PTS,MATCH(AD573,LMH_KEY,0)),0)</f>
        <v>0</v>
      </c>
      <c r="BS573" s="38">
        <f>IFERROR(INDEX(LMH_PTS,MATCH(AE573,LMH_KEY,0)),0)</f>
        <v>0</v>
      </c>
      <c r="BT573" s="38">
        <f>IFERROR(INDEX(LMH_STEP,MATCH(AF573,LMH_KEY,0)),0)</f>
        <v>0</v>
      </c>
      <c r="BU573" s="38">
        <f>IFERROR(INDEX(LMH_STEP,MATCH(AG573,LMH_KEY,0)),0)</f>
        <v>0</v>
      </c>
      <c r="BV573" s="38">
        <f>IFERROR(INDEX(LMH_STEP,MATCH(AH573,LMH_KEY,0)),0)</f>
        <v>0</v>
      </c>
      <c r="BW573" s="38">
        <f>IFERROR(INDEX(LMH_STEP,MATCH(AI573,LMH_KEY,0)),0)</f>
        <v>0</v>
      </c>
      <c r="BX573" s="38">
        <f>IFERROR(INDEX(LMH_STEP,MATCH(AJ573,LMH_KEY,0)),0)</f>
        <v>0</v>
      </c>
      <c r="BY573" s="38">
        <f>IFERROR(INDEX(LMH_STEP,MATCH(AK573,LMH_KEY,0)),0)</f>
        <v>0</v>
      </c>
      <c r="BZ573" s="38">
        <f>IFERROR(INDEX(LMH_STEP,MATCH(AL573,LMH_KEY,0)),0)</f>
        <v>0</v>
      </c>
      <c r="CA573" s="38" t="inlineStr">
        <is>
          <t>iFile|Technology|Associate Consultant – Software Development|X1|X</t>
        </is>
      </c>
    </row>
    <row r="574" ht="110" customHeight="1">
      <c r="A574" s="28" t="inlineStr">
        <is>
          <t>Datatech</t>
        </is>
      </c>
      <c r="B574" s="29" t="inlineStr">
        <is>
          <t>Not provided · HRIS</t>
        </is>
      </c>
      <c r="C574" s="29" t="n">
        <v>0</v>
      </c>
      <c r="D574" s="29" t="inlineStr">
        <is>
          <t>No Emp ID · external consultant</t>
        </is>
      </c>
      <c r="E574" s="29" t="inlineStr">
        <is>
          <t>Arindam Bose</t>
        </is>
      </c>
      <c r="F574" s="29" t="inlineStr">
        <is>
          <t>Consultant</t>
        </is>
      </c>
      <c r="G574" s="29" t="inlineStr">
        <is>
          <t>Associate Consultant – Software Development</t>
        </is>
      </c>
      <c r="H574" s="29" t="inlineStr">
        <is>
          <t>Unassigned</t>
        </is>
      </c>
      <c r="I574" s="29" t="inlineStr">
        <is>
          <t>Role not recorded · external consultant</t>
        </is>
      </c>
      <c r="J574" s="29" t="inlineStr">
        <is>
          <t>Consultant</t>
        </is>
      </c>
      <c r="K574" s="29" t="inlineStr">
        <is>
          <t>RC-175</t>
        </is>
      </c>
      <c r="L574" s="29" t="inlineStr">
        <is>
          <t>Not provided · HRIS</t>
        </is>
      </c>
      <c r="M574" s="29" t="inlineStr">
        <is>
          <t>Not in this file</t>
        </is>
      </c>
      <c r="N574" s="29" t="inlineStr">
        <is>
          <t>Not provided · HRIS</t>
        </is>
      </c>
      <c r="O574" s="29" t="n">
        <v>0.1</v>
      </c>
      <c r="P574" s="29" t="inlineStr">
        <is>
          <t>Not provided · HRIS</t>
        </is>
      </c>
      <c r="Q574" s="29" t="inlineStr">
        <is>
          <t>—</t>
        </is>
      </c>
      <c r="R574" s="29" t="inlineStr">
        <is>
          <t>X1</t>
        </is>
      </c>
      <c r="S574" s="30" t="inlineStr">
        <is>
          <t>0 of 20</t>
        </is>
      </c>
      <c r="T574" s="32" t="inlineStr">
        <is>
          <t>No survey response on file</t>
        </is>
      </c>
      <c r="U574" s="32" t="inlineStr">
        <is>
          <t>KRAs not received · manager to supply</t>
        </is>
      </c>
      <c r="V574" s="31" t="inlineStr">
        <is>
          <t>Latest rating: Not rated · manager · Readiness: n/a · consultant</t>
        </is>
      </c>
      <c r="W574" s="31" t="inlineStr">
        <is>
          <t>Consultant · outside the ladder</t>
        </is>
      </c>
      <c r="X574" s="33" t="inlineStr">
        <is>
          <t>Open ▸</t>
        </is>
      </c>
      <c r="Y574" s="34" t="n"/>
      <c r="Z574" s="35" t="n"/>
      <c r="AA574" s="35" t="n"/>
      <c r="AB574" s="35" t="n"/>
      <c r="AC574" s="35" t="n"/>
      <c r="AD574" s="35" t="n"/>
      <c r="AE574" s="35" t="n"/>
      <c r="AF574" s="34" t="n"/>
      <c r="AG574" s="35" t="n"/>
      <c r="AH574" s="35" t="n"/>
      <c r="AI574" s="35" t="n"/>
      <c r="AJ574" s="35" t="n"/>
      <c r="AK574" s="35" t="n"/>
      <c r="AL574" s="35" t="n"/>
      <c r="AM574" s="36" t="n"/>
      <c r="AN574" s="37" t="n"/>
      <c r="AO574" s="37" t="n"/>
      <c r="AP574" s="37" t="n"/>
      <c r="AQ574" s="37" t="n"/>
      <c r="AR574" s="37" t="n"/>
      <c r="AS574" s="37" t="n"/>
      <c r="AT574" s="38" t="n"/>
      <c r="AU574" s="38" t="n"/>
      <c r="AV574" s="38" t="n"/>
      <c r="AW574" s="38" t="inlineStr">
        <is>
          <t>—</t>
        </is>
      </c>
      <c r="AX57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74" s="39" t="inlineStr">
        <is>
          <t>X1</t>
        </is>
      </c>
      <c r="AZ574" s="40" t="inlineStr">
        <is>
          <t xml:space="preserve">Band X · Consultant · </t>
        </is>
      </c>
      <c r="BA574" s="40" t="inlineStr">
        <is>
          <t>Model X1 from the six ratings, the market-derived weights and rules R1–R13 · then Consultant · outside the ladder</t>
        </is>
      </c>
      <c r="BB574" s="41" t="n"/>
      <c r="BC574" s="40" t="inlineStr">
        <is>
          <t>Consultant · outside the ladder</t>
        </is>
      </c>
      <c r="BD574" s="42">
        <f>IF(SUM(BM574,BN574,BO574,BP574,BQ574,BR574,BS574)=0,0,(BM574*BT574+BN574*BU574+BO574*BV574+BP574*BW574+BQ574*BX574+BR574*BY574+BS574*BZ574)/SUM(BM574,BN574,BO574,BP574,BQ574,BR574,BS574))</f>
        <v>0</v>
      </c>
      <c r="BE574" s="41" t="str">
        <f>IF(LEFT(AY574,1)="X",AY574,IF(OR(AY574="B+",AY574="C+"),INDEX(LAD_PC,MAX(1,MIN(14,MATCH(AY574,LAD_PC,0)+IF(BD574&gt;=0.5,1,IF(BD574&lt;=-0.5,-1,0))))),INDEX(LAD_STD,MAX(1,MIN(12,MATCH(AY574,LAD_STD,0)+IF(BD574&gt;=0.5,1,IF(BD574&lt;=-0.5,-1,0)))))))</f>
        <v>X1</v>
      </c>
      <c r="BF574" s="43" t="n"/>
      <c r="BG574" s="41" t="str">
        <f>IF(BF574&lt;&gt;"",BF574,BE574)</f>
        <v>X1</v>
      </c>
      <c r="BH574" s="40" t="str">
        <f>IFERROR(CHOOSE(INDEX(B_RANK,MATCH(BG574,B_LVL,0)),"Band A","Band B","B+ · Player-Coach","Band C","C+ · Player-Coach","Band D","Band E"),"Band X · Consultant")</f>
        <v>Band X · Consultant</v>
      </c>
      <c r="BI574" s="40" t="str">
        <f>IF(BG574=AY574,"• Same",IF(INDEX(B_VAL,MATCH(BG574,B_LVL,0))&gt;INDEX(B_VAL,MATCH(AY574,B_LVL,0)),"▲ Up","▼ Down"))</f>
        <v>• Same</v>
      </c>
      <c r="BJ574" s="40" t="str">
        <f>IF(OR($M574="",$M574="—",$M574="Not in this file"),"",IFERROR(INDEX($BG$7:$BG$592,MATCH($M574,$D$7:$D$592,0)),""))</f>
        <v/>
      </c>
      <c r="BK574" s="40" t="str">
        <f>IFERROR(IF(BJ574="","—",IF(OR(LEFT(BG574,1)="X",LEFT(BJ574,1)="X"),"—",IF(AND(LEFT(BG574,1)="E",LEFT(BJ574,1)="E"),"Exception · Band E",IF(AND(INDEX(B_VAL,MATCH(BJ574,B_LVL,0))&gt;=7,INDEX(B_RANK,MATCH(BG574,B_LVL,0))&gt;=INDEX(B_RANK,MATCH(BJ574,B_LVL,0))),"⚠ Same band as a head manager",IF(INDEX(B_VAL,MATCH(BG574,B_LVL,0))&gt;=INDEX(B_VAL,MATCH(BJ574,B_LVL,0)),"⚠ At or above the manager's level","OK"))))),"—")</f>
        <v>—</v>
      </c>
      <c r="BL574" s="43" t="n"/>
      <c r="BM574" s="44">
        <f>IFERROR(INDEX(LMH_PTS,MATCH(Y574,LMH_KEY,0)),0)</f>
        <v>0</v>
      </c>
      <c r="BN574" s="38">
        <f>IFERROR(INDEX(LMH_PTS,MATCH(Z574,LMH_KEY,0)),0)</f>
        <v>0</v>
      </c>
      <c r="BO574" s="38">
        <f>IFERROR(INDEX(LMH_PTS,MATCH(AA574,LMH_KEY,0)),0)</f>
        <v>0</v>
      </c>
      <c r="BP574" s="38">
        <f>IFERROR(INDEX(LMH_PTS,MATCH(AB574,LMH_KEY,0)),0)</f>
        <v>0</v>
      </c>
      <c r="BQ574" s="38">
        <f>IFERROR(INDEX(LMH_PTS,MATCH(AC574,LMH_KEY,0)),0)</f>
        <v>0</v>
      </c>
      <c r="BR574" s="38">
        <f>IFERROR(INDEX(LMH_PTS,MATCH(AD574,LMH_KEY,0)),0)</f>
        <v>0</v>
      </c>
      <c r="BS574" s="38">
        <f>IFERROR(INDEX(LMH_PTS,MATCH(AE574,LMH_KEY,0)),0)</f>
        <v>0</v>
      </c>
      <c r="BT574" s="38">
        <f>IFERROR(INDEX(LMH_STEP,MATCH(AF574,LMH_KEY,0)),0)</f>
        <v>0</v>
      </c>
      <c r="BU574" s="38">
        <f>IFERROR(INDEX(LMH_STEP,MATCH(AG574,LMH_KEY,0)),0)</f>
        <v>0</v>
      </c>
      <c r="BV574" s="38">
        <f>IFERROR(INDEX(LMH_STEP,MATCH(AH574,LMH_KEY,0)),0)</f>
        <v>0</v>
      </c>
      <c r="BW574" s="38">
        <f>IFERROR(INDEX(LMH_STEP,MATCH(AI574,LMH_KEY,0)),0)</f>
        <v>0</v>
      </c>
      <c r="BX574" s="38">
        <f>IFERROR(INDEX(LMH_STEP,MATCH(AJ574,LMH_KEY,0)),0)</f>
        <v>0</v>
      </c>
      <c r="BY574" s="38">
        <f>IFERROR(INDEX(LMH_STEP,MATCH(AK574,LMH_KEY,0)),0)</f>
        <v>0</v>
      </c>
      <c r="BZ574" s="38">
        <f>IFERROR(INDEX(LMH_STEP,MATCH(AL574,LMH_KEY,0)),0)</f>
        <v>0</v>
      </c>
      <c r="CA574" s="38" t="inlineStr">
        <is>
          <t>Datatech|Not provided · HRIS|Associate Consultant – Software Development|X1|X</t>
        </is>
      </c>
    </row>
    <row r="575" ht="110" customHeight="1">
      <c r="A575" s="28" t="inlineStr">
        <is>
          <t>iFile</t>
        </is>
      </c>
      <c r="B575" s="29" t="inlineStr">
        <is>
          <t>Technology</t>
        </is>
      </c>
      <c r="C575" s="29" t="n">
        <v>0</v>
      </c>
      <c r="D575" s="29" t="inlineStr">
        <is>
          <t>No Emp ID · external consultant</t>
        </is>
      </c>
      <c r="E575" s="29" t="inlineStr">
        <is>
          <t>Bhumika Viroja</t>
        </is>
      </c>
      <c r="F575" s="29" t="inlineStr">
        <is>
          <t>Consultant</t>
        </is>
      </c>
      <c r="G575" s="29" t="inlineStr">
        <is>
          <t>Associate Consultant – Software Development</t>
        </is>
      </c>
      <c r="H575" s="29" t="inlineStr">
        <is>
          <t>Engineering &amp; Development</t>
        </is>
      </c>
      <c r="I575" s="29" t="inlineStr">
        <is>
          <t>Backend Development</t>
        </is>
      </c>
      <c r="J575" s="29" t="inlineStr">
        <is>
          <t>Consultant</t>
        </is>
      </c>
      <c r="K575" s="29" t="inlineStr">
        <is>
          <t>RC-073</t>
        </is>
      </c>
      <c r="L575" s="29" t="inlineStr">
        <is>
          <t>Not provided · HRIS</t>
        </is>
      </c>
      <c r="M575" s="29" t="inlineStr">
        <is>
          <t>Not in this file</t>
        </is>
      </c>
      <c r="N575" s="29" t="inlineStr">
        <is>
          <t>Not provided · HRIS</t>
        </is>
      </c>
      <c r="O575" s="29" t="n">
        <v>2.4</v>
      </c>
      <c r="P575" s="29" t="inlineStr">
        <is>
          <t>Not provided · HRIS</t>
        </is>
      </c>
      <c r="Q575" s="29" t="inlineStr">
        <is>
          <t>—</t>
        </is>
      </c>
      <c r="R575" s="29" t="inlineStr">
        <is>
          <t>X1</t>
        </is>
      </c>
      <c r="S575" s="30" t="inlineStr">
        <is>
          <t>0 of 20</t>
        </is>
      </c>
      <c r="T575" s="32" t="inlineStr">
        <is>
          <t>No survey response on file</t>
        </is>
      </c>
      <c r="U575" s="32" t="inlineStr">
        <is>
          <t>KRAs not received · manager to supply</t>
        </is>
      </c>
      <c r="V575" s="31" t="inlineStr">
        <is>
          <t>Latest rating: Not rated · manager · Readiness: n/a · consultant</t>
        </is>
      </c>
      <c r="W575" s="31" t="inlineStr">
        <is>
          <t>Consultant · outside the ladder</t>
        </is>
      </c>
      <c r="X575" s="33" t="inlineStr">
        <is>
          <t>Open ▸</t>
        </is>
      </c>
      <c r="Y575" s="34" t="n"/>
      <c r="Z575" s="35" t="n"/>
      <c r="AA575" s="35" t="n"/>
      <c r="AB575" s="35" t="n"/>
      <c r="AC575" s="35" t="n"/>
      <c r="AD575" s="35" t="n"/>
      <c r="AE575" s="35" t="n"/>
      <c r="AF575" s="34" t="n"/>
      <c r="AG575" s="35" t="n"/>
      <c r="AH575" s="35" t="n"/>
      <c r="AI575" s="35" t="n"/>
      <c r="AJ575" s="35" t="n"/>
      <c r="AK575" s="35" t="n"/>
      <c r="AL575" s="35" t="n"/>
      <c r="AM575" s="36" t="n"/>
      <c r="AN575" s="37" t="n"/>
      <c r="AO575" s="37" t="n"/>
      <c r="AP575" s="37" t="n"/>
      <c r="AQ575" s="37" t="n"/>
      <c r="AR575" s="37" t="n"/>
      <c r="AS575" s="37" t="n"/>
      <c r="AT575" s="38" t="n"/>
      <c r="AU575" s="38" t="n"/>
      <c r="AV575" s="38" t="n"/>
      <c r="AW575" s="38" t="inlineStr">
        <is>
          <t>—</t>
        </is>
      </c>
      <c r="AX57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75" s="39" t="inlineStr">
        <is>
          <t>X1</t>
        </is>
      </c>
      <c r="AZ575" s="40" t="inlineStr">
        <is>
          <t xml:space="preserve">Band X · Consultant · </t>
        </is>
      </c>
      <c r="BA575" s="40" t="inlineStr">
        <is>
          <t>Model X1 from the six ratings, the market-derived weights and rules R1–R13 · then Consultant · outside the ladder</t>
        </is>
      </c>
      <c r="BB575" s="41" t="n"/>
      <c r="BC575" s="40" t="inlineStr">
        <is>
          <t>Consultant · outside the ladder</t>
        </is>
      </c>
      <c r="BD575" s="42">
        <f>IF(SUM(BM575,BN575,BO575,BP575,BQ575,BR575,BS575)=0,0,(BM575*BT575+BN575*BU575+BO575*BV575+BP575*BW575+BQ575*BX575+BR575*BY575+BS575*BZ575)/SUM(BM575,BN575,BO575,BP575,BQ575,BR575,BS575))</f>
        <v>0</v>
      </c>
      <c r="BE575" s="41" t="str">
        <f>IF(LEFT(AY575,1)="X",AY575,IF(OR(AY575="B+",AY575="C+"),INDEX(LAD_PC,MAX(1,MIN(14,MATCH(AY575,LAD_PC,0)+IF(BD575&gt;=0.5,1,IF(BD575&lt;=-0.5,-1,0))))),INDEX(LAD_STD,MAX(1,MIN(12,MATCH(AY575,LAD_STD,0)+IF(BD575&gt;=0.5,1,IF(BD575&lt;=-0.5,-1,0)))))))</f>
        <v>X1</v>
      </c>
      <c r="BF575" s="43" t="n"/>
      <c r="BG575" s="41" t="str">
        <f>IF(BF575&lt;&gt;"",BF575,BE575)</f>
        <v>X1</v>
      </c>
      <c r="BH575" s="40" t="str">
        <f>IFERROR(CHOOSE(INDEX(B_RANK,MATCH(BG575,B_LVL,0)),"Band A","Band B","B+ · Player-Coach","Band C","C+ · Player-Coach","Band D","Band E"),"Band X · Consultant")</f>
        <v>Band X · Consultant</v>
      </c>
      <c r="BI575" s="40" t="str">
        <f>IF(BG575=AY575,"• Same",IF(INDEX(B_VAL,MATCH(BG575,B_LVL,0))&gt;INDEX(B_VAL,MATCH(AY575,B_LVL,0)),"▲ Up","▼ Down"))</f>
        <v>• Same</v>
      </c>
      <c r="BJ575" s="40" t="str">
        <f>IF(OR($M575="",$M575="—",$M575="Not in this file"),"",IFERROR(INDEX($BG$7:$BG$592,MATCH($M575,$D$7:$D$592,0)),""))</f>
        <v/>
      </c>
      <c r="BK575" s="40" t="str">
        <f>IFERROR(IF(BJ575="","—",IF(OR(LEFT(BG575,1)="X",LEFT(BJ575,1)="X"),"—",IF(AND(LEFT(BG575,1)="E",LEFT(BJ575,1)="E"),"Exception · Band E",IF(AND(INDEX(B_VAL,MATCH(BJ575,B_LVL,0))&gt;=7,INDEX(B_RANK,MATCH(BG575,B_LVL,0))&gt;=INDEX(B_RANK,MATCH(BJ575,B_LVL,0))),"⚠ Same band as a head manager",IF(INDEX(B_VAL,MATCH(BG575,B_LVL,0))&gt;=INDEX(B_VAL,MATCH(BJ575,B_LVL,0)),"⚠ At or above the manager's level","OK"))))),"—")</f>
        <v>—</v>
      </c>
      <c r="BL575" s="43" t="n"/>
      <c r="BM575" s="44">
        <f>IFERROR(INDEX(LMH_PTS,MATCH(Y575,LMH_KEY,0)),0)</f>
        <v>0</v>
      </c>
      <c r="BN575" s="38">
        <f>IFERROR(INDEX(LMH_PTS,MATCH(Z575,LMH_KEY,0)),0)</f>
        <v>0</v>
      </c>
      <c r="BO575" s="38">
        <f>IFERROR(INDEX(LMH_PTS,MATCH(AA575,LMH_KEY,0)),0)</f>
        <v>0</v>
      </c>
      <c r="BP575" s="38">
        <f>IFERROR(INDEX(LMH_PTS,MATCH(AB575,LMH_KEY,0)),0)</f>
        <v>0</v>
      </c>
      <c r="BQ575" s="38">
        <f>IFERROR(INDEX(LMH_PTS,MATCH(AC575,LMH_KEY,0)),0)</f>
        <v>0</v>
      </c>
      <c r="BR575" s="38">
        <f>IFERROR(INDEX(LMH_PTS,MATCH(AD575,LMH_KEY,0)),0)</f>
        <v>0</v>
      </c>
      <c r="BS575" s="38">
        <f>IFERROR(INDEX(LMH_PTS,MATCH(AE575,LMH_KEY,0)),0)</f>
        <v>0</v>
      </c>
      <c r="BT575" s="38">
        <f>IFERROR(INDEX(LMH_STEP,MATCH(AF575,LMH_KEY,0)),0)</f>
        <v>0</v>
      </c>
      <c r="BU575" s="38">
        <f>IFERROR(INDEX(LMH_STEP,MATCH(AG575,LMH_KEY,0)),0)</f>
        <v>0</v>
      </c>
      <c r="BV575" s="38">
        <f>IFERROR(INDEX(LMH_STEP,MATCH(AH575,LMH_KEY,0)),0)</f>
        <v>0</v>
      </c>
      <c r="BW575" s="38">
        <f>IFERROR(INDEX(LMH_STEP,MATCH(AI575,LMH_KEY,0)),0)</f>
        <v>0</v>
      </c>
      <c r="BX575" s="38">
        <f>IFERROR(INDEX(LMH_STEP,MATCH(AJ575,LMH_KEY,0)),0)</f>
        <v>0</v>
      </c>
      <c r="BY575" s="38">
        <f>IFERROR(INDEX(LMH_STEP,MATCH(AK575,LMH_KEY,0)),0)</f>
        <v>0</v>
      </c>
      <c r="BZ575" s="38">
        <f>IFERROR(INDEX(LMH_STEP,MATCH(AL575,LMH_KEY,0)),0)</f>
        <v>0</v>
      </c>
      <c r="CA575" s="38" t="inlineStr">
        <is>
          <t>iFile|Technology|Associate Consultant – Software Development|X1|X</t>
        </is>
      </c>
    </row>
    <row r="576" ht="110" customHeight="1">
      <c r="A576" s="28" t="inlineStr">
        <is>
          <t>iFile</t>
        </is>
      </c>
      <c r="B576" s="29" t="inlineStr">
        <is>
          <t>Technology</t>
        </is>
      </c>
      <c r="C576" s="29" t="n">
        <v>0</v>
      </c>
      <c r="D576" s="29" t="inlineStr">
        <is>
          <t>No Emp ID · external consultant</t>
        </is>
      </c>
      <c r="E576" s="29" t="inlineStr">
        <is>
          <t>Dhruv Patel</t>
        </is>
      </c>
      <c r="F576" s="29" t="inlineStr">
        <is>
          <t>Consultant</t>
        </is>
      </c>
      <c r="G576" s="29" t="inlineStr">
        <is>
          <t>Associate Consultant – Software Development</t>
        </is>
      </c>
      <c r="H576" s="29" t="inlineStr">
        <is>
          <t>Engineering &amp; Development</t>
        </is>
      </c>
      <c r="I576" s="29" t="inlineStr">
        <is>
          <t>Backend Development</t>
        </is>
      </c>
      <c r="J576" s="29" t="inlineStr">
        <is>
          <t>Consultant</t>
        </is>
      </c>
      <c r="K576" s="29" t="inlineStr">
        <is>
          <t>RC-073</t>
        </is>
      </c>
      <c r="L576" s="29" t="inlineStr">
        <is>
          <t>Not provided · HRIS</t>
        </is>
      </c>
      <c r="M576" s="29" t="inlineStr">
        <is>
          <t>Not in this file</t>
        </is>
      </c>
      <c r="N576" s="29" t="inlineStr">
        <is>
          <t>Not provided · HRIS</t>
        </is>
      </c>
      <c r="O576" s="29" t="n">
        <v>2.2</v>
      </c>
      <c r="P576" s="29" t="inlineStr">
        <is>
          <t>Not provided · HRIS</t>
        </is>
      </c>
      <c r="Q576" s="29" t="inlineStr">
        <is>
          <t>—</t>
        </is>
      </c>
      <c r="R576" s="29" t="inlineStr">
        <is>
          <t>X1</t>
        </is>
      </c>
      <c r="S576" s="30" t="inlineStr">
        <is>
          <t>0 of 20</t>
        </is>
      </c>
      <c r="T576" s="32" t="inlineStr">
        <is>
          <t>No survey response on file</t>
        </is>
      </c>
      <c r="U576" s="32" t="inlineStr">
        <is>
          <t>KRAs not received · manager to supply</t>
        </is>
      </c>
      <c r="V576" s="31" t="inlineStr">
        <is>
          <t>Latest rating: Not rated · manager · Readiness: n/a · consultant</t>
        </is>
      </c>
      <c r="W576" s="31" t="inlineStr">
        <is>
          <t>Consultant · outside the ladder</t>
        </is>
      </c>
      <c r="X576" s="33" t="inlineStr">
        <is>
          <t>Open ▸</t>
        </is>
      </c>
      <c r="Y576" s="34" t="n"/>
      <c r="Z576" s="35" t="n"/>
      <c r="AA576" s="35" t="n"/>
      <c r="AB576" s="35" t="n"/>
      <c r="AC576" s="35" t="n"/>
      <c r="AD576" s="35" t="n"/>
      <c r="AE576" s="35" t="n"/>
      <c r="AF576" s="34" t="n"/>
      <c r="AG576" s="35" t="n"/>
      <c r="AH576" s="35" t="n"/>
      <c r="AI576" s="35" t="n"/>
      <c r="AJ576" s="35" t="n"/>
      <c r="AK576" s="35" t="n"/>
      <c r="AL576" s="35" t="n"/>
      <c r="AM576" s="36" t="n"/>
      <c r="AN576" s="37" t="n"/>
      <c r="AO576" s="37" t="n"/>
      <c r="AP576" s="37" t="n"/>
      <c r="AQ576" s="37" t="n"/>
      <c r="AR576" s="37" t="n"/>
      <c r="AS576" s="37" t="n"/>
      <c r="AT576" s="38" t="n"/>
      <c r="AU576" s="38" t="n"/>
      <c r="AV576" s="38" t="n"/>
      <c r="AW576" s="38" t="inlineStr">
        <is>
          <t>—</t>
        </is>
      </c>
      <c r="AX57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76" s="39" t="inlineStr">
        <is>
          <t>X1</t>
        </is>
      </c>
      <c r="AZ576" s="40" t="inlineStr">
        <is>
          <t xml:space="preserve">Band X · Consultant · </t>
        </is>
      </c>
      <c r="BA576" s="40" t="inlineStr">
        <is>
          <t>Model X1 from the six ratings, the market-derived weights and rules R1–R13 · then Consultant · outside the ladder</t>
        </is>
      </c>
      <c r="BB576" s="41" t="n"/>
      <c r="BC576" s="40" t="inlineStr">
        <is>
          <t>Consultant · outside the ladder</t>
        </is>
      </c>
      <c r="BD576" s="42">
        <f>IF(SUM(BM576,BN576,BO576,BP576,BQ576,BR576,BS576)=0,0,(BM576*BT576+BN576*BU576+BO576*BV576+BP576*BW576+BQ576*BX576+BR576*BY576+BS576*BZ576)/SUM(BM576,BN576,BO576,BP576,BQ576,BR576,BS576))</f>
        <v>0</v>
      </c>
      <c r="BE576" s="41" t="str">
        <f>IF(LEFT(AY576,1)="X",AY576,IF(OR(AY576="B+",AY576="C+"),INDEX(LAD_PC,MAX(1,MIN(14,MATCH(AY576,LAD_PC,0)+IF(BD576&gt;=0.5,1,IF(BD576&lt;=-0.5,-1,0))))),INDEX(LAD_STD,MAX(1,MIN(12,MATCH(AY576,LAD_STD,0)+IF(BD576&gt;=0.5,1,IF(BD576&lt;=-0.5,-1,0)))))))</f>
        <v>X1</v>
      </c>
      <c r="BF576" s="43" t="n"/>
      <c r="BG576" s="41" t="str">
        <f>IF(BF576&lt;&gt;"",BF576,BE576)</f>
        <v>X1</v>
      </c>
      <c r="BH576" s="40" t="str">
        <f>IFERROR(CHOOSE(INDEX(B_RANK,MATCH(BG576,B_LVL,0)),"Band A","Band B","B+ · Player-Coach","Band C","C+ · Player-Coach","Band D","Band E"),"Band X · Consultant")</f>
        <v>Band X · Consultant</v>
      </c>
      <c r="BI576" s="40" t="str">
        <f>IF(BG576=AY576,"• Same",IF(INDEX(B_VAL,MATCH(BG576,B_LVL,0))&gt;INDEX(B_VAL,MATCH(AY576,B_LVL,0)),"▲ Up","▼ Down"))</f>
        <v>• Same</v>
      </c>
      <c r="BJ576" s="40" t="str">
        <f>IF(OR($M576="",$M576="—",$M576="Not in this file"),"",IFERROR(INDEX($BG$7:$BG$592,MATCH($M576,$D$7:$D$592,0)),""))</f>
        <v/>
      </c>
      <c r="BK576" s="40" t="str">
        <f>IFERROR(IF(BJ576="","—",IF(OR(LEFT(BG576,1)="X",LEFT(BJ576,1)="X"),"—",IF(AND(LEFT(BG576,1)="E",LEFT(BJ576,1)="E"),"Exception · Band E",IF(AND(INDEX(B_VAL,MATCH(BJ576,B_LVL,0))&gt;=7,INDEX(B_RANK,MATCH(BG576,B_LVL,0))&gt;=INDEX(B_RANK,MATCH(BJ576,B_LVL,0))),"⚠ Same band as a head manager",IF(INDEX(B_VAL,MATCH(BG576,B_LVL,0))&gt;=INDEX(B_VAL,MATCH(BJ576,B_LVL,0)),"⚠ At or above the manager's level","OK"))))),"—")</f>
        <v>—</v>
      </c>
      <c r="BL576" s="43" t="n"/>
      <c r="BM576" s="44">
        <f>IFERROR(INDEX(LMH_PTS,MATCH(Y576,LMH_KEY,0)),0)</f>
        <v>0</v>
      </c>
      <c r="BN576" s="38">
        <f>IFERROR(INDEX(LMH_PTS,MATCH(Z576,LMH_KEY,0)),0)</f>
        <v>0</v>
      </c>
      <c r="BO576" s="38">
        <f>IFERROR(INDEX(LMH_PTS,MATCH(AA576,LMH_KEY,0)),0)</f>
        <v>0</v>
      </c>
      <c r="BP576" s="38">
        <f>IFERROR(INDEX(LMH_PTS,MATCH(AB576,LMH_KEY,0)),0)</f>
        <v>0</v>
      </c>
      <c r="BQ576" s="38">
        <f>IFERROR(INDEX(LMH_PTS,MATCH(AC576,LMH_KEY,0)),0)</f>
        <v>0</v>
      </c>
      <c r="BR576" s="38">
        <f>IFERROR(INDEX(LMH_PTS,MATCH(AD576,LMH_KEY,0)),0)</f>
        <v>0</v>
      </c>
      <c r="BS576" s="38">
        <f>IFERROR(INDEX(LMH_PTS,MATCH(AE576,LMH_KEY,0)),0)</f>
        <v>0</v>
      </c>
      <c r="BT576" s="38">
        <f>IFERROR(INDEX(LMH_STEP,MATCH(AF576,LMH_KEY,0)),0)</f>
        <v>0</v>
      </c>
      <c r="BU576" s="38">
        <f>IFERROR(INDEX(LMH_STEP,MATCH(AG576,LMH_KEY,0)),0)</f>
        <v>0</v>
      </c>
      <c r="BV576" s="38">
        <f>IFERROR(INDEX(LMH_STEP,MATCH(AH576,LMH_KEY,0)),0)</f>
        <v>0</v>
      </c>
      <c r="BW576" s="38">
        <f>IFERROR(INDEX(LMH_STEP,MATCH(AI576,LMH_KEY,0)),0)</f>
        <v>0</v>
      </c>
      <c r="BX576" s="38">
        <f>IFERROR(INDEX(LMH_STEP,MATCH(AJ576,LMH_KEY,0)),0)</f>
        <v>0</v>
      </c>
      <c r="BY576" s="38">
        <f>IFERROR(INDEX(LMH_STEP,MATCH(AK576,LMH_KEY,0)),0)</f>
        <v>0</v>
      </c>
      <c r="BZ576" s="38">
        <f>IFERROR(INDEX(LMH_STEP,MATCH(AL576,LMH_KEY,0)),0)</f>
        <v>0</v>
      </c>
      <c r="CA576" s="38" t="inlineStr">
        <is>
          <t>iFile|Technology|Associate Consultant – Software Development|X1|X</t>
        </is>
      </c>
    </row>
    <row r="577" ht="110" customHeight="1">
      <c r="A577" s="28" t="inlineStr">
        <is>
          <t>iFile</t>
        </is>
      </c>
      <c r="B577" s="29" t="inlineStr">
        <is>
          <t>Technology</t>
        </is>
      </c>
      <c r="C577" s="29" t="n">
        <v>0</v>
      </c>
      <c r="D577" s="29" t="inlineStr">
        <is>
          <t>No Emp ID · external consultant</t>
        </is>
      </c>
      <c r="E577" s="29" t="inlineStr">
        <is>
          <t>Dinesh Choudhary</t>
        </is>
      </c>
      <c r="F577" s="29" t="inlineStr">
        <is>
          <t>Consultant</t>
        </is>
      </c>
      <c r="G577" s="29" t="inlineStr">
        <is>
          <t>Associate Consultant – Software Development</t>
        </is>
      </c>
      <c r="H577" s="29" t="inlineStr">
        <is>
          <t>Engineering &amp; Development</t>
        </is>
      </c>
      <c r="I577" s="29" t="inlineStr">
        <is>
          <t>Backend Development</t>
        </is>
      </c>
      <c r="J577" s="29" t="inlineStr">
        <is>
          <t>Consultant</t>
        </is>
      </c>
      <c r="K577" s="29" t="inlineStr">
        <is>
          <t>RC-073</t>
        </is>
      </c>
      <c r="L577" s="29" t="inlineStr">
        <is>
          <t>Not provided · HRIS</t>
        </is>
      </c>
      <c r="M577" s="29" t="inlineStr">
        <is>
          <t>Not in this file</t>
        </is>
      </c>
      <c r="N577" s="29" t="n">
        <v>5.5</v>
      </c>
      <c r="O577" s="29" t="n">
        <v>1.5</v>
      </c>
      <c r="P577" s="29" t="inlineStr">
        <is>
          <t>Not provided · HRIS</t>
        </is>
      </c>
      <c r="Q577" s="29" t="inlineStr">
        <is>
          <t>L3 – Professional / Associate</t>
        </is>
      </c>
      <c r="R577" s="29" t="inlineStr">
        <is>
          <t>X1</t>
        </is>
      </c>
      <c r="S577" s="30" t="inlineStr">
        <is>
          <t>0 of 20</t>
        </is>
      </c>
      <c r="T577" s="32" t="inlineStr">
        <is>
          <t>No survey response on file</t>
        </is>
      </c>
      <c r="U577" s="31" t="inlineStr">
        <is>
          <t>Received · manager annual, quarterly, self · 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t>
        </is>
      </c>
      <c r="V577" s="31" t="inlineStr">
        <is>
          <t>Latest rating: Not rated · manager · Readiness: n/a · consultant</t>
        </is>
      </c>
      <c r="W577" s="31" t="inlineStr">
        <is>
          <t>Consultant · outside the ladder</t>
        </is>
      </c>
      <c r="X577" s="33" t="inlineStr">
        <is>
          <t>Open ▸</t>
        </is>
      </c>
      <c r="Y577" s="34" t="n"/>
      <c r="Z577" s="35" t="n"/>
      <c r="AA577" s="35" t="n"/>
      <c r="AB577" s="35" t="n"/>
      <c r="AC577" s="35" t="n"/>
      <c r="AD577" s="35" t="n"/>
      <c r="AE577" s="35" t="n"/>
      <c r="AF577" s="34" t="n"/>
      <c r="AG577" s="35" t="n"/>
      <c r="AH577" s="35" t="n"/>
      <c r="AI577" s="35" t="n"/>
      <c r="AJ577" s="35" t="n"/>
      <c r="AK577" s="35" t="n"/>
      <c r="AL577" s="35" t="n"/>
      <c r="AM577" s="36" t="n"/>
      <c r="AN577" s="37" t="n"/>
      <c r="AO577" s="37" t="n"/>
      <c r="AP577" s="37" t="n"/>
      <c r="AQ577" s="37" t="n"/>
      <c r="AR577" s="37" t="n"/>
      <c r="AS577" s="37" t="n"/>
      <c r="AT577" s="38" t="n"/>
      <c r="AU577" s="38" t="n"/>
      <c r="AV577" s="38" t="n"/>
      <c r="AW577" s="38" t="inlineStr">
        <is>
          <t>—</t>
        </is>
      </c>
      <c r="AX57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77" s="39" t="inlineStr">
        <is>
          <t>X1</t>
        </is>
      </c>
      <c r="AZ577" s="40" t="inlineStr">
        <is>
          <t xml:space="preserve">Band X · Consultant · </t>
        </is>
      </c>
      <c r="BA577" s="40" t="inlineStr">
        <is>
          <t>Model X1 from the six ratings, the market-derived weights and rules R1–R13 · then Consultant · outside the ladder</t>
        </is>
      </c>
      <c r="BB577" s="41" t="n"/>
      <c r="BC577" s="40" t="inlineStr">
        <is>
          <t>Consultant · outside the ladder</t>
        </is>
      </c>
      <c r="BD577" s="42">
        <f>IF(SUM(BM577,BN577,BO577,BP577,BQ577,BR577,BS577)=0,0,(BM577*BT577+BN577*BU577+BO577*BV577+BP577*BW577+BQ577*BX577+BR577*BY577+BS577*BZ577)/SUM(BM577,BN577,BO577,BP577,BQ577,BR577,BS577))</f>
        <v>0</v>
      </c>
      <c r="BE577" s="41" t="str">
        <f>IF(LEFT(AY577,1)="X",AY577,IF(OR(AY577="B+",AY577="C+"),INDEX(LAD_PC,MAX(1,MIN(14,MATCH(AY577,LAD_PC,0)+IF(BD577&gt;=0.5,1,IF(BD577&lt;=-0.5,-1,0))))),INDEX(LAD_STD,MAX(1,MIN(12,MATCH(AY577,LAD_STD,0)+IF(BD577&gt;=0.5,1,IF(BD577&lt;=-0.5,-1,0)))))))</f>
        <v>X1</v>
      </c>
      <c r="BF577" s="43" t="n"/>
      <c r="BG577" s="41" t="str">
        <f>IF(BF577&lt;&gt;"",BF577,BE577)</f>
        <v>X1</v>
      </c>
      <c r="BH577" s="40" t="str">
        <f>IFERROR(CHOOSE(INDEX(B_RANK,MATCH(BG577,B_LVL,0)),"Band A","Band B","B+ · Player-Coach","Band C","C+ · Player-Coach","Band D","Band E"),"Band X · Consultant")</f>
        <v>Band X · Consultant</v>
      </c>
      <c r="BI577" s="40" t="str">
        <f>IF(BG577=AY577,"• Same",IF(INDEX(B_VAL,MATCH(BG577,B_LVL,0))&gt;INDEX(B_VAL,MATCH(AY577,B_LVL,0)),"▲ Up","▼ Down"))</f>
        <v>• Same</v>
      </c>
      <c r="BJ577" s="40" t="str">
        <f>IF(OR($M577="",$M577="—",$M577="Not in this file"),"",IFERROR(INDEX($BG$7:$BG$592,MATCH($M577,$D$7:$D$592,0)),""))</f>
        <v/>
      </c>
      <c r="BK577" s="40" t="str">
        <f>IFERROR(IF(BJ577="","—",IF(OR(LEFT(BG577,1)="X",LEFT(BJ577,1)="X"),"—",IF(AND(LEFT(BG577,1)="E",LEFT(BJ577,1)="E"),"Exception · Band E",IF(AND(INDEX(B_VAL,MATCH(BJ577,B_LVL,0))&gt;=7,INDEX(B_RANK,MATCH(BG577,B_LVL,0))&gt;=INDEX(B_RANK,MATCH(BJ577,B_LVL,0))),"⚠ Same band as a head manager",IF(INDEX(B_VAL,MATCH(BG577,B_LVL,0))&gt;=INDEX(B_VAL,MATCH(BJ577,B_LVL,0)),"⚠ At or above the manager's level","OK"))))),"—")</f>
        <v>—</v>
      </c>
      <c r="BL577" s="43" t="n"/>
      <c r="BM577" s="44">
        <f>IFERROR(INDEX(LMH_PTS,MATCH(Y577,LMH_KEY,0)),0)</f>
        <v>0</v>
      </c>
      <c r="BN577" s="38">
        <f>IFERROR(INDEX(LMH_PTS,MATCH(Z577,LMH_KEY,0)),0)</f>
        <v>0</v>
      </c>
      <c r="BO577" s="38">
        <f>IFERROR(INDEX(LMH_PTS,MATCH(AA577,LMH_KEY,0)),0)</f>
        <v>0</v>
      </c>
      <c r="BP577" s="38">
        <f>IFERROR(INDEX(LMH_PTS,MATCH(AB577,LMH_KEY,0)),0)</f>
        <v>0</v>
      </c>
      <c r="BQ577" s="38">
        <f>IFERROR(INDEX(LMH_PTS,MATCH(AC577,LMH_KEY,0)),0)</f>
        <v>0</v>
      </c>
      <c r="BR577" s="38">
        <f>IFERROR(INDEX(LMH_PTS,MATCH(AD577,LMH_KEY,0)),0)</f>
        <v>0</v>
      </c>
      <c r="BS577" s="38">
        <f>IFERROR(INDEX(LMH_PTS,MATCH(AE577,LMH_KEY,0)),0)</f>
        <v>0</v>
      </c>
      <c r="BT577" s="38">
        <f>IFERROR(INDEX(LMH_STEP,MATCH(AF577,LMH_KEY,0)),0)</f>
        <v>0</v>
      </c>
      <c r="BU577" s="38">
        <f>IFERROR(INDEX(LMH_STEP,MATCH(AG577,LMH_KEY,0)),0)</f>
        <v>0</v>
      </c>
      <c r="BV577" s="38">
        <f>IFERROR(INDEX(LMH_STEP,MATCH(AH577,LMH_KEY,0)),0)</f>
        <v>0</v>
      </c>
      <c r="BW577" s="38">
        <f>IFERROR(INDEX(LMH_STEP,MATCH(AI577,LMH_KEY,0)),0)</f>
        <v>0</v>
      </c>
      <c r="BX577" s="38">
        <f>IFERROR(INDEX(LMH_STEP,MATCH(AJ577,LMH_KEY,0)),0)</f>
        <v>0</v>
      </c>
      <c r="BY577" s="38">
        <f>IFERROR(INDEX(LMH_STEP,MATCH(AK577,LMH_KEY,0)),0)</f>
        <v>0</v>
      </c>
      <c r="BZ577" s="38">
        <f>IFERROR(INDEX(LMH_STEP,MATCH(AL577,LMH_KEY,0)),0)</f>
        <v>0</v>
      </c>
      <c r="CA577" s="38" t="inlineStr">
        <is>
          <t>iFile|Technology|Associate Consultant – Software Development|X1|X</t>
        </is>
      </c>
    </row>
    <row r="578" ht="110" customHeight="1">
      <c r="A578" s="28" t="inlineStr">
        <is>
          <t>iFile</t>
        </is>
      </c>
      <c r="B578" s="29" t="inlineStr">
        <is>
          <t>Technology</t>
        </is>
      </c>
      <c r="C578" s="29" t="n">
        <v>0</v>
      </c>
      <c r="D578" s="29" t="inlineStr">
        <is>
          <t>No Emp ID · external consultant</t>
        </is>
      </c>
      <c r="E578" s="29" t="inlineStr">
        <is>
          <t>Falguni</t>
        </is>
      </c>
      <c r="F578" s="29" t="inlineStr">
        <is>
          <t>Consultant</t>
        </is>
      </c>
      <c r="G578" s="29" t="inlineStr">
        <is>
          <t>Associate Consultant – Software Development</t>
        </is>
      </c>
      <c r="H578" s="29" t="inlineStr">
        <is>
          <t>Engineering &amp; Development</t>
        </is>
      </c>
      <c r="I578" s="29" t="inlineStr">
        <is>
          <t>Backend Development</t>
        </is>
      </c>
      <c r="J578" s="29" t="inlineStr">
        <is>
          <t>Consultant</t>
        </is>
      </c>
      <c r="K578" s="29" t="inlineStr">
        <is>
          <t>RC-073</t>
        </is>
      </c>
      <c r="L578" s="29" t="inlineStr">
        <is>
          <t>Not provided · HRIS</t>
        </is>
      </c>
      <c r="M578" s="29" t="inlineStr">
        <is>
          <t>Not in this file</t>
        </is>
      </c>
      <c r="N578" s="29" t="inlineStr">
        <is>
          <t>Not provided · HRIS</t>
        </is>
      </c>
      <c r="O578" s="29" t="n">
        <v>0.6</v>
      </c>
      <c r="P578" s="29" t="inlineStr">
        <is>
          <t>Not provided · HRIS</t>
        </is>
      </c>
      <c r="Q578" s="29" t="inlineStr">
        <is>
          <t>—</t>
        </is>
      </c>
      <c r="R578" s="29" t="inlineStr">
        <is>
          <t>X1</t>
        </is>
      </c>
      <c r="S578" s="30" t="inlineStr">
        <is>
          <t>0 of 20</t>
        </is>
      </c>
      <c r="T578" s="32" t="inlineStr">
        <is>
          <t>No survey response on file</t>
        </is>
      </c>
      <c r="U578" s="32" t="inlineStr">
        <is>
          <t>KRAs not received · manager to supply</t>
        </is>
      </c>
      <c r="V578" s="31" t="inlineStr">
        <is>
          <t>Latest rating: Not rated · manager · Readiness: n/a · consultant</t>
        </is>
      </c>
      <c r="W578" s="31" t="inlineStr">
        <is>
          <t>Consultant · outside the ladder</t>
        </is>
      </c>
      <c r="X578" s="33" t="inlineStr">
        <is>
          <t>Open ▸</t>
        </is>
      </c>
      <c r="Y578" s="34" t="n"/>
      <c r="Z578" s="35" t="n"/>
      <c r="AA578" s="35" t="n"/>
      <c r="AB578" s="35" t="n"/>
      <c r="AC578" s="35" t="n"/>
      <c r="AD578" s="35" t="n"/>
      <c r="AE578" s="35" t="n"/>
      <c r="AF578" s="34" t="n"/>
      <c r="AG578" s="35" t="n"/>
      <c r="AH578" s="35" t="n"/>
      <c r="AI578" s="35" t="n"/>
      <c r="AJ578" s="35" t="n"/>
      <c r="AK578" s="35" t="n"/>
      <c r="AL578" s="35" t="n"/>
      <c r="AM578" s="36" t="n"/>
      <c r="AN578" s="37" t="n"/>
      <c r="AO578" s="37" t="n"/>
      <c r="AP578" s="37" t="n"/>
      <c r="AQ578" s="37" t="n"/>
      <c r="AR578" s="37" t="n"/>
      <c r="AS578" s="37" t="n"/>
      <c r="AT578" s="38" t="n"/>
      <c r="AU578" s="38" t="n"/>
      <c r="AV578" s="38" t="n"/>
      <c r="AW578" s="38" t="inlineStr">
        <is>
          <t>—</t>
        </is>
      </c>
      <c r="AX57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78" s="39" t="inlineStr">
        <is>
          <t>X1</t>
        </is>
      </c>
      <c r="AZ578" s="40" t="inlineStr">
        <is>
          <t xml:space="preserve">Band X · Consultant · </t>
        </is>
      </c>
      <c r="BA578" s="40" t="inlineStr">
        <is>
          <t>Model X1 from the six ratings, the market-derived weights and rules R1–R13 · then Consultant · outside the ladder</t>
        </is>
      </c>
      <c r="BB578" s="41" t="n"/>
      <c r="BC578" s="40" t="inlineStr">
        <is>
          <t>Consultant · outside the ladder</t>
        </is>
      </c>
      <c r="BD578" s="42">
        <f>IF(SUM(BM578,BN578,BO578,BP578,BQ578,BR578,BS578)=0,0,(BM578*BT578+BN578*BU578+BO578*BV578+BP578*BW578+BQ578*BX578+BR578*BY578+BS578*BZ578)/SUM(BM578,BN578,BO578,BP578,BQ578,BR578,BS578))</f>
        <v>0</v>
      </c>
      <c r="BE578" s="41" t="str">
        <f>IF(LEFT(AY578,1)="X",AY578,IF(OR(AY578="B+",AY578="C+"),INDEX(LAD_PC,MAX(1,MIN(14,MATCH(AY578,LAD_PC,0)+IF(BD578&gt;=0.5,1,IF(BD578&lt;=-0.5,-1,0))))),INDEX(LAD_STD,MAX(1,MIN(12,MATCH(AY578,LAD_STD,0)+IF(BD578&gt;=0.5,1,IF(BD578&lt;=-0.5,-1,0)))))))</f>
        <v>X1</v>
      </c>
      <c r="BF578" s="43" t="n"/>
      <c r="BG578" s="41" t="str">
        <f>IF(BF578&lt;&gt;"",BF578,BE578)</f>
        <v>X1</v>
      </c>
      <c r="BH578" s="40" t="str">
        <f>IFERROR(CHOOSE(INDEX(B_RANK,MATCH(BG578,B_LVL,0)),"Band A","Band B","B+ · Player-Coach","Band C","C+ · Player-Coach","Band D","Band E"),"Band X · Consultant")</f>
        <v>Band X · Consultant</v>
      </c>
      <c r="BI578" s="40" t="str">
        <f>IF(BG578=AY578,"• Same",IF(INDEX(B_VAL,MATCH(BG578,B_LVL,0))&gt;INDEX(B_VAL,MATCH(AY578,B_LVL,0)),"▲ Up","▼ Down"))</f>
        <v>• Same</v>
      </c>
      <c r="BJ578" s="40" t="str">
        <f>IF(OR($M578="",$M578="—",$M578="Not in this file"),"",IFERROR(INDEX($BG$7:$BG$592,MATCH($M578,$D$7:$D$592,0)),""))</f>
        <v/>
      </c>
      <c r="BK578" s="40" t="str">
        <f>IFERROR(IF(BJ578="","—",IF(OR(LEFT(BG578,1)="X",LEFT(BJ578,1)="X"),"—",IF(AND(LEFT(BG578,1)="E",LEFT(BJ578,1)="E"),"Exception · Band E",IF(AND(INDEX(B_VAL,MATCH(BJ578,B_LVL,0))&gt;=7,INDEX(B_RANK,MATCH(BG578,B_LVL,0))&gt;=INDEX(B_RANK,MATCH(BJ578,B_LVL,0))),"⚠ Same band as a head manager",IF(INDEX(B_VAL,MATCH(BG578,B_LVL,0))&gt;=INDEX(B_VAL,MATCH(BJ578,B_LVL,0)),"⚠ At or above the manager's level","OK"))))),"—")</f>
        <v>—</v>
      </c>
      <c r="BL578" s="43" t="n"/>
      <c r="BM578" s="44">
        <f>IFERROR(INDEX(LMH_PTS,MATCH(Y578,LMH_KEY,0)),0)</f>
        <v>0</v>
      </c>
      <c r="BN578" s="38">
        <f>IFERROR(INDEX(LMH_PTS,MATCH(Z578,LMH_KEY,0)),0)</f>
        <v>0</v>
      </c>
      <c r="BO578" s="38">
        <f>IFERROR(INDEX(LMH_PTS,MATCH(AA578,LMH_KEY,0)),0)</f>
        <v>0</v>
      </c>
      <c r="BP578" s="38">
        <f>IFERROR(INDEX(LMH_PTS,MATCH(AB578,LMH_KEY,0)),0)</f>
        <v>0</v>
      </c>
      <c r="BQ578" s="38">
        <f>IFERROR(INDEX(LMH_PTS,MATCH(AC578,LMH_KEY,0)),0)</f>
        <v>0</v>
      </c>
      <c r="BR578" s="38">
        <f>IFERROR(INDEX(LMH_PTS,MATCH(AD578,LMH_KEY,0)),0)</f>
        <v>0</v>
      </c>
      <c r="BS578" s="38">
        <f>IFERROR(INDEX(LMH_PTS,MATCH(AE578,LMH_KEY,0)),0)</f>
        <v>0</v>
      </c>
      <c r="BT578" s="38">
        <f>IFERROR(INDEX(LMH_STEP,MATCH(AF578,LMH_KEY,0)),0)</f>
        <v>0</v>
      </c>
      <c r="BU578" s="38">
        <f>IFERROR(INDEX(LMH_STEP,MATCH(AG578,LMH_KEY,0)),0)</f>
        <v>0</v>
      </c>
      <c r="BV578" s="38">
        <f>IFERROR(INDEX(LMH_STEP,MATCH(AH578,LMH_KEY,0)),0)</f>
        <v>0</v>
      </c>
      <c r="BW578" s="38">
        <f>IFERROR(INDEX(LMH_STEP,MATCH(AI578,LMH_KEY,0)),0)</f>
        <v>0</v>
      </c>
      <c r="BX578" s="38">
        <f>IFERROR(INDEX(LMH_STEP,MATCH(AJ578,LMH_KEY,0)),0)</f>
        <v>0</v>
      </c>
      <c r="BY578" s="38">
        <f>IFERROR(INDEX(LMH_STEP,MATCH(AK578,LMH_KEY,0)),0)</f>
        <v>0</v>
      </c>
      <c r="BZ578" s="38">
        <f>IFERROR(INDEX(LMH_STEP,MATCH(AL578,LMH_KEY,0)),0)</f>
        <v>0</v>
      </c>
      <c r="CA578" s="38" t="inlineStr">
        <is>
          <t>iFile|Technology|Associate Consultant – Software Development|X1|X</t>
        </is>
      </c>
    </row>
    <row r="579" ht="110" customHeight="1">
      <c r="A579" s="28" t="inlineStr">
        <is>
          <t>iFile</t>
        </is>
      </c>
      <c r="B579" s="29" t="inlineStr">
        <is>
          <t>Technology</t>
        </is>
      </c>
      <c r="C579" s="29" t="n">
        <v>0</v>
      </c>
      <c r="D579" s="29" t="inlineStr">
        <is>
          <t>No Emp ID · external consultant</t>
        </is>
      </c>
      <c r="E579" s="29" t="inlineStr">
        <is>
          <t>Hardikraja</t>
        </is>
      </c>
      <c r="F579" s="29" t="inlineStr">
        <is>
          <t>Consultant</t>
        </is>
      </c>
      <c r="G579" s="29" t="inlineStr">
        <is>
          <t>Associate Consultant – Software Development</t>
        </is>
      </c>
      <c r="H579" s="29" t="inlineStr">
        <is>
          <t>Engineering &amp; Development</t>
        </is>
      </c>
      <c r="I579" s="29" t="inlineStr">
        <is>
          <t>Backend Development</t>
        </is>
      </c>
      <c r="J579" s="29" t="inlineStr">
        <is>
          <t>Consultant</t>
        </is>
      </c>
      <c r="K579" s="29" t="inlineStr">
        <is>
          <t>RC-073</t>
        </is>
      </c>
      <c r="L579" s="29" t="inlineStr">
        <is>
          <t>Not provided · HRIS</t>
        </is>
      </c>
      <c r="M579" s="29" t="inlineStr">
        <is>
          <t>Not in this file</t>
        </is>
      </c>
      <c r="N579" s="29" t="inlineStr">
        <is>
          <t>Not provided · HRIS</t>
        </is>
      </c>
      <c r="O579" s="29" t="n">
        <v>0.6</v>
      </c>
      <c r="P579" s="29" t="inlineStr">
        <is>
          <t>Not provided · HRIS</t>
        </is>
      </c>
      <c r="Q579" s="29" t="inlineStr">
        <is>
          <t>—</t>
        </is>
      </c>
      <c r="R579" s="29" t="inlineStr">
        <is>
          <t>X1</t>
        </is>
      </c>
      <c r="S579" s="30" t="inlineStr">
        <is>
          <t>0 of 20</t>
        </is>
      </c>
      <c r="T579" s="32" t="inlineStr">
        <is>
          <t>No survey response on file</t>
        </is>
      </c>
      <c r="U579" s="32" t="inlineStr">
        <is>
          <t>KRAs not received · manager to supply</t>
        </is>
      </c>
      <c r="V579" s="31" t="inlineStr">
        <is>
          <t>Latest rating: Not rated · manager · Readiness: n/a · consultant</t>
        </is>
      </c>
      <c r="W579" s="31" t="inlineStr">
        <is>
          <t>Consultant · outside the ladder</t>
        </is>
      </c>
      <c r="X579" s="33" t="inlineStr">
        <is>
          <t>Open ▸</t>
        </is>
      </c>
      <c r="Y579" s="34" t="n"/>
      <c r="Z579" s="35" t="n"/>
      <c r="AA579" s="35" t="n"/>
      <c r="AB579" s="35" t="n"/>
      <c r="AC579" s="35" t="n"/>
      <c r="AD579" s="35" t="n"/>
      <c r="AE579" s="35" t="n"/>
      <c r="AF579" s="34" t="n"/>
      <c r="AG579" s="35" t="n"/>
      <c r="AH579" s="35" t="n"/>
      <c r="AI579" s="35" t="n"/>
      <c r="AJ579" s="35" t="n"/>
      <c r="AK579" s="35" t="n"/>
      <c r="AL579" s="35" t="n"/>
      <c r="AM579" s="36" t="n"/>
      <c r="AN579" s="37" t="n"/>
      <c r="AO579" s="37" t="n"/>
      <c r="AP579" s="37" t="n"/>
      <c r="AQ579" s="37" t="n"/>
      <c r="AR579" s="37" t="n"/>
      <c r="AS579" s="37" t="n"/>
      <c r="AT579" s="38" t="n"/>
      <c r="AU579" s="38" t="n"/>
      <c r="AV579" s="38" t="n"/>
      <c r="AW579" s="38" t="inlineStr">
        <is>
          <t>—</t>
        </is>
      </c>
      <c r="AX57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79" s="39" t="inlineStr">
        <is>
          <t>X1</t>
        </is>
      </c>
      <c r="AZ579" s="40" t="inlineStr">
        <is>
          <t xml:space="preserve">Band X · Consultant · </t>
        </is>
      </c>
      <c r="BA579" s="40" t="inlineStr">
        <is>
          <t>Model X1 from the six ratings, the market-derived weights and rules R1–R13 · then Consultant · outside the ladder</t>
        </is>
      </c>
      <c r="BB579" s="41" t="n"/>
      <c r="BC579" s="40" t="inlineStr">
        <is>
          <t>Consultant · outside the ladder</t>
        </is>
      </c>
      <c r="BD579" s="42">
        <f>IF(SUM(BM579,BN579,BO579,BP579,BQ579,BR579,BS579)=0,0,(BM579*BT579+BN579*BU579+BO579*BV579+BP579*BW579+BQ579*BX579+BR579*BY579+BS579*BZ579)/SUM(BM579,BN579,BO579,BP579,BQ579,BR579,BS579))</f>
        <v>0</v>
      </c>
      <c r="BE579" s="41" t="str">
        <f>IF(LEFT(AY579,1)="X",AY579,IF(OR(AY579="B+",AY579="C+"),INDEX(LAD_PC,MAX(1,MIN(14,MATCH(AY579,LAD_PC,0)+IF(BD579&gt;=0.5,1,IF(BD579&lt;=-0.5,-1,0))))),INDEX(LAD_STD,MAX(1,MIN(12,MATCH(AY579,LAD_STD,0)+IF(BD579&gt;=0.5,1,IF(BD579&lt;=-0.5,-1,0)))))))</f>
        <v>X1</v>
      </c>
      <c r="BF579" s="43" t="n"/>
      <c r="BG579" s="41" t="str">
        <f>IF(BF579&lt;&gt;"",BF579,BE579)</f>
        <v>X1</v>
      </c>
      <c r="BH579" s="40" t="str">
        <f>IFERROR(CHOOSE(INDEX(B_RANK,MATCH(BG579,B_LVL,0)),"Band A","Band B","B+ · Player-Coach","Band C","C+ · Player-Coach","Band D","Band E"),"Band X · Consultant")</f>
        <v>Band X · Consultant</v>
      </c>
      <c r="BI579" s="40" t="str">
        <f>IF(BG579=AY579,"• Same",IF(INDEX(B_VAL,MATCH(BG579,B_LVL,0))&gt;INDEX(B_VAL,MATCH(AY579,B_LVL,0)),"▲ Up","▼ Down"))</f>
        <v>• Same</v>
      </c>
      <c r="BJ579" s="40" t="str">
        <f>IF(OR($M579="",$M579="—",$M579="Not in this file"),"",IFERROR(INDEX($BG$7:$BG$592,MATCH($M579,$D$7:$D$592,0)),""))</f>
        <v/>
      </c>
      <c r="BK579" s="40" t="str">
        <f>IFERROR(IF(BJ579="","—",IF(OR(LEFT(BG579,1)="X",LEFT(BJ579,1)="X"),"—",IF(AND(LEFT(BG579,1)="E",LEFT(BJ579,1)="E"),"Exception · Band E",IF(AND(INDEX(B_VAL,MATCH(BJ579,B_LVL,0))&gt;=7,INDEX(B_RANK,MATCH(BG579,B_LVL,0))&gt;=INDEX(B_RANK,MATCH(BJ579,B_LVL,0))),"⚠ Same band as a head manager",IF(INDEX(B_VAL,MATCH(BG579,B_LVL,0))&gt;=INDEX(B_VAL,MATCH(BJ579,B_LVL,0)),"⚠ At or above the manager's level","OK"))))),"—")</f>
        <v>—</v>
      </c>
      <c r="BL579" s="43" t="n"/>
      <c r="BM579" s="44">
        <f>IFERROR(INDEX(LMH_PTS,MATCH(Y579,LMH_KEY,0)),0)</f>
        <v>0</v>
      </c>
      <c r="BN579" s="38">
        <f>IFERROR(INDEX(LMH_PTS,MATCH(Z579,LMH_KEY,0)),0)</f>
        <v>0</v>
      </c>
      <c r="BO579" s="38">
        <f>IFERROR(INDEX(LMH_PTS,MATCH(AA579,LMH_KEY,0)),0)</f>
        <v>0</v>
      </c>
      <c r="BP579" s="38">
        <f>IFERROR(INDEX(LMH_PTS,MATCH(AB579,LMH_KEY,0)),0)</f>
        <v>0</v>
      </c>
      <c r="BQ579" s="38">
        <f>IFERROR(INDEX(LMH_PTS,MATCH(AC579,LMH_KEY,0)),0)</f>
        <v>0</v>
      </c>
      <c r="BR579" s="38">
        <f>IFERROR(INDEX(LMH_PTS,MATCH(AD579,LMH_KEY,0)),0)</f>
        <v>0</v>
      </c>
      <c r="BS579" s="38">
        <f>IFERROR(INDEX(LMH_PTS,MATCH(AE579,LMH_KEY,0)),0)</f>
        <v>0</v>
      </c>
      <c r="BT579" s="38">
        <f>IFERROR(INDEX(LMH_STEP,MATCH(AF579,LMH_KEY,0)),0)</f>
        <v>0</v>
      </c>
      <c r="BU579" s="38">
        <f>IFERROR(INDEX(LMH_STEP,MATCH(AG579,LMH_KEY,0)),0)</f>
        <v>0</v>
      </c>
      <c r="BV579" s="38">
        <f>IFERROR(INDEX(LMH_STEP,MATCH(AH579,LMH_KEY,0)),0)</f>
        <v>0</v>
      </c>
      <c r="BW579" s="38">
        <f>IFERROR(INDEX(LMH_STEP,MATCH(AI579,LMH_KEY,0)),0)</f>
        <v>0</v>
      </c>
      <c r="BX579" s="38">
        <f>IFERROR(INDEX(LMH_STEP,MATCH(AJ579,LMH_KEY,0)),0)</f>
        <v>0</v>
      </c>
      <c r="BY579" s="38">
        <f>IFERROR(INDEX(LMH_STEP,MATCH(AK579,LMH_KEY,0)),0)</f>
        <v>0</v>
      </c>
      <c r="BZ579" s="38">
        <f>IFERROR(INDEX(LMH_STEP,MATCH(AL579,LMH_KEY,0)),0)</f>
        <v>0</v>
      </c>
      <c r="CA579" s="38" t="inlineStr">
        <is>
          <t>iFile|Technology|Associate Consultant – Software Development|X1|X</t>
        </is>
      </c>
    </row>
    <row r="580" ht="110" customHeight="1">
      <c r="A580" s="28" t="inlineStr">
        <is>
          <t>iFile</t>
        </is>
      </c>
      <c r="B580" s="29" t="inlineStr">
        <is>
          <t>Technology</t>
        </is>
      </c>
      <c r="C580" s="29" t="n">
        <v>0</v>
      </c>
      <c r="D580" s="29" t="inlineStr">
        <is>
          <t>No Emp ID · external consultant</t>
        </is>
      </c>
      <c r="E580" s="29" t="inlineStr">
        <is>
          <t>Jay Kalariya</t>
        </is>
      </c>
      <c r="F580" s="29" t="inlineStr">
        <is>
          <t>Consultant</t>
        </is>
      </c>
      <c r="G580" s="29" t="inlineStr">
        <is>
          <t>Associate Consultant – Software Development</t>
        </is>
      </c>
      <c r="H580" s="29" t="inlineStr">
        <is>
          <t>Engineering &amp; Development</t>
        </is>
      </c>
      <c r="I580" s="29" t="inlineStr">
        <is>
          <t>Backend Development</t>
        </is>
      </c>
      <c r="J580" s="29" t="inlineStr">
        <is>
          <t>Consultant</t>
        </is>
      </c>
      <c r="K580" s="29" t="inlineStr">
        <is>
          <t>RC-073</t>
        </is>
      </c>
      <c r="L580" s="29" t="inlineStr">
        <is>
          <t>Not provided · HRIS</t>
        </is>
      </c>
      <c r="M580" s="29" t="inlineStr">
        <is>
          <t>Not in this file</t>
        </is>
      </c>
      <c r="N580" s="29" t="inlineStr">
        <is>
          <t>Not provided · HRIS</t>
        </is>
      </c>
      <c r="O580" s="29" t="n">
        <v>2.4</v>
      </c>
      <c r="P580" s="29" t="inlineStr">
        <is>
          <t>Not provided · HRIS</t>
        </is>
      </c>
      <c r="Q580" s="29" t="inlineStr">
        <is>
          <t>—</t>
        </is>
      </c>
      <c r="R580" s="29" t="inlineStr">
        <is>
          <t>X1</t>
        </is>
      </c>
      <c r="S580" s="30" t="inlineStr">
        <is>
          <t>0 of 20</t>
        </is>
      </c>
      <c r="T580" s="32" t="inlineStr">
        <is>
          <t>No survey response on file</t>
        </is>
      </c>
      <c r="U580" s="32" t="inlineStr">
        <is>
          <t>KRAs not received · manager to supply</t>
        </is>
      </c>
      <c r="V580" s="31" t="inlineStr">
        <is>
          <t>Latest rating: Not rated · manager · Readiness: n/a · consultant</t>
        </is>
      </c>
      <c r="W580" s="31" t="inlineStr">
        <is>
          <t>Consultant · outside the ladder</t>
        </is>
      </c>
      <c r="X580" s="33" t="inlineStr">
        <is>
          <t>Open ▸</t>
        </is>
      </c>
      <c r="Y580" s="34" t="n"/>
      <c r="Z580" s="35" t="n"/>
      <c r="AA580" s="35" t="n"/>
      <c r="AB580" s="35" t="n"/>
      <c r="AC580" s="35" t="n"/>
      <c r="AD580" s="35" t="n"/>
      <c r="AE580" s="35" t="n"/>
      <c r="AF580" s="34" t="n"/>
      <c r="AG580" s="35" t="n"/>
      <c r="AH580" s="35" t="n"/>
      <c r="AI580" s="35" t="n"/>
      <c r="AJ580" s="35" t="n"/>
      <c r="AK580" s="35" t="n"/>
      <c r="AL580" s="35" t="n"/>
      <c r="AM580" s="36" t="n"/>
      <c r="AN580" s="37" t="n"/>
      <c r="AO580" s="37" t="n"/>
      <c r="AP580" s="37" t="n"/>
      <c r="AQ580" s="37" t="n"/>
      <c r="AR580" s="37" t="n"/>
      <c r="AS580" s="37" t="n"/>
      <c r="AT580" s="38" t="n"/>
      <c r="AU580" s="38" t="n"/>
      <c r="AV580" s="38" t="n"/>
      <c r="AW580" s="38" t="inlineStr">
        <is>
          <t>—</t>
        </is>
      </c>
      <c r="AX58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80" s="39" t="inlineStr">
        <is>
          <t>X1</t>
        </is>
      </c>
      <c r="AZ580" s="40" t="inlineStr">
        <is>
          <t xml:space="preserve">Band X · Consultant · </t>
        </is>
      </c>
      <c r="BA580" s="40" t="inlineStr">
        <is>
          <t>Model X1 from the six ratings, the market-derived weights and rules R1–R13 · then Consultant · outside the ladder</t>
        </is>
      </c>
      <c r="BB580" s="41" t="n"/>
      <c r="BC580" s="40" t="inlineStr">
        <is>
          <t>Consultant · outside the ladder</t>
        </is>
      </c>
      <c r="BD580" s="42">
        <f>IF(SUM(BM580,BN580,BO580,BP580,BQ580,BR580,BS580)=0,0,(BM580*BT580+BN580*BU580+BO580*BV580+BP580*BW580+BQ580*BX580+BR580*BY580+BS580*BZ580)/SUM(BM580,BN580,BO580,BP580,BQ580,BR580,BS580))</f>
        <v>0</v>
      </c>
      <c r="BE580" s="41" t="str">
        <f>IF(LEFT(AY580,1)="X",AY580,IF(OR(AY580="B+",AY580="C+"),INDEX(LAD_PC,MAX(1,MIN(14,MATCH(AY580,LAD_PC,0)+IF(BD580&gt;=0.5,1,IF(BD580&lt;=-0.5,-1,0))))),INDEX(LAD_STD,MAX(1,MIN(12,MATCH(AY580,LAD_STD,0)+IF(BD580&gt;=0.5,1,IF(BD580&lt;=-0.5,-1,0)))))))</f>
        <v>X1</v>
      </c>
      <c r="BF580" s="43" t="n"/>
      <c r="BG580" s="41" t="str">
        <f>IF(BF580&lt;&gt;"",BF580,BE580)</f>
        <v>X1</v>
      </c>
      <c r="BH580" s="40" t="str">
        <f>IFERROR(CHOOSE(INDEX(B_RANK,MATCH(BG580,B_LVL,0)),"Band A","Band B","B+ · Player-Coach","Band C","C+ · Player-Coach","Band D","Band E"),"Band X · Consultant")</f>
        <v>Band X · Consultant</v>
      </c>
      <c r="BI580" s="40" t="str">
        <f>IF(BG580=AY580,"• Same",IF(INDEX(B_VAL,MATCH(BG580,B_LVL,0))&gt;INDEX(B_VAL,MATCH(AY580,B_LVL,0)),"▲ Up","▼ Down"))</f>
        <v>• Same</v>
      </c>
      <c r="BJ580" s="40" t="str">
        <f>IF(OR($M580="",$M580="—",$M580="Not in this file"),"",IFERROR(INDEX($BG$7:$BG$592,MATCH($M580,$D$7:$D$592,0)),""))</f>
        <v/>
      </c>
      <c r="BK580" s="40" t="str">
        <f>IFERROR(IF(BJ580="","—",IF(OR(LEFT(BG580,1)="X",LEFT(BJ580,1)="X"),"—",IF(AND(LEFT(BG580,1)="E",LEFT(BJ580,1)="E"),"Exception · Band E",IF(AND(INDEX(B_VAL,MATCH(BJ580,B_LVL,0))&gt;=7,INDEX(B_RANK,MATCH(BG580,B_LVL,0))&gt;=INDEX(B_RANK,MATCH(BJ580,B_LVL,0))),"⚠ Same band as a head manager",IF(INDEX(B_VAL,MATCH(BG580,B_LVL,0))&gt;=INDEX(B_VAL,MATCH(BJ580,B_LVL,0)),"⚠ At or above the manager's level","OK"))))),"—")</f>
        <v>—</v>
      </c>
      <c r="BL580" s="43" t="n"/>
      <c r="BM580" s="44">
        <f>IFERROR(INDEX(LMH_PTS,MATCH(Y580,LMH_KEY,0)),0)</f>
        <v>0</v>
      </c>
      <c r="BN580" s="38">
        <f>IFERROR(INDEX(LMH_PTS,MATCH(Z580,LMH_KEY,0)),0)</f>
        <v>0</v>
      </c>
      <c r="BO580" s="38">
        <f>IFERROR(INDEX(LMH_PTS,MATCH(AA580,LMH_KEY,0)),0)</f>
        <v>0</v>
      </c>
      <c r="BP580" s="38">
        <f>IFERROR(INDEX(LMH_PTS,MATCH(AB580,LMH_KEY,0)),0)</f>
        <v>0</v>
      </c>
      <c r="BQ580" s="38">
        <f>IFERROR(INDEX(LMH_PTS,MATCH(AC580,LMH_KEY,0)),0)</f>
        <v>0</v>
      </c>
      <c r="BR580" s="38">
        <f>IFERROR(INDEX(LMH_PTS,MATCH(AD580,LMH_KEY,0)),0)</f>
        <v>0</v>
      </c>
      <c r="BS580" s="38">
        <f>IFERROR(INDEX(LMH_PTS,MATCH(AE580,LMH_KEY,0)),0)</f>
        <v>0</v>
      </c>
      <c r="BT580" s="38">
        <f>IFERROR(INDEX(LMH_STEP,MATCH(AF580,LMH_KEY,0)),0)</f>
        <v>0</v>
      </c>
      <c r="BU580" s="38">
        <f>IFERROR(INDEX(LMH_STEP,MATCH(AG580,LMH_KEY,0)),0)</f>
        <v>0</v>
      </c>
      <c r="BV580" s="38">
        <f>IFERROR(INDEX(LMH_STEP,MATCH(AH580,LMH_KEY,0)),0)</f>
        <v>0</v>
      </c>
      <c r="BW580" s="38">
        <f>IFERROR(INDEX(LMH_STEP,MATCH(AI580,LMH_KEY,0)),0)</f>
        <v>0</v>
      </c>
      <c r="BX580" s="38">
        <f>IFERROR(INDEX(LMH_STEP,MATCH(AJ580,LMH_KEY,0)),0)</f>
        <v>0</v>
      </c>
      <c r="BY580" s="38">
        <f>IFERROR(INDEX(LMH_STEP,MATCH(AK580,LMH_KEY,0)),0)</f>
        <v>0</v>
      </c>
      <c r="BZ580" s="38">
        <f>IFERROR(INDEX(LMH_STEP,MATCH(AL580,LMH_KEY,0)),0)</f>
        <v>0</v>
      </c>
      <c r="CA580" s="38" t="inlineStr">
        <is>
          <t>iFile|Technology|Associate Consultant – Software Development|X1|X</t>
        </is>
      </c>
    </row>
    <row r="581" ht="110" customHeight="1">
      <c r="A581" s="28" t="inlineStr">
        <is>
          <t>CARBON</t>
        </is>
      </c>
      <c r="B581" s="29" t="inlineStr">
        <is>
          <t>Support</t>
        </is>
      </c>
      <c r="C581" s="29" t="n">
        <v>0</v>
      </c>
      <c r="D581" s="29" t="inlineStr">
        <is>
          <t>No Emp ID · in-house consultant</t>
        </is>
      </c>
      <c r="E581" s="29" t="inlineStr">
        <is>
          <t>Kanika Jain</t>
        </is>
      </c>
      <c r="F581" s="29" t="inlineStr">
        <is>
          <t>Consultant</t>
        </is>
      </c>
      <c r="G581" s="29" t="inlineStr">
        <is>
          <t>Associate Consultant – Customer Success &amp; Account Management</t>
        </is>
      </c>
      <c r="H581" s="29" t="inlineStr">
        <is>
          <t>Customer Success &amp; Support</t>
        </is>
      </c>
      <c r="I581" s="29" t="inlineStr">
        <is>
          <t>Customer Success &amp; Account Management</t>
        </is>
      </c>
      <c r="J581" s="29" t="inlineStr">
        <is>
          <t>Consultant</t>
        </is>
      </c>
      <c r="K581" s="29" t="inlineStr">
        <is>
          <t>RC-037</t>
        </is>
      </c>
      <c r="L581" s="29" t="inlineStr">
        <is>
          <t>Not provided · HRIS</t>
        </is>
      </c>
      <c r="M581" s="29" t="inlineStr">
        <is>
          <t>Not in this file</t>
        </is>
      </c>
      <c r="N581" s="29" t="inlineStr">
        <is>
          <t>Not provided · HRIS</t>
        </is>
      </c>
      <c r="O581" s="29" t="n">
        <v>2.3</v>
      </c>
      <c r="P581" s="29" t="inlineStr">
        <is>
          <t>Not provided · HRIS</t>
        </is>
      </c>
      <c r="Q581" s="29" t="inlineStr">
        <is>
          <t>L3 – Professional / Associate</t>
        </is>
      </c>
      <c r="R581" s="29" t="inlineStr">
        <is>
          <t>X1</t>
        </is>
      </c>
      <c r="S581" s="30" t="inlineStr">
        <is>
          <t>0 of 20</t>
        </is>
      </c>
      <c r="T581" s="32" t="inlineStr">
        <is>
          <t>No survey response on file</t>
        </is>
      </c>
      <c r="U581" s="32" t="inlineStr">
        <is>
          <t>KRAs not received · manager to supply</t>
        </is>
      </c>
      <c r="V581" s="31" t="inlineStr">
        <is>
          <t>Latest rating: Not rated · manager · Readiness: n/a · consultant</t>
        </is>
      </c>
      <c r="W581" s="31" t="inlineStr">
        <is>
          <t>Consultant · outside the ladder</t>
        </is>
      </c>
      <c r="X581" s="33" t="inlineStr">
        <is>
          <t>Open ▸</t>
        </is>
      </c>
      <c r="Y581" s="34" t="n"/>
      <c r="Z581" s="35" t="n"/>
      <c r="AA581" s="35" t="n"/>
      <c r="AB581" s="35" t="n"/>
      <c r="AC581" s="35" t="n"/>
      <c r="AD581" s="35" t="n"/>
      <c r="AE581" s="35" t="n"/>
      <c r="AF581" s="34" t="n"/>
      <c r="AG581" s="35" t="n"/>
      <c r="AH581" s="35" t="n"/>
      <c r="AI581" s="35" t="n"/>
      <c r="AJ581" s="35" t="n"/>
      <c r="AK581" s="35" t="n"/>
      <c r="AL581" s="35" t="n"/>
      <c r="AM581" s="36" t="n"/>
      <c r="AN581" s="37" t="n"/>
      <c r="AO581" s="37" t="n"/>
      <c r="AP581" s="37" t="n"/>
      <c r="AQ581" s="37" t="n"/>
      <c r="AR581" s="37" t="n"/>
      <c r="AS581" s="37" t="n"/>
      <c r="AT581" s="38" t="n"/>
      <c r="AU581" s="38" t="n"/>
      <c r="AV581" s="38" t="n"/>
      <c r="AW581" s="38" t="inlineStr">
        <is>
          <t>—</t>
        </is>
      </c>
      <c r="AX58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81" s="39" t="inlineStr">
        <is>
          <t>X1</t>
        </is>
      </c>
      <c r="AZ581" s="40" t="inlineStr">
        <is>
          <t xml:space="preserve">Band X · Consultant · </t>
        </is>
      </c>
      <c r="BA581" s="40" t="inlineStr">
        <is>
          <t>Model X1 from the six ratings, the market-derived weights and rules R1–R13 · then Consultant · outside the ladder</t>
        </is>
      </c>
      <c r="BB581" s="41" t="n"/>
      <c r="BC581" s="40" t="inlineStr">
        <is>
          <t>Consultant · outside the ladder</t>
        </is>
      </c>
      <c r="BD581" s="42">
        <f>IF(SUM(BM581,BN581,BO581,BP581,BQ581,BR581,BS581)=0,0,(BM581*BT581+BN581*BU581+BO581*BV581+BP581*BW581+BQ581*BX581+BR581*BY581+BS581*BZ581)/SUM(BM581,BN581,BO581,BP581,BQ581,BR581,BS581))</f>
        <v>0</v>
      </c>
      <c r="BE581" s="41" t="str">
        <f>IF(LEFT(AY581,1)="X",AY581,IF(OR(AY581="B+",AY581="C+"),INDEX(LAD_PC,MAX(1,MIN(14,MATCH(AY581,LAD_PC,0)+IF(BD581&gt;=0.5,1,IF(BD581&lt;=-0.5,-1,0))))),INDEX(LAD_STD,MAX(1,MIN(12,MATCH(AY581,LAD_STD,0)+IF(BD581&gt;=0.5,1,IF(BD581&lt;=-0.5,-1,0)))))))</f>
        <v>X1</v>
      </c>
      <c r="BF581" s="43" t="n"/>
      <c r="BG581" s="41" t="str">
        <f>IF(BF581&lt;&gt;"",BF581,BE581)</f>
        <v>X1</v>
      </c>
      <c r="BH581" s="40" t="str">
        <f>IFERROR(CHOOSE(INDEX(B_RANK,MATCH(BG581,B_LVL,0)),"Band A","Band B","B+ · Player-Coach","Band C","C+ · Player-Coach","Band D","Band E"),"Band X · Consultant")</f>
        <v>Band X · Consultant</v>
      </c>
      <c r="BI581" s="40" t="str">
        <f>IF(BG581=AY581,"• Same",IF(INDEX(B_VAL,MATCH(BG581,B_LVL,0))&gt;INDEX(B_VAL,MATCH(AY581,B_LVL,0)),"▲ Up","▼ Down"))</f>
        <v>• Same</v>
      </c>
      <c r="BJ581" s="40" t="str">
        <f>IF(OR($M581="",$M581="—",$M581="Not in this file"),"",IFERROR(INDEX($BG$7:$BG$592,MATCH($M581,$D$7:$D$592,0)),""))</f>
        <v/>
      </c>
      <c r="BK581" s="40" t="str">
        <f>IFERROR(IF(BJ581="","—",IF(OR(LEFT(BG581,1)="X",LEFT(BJ581,1)="X"),"—",IF(AND(LEFT(BG581,1)="E",LEFT(BJ581,1)="E"),"Exception · Band E",IF(AND(INDEX(B_VAL,MATCH(BJ581,B_LVL,0))&gt;=7,INDEX(B_RANK,MATCH(BG581,B_LVL,0))&gt;=INDEX(B_RANK,MATCH(BJ581,B_LVL,0))),"⚠ Same band as a head manager",IF(INDEX(B_VAL,MATCH(BG581,B_LVL,0))&gt;=INDEX(B_VAL,MATCH(BJ581,B_LVL,0)),"⚠ At or above the manager's level","OK"))))),"—")</f>
        <v>—</v>
      </c>
      <c r="BL581" s="43" t="n"/>
      <c r="BM581" s="44">
        <f>IFERROR(INDEX(LMH_PTS,MATCH(Y581,LMH_KEY,0)),0)</f>
        <v>0</v>
      </c>
      <c r="BN581" s="38">
        <f>IFERROR(INDEX(LMH_PTS,MATCH(Z581,LMH_KEY,0)),0)</f>
        <v>0</v>
      </c>
      <c r="BO581" s="38">
        <f>IFERROR(INDEX(LMH_PTS,MATCH(AA581,LMH_KEY,0)),0)</f>
        <v>0</v>
      </c>
      <c r="BP581" s="38">
        <f>IFERROR(INDEX(LMH_PTS,MATCH(AB581,LMH_KEY,0)),0)</f>
        <v>0</v>
      </c>
      <c r="BQ581" s="38">
        <f>IFERROR(INDEX(LMH_PTS,MATCH(AC581,LMH_KEY,0)),0)</f>
        <v>0</v>
      </c>
      <c r="BR581" s="38">
        <f>IFERROR(INDEX(LMH_PTS,MATCH(AD581,LMH_KEY,0)),0)</f>
        <v>0</v>
      </c>
      <c r="BS581" s="38">
        <f>IFERROR(INDEX(LMH_PTS,MATCH(AE581,LMH_KEY,0)),0)</f>
        <v>0</v>
      </c>
      <c r="BT581" s="38">
        <f>IFERROR(INDEX(LMH_STEP,MATCH(AF581,LMH_KEY,0)),0)</f>
        <v>0</v>
      </c>
      <c r="BU581" s="38">
        <f>IFERROR(INDEX(LMH_STEP,MATCH(AG581,LMH_KEY,0)),0)</f>
        <v>0</v>
      </c>
      <c r="BV581" s="38">
        <f>IFERROR(INDEX(LMH_STEP,MATCH(AH581,LMH_KEY,0)),0)</f>
        <v>0</v>
      </c>
      <c r="BW581" s="38">
        <f>IFERROR(INDEX(LMH_STEP,MATCH(AI581,LMH_KEY,0)),0)</f>
        <v>0</v>
      </c>
      <c r="BX581" s="38">
        <f>IFERROR(INDEX(LMH_STEP,MATCH(AJ581,LMH_KEY,0)),0)</f>
        <v>0</v>
      </c>
      <c r="BY581" s="38">
        <f>IFERROR(INDEX(LMH_STEP,MATCH(AK581,LMH_KEY,0)),0)</f>
        <v>0</v>
      </c>
      <c r="BZ581" s="38">
        <f>IFERROR(INDEX(LMH_STEP,MATCH(AL581,LMH_KEY,0)),0)</f>
        <v>0</v>
      </c>
      <c r="CA581" s="38" t="inlineStr">
        <is>
          <t>CARBON|Support|Associate Consultant – Customer Success &amp; Account Management|X1|X</t>
        </is>
      </c>
    </row>
    <row r="582" ht="110" customHeight="1">
      <c r="A582" s="28" t="inlineStr">
        <is>
          <t>iFile</t>
        </is>
      </c>
      <c r="B582" s="29" t="inlineStr">
        <is>
          <t>Technology</t>
        </is>
      </c>
      <c r="C582" s="29" t="n">
        <v>0</v>
      </c>
      <c r="D582" s="29" t="inlineStr">
        <is>
          <t>No Emp ID · in-house consultant</t>
        </is>
      </c>
      <c r="E582" s="29" t="inlineStr">
        <is>
          <t>Nilimesh Baruah</t>
        </is>
      </c>
      <c r="F582" s="29" t="inlineStr">
        <is>
          <t>Consultant</t>
        </is>
      </c>
      <c r="G582" s="29" t="inlineStr">
        <is>
          <t>Associate Consultant – Software Development</t>
        </is>
      </c>
      <c r="H582" s="29" t="inlineStr">
        <is>
          <t>Engineering &amp; Development</t>
        </is>
      </c>
      <c r="I582" s="29" t="inlineStr">
        <is>
          <t>Backend Development</t>
        </is>
      </c>
      <c r="J582" s="29" t="inlineStr">
        <is>
          <t>Consultant</t>
        </is>
      </c>
      <c r="K582" s="29" t="inlineStr">
        <is>
          <t>RC-073</t>
        </is>
      </c>
      <c r="L582" s="29" t="inlineStr">
        <is>
          <t>Not provided · HRIS</t>
        </is>
      </c>
      <c r="M582" s="29" t="inlineStr">
        <is>
          <t>Not in this file</t>
        </is>
      </c>
      <c r="N582" s="29" t="inlineStr">
        <is>
          <t>Not provided · HRIS</t>
        </is>
      </c>
      <c r="O582" s="29" t="n">
        <v>0.5</v>
      </c>
      <c r="P582" s="29" t="inlineStr">
        <is>
          <t>Not provided · HRIS</t>
        </is>
      </c>
      <c r="Q582" s="29" t="inlineStr">
        <is>
          <t>—</t>
        </is>
      </c>
      <c r="R582" s="29" t="inlineStr">
        <is>
          <t>X1</t>
        </is>
      </c>
      <c r="S582" s="30" t="inlineStr">
        <is>
          <t>0 of 20</t>
        </is>
      </c>
      <c r="T582" s="32" t="inlineStr">
        <is>
          <t>No survey response on file</t>
        </is>
      </c>
      <c r="U582" s="32" t="inlineStr">
        <is>
          <t>KRAs not received · manager to supply</t>
        </is>
      </c>
      <c r="V582" s="31" t="inlineStr">
        <is>
          <t>Latest rating: Not rated · manager · Readiness: n/a · consultant</t>
        </is>
      </c>
      <c r="W582" s="31" t="inlineStr">
        <is>
          <t>Consultant · outside the ladder</t>
        </is>
      </c>
      <c r="X582" s="33" t="inlineStr">
        <is>
          <t>Open ▸</t>
        </is>
      </c>
      <c r="Y582" s="34" t="n"/>
      <c r="Z582" s="35" t="n"/>
      <c r="AA582" s="35" t="n"/>
      <c r="AB582" s="35" t="n"/>
      <c r="AC582" s="35" t="n"/>
      <c r="AD582" s="35" t="n"/>
      <c r="AE582" s="35" t="n"/>
      <c r="AF582" s="34" t="n"/>
      <c r="AG582" s="35" t="n"/>
      <c r="AH582" s="35" t="n"/>
      <c r="AI582" s="35" t="n"/>
      <c r="AJ582" s="35" t="n"/>
      <c r="AK582" s="35" t="n"/>
      <c r="AL582" s="35" t="n"/>
      <c r="AM582" s="36" t="n"/>
      <c r="AN582" s="37" t="n"/>
      <c r="AO582" s="37" t="n"/>
      <c r="AP582" s="37" t="n"/>
      <c r="AQ582" s="37" t="n"/>
      <c r="AR582" s="37" t="n"/>
      <c r="AS582" s="37" t="n"/>
      <c r="AT582" s="38" t="n"/>
      <c r="AU582" s="38" t="n"/>
      <c r="AV582" s="38" t="n"/>
      <c r="AW582" s="38" t="inlineStr">
        <is>
          <t>—</t>
        </is>
      </c>
      <c r="AX58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82" s="39" t="inlineStr">
        <is>
          <t>X1</t>
        </is>
      </c>
      <c r="AZ582" s="40" t="inlineStr">
        <is>
          <t xml:space="preserve">Band X · Consultant · </t>
        </is>
      </c>
      <c r="BA582" s="40" t="inlineStr">
        <is>
          <t>Model X1 from the six ratings, the market-derived weights and rules R1–R13 · then Consultant · outside the ladder</t>
        </is>
      </c>
      <c r="BB582" s="41" t="n"/>
      <c r="BC582" s="40" t="inlineStr">
        <is>
          <t>Consultant · outside the ladder</t>
        </is>
      </c>
      <c r="BD582" s="42">
        <f>IF(SUM(BM582,BN582,BO582,BP582,BQ582,BR582,BS582)=0,0,(BM582*BT582+BN582*BU582+BO582*BV582+BP582*BW582+BQ582*BX582+BR582*BY582+BS582*BZ582)/SUM(BM582,BN582,BO582,BP582,BQ582,BR582,BS582))</f>
        <v>0</v>
      </c>
      <c r="BE582" s="41" t="str">
        <f>IF(LEFT(AY582,1)="X",AY582,IF(OR(AY582="B+",AY582="C+"),INDEX(LAD_PC,MAX(1,MIN(14,MATCH(AY582,LAD_PC,0)+IF(BD582&gt;=0.5,1,IF(BD582&lt;=-0.5,-1,0))))),INDEX(LAD_STD,MAX(1,MIN(12,MATCH(AY582,LAD_STD,0)+IF(BD582&gt;=0.5,1,IF(BD582&lt;=-0.5,-1,0)))))))</f>
        <v>X1</v>
      </c>
      <c r="BF582" s="43" t="n"/>
      <c r="BG582" s="41" t="str">
        <f>IF(BF582&lt;&gt;"",BF582,BE582)</f>
        <v>X1</v>
      </c>
      <c r="BH582" s="40" t="str">
        <f>IFERROR(CHOOSE(INDEX(B_RANK,MATCH(BG582,B_LVL,0)),"Band A","Band B","B+ · Player-Coach","Band C","C+ · Player-Coach","Band D","Band E"),"Band X · Consultant")</f>
        <v>Band X · Consultant</v>
      </c>
      <c r="BI582" s="40" t="str">
        <f>IF(BG582=AY582,"• Same",IF(INDEX(B_VAL,MATCH(BG582,B_LVL,0))&gt;INDEX(B_VAL,MATCH(AY582,B_LVL,0)),"▲ Up","▼ Down"))</f>
        <v>• Same</v>
      </c>
      <c r="BJ582" s="40" t="str">
        <f>IF(OR($M582="",$M582="—",$M582="Not in this file"),"",IFERROR(INDEX($BG$7:$BG$592,MATCH($M582,$D$7:$D$592,0)),""))</f>
        <v/>
      </c>
      <c r="BK582" s="40" t="str">
        <f>IFERROR(IF(BJ582="","—",IF(OR(LEFT(BG582,1)="X",LEFT(BJ582,1)="X"),"—",IF(AND(LEFT(BG582,1)="E",LEFT(BJ582,1)="E"),"Exception · Band E",IF(AND(INDEX(B_VAL,MATCH(BJ582,B_LVL,0))&gt;=7,INDEX(B_RANK,MATCH(BG582,B_LVL,0))&gt;=INDEX(B_RANK,MATCH(BJ582,B_LVL,0))),"⚠ Same band as a head manager",IF(INDEX(B_VAL,MATCH(BG582,B_LVL,0))&gt;=INDEX(B_VAL,MATCH(BJ582,B_LVL,0)),"⚠ At or above the manager's level","OK"))))),"—")</f>
        <v>—</v>
      </c>
      <c r="BL582" s="43" t="n"/>
      <c r="BM582" s="44">
        <f>IFERROR(INDEX(LMH_PTS,MATCH(Y582,LMH_KEY,0)),0)</f>
        <v>0</v>
      </c>
      <c r="BN582" s="38">
        <f>IFERROR(INDEX(LMH_PTS,MATCH(Z582,LMH_KEY,0)),0)</f>
        <v>0</v>
      </c>
      <c r="BO582" s="38">
        <f>IFERROR(INDEX(LMH_PTS,MATCH(AA582,LMH_KEY,0)),0)</f>
        <v>0</v>
      </c>
      <c r="BP582" s="38">
        <f>IFERROR(INDEX(LMH_PTS,MATCH(AB582,LMH_KEY,0)),0)</f>
        <v>0</v>
      </c>
      <c r="BQ582" s="38">
        <f>IFERROR(INDEX(LMH_PTS,MATCH(AC582,LMH_KEY,0)),0)</f>
        <v>0</v>
      </c>
      <c r="BR582" s="38">
        <f>IFERROR(INDEX(LMH_PTS,MATCH(AD582,LMH_KEY,0)),0)</f>
        <v>0</v>
      </c>
      <c r="BS582" s="38">
        <f>IFERROR(INDEX(LMH_PTS,MATCH(AE582,LMH_KEY,0)),0)</f>
        <v>0</v>
      </c>
      <c r="BT582" s="38">
        <f>IFERROR(INDEX(LMH_STEP,MATCH(AF582,LMH_KEY,0)),0)</f>
        <v>0</v>
      </c>
      <c r="BU582" s="38">
        <f>IFERROR(INDEX(LMH_STEP,MATCH(AG582,LMH_KEY,0)),0)</f>
        <v>0</v>
      </c>
      <c r="BV582" s="38">
        <f>IFERROR(INDEX(LMH_STEP,MATCH(AH582,LMH_KEY,0)),0)</f>
        <v>0</v>
      </c>
      <c r="BW582" s="38">
        <f>IFERROR(INDEX(LMH_STEP,MATCH(AI582,LMH_KEY,0)),0)</f>
        <v>0</v>
      </c>
      <c r="BX582" s="38">
        <f>IFERROR(INDEX(LMH_STEP,MATCH(AJ582,LMH_KEY,0)),0)</f>
        <v>0</v>
      </c>
      <c r="BY582" s="38">
        <f>IFERROR(INDEX(LMH_STEP,MATCH(AK582,LMH_KEY,0)),0)</f>
        <v>0</v>
      </c>
      <c r="BZ582" s="38">
        <f>IFERROR(INDEX(LMH_STEP,MATCH(AL582,LMH_KEY,0)),0)</f>
        <v>0</v>
      </c>
      <c r="CA582" s="38" t="inlineStr">
        <is>
          <t>iFile|Technology|Associate Consultant – Software Development|X1|X</t>
        </is>
      </c>
    </row>
    <row r="583" ht="110" customHeight="1">
      <c r="A583" s="28" t="inlineStr">
        <is>
          <t>iFile</t>
        </is>
      </c>
      <c r="B583" s="29" t="inlineStr">
        <is>
          <t>Technology</t>
        </is>
      </c>
      <c r="C583" s="29" t="n">
        <v>0</v>
      </c>
      <c r="D583" s="29" t="inlineStr">
        <is>
          <t>No Emp ID · external consultant</t>
        </is>
      </c>
      <c r="E583" s="29" t="inlineStr">
        <is>
          <t>Peshal Jha</t>
        </is>
      </c>
      <c r="F583" s="29" t="inlineStr">
        <is>
          <t>Consultant</t>
        </is>
      </c>
      <c r="G583" s="29" t="inlineStr">
        <is>
          <t>Associate Consultant – Software Development</t>
        </is>
      </c>
      <c r="H583" s="29" t="inlineStr">
        <is>
          <t>Engineering &amp; Development</t>
        </is>
      </c>
      <c r="I583" s="29" t="inlineStr">
        <is>
          <t>Backend Development</t>
        </is>
      </c>
      <c r="J583" s="29" t="inlineStr">
        <is>
          <t>Consultant</t>
        </is>
      </c>
      <c r="K583" s="29" t="inlineStr">
        <is>
          <t>RC-073</t>
        </is>
      </c>
      <c r="L583" s="29" t="inlineStr">
        <is>
          <t>Not provided · HRIS</t>
        </is>
      </c>
      <c r="M583" s="29" t="inlineStr">
        <is>
          <t>Not in this file</t>
        </is>
      </c>
      <c r="N583" s="29" t="inlineStr">
        <is>
          <t>Not provided · HRIS</t>
        </is>
      </c>
      <c r="O583" s="29" t="n">
        <v>2.4</v>
      </c>
      <c r="P583" s="29" t="inlineStr">
        <is>
          <t>Not provided · HRIS</t>
        </is>
      </c>
      <c r="Q583" s="29" t="inlineStr">
        <is>
          <t>—</t>
        </is>
      </c>
      <c r="R583" s="29" t="inlineStr">
        <is>
          <t>X1</t>
        </is>
      </c>
      <c r="S583" s="30" t="inlineStr">
        <is>
          <t>0 of 20</t>
        </is>
      </c>
      <c r="T583" s="32" t="inlineStr">
        <is>
          <t>No survey response on file</t>
        </is>
      </c>
      <c r="U583" s="32" t="inlineStr">
        <is>
          <t>KRAs not received · manager to supply</t>
        </is>
      </c>
      <c r="V583" s="31" t="inlineStr">
        <is>
          <t>Latest rating: Not rated · manager · Readiness: n/a · consultant</t>
        </is>
      </c>
      <c r="W583" s="31" t="inlineStr">
        <is>
          <t>Consultant · outside the ladder</t>
        </is>
      </c>
      <c r="X583" s="33" t="inlineStr">
        <is>
          <t>Open ▸</t>
        </is>
      </c>
      <c r="Y583" s="34" t="n"/>
      <c r="Z583" s="35" t="n"/>
      <c r="AA583" s="35" t="n"/>
      <c r="AB583" s="35" t="n"/>
      <c r="AC583" s="35" t="n"/>
      <c r="AD583" s="35" t="n"/>
      <c r="AE583" s="35" t="n"/>
      <c r="AF583" s="34" t="n"/>
      <c r="AG583" s="35" t="n"/>
      <c r="AH583" s="35" t="n"/>
      <c r="AI583" s="35" t="n"/>
      <c r="AJ583" s="35" t="n"/>
      <c r="AK583" s="35" t="n"/>
      <c r="AL583" s="35" t="n"/>
      <c r="AM583" s="36" t="n"/>
      <c r="AN583" s="37" t="n"/>
      <c r="AO583" s="37" t="n"/>
      <c r="AP583" s="37" t="n"/>
      <c r="AQ583" s="37" t="n"/>
      <c r="AR583" s="37" t="n"/>
      <c r="AS583" s="37" t="n"/>
      <c r="AT583" s="38" t="n"/>
      <c r="AU583" s="38" t="n"/>
      <c r="AV583" s="38" t="n"/>
      <c r="AW583" s="38" t="inlineStr">
        <is>
          <t>—</t>
        </is>
      </c>
      <c r="AX583"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83" s="39" t="inlineStr">
        <is>
          <t>X1</t>
        </is>
      </c>
      <c r="AZ583" s="40" t="inlineStr">
        <is>
          <t xml:space="preserve">Band X · Consultant · </t>
        </is>
      </c>
      <c r="BA583" s="40" t="inlineStr">
        <is>
          <t>Model X1 from the six ratings, the market-derived weights and rules R1–R13 · then Consultant · outside the ladder</t>
        </is>
      </c>
      <c r="BB583" s="41" t="n"/>
      <c r="BC583" s="40" t="inlineStr">
        <is>
          <t>Consultant · outside the ladder</t>
        </is>
      </c>
      <c r="BD583" s="42">
        <f>IF(SUM(BM583,BN583,BO583,BP583,BQ583,BR583,BS583)=0,0,(BM583*BT583+BN583*BU583+BO583*BV583+BP583*BW583+BQ583*BX583+BR583*BY583+BS583*BZ583)/SUM(BM583,BN583,BO583,BP583,BQ583,BR583,BS583))</f>
        <v>0</v>
      </c>
      <c r="BE583" s="41" t="str">
        <f>IF(LEFT(AY583,1)="X",AY583,IF(OR(AY583="B+",AY583="C+"),INDEX(LAD_PC,MAX(1,MIN(14,MATCH(AY583,LAD_PC,0)+IF(BD583&gt;=0.5,1,IF(BD583&lt;=-0.5,-1,0))))),INDEX(LAD_STD,MAX(1,MIN(12,MATCH(AY583,LAD_STD,0)+IF(BD583&gt;=0.5,1,IF(BD583&lt;=-0.5,-1,0)))))))</f>
        <v>X1</v>
      </c>
      <c r="BF583" s="43" t="n"/>
      <c r="BG583" s="41" t="str">
        <f>IF(BF583&lt;&gt;"",BF583,BE583)</f>
        <v>X1</v>
      </c>
      <c r="BH583" s="40" t="str">
        <f>IFERROR(CHOOSE(INDEX(B_RANK,MATCH(BG583,B_LVL,0)),"Band A","Band B","B+ · Player-Coach","Band C","C+ · Player-Coach","Band D","Band E"),"Band X · Consultant")</f>
        <v>Band X · Consultant</v>
      </c>
      <c r="BI583" s="40" t="str">
        <f>IF(BG583=AY583,"• Same",IF(INDEX(B_VAL,MATCH(BG583,B_LVL,0))&gt;INDEX(B_VAL,MATCH(AY583,B_LVL,0)),"▲ Up","▼ Down"))</f>
        <v>• Same</v>
      </c>
      <c r="BJ583" s="40" t="str">
        <f>IF(OR($M583="",$M583="—",$M583="Not in this file"),"",IFERROR(INDEX($BG$7:$BG$592,MATCH($M583,$D$7:$D$592,0)),""))</f>
        <v/>
      </c>
      <c r="BK583" s="40" t="str">
        <f>IFERROR(IF(BJ583="","—",IF(OR(LEFT(BG583,1)="X",LEFT(BJ583,1)="X"),"—",IF(AND(LEFT(BG583,1)="E",LEFT(BJ583,1)="E"),"Exception · Band E",IF(AND(INDEX(B_VAL,MATCH(BJ583,B_LVL,0))&gt;=7,INDEX(B_RANK,MATCH(BG583,B_LVL,0))&gt;=INDEX(B_RANK,MATCH(BJ583,B_LVL,0))),"⚠ Same band as a head manager",IF(INDEX(B_VAL,MATCH(BG583,B_LVL,0))&gt;=INDEX(B_VAL,MATCH(BJ583,B_LVL,0)),"⚠ At or above the manager's level","OK"))))),"—")</f>
        <v>—</v>
      </c>
      <c r="BL583" s="43" t="n"/>
      <c r="BM583" s="44">
        <f>IFERROR(INDEX(LMH_PTS,MATCH(Y583,LMH_KEY,0)),0)</f>
        <v>0</v>
      </c>
      <c r="BN583" s="38">
        <f>IFERROR(INDEX(LMH_PTS,MATCH(Z583,LMH_KEY,0)),0)</f>
        <v>0</v>
      </c>
      <c r="BO583" s="38">
        <f>IFERROR(INDEX(LMH_PTS,MATCH(AA583,LMH_KEY,0)),0)</f>
        <v>0</v>
      </c>
      <c r="BP583" s="38">
        <f>IFERROR(INDEX(LMH_PTS,MATCH(AB583,LMH_KEY,0)),0)</f>
        <v>0</v>
      </c>
      <c r="BQ583" s="38">
        <f>IFERROR(INDEX(LMH_PTS,MATCH(AC583,LMH_KEY,0)),0)</f>
        <v>0</v>
      </c>
      <c r="BR583" s="38">
        <f>IFERROR(INDEX(LMH_PTS,MATCH(AD583,LMH_KEY,0)),0)</f>
        <v>0</v>
      </c>
      <c r="BS583" s="38">
        <f>IFERROR(INDEX(LMH_PTS,MATCH(AE583,LMH_KEY,0)),0)</f>
        <v>0</v>
      </c>
      <c r="BT583" s="38">
        <f>IFERROR(INDEX(LMH_STEP,MATCH(AF583,LMH_KEY,0)),0)</f>
        <v>0</v>
      </c>
      <c r="BU583" s="38">
        <f>IFERROR(INDEX(LMH_STEP,MATCH(AG583,LMH_KEY,0)),0)</f>
        <v>0</v>
      </c>
      <c r="BV583" s="38">
        <f>IFERROR(INDEX(LMH_STEP,MATCH(AH583,LMH_KEY,0)),0)</f>
        <v>0</v>
      </c>
      <c r="BW583" s="38">
        <f>IFERROR(INDEX(LMH_STEP,MATCH(AI583,LMH_KEY,0)),0)</f>
        <v>0</v>
      </c>
      <c r="BX583" s="38">
        <f>IFERROR(INDEX(LMH_STEP,MATCH(AJ583,LMH_KEY,0)),0)</f>
        <v>0</v>
      </c>
      <c r="BY583" s="38">
        <f>IFERROR(INDEX(LMH_STEP,MATCH(AK583,LMH_KEY,0)),0)</f>
        <v>0</v>
      </c>
      <c r="BZ583" s="38">
        <f>IFERROR(INDEX(LMH_STEP,MATCH(AL583,LMH_KEY,0)),0)</f>
        <v>0</v>
      </c>
      <c r="CA583" s="38" t="inlineStr">
        <is>
          <t>iFile|Technology|Associate Consultant – Software Development|X1|X</t>
        </is>
      </c>
    </row>
    <row r="584" ht="110" customHeight="1">
      <c r="A584" s="28" t="inlineStr">
        <is>
          <t>iFile</t>
        </is>
      </c>
      <c r="B584" s="29" t="inlineStr">
        <is>
          <t>Technology</t>
        </is>
      </c>
      <c r="C584" s="29" t="n">
        <v>0</v>
      </c>
      <c r="D584" s="29" t="inlineStr">
        <is>
          <t>No Emp ID · external consultant</t>
        </is>
      </c>
      <c r="E584" s="29" t="inlineStr">
        <is>
          <t>Poonam Rajput</t>
        </is>
      </c>
      <c r="F584" s="29" t="inlineStr">
        <is>
          <t>Consultant</t>
        </is>
      </c>
      <c r="G584" s="29" t="inlineStr">
        <is>
          <t>Associate Consultant – Software Development</t>
        </is>
      </c>
      <c r="H584" s="29" t="inlineStr">
        <is>
          <t>Engineering &amp; Development</t>
        </is>
      </c>
      <c r="I584" s="29" t="inlineStr">
        <is>
          <t>Backend Development</t>
        </is>
      </c>
      <c r="J584" s="29" t="inlineStr">
        <is>
          <t>Consultant</t>
        </is>
      </c>
      <c r="K584" s="29" t="inlineStr">
        <is>
          <t>RC-073</t>
        </is>
      </c>
      <c r="L584" s="29" t="inlineStr">
        <is>
          <t>Not provided · HRIS</t>
        </is>
      </c>
      <c r="M584" s="29" t="inlineStr">
        <is>
          <t>Not in this file</t>
        </is>
      </c>
      <c r="N584" s="29" t="inlineStr">
        <is>
          <t>Not provided · HRIS</t>
        </is>
      </c>
      <c r="O584" s="29" t="n">
        <v>2.4</v>
      </c>
      <c r="P584" s="29" t="inlineStr">
        <is>
          <t>Not provided · HRIS</t>
        </is>
      </c>
      <c r="Q584" s="29" t="inlineStr">
        <is>
          <t>—</t>
        </is>
      </c>
      <c r="R584" s="29" t="inlineStr">
        <is>
          <t>X1</t>
        </is>
      </c>
      <c r="S584" s="30" t="inlineStr">
        <is>
          <t>0 of 20</t>
        </is>
      </c>
      <c r="T584" s="32" t="inlineStr">
        <is>
          <t>No survey response on file</t>
        </is>
      </c>
      <c r="U584" s="32" t="inlineStr">
        <is>
          <t>KRAs not received · manager to supply</t>
        </is>
      </c>
      <c r="V584" s="31" t="inlineStr">
        <is>
          <t>Latest rating: Not rated · manager · Readiness: n/a · consultant</t>
        </is>
      </c>
      <c r="W584" s="31" t="inlineStr">
        <is>
          <t>Consultant · outside the ladder</t>
        </is>
      </c>
      <c r="X584" s="33" t="inlineStr">
        <is>
          <t>Open ▸</t>
        </is>
      </c>
      <c r="Y584" s="34" t="n"/>
      <c r="Z584" s="35" t="n"/>
      <c r="AA584" s="35" t="n"/>
      <c r="AB584" s="35" t="n"/>
      <c r="AC584" s="35" t="n"/>
      <c r="AD584" s="35" t="n"/>
      <c r="AE584" s="35" t="n"/>
      <c r="AF584" s="34" t="n"/>
      <c r="AG584" s="35" t="n"/>
      <c r="AH584" s="35" t="n"/>
      <c r="AI584" s="35" t="n"/>
      <c r="AJ584" s="35" t="n"/>
      <c r="AK584" s="35" t="n"/>
      <c r="AL584" s="35" t="n"/>
      <c r="AM584" s="36" t="n"/>
      <c r="AN584" s="37" t="n"/>
      <c r="AO584" s="37" t="n"/>
      <c r="AP584" s="37" t="n"/>
      <c r="AQ584" s="37" t="n"/>
      <c r="AR584" s="37" t="n"/>
      <c r="AS584" s="37" t="n"/>
      <c r="AT584" s="38" t="n"/>
      <c r="AU584" s="38" t="n"/>
      <c r="AV584" s="38" t="n"/>
      <c r="AW584" s="38" t="inlineStr">
        <is>
          <t>—</t>
        </is>
      </c>
      <c r="AX584"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84" s="39" t="inlineStr">
        <is>
          <t>X1</t>
        </is>
      </c>
      <c r="AZ584" s="40" t="inlineStr">
        <is>
          <t xml:space="preserve">Band X · Consultant · </t>
        </is>
      </c>
      <c r="BA584" s="40" t="inlineStr">
        <is>
          <t>Model X1 from the six ratings, the market-derived weights and rules R1–R13 · then Consultant · outside the ladder</t>
        </is>
      </c>
      <c r="BB584" s="41" t="n"/>
      <c r="BC584" s="40" t="inlineStr">
        <is>
          <t>Consultant · outside the ladder</t>
        </is>
      </c>
      <c r="BD584" s="42">
        <f>IF(SUM(BM584,BN584,BO584,BP584,BQ584,BR584,BS584)=0,0,(BM584*BT584+BN584*BU584+BO584*BV584+BP584*BW584+BQ584*BX584+BR584*BY584+BS584*BZ584)/SUM(BM584,BN584,BO584,BP584,BQ584,BR584,BS584))</f>
        <v>0</v>
      </c>
      <c r="BE584" s="41" t="str">
        <f>IF(LEFT(AY584,1)="X",AY584,IF(OR(AY584="B+",AY584="C+"),INDEX(LAD_PC,MAX(1,MIN(14,MATCH(AY584,LAD_PC,0)+IF(BD584&gt;=0.5,1,IF(BD584&lt;=-0.5,-1,0))))),INDEX(LAD_STD,MAX(1,MIN(12,MATCH(AY584,LAD_STD,0)+IF(BD584&gt;=0.5,1,IF(BD584&lt;=-0.5,-1,0)))))))</f>
        <v>X1</v>
      </c>
      <c r="BF584" s="43" t="n"/>
      <c r="BG584" s="41" t="str">
        <f>IF(BF584&lt;&gt;"",BF584,BE584)</f>
        <v>X1</v>
      </c>
      <c r="BH584" s="40" t="str">
        <f>IFERROR(CHOOSE(INDEX(B_RANK,MATCH(BG584,B_LVL,0)),"Band A","Band B","B+ · Player-Coach","Band C","C+ · Player-Coach","Band D","Band E"),"Band X · Consultant")</f>
        <v>Band X · Consultant</v>
      </c>
      <c r="BI584" s="40" t="str">
        <f>IF(BG584=AY584,"• Same",IF(INDEX(B_VAL,MATCH(BG584,B_LVL,0))&gt;INDEX(B_VAL,MATCH(AY584,B_LVL,0)),"▲ Up","▼ Down"))</f>
        <v>• Same</v>
      </c>
      <c r="BJ584" s="40" t="str">
        <f>IF(OR($M584="",$M584="—",$M584="Not in this file"),"",IFERROR(INDEX($BG$7:$BG$592,MATCH($M584,$D$7:$D$592,0)),""))</f>
        <v/>
      </c>
      <c r="BK584" s="40" t="str">
        <f>IFERROR(IF(BJ584="","—",IF(OR(LEFT(BG584,1)="X",LEFT(BJ584,1)="X"),"—",IF(AND(LEFT(BG584,1)="E",LEFT(BJ584,1)="E"),"Exception · Band E",IF(AND(INDEX(B_VAL,MATCH(BJ584,B_LVL,0))&gt;=7,INDEX(B_RANK,MATCH(BG584,B_LVL,0))&gt;=INDEX(B_RANK,MATCH(BJ584,B_LVL,0))),"⚠ Same band as a head manager",IF(INDEX(B_VAL,MATCH(BG584,B_LVL,0))&gt;=INDEX(B_VAL,MATCH(BJ584,B_LVL,0)),"⚠ At or above the manager's level","OK"))))),"—")</f>
        <v>—</v>
      </c>
      <c r="BL584" s="43" t="n"/>
      <c r="BM584" s="44">
        <f>IFERROR(INDEX(LMH_PTS,MATCH(Y584,LMH_KEY,0)),0)</f>
        <v>0</v>
      </c>
      <c r="BN584" s="38">
        <f>IFERROR(INDEX(LMH_PTS,MATCH(Z584,LMH_KEY,0)),0)</f>
        <v>0</v>
      </c>
      <c r="BO584" s="38">
        <f>IFERROR(INDEX(LMH_PTS,MATCH(AA584,LMH_KEY,0)),0)</f>
        <v>0</v>
      </c>
      <c r="BP584" s="38">
        <f>IFERROR(INDEX(LMH_PTS,MATCH(AB584,LMH_KEY,0)),0)</f>
        <v>0</v>
      </c>
      <c r="BQ584" s="38">
        <f>IFERROR(INDEX(LMH_PTS,MATCH(AC584,LMH_KEY,0)),0)</f>
        <v>0</v>
      </c>
      <c r="BR584" s="38">
        <f>IFERROR(INDEX(LMH_PTS,MATCH(AD584,LMH_KEY,0)),0)</f>
        <v>0</v>
      </c>
      <c r="BS584" s="38">
        <f>IFERROR(INDEX(LMH_PTS,MATCH(AE584,LMH_KEY,0)),0)</f>
        <v>0</v>
      </c>
      <c r="BT584" s="38">
        <f>IFERROR(INDEX(LMH_STEP,MATCH(AF584,LMH_KEY,0)),0)</f>
        <v>0</v>
      </c>
      <c r="BU584" s="38">
        <f>IFERROR(INDEX(LMH_STEP,MATCH(AG584,LMH_KEY,0)),0)</f>
        <v>0</v>
      </c>
      <c r="BV584" s="38">
        <f>IFERROR(INDEX(LMH_STEP,MATCH(AH584,LMH_KEY,0)),0)</f>
        <v>0</v>
      </c>
      <c r="BW584" s="38">
        <f>IFERROR(INDEX(LMH_STEP,MATCH(AI584,LMH_KEY,0)),0)</f>
        <v>0</v>
      </c>
      <c r="BX584" s="38">
        <f>IFERROR(INDEX(LMH_STEP,MATCH(AJ584,LMH_KEY,0)),0)</f>
        <v>0</v>
      </c>
      <c r="BY584" s="38">
        <f>IFERROR(INDEX(LMH_STEP,MATCH(AK584,LMH_KEY,0)),0)</f>
        <v>0</v>
      </c>
      <c r="BZ584" s="38">
        <f>IFERROR(INDEX(LMH_STEP,MATCH(AL584,LMH_KEY,0)),0)</f>
        <v>0</v>
      </c>
      <c r="CA584" s="38" t="inlineStr">
        <is>
          <t>iFile|Technology|Associate Consultant – Software Development|X1|X</t>
        </is>
      </c>
    </row>
    <row r="585" ht="110" customHeight="1">
      <c r="A585" s="28" t="inlineStr">
        <is>
          <t>Datatech</t>
        </is>
      </c>
      <c r="B585" s="29" t="inlineStr">
        <is>
          <t>Marketing</t>
        </is>
      </c>
      <c r="C585" s="29" t="n">
        <v>0</v>
      </c>
      <c r="D585" s="29" t="inlineStr">
        <is>
          <t>No Emp ID · in-house consultant</t>
        </is>
      </c>
      <c r="E585" s="29" t="inlineStr">
        <is>
          <t>R Indumathi</t>
        </is>
      </c>
      <c r="F585" s="29" t="inlineStr">
        <is>
          <t>Consultant</t>
        </is>
      </c>
      <c r="G585" s="29" t="inlineStr">
        <is>
          <t>Associate Consultant – Demand Generation, Brand &amp; Events</t>
        </is>
      </c>
      <c r="H585" s="29" t="inlineStr">
        <is>
          <t>Marketing &amp; Communications</t>
        </is>
      </c>
      <c r="I585" s="29" t="inlineStr">
        <is>
          <t>Marketing · role not recorded</t>
        </is>
      </c>
      <c r="J585" s="29" t="inlineStr">
        <is>
          <t>Consultant</t>
        </is>
      </c>
      <c r="K585" s="29" t="inlineStr">
        <is>
          <t>RC-118</t>
        </is>
      </c>
      <c r="L585" s="29" t="inlineStr">
        <is>
          <t>Not provided · HRIS</t>
        </is>
      </c>
      <c r="M585" s="29" t="inlineStr">
        <is>
          <t>Not in this file</t>
        </is>
      </c>
      <c r="N585" s="29" t="inlineStr">
        <is>
          <t>Not provided · HRIS</t>
        </is>
      </c>
      <c r="O585" s="29" t="n">
        <v>0.3</v>
      </c>
      <c r="P585" s="29" t="inlineStr">
        <is>
          <t>Not provided · HRIS</t>
        </is>
      </c>
      <c r="Q585" s="29" t="inlineStr">
        <is>
          <t>—</t>
        </is>
      </c>
      <c r="R585" s="29" t="inlineStr">
        <is>
          <t>X1</t>
        </is>
      </c>
      <c r="S585" s="30" t="inlineStr">
        <is>
          <t>0 of 20</t>
        </is>
      </c>
      <c r="T585" s="32" t="inlineStr">
        <is>
          <t>No survey response on file</t>
        </is>
      </c>
      <c r="U585" s="32" t="inlineStr">
        <is>
          <t>KRAs not received · manager to supply</t>
        </is>
      </c>
      <c r="V585" s="31" t="inlineStr">
        <is>
          <t>Latest rating: Not rated · manager · Readiness: n/a · consultant</t>
        </is>
      </c>
      <c r="W585" s="31" t="inlineStr">
        <is>
          <t>Consultant · outside the ladder</t>
        </is>
      </c>
      <c r="X585" s="33" t="inlineStr">
        <is>
          <t>Open ▸</t>
        </is>
      </c>
      <c r="Y585" s="34" t="n"/>
      <c r="Z585" s="35" t="n"/>
      <c r="AA585" s="35" t="n"/>
      <c r="AB585" s="35" t="n"/>
      <c r="AC585" s="35" t="n"/>
      <c r="AD585" s="35" t="n"/>
      <c r="AE585" s="35" t="n"/>
      <c r="AF585" s="34" t="n"/>
      <c r="AG585" s="35" t="n"/>
      <c r="AH585" s="35" t="n"/>
      <c r="AI585" s="35" t="n"/>
      <c r="AJ585" s="35" t="n"/>
      <c r="AK585" s="35" t="n"/>
      <c r="AL585" s="35" t="n"/>
      <c r="AM585" s="36" t="n"/>
      <c r="AN585" s="37" t="n"/>
      <c r="AO585" s="37" t="n"/>
      <c r="AP585" s="37" t="n"/>
      <c r="AQ585" s="37" t="n"/>
      <c r="AR585" s="37" t="n"/>
      <c r="AS585" s="37" t="n"/>
      <c r="AT585" s="38" t="n"/>
      <c r="AU585" s="38" t="n"/>
      <c r="AV585" s="38" t="n"/>
      <c r="AW585" s="38" t="inlineStr">
        <is>
          <t>—</t>
        </is>
      </c>
      <c r="AX585"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85" s="39" t="inlineStr">
        <is>
          <t>X1</t>
        </is>
      </c>
      <c r="AZ585" s="40" t="inlineStr">
        <is>
          <t xml:space="preserve">Band X · Consultant · </t>
        </is>
      </c>
      <c r="BA585" s="40" t="inlineStr">
        <is>
          <t>Model X1 from the six ratings, the market-derived weights and rules R1–R13 · then Consultant · outside the ladder</t>
        </is>
      </c>
      <c r="BB585" s="41" t="n"/>
      <c r="BC585" s="40" t="inlineStr">
        <is>
          <t>Consultant · outside the ladder</t>
        </is>
      </c>
      <c r="BD585" s="42">
        <f>IF(SUM(BM585,BN585,BO585,BP585,BQ585,BR585,BS585)=0,0,(BM585*BT585+BN585*BU585+BO585*BV585+BP585*BW585+BQ585*BX585+BR585*BY585+BS585*BZ585)/SUM(BM585,BN585,BO585,BP585,BQ585,BR585,BS585))</f>
        <v>0</v>
      </c>
      <c r="BE585" s="41" t="str">
        <f>IF(LEFT(AY585,1)="X",AY585,IF(OR(AY585="B+",AY585="C+"),INDEX(LAD_PC,MAX(1,MIN(14,MATCH(AY585,LAD_PC,0)+IF(BD585&gt;=0.5,1,IF(BD585&lt;=-0.5,-1,0))))),INDEX(LAD_STD,MAX(1,MIN(12,MATCH(AY585,LAD_STD,0)+IF(BD585&gt;=0.5,1,IF(BD585&lt;=-0.5,-1,0)))))))</f>
        <v>X1</v>
      </c>
      <c r="BF585" s="43" t="n"/>
      <c r="BG585" s="41" t="str">
        <f>IF(BF585&lt;&gt;"",BF585,BE585)</f>
        <v>X1</v>
      </c>
      <c r="BH585" s="40" t="str">
        <f>IFERROR(CHOOSE(INDEX(B_RANK,MATCH(BG585,B_LVL,0)),"Band A","Band B","B+ · Player-Coach","Band C","C+ · Player-Coach","Band D","Band E"),"Band X · Consultant")</f>
        <v>Band X · Consultant</v>
      </c>
      <c r="BI585" s="40" t="str">
        <f>IF(BG585=AY585,"• Same",IF(INDEX(B_VAL,MATCH(BG585,B_LVL,0))&gt;INDEX(B_VAL,MATCH(AY585,B_LVL,0)),"▲ Up","▼ Down"))</f>
        <v>• Same</v>
      </c>
      <c r="BJ585" s="40" t="str">
        <f>IF(OR($M585="",$M585="—",$M585="Not in this file"),"",IFERROR(INDEX($BG$7:$BG$592,MATCH($M585,$D$7:$D$592,0)),""))</f>
        <v/>
      </c>
      <c r="BK585" s="40" t="str">
        <f>IFERROR(IF(BJ585="","—",IF(OR(LEFT(BG585,1)="X",LEFT(BJ585,1)="X"),"—",IF(AND(LEFT(BG585,1)="E",LEFT(BJ585,1)="E"),"Exception · Band E",IF(AND(INDEX(B_VAL,MATCH(BJ585,B_LVL,0))&gt;=7,INDEX(B_RANK,MATCH(BG585,B_LVL,0))&gt;=INDEX(B_RANK,MATCH(BJ585,B_LVL,0))),"⚠ Same band as a head manager",IF(INDEX(B_VAL,MATCH(BG585,B_LVL,0))&gt;=INDEX(B_VAL,MATCH(BJ585,B_LVL,0)),"⚠ At or above the manager's level","OK"))))),"—")</f>
        <v>—</v>
      </c>
      <c r="BL585" s="43" t="n"/>
      <c r="BM585" s="44">
        <f>IFERROR(INDEX(LMH_PTS,MATCH(Y585,LMH_KEY,0)),0)</f>
        <v>0</v>
      </c>
      <c r="BN585" s="38">
        <f>IFERROR(INDEX(LMH_PTS,MATCH(Z585,LMH_KEY,0)),0)</f>
        <v>0</v>
      </c>
      <c r="BO585" s="38">
        <f>IFERROR(INDEX(LMH_PTS,MATCH(AA585,LMH_KEY,0)),0)</f>
        <v>0</v>
      </c>
      <c r="BP585" s="38">
        <f>IFERROR(INDEX(LMH_PTS,MATCH(AB585,LMH_KEY,0)),0)</f>
        <v>0</v>
      </c>
      <c r="BQ585" s="38">
        <f>IFERROR(INDEX(LMH_PTS,MATCH(AC585,LMH_KEY,0)),0)</f>
        <v>0</v>
      </c>
      <c r="BR585" s="38">
        <f>IFERROR(INDEX(LMH_PTS,MATCH(AD585,LMH_KEY,0)),0)</f>
        <v>0</v>
      </c>
      <c r="BS585" s="38">
        <f>IFERROR(INDEX(LMH_PTS,MATCH(AE585,LMH_KEY,0)),0)</f>
        <v>0</v>
      </c>
      <c r="BT585" s="38">
        <f>IFERROR(INDEX(LMH_STEP,MATCH(AF585,LMH_KEY,0)),0)</f>
        <v>0</v>
      </c>
      <c r="BU585" s="38">
        <f>IFERROR(INDEX(LMH_STEP,MATCH(AG585,LMH_KEY,0)),0)</f>
        <v>0</v>
      </c>
      <c r="BV585" s="38">
        <f>IFERROR(INDEX(LMH_STEP,MATCH(AH585,LMH_KEY,0)),0)</f>
        <v>0</v>
      </c>
      <c r="BW585" s="38">
        <f>IFERROR(INDEX(LMH_STEP,MATCH(AI585,LMH_KEY,0)),0)</f>
        <v>0</v>
      </c>
      <c r="BX585" s="38">
        <f>IFERROR(INDEX(LMH_STEP,MATCH(AJ585,LMH_KEY,0)),0)</f>
        <v>0</v>
      </c>
      <c r="BY585" s="38">
        <f>IFERROR(INDEX(LMH_STEP,MATCH(AK585,LMH_KEY,0)),0)</f>
        <v>0</v>
      </c>
      <c r="BZ585" s="38">
        <f>IFERROR(INDEX(LMH_STEP,MATCH(AL585,LMH_KEY,0)),0)</f>
        <v>0</v>
      </c>
      <c r="CA585" s="38" t="inlineStr">
        <is>
          <t>Datatech|Marketing|Associate Consultant – Demand Generation, Brand &amp; Events|X1|X</t>
        </is>
      </c>
    </row>
    <row r="586" ht="110" customHeight="1">
      <c r="A586" s="28" t="inlineStr">
        <is>
          <t>Datatech</t>
        </is>
      </c>
      <c r="B586" s="29" t="inlineStr">
        <is>
          <t>Technology</t>
        </is>
      </c>
      <c r="C586" s="29" t="n">
        <v>0</v>
      </c>
      <c r="D586" s="29" t="inlineStr">
        <is>
          <t>No Emp ID · external consultant</t>
        </is>
      </c>
      <c r="E586" s="29" t="inlineStr">
        <is>
          <t>Sadhan Kumar</t>
        </is>
      </c>
      <c r="F586" s="29" t="inlineStr">
        <is>
          <t>Consultant</t>
        </is>
      </c>
      <c r="G586" s="29" t="inlineStr">
        <is>
          <t>Associate Consultant – Software Development</t>
        </is>
      </c>
      <c r="H586" s="29" t="inlineStr">
        <is>
          <t>Engineering &amp; Development</t>
        </is>
      </c>
      <c r="I586" s="29" t="inlineStr">
        <is>
          <t>Backend Development</t>
        </is>
      </c>
      <c r="J586" s="29" t="inlineStr">
        <is>
          <t>Consultant</t>
        </is>
      </c>
      <c r="K586" s="29" t="inlineStr">
        <is>
          <t>RC-073</t>
        </is>
      </c>
      <c r="L586" s="29" t="inlineStr">
        <is>
          <t>Not provided · HRIS</t>
        </is>
      </c>
      <c r="M586" s="29" t="inlineStr">
        <is>
          <t>Not in this file</t>
        </is>
      </c>
      <c r="N586" s="29" t="inlineStr">
        <is>
          <t>Not provided · HRIS</t>
        </is>
      </c>
      <c r="O586" s="29" t="n">
        <v>0.1</v>
      </c>
      <c r="P586" s="29" t="inlineStr">
        <is>
          <t>Not provided · HRIS</t>
        </is>
      </c>
      <c r="Q586" s="29" t="inlineStr">
        <is>
          <t>—</t>
        </is>
      </c>
      <c r="R586" s="29" t="inlineStr">
        <is>
          <t>X1</t>
        </is>
      </c>
      <c r="S586" s="30" t="inlineStr">
        <is>
          <t>0 of 20</t>
        </is>
      </c>
      <c r="T586" s="32" t="inlineStr">
        <is>
          <t>No survey response on file</t>
        </is>
      </c>
      <c r="U586" s="32" t="inlineStr">
        <is>
          <t>KRAs not received · manager to supply</t>
        </is>
      </c>
      <c r="V586" s="31" t="inlineStr">
        <is>
          <t>Latest rating: Not rated · manager · Readiness: n/a · consultant</t>
        </is>
      </c>
      <c r="W586" s="31" t="inlineStr">
        <is>
          <t>Consultant · outside the ladder</t>
        </is>
      </c>
      <c r="X586" s="33" t="inlineStr">
        <is>
          <t>Open ▸</t>
        </is>
      </c>
      <c r="Y586" s="34" t="n"/>
      <c r="Z586" s="35" t="n"/>
      <c r="AA586" s="35" t="n"/>
      <c r="AB586" s="35" t="n"/>
      <c r="AC586" s="35" t="n"/>
      <c r="AD586" s="35" t="n"/>
      <c r="AE586" s="35" t="n"/>
      <c r="AF586" s="34" t="n"/>
      <c r="AG586" s="35" t="n"/>
      <c r="AH586" s="35" t="n"/>
      <c r="AI586" s="35" t="n"/>
      <c r="AJ586" s="35" t="n"/>
      <c r="AK586" s="35" t="n"/>
      <c r="AL586" s="35" t="n"/>
      <c r="AM586" s="36" t="n"/>
      <c r="AN586" s="37" t="n"/>
      <c r="AO586" s="37" t="n"/>
      <c r="AP586" s="37" t="n"/>
      <c r="AQ586" s="37" t="n"/>
      <c r="AR586" s="37" t="n"/>
      <c r="AS586" s="37" t="n"/>
      <c r="AT586" s="38" t="n"/>
      <c r="AU586" s="38" t="n"/>
      <c r="AV586" s="38" t="n"/>
      <c r="AW586" s="38" t="inlineStr">
        <is>
          <t>—</t>
        </is>
      </c>
      <c r="AX586"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86" s="39" t="inlineStr">
        <is>
          <t>X1</t>
        </is>
      </c>
      <c r="AZ586" s="40" t="inlineStr">
        <is>
          <t xml:space="preserve">Band X · Consultant · </t>
        </is>
      </c>
      <c r="BA586" s="40" t="inlineStr">
        <is>
          <t>Model X1 from the six ratings, the market-derived weights and rules R1–R13 · then Consultant · outside the ladder</t>
        </is>
      </c>
      <c r="BB586" s="41" t="n"/>
      <c r="BC586" s="40" t="inlineStr">
        <is>
          <t>Consultant · outside the ladder</t>
        </is>
      </c>
      <c r="BD586" s="42">
        <f>IF(SUM(BM586,BN586,BO586,BP586,BQ586,BR586,BS586)=0,0,(BM586*BT586+BN586*BU586+BO586*BV586+BP586*BW586+BQ586*BX586+BR586*BY586+BS586*BZ586)/SUM(BM586,BN586,BO586,BP586,BQ586,BR586,BS586))</f>
        <v>0</v>
      </c>
      <c r="BE586" s="41" t="str">
        <f>IF(LEFT(AY586,1)="X",AY586,IF(OR(AY586="B+",AY586="C+"),INDEX(LAD_PC,MAX(1,MIN(14,MATCH(AY586,LAD_PC,0)+IF(BD586&gt;=0.5,1,IF(BD586&lt;=-0.5,-1,0))))),INDEX(LAD_STD,MAX(1,MIN(12,MATCH(AY586,LAD_STD,0)+IF(BD586&gt;=0.5,1,IF(BD586&lt;=-0.5,-1,0)))))))</f>
        <v>X1</v>
      </c>
      <c r="BF586" s="43" t="n"/>
      <c r="BG586" s="41" t="str">
        <f>IF(BF586&lt;&gt;"",BF586,BE586)</f>
        <v>X1</v>
      </c>
      <c r="BH586" s="40" t="str">
        <f>IFERROR(CHOOSE(INDEX(B_RANK,MATCH(BG586,B_LVL,0)),"Band A","Band B","B+ · Player-Coach","Band C","C+ · Player-Coach","Band D","Band E"),"Band X · Consultant")</f>
        <v>Band X · Consultant</v>
      </c>
      <c r="BI586" s="40" t="str">
        <f>IF(BG586=AY586,"• Same",IF(INDEX(B_VAL,MATCH(BG586,B_LVL,0))&gt;INDEX(B_VAL,MATCH(AY586,B_LVL,0)),"▲ Up","▼ Down"))</f>
        <v>• Same</v>
      </c>
      <c r="BJ586" s="40" t="str">
        <f>IF(OR($M586="",$M586="—",$M586="Not in this file"),"",IFERROR(INDEX($BG$7:$BG$592,MATCH($M586,$D$7:$D$592,0)),""))</f>
        <v/>
      </c>
      <c r="BK586" s="40" t="str">
        <f>IFERROR(IF(BJ586="","—",IF(OR(LEFT(BG586,1)="X",LEFT(BJ586,1)="X"),"—",IF(AND(LEFT(BG586,1)="E",LEFT(BJ586,1)="E"),"Exception · Band E",IF(AND(INDEX(B_VAL,MATCH(BJ586,B_LVL,0))&gt;=7,INDEX(B_RANK,MATCH(BG586,B_LVL,0))&gt;=INDEX(B_RANK,MATCH(BJ586,B_LVL,0))),"⚠ Same band as a head manager",IF(INDEX(B_VAL,MATCH(BG586,B_LVL,0))&gt;=INDEX(B_VAL,MATCH(BJ586,B_LVL,0)),"⚠ At or above the manager's level","OK"))))),"—")</f>
        <v>—</v>
      </c>
      <c r="BL586" s="43" t="n"/>
      <c r="BM586" s="44">
        <f>IFERROR(INDEX(LMH_PTS,MATCH(Y586,LMH_KEY,0)),0)</f>
        <v>0</v>
      </c>
      <c r="BN586" s="38">
        <f>IFERROR(INDEX(LMH_PTS,MATCH(Z586,LMH_KEY,0)),0)</f>
        <v>0</v>
      </c>
      <c r="BO586" s="38">
        <f>IFERROR(INDEX(LMH_PTS,MATCH(AA586,LMH_KEY,0)),0)</f>
        <v>0</v>
      </c>
      <c r="BP586" s="38">
        <f>IFERROR(INDEX(LMH_PTS,MATCH(AB586,LMH_KEY,0)),0)</f>
        <v>0</v>
      </c>
      <c r="BQ586" s="38">
        <f>IFERROR(INDEX(LMH_PTS,MATCH(AC586,LMH_KEY,0)),0)</f>
        <v>0</v>
      </c>
      <c r="BR586" s="38">
        <f>IFERROR(INDEX(LMH_PTS,MATCH(AD586,LMH_KEY,0)),0)</f>
        <v>0</v>
      </c>
      <c r="BS586" s="38">
        <f>IFERROR(INDEX(LMH_PTS,MATCH(AE586,LMH_KEY,0)),0)</f>
        <v>0</v>
      </c>
      <c r="BT586" s="38">
        <f>IFERROR(INDEX(LMH_STEP,MATCH(AF586,LMH_KEY,0)),0)</f>
        <v>0</v>
      </c>
      <c r="BU586" s="38">
        <f>IFERROR(INDEX(LMH_STEP,MATCH(AG586,LMH_KEY,0)),0)</f>
        <v>0</v>
      </c>
      <c r="BV586" s="38">
        <f>IFERROR(INDEX(LMH_STEP,MATCH(AH586,LMH_KEY,0)),0)</f>
        <v>0</v>
      </c>
      <c r="BW586" s="38">
        <f>IFERROR(INDEX(LMH_STEP,MATCH(AI586,LMH_KEY,0)),0)</f>
        <v>0</v>
      </c>
      <c r="BX586" s="38">
        <f>IFERROR(INDEX(LMH_STEP,MATCH(AJ586,LMH_KEY,0)),0)</f>
        <v>0</v>
      </c>
      <c r="BY586" s="38">
        <f>IFERROR(INDEX(LMH_STEP,MATCH(AK586,LMH_KEY,0)),0)</f>
        <v>0</v>
      </c>
      <c r="BZ586" s="38">
        <f>IFERROR(INDEX(LMH_STEP,MATCH(AL586,LMH_KEY,0)),0)</f>
        <v>0</v>
      </c>
      <c r="CA586" s="38" t="inlineStr">
        <is>
          <t>Datatech|Technology|Associate Consultant – Software Development|X1|X</t>
        </is>
      </c>
    </row>
    <row r="587" ht="110" customHeight="1">
      <c r="A587" s="28" t="inlineStr">
        <is>
          <t>iFile</t>
        </is>
      </c>
      <c r="B587" s="29" t="inlineStr">
        <is>
          <t>Technology</t>
        </is>
      </c>
      <c r="C587" s="29" t="n">
        <v>0</v>
      </c>
      <c r="D587" s="29" t="inlineStr">
        <is>
          <t>No Emp ID · external consultant</t>
        </is>
      </c>
      <c r="E587" s="29" t="inlineStr">
        <is>
          <t>Shifa Salheen</t>
        </is>
      </c>
      <c r="F587" s="29" t="inlineStr">
        <is>
          <t>Consultant</t>
        </is>
      </c>
      <c r="G587" s="29" t="inlineStr">
        <is>
          <t>Associate Consultant – Software Development</t>
        </is>
      </c>
      <c r="H587" s="29" t="inlineStr">
        <is>
          <t>Engineering &amp; Development</t>
        </is>
      </c>
      <c r="I587" s="29" t="inlineStr">
        <is>
          <t>Backend Development</t>
        </is>
      </c>
      <c r="J587" s="29" t="inlineStr">
        <is>
          <t>Consultant</t>
        </is>
      </c>
      <c r="K587" s="29" t="inlineStr">
        <is>
          <t>RC-073</t>
        </is>
      </c>
      <c r="L587" s="29" t="inlineStr">
        <is>
          <t>Not provided · HRIS</t>
        </is>
      </c>
      <c r="M587" s="29" t="inlineStr">
        <is>
          <t>Not in this file</t>
        </is>
      </c>
      <c r="N587" s="29" t="inlineStr">
        <is>
          <t>Not provided · HRIS</t>
        </is>
      </c>
      <c r="O587" s="29" t="n">
        <v>2.4</v>
      </c>
      <c r="P587" s="29" t="inlineStr">
        <is>
          <t>Not provided · HRIS</t>
        </is>
      </c>
      <c r="Q587" s="29" t="inlineStr">
        <is>
          <t>—</t>
        </is>
      </c>
      <c r="R587" s="29" t="inlineStr">
        <is>
          <t>X1</t>
        </is>
      </c>
      <c r="S587" s="30" t="inlineStr">
        <is>
          <t>0 of 20</t>
        </is>
      </c>
      <c r="T587" s="32" t="inlineStr">
        <is>
          <t>No survey response on file</t>
        </is>
      </c>
      <c r="U587" s="32" t="inlineStr">
        <is>
          <t>KRAs not received · manager to supply</t>
        </is>
      </c>
      <c r="V587" s="31" t="inlineStr">
        <is>
          <t>Latest rating: Not rated · manager · Readiness: n/a · consultant</t>
        </is>
      </c>
      <c r="W587" s="31" t="inlineStr">
        <is>
          <t>Consultant · outside the ladder</t>
        </is>
      </c>
      <c r="X587" s="33" t="inlineStr">
        <is>
          <t>Open ▸</t>
        </is>
      </c>
      <c r="Y587" s="34" t="n"/>
      <c r="Z587" s="35" t="n"/>
      <c r="AA587" s="35" t="n"/>
      <c r="AB587" s="35" t="n"/>
      <c r="AC587" s="35" t="n"/>
      <c r="AD587" s="35" t="n"/>
      <c r="AE587" s="35" t="n"/>
      <c r="AF587" s="34" t="n"/>
      <c r="AG587" s="35" t="n"/>
      <c r="AH587" s="35" t="n"/>
      <c r="AI587" s="35" t="n"/>
      <c r="AJ587" s="35" t="n"/>
      <c r="AK587" s="35" t="n"/>
      <c r="AL587" s="35" t="n"/>
      <c r="AM587" s="36" t="n"/>
      <c r="AN587" s="37" t="n"/>
      <c r="AO587" s="37" t="n"/>
      <c r="AP587" s="37" t="n"/>
      <c r="AQ587" s="37" t="n"/>
      <c r="AR587" s="37" t="n"/>
      <c r="AS587" s="37" t="n"/>
      <c r="AT587" s="38" t="n"/>
      <c r="AU587" s="38" t="n"/>
      <c r="AV587" s="38" t="n"/>
      <c r="AW587" s="38" t="inlineStr">
        <is>
          <t>—</t>
        </is>
      </c>
      <c r="AX587"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87" s="39" t="inlineStr">
        <is>
          <t>X1</t>
        </is>
      </c>
      <c r="AZ587" s="40" t="inlineStr">
        <is>
          <t xml:space="preserve">Band X · Consultant · </t>
        </is>
      </c>
      <c r="BA587" s="40" t="inlineStr">
        <is>
          <t>Model X1 from the six ratings, the market-derived weights and rules R1–R13 · then Consultant · outside the ladder</t>
        </is>
      </c>
      <c r="BB587" s="41" t="n"/>
      <c r="BC587" s="40" t="inlineStr">
        <is>
          <t>Consultant · outside the ladder</t>
        </is>
      </c>
      <c r="BD587" s="42">
        <f>IF(SUM(BM587,BN587,BO587,BP587,BQ587,BR587,BS587)=0,0,(BM587*BT587+BN587*BU587+BO587*BV587+BP587*BW587+BQ587*BX587+BR587*BY587+BS587*BZ587)/SUM(BM587,BN587,BO587,BP587,BQ587,BR587,BS587))</f>
        <v>0</v>
      </c>
      <c r="BE587" s="41" t="str">
        <f>IF(LEFT(AY587,1)="X",AY587,IF(OR(AY587="B+",AY587="C+"),INDEX(LAD_PC,MAX(1,MIN(14,MATCH(AY587,LAD_PC,0)+IF(BD587&gt;=0.5,1,IF(BD587&lt;=-0.5,-1,0))))),INDEX(LAD_STD,MAX(1,MIN(12,MATCH(AY587,LAD_STD,0)+IF(BD587&gt;=0.5,1,IF(BD587&lt;=-0.5,-1,0)))))))</f>
        <v>X1</v>
      </c>
      <c r="BF587" s="43" t="n"/>
      <c r="BG587" s="41" t="str">
        <f>IF(BF587&lt;&gt;"",BF587,BE587)</f>
        <v>X1</v>
      </c>
      <c r="BH587" s="40" t="str">
        <f>IFERROR(CHOOSE(INDEX(B_RANK,MATCH(BG587,B_LVL,0)),"Band A","Band B","B+ · Player-Coach","Band C","C+ · Player-Coach","Band D","Band E"),"Band X · Consultant")</f>
        <v>Band X · Consultant</v>
      </c>
      <c r="BI587" s="40" t="str">
        <f>IF(BG587=AY587,"• Same",IF(INDEX(B_VAL,MATCH(BG587,B_LVL,0))&gt;INDEX(B_VAL,MATCH(AY587,B_LVL,0)),"▲ Up","▼ Down"))</f>
        <v>• Same</v>
      </c>
      <c r="BJ587" s="40" t="str">
        <f>IF(OR($M587="",$M587="—",$M587="Not in this file"),"",IFERROR(INDEX($BG$7:$BG$592,MATCH($M587,$D$7:$D$592,0)),""))</f>
        <v/>
      </c>
      <c r="BK587" s="40" t="str">
        <f>IFERROR(IF(BJ587="","—",IF(OR(LEFT(BG587,1)="X",LEFT(BJ587,1)="X"),"—",IF(AND(LEFT(BG587,1)="E",LEFT(BJ587,1)="E"),"Exception · Band E",IF(AND(INDEX(B_VAL,MATCH(BJ587,B_LVL,0))&gt;=7,INDEX(B_RANK,MATCH(BG587,B_LVL,0))&gt;=INDEX(B_RANK,MATCH(BJ587,B_LVL,0))),"⚠ Same band as a head manager",IF(INDEX(B_VAL,MATCH(BG587,B_LVL,0))&gt;=INDEX(B_VAL,MATCH(BJ587,B_LVL,0)),"⚠ At or above the manager's level","OK"))))),"—")</f>
        <v>—</v>
      </c>
      <c r="BL587" s="43" t="n"/>
      <c r="BM587" s="44">
        <f>IFERROR(INDEX(LMH_PTS,MATCH(Y587,LMH_KEY,0)),0)</f>
        <v>0</v>
      </c>
      <c r="BN587" s="38">
        <f>IFERROR(INDEX(LMH_PTS,MATCH(Z587,LMH_KEY,0)),0)</f>
        <v>0</v>
      </c>
      <c r="BO587" s="38">
        <f>IFERROR(INDEX(LMH_PTS,MATCH(AA587,LMH_KEY,0)),0)</f>
        <v>0</v>
      </c>
      <c r="BP587" s="38">
        <f>IFERROR(INDEX(LMH_PTS,MATCH(AB587,LMH_KEY,0)),0)</f>
        <v>0</v>
      </c>
      <c r="BQ587" s="38">
        <f>IFERROR(INDEX(LMH_PTS,MATCH(AC587,LMH_KEY,0)),0)</f>
        <v>0</v>
      </c>
      <c r="BR587" s="38">
        <f>IFERROR(INDEX(LMH_PTS,MATCH(AD587,LMH_KEY,0)),0)</f>
        <v>0</v>
      </c>
      <c r="BS587" s="38">
        <f>IFERROR(INDEX(LMH_PTS,MATCH(AE587,LMH_KEY,0)),0)</f>
        <v>0</v>
      </c>
      <c r="BT587" s="38">
        <f>IFERROR(INDEX(LMH_STEP,MATCH(AF587,LMH_KEY,0)),0)</f>
        <v>0</v>
      </c>
      <c r="BU587" s="38">
        <f>IFERROR(INDEX(LMH_STEP,MATCH(AG587,LMH_KEY,0)),0)</f>
        <v>0</v>
      </c>
      <c r="BV587" s="38">
        <f>IFERROR(INDEX(LMH_STEP,MATCH(AH587,LMH_KEY,0)),0)</f>
        <v>0</v>
      </c>
      <c r="BW587" s="38">
        <f>IFERROR(INDEX(LMH_STEP,MATCH(AI587,LMH_KEY,0)),0)</f>
        <v>0</v>
      </c>
      <c r="BX587" s="38">
        <f>IFERROR(INDEX(LMH_STEP,MATCH(AJ587,LMH_KEY,0)),0)</f>
        <v>0</v>
      </c>
      <c r="BY587" s="38">
        <f>IFERROR(INDEX(LMH_STEP,MATCH(AK587,LMH_KEY,0)),0)</f>
        <v>0</v>
      </c>
      <c r="BZ587" s="38">
        <f>IFERROR(INDEX(LMH_STEP,MATCH(AL587,LMH_KEY,0)),0)</f>
        <v>0</v>
      </c>
      <c r="CA587" s="38" t="inlineStr">
        <is>
          <t>iFile|Technology|Associate Consultant – Software Development|X1|X</t>
        </is>
      </c>
    </row>
    <row r="588" ht="110" customHeight="1">
      <c r="A588" s="28" t="inlineStr">
        <is>
          <t>Datatech</t>
        </is>
      </c>
      <c r="B588" s="29" t="inlineStr">
        <is>
          <t>Not provided · HRIS</t>
        </is>
      </c>
      <c r="C588" s="29" t="n">
        <v>0</v>
      </c>
      <c r="D588" s="29" t="inlineStr">
        <is>
          <t>No Emp ID · external consultant</t>
        </is>
      </c>
      <c r="E588" s="29" t="inlineStr">
        <is>
          <t>Shweta Vijay</t>
        </is>
      </c>
      <c r="F588" s="29" t="inlineStr">
        <is>
          <t>Consultant</t>
        </is>
      </c>
      <c r="G588" s="29" t="inlineStr">
        <is>
          <t>Associate Consultant – Software Development</t>
        </is>
      </c>
      <c r="H588" s="29" t="inlineStr">
        <is>
          <t>Unassigned</t>
        </is>
      </c>
      <c r="I588" s="29" t="inlineStr">
        <is>
          <t>Role not recorded · external consultant</t>
        </is>
      </c>
      <c r="J588" s="29" t="inlineStr">
        <is>
          <t>Consultant</t>
        </is>
      </c>
      <c r="K588" s="29" t="inlineStr">
        <is>
          <t>RC-175</t>
        </is>
      </c>
      <c r="L588" s="29" t="inlineStr">
        <is>
          <t>Not provided · HRIS</t>
        </is>
      </c>
      <c r="M588" s="29" t="inlineStr">
        <is>
          <t>Not in this file</t>
        </is>
      </c>
      <c r="N588" s="29" t="inlineStr">
        <is>
          <t>Not provided · HRIS</t>
        </is>
      </c>
      <c r="O588" s="29" t="n">
        <v>0.1</v>
      </c>
      <c r="P588" s="29" t="inlineStr">
        <is>
          <t>Not provided · HRIS</t>
        </is>
      </c>
      <c r="Q588" s="29" t="inlineStr">
        <is>
          <t>—</t>
        </is>
      </c>
      <c r="R588" s="29" t="inlineStr">
        <is>
          <t>X1</t>
        </is>
      </c>
      <c r="S588" s="30" t="inlineStr">
        <is>
          <t>0 of 20</t>
        </is>
      </c>
      <c r="T588" s="32" t="inlineStr">
        <is>
          <t>No survey response on file</t>
        </is>
      </c>
      <c r="U588" s="32" t="inlineStr">
        <is>
          <t>KRAs not received · manager to supply</t>
        </is>
      </c>
      <c r="V588" s="31" t="inlineStr">
        <is>
          <t>Latest rating: Not rated · manager · Readiness: n/a · consultant</t>
        </is>
      </c>
      <c r="W588" s="31" t="inlineStr">
        <is>
          <t>Consultant · outside the ladder</t>
        </is>
      </c>
      <c r="X588" s="33" t="inlineStr">
        <is>
          <t>Open ▸</t>
        </is>
      </c>
      <c r="Y588" s="34" t="n"/>
      <c r="Z588" s="35" t="n"/>
      <c r="AA588" s="35" t="n"/>
      <c r="AB588" s="35" t="n"/>
      <c r="AC588" s="35" t="n"/>
      <c r="AD588" s="35" t="n"/>
      <c r="AE588" s="35" t="n"/>
      <c r="AF588" s="34" t="n"/>
      <c r="AG588" s="35" t="n"/>
      <c r="AH588" s="35" t="n"/>
      <c r="AI588" s="35" t="n"/>
      <c r="AJ588" s="35" t="n"/>
      <c r="AK588" s="35" t="n"/>
      <c r="AL588" s="35" t="n"/>
      <c r="AM588" s="36" t="n"/>
      <c r="AN588" s="37" t="n"/>
      <c r="AO588" s="37" t="n"/>
      <c r="AP588" s="37" t="n"/>
      <c r="AQ588" s="37" t="n"/>
      <c r="AR588" s="37" t="n"/>
      <c r="AS588" s="37" t="n"/>
      <c r="AT588" s="38" t="n"/>
      <c r="AU588" s="38" t="n"/>
      <c r="AV588" s="38" t="n"/>
      <c r="AW588" s="38" t="inlineStr">
        <is>
          <t>—</t>
        </is>
      </c>
      <c r="AX588"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88" s="39" t="inlineStr">
        <is>
          <t>X1</t>
        </is>
      </c>
      <c r="AZ588" s="40" t="inlineStr">
        <is>
          <t xml:space="preserve">Band X · Consultant · </t>
        </is>
      </c>
      <c r="BA588" s="40" t="inlineStr">
        <is>
          <t>Model X1 from the six ratings, the market-derived weights and rules R1–R13 · then Consultant · outside the ladder</t>
        </is>
      </c>
      <c r="BB588" s="41" t="n"/>
      <c r="BC588" s="40" t="inlineStr">
        <is>
          <t>Consultant · outside the ladder</t>
        </is>
      </c>
      <c r="BD588" s="42">
        <f>IF(SUM(BM588,BN588,BO588,BP588,BQ588,BR588,BS588)=0,0,(BM588*BT588+BN588*BU588+BO588*BV588+BP588*BW588+BQ588*BX588+BR588*BY588+BS588*BZ588)/SUM(BM588,BN588,BO588,BP588,BQ588,BR588,BS588))</f>
        <v>0</v>
      </c>
      <c r="BE588" s="41" t="str">
        <f>IF(LEFT(AY588,1)="X",AY588,IF(OR(AY588="B+",AY588="C+"),INDEX(LAD_PC,MAX(1,MIN(14,MATCH(AY588,LAD_PC,0)+IF(BD588&gt;=0.5,1,IF(BD588&lt;=-0.5,-1,0))))),INDEX(LAD_STD,MAX(1,MIN(12,MATCH(AY588,LAD_STD,0)+IF(BD588&gt;=0.5,1,IF(BD588&lt;=-0.5,-1,0)))))))</f>
        <v>X1</v>
      </c>
      <c r="BF588" s="43" t="n"/>
      <c r="BG588" s="41" t="str">
        <f>IF(BF588&lt;&gt;"",BF588,BE588)</f>
        <v>X1</v>
      </c>
      <c r="BH588" s="40" t="str">
        <f>IFERROR(CHOOSE(INDEX(B_RANK,MATCH(BG588,B_LVL,0)),"Band A","Band B","B+ · Player-Coach","Band C","C+ · Player-Coach","Band D","Band E"),"Band X · Consultant")</f>
        <v>Band X · Consultant</v>
      </c>
      <c r="BI588" s="40" t="str">
        <f>IF(BG588=AY588,"• Same",IF(INDEX(B_VAL,MATCH(BG588,B_LVL,0))&gt;INDEX(B_VAL,MATCH(AY588,B_LVL,0)),"▲ Up","▼ Down"))</f>
        <v>• Same</v>
      </c>
      <c r="BJ588" s="40" t="str">
        <f>IF(OR($M588="",$M588="—",$M588="Not in this file"),"",IFERROR(INDEX($BG$7:$BG$592,MATCH($M588,$D$7:$D$592,0)),""))</f>
        <v/>
      </c>
      <c r="BK588" s="40" t="str">
        <f>IFERROR(IF(BJ588="","—",IF(OR(LEFT(BG588,1)="X",LEFT(BJ588,1)="X"),"—",IF(AND(LEFT(BG588,1)="E",LEFT(BJ588,1)="E"),"Exception · Band E",IF(AND(INDEX(B_VAL,MATCH(BJ588,B_LVL,0))&gt;=7,INDEX(B_RANK,MATCH(BG588,B_LVL,0))&gt;=INDEX(B_RANK,MATCH(BJ588,B_LVL,0))),"⚠ Same band as a head manager",IF(INDEX(B_VAL,MATCH(BG588,B_LVL,0))&gt;=INDEX(B_VAL,MATCH(BJ588,B_LVL,0)),"⚠ At or above the manager's level","OK"))))),"—")</f>
        <v>—</v>
      </c>
      <c r="BL588" s="43" t="n"/>
      <c r="BM588" s="44">
        <f>IFERROR(INDEX(LMH_PTS,MATCH(Y588,LMH_KEY,0)),0)</f>
        <v>0</v>
      </c>
      <c r="BN588" s="38">
        <f>IFERROR(INDEX(LMH_PTS,MATCH(Z588,LMH_KEY,0)),0)</f>
        <v>0</v>
      </c>
      <c r="BO588" s="38">
        <f>IFERROR(INDEX(LMH_PTS,MATCH(AA588,LMH_KEY,0)),0)</f>
        <v>0</v>
      </c>
      <c r="BP588" s="38">
        <f>IFERROR(INDEX(LMH_PTS,MATCH(AB588,LMH_KEY,0)),0)</f>
        <v>0</v>
      </c>
      <c r="BQ588" s="38">
        <f>IFERROR(INDEX(LMH_PTS,MATCH(AC588,LMH_KEY,0)),0)</f>
        <v>0</v>
      </c>
      <c r="BR588" s="38">
        <f>IFERROR(INDEX(LMH_PTS,MATCH(AD588,LMH_KEY,0)),0)</f>
        <v>0</v>
      </c>
      <c r="BS588" s="38">
        <f>IFERROR(INDEX(LMH_PTS,MATCH(AE588,LMH_KEY,0)),0)</f>
        <v>0</v>
      </c>
      <c r="BT588" s="38">
        <f>IFERROR(INDEX(LMH_STEP,MATCH(AF588,LMH_KEY,0)),0)</f>
        <v>0</v>
      </c>
      <c r="BU588" s="38">
        <f>IFERROR(INDEX(LMH_STEP,MATCH(AG588,LMH_KEY,0)),0)</f>
        <v>0</v>
      </c>
      <c r="BV588" s="38">
        <f>IFERROR(INDEX(LMH_STEP,MATCH(AH588,LMH_KEY,0)),0)</f>
        <v>0</v>
      </c>
      <c r="BW588" s="38">
        <f>IFERROR(INDEX(LMH_STEP,MATCH(AI588,LMH_KEY,0)),0)</f>
        <v>0</v>
      </c>
      <c r="BX588" s="38">
        <f>IFERROR(INDEX(LMH_STEP,MATCH(AJ588,LMH_KEY,0)),0)</f>
        <v>0</v>
      </c>
      <c r="BY588" s="38">
        <f>IFERROR(INDEX(LMH_STEP,MATCH(AK588,LMH_KEY,0)),0)</f>
        <v>0</v>
      </c>
      <c r="BZ588" s="38">
        <f>IFERROR(INDEX(LMH_STEP,MATCH(AL588,LMH_KEY,0)),0)</f>
        <v>0</v>
      </c>
      <c r="CA588" s="38" t="inlineStr">
        <is>
          <t>Datatech|Not provided · HRIS|Associate Consultant – Software Development|X1|X</t>
        </is>
      </c>
    </row>
    <row r="589" ht="110" customHeight="1">
      <c r="A589" s="28" t="inlineStr">
        <is>
          <t>iFile</t>
        </is>
      </c>
      <c r="B589" s="29" t="inlineStr">
        <is>
          <t>Technology</t>
        </is>
      </c>
      <c r="C589" s="29" t="n">
        <v>0</v>
      </c>
      <c r="D589" s="29" t="inlineStr">
        <is>
          <t>No Emp ID · external consultant</t>
        </is>
      </c>
      <c r="E589" s="29" t="inlineStr">
        <is>
          <t>Snnehasis Debyans</t>
        </is>
      </c>
      <c r="F589" s="29" t="inlineStr">
        <is>
          <t>Consultant</t>
        </is>
      </c>
      <c r="G589" s="29" t="inlineStr">
        <is>
          <t>Associate Consultant – Software Development</t>
        </is>
      </c>
      <c r="H589" s="29" t="inlineStr">
        <is>
          <t>Engineering &amp; Development</t>
        </is>
      </c>
      <c r="I589" s="29" t="inlineStr">
        <is>
          <t>Backend Development</t>
        </is>
      </c>
      <c r="J589" s="29" t="inlineStr">
        <is>
          <t>Consultant</t>
        </is>
      </c>
      <c r="K589" s="29" t="inlineStr">
        <is>
          <t>RC-073</t>
        </is>
      </c>
      <c r="L589" s="29" t="inlineStr">
        <is>
          <t>Not provided · HRIS</t>
        </is>
      </c>
      <c r="M589" s="29" t="inlineStr">
        <is>
          <t>Not in this file</t>
        </is>
      </c>
      <c r="N589" s="29" t="inlineStr">
        <is>
          <t>Not provided · HRIS</t>
        </is>
      </c>
      <c r="O589" s="29" t="n">
        <v>0.5</v>
      </c>
      <c r="P589" s="29" t="inlineStr">
        <is>
          <t>Not provided · HRIS</t>
        </is>
      </c>
      <c r="Q589" s="29" t="inlineStr">
        <is>
          <t>—</t>
        </is>
      </c>
      <c r="R589" s="29" t="inlineStr">
        <is>
          <t>X1</t>
        </is>
      </c>
      <c r="S589" s="30" t="inlineStr">
        <is>
          <t>0 of 20</t>
        </is>
      </c>
      <c r="T589" s="32" t="inlineStr">
        <is>
          <t>No survey response on file</t>
        </is>
      </c>
      <c r="U589" s="32" t="inlineStr">
        <is>
          <t>KRAs not received · manager to supply</t>
        </is>
      </c>
      <c r="V589" s="31" t="inlineStr">
        <is>
          <t>Latest rating: Not rated · manager · Readiness: n/a · consultant</t>
        </is>
      </c>
      <c r="W589" s="31" t="inlineStr">
        <is>
          <t>Consultant · outside the ladder</t>
        </is>
      </c>
      <c r="X589" s="33" t="inlineStr">
        <is>
          <t>Open ▸</t>
        </is>
      </c>
      <c r="Y589" s="34" t="n"/>
      <c r="Z589" s="35" t="n"/>
      <c r="AA589" s="35" t="n"/>
      <c r="AB589" s="35" t="n"/>
      <c r="AC589" s="35" t="n"/>
      <c r="AD589" s="35" t="n"/>
      <c r="AE589" s="35" t="n"/>
      <c r="AF589" s="34" t="n"/>
      <c r="AG589" s="35" t="n"/>
      <c r="AH589" s="35" t="n"/>
      <c r="AI589" s="35" t="n"/>
      <c r="AJ589" s="35" t="n"/>
      <c r="AK589" s="35" t="n"/>
      <c r="AL589" s="35" t="n"/>
      <c r="AM589" s="36" t="n"/>
      <c r="AN589" s="37" t="n"/>
      <c r="AO589" s="37" t="n"/>
      <c r="AP589" s="37" t="n"/>
      <c r="AQ589" s="37" t="n"/>
      <c r="AR589" s="37" t="n"/>
      <c r="AS589" s="37" t="n"/>
      <c r="AT589" s="38" t="n"/>
      <c r="AU589" s="38" t="n"/>
      <c r="AV589" s="38" t="n"/>
      <c r="AW589" s="38" t="inlineStr">
        <is>
          <t>—</t>
        </is>
      </c>
      <c r="AX589"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89" s="39" t="inlineStr">
        <is>
          <t>X1</t>
        </is>
      </c>
      <c r="AZ589" s="40" t="inlineStr">
        <is>
          <t xml:space="preserve">Band X · Consultant · </t>
        </is>
      </c>
      <c r="BA589" s="40" t="inlineStr">
        <is>
          <t>Model X1 from the six ratings, the market-derived weights and rules R1–R13 · then Consultant · outside the ladder</t>
        </is>
      </c>
      <c r="BB589" s="41" t="n"/>
      <c r="BC589" s="40" t="inlineStr">
        <is>
          <t>Consultant · outside the ladder</t>
        </is>
      </c>
      <c r="BD589" s="42">
        <f>IF(SUM(BM589,BN589,BO589,BP589,BQ589,BR589,BS589)=0,0,(BM589*BT589+BN589*BU589+BO589*BV589+BP589*BW589+BQ589*BX589+BR589*BY589+BS589*BZ589)/SUM(BM589,BN589,BO589,BP589,BQ589,BR589,BS589))</f>
        <v>0</v>
      </c>
      <c r="BE589" s="41" t="str">
        <f>IF(LEFT(AY589,1)="X",AY589,IF(OR(AY589="B+",AY589="C+"),INDEX(LAD_PC,MAX(1,MIN(14,MATCH(AY589,LAD_PC,0)+IF(BD589&gt;=0.5,1,IF(BD589&lt;=-0.5,-1,0))))),INDEX(LAD_STD,MAX(1,MIN(12,MATCH(AY589,LAD_STD,0)+IF(BD589&gt;=0.5,1,IF(BD589&lt;=-0.5,-1,0)))))))</f>
        <v>X1</v>
      </c>
      <c r="BF589" s="43" t="n"/>
      <c r="BG589" s="41" t="str">
        <f>IF(BF589&lt;&gt;"",BF589,BE589)</f>
        <v>X1</v>
      </c>
      <c r="BH589" s="40" t="str">
        <f>IFERROR(CHOOSE(INDEX(B_RANK,MATCH(BG589,B_LVL,0)),"Band A","Band B","B+ · Player-Coach","Band C","C+ · Player-Coach","Band D","Band E"),"Band X · Consultant")</f>
        <v>Band X · Consultant</v>
      </c>
      <c r="BI589" s="40" t="str">
        <f>IF(BG589=AY589,"• Same",IF(INDEX(B_VAL,MATCH(BG589,B_LVL,0))&gt;INDEX(B_VAL,MATCH(AY589,B_LVL,0)),"▲ Up","▼ Down"))</f>
        <v>• Same</v>
      </c>
      <c r="BJ589" s="40" t="str">
        <f>IF(OR($M589="",$M589="—",$M589="Not in this file"),"",IFERROR(INDEX($BG$7:$BG$592,MATCH($M589,$D$7:$D$592,0)),""))</f>
        <v/>
      </c>
      <c r="BK589" s="40" t="str">
        <f>IFERROR(IF(BJ589="","—",IF(OR(LEFT(BG589,1)="X",LEFT(BJ589,1)="X"),"—",IF(AND(LEFT(BG589,1)="E",LEFT(BJ589,1)="E"),"Exception · Band E",IF(AND(INDEX(B_VAL,MATCH(BJ589,B_LVL,0))&gt;=7,INDEX(B_RANK,MATCH(BG589,B_LVL,0))&gt;=INDEX(B_RANK,MATCH(BJ589,B_LVL,0))),"⚠ Same band as a head manager",IF(INDEX(B_VAL,MATCH(BG589,B_LVL,0))&gt;=INDEX(B_VAL,MATCH(BJ589,B_LVL,0)),"⚠ At or above the manager's level","OK"))))),"—")</f>
        <v>—</v>
      </c>
      <c r="BL589" s="43" t="n"/>
      <c r="BM589" s="44">
        <f>IFERROR(INDEX(LMH_PTS,MATCH(Y589,LMH_KEY,0)),0)</f>
        <v>0</v>
      </c>
      <c r="BN589" s="38">
        <f>IFERROR(INDEX(LMH_PTS,MATCH(Z589,LMH_KEY,0)),0)</f>
        <v>0</v>
      </c>
      <c r="BO589" s="38">
        <f>IFERROR(INDEX(LMH_PTS,MATCH(AA589,LMH_KEY,0)),0)</f>
        <v>0</v>
      </c>
      <c r="BP589" s="38">
        <f>IFERROR(INDEX(LMH_PTS,MATCH(AB589,LMH_KEY,0)),0)</f>
        <v>0</v>
      </c>
      <c r="BQ589" s="38">
        <f>IFERROR(INDEX(LMH_PTS,MATCH(AC589,LMH_KEY,0)),0)</f>
        <v>0</v>
      </c>
      <c r="BR589" s="38">
        <f>IFERROR(INDEX(LMH_PTS,MATCH(AD589,LMH_KEY,0)),0)</f>
        <v>0</v>
      </c>
      <c r="BS589" s="38">
        <f>IFERROR(INDEX(LMH_PTS,MATCH(AE589,LMH_KEY,0)),0)</f>
        <v>0</v>
      </c>
      <c r="BT589" s="38">
        <f>IFERROR(INDEX(LMH_STEP,MATCH(AF589,LMH_KEY,0)),0)</f>
        <v>0</v>
      </c>
      <c r="BU589" s="38">
        <f>IFERROR(INDEX(LMH_STEP,MATCH(AG589,LMH_KEY,0)),0)</f>
        <v>0</v>
      </c>
      <c r="BV589" s="38">
        <f>IFERROR(INDEX(LMH_STEP,MATCH(AH589,LMH_KEY,0)),0)</f>
        <v>0</v>
      </c>
      <c r="BW589" s="38">
        <f>IFERROR(INDEX(LMH_STEP,MATCH(AI589,LMH_KEY,0)),0)</f>
        <v>0</v>
      </c>
      <c r="BX589" s="38">
        <f>IFERROR(INDEX(LMH_STEP,MATCH(AJ589,LMH_KEY,0)),0)</f>
        <v>0</v>
      </c>
      <c r="BY589" s="38">
        <f>IFERROR(INDEX(LMH_STEP,MATCH(AK589,LMH_KEY,0)),0)</f>
        <v>0</v>
      </c>
      <c r="BZ589" s="38">
        <f>IFERROR(INDEX(LMH_STEP,MATCH(AL589,LMH_KEY,0)),0)</f>
        <v>0</v>
      </c>
      <c r="CA589" s="38" t="inlineStr">
        <is>
          <t>iFile|Technology|Associate Consultant – Software Development|X1|X</t>
        </is>
      </c>
    </row>
    <row r="590" ht="110" customHeight="1">
      <c r="A590" s="28" t="inlineStr">
        <is>
          <t>Datatech</t>
        </is>
      </c>
      <c r="B590" s="29" t="inlineStr">
        <is>
          <t>Technology</t>
        </is>
      </c>
      <c r="C590" s="29" t="n">
        <v>0</v>
      </c>
      <c r="D590" s="29" t="inlineStr">
        <is>
          <t>No Emp ID · external consultant</t>
        </is>
      </c>
      <c r="E590" s="29" t="inlineStr">
        <is>
          <t>Sohel Yadav</t>
        </is>
      </c>
      <c r="F590" s="29" t="inlineStr">
        <is>
          <t>Consultant</t>
        </is>
      </c>
      <c r="G590" s="29" t="inlineStr">
        <is>
          <t>Associate Consultant – Software Development</t>
        </is>
      </c>
      <c r="H590" s="29" t="inlineStr">
        <is>
          <t>Engineering &amp; Development</t>
        </is>
      </c>
      <c r="I590" s="29" t="inlineStr">
        <is>
          <t>Backend Development</t>
        </is>
      </c>
      <c r="J590" s="29" t="inlineStr">
        <is>
          <t>Consultant</t>
        </is>
      </c>
      <c r="K590" s="29" t="inlineStr">
        <is>
          <t>RC-073</t>
        </is>
      </c>
      <c r="L590" s="29" t="inlineStr">
        <is>
          <t>Not provided · HRIS</t>
        </is>
      </c>
      <c r="M590" s="29" t="inlineStr">
        <is>
          <t>Not in this file</t>
        </is>
      </c>
      <c r="N590" s="29" t="inlineStr">
        <is>
          <t>Not provided · HRIS</t>
        </is>
      </c>
      <c r="O590" s="29" t="n">
        <v>0.3</v>
      </c>
      <c r="P590" s="29" t="inlineStr">
        <is>
          <t>Not provided · HRIS</t>
        </is>
      </c>
      <c r="Q590" s="29" t="inlineStr">
        <is>
          <t>—</t>
        </is>
      </c>
      <c r="R590" s="29" t="inlineStr">
        <is>
          <t>X1</t>
        </is>
      </c>
      <c r="S590" s="30" t="inlineStr">
        <is>
          <t>0 of 20</t>
        </is>
      </c>
      <c r="T590" s="32" t="inlineStr">
        <is>
          <t>No survey response on file</t>
        </is>
      </c>
      <c r="U590" s="32" t="inlineStr">
        <is>
          <t>KRAs not received · manager to supply</t>
        </is>
      </c>
      <c r="V590" s="31" t="inlineStr">
        <is>
          <t>Latest rating: Not rated · manager · Readiness: n/a · consultant</t>
        </is>
      </c>
      <c r="W590" s="31" t="inlineStr">
        <is>
          <t>Consultant · outside the ladder</t>
        </is>
      </c>
      <c r="X590" s="33" t="inlineStr">
        <is>
          <t>Open ▸</t>
        </is>
      </c>
      <c r="Y590" s="34" t="n"/>
      <c r="Z590" s="35" t="n"/>
      <c r="AA590" s="35" t="n"/>
      <c r="AB590" s="35" t="n"/>
      <c r="AC590" s="35" t="n"/>
      <c r="AD590" s="35" t="n"/>
      <c r="AE590" s="35" t="n"/>
      <c r="AF590" s="34" t="n"/>
      <c r="AG590" s="35" t="n"/>
      <c r="AH590" s="35" t="n"/>
      <c r="AI590" s="35" t="n"/>
      <c r="AJ590" s="35" t="n"/>
      <c r="AK590" s="35" t="n"/>
      <c r="AL590" s="35" t="n"/>
      <c r="AM590" s="36" t="n"/>
      <c r="AN590" s="37" t="n"/>
      <c r="AO590" s="37" t="n"/>
      <c r="AP590" s="37" t="n"/>
      <c r="AQ590" s="37" t="n"/>
      <c r="AR590" s="37" t="n"/>
      <c r="AS590" s="37" t="n"/>
      <c r="AT590" s="38" t="n"/>
      <c r="AU590" s="38" t="n"/>
      <c r="AV590" s="38" t="n"/>
      <c r="AW590" s="38" t="inlineStr">
        <is>
          <t>—</t>
        </is>
      </c>
      <c r="AX590"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90" s="39" t="inlineStr">
        <is>
          <t>X1</t>
        </is>
      </c>
      <c r="AZ590" s="40" t="inlineStr">
        <is>
          <t xml:space="preserve">Band X · Consultant · </t>
        </is>
      </c>
      <c r="BA590" s="40" t="inlineStr">
        <is>
          <t>Model X1 from the six ratings, the market-derived weights and rules R1–R13 · then Consultant · outside the ladder</t>
        </is>
      </c>
      <c r="BB590" s="41" t="n"/>
      <c r="BC590" s="40" t="inlineStr">
        <is>
          <t>Consultant · outside the ladder</t>
        </is>
      </c>
      <c r="BD590" s="42">
        <f>IF(SUM(BM590,BN590,BO590,BP590,BQ590,BR590,BS590)=0,0,(BM590*BT590+BN590*BU590+BO590*BV590+BP590*BW590+BQ590*BX590+BR590*BY590+BS590*BZ590)/SUM(BM590,BN590,BO590,BP590,BQ590,BR590,BS590))</f>
        <v>0</v>
      </c>
      <c r="BE590" s="41" t="str">
        <f>IF(LEFT(AY590,1)="X",AY590,IF(OR(AY590="B+",AY590="C+"),INDEX(LAD_PC,MAX(1,MIN(14,MATCH(AY590,LAD_PC,0)+IF(BD590&gt;=0.5,1,IF(BD590&lt;=-0.5,-1,0))))),INDEX(LAD_STD,MAX(1,MIN(12,MATCH(AY590,LAD_STD,0)+IF(BD590&gt;=0.5,1,IF(BD590&lt;=-0.5,-1,0)))))))</f>
        <v>X1</v>
      </c>
      <c r="BF590" s="43" t="n"/>
      <c r="BG590" s="41" t="str">
        <f>IF(BF590&lt;&gt;"",BF590,BE590)</f>
        <v>X1</v>
      </c>
      <c r="BH590" s="40" t="str">
        <f>IFERROR(CHOOSE(INDEX(B_RANK,MATCH(BG590,B_LVL,0)),"Band A","Band B","B+ · Player-Coach","Band C","C+ · Player-Coach","Band D","Band E"),"Band X · Consultant")</f>
        <v>Band X · Consultant</v>
      </c>
      <c r="BI590" s="40" t="str">
        <f>IF(BG590=AY590,"• Same",IF(INDEX(B_VAL,MATCH(BG590,B_LVL,0))&gt;INDEX(B_VAL,MATCH(AY590,B_LVL,0)),"▲ Up","▼ Down"))</f>
        <v>• Same</v>
      </c>
      <c r="BJ590" s="40" t="str">
        <f>IF(OR($M590="",$M590="—",$M590="Not in this file"),"",IFERROR(INDEX($BG$7:$BG$592,MATCH($M590,$D$7:$D$592,0)),""))</f>
        <v/>
      </c>
      <c r="BK590" s="40" t="str">
        <f>IFERROR(IF(BJ590="","—",IF(OR(LEFT(BG590,1)="X",LEFT(BJ590,1)="X"),"—",IF(AND(LEFT(BG590,1)="E",LEFT(BJ590,1)="E"),"Exception · Band E",IF(AND(INDEX(B_VAL,MATCH(BJ590,B_LVL,0))&gt;=7,INDEX(B_RANK,MATCH(BG590,B_LVL,0))&gt;=INDEX(B_RANK,MATCH(BJ590,B_LVL,0))),"⚠ Same band as a head manager",IF(INDEX(B_VAL,MATCH(BG590,B_LVL,0))&gt;=INDEX(B_VAL,MATCH(BJ590,B_LVL,0)),"⚠ At or above the manager's level","OK"))))),"—")</f>
        <v>—</v>
      </c>
      <c r="BL590" s="43" t="n"/>
      <c r="BM590" s="44">
        <f>IFERROR(INDEX(LMH_PTS,MATCH(Y590,LMH_KEY,0)),0)</f>
        <v>0</v>
      </c>
      <c r="BN590" s="38">
        <f>IFERROR(INDEX(LMH_PTS,MATCH(Z590,LMH_KEY,0)),0)</f>
        <v>0</v>
      </c>
      <c r="BO590" s="38">
        <f>IFERROR(INDEX(LMH_PTS,MATCH(AA590,LMH_KEY,0)),0)</f>
        <v>0</v>
      </c>
      <c r="BP590" s="38">
        <f>IFERROR(INDEX(LMH_PTS,MATCH(AB590,LMH_KEY,0)),0)</f>
        <v>0</v>
      </c>
      <c r="BQ590" s="38">
        <f>IFERROR(INDEX(LMH_PTS,MATCH(AC590,LMH_KEY,0)),0)</f>
        <v>0</v>
      </c>
      <c r="BR590" s="38">
        <f>IFERROR(INDEX(LMH_PTS,MATCH(AD590,LMH_KEY,0)),0)</f>
        <v>0</v>
      </c>
      <c r="BS590" s="38">
        <f>IFERROR(INDEX(LMH_PTS,MATCH(AE590,LMH_KEY,0)),0)</f>
        <v>0</v>
      </c>
      <c r="BT590" s="38">
        <f>IFERROR(INDEX(LMH_STEP,MATCH(AF590,LMH_KEY,0)),0)</f>
        <v>0</v>
      </c>
      <c r="BU590" s="38">
        <f>IFERROR(INDEX(LMH_STEP,MATCH(AG590,LMH_KEY,0)),0)</f>
        <v>0</v>
      </c>
      <c r="BV590" s="38">
        <f>IFERROR(INDEX(LMH_STEP,MATCH(AH590,LMH_KEY,0)),0)</f>
        <v>0</v>
      </c>
      <c r="BW590" s="38">
        <f>IFERROR(INDEX(LMH_STEP,MATCH(AI590,LMH_KEY,0)),0)</f>
        <v>0</v>
      </c>
      <c r="BX590" s="38">
        <f>IFERROR(INDEX(LMH_STEP,MATCH(AJ590,LMH_KEY,0)),0)</f>
        <v>0</v>
      </c>
      <c r="BY590" s="38">
        <f>IFERROR(INDEX(LMH_STEP,MATCH(AK590,LMH_KEY,0)),0)</f>
        <v>0</v>
      </c>
      <c r="BZ590" s="38">
        <f>IFERROR(INDEX(LMH_STEP,MATCH(AL590,LMH_KEY,0)),0)</f>
        <v>0</v>
      </c>
      <c r="CA590" s="38" t="inlineStr">
        <is>
          <t>Datatech|Technology|Associate Consultant – Software Development|X1|X</t>
        </is>
      </c>
    </row>
    <row r="591" ht="110" customHeight="1">
      <c r="A591" s="28" t="inlineStr">
        <is>
          <t>Datatech</t>
        </is>
      </c>
      <c r="B591" s="29" t="inlineStr">
        <is>
          <t>Technology</t>
        </is>
      </c>
      <c r="C591" s="29" t="n">
        <v>0</v>
      </c>
      <c r="D591" s="29" t="inlineStr">
        <is>
          <t>No Emp ID · in-house consultant</t>
        </is>
      </c>
      <c r="E591" s="29" t="inlineStr">
        <is>
          <t>Vivek Kumar</t>
        </is>
      </c>
      <c r="F591" s="29" t="inlineStr">
        <is>
          <t>Consultant</t>
        </is>
      </c>
      <c r="G591" s="29" t="inlineStr">
        <is>
          <t>Associate Consultant – Software Development</t>
        </is>
      </c>
      <c r="H591" s="29" t="inlineStr">
        <is>
          <t>Engineering &amp; Development</t>
        </is>
      </c>
      <c r="I591" s="29" t="inlineStr">
        <is>
          <t>Backend Development</t>
        </is>
      </c>
      <c r="J591" s="29" t="inlineStr">
        <is>
          <t>Consultant</t>
        </is>
      </c>
      <c r="K591" s="29" t="inlineStr">
        <is>
          <t>RC-073</t>
        </is>
      </c>
      <c r="L591" s="29" t="inlineStr">
        <is>
          <t>Not provided · HRIS</t>
        </is>
      </c>
      <c r="M591" s="29" t="inlineStr">
        <is>
          <t>Not in this file</t>
        </is>
      </c>
      <c r="N591" s="29" t="inlineStr">
        <is>
          <t>Not provided · HRIS</t>
        </is>
      </c>
      <c r="O591" s="29" t="n">
        <v>0.3</v>
      </c>
      <c r="P591" s="29" t="inlineStr">
        <is>
          <t>Not provided · HRIS</t>
        </is>
      </c>
      <c r="Q591" s="29" t="inlineStr">
        <is>
          <t>Not in current mapping files</t>
        </is>
      </c>
      <c r="R591" s="29" t="inlineStr">
        <is>
          <t>X1</t>
        </is>
      </c>
      <c r="S591" s="30" t="inlineStr">
        <is>
          <t>0 of 20</t>
        </is>
      </c>
      <c r="T591" s="32" t="inlineStr">
        <is>
          <t>No survey response on file</t>
        </is>
      </c>
      <c r="U591" s="32" t="inlineStr">
        <is>
          <t>KRAs not received · manager to supply</t>
        </is>
      </c>
      <c r="V591" s="31" t="inlineStr">
        <is>
          <t>Latest rating: Not rated · manager · Readiness: n/a · consultant</t>
        </is>
      </c>
      <c r="W591" s="31" t="inlineStr">
        <is>
          <t>Consultant · outside the ladder</t>
        </is>
      </c>
      <c r="X591" s="33" t="inlineStr">
        <is>
          <t>Open ▸</t>
        </is>
      </c>
      <c r="Y591" s="34" t="n"/>
      <c r="Z591" s="35" t="n"/>
      <c r="AA591" s="35" t="n"/>
      <c r="AB591" s="35" t="n"/>
      <c r="AC591" s="35" t="n"/>
      <c r="AD591" s="35" t="n"/>
      <c r="AE591" s="35" t="n"/>
      <c r="AF591" s="34" t="n"/>
      <c r="AG591" s="35" t="n"/>
      <c r="AH591" s="35" t="n"/>
      <c r="AI591" s="35" t="n"/>
      <c r="AJ591" s="35" t="n"/>
      <c r="AK591" s="35" t="n"/>
      <c r="AL591" s="35" t="n"/>
      <c r="AM591" s="36" t="n"/>
      <c r="AN591" s="37" t="n"/>
      <c r="AO591" s="37" t="n"/>
      <c r="AP591" s="37" t="n"/>
      <c r="AQ591" s="37" t="n"/>
      <c r="AR591" s="37" t="n"/>
      <c r="AS591" s="37" t="n"/>
      <c r="AT591" s="38" t="n"/>
      <c r="AU591" s="38" t="n"/>
      <c r="AV591" s="38" t="n"/>
      <c r="AW591" s="38" t="inlineStr">
        <is>
          <t>—</t>
        </is>
      </c>
      <c r="AX591"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91" s="39" t="inlineStr">
        <is>
          <t>X1</t>
        </is>
      </c>
      <c r="AZ591" s="40" t="inlineStr">
        <is>
          <t xml:space="preserve">Band X · Consultant · </t>
        </is>
      </c>
      <c r="BA591" s="40" t="inlineStr">
        <is>
          <t>Model X1 from the six ratings, the market-derived weights and rules R1–R13 · then Consultant · outside the ladder</t>
        </is>
      </c>
      <c r="BB591" s="41" t="n"/>
      <c r="BC591" s="40" t="inlineStr">
        <is>
          <t>Consultant · outside the ladder</t>
        </is>
      </c>
      <c r="BD591" s="42">
        <f>IF(SUM(BM591,BN591,BO591,BP591,BQ591,BR591,BS591)=0,0,(BM591*BT591+BN591*BU591+BO591*BV591+BP591*BW591+BQ591*BX591+BR591*BY591+BS591*BZ591)/SUM(BM591,BN591,BO591,BP591,BQ591,BR591,BS591))</f>
        <v>0</v>
      </c>
      <c r="BE591" s="41" t="str">
        <f>IF(LEFT(AY591,1)="X",AY591,IF(OR(AY591="B+",AY591="C+"),INDEX(LAD_PC,MAX(1,MIN(14,MATCH(AY591,LAD_PC,0)+IF(BD591&gt;=0.5,1,IF(BD591&lt;=-0.5,-1,0))))),INDEX(LAD_STD,MAX(1,MIN(12,MATCH(AY591,LAD_STD,0)+IF(BD591&gt;=0.5,1,IF(BD591&lt;=-0.5,-1,0)))))))</f>
        <v>X1</v>
      </c>
      <c r="BF591" s="43" t="n"/>
      <c r="BG591" s="41" t="str">
        <f>IF(BF591&lt;&gt;"",BF591,BE591)</f>
        <v>X1</v>
      </c>
      <c r="BH591" s="40" t="str">
        <f>IFERROR(CHOOSE(INDEX(B_RANK,MATCH(BG591,B_LVL,0)),"Band A","Band B","B+ · Player-Coach","Band C","C+ · Player-Coach","Band D","Band E"),"Band X · Consultant")</f>
        <v>Band X · Consultant</v>
      </c>
      <c r="BI591" s="40" t="str">
        <f>IF(BG591=AY591,"• Same",IF(INDEX(B_VAL,MATCH(BG591,B_LVL,0))&gt;INDEX(B_VAL,MATCH(AY591,B_LVL,0)),"▲ Up","▼ Down"))</f>
        <v>• Same</v>
      </c>
      <c r="BJ591" s="40" t="str">
        <f>IF(OR($M591="",$M591="—",$M591="Not in this file"),"",IFERROR(INDEX($BG$7:$BG$592,MATCH($M591,$D$7:$D$592,0)),""))</f>
        <v/>
      </c>
      <c r="BK591" s="40" t="str">
        <f>IFERROR(IF(BJ591="","—",IF(OR(LEFT(BG591,1)="X",LEFT(BJ591,1)="X"),"—",IF(AND(LEFT(BG591,1)="E",LEFT(BJ591,1)="E"),"Exception · Band E",IF(AND(INDEX(B_VAL,MATCH(BJ591,B_LVL,0))&gt;=7,INDEX(B_RANK,MATCH(BG591,B_LVL,0))&gt;=INDEX(B_RANK,MATCH(BJ591,B_LVL,0))),"⚠ Same band as a head manager",IF(INDEX(B_VAL,MATCH(BG591,B_LVL,0))&gt;=INDEX(B_VAL,MATCH(BJ591,B_LVL,0)),"⚠ At or above the manager's level","OK"))))),"—")</f>
        <v>—</v>
      </c>
      <c r="BL591" s="43" t="n"/>
      <c r="BM591" s="44">
        <f>IFERROR(INDEX(LMH_PTS,MATCH(Y591,LMH_KEY,0)),0)</f>
        <v>0</v>
      </c>
      <c r="BN591" s="38">
        <f>IFERROR(INDEX(LMH_PTS,MATCH(Z591,LMH_KEY,0)),0)</f>
        <v>0</v>
      </c>
      <c r="BO591" s="38">
        <f>IFERROR(INDEX(LMH_PTS,MATCH(AA591,LMH_KEY,0)),0)</f>
        <v>0</v>
      </c>
      <c r="BP591" s="38">
        <f>IFERROR(INDEX(LMH_PTS,MATCH(AB591,LMH_KEY,0)),0)</f>
        <v>0</v>
      </c>
      <c r="BQ591" s="38">
        <f>IFERROR(INDEX(LMH_PTS,MATCH(AC591,LMH_KEY,0)),0)</f>
        <v>0</v>
      </c>
      <c r="BR591" s="38">
        <f>IFERROR(INDEX(LMH_PTS,MATCH(AD591,LMH_KEY,0)),0)</f>
        <v>0</v>
      </c>
      <c r="BS591" s="38">
        <f>IFERROR(INDEX(LMH_PTS,MATCH(AE591,LMH_KEY,0)),0)</f>
        <v>0</v>
      </c>
      <c r="BT591" s="38">
        <f>IFERROR(INDEX(LMH_STEP,MATCH(AF591,LMH_KEY,0)),0)</f>
        <v>0</v>
      </c>
      <c r="BU591" s="38">
        <f>IFERROR(INDEX(LMH_STEP,MATCH(AG591,LMH_KEY,0)),0)</f>
        <v>0</v>
      </c>
      <c r="BV591" s="38">
        <f>IFERROR(INDEX(LMH_STEP,MATCH(AH591,LMH_KEY,0)),0)</f>
        <v>0</v>
      </c>
      <c r="BW591" s="38">
        <f>IFERROR(INDEX(LMH_STEP,MATCH(AI591,LMH_KEY,0)),0)</f>
        <v>0</v>
      </c>
      <c r="BX591" s="38">
        <f>IFERROR(INDEX(LMH_STEP,MATCH(AJ591,LMH_KEY,0)),0)</f>
        <v>0</v>
      </c>
      <c r="BY591" s="38">
        <f>IFERROR(INDEX(LMH_STEP,MATCH(AK591,LMH_KEY,0)),0)</f>
        <v>0</v>
      </c>
      <c r="BZ591" s="38">
        <f>IFERROR(INDEX(LMH_STEP,MATCH(AL591,LMH_KEY,0)),0)</f>
        <v>0</v>
      </c>
      <c r="CA591" s="38" t="inlineStr">
        <is>
          <t>Datatech|Technology|Associate Consultant – Software Development|X1|X</t>
        </is>
      </c>
    </row>
    <row r="592" ht="110" customHeight="1">
      <c r="A592" s="28" t="inlineStr">
        <is>
          <t>iFile</t>
        </is>
      </c>
      <c r="B592" s="29" t="inlineStr">
        <is>
          <t>Technology</t>
        </is>
      </c>
      <c r="C592" s="29" t="n">
        <v>0</v>
      </c>
      <c r="D592" s="29" t="inlineStr">
        <is>
          <t>No Emp ID · external consultant</t>
        </is>
      </c>
      <c r="E592" s="29" t="inlineStr">
        <is>
          <t>Vivek Kumar Singh</t>
        </is>
      </c>
      <c r="F592" s="29" t="inlineStr">
        <is>
          <t>Consultant</t>
        </is>
      </c>
      <c r="G592" s="29" t="inlineStr">
        <is>
          <t>Associate Consultant – Software Development</t>
        </is>
      </c>
      <c r="H592" s="29" t="inlineStr">
        <is>
          <t>Engineering &amp; Development</t>
        </is>
      </c>
      <c r="I592" s="29" t="inlineStr">
        <is>
          <t>Backend Development</t>
        </is>
      </c>
      <c r="J592" s="29" t="inlineStr">
        <is>
          <t>Consultant</t>
        </is>
      </c>
      <c r="K592" s="29" t="inlineStr">
        <is>
          <t>RC-073</t>
        </is>
      </c>
      <c r="L592" s="29" t="inlineStr">
        <is>
          <t>Not provided · HRIS</t>
        </is>
      </c>
      <c r="M592" s="29" t="inlineStr">
        <is>
          <t>Not in this file</t>
        </is>
      </c>
      <c r="N592" s="29" t="inlineStr">
        <is>
          <t>Not provided · HRIS</t>
        </is>
      </c>
      <c r="O592" s="29" t="n">
        <v>0.6</v>
      </c>
      <c r="P592" s="29" t="inlineStr">
        <is>
          <t>Not provided · HRIS</t>
        </is>
      </c>
      <c r="Q592" s="29" t="inlineStr">
        <is>
          <t>—</t>
        </is>
      </c>
      <c r="R592" s="29" t="inlineStr">
        <is>
          <t>X1</t>
        </is>
      </c>
      <c r="S592" s="30" t="inlineStr">
        <is>
          <t>0 of 20</t>
        </is>
      </c>
      <c r="T592" s="32" t="inlineStr">
        <is>
          <t>No survey response on file</t>
        </is>
      </c>
      <c r="U592" s="32" t="inlineStr">
        <is>
          <t>KRAs not received · manager to supply</t>
        </is>
      </c>
      <c r="V592" s="31" t="inlineStr">
        <is>
          <t>Latest rating: Not rated · manager · Readiness: n/a · consultant</t>
        </is>
      </c>
      <c r="W592" s="31" t="inlineStr">
        <is>
          <t>Consultant · outside the ladder</t>
        </is>
      </c>
      <c r="X592" s="33" t="inlineStr">
        <is>
          <t>Open ▸</t>
        </is>
      </c>
      <c r="Y592" s="34" t="n"/>
      <c r="Z592" s="35" t="n"/>
      <c r="AA592" s="35" t="n"/>
      <c r="AB592" s="35" t="n"/>
      <c r="AC592" s="35" t="n"/>
      <c r="AD592" s="35" t="n"/>
      <c r="AE592" s="35" t="n"/>
      <c r="AF592" s="34" t="n"/>
      <c r="AG592" s="35" t="n"/>
      <c r="AH592" s="35" t="n"/>
      <c r="AI592" s="35" t="n"/>
      <c r="AJ592" s="35" t="n"/>
      <c r="AK592" s="35" t="n"/>
      <c r="AL592" s="35" t="n"/>
      <c r="AM592" s="36" t="n"/>
      <c r="AN592" s="37" t="n"/>
      <c r="AO592" s="37" t="n"/>
      <c r="AP592" s="37" t="n"/>
      <c r="AQ592" s="37" t="n"/>
      <c r="AR592" s="37" t="n"/>
      <c r="AS592" s="37" t="n"/>
      <c r="AT592" s="38" t="n"/>
      <c r="AU592" s="38" t="n"/>
      <c r="AV592" s="38" t="n"/>
      <c r="AW592" s="38" t="inlineStr">
        <is>
          <t>—</t>
        </is>
      </c>
      <c r="AX592" s="38" t="inlineStr">
        <is>
          <t>S46–S51 Korn Ferry Hay evaluations · S04, S52 Mercer IPE · S53–S57 NHS, UK NJC/PSC, GLPC, SJC, US OPM point-factor plans · S58 McKinsey skills-based hiring · S60 WEF skills-first · S61 EY India 2026 · the Experience / Education split is an IRIS rule · S32 Google, Microsoft, Amazon · S33 Infosys · S35 Accenture India · IRIS experience guide · S01 Aon Radford · S02 Pave · S08 SFIA 9 · S03 Mercer career levels</t>
        </is>
      </c>
      <c r="AY592" s="39" t="inlineStr">
        <is>
          <t>X1</t>
        </is>
      </c>
      <c r="AZ592" s="40" t="inlineStr">
        <is>
          <t xml:space="preserve">Band X · Consultant · </t>
        </is>
      </c>
      <c r="BA592" s="40" t="inlineStr">
        <is>
          <t>Model X1 from the six ratings, the market-derived weights and rules R1–R13 · then Consultant · outside the ladder</t>
        </is>
      </c>
      <c r="BB592" s="41" t="n"/>
      <c r="BC592" s="40" t="inlineStr">
        <is>
          <t>Consultant · outside the ladder</t>
        </is>
      </c>
      <c r="BD592" s="42">
        <f>IF(SUM(BM592,BN592,BO592,BP592,BQ592,BR592,BS592)=0,0,(BM592*BT592+BN592*BU592+BO592*BV592+BP592*BW592+BQ592*BX592+BR592*BY592+BS592*BZ592)/SUM(BM592,BN592,BO592,BP592,BQ592,BR592,BS592))</f>
        <v>0</v>
      </c>
      <c r="BE592" s="41" t="str">
        <f>IF(LEFT(AY592,1)="X",AY592,IF(OR(AY592="B+",AY592="C+"),INDEX(LAD_PC,MAX(1,MIN(14,MATCH(AY592,LAD_PC,0)+IF(BD592&gt;=0.5,1,IF(BD592&lt;=-0.5,-1,0))))),INDEX(LAD_STD,MAX(1,MIN(12,MATCH(AY592,LAD_STD,0)+IF(BD592&gt;=0.5,1,IF(BD592&lt;=-0.5,-1,0)))))))</f>
        <v>X1</v>
      </c>
      <c r="BF592" s="43" t="n"/>
      <c r="BG592" s="41" t="str">
        <f>IF(BF592&lt;&gt;"",BF592,BE592)</f>
        <v>X1</v>
      </c>
      <c r="BH592" s="40" t="str">
        <f>IFERROR(CHOOSE(INDEX(B_RANK,MATCH(BG592,B_LVL,0)),"Band A","Band B","B+ · Player-Coach","Band C","C+ · Player-Coach","Band D","Band E"),"Band X · Consultant")</f>
        <v>Band X · Consultant</v>
      </c>
      <c r="BI592" s="40" t="str">
        <f>IF(BG592=AY592,"• Same",IF(INDEX(B_VAL,MATCH(BG592,B_LVL,0))&gt;INDEX(B_VAL,MATCH(AY592,B_LVL,0)),"▲ Up","▼ Down"))</f>
        <v>• Same</v>
      </c>
      <c r="BJ592" s="40" t="str">
        <f>IF(OR($M592="",$M592="—",$M592="Not in this file"),"",IFERROR(INDEX($BG$7:$BG$592,MATCH($M592,$D$7:$D$592,0)),""))</f>
        <v/>
      </c>
      <c r="BK592" s="40" t="str">
        <f>IFERROR(IF(BJ592="","—",IF(OR(LEFT(BG592,1)="X",LEFT(BJ592,1)="X"),"—",IF(AND(LEFT(BG592,1)="E",LEFT(BJ592,1)="E"),"Exception · Band E",IF(AND(INDEX(B_VAL,MATCH(BJ592,B_LVL,0))&gt;=7,INDEX(B_RANK,MATCH(BG592,B_LVL,0))&gt;=INDEX(B_RANK,MATCH(BJ592,B_LVL,0))),"⚠ Same band as a head manager",IF(INDEX(B_VAL,MATCH(BG592,B_LVL,0))&gt;=INDEX(B_VAL,MATCH(BJ592,B_LVL,0)),"⚠ At or above the manager's level","OK"))))),"—")</f>
        <v>—</v>
      </c>
      <c r="BL592" s="43" t="n"/>
      <c r="BM592" s="44">
        <f>IFERROR(INDEX(LMH_PTS,MATCH(Y592,LMH_KEY,0)),0)</f>
        <v>0</v>
      </c>
      <c r="BN592" s="38">
        <f>IFERROR(INDEX(LMH_PTS,MATCH(Z592,LMH_KEY,0)),0)</f>
        <v>0</v>
      </c>
      <c r="BO592" s="38">
        <f>IFERROR(INDEX(LMH_PTS,MATCH(AA592,LMH_KEY,0)),0)</f>
        <v>0</v>
      </c>
      <c r="BP592" s="38">
        <f>IFERROR(INDEX(LMH_PTS,MATCH(AB592,LMH_KEY,0)),0)</f>
        <v>0</v>
      </c>
      <c r="BQ592" s="38">
        <f>IFERROR(INDEX(LMH_PTS,MATCH(AC592,LMH_KEY,0)),0)</f>
        <v>0</v>
      </c>
      <c r="BR592" s="38">
        <f>IFERROR(INDEX(LMH_PTS,MATCH(AD592,LMH_KEY,0)),0)</f>
        <v>0</v>
      </c>
      <c r="BS592" s="38">
        <f>IFERROR(INDEX(LMH_PTS,MATCH(AE592,LMH_KEY,0)),0)</f>
        <v>0</v>
      </c>
      <c r="BT592" s="38">
        <f>IFERROR(INDEX(LMH_STEP,MATCH(AF592,LMH_KEY,0)),0)</f>
        <v>0</v>
      </c>
      <c r="BU592" s="38">
        <f>IFERROR(INDEX(LMH_STEP,MATCH(AG592,LMH_KEY,0)),0)</f>
        <v>0</v>
      </c>
      <c r="BV592" s="38">
        <f>IFERROR(INDEX(LMH_STEP,MATCH(AH592,LMH_KEY,0)),0)</f>
        <v>0</v>
      </c>
      <c r="BW592" s="38">
        <f>IFERROR(INDEX(LMH_STEP,MATCH(AI592,LMH_KEY,0)),0)</f>
        <v>0</v>
      </c>
      <c r="BX592" s="38">
        <f>IFERROR(INDEX(LMH_STEP,MATCH(AJ592,LMH_KEY,0)),0)</f>
        <v>0</v>
      </c>
      <c r="BY592" s="38">
        <f>IFERROR(INDEX(LMH_STEP,MATCH(AK592,LMH_KEY,0)),0)</f>
        <v>0</v>
      </c>
      <c r="BZ592" s="38">
        <f>IFERROR(INDEX(LMH_STEP,MATCH(AL592,LMH_KEY,0)),0)</f>
        <v>0</v>
      </c>
      <c r="CA592" s="38" t="inlineStr">
        <is>
          <t>iFile|Technology|Associate Consultant – Software Development|X1|X</t>
        </is>
      </c>
    </row>
  </sheetData>
  <autoFilter ref="A6:CA592"/>
  <mergeCells count="8">
    <mergeCell ref="P4:Q4"/>
    <mergeCell ref="E4:F4"/>
    <mergeCell ref="A4:D4"/>
    <mergeCell ref="M4:O4"/>
    <mergeCell ref="H4:I4"/>
    <mergeCell ref="K4:L4"/>
    <mergeCell ref="R4:S4"/>
    <mergeCell ref="A2:P2"/>
  </mergeCells>
  <dataValidations count="2">
    <dataValidation sqref="Y7:AE592 AF7:AL592" showDropDown="0" showInputMessage="0" showErrorMessage="0" allowBlank="1" type="list">
      <formula1>LIST_LMH</formula1>
    </dataValidation>
    <dataValidation sqref="BF7:BF592" showDropDown="0" showInputMessage="0" showErrorMessage="0" allowBlank="1" type="list">
      <formula1>LIST_LEVELS</formula1>
    </dataValidation>
  </dataValidations>
  <hyperlinks>
    <hyperlink xmlns:r="http://schemas.openxmlformats.org/officeDocument/2006/relationships" ref="Q1" r:id="rId1"/>
    <hyperlink xmlns:r="http://schemas.openxmlformats.org/officeDocument/2006/relationships" ref="X7" r:id="rId2"/>
    <hyperlink xmlns:r="http://schemas.openxmlformats.org/officeDocument/2006/relationships" ref="X8" r:id="rId3"/>
    <hyperlink xmlns:r="http://schemas.openxmlformats.org/officeDocument/2006/relationships" ref="X9" r:id="rId4"/>
    <hyperlink xmlns:r="http://schemas.openxmlformats.org/officeDocument/2006/relationships" ref="X10" r:id="rId5"/>
    <hyperlink xmlns:r="http://schemas.openxmlformats.org/officeDocument/2006/relationships" ref="X11" r:id="rId6"/>
    <hyperlink xmlns:r="http://schemas.openxmlformats.org/officeDocument/2006/relationships" ref="X12" r:id="rId7"/>
    <hyperlink xmlns:r="http://schemas.openxmlformats.org/officeDocument/2006/relationships" ref="X13" r:id="rId8"/>
    <hyperlink xmlns:r="http://schemas.openxmlformats.org/officeDocument/2006/relationships" ref="X14" r:id="rId9"/>
    <hyperlink xmlns:r="http://schemas.openxmlformats.org/officeDocument/2006/relationships" ref="X15" r:id="rId10"/>
    <hyperlink xmlns:r="http://schemas.openxmlformats.org/officeDocument/2006/relationships" ref="X16" r:id="rId11"/>
    <hyperlink xmlns:r="http://schemas.openxmlformats.org/officeDocument/2006/relationships" ref="X17" r:id="rId12"/>
    <hyperlink xmlns:r="http://schemas.openxmlformats.org/officeDocument/2006/relationships" ref="X18" r:id="rId13"/>
    <hyperlink xmlns:r="http://schemas.openxmlformats.org/officeDocument/2006/relationships" ref="X19" r:id="rId14"/>
    <hyperlink xmlns:r="http://schemas.openxmlformats.org/officeDocument/2006/relationships" ref="X20" r:id="rId15"/>
    <hyperlink xmlns:r="http://schemas.openxmlformats.org/officeDocument/2006/relationships" ref="X21" r:id="rId16"/>
    <hyperlink xmlns:r="http://schemas.openxmlformats.org/officeDocument/2006/relationships" ref="X22" r:id="rId17"/>
    <hyperlink xmlns:r="http://schemas.openxmlformats.org/officeDocument/2006/relationships" ref="X23" r:id="rId18"/>
    <hyperlink xmlns:r="http://schemas.openxmlformats.org/officeDocument/2006/relationships" ref="X24" r:id="rId19"/>
    <hyperlink xmlns:r="http://schemas.openxmlformats.org/officeDocument/2006/relationships" ref="X25" r:id="rId20"/>
    <hyperlink xmlns:r="http://schemas.openxmlformats.org/officeDocument/2006/relationships" ref="X26" r:id="rId21"/>
    <hyperlink xmlns:r="http://schemas.openxmlformats.org/officeDocument/2006/relationships" ref="X27" r:id="rId22"/>
    <hyperlink xmlns:r="http://schemas.openxmlformats.org/officeDocument/2006/relationships" ref="X28" r:id="rId23"/>
    <hyperlink xmlns:r="http://schemas.openxmlformats.org/officeDocument/2006/relationships" ref="X29" r:id="rId24"/>
    <hyperlink xmlns:r="http://schemas.openxmlformats.org/officeDocument/2006/relationships" ref="X30" r:id="rId25"/>
    <hyperlink xmlns:r="http://schemas.openxmlformats.org/officeDocument/2006/relationships" ref="X31" r:id="rId26"/>
    <hyperlink xmlns:r="http://schemas.openxmlformats.org/officeDocument/2006/relationships" ref="X32" r:id="rId27"/>
    <hyperlink xmlns:r="http://schemas.openxmlformats.org/officeDocument/2006/relationships" ref="X33" r:id="rId28"/>
    <hyperlink xmlns:r="http://schemas.openxmlformats.org/officeDocument/2006/relationships" ref="X34" r:id="rId29"/>
    <hyperlink xmlns:r="http://schemas.openxmlformats.org/officeDocument/2006/relationships" ref="X35" r:id="rId30"/>
    <hyperlink xmlns:r="http://schemas.openxmlformats.org/officeDocument/2006/relationships" ref="X36" r:id="rId31"/>
    <hyperlink xmlns:r="http://schemas.openxmlformats.org/officeDocument/2006/relationships" ref="X37" r:id="rId32"/>
    <hyperlink xmlns:r="http://schemas.openxmlformats.org/officeDocument/2006/relationships" ref="X38" r:id="rId33"/>
    <hyperlink xmlns:r="http://schemas.openxmlformats.org/officeDocument/2006/relationships" ref="X39" r:id="rId34"/>
    <hyperlink xmlns:r="http://schemas.openxmlformats.org/officeDocument/2006/relationships" ref="X40" r:id="rId35"/>
    <hyperlink xmlns:r="http://schemas.openxmlformats.org/officeDocument/2006/relationships" ref="X41" r:id="rId36"/>
    <hyperlink xmlns:r="http://schemas.openxmlformats.org/officeDocument/2006/relationships" ref="X42" r:id="rId37"/>
    <hyperlink xmlns:r="http://schemas.openxmlformats.org/officeDocument/2006/relationships" ref="X43" r:id="rId38"/>
    <hyperlink xmlns:r="http://schemas.openxmlformats.org/officeDocument/2006/relationships" ref="X44" r:id="rId39"/>
    <hyperlink xmlns:r="http://schemas.openxmlformats.org/officeDocument/2006/relationships" ref="X45" r:id="rId40"/>
    <hyperlink xmlns:r="http://schemas.openxmlformats.org/officeDocument/2006/relationships" ref="X46" r:id="rId41"/>
    <hyperlink xmlns:r="http://schemas.openxmlformats.org/officeDocument/2006/relationships" ref="X47" r:id="rId42"/>
    <hyperlink xmlns:r="http://schemas.openxmlformats.org/officeDocument/2006/relationships" ref="X48" r:id="rId43"/>
    <hyperlink xmlns:r="http://schemas.openxmlformats.org/officeDocument/2006/relationships" ref="X49" r:id="rId44"/>
    <hyperlink xmlns:r="http://schemas.openxmlformats.org/officeDocument/2006/relationships" ref="X50" r:id="rId45"/>
    <hyperlink xmlns:r="http://schemas.openxmlformats.org/officeDocument/2006/relationships" ref="X51" r:id="rId46"/>
    <hyperlink xmlns:r="http://schemas.openxmlformats.org/officeDocument/2006/relationships" ref="X52" r:id="rId47"/>
    <hyperlink xmlns:r="http://schemas.openxmlformats.org/officeDocument/2006/relationships" ref="X53" r:id="rId48"/>
    <hyperlink xmlns:r="http://schemas.openxmlformats.org/officeDocument/2006/relationships" ref="X54" r:id="rId49"/>
    <hyperlink xmlns:r="http://schemas.openxmlformats.org/officeDocument/2006/relationships" ref="X55" r:id="rId50"/>
    <hyperlink xmlns:r="http://schemas.openxmlformats.org/officeDocument/2006/relationships" ref="X56" r:id="rId51"/>
    <hyperlink xmlns:r="http://schemas.openxmlformats.org/officeDocument/2006/relationships" ref="X57" r:id="rId52"/>
    <hyperlink xmlns:r="http://schemas.openxmlformats.org/officeDocument/2006/relationships" ref="X58" r:id="rId53"/>
    <hyperlink xmlns:r="http://schemas.openxmlformats.org/officeDocument/2006/relationships" ref="X59" r:id="rId54"/>
    <hyperlink xmlns:r="http://schemas.openxmlformats.org/officeDocument/2006/relationships" ref="X60" r:id="rId55"/>
    <hyperlink xmlns:r="http://schemas.openxmlformats.org/officeDocument/2006/relationships" ref="X61" r:id="rId56"/>
    <hyperlink xmlns:r="http://schemas.openxmlformats.org/officeDocument/2006/relationships" ref="X62" r:id="rId57"/>
    <hyperlink xmlns:r="http://schemas.openxmlformats.org/officeDocument/2006/relationships" ref="X63" r:id="rId58"/>
    <hyperlink xmlns:r="http://schemas.openxmlformats.org/officeDocument/2006/relationships" ref="X64" r:id="rId59"/>
    <hyperlink xmlns:r="http://schemas.openxmlformats.org/officeDocument/2006/relationships" ref="X65" r:id="rId60"/>
    <hyperlink xmlns:r="http://schemas.openxmlformats.org/officeDocument/2006/relationships" ref="X66" r:id="rId61"/>
    <hyperlink xmlns:r="http://schemas.openxmlformats.org/officeDocument/2006/relationships" ref="X67" r:id="rId62"/>
    <hyperlink xmlns:r="http://schemas.openxmlformats.org/officeDocument/2006/relationships" ref="X68" r:id="rId63"/>
    <hyperlink xmlns:r="http://schemas.openxmlformats.org/officeDocument/2006/relationships" ref="X69" r:id="rId64"/>
    <hyperlink xmlns:r="http://schemas.openxmlformats.org/officeDocument/2006/relationships" ref="X70" r:id="rId65"/>
    <hyperlink xmlns:r="http://schemas.openxmlformats.org/officeDocument/2006/relationships" ref="X71" r:id="rId66"/>
    <hyperlink xmlns:r="http://schemas.openxmlformats.org/officeDocument/2006/relationships" ref="X72" r:id="rId67"/>
    <hyperlink xmlns:r="http://schemas.openxmlformats.org/officeDocument/2006/relationships" ref="X73" r:id="rId68"/>
    <hyperlink xmlns:r="http://schemas.openxmlformats.org/officeDocument/2006/relationships" ref="X74" r:id="rId69"/>
    <hyperlink xmlns:r="http://schemas.openxmlformats.org/officeDocument/2006/relationships" ref="X75" r:id="rId70"/>
    <hyperlink xmlns:r="http://schemas.openxmlformats.org/officeDocument/2006/relationships" ref="X76" r:id="rId71"/>
    <hyperlink xmlns:r="http://schemas.openxmlformats.org/officeDocument/2006/relationships" ref="X77" r:id="rId72"/>
    <hyperlink xmlns:r="http://schemas.openxmlformats.org/officeDocument/2006/relationships" ref="X78" r:id="rId73"/>
    <hyperlink xmlns:r="http://schemas.openxmlformats.org/officeDocument/2006/relationships" ref="X79" r:id="rId74"/>
    <hyperlink xmlns:r="http://schemas.openxmlformats.org/officeDocument/2006/relationships" ref="X80" r:id="rId75"/>
    <hyperlink xmlns:r="http://schemas.openxmlformats.org/officeDocument/2006/relationships" ref="X81" r:id="rId76"/>
    <hyperlink xmlns:r="http://schemas.openxmlformats.org/officeDocument/2006/relationships" ref="X82" r:id="rId77"/>
    <hyperlink xmlns:r="http://schemas.openxmlformats.org/officeDocument/2006/relationships" ref="X83" r:id="rId78"/>
    <hyperlink xmlns:r="http://schemas.openxmlformats.org/officeDocument/2006/relationships" ref="X84" r:id="rId79"/>
    <hyperlink xmlns:r="http://schemas.openxmlformats.org/officeDocument/2006/relationships" ref="X85" r:id="rId80"/>
    <hyperlink xmlns:r="http://schemas.openxmlformats.org/officeDocument/2006/relationships" ref="X86" r:id="rId81"/>
    <hyperlink xmlns:r="http://schemas.openxmlformats.org/officeDocument/2006/relationships" ref="X87" r:id="rId82"/>
    <hyperlink xmlns:r="http://schemas.openxmlformats.org/officeDocument/2006/relationships" ref="X88" r:id="rId83"/>
    <hyperlink xmlns:r="http://schemas.openxmlformats.org/officeDocument/2006/relationships" ref="X89" r:id="rId84"/>
    <hyperlink xmlns:r="http://schemas.openxmlformats.org/officeDocument/2006/relationships" ref="X90" r:id="rId85"/>
    <hyperlink xmlns:r="http://schemas.openxmlformats.org/officeDocument/2006/relationships" ref="X91" r:id="rId86"/>
    <hyperlink xmlns:r="http://schemas.openxmlformats.org/officeDocument/2006/relationships" ref="X92" r:id="rId87"/>
    <hyperlink xmlns:r="http://schemas.openxmlformats.org/officeDocument/2006/relationships" ref="X93" r:id="rId88"/>
    <hyperlink xmlns:r="http://schemas.openxmlformats.org/officeDocument/2006/relationships" ref="X94" r:id="rId89"/>
    <hyperlink xmlns:r="http://schemas.openxmlformats.org/officeDocument/2006/relationships" ref="X95" r:id="rId90"/>
    <hyperlink xmlns:r="http://schemas.openxmlformats.org/officeDocument/2006/relationships" ref="X96" r:id="rId91"/>
    <hyperlink xmlns:r="http://schemas.openxmlformats.org/officeDocument/2006/relationships" ref="X97" r:id="rId92"/>
    <hyperlink xmlns:r="http://schemas.openxmlformats.org/officeDocument/2006/relationships" ref="X98" r:id="rId93"/>
    <hyperlink xmlns:r="http://schemas.openxmlformats.org/officeDocument/2006/relationships" ref="X99" r:id="rId94"/>
    <hyperlink xmlns:r="http://schemas.openxmlformats.org/officeDocument/2006/relationships" ref="X100" r:id="rId95"/>
    <hyperlink xmlns:r="http://schemas.openxmlformats.org/officeDocument/2006/relationships" ref="X101" r:id="rId96"/>
    <hyperlink xmlns:r="http://schemas.openxmlformats.org/officeDocument/2006/relationships" ref="X102" r:id="rId97"/>
    <hyperlink xmlns:r="http://schemas.openxmlformats.org/officeDocument/2006/relationships" ref="X103" r:id="rId98"/>
    <hyperlink xmlns:r="http://schemas.openxmlformats.org/officeDocument/2006/relationships" ref="X104" r:id="rId99"/>
    <hyperlink xmlns:r="http://schemas.openxmlformats.org/officeDocument/2006/relationships" ref="X105" r:id="rId100"/>
    <hyperlink xmlns:r="http://schemas.openxmlformats.org/officeDocument/2006/relationships" ref="X106" r:id="rId101"/>
    <hyperlink xmlns:r="http://schemas.openxmlformats.org/officeDocument/2006/relationships" ref="X107" r:id="rId102"/>
    <hyperlink xmlns:r="http://schemas.openxmlformats.org/officeDocument/2006/relationships" ref="X108" r:id="rId103"/>
    <hyperlink xmlns:r="http://schemas.openxmlformats.org/officeDocument/2006/relationships" ref="X109" r:id="rId104"/>
    <hyperlink xmlns:r="http://schemas.openxmlformats.org/officeDocument/2006/relationships" ref="X110" r:id="rId105"/>
    <hyperlink xmlns:r="http://schemas.openxmlformats.org/officeDocument/2006/relationships" ref="X111" r:id="rId106"/>
    <hyperlink xmlns:r="http://schemas.openxmlformats.org/officeDocument/2006/relationships" ref="X112" r:id="rId107"/>
    <hyperlink xmlns:r="http://schemas.openxmlformats.org/officeDocument/2006/relationships" ref="X113" r:id="rId108"/>
    <hyperlink xmlns:r="http://schemas.openxmlformats.org/officeDocument/2006/relationships" ref="X114" r:id="rId109"/>
    <hyperlink xmlns:r="http://schemas.openxmlformats.org/officeDocument/2006/relationships" ref="X115" r:id="rId110"/>
    <hyperlink xmlns:r="http://schemas.openxmlformats.org/officeDocument/2006/relationships" ref="X116" r:id="rId111"/>
    <hyperlink xmlns:r="http://schemas.openxmlformats.org/officeDocument/2006/relationships" ref="X117" r:id="rId112"/>
    <hyperlink xmlns:r="http://schemas.openxmlformats.org/officeDocument/2006/relationships" ref="X118" r:id="rId113"/>
    <hyperlink xmlns:r="http://schemas.openxmlformats.org/officeDocument/2006/relationships" ref="X119" r:id="rId114"/>
    <hyperlink xmlns:r="http://schemas.openxmlformats.org/officeDocument/2006/relationships" ref="X120" r:id="rId115"/>
    <hyperlink xmlns:r="http://schemas.openxmlformats.org/officeDocument/2006/relationships" ref="X121" r:id="rId116"/>
    <hyperlink xmlns:r="http://schemas.openxmlformats.org/officeDocument/2006/relationships" ref="X122" r:id="rId117"/>
    <hyperlink xmlns:r="http://schemas.openxmlformats.org/officeDocument/2006/relationships" ref="X123" r:id="rId118"/>
    <hyperlink xmlns:r="http://schemas.openxmlformats.org/officeDocument/2006/relationships" ref="X124" r:id="rId119"/>
    <hyperlink xmlns:r="http://schemas.openxmlformats.org/officeDocument/2006/relationships" ref="X125" r:id="rId120"/>
    <hyperlink xmlns:r="http://schemas.openxmlformats.org/officeDocument/2006/relationships" ref="X126" r:id="rId121"/>
    <hyperlink xmlns:r="http://schemas.openxmlformats.org/officeDocument/2006/relationships" ref="X127" r:id="rId122"/>
    <hyperlink xmlns:r="http://schemas.openxmlformats.org/officeDocument/2006/relationships" ref="X128" r:id="rId123"/>
    <hyperlink xmlns:r="http://schemas.openxmlformats.org/officeDocument/2006/relationships" ref="X129" r:id="rId124"/>
    <hyperlink xmlns:r="http://schemas.openxmlformats.org/officeDocument/2006/relationships" ref="X130" r:id="rId125"/>
    <hyperlink xmlns:r="http://schemas.openxmlformats.org/officeDocument/2006/relationships" ref="X131" r:id="rId126"/>
    <hyperlink xmlns:r="http://schemas.openxmlformats.org/officeDocument/2006/relationships" ref="X132" r:id="rId127"/>
    <hyperlink xmlns:r="http://schemas.openxmlformats.org/officeDocument/2006/relationships" ref="X133" r:id="rId128"/>
    <hyperlink xmlns:r="http://schemas.openxmlformats.org/officeDocument/2006/relationships" ref="X134" r:id="rId129"/>
    <hyperlink xmlns:r="http://schemas.openxmlformats.org/officeDocument/2006/relationships" ref="X135" r:id="rId130"/>
    <hyperlink xmlns:r="http://schemas.openxmlformats.org/officeDocument/2006/relationships" ref="X136" r:id="rId131"/>
    <hyperlink xmlns:r="http://schemas.openxmlformats.org/officeDocument/2006/relationships" ref="X137" r:id="rId132"/>
    <hyperlink xmlns:r="http://schemas.openxmlformats.org/officeDocument/2006/relationships" ref="X138" r:id="rId133"/>
    <hyperlink xmlns:r="http://schemas.openxmlformats.org/officeDocument/2006/relationships" ref="X139" r:id="rId134"/>
    <hyperlink xmlns:r="http://schemas.openxmlformats.org/officeDocument/2006/relationships" ref="X140" r:id="rId135"/>
    <hyperlink xmlns:r="http://schemas.openxmlformats.org/officeDocument/2006/relationships" ref="X141" r:id="rId136"/>
    <hyperlink xmlns:r="http://schemas.openxmlformats.org/officeDocument/2006/relationships" ref="X142" r:id="rId137"/>
    <hyperlink xmlns:r="http://schemas.openxmlformats.org/officeDocument/2006/relationships" ref="X143" r:id="rId138"/>
    <hyperlink xmlns:r="http://schemas.openxmlformats.org/officeDocument/2006/relationships" ref="X144" r:id="rId139"/>
    <hyperlink xmlns:r="http://schemas.openxmlformats.org/officeDocument/2006/relationships" ref="X145" r:id="rId140"/>
    <hyperlink xmlns:r="http://schemas.openxmlformats.org/officeDocument/2006/relationships" ref="X146" r:id="rId141"/>
    <hyperlink xmlns:r="http://schemas.openxmlformats.org/officeDocument/2006/relationships" ref="X147" r:id="rId142"/>
    <hyperlink xmlns:r="http://schemas.openxmlformats.org/officeDocument/2006/relationships" ref="X148" r:id="rId143"/>
    <hyperlink xmlns:r="http://schemas.openxmlformats.org/officeDocument/2006/relationships" ref="X149" r:id="rId144"/>
    <hyperlink xmlns:r="http://schemas.openxmlformats.org/officeDocument/2006/relationships" ref="X150" r:id="rId145"/>
    <hyperlink xmlns:r="http://schemas.openxmlformats.org/officeDocument/2006/relationships" ref="X151" r:id="rId146"/>
    <hyperlink xmlns:r="http://schemas.openxmlformats.org/officeDocument/2006/relationships" ref="X152" r:id="rId147"/>
    <hyperlink xmlns:r="http://schemas.openxmlformats.org/officeDocument/2006/relationships" ref="X153" r:id="rId148"/>
    <hyperlink xmlns:r="http://schemas.openxmlformats.org/officeDocument/2006/relationships" ref="X154" r:id="rId149"/>
    <hyperlink xmlns:r="http://schemas.openxmlformats.org/officeDocument/2006/relationships" ref="X155" r:id="rId150"/>
    <hyperlink xmlns:r="http://schemas.openxmlformats.org/officeDocument/2006/relationships" ref="X156" r:id="rId151"/>
    <hyperlink xmlns:r="http://schemas.openxmlformats.org/officeDocument/2006/relationships" ref="X157" r:id="rId152"/>
    <hyperlink xmlns:r="http://schemas.openxmlformats.org/officeDocument/2006/relationships" ref="X158" r:id="rId153"/>
    <hyperlink xmlns:r="http://schemas.openxmlformats.org/officeDocument/2006/relationships" ref="X159" r:id="rId154"/>
    <hyperlink xmlns:r="http://schemas.openxmlformats.org/officeDocument/2006/relationships" ref="X160" r:id="rId155"/>
    <hyperlink xmlns:r="http://schemas.openxmlformats.org/officeDocument/2006/relationships" ref="X161" r:id="rId156"/>
    <hyperlink xmlns:r="http://schemas.openxmlformats.org/officeDocument/2006/relationships" ref="X162" r:id="rId157"/>
    <hyperlink xmlns:r="http://schemas.openxmlformats.org/officeDocument/2006/relationships" ref="X163" r:id="rId158"/>
    <hyperlink xmlns:r="http://schemas.openxmlformats.org/officeDocument/2006/relationships" ref="X164" r:id="rId159"/>
    <hyperlink xmlns:r="http://schemas.openxmlformats.org/officeDocument/2006/relationships" ref="X165" r:id="rId160"/>
    <hyperlink xmlns:r="http://schemas.openxmlformats.org/officeDocument/2006/relationships" ref="X166" r:id="rId161"/>
    <hyperlink xmlns:r="http://schemas.openxmlformats.org/officeDocument/2006/relationships" ref="X167" r:id="rId162"/>
    <hyperlink xmlns:r="http://schemas.openxmlformats.org/officeDocument/2006/relationships" ref="X168" r:id="rId163"/>
    <hyperlink xmlns:r="http://schemas.openxmlformats.org/officeDocument/2006/relationships" ref="X169" r:id="rId164"/>
    <hyperlink xmlns:r="http://schemas.openxmlformats.org/officeDocument/2006/relationships" ref="X170" r:id="rId165"/>
    <hyperlink xmlns:r="http://schemas.openxmlformats.org/officeDocument/2006/relationships" ref="X171" r:id="rId166"/>
    <hyperlink xmlns:r="http://schemas.openxmlformats.org/officeDocument/2006/relationships" ref="X172" r:id="rId167"/>
    <hyperlink xmlns:r="http://schemas.openxmlformats.org/officeDocument/2006/relationships" ref="X173" r:id="rId168"/>
    <hyperlink xmlns:r="http://schemas.openxmlformats.org/officeDocument/2006/relationships" ref="X174" r:id="rId169"/>
    <hyperlink xmlns:r="http://schemas.openxmlformats.org/officeDocument/2006/relationships" ref="X175" r:id="rId170"/>
    <hyperlink xmlns:r="http://schemas.openxmlformats.org/officeDocument/2006/relationships" ref="X176" r:id="rId171"/>
    <hyperlink xmlns:r="http://schemas.openxmlformats.org/officeDocument/2006/relationships" ref="X177" r:id="rId172"/>
    <hyperlink xmlns:r="http://schemas.openxmlformats.org/officeDocument/2006/relationships" ref="X178" r:id="rId173"/>
    <hyperlink xmlns:r="http://schemas.openxmlformats.org/officeDocument/2006/relationships" ref="X179" r:id="rId174"/>
    <hyperlink xmlns:r="http://schemas.openxmlformats.org/officeDocument/2006/relationships" ref="X180" r:id="rId175"/>
    <hyperlink xmlns:r="http://schemas.openxmlformats.org/officeDocument/2006/relationships" ref="X181" r:id="rId176"/>
    <hyperlink xmlns:r="http://schemas.openxmlformats.org/officeDocument/2006/relationships" ref="X182" r:id="rId177"/>
    <hyperlink xmlns:r="http://schemas.openxmlformats.org/officeDocument/2006/relationships" ref="X183" r:id="rId178"/>
    <hyperlink xmlns:r="http://schemas.openxmlformats.org/officeDocument/2006/relationships" ref="X184" r:id="rId179"/>
    <hyperlink xmlns:r="http://schemas.openxmlformats.org/officeDocument/2006/relationships" ref="X185" r:id="rId180"/>
    <hyperlink xmlns:r="http://schemas.openxmlformats.org/officeDocument/2006/relationships" ref="X186" r:id="rId181"/>
    <hyperlink xmlns:r="http://schemas.openxmlformats.org/officeDocument/2006/relationships" ref="X187" r:id="rId182"/>
    <hyperlink xmlns:r="http://schemas.openxmlformats.org/officeDocument/2006/relationships" ref="X188" r:id="rId183"/>
    <hyperlink xmlns:r="http://schemas.openxmlformats.org/officeDocument/2006/relationships" ref="X189" r:id="rId184"/>
    <hyperlink xmlns:r="http://schemas.openxmlformats.org/officeDocument/2006/relationships" ref="X190" r:id="rId185"/>
    <hyperlink xmlns:r="http://schemas.openxmlformats.org/officeDocument/2006/relationships" ref="X191" r:id="rId186"/>
    <hyperlink xmlns:r="http://schemas.openxmlformats.org/officeDocument/2006/relationships" ref="X192" r:id="rId187"/>
    <hyperlink xmlns:r="http://schemas.openxmlformats.org/officeDocument/2006/relationships" ref="X193" r:id="rId188"/>
    <hyperlink xmlns:r="http://schemas.openxmlformats.org/officeDocument/2006/relationships" ref="X194" r:id="rId189"/>
    <hyperlink xmlns:r="http://schemas.openxmlformats.org/officeDocument/2006/relationships" ref="X195" r:id="rId190"/>
    <hyperlink xmlns:r="http://schemas.openxmlformats.org/officeDocument/2006/relationships" ref="X196" r:id="rId191"/>
    <hyperlink xmlns:r="http://schemas.openxmlformats.org/officeDocument/2006/relationships" ref="X197" r:id="rId192"/>
    <hyperlink xmlns:r="http://schemas.openxmlformats.org/officeDocument/2006/relationships" ref="X198" r:id="rId193"/>
    <hyperlink xmlns:r="http://schemas.openxmlformats.org/officeDocument/2006/relationships" ref="X199" r:id="rId194"/>
    <hyperlink xmlns:r="http://schemas.openxmlformats.org/officeDocument/2006/relationships" ref="X200" r:id="rId195"/>
    <hyperlink xmlns:r="http://schemas.openxmlformats.org/officeDocument/2006/relationships" ref="X201" r:id="rId196"/>
    <hyperlink xmlns:r="http://schemas.openxmlformats.org/officeDocument/2006/relationships" ref="X202" r:id="rId197"/>
    <hyperlink xmlns:r="http://schemas.openxmlformats.org/officeDocument/2006/relationships" ref="X203" r:id="rId198"/>
    <hyperlink xmlns:r="http://schemas.openxmlformats.org/officeDocument/2006/relationships" ref="X204" r:id="rId199"/>
    <hyperlink xmlns:r="http://schemas.openxmlformats.org/officeDocument/2006/relationships" ref="X205" r:id="rId200"/>
    <hyperlink xmlns:r="http://schemas.openxmlformats.org/officeDocument/2006/relationships" ref="X206" r:id="rId201"/>
    <hyperlink xmlns:r="http://schemas.openxmlformats.org/officeDocument/2006/relationships" ref="X207" r:id="rId202"/>
    <hyperlink xmlns:r="http://schemas.openxmlformats.org/officeDocument/2006/relationships" ref="X208" r:id="rId203"/>
    <hyperlink xmlns:r="http://schemas.openxmlformats.org/officeDocument/2006/relationships" ref="X209" r:id="rId204"/>
    <hyperlink xmlns:r="http://schemas.openxmlformats.org/officeDocument/2006/relationships" ref="X210" r:id="rId205"/>
    <hyperlink xmlns:r="http://schemas.openxmlformats.org/officeDocument/2006/relationships" ref="X211" r:id="rId206"/>
    <hyperlink xmlns:r="http://schemas.openxmlformats.org/officeDocument/2006/relationships" ref="X212" r:id="rId207"/>
    <hyperlink xmlns:r="http://schemas.openxmlformats.org/officeDocument/2006/relationships" ref="X213" r:id="rId208"/>
    <hyperlink xmlns:r="http://schemas.openxmlformats.org/officeDocument/2006/relationships" ref="X214" r:id="rId209"/>
    <hyperlink xmlns:r="http://schemas.openxmlformats.org/officeDocument/2006/relationships" ref="X215" r:id="rId210"/>
    <hyperlink xmlns:r="http://schemas.openxmlformats.org/officeDocument/2006/relationships" ref="X216" r:id="rId211"/>
    <hyperlink xmlns:r="http://schemas.openxmlformats.org/officeDocument/2006/relationships" ref="X217" r:id="rId212"/>
    <hyperlink xmlns:r="http://schemas.openxmlformats.org/officeDocument/2006/relationships" ref="X218" r:id="rId213"/>
    <hyperlink xmlns:r="http://schemas.openxmlformats.org/officeDocument/2006/relationships" ref="X219" r:id="rId214"/>
    <hyperlink xmlns:r="http://schemas.openxmlformats.org/officeDocument/2006/relationships" ref="X220" r:id="rId215"/>
    <hyperlink xmlns:r="http://schemas.openxmlformats.org/officeDocument/2006/relationships" ref="X221" r:id="rId216"/>
    <hyperlink xmlns:r="http://schemas.openxmlformats.org/officeDocument/2006/relationships" ref="X222" r:id="rId217"/>
    <hyperlink xmlns:r="http://schemas.openxmlformats.org/officeDocument/2006/relationships" ref="X223" r:id="rId218"/>
    <hyperlink xmlns:r="http://schemas.openxmlformats.org/officeDocument/2006/relationships" ref="X224" r:id="rId219"/>
    <hyperlink xmlns:r="http://schemas.openxmlformats.org/officeDocument/2006/relationships" ref="X225" r:id="rId220"/>
    <hyperlink xmlns:r="http://schemas.openxmlformats.org/officeDocument/2006/relationships" ref="X226" r:id="rId221"/>
    <hyperlink xmlns:r="http://schemas.openxmlformats.org/officeDocument/2006/relationships" ref="X227" r:id="rId222"/>
    <hyperlink xmlns:r="http://schemas.openxmlformats.org/officeDocument/2006/relationships" ref="X228" r:id="rId223"/>
    <hyperlink xmlns:r="http://schemas.openxmlformats.org/officeDocument/2006/relationships" ref="X229" r:id="rId224"/>
    <hyperlink xmlns:r="http://schemas.openxmlformats.org/officeDocument/2006/relationships" ref="X230" r:id="rId225"/>
    <hyperlink xmlns:r="http://schemas.openxmlformats.org/officeDocument/2006/relationships" ref="X231" r:id="rId226"/>
    <hyperlink xmlns:r="http://schemas.openxmlformats.org/officeDocument/2006/relationships" ref="X232" r:id="rId227"/>
    <hyperlink xmlns:r="http://schemas.openxmlformats.org/officeDocument/2006/relationships" ref="X233" r:id="rId228"/>
    <hyperlink xmlns:r="http://schemas.openxmlformats.org/officeDocument/2006/relationships" ref="X234" r:id="rId229"/>
    <hyperlink xmlns:r="http://schemas.openxmlformats.org/officeDocument/2006/relationships" ref="X235" r:id="rId230"/>
    <hyperlink xmlns:r="http://schemas.openxmlformats.org/officeDocument/2006/relationships" ref="X236" r:id="rId231"/>
    <hyperlink xmlns:r="http://schemas.openxmlformats.org/officeDocument/2006/relationships" ref="X237" r:id="rId232"/>
    <hyperlink xmlns:r="http://schemas.openxmlformats.org/officeDocument/2006/relationships" ref="X238" r:id="rId233"/>
    <hyperlink xmlns:r="http://schemas.openxmlformats.org/officeDocument/2006/relationships" ref="X239" r:id="rId234"/>
    <hyperlink xmlns:r="http://schemas.openxmlformats.org/officeDocument/2006/relationships" ref="X240" r:id="rId235"/>
    <hyperlink xmlns:r="http://schemas.openxmlformats.org/officeDocument/2006/relationships" ref="X241" r:id="rId236"/>
    <hyperlink xmlns:r="http://schemas.openxmlformats.org/officeDocument/2006/relationships" ref="X242" r:id="rId237"/>
    <hyperlink xmlns:r="http://schemas.openxmlformats.org/officeDocument/2006/relationships" ref="X243" r:id="rId238"/>
    <hyperlink xmlns:r="http://schemas.openxmlformats.org/officeDocument/2006/relationships" ref="X244" r:id="rId239"/>
    <hyperlink xmlns:r="http://schemas.openxmlformats.org/officeDocument/2006/relationships" ref="X245" r:id="rId240"/>
    <hyperlink xmlns:r="http://schemas.openxmlformats.org/officeDocument/2006/relationships" ref="X246" r:id="rId241"/>
    <hyperlink xmlns:r="http://schemas.openxmlformats.org/officeDocument/2006/relationships" ref="X247" r:id="rId242"/>
    <hyperlink xmlns:r="http://schemas.openxmlformats.org/officeDocument/2006/relationships" ref="X248" r:id="rId243"/>
    <hyperlink xmlns:r="http://schemas.openxmlformats.org/officeDocument/2006/relationships" ref="X249" r:id="rId244"/>
    <hyperlink xmlns:r="http://schemas.openxmlformats.org/officeDocument/2006/relationships" ref="X250" r:id="rId245"/>
    <hyperlink xmlns:r="http://schemas.openxmlformats.org/officeDocument/2006/relationships" ref="X251" r:id="rId246"/>
    <hyperlink xmlns:r="http://schemas.openxmlformats.org/officeDocument/2006/relationships" ref="X252" r:id="rId247"/>
    <hyperlink xmlns:r="http://schemas.openxmlformats.org/officeDocument/2006/relationships" ref="X253" r:id="rId248"/>
    <hyperlink xmlns:r="http://schemas.openxmlformats.org/officeDocument/2006/relationships" ref="X254" r:id="rId249"/>
    <hyperlink xmlns:r="http://schemas.openxmlformats.org/officeDocument/2006/relationships" ref="X255" r:id="rId250"/>
    <hyperlink xmlns:r="http://schemas.openxmlformats.org/officeDocument/2006/relationships" ref="X256" r:id="rId251"/>
    <hyperlink xmlns:r="http://schemas.openxmlformats.org/officeDocument/2006/relationships" ref="X257" r:id="rId252"/>
    <hyperlink xmlns:r="http://schemas.openxmlformats.org/officeDocument/2006/relationships" ref="X258" r:id="rId253"/>
    <hyperlink xmlns:r="http://schemas.openxmlformats.org/officeDocument/2006/relationships" ref="X259" r:id="rId254"/>
    <hyperlink xmlns:r="http://schemas.openxmlformats.org/officeDocument/2006/relationships" ref="X260" r:id="rId255"/>
    <hyperlink xmlns:r="http://schemas.openxmlformats.org/officeDocument/2006/relationships" ref="X261" r:id="rId256"/>
    <hyperlink xmlns:r="http://schemas.openxmlformats.org/officeDocument/2006/relationships" ref="X262" r:id="rId257"/>
    <hyperlink xmlns:r="http://schemas.openxmlformats.org/officeDocument/2006/relationships" ref="X263" r:id="rId258"/>
    <hyperlink xmlns:r="http://schemas.openxmlformats.org/officeDocument/2006/relationships" ref="X264" r:id="rId259"/>
    <hyperlink xmlns:r="http://schemas.openxmlformats.org/officeDocument/2006/relationships" ref="X265" r:id="rId260"/>
    <hyperlink xmlns:r="http://schemas.openxmlformats.org/officeDocument/2006/relationships" ref="X266" r:id="rId261"/>
    <hyperlink xmlns:r="http://schemas.openxmlformats.org/officeDocument/2006/relationships" ref="X267" r:id="rId262"/>
    <hyperlink xmlns:r="http://schemas.openxmlformats.org/officeDocument/2006/relationships" ref="X268" r:id="rId263"/>
    <hyperlink xmlns:r="http://schemas.openxmlformats.org/officeDocument/2006/relationships" ref="X269" r:id="rId264"/>
    <hyperlink xmlns:r="http://schemas.openxmlformats.org/officeDocument/2006/relationships" ref="X270" r:id="rId265"/>
    <hyperlink xmlns:r="http://schemas.openxmlformats.org/officeDocument/2006/relationships" ref="X271" r:id="rId266"/>
    <hyperlink xmlns:r="http://schemas.openxmlformats.org/officeDocument/2006/relationships" ref="X272" r:id="rId267"/>
    <hyperlink xmlns:r="http://schemas.openxmlformats.org/officeDocument/2006/relationships" ref="X273" r:id="rId268"/>
    <hyperlink xmlns:r="http://schemas.openxmlformats.org/officeDocument/2006/relationships" ref="X274" r:id="rId269"/>
    <hyperlink xmlns:r="http://schemas.openxmlformats.org/officeDocument/2006/relationships" ref="X275" r:id="rId270"/>
    <hyperlink xmlns:r="http://schemas.openxmlformats.org/officeDocument/2006/relationships" ref="X276" r:id="rId271"/>
    <hyperlink xmlns:r="http://schemas.openxmlformats.org/officeDocument/2006/relationships" ref="X277" r:id="rId272"/>
    <hyperlink xmlns:r="http://schemas.openxmlformats.org/officeDocument/2006/relationships" ref="X278" r:id="rId273"/>
    <hyperlink xmlns:r="http://schemas.openxmlformats.org/officeDocument/2006/relationships" ref="X279" r:id="rId274"/>
    <hyperlink xmlns:r="http://schemas.openxmlformats.org/officeDocument/2006/relationships" ref="X280" r:id="rId275"/>
    <hyperlink xmlns:r="http://schemas.openxmlformats.org/officeDocument/2006/relationships" ref="X281" r:id="rId276"/>
    <hyperlink xmlns:r="http://schemas.openxmlformats.org/officeDocument/2006/relationships" ref="X282" r:id="rId277"/>
    <hyperlink xmlns:r="http://schemas.openxmlformats.org/officeDocument/2006/relationships" ref="X283" r:id="rId278"/>
    <hyperlink xmlns:r="http://schemas.openxmlformats.org/officeDocument/2006/relationships" ref="X284" r:id="rId279"/>
    <hyperlink xmlns:r="http://schemas.openxmlformats.org/officeDocument/2006/relationships" ref="X285" r:id="rId280"/>
    <hyperlink xmlns:r="http://schemas.openxmlformats.org/officeDocument/2006/relationships" ref="X286" r:id="rId281"/>
    <hyperlink xmlns:r="http://schemas.openxmlformats.org/officeDocument/2006/relationships" ref="X287" r:id="rId282"/>
    <hyperlink xmlns:r="http://schemas.openxmlformats.org/officeDocument/2006/relationships" ref="X288" r:id="rId283"/>
    <hyperlink xmlns:r="http://schemas.openxmlformats.org/officeDocument/2006/relationships" ref="X289" r:id="rId284"/>
    <hyperlink xmlns:r="http://schemas.openxmlformats.org/officeDocument/2006/relationships" ref="X290" r:id="rId285"/>
    <hyperlink xmlns:r="http://schemas.openxmlformats.org/officeDocument/2006/relationships" ref="X291" r:id="rId286"/>
    <hyperlink xmlns:r="http://schemas.openxmlformats.org/officeDocument/2006/relationships" ref="X292" r:id="rId287"/>
    <hyperlink xmlns:r="http://schemas.openxmlformats.org/officeDocument/2006/relationships" ref="X293" r:id="rId288"/>
    <hyperlink xmlns:r="http://schemas.openxmlformats.org/officeDocument/2006/relationships" ref="X294" r:id="rId289"/>
    <hyperlink xmlns:r="http://schemas.openxmlformats.org/officeDocument/2006/relationships" ref="X295" r:id="rId290"/>
    <hyperlink xmlns:r="http://schemas.openxmlformats.org/officeDocument/2006/relationships" ref="X296" r:id="rId291"/>
    <hyperlink xmlns:r="http://schemas.openxmlformats.org/officeDocument/2006/relationships" ref="X297" r:id="rId292"/>
    <hyperlink xmlns:r="http://schemas.openxmlformats.org/officeDocument/2006/relationships" ref="X298" r:id="rId293"/>
    <hyperlink xmlns:r="http://schemas.openxmlformats.org/officeDocument/2006/relationships" ref="X299" r:id="rId294"/>
    <hyperlink xmlns:r="http://schemas.openxmlformats.org/officeDocument/2006/relationships" ref="X300" r:id="rId295"/>
    <hyperlink xmlns:r="http://schemas.openxmlformats.org/officeDocument/2006/relationships" ref="X301" r:id="rId296"/>
    <hyperlink xmlns:r="http://schemas.openxmlformats.org/officeDocument/2006/relationships" ref="X302" r:id="rId297"/>
    <hyperlink xmlns:r="http://schemas.openxmlformats.org/officeDocument/2006/relationships" ref="X303" r:id="rId298"/>
    <hyperlink xmlns:r="http://schemas.openxmlformats.org/officeDocument/2006/relationships" ref="X304" r:id="rId299"/>
    <hyperlink xmlns:r="http://schemas.openxmlformats.org/officeDocument/2006/relationships" ref="X305" r:id="rId300"/>
    <hyperlink xmlns:r="http://schemas.openxmlformats.org/officeDocument/2006/relationships" ref="X306" r:id="rId301"/>
    <hyperlink xmlns:r="http://schemas.openxmlformats.org/officeDocument/2006/relationships" ref="X307" r:id="rId302"/>
    <hyperlink xmlns:r="http://schemas.openxmlformats.org/officeDocument/2006/relationships" ref="X308" r:id="rId303"/>
    <hyperlink xmlns:r="http://schemas.openxmlformats.org/officeDocument/2006/relationships" ref="X309" r:id="rId304"/>
    <hyperlink xmlns:r="http://schemas.openxmlformats.org/officeDocument/2006/relationships" ref="X310" r:id="rId305"/>
    <hyperlink xmlns:r="http://schemas.openxmlformats.org/officeDocument/2006/relationships" ref="X311" r:id="rId306"/>
    <hyperlink xmlns:r="http://schemas.openxmlformats.org/officeDocument/2006/relationships" ref="X312" r:id="rId307"/>
    <hyperlink xmlns:r="http://schemas.openxmlformats.org/officeDocument/2006/relationships" ref="X313" r:id="rId308"/>
    <hyperlink xmlns:r="http://schemas.openxmlformats.org/officeDocument/2006/relationships" ref="X314" r:id="rId309"/>
    <hyperlink xmlns:r="http://schemas.openxmlformats.org/officeDocument/2006/relationships" ref="X315" r:id="rId310"/>
    <hyperlink xmlns:r="http://schemas.openxmlformats.org/officeDocument/2006/relationships" ref="X316" r:id="rId311"/>
    <hyperlink xmlns:r="http://schemas.openxmlformats.org/officeDocument/2006/relationships" ref="X317" r:id="rId312"/>
    <hyperlink xmlns:r="http://schemas.openxmlformats.org/officeDocument/2006/relationships" ref="X318" r:id="rId313"/>
    <hyperlink xmlns:r="http://schemas.openxmlformats.org/officeDocument/2006/relationships" ref="X319" r:id="rId314"/>
    <hyperlink xmlns:r="http://schemas.openxmlformats.org/officeDocument/2006/relationships" ref="X320" r:id="rId315"/>
    <hyperlink xmlns:r="http://schemas.openxmlformats.org/officeDocument/2006/relationships" ref="X321" r:id="rId316"/>
    <hyperlink xmlns:r="http://schemas.openxmlformats.org/officeDocument/2006/relationships" ref="X322" r:id="rId317"/>
    <hyperlink xmlns:r="http://schemas.openxmlformats.org/officeDocument/2006/relationships" ref="X323" r:id="rId318"/>
    <hyperlink xmlns:r="http://schemas.openxmlformats.org/officeDocument/2006/relationships" ref="X324" r:id="rId319"/>
    <hyperlink xmlns:r="http://schemas.openxmlformats.org/officeDocument/2006/relationships" ref="X325" r:id="rId320"/>
    <hyperlink xmlns:r="http://schemas.openxmlformats.org/officeDocument/2006/relationships" ref="X326" r:id="rId321"/>
    <hyperlink xmlns:r="http://schemas.openxmlformats.org/officeDocument/2006/relationships" ref="X327" r:id="rId322"/>
    <hyperlink xmlns:r="http://schemas.openxmlformats.org/officeDocument/2006/relationships" ref="X328" r:id="rId323"/>
    <hyperlink xmlns:r="http://schemas.openxmlformats.org/officeDocument/2006/relationships" ref="X329" r:id="rId324"/>
    <hyperlink xmlns:r="http://schemas.openxmlformats.org/officeDocument/2006/relationships" ref="X330" r:id="rId325"/>
    <hyperlink xmlns:r="http://schemas.openxmlformats.org/officeDocument/2006/relationships" ref="X331" r:id="rId326"/>
    <hyperlink xmlns:r="http://schemas.openxmlformats.org/officeDocument/2006/relationships" ref="X332" r:id="rId327"/>
    <hyperlink xmlns:r="http://schemas.openxmlformats.org/officeDocument/2006/relationships" ref="X333" r:id="rId328"/>
    <hyperlink xmlns:r="http://schemas.openxmlformats.org/officeDocument/2006/relationships" ref="X334" r:id="rId329"/>
    <hyperlink xmlns:r="http://schemas.openxmlformats.org/officeDocument/2006/relationships" ref="X335" r:id="rId330"/>
    <hyperlink xmlns:r="http://schemas.openxmlformats.org/officeDocument/2006/relationships" ref="X336" r:id="rId331"/>
    <hyperlink xmlns:r="http://schemas.openxmlformats.org/officeDocument/2006/relationships" ref="X337" r:id="rId332"/>
    <hyperlink xmlns:r="http://schemas.openxmlformats.org/officeDocument/2006/relationships" ref="X338" r:id="rId333"/>
    <hyperlink xmlns:r="http://schemas.openxmlformats.org/officeDocument/2006/relationships" ref="X339" r:id="rId334"/>
    <hyperlink xmlns:r="http://schemas.openxmlformats.org/officeDocument/2006/relationships" ref="X340" r:id="rId335"/>
    <hyperlink xmlns:r="http://schemas.openxmlformats.org/officeDocument/2006/relationships" ref="X341" r:id="rId336"/>
    <hyperlink xmlns:r="http://schemas.openxmlformats.org/officeDocument/2006/relationships" ref="X342" r:id="rId337"/>
    <hyperlink xmlns:r="http://schemas.openxmlformats.org/officeDocument/2006/relationships" ref="X343" r:id="rId338"/>
    <hyperlink xmlns:r="http://schemas.openxmlformats.org/officeDocument/2006/relationships" ref="X344" r:id="rId339"/>
    <hyperlink xmlns:r="http://schemas.openxmlformats.org/officeDocument/2006/relationships" ref="X345" r:id="rId340"/>
    <hyperlink xmlns:r="http://schemas.openxmlformats.org/officeDocument/2006/relationships" ref="X346" r:id="rId341"/>
    <hyperlink xmlns:r="http://schemas.openxmlformats.org/officeDocument/2006/relationships" ref="X347" r:id="rId342"/>
    <hyperlink xmlns:r="http://schemas.openxmlformats.org/officeDocument/2006/relationships" ref="X348" r:id="rId343"/>
    <hyperlink xmlns:r="http://schemas.openxmlformats.org/officeDocument/2006/relationships" ref="X349" r:id="rId344"/>
    <hyperlink xmlns:r="http://schemas.openxmlformats.org/officeDocument/2006/relationships" ref="X350" r:id="rId345"/>
    <hyperlink xmlns:r="http://schemas.openxmlformats.org/officeDocument/2006/relationships" ref="X351" r:id="rId346"/>
    <hyperlink xmlns:r="http://schemas.openxmlformats.org/officeDocument/2006/relationships" ref="X352" r:id="rId347"/>
    <hyperlink xmlns:r="http://schemas.openxmlformats.org/officeDocument/2006/relationships" ref="X353" r:id="rId348"/>
    <hyperlink xmlns:r="http://schemas.openxmlformats.org/officeDocument/2006/relationships" ref="X354" r:id="rId349"/>
    <hyperlink xmlns:r="http://schemas.openxmlformats.org/officeDocument/2006/relationships" ref="X355" r:id="rId350"/>
    <hyperlink xmlns:r="http://schemas.openxmlformats.org/officeDocument/2006/relationships" ref="X356" r:id="rId351"/>
    <hyperlink xmlns:r="http://schemas.openxmlformats.org/officeDocument/2006/relationships" ref="X357" r:id="rId352"/>
    <hyperlink xmlns:r="http://schemas.openxmlformats.org/officeDocument/2006/relationships" ref="X358" r:id="rId353"/>
    <hyperlink xmlns:r="http://schemas.openxmlformats.org/officeDocument/2006/relationships" ref="X359" r:id="rId354"/>
    <hyperlink xmlns:r="http://schemas.openxmlformats.org/officeDocument/2006/relationships" ref="X360" r:id="rId355"/>
    <hyperlink xmlns:r="http://schemas.openxmlformats.org/officeDocument/2006/relationships" ref="X361" r:id="rId356"/>
    <hyperlink xmlns:r="http://schemas.openxmlformats.org/officeDocument/2006/relationships" ref="X362" r:id="rId357"/>
    <hyperlink xmlns:r="http://schemas.openxmlformats.org/officeDocument/2006/relationships" ref="X363" r:id="rId358"/>
    <hyperlink xmlns:r="http://schemas.openxmlformats.org/officeDocument/2006/relationships" ref="X364" r:id="rId359"/>
    <hyperlink xmlns:r="http://schemas.openxmlformats.org/officeDocument/2006/relationships" ref="X365" r:id="rId360"/>
    <hyperlink xmlns:r="http://schemas.openxmlformats.org/officeDocument/2006/relationships" ref="X366" r:id="rId361"/>
    <hyperlink xmlns:r="http://schemas.openxmlformats.org/officeDocument/2006/relationships" ref="X367" r:id="rId362"/>
    <hyperlink xmlns:r="http://schemas.openxmlformats.org/officeDocument/2006/relationships" ref="X368" r:id="rId363"/>
    <hyperlink xmlns:r="http://schemas.openxmlformats.org/officeDocument/2006/relationships" ref="X369" r:id="rId364"/>
    <hyperlink xmlns:r="http://schemas.openxmlformats.org/officeDocument/2006/relationships" ref="X370" r:id="rId365"/>
    <hyperlink xmlns:r="http://schemas.openxmlformats.org/officeDocument/2006/relationships" ref="X371" r:id="rId366"/>
    <hyperlink xmlns:r="http://schemas.openxmlformats.org/officeDocument/2006/relationships" ref="X372" r:id="rId367"/>
    <hyperlink xmlns:r="http://schemas.openxmlformats.org/officeDocument/2006/relationships" ref="X373" r:id="rId368"/>
    <hyperlink xmlns:r="http://schemas.openxmlformats.org/officeDocument/2006/relationships" ref="X374" r:id="rId369"/>
    <hyperlink xmlns:r="http://schemas.openxmlformats.org/officeDocument/2006/relationships" ref="X375" r:id="rId370"/>
    <hyperlink xmlns:r="http://schemas.openxmlformats.org/officeDocument/2006/relationships" ref="X376" r:id="rId371"/>
    <hyperlink xmlns:r="http://schemas.openxmlformats.org/officeDocument/2006/relationships" ref="X377" r:id="rId372"/>
    <hyperlink xmlns:r="http://schemas.openxmlformats.org/officeDocument/2006/relationships" ref="X378" r:id="rId373"/>
    <hyperlink xmlns:r="http://schemas.openxmlformats.org/officeDocument/2006/relationships" ref="X379" r:id="rId374"/>
    <hyperlink xmlns:r="http://schemas.openxmlformats.org/officeDocument/2006/relationships" ref="X380" r:id="rId375"/>
    <hyperlink xmlns:r="http://schemas.openxmlformats.org/officeDocument/2006/relationships" ref="X381" r:id="rId376"/>
    <hyperlink xmlns:r="http://schemas.openxmlformats.org/officeDocument/2006/relationships" ref="X382" r:id="rId377"/>
    <hyperlink xmlns:r="http://schemas.openxmlformats.org/officeDocument/2006/relationships" ref="X383" r:id="rId378"/>
    <hyperlink xmlns:r="http://schemas.openxmlformats.org/officeDocument/2006/relationships" ref="X384" r:id="rId379"/>
    <hyperlink xmlns:r="http://schemas.openxmlformats.org/officeDocument/2006/relationships" ref="X385" r:id="rId380"/>
    <hyperlink xmlns:r="http://schemas.openxmlformats.org/officeDocument/2006/relationships" ref="X386" r:id="rId381"/>
    <hyperlink xmlns:r="http://schemas.openxmlformats.org/officeDocument/2006/relationships" ref="X387" r:id="rId382"/>
    <hyperlink xmlns:r="http://schemas.openxmlformats.org/officeDocument/2006/relationships" ref="X388" r:id="rId383"/>
    <hyperlink xmlns:r="http://schemas.openxmlformats.org/officeDocument/2006/relationships" ref="X389" r:id="rId384"/>
    <hyperlink xmlns:r="http://schemas.openxmlformats.org/officeDocument/2006/relationships" ref="X390" r:id="rId385"/>
    <hyperlink xmlns:r="http://schemas.openxmlformats.org/officeDocument/2006/relationships" ref="X391" r:id="rId386"/>
    <hyperlink xmlns:r="http://schemas.openxmlformats.org/officeDocument/2006/relationships" ref="X392" r:id="rId387"/>
    <hyperlink xmlns:r="http://schemas.openxmlformats.org/officeDocument/2006/relationships" ref="X393" r:id="rId388"/>
    <hyperlink xmlns:r="http://schemas.openxmlformats.org/officeDocument/2006/relationships" ref="X394" r:id="rId389"/>
    <hyperlink xmlns:r="http://schemas.openxmlformats.org/officeDocument/2006/relationships" ref="X395" r:id="rId390"/>
    <hyperlink xmlns:r="http://schemas.openxmlformats.org/officeDocument/2006/relationships" ref="X396" r:id="rId391"/>
    <hyperlink xmlns:r="http://schemas.openxmlformats.org/officeDocument/2006/relationships" ref="X397" r:id="rId392"/>
    <hyperlink xmlns:r="http://schemas.openxmlformats.org/officeDocument/2006/relationships" ref="X398" r:id="rId393"/>
    <hyperlink xmlns:r="http://schemas.openxmlformats.org/officeDocument/2006/relationships" ref="X399" r:id="rId394"/>
    <hyperlink xmlns:r="http://schemas.openxmlformats.org/officeDocument/2006/relationships" ref="X400" r:id="rId395"/>
    <hyperlink xmlns:r="http://schemas.openxmlformats.org/officeDocument/2006/relationships" ref="X401" r:id="rId396"/>
    <hyperlink xmlns:r="http://schemas.openxmlformats.org/officeDocument/2006/relationships" ref="X402" r:id="rId397"/>
    <hyperlink xmlns:r="http://schemas.openxmlformats.org/officeDocument/2006/relationships" ref="X403" r:id="rId398"/>
    <hyperlink xmlns:r="http://schemas.openxmlformats.org/officeDocument/2006/relationships" ref="X404" r:id="rId399"/>
    <hyperlink xmlns:r="http://schemas.openxmlformats.org/officeDocument/2006/relationships" ref="X405" r:id="rId400"/>
    <hyperlink xmlns:r="http://schemas.openxmlformats.org/officeDocument/2006/relationships" ref="X406" r:id="rId401"/>
    <hyperlink xmlns:r="http://schemas.openxmlformats.org/officeDocument/2006/relationships" ref="X407" r:id="rId402"/>
    <hyperlink xmlns:r="http://schemas.openxmlformats.org/officeDocument/2006/relationships" ref="X408" r:id="rId403"/>
    <hyperlink xmlns:r="http://schemas.openxmlformats.org/officeDocument/2006/relationships" ref="X409" r:id="rId404"/>
    <hyperlink xmlns:r="http://schemas.openxmlformats.org/officeDocument/2006/relationships" ref="X410" r:id="rId405"/>
    <hyperlink xmlns:r="http://schemas.openxmlformats.org/officeDocument/2006/relationships" ref="X411" r:id="rId406"/>
    <hyperlink xmlns:r="http://schemas.openxmlformats.org/officeDocument/2006/relationships" ref="X412" r:id="rId407"/>
    <hyperlink xmlns:r="http://schemas.openxmlformats.org/officeDocument/2006/relationships" ref="X413" r:id="rId408"/>
    <hyperlink xmlns:r="http://schemas.openxmlformats.org/officeDocument/2006/relationships" ref="X414" r:id="rId409"/>
    <hyperlink xmlns:r="http://schemas.openxmlformats.org/officeDocument/2006/relationships" ref="X415" r:id="rId410"/>
    <hyperlink xmlns:r="http://schemas.openxmlformats.org/officeDocument/2006/relationships" ref="X416" r:id="rId411"/>
    <hyperlink xmlns:r="http://schemas.openxmlformats.org/officeDocument/2006/relationships" ref="X417" r:id="rId412"/>
    <hyperlink xmlns:r="http://schemas.openxmlformats.org/officeDocument/2006/relationships" ref="X418" r:id="rId413"/>
    <hyperlink xmlns:r="http://schemas.openxmlformats.org/officeDocument/2006/relationships" ref="X419" r:id="rId414"/>
    <hyperlink xmlns:r="http://schemas.openxmlformats.org/officeDocument/2006/relationships" ref="X420" r:id="rId415"/>
    <hyperlink xmlns:r="http://schemas.openxmlformats.org/officeDocument/2006/relationships" ref="X421" r:id="rId416"/>
    <hyperlink xmlns:r="http://schemas.openxmlformats.org/officeDocument/2006/relationships" ref="X422" r:id="rId417"/>
    <hyperlink xmlns:r="http://schemas.openxmlformats.org/officeDocument/2006/relationships" ref="X423" r:id="rId418"/>
    <hyperlink xmlns:r="http://schemas.openxmlformats.org/officeDocument/2006/relationships" ref="X424" r:id="rId419"/>
    <hyperlink xmlns:r="http://schemas.openxmlformats.org/officeDocument/2006/relationships" ref="X425" r:id="rId420"/>
    <hyperlink xmlns:r="http://schemas.openxmlformats.org/officeDocument/2006/relationships" ref="X426" r:id="rId421"/>
    <hyperlink xmlns:r="http://schemas.openxmlformats.org/officeDocument/2006/relationships" ref="X427" r:id="rId422"/>
    <hyperlink xmlns:r="http://schemas.openxmlformats.org/officeDocument/2006/relationships" ref="X428" r:id="rId423"/>
    <hyperlink xmlns:r="http://schemas.openxmlformats.org/officeDocument/2006/relationships" ref="X429" r:id="rId424"/>
    <hyperlink xmlns:r="http://schemas.openxmlformats.org/officeDocument/2006/relationships" ref="X430" r:id="rId425"/>
    <hyperlink xmlns:r="http://schemas.openxmlformats.org/officeDocument/2006/relationships" ref="X431" r:id="rId426"/>
    <hyperlink xmlns:r="http://schemas.openxmlformats.org/officeDocument/2006/relationships" ref="X432" r:id="rId427"/>
    <hyperlink xmlns:r="http://schemas.openxmlformats.org/officeDocument/2006/relationships" ref="X433" r:id="rId428"/>
    <hyperlink xmlns:r="http://schemas.openxmlformats.org/officeDocument/2006/relationships" ref="X434" r:id="rId429"/>
    <hyperlink xmlns:r="http://schemas.openxmlformats.org/officeDocument/2006/relationships" ref="X435" r:id="rId430"/>
    <hyperlink xmlns:r="http://schemas.openxmlformats.org/officeDocument/2006/relationships" ref="X436" r:id="rId431"/>
    <hyperlink xmlns:r="http://schemas.openxmlformats.org/officeDocument/2006/relationships" ref="X437" r:id="rId432"/>
    <hyperlink xmlns:r="http://schemas.openxmlformats.org/officeDocument/2006/relationships" ref="X438" r:id="rId433"/>
    <hyperlink xmlns:r="http://schemas.openxmlformats.org/officeDocument/2006/relationships" ref="X439" r:id="rId434"/>
    <hyperlink xmlns:r="http://schemas.openxmlformats.org/officeDocument/2006/relationships" ref="X440" r:id="rId435"/>
    <hyperlink xmlns:r="http://schemas.openxmlformats.org/officeDocument/2006/relationships" ref="X441" r:id="rId436"/>
    <hyperlink xmlns:r="http://schemas.openxmlformats.org/officeDocument/2006/relationships" ref="X442" r:id="rId437"/>
    <hyperlink xmlns:r="http://schemas.openxmlformats.org/officeDocument/2006/relationships" ref="X443" r:id="rId438"/>
    <hyperlink xmlns:r="http://schemas.openxmlformats.org/officeDocument/2006/relationships" ref="X444" r:id="rId439"/>
    <hyperlink xmlns:r="http://schemas.openxmlformats.org/officeDocument/2006/relationships" ref="X445" r:id="rId440"/>
    <hyperlink xmlns:r="http://schemas.openxmlformats.org/officeDocument/2006/relationships" ref="X446" r:id="rId441"/>
    <hyperlink xmlns:r="http://schemas.openxmlformats.org/officeDocument/2006/relationships" ref="X447" r:id="rId442"/>
    <hyperlink xmlns:r="http://schemas.openxmlformats.org/officeDocument/2006/relationships" ref="X448" r:id="rId443"/>
    <hyperlink xmlns:r="http://schemas.openxmlformats.org/officeDocument/2006/relationships" ref="X449" r:id="rId444"/>
    <hyperlink xmlns:r="http://schemas.openxmlformats.org/officeDocument/2006/relationships" ref="X450" r:id="rId445"/>
    <hyperlink xmlns:r="http://schemas.openxmlformats.org/officeDocument/2006/relationships" ref="X451" r:id="rId446"/>
    <hyperlink xmlns:r="http://schemas.openxmlformats.org/officeDocument/2006/relationships" ref="X452" r:id="rId447"/>
    <hyperlink xmlns:r="http://schemas.openxmlformats.org/officeDocument/2006/relationships" ref="X453" r:id="rId448"/>
    <hyperlink xmlns:r="http://schemas.openxmlformats.org/officeDocument/2006/relationships" ref="X454" r:id="rId449"/>
    <hyperlink xmlns:r="http://schemas.openxmlformats.org/officeDocument/2006/relationships" ref="X455" r:id="rId450"/>
    <hyperlink xmlns:r="http://schemas.openxmlformats.org/officeDocument/2006/relationships" ref="X456" r:id="rId451"/>
    <hyperlink xmlns:r="http://schemas.openxmlformats.org/officeDocument/2006/relationships" ref="X457" r:id="rId452"/>
    <hyperlink xmlns:r="http://schemas.openxmlformats.org/officeDocument/2006/relationships" ref="X458" r:id="rId453"/>
    <hyperlink xmlns:r="http://schemas.openxmlformats.org/officeDocument/2006/relationships" ref="X459" r:id="rId454"/>
    <hyperlink xmlns:r="http://schemas.openxmlformats.org/officeDocument/2006/relationships" ref="X460" r:id="rId455"/>
    <hyperlink xmlns:r="http://schemas.openxmlformats.org/officeDocument/2006/relationships" ref="X461" r:id="rId456"/>
    <hyperlink xmlns:r="http://schemas.openxmlformats.org/officeDocument/2006/relationships" ref="X462" r:id="rId457"/>
    <hyperlink xmlns:r="http://schemas.openxmlformats.org/officeDocument/2006/relationships" ref="X463" r:id="rId458"/>
    <hyperlink xmlns:r="http://schemas.openxmlformats.org/officeDocument/2006/relationships" ref="X464" r:id="rId459"/>
    <hyperlink xmlns:r="http://schemas.openxmlformats.org/officeDocument/2006/relationships" ref="X465" r:id="rId460"/>
    <hyperlink xmlns:r="http://schemas.openxmlformats.org/officeDocument/2006/relationships" ref="X466" r:id="rId461"/>
    <hyperlink xmlns:r="http://schemas.openxmlformats.org/officeDocument/2006/relationships" ref="X467" r:id="rId462"/>
    <hyperlink xmlns:r="http://schemas.openxmlformats.org/officeDocument/2006/relationships" ref="X468" r:id="rId463"/>
    <hyperlink xmlns:r="http://schemas.openxmlformats.org/officeDocument/2006/relationships" ref="X469" r:id="rId464"/>
    <hyperlink xmlns:r="http://schemas.openxmlformats.org/officeDocument/2006/relationships" ref="X470" r:id="rId465"/>
    <hyperlink xmlns:r="http://schemas.openxmlformats.org/officeDocument/2006/relationships" ref="X471" r:id="rId466"/>
    <hyperlink xmlns:r="http://schemas.openxmlformats.org/officeDocument/2006/relationships" ref="X472" r:id="rId467"/>
    <hyperlink xmlns:r="http://schemas.openxmlformats.org/officeDocument/2006/relationships" ref="X473" r:id="rId468"/>
    <hyperlink xmlns:r="http://schemas.openxmlformats.org/officeDocument/2006/relationships" ref="X474" r:id="rId469"/>
    <hyperlink xmlns:r="http://schemas.openxmlformats.org/officeDocument/2006/relationships" ref="X475" r:id="rId470"/>
    <hyperlink xmlns:r="http://schemas.openxmlformats.org/officeDocument/2006/relationships" ref="X476" r:id="rId471"/>
    <hyperlink xmlns:r="http://schemas.openxmlformats.org/officeDocument/2006/relationships" ref="X477" r:id="rId472"/>
    <hyperlink xmlns:r="http://schemas.openxmlformats.org/officeDocument/2006/relationships" ref="X478" r:id="rId473"/>
    <hyperlink xmlns:r="http://schemas.openxmlformats.org/officeDocument/2006/relationships" ref="X479" r:id="rId474"/>
    <hyperlink xmlns:r="http://schemas.openxmlformats.org/officeDocument/2006/relationships" ref="X480" r:id="rId475"/>
    <hyperlink xmlns:r="http://schemas.openxmlformats.org/officeDocument/2006/relationships" ref="X481" r:id="rId476"/>
    <hyperlink xmlns:r="http://schemas.openxmlformats.org/officeDocument/2006/relationships" ref="X482" r:id="rId477"/>
    <hyperlink xmlns:r="http://schemas.openxmlformats.org/officeDocument/2006/relationships" ref="X483" r:id="rId478"/>
    <hyperlink xmlns:r="http://schemas.openxmlformats.org/officeDocument/2006/relationships" ref="X484" r:id="rId479"/>
    <hyperlink xmlns:r="http://schemas.openxmlformats.org/officeDocument/2006/relationships" ref="X485" r:id="rId480"/>
    <hyperlink xmlns:r="http://schemas.openxmlformats.org/officeDocument/2006/relationships" ref="X486" r:id="rId481"/>
    <hyperlink xmlns:r="http://schemas.openxmlformats.org/officeDocument/2006/relationships" ref="X487" r:id="rId482"/>
    <hyperlink xmlns:r="http://schemas.openxmlformats.org/officeDocument/2006/relationships" ref="X488" r:id="rId483"/>
    <hyperlink xmlns:r="http://schemas.openxmlformats.org/officeDocument/2006/relationships" ref="X489" r:id="rId484"/>
    <hyperlink xmlns:r="http://schemas.openxmlformats.org/officeDocument/2006/relationships" ref="X490" r:id="rId485"/>
    <hyperlink xmlns:r="http://schemas.openxmlformats.org/officeDocument/2006/relationships" ref="X491" r:id="rId486"/>
    <hyperlink xmlns:r="http://schemas.openxmlformats.org/officeDocument/2006/relationships" ref="X492" r:id="rId487"/>
    <hyperlink xmlns:r="http://schemas.openxmlformats.org/officeDocument/2006/relationships" ref="X493" r:id="rId488"/>
    <hyperlink xmlns:r="http://schemas.openxmlformats.org/officeDocument/2006/relationships" ref="X494" r:id="rId489"/>
    <hyperlink xmlns:r="http://schemas.openxmlformats.org/officeDocument/2006/relationships" ref="X495" r:id="rId490"/>
    <hyperlink xmlns:r="http://schemas.openxmlformats.org/officeDocument/2006/relationships" ref="X496" r:id="rId491"/>
    <hyperlink xmlns:r="http://schemas.openxmlformats.org/officeDocument/2006/relationships" ref="X497" r:id="rId492"/>
    <hyperlink xmlns:r="http://schemas.openxmlformats.org/officeDocument/2006/relationships" ref="X498" r:id="rId493"/>
    <hyperlink xmlns:r="http://schemas.openxmlformats.org/officeDocument/2006/relationships" ref="X499" r:id="rId494"/>
    <hyperlink xmlns:r="http://schemas.openxmlformats.org/officeDocument/2006/relationships" ref="X500" r:id="rId495"/>
    <hyperlink xmlns:r="http://schemas.openxmlformats.org/officeDocument/2006/relationships" ref="X501" r:id="rId496"/>
    <hyperlink xmlns:r="http://schemas.openxmlformats.org/officeDocument/2006/relationships" ref="X502" r:id="rId497"/>
    <hyperlink xmlns:r="http://schemas.openxmlformats.org/officeDocument/2006/relationships" ref="X503" r:id="rId498"/>
    <hyperlink xmlns:r="http://schemas.openxmlformats.org/officeDocument/2006/relationships" ref="X504" r:id="rId499"/>
    <hyperlink xmlns:r="http://schemas.openxmlformats.org/officeDocument/2006/relationships" ref="X505" r:id="rId500"/>
    <hyperlink xmlns:r="http://schemas.openxmlformats.org/officeDocument/2006/relationships" ref="X506" r:id="rId501"/>
    <hyperlink xmlns:r="http://schemas.openxmlformats.org/officeDocument/2006/relationships" ref="X507" r:id="rId502"/>
    <hyperlink xmlns:r="http://schemas.openxmlformats.org/officeDocument/2006/relationships" ref="X508" r:id="rId503"/>
    <hyperlink xmlns:r="http://schemas.openxmlformats.org/officeDocument/2006/relationships" ref="X509" r:id="rId504"/>
    <hyperlink xmlns:r="http://schemas.openxmlformats.org/officeDocument/2006/relationships" ref="X510" r:id="rId505"/>
    <hyperlink xmlns:r="http://schemas.openxmlformats.org/officeDocument/2006/relationships" ref="X511" r:id="rId506"/>
    <hyperlink xmlns:r="http://schemas.openxmlformats.org/officeDocument/2006/relationships" ref="X512" r:id="rId507"/>
    <hyperlink xmlns:r="http://schemas.openxmlformats.org/officeDocument/2006/relationships" ref="X513" r:id="rId508"/>
    <hyperlink xmlns:r="http://schemas.openxmlformats.org/officeDocument/2006/relationships" ref="X514" r:id="rId509"/>
    <hyperlink xmlns:r="http://schemas.openxmlformats.org/officeDocument/2006/relationships" ref="X515" r:id="rId510"/>
    <hyperlink xmlns:r="http://schemas.openxmlformats.org/officeDocument/2006/relationships" ref="X516" r:id="rId511"/>
    <hyperlink xmlns:r="http://schemas.openxmlformats.org/officeDocument/2006/relationships" ref="X517" r:id="rId512"/>
    <hyperlink xmlns:r="http://schemas.openxmlformats.org/officeDocument/2006/relationships" ref="X518" r:id="rId513"/>
    <hyperlink xmlns:r="http://schemas.openxmlformats.org/officeDocument/2006/relationships" ref="X519" r:id="rId514"/>
    <hyperlink xmlns:r="http://schemas.openxmlformats.org/officeDocument/2006/relationships" ref="X520" r:id="rId515"/>
    <hyperlink xmlns:r="http://schemas.openxmlformats.org/officeDocument/2006/relationships" ref="X521" r:id="rId516"/>
    <hyperlink xmlns:r="http://schemas.openxmlformats.org/officeDocument/2006/relationships" ref="X522" r:id="rId517"/>
    <hyperlink xmlns:r="http://schemas.openxmlformats.org/officeDocument/2006/relationships" ref="X523" r:id="rId518"/>
    <hyperlink xmlns:r="http://schemas.openxmlformats.org/officeDocument/2006/relationships" ref="X524" r:id="rId519"/>
    <hyperlink xmlns:r="http://schemas.openxmlformats.org/officeDocument/2006/relationships" ref="X525" r:id="rId520"/>
    <hyperlink xmlns:r="http://schemas.openxmlformats.org/officeDocument/2006/relationships" ref="X526" r:id="rId521"/>
    <hyperlink xmlns:r="http://schemas.openxmlformats.org/officeDocument/2006/relationships" ref="X527" r:id="rId522"/>
    <hyperlink xmlns:r="http://schemas.openxmlformats.org/officeDocument/2006/relationships" ref="X528" r:id="rId523"/>
    <hyperlink xmlns:r="http://schemas.openxmlformats.org/officeDocument/2006/relationships" ref="X529" r:id="rId524"/>
    <hyperlink xmlns:r="http://schemas.openxmlformats.org/officeDocument/2006/relationships" ref="X530" r:id="rId525"/>
    <hyperlink xmlns:r="http://schemas.openxmlformats.org/officeDocument/2006/relationships" ref="X531" r:id="rId526"/>
    <hyperlink xmlns:r="http://schemas.openxmlformats.org/officeDocument/2006/relationships" ref="X532" r:id="rId527"/>
    <hyperlink xmlns:r="http://schemas.openxmlformats.org/officeDocument/2006/relationships" ref="X533" r:id="rId528"/>
    <hyperlink xmlns:r="http://schemas.openxmlformats.org/officeDocument/2006/relationships" ref="X534" r:id="rId529"/>
    <hyperlink xmlns:r="http://schemas.openxmlformats.org/officeDocument/2006/relationships" ref="X535" r:id="rId530"/>
    <hyperlink xmlns:r="http://schemas.openxmlformats.org/officeDocument/2006/relationships" ref="X536" r:id="rId531"/>
    <hyperlink xmlns:r="http://schemas.openxmlformats.org/officeDocument/2006/relationships" ref="X537" r:id="rId532"/>
    <hyperlink xmlns:r="http://schemas.openxmlformats.org/officeDocument/2006/relationships" ref="X538" r:id="rId533"/>
    <hyperlink xmlns:r="http://schemas.openxmlformats.org/officeDocument/2006/relationships" ref="X539" r:id="rId534"/>
    <hyperlink xmlns:r="http://schemas.openxmlformats.org/officeDocument/2006/relationships" ref="X540" r:id="rId535"/>
    <hyperlink xmlns:r="http://schemas.openxmlformats.org/officeDocument/2006/relationships" ref="X541" r:id="rId536"/>
    <hyperlink xmlns:r="http://schemas.openxmlformats.org/officeDocument/2006/relationships" ref="X542" r:id="rId537"/>
    <hyperlink xmlns:r="http://schemas.openxmlformats.org/officeDocument/2006/relationships" ref="X543" r:id="rId538"/>
    <hyperlink xmlns:r="http://schemas.openxmlformats.org/officeDocument/2006/relationships" ref="X544" r:id="rId539"/>
    <hyperlink xmlns:r="http://schemas.openxmlformats.org/officeDocument/2006/relationships" ref="X545" r:id="rId540"/>
    <hyperlink xmlns:r="http://schemas.openxmlformats.org/officeDocument/2006/relationships" ref="X546" r:id="rId541"/>
    <hyperlink xmlns:r="http://schemas.openxmlformats.org/officeDocument/2006/relationships" ref="X547" r:id="rId542"/>
    <hyperlink xmlns:r="http://schemas.openxmlformats.org/officeDocument/2006/relationships" ref="X548" r:id="rId543"/>
    <hyperlink xmlns:r="http://schemas.openxmlformats.org/officeDocument/2006/relationships" ref="X549" r:id="rId544"/>
    <hyperlink xmlns:r="http://schemas.openxmlformats.org/officeDocument/2006/relationships" ref="X550" r:id="rId545"/>
    <hyperlink xmlns:r="http://schemas.openxmlformats.org/officeDocument/2006/relationships" ref="X551" r:id="rId546"/>
    <hyperlink xmlns:r="http://schemas.openxmlformats.org/officeDocument/2006/relationships" ref="X552" r:id="rId547"/>
    <hyperlink xmlns:r="http://schemas.openxmlformats.org/officeDocument/2006/relationships" ref="X553" r:id="rId548"/>
    <hyperlink xmlns:r="http://schemas.openxmlformats.org/officeDocument/2006/relationships" ref="X554" r:id="rId549"/>
    <hyperlink xmlns:r="http://schemas.openxmlformats.org/officeDocument/2006/relationships" ref="X555" r:id="rId550"/>
    <hyperlink xmlns:r="http://schemas.openxmlformats.org/officeDocument/2006/relationships" ref="X556" r:id="rId551"/>
    <hyperlink xmlns:r="http://schemas.openxmlformats.org/officeDocument/2006/relationships" ref="X557" r:id="rId552"/>
    <hyperlink xmlns:r="http://schemas.openxmlformats.org/officeDocument/2006/relationships" ref="X558" r:id="rId553"/>
    <hyperlink xmlns:r="http://schemas.openxmlformats.org/officeDocument/2006/relationships" ref="X559" r:id="rId554"/>
    <hyperlink xmlns:r="http://schemas.openxmlformats.org/officeDocument/2006/relationships" ref="X560" r:id="rId555"/>
    <hyperlink xmlns:r="http://schemas.openxmlformats.org/officeDocument/2006/relationships" ref="X561" r:id="rId556"/>
    <hyperlink xmlns:r="http://schemas.openxmlformats.org/officeDocument/2006/relationships" ref="X562" r:id="rId557"/>
    <hyperlink xmlns:r="http://schemas.openxmlformats.org/officeDocument/2006/relationships" ref="X563" r:id="rId558"/>
    <hyperlink xmlns:r="http://schemas.openxmlformats.org/officeDocument/2006/relationships" ref="X564" r:id="rId559"/>
    <hyperlink xmlns:r="http://schemas.openxmlformats.org/officeDocument/2006/relationships" ref="X565" r:id="rId560"/>
    <hyperlink xmlns:r="http://schemas.openxmlformats.org/officeDocument/2006/relationships" ref="X566" r:id="rId561"/>
    <hyperlink xmlns:r="http://schemas.openxmlformats.org/officeDocument/2006/relationships" ref="X567" r:id="rId562"/>
    <hyperlink xmlns:r="http://schemas.openxmlformats.org/officeDocument/2006/relationships" ref="X568" r:id="rId563"/>
    <hyperlink xmlns:r="http://schemas.openxmlformats.org/officeDocument/2006/relationships" ref="X569" r:id="rId564"/>
    <hyperlink xmlns:r="http://schemas.openxmlformats.org/officeDocument/2006/relationships" ref="X570" r:id="rId565"/>
    <hyperlink xmlns:r="http://schemas.openxmlformats.org/officeDocument/2006/relationships" ref="X571" r:id="rId566"/>
    <hyperlink xmlns:r="http://schemas.openxmlformats.org/officeDocument/2006/relationships" ref="X572" r:id="rId567"/>
    <hyperlink xmlns:r="http://schemas.openxmlformats.org/officeDocument/2006/relationships" ref="X573" r:id="rId568"/>
    <hyperlink xmlns:r="http://schemas.openxmlformats.org/officeDocument/2006/relationships" ref="X574" r:id="rId569"/>
    <hyperlink xmlns:r="http://schemas.openxmlformats.org/officeDocument/2006/relationships" ref="X575" r:id="rId570"/>
    <hyperlink xmlns:r="http://schemas.openxmlformats.org/officeDocument/2006/relationships" ref="X576" r:id="rId571"/>
    <hyperlink xmlns:r="http://schemas.openxmlformats.org/officeDocument/2006/relationships" ref="X577" r:id="rId572"/>
    <hyperlink xmlns:r="http://schemas.openxmlformats.org/officeDocument/2006/relationships" ref="X578" r:id="rId573"/>
    <hyperlink xmlns:r="http://schemas.openxmlformats.org/officeDocument/2006/relationships" ref="X579" r:id="rId574"/>
    <hyperlink xmlns:r="http://schemas.openxmlformats.org/officeDocument/2006/relationships" ref="X580" r:id="rId575"/>
    <hyperlink xmlns:r="http://schemas.openxmlformats.org/officeDocument/2006/relationships" ref="X581" r:id="rId576"/>
    <hyperlink xmlns:r="http://schemas.openxmlformats.org/officeDocument/2006/relationships" ref="X582" r:id="rId577"/>
    <hyperlink xmlns:r="http://schemas.openxmlformats.org/officeDocument/2006/relationships" ref="X583" r:id="rId578"/>
    <hyperlink xmlns:r="http://schemas.openxmlformats.org/officeDocument/2006/relationships" ref="X584" r:id="rId579"/>
    <hyperlink xmlns:r="http://schemas.openxmlformats.org/officeDocument/2006/relationships" ref="X585" r:id="rId580"/>
    <hyperlink xmlns:r="http://schemas.openxmlformats.org/officeDocument/2006/relationships" ref="X586" r:id="rId581"/>
    <hyperlink xmlns:r="http://schemas.openxmlformats.org/officeDocument/2006/relationships" ref="X587" r:id="rId582"/>
    <hyperlink xmlns:r="http://schemas.openxmlformats.org/officeDocument/2006/relationships" ref="X588" r:id="rId583"/>
    <hyperlink xmlns:r="http://schemas.openxmlformats.org/officeDocument/2006/relationships" ref="X589" r:id="rId584"/>
    <hyperlink xmlns:r="http://schemas.openxmlformats.org/officeDocument/2006/relationships" ref="X590" r:id="rId585"/>
    <hyperlink xmlns:r="http://schemas.openxmlformats.org/officeDocument/2006/relationships" ref="X591" r:id="rId586"/>
    <hyperlink xmlns:r="http://schemas.openxmlformats.org/officeDocument/2006/relationships" ref="X592" r:id="rId58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U612"/>
  <sheetViews>
    <sheetView zoomScale="85" workbookViewId="0">
      <pane xSplit="5" ySplit="6" topLeftCell="F7" activePane="bottomRight" state="frozen"/>
      <selection pane="topRight"/>
      <selection pane="bottomLeft"/>
      <selection pane="bottomRight" activeCell="A1" sqref="A1"/>
    </sheetView>
  </sheetViews>
  <sheetFormatPr baseColWidth="8" defaultRowHeight="15"/>
  <cols>
    <col width="8" customWidth="1" min="1" max="1"/>
    <col width="12"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 width="18" customWidth="1" min="62" max="62"/>
    <col width="18" customWidth="1" min="63" max="63"/>
    <col width="18" customWidth="1" min="64" max="64"/>
    <col width="18" customWidth="1" min="65" max="65"/>
    <col width="18" customWidth="1" min="66" max="66"/>
    <col width="18" customWidth="1" min="67" max="67"/>
    <col width="18" customWidth="1" min="68" max="68"/>
    <col width="18" customWidth="1" min="69" max="69"/>
    <col width="18" customWidth="1" min="70" max="70"/>
    <col width="18" customWidth="1" min="71" max="71"/>
    <col width="18" customWidth="1" min="72" max="72"/>
    <col width="18" customWidth="1" min="73" max="73"/>
    <col width="18" customWidth="1" min="74" max="74"/>
    <col width="18" customWidth="1" min="75" max="75"/>
    <col width="18" customWidth="1" min="76" max="76"/>
    <col width="18" customWidth="1" min="77" max="77"/>
    <col width="18" customWidth="1" min="78" max="78"/>
    <col width="18" customWidth="1" min="79" max="79"/>
    <col width="18" customWidth="1" min="80" max="80"/>
    <col width="18" customWidth="1" min="81" max="81"/>
    <col width="18" customWidth="1" min="82" max="82"/>
    <col width="18" customWidth="1" min="83" max="83"/>
    <col width="18" customWidth="1" min="84" max="84"/>
    <col width="18" customWidth="1" min="85" max="85"/>
    <col width="18" customWidth="1" min="86" max="86"/>
    <col width="18" customWidth="1" min="87" max="87"/>
    <col width="18" customWidth="1" min="88" max="88"/>
    <col width="18" customWidth="1" min="89" max="89"/>
    <col width="18" customWidth="1" min="90" max="90"/>
    <col width="18" customWidth="1" min="91" max="91"/>
    <col width="18" customWidth="1" min="92" max="92"/>
    <col width="18" customWidth="1" min="93" max="93"/>
    <col width="18" customWidth="1" min="94" max="94"/>
    <col width="18" customWidth="1" min="95" max="95"/>
    <col width="18" customWidth="1" min="96" max="96"/>
    <col width="18" customWidth="1" min="97" max="97"/>
    <col width="18" customWidth="1" min="98" max="98"/>
    <col width="18" customWidth="1" min="99" max="99"/>
    <col width="18" customWidth="1" min="100" max="100"/>
    <col width="18" customWidth="1" min="101" max="101"/>
    <col width="18" customWidth="1" min="102" max="102"/>
    <col width="18" customWidth="1" min="103" max="103"/>
    <col width="18" customWidth="1" min="104" max="104"/>
    <col width="18" customWidth="1" min="105" max="105"/>
    <col width="18" customWidth="1" min="106" max="106"/>
    <col width="18" customWidth="1" min="107" max="107"/>
    <col width="18" customWidth="1" min="108" max="108"/>
    <col width="18" customWidth="1" min="109" max="109"/>
    <col width="18" customWidth="1" min="110" max="110"/>
    <col width="18" customWidth="1" min="111" max="111"/>
    <col width="18" customWidth="1" min="112" max="112"/>
    <col width="18" customWidth="1" min="113" max="113"/>
    <col width="18" customWidth="1" min="114" max="114"/>
    <col width="18" customWidth="1" min="115" max="115"/>
    <col width="18" customWidth="1" min="116" max="116"/>
    <col width="18" customWidth="1" min="117" max="117"/>
    <col width="18" customWidth="1" min="118" max="118"/>
    <col width="18" customWidth="1" min="119" max="119"/>
    <col width="18" customWidth="1" min="120" max="120"/>
    <col width="18" customWidth="1" min="121" max="121"/>
    <col width="18" customWidth="1" min="122" max="122"/>
    <col width="18" customWidth="1" min="123" max="123"/>
    <col width="18" customWidth="1" min="124" max="124"/>
    <col width="18" customWidth="1" min="125" max="125"/>
    <col width="18" customWidth="1" min="126" max="126"/>
    <col width="18" customWidth="1" min="127" max="127"/>
    <col width="18" customWidth="1" min="128" max="128"/>
    <col width="18" customWidth="1" min="129" max="129"/>
    <col width="18" customWidth="1" min="130" max="130"/>
    <col width="18" customWidth="1" min="131" max="131"/>
    <col width="18" customWidth="1" min="132" max="132"/>
    <col width="18" customWidth="1" min="133" max="133"/>
    <col width="18" customWidth="1" min="134" max="134"/>
    <col width="18" customWidth="1" min="135" max="135"/>
    <col width="18" customWidth="1" min="136" max="136"/>
    <col width="18" customWidth="1" min="137" max="137"/>
    <col width="18" customWidth="1" min="138" max="138"/>
    <col width="18" customWidth="1" min="139" max="139"/>
    <col width="18" customWidth="1" min="140" max="140"/>
    <col width="18" customWidth="1" min="141" max="141"/>
    <col width="18" customWidth="1" min="142" max="142"/>
    <col width="18" customWidth="1" min="143" max="143"/>
    <col width="18" customWidth="1" min="144" max="144"/>
    <col width="18" customWidth="1" min="145" max="145"/>
    <col width="18" customWidth="1" min="146" max="146"/>
    <col width="18" customWidth="1" min="147" max="147"/>
    <col width="18" customWidth="1" min="148" max="148"/>
    <col width="18" customWidth="1" min="149" max="149"/>
    <col width="18" customWidth="1" min="150" max="150"/>
    <col width="18" customWidth="1" min="151" max="151"/>
    <col width="18" customWidth="1" min="152" max="152"/>
    <col width="18" customWidth="1" min="153" max="153"/>
    <col width="18" customWidth="1" min="154" max="154"/>
    <col width="18" customWidth="1" min="155" max="155"/>
    <col width="18" customWidth="1" min="156" max="156"/>
    <col width="18" customWidth="1" min="157" max="157"/>
    <col width="18" customWidth="1" min="158" max="158"/>
    <col width="18" customWidth="1" min="159" max="159"/>
    <col width="18" customWidth="1" min="160" max="160"/>
    <col width="45" customWidth="1" min="161" max="161"/>
    <col width="45" customWidth="1" min="162" max="162"/>
    <col width="45" customWidth="1" min="163" max="163"/>
    <col width="45" customWidth="1" min="164" max="164"/>
    <col width="45" customWidth="1" min="165" max="165"/>
    <col width="45" customWidth="1" min="166" max="166"/>
    <col width="45" customWidth="1" min="167" max="167"/>
    <col width="45" customWidth="1" min="168" max="168"/>
    <col width="45" customWidth="1" min="169" max="169"/>
    <col width="45" customWidth="1" min="170" max="170"/>
    <col width="45" customWidth="1" min="171" max="171"/>
    <col width="45" customWidth="1" min="172" max="172"/>
    <col width="45" customWidth="1" min="173" max="173"/>
    <col width="45" customWidth="1" min="174" max="174"/>
    <col width="45" customWidth="1" min="175" max="175"/>
    <col width="45" customWidth="1" min="176" max="176"/>
    <col width="45" customWidth="1" min="177" max="177"/>
  </cols>
  <sheetData>
    <row r="1" ht="24" customHeight="1">
      <c r="A1" s="1" t="inlineStr">
        <is>
          <t>Raw Data — everything we hold on each person</t>
        </is>
      </c>
      <c r="Q1" s="7" t="inlineStr">
        <is>
          <t>◂ Start</t>
        </is>
      </c>
    </row>
    <row r="2" ht="30" customHeight="1">
      <c r="A2" s="2" t="inlineStr">
        <is>
          <t>Sheet 3 · Same order as Talent Mapping, top down. HRIS, the survey count and per-person summary, the manager talent-mapping files, KRAs in full and the CARBON Mapping Master. People in the source files but not yet in the architecture are at the bottom. Personal fields are never carried. ◂ Back takes you to the person's row on Talent Mapping.</t>
        </is>
      </c>
    </row>
    <row r="3">
      <c r="A3" s="3" t="inlineStr">
        <is>
          <t>IRIS · Job Architecture &amp; Job Design · Final v1.15 · October 2026 · Internal — Confidential · HR only</t>
        </is>
      </c>
    </row>
    <row r="4" ht="30" customHeight="1">
      <c r="A4" s="8" t="inlineStr">
        <is>
          <t>Section colours: each column group has its own header colour and a matching light tint</t>
        </is>
      </c>
      <c r="E4" s="9" t="inlineStr">
        <is>
          <t>Changed vs current</t>
        </is>
      </c>
      <c r="G4" s="10" t="inlineStr">
        <is>
          <t>Level up</t>
        </is>
      </c>
      <c r="H4" s="11" t="inlineStr">
        <is>
          <t>Level down · pay &amp; title protected</t>
        </is>
      </c>
      <c r="J4" s="12" t="inlineStr">
        <is>
          <t>Newly mapped</t>
        </is>
      </c>
      <c r="K4" s="13" t="inlineStr">
        <is>
          <t>Player-Coach · B+ · C+</t>
        </is>
      </c>
      <c r="M4" s="14" t="inlineStr">
        <is>
          <t>RED = critical input needed · says what and who</t>
        </is>
      </c>
      <c r="P4" s="15" t="inlineStr">
        <is>
          <t>YELLOW = to complete or edit</t>
        </is>
      </c>
      <c r="R4" s="16" t="inlineStr">
        <is>
          <t>GREY = pay · set later</t>
        </is>
      </c>
    </row>
    <row r="5" ht="30" customHeight="1">
      <c r="A5" s="6" t="inlineStr">
        <is>
          <t>PERSON</t>
        </is>
      </c>
      <c r="B5" s="6" t="n"/>
      <c r="C5" s="6" t="inlineStr">
        <is>
          <t>PERSON &amp; ROLE — BEFORE → AFTER</t>
        </is>
      </c>
      <c r="D5" s="6" t="n"/>
      <c r="E5" s="6" t="n"/>
      <c r="F5" s="6" t="n"/>
      <c r="G5" s="6" t="n"/>
      <c r="H5" s="6" t="n"/>
      <c r="I5" s="6" t="n"/>
      <c r="J5" s="6" t="n"/>
      <c r="K5" s="6" t="n"/>
      <c r="L5" s="6" t="n"/>
      <c r="M5" s="6" t="n"/>
      <c r="N5" s="6" t="n"/>
      <c r="O5" s="6" t="n"/>
      <c r="P5" s="45" t="inlineStr">
        <is>
          <t>MARKET STANDARD FOR THIS ROLE &amp; LEVEL</t>
        </is>
      </c>
      <c r="Q5" s="45" t="n"/>
      <c r="R5" s="45" t="n"/>
      <c r="S5" s="45" t="n"/>
      <c r="T5" s="45" t="n"/>
      <c r="U5" s="45" t="n"/>
      <c r="V5" s="45" t="n"/>
      <c r="W5" s="45" t="n"/>
      <c r="X5" s="45" t="n"/>
      <c r="Y5" s="46" t="inlineStr">
        <is>
          <t>RAW DATA — as received · HRIS · KRAs · manager talent mapping; bracket = source file. Survey answers are counted, not quoted</t>
        </is>
      </c>
      <c r="Z5" s="46" t="n"/>
      <c r="AA5" s="46" t="n"/>
      <c r="AB5" s="46" t="n"/>
      <c r="AC5" s="46" t="n"/>
      <c r="AD5" s="46" t="n"/>
      <c r="AE5" s="46" t="n"/>
      <c r="AF5" s="46" t="n"/>
      <c r="AG5" s="46" t="n"/>
      <c r="AH5" s="46" t="n"/>
      <c r="AI5" s="46" t="n"/>
      <c r="AJ5" s="46" t="n"/>
      <c r="AK5" s="46" t="n"/>
      <c r="AL5" s="46" t="n"/>
      <c r="AM5" s="46" t="n"/>
      <c r="AN5" s="46" t="n"/>
      <c r="AO5" s="46" t="n"/>
      <c r="AP5" s="46" t="n"/>
      <c r="AQ5" s="46" t="n"/>
      <c r="AR5" s="46" t="n"/>
      <c r="AS5" s="46" t="n"/>
      <c r="AT5" s="46" t="n"/>
      <c r="AU5" s="46" t="n"/>
      <c r="AV5" s="46" t="n"/>
      <c r="AW5" s="46" t="n"/>
      <c r="AX5" s="46" t="n"/>
      <c r="AY5" s="46" t="n"/>
      <c r="AZ5" s="46" t="n"/>
      <c r="BA5" s="46" t="n"/>
      <c r="BB5" s="46" t="n"/>
      <c r="BC5" s="46" t="n"/>
      <c r="BD5" s="46" t="n"/>
      <c r="BE5" s="46" t="n"/>
      <c r="BF5" s="46" t="n"/>
      <c r="BG5" s="46" t="n"/>
      <c r="BH5" s="46" t="n"/>
      <c r="BI5" s="46" t="n"/>
      <c r="BJ5" s="46" t="n"/>
      <c r="BK5" s="46" t="n"/>
      <c r="BL5" s="46" t="n"/>
      <c r="BM5" s="46" t="n"/>
      <c r="BN5" s="46" t="n"/>
      <c r="BO5" s="46" t="n"/>
      <c r="BP5" s="46" t="n"/>
      <c r="BQ5" s="46" t="n"/>
      <c r="BR5" s="46" t="n"/>
      <c r="BS5" s="46" t="n"/>
      <c r="BT5" s="46" t="n"/>
      <c r="BU5" s="46" t="n"/>
      <c r="BV5" s="46" t="n"/>
      <c r="BW5" s="46" t="n"/>
      <c r="BX5" s="46" t="n"/>
      <c r="BY5" s="46" t="n"/>
      <c r="BZ5" s="46" t="n"/>
      <c r="CA5" s="46" t="n"/>
      <c r="CB5" s="46" t="n"/>
      <c r="CC5" s="46" t="n"/>
      <c r="CD5" s="46" t="n"/>
      <c r="CE5" s="46" t="n"/>
      <c r="CF5" s="46" t="n"/>
      <c r="CG5" s="46" t="n"/>
      <c r="CH5" s="46" t="n"/>
      <c r="CI5" s="46" t="n"/>
      <c r="CJ5" s="46" t="n"/>
      <c r="CK5" s="46" t="n"/>
      <c r="CL5" s="46" t="n"/>
      <c r="CM5" s="46" t="n"/>
      <c r="CN5" s="46" t="n"/>
      <c r="CO5" s="46" t="n"/>
      <c r="CP5" s="46" t="n"/>
      <c r="CQ5" s="46" t="n"/>
      <c r="CR5" s="46" t="n"/>
      <c r="CS5" s="46" t="n"/>
      <c r="CT5" s="46" t="n"/>
      <c r="CU5" s="46" t="n"/>
      <c r="CV5" s="46" t="n"/>
      <c r="CW5" s="46" t="n"/>
      <c r="CX5" s="46" t="n"/>
      <c r="CY5" s="46" t="n"/>
      <c r="CZ5" s="46" t="n"/>
      <c r="DA5" s="46" t="n"/>
      <c r="DB5" s="46" t="n"/>
      <c r="DC5" s="46" t="n"/>
      <c r="DD5" s="46" t="n"/>
      <c r="DE5" s="46" t="n"/>
      <c r="DF5" s="46" t="n"/>
      <c r="DG5" s="46" t="n"/>
      <c r="DH5" s="46" t="n"/>
      <c r="DI5" s="46" t="n"/>
      <c r="DJ5" s="46" t="n"/>
      <c r="DK5" s="46" t="n"/>
      <c r="DL5" s="46" t="n"/>
      <c r="DM5" s="46" t="n"/>
      <c r="DN5" s="46" t="n"/>
      <c r="DO5" s="46" t="n"/>
      <c r="DP5" s="46" t="n"/>
      <c r="DQ5" s="46" t="n"/>
      <c r="DR5" s="46" t="n"/>
      <c r="DS5" s="46" t="n"/>
      <c r="DT5" s="46" t="n"/>
      <c r="DU5" s="46" t="n"/>
      <c r="DV5" s="46" t="n"/>
      <c r="DW5" s="46" t="n"/>
      <c r="DX5" s="46" t="n"/>
      <c r="DY5" s="46" t="n"/>
      <c r="DZ5" s="46" t="n"/>
      <c r="EA5" s="46" t="n"/>
      <c r="EB5" s="46" t="n"/>
      <c r="EC5" s="46" t="n"/>
      <c r="ED5" s="46" t="n"/>
      <c r="EE5" s="46" t="n"/>
      <c r="EF5" s="46" t="n"/>
      <c r="EG5" s="46" t="n"/>
      <c r="EH5" s="46" t="n"/>
      <c r="EI5" s="46" t="n"/>
      <c r="EJ5" s="46" t="n"/>
      <c r="EK5" s="46" t="n"/>
      <c r="EL5" s="46" t="n"/>
      <c r="EM5" s="46" t="n"/>
      <c r="EN5" s="46" t="n"/>
      <c r="EO5" s="46" t="n"/>
      <c r="EP5" s="46" t="n"/>
      <c r="EQ5" s="46" t="n"/>
      <c r="ER5" s="46" t="n"/>
      <c r="ES5" s="46" t="n"/>
      <c r="ET5" s="46" t="n"/>
      <c r="EU5" s="46" t="n"/>
      <c r="EV5" s="46" t="n"/>
      <c r="EW5" s="17" t="inlineStr">
        <is>
          <t>ADDED IN v1.13 — CARBON Mapping Master columns v1.12.2 did not carry · values restored from the source files</t>
        </is>
      </c>
      <c r="EX5" s="17" t="n"/>
      <c r="EY5" s="17" t="n"/>
      <c r="EZ5" s="17" t="n"/>
      <c r="FA5" s="17" t="n"/>
      <c r="FB5" s="17" t="n"/>
      <c r="FC5" s="17" t="n"/>
      <c r="FD5" s="17" t="n"/>
      <c r="FE5" s="47" t="inlineStr">
        <is>
          <t>KRAs IN FULL &amp; WHAT THEY SHARED IN THE SURVEY</t>
        </is>
      </c>
      <c r="FF5" s="47" t="n"/>
      <c r="FG5" s="47" t="n"/>
      <c r="FH5" s="47" t="n"/>
      <c r="FI5" s="47" t="n"/>
      <c r="FJ5" s="47" t="n"/>
      <c r="FK5" s="47" t="n"/>
      <c r="FL5" s="47" t="n"/>
      <c r="FM5" s="47" t="n"/>
      <c r="FN5" s="47" t="n"/>
      <c r="FO5" s="47" t="n"/>
      <c r="FP5" s="47" t="n"/>
      <c r="FQ5" s="47" t="n"/>
      <c r="FR5" s="47" t="n"/>
      <c r="FS5" s="47" t="n"/>
      <c r="FT5" s="47" t="n"/>
      <c r="FU5" s="47" t="n"/>
    </row>
    <row r="6" ht="60" customHeight="1">
      <c r="A6" s="22" t="inlineStr">
        <is>
          <t>◂ Back</t>
        </is>
      </c>
      <c r="B6" s="22" t="inlineStr">
        <is>
          <t>Status</t>
        </is>
      </c>
      <c r="C6" s="22" t="inlineStr">
        <is>
          <t>Business</t>
        </is>
      </c>
      <c r="D6" s="22" t="inlineStr">
        <is>
          <t>Emp ID</t>
        </is>
      </c>
      <c r="E6" s="22" t="inlineStr">
        <is>
          <t>Employee name</t>
        </is>
      </c>
      <c r="F6" s="22" t="inlineStr">
        <is>
          <t>Department</t>
        </is>
      </c>
      <c r="G6" s="22" t="inlineStr">
        <is>
          <t>Current designation</t>
        </is>
      </c>
      <c r="H6" s="22" t="inlineStr">
        <is>
          <t>Final designation</t>
        </is>
      </c>
      <c r="I6" s="22" t="inlineStr">
        <is>
          <t>Current level</t>
        </is>
      </c>
      <c r="J6" s="22" t="inlineStr">
        <is>
          <t>FINAL LEVEL</t>
        </is>
      </c>
      <c r="K6" s="22" t="inlineStr">
        <is>
          <t>Change vs current</t>
        </is>
      </c>
      <c r="L6" s="22" t="inlineStr">
        <is>
          <t>Job family</t>
        </is>
      </c>
      <c r="M6" s="22" t="inlineStr">
        <is>
          <t>Sub-family</t>
        </is>
      </c>
      <c r="N6" s="22" t="inlineStr">
        <is>
          <t>ADDITIONAL INPUTS NEEDED — what, and who provides it</t>
        </is>
      </c>
      <c r="O6" s="22" t="inlineStr">
        <is>
          <t>Survey questions answered · of 20</t>
        </is>
      </c>
      <c r="P6" s="48" t="inlineStr">
        <is>
          <t>Radford / Mercer code</t>
        </is>
      </c>
      <c r="Q6" s="48" t="inlineStr">
        <is>
          <t>Pave level</t>
        </is>
      </c>
      <c r="R6" s="48" t="inlineStr">
        <is>
          <t>SFIA 9</t>
        </is>
      </c>
      <c r="S6" s="48" t="inlineStr">
        <is>
          <t>IRIS experience guide</t>
        </is>
      </c>
      <c r="T6" s="48" t="inlineStr">
        <is>
          <t>Market experience · Accenture · Infosys</t>
        </is>
      </c>
      <c r="U6" s="48" t="inlineStr">
        <is>
          <t>Typical market title based on competitor/market benchmark</t>
        </is>
      </c>
      <c r="V6" s="48" t="inlineStr">
        <is>
          <t>Competitors, regtech &amp; SaaS leaders</t>
        </is>
      </c>
      <c r="W6" s="48" t="inlineStr">
        <is>
          <t>Professional standard</t>
        </is>
      </c>
      <c r="X6" s="48" t="inlineStr">
        <is>
          <t>Required capability · Core · Future · Functional · Leadership</t>
        </is>
      </c>
      <c r="Y6" s="49" t="inlineStr">
        <is>
          <t>Sr No</t>
        </is>
      </c>
      <c r="Z6" s="49" t="inlineStr">
        <is>
          <t>Emp Id · 2</t>
        </is>
      </c>
      <c r="AA6" s="49" t="inlineStr">
        <is>
          <t>Employee Category</t>
        </is>
      </c>
      <c r="AB6" s="49" t="inlineStr">
        <is>
          <t>Employee Status</t>
        </is>
      </c>
      <c r="AC6" s="49" t="inlineStr">
        <is>
          <t>Employee Name · 2</t>
        </is>
      </c>
      <c r="AD6" s="49" t="inlineStr">
        <is>
          <t>DoJ</t>
        </is>
      </c>
      <c r="AE6" s="49" t="inlineStr">
        <is>
          <t>Designation</t>
        </is>
      </c>
      <c r="AF6" s="49" t="inlineStr">
        <is>
          <t>Highest Qualifications</t>
        </is>
      </c>
      <c r="AG6" s="49" t="inlineStr">
        <is>
          <t>Reporting Manager</t>
        </is>
      </c>
      <c r="AH6" s="49" t="inlineStr">
        <is>
          <t>N levels</t>
        </is>
      </c>
      <c r="AI6" s="49" t="inlineStr">
        <is>
          <t>Manager or Individual Contributor</t>
        </is>
      </c>
      <c r="AJ6" s="49" t="inlineStr">
        <is>
          <t>EXP Outside IRIS</t>
        </is>
      </c>
      <c r="AK6" s="49" t="inlineStr">
        <is>
          <t>EXP Current IRIS</t>
        </is>
      </c>
      <c r="AL6" s="49" t="inlineStr">
        <is>
          <t>Business Line</t>
        </is>
      </c>
      <c r="AM6" s="49" t="inlineStr">
        <is>
          <t>Product/Others</t>
        </is>
      </c>
      <c r="AN6" s="49" t="inlineStr">
        <is>
          <t>Department · 2</t>
        </is>
      </c>
      <c r="AO6" s="49" t="inlineStr">
        <is>
          <t>Sub Functional Categorization</t>
        </is>
      </c>
      <c r="AP6" s="49" t="inlineStr">
        <is>
          <t>Core Development</t>
        </is>
      </c>
      <c r="AQ6" s="49" t="inlineStr">
        <is>
          <t>Functional Categorization</t>
        </is>
      </c>
      <c r="AR6" s="49" t="inlineStr">
        <is>
          <t>Skill Sets</t>
        </is>
      </c>
      <c r="AS6" s="49" t="inlineStr">
        <is>
          <t>Technical/Non-technical</t>
        </is>
      </c>
      <c r="AT6" s="49" t="inlineStr">
        <is>
          <t>Total Question Answered</t>
        </is>
      </c>
      <c r="AU6" s="49" t="inlineStr">
        <is>
          <t>Status</t>
        </is>
      </c>
      <c r="AV6" s="49" t="inlineStr">
        <is>
          <t>[CARBON Mapping Master] Emp Id</t>
        </is>
      </c>
      <c r="AW6" s="49" t="inlineStr">
        <is>
          <t>[CARBON Mapping Master] Employee Name</t>
        </is>
      </c>
      <c r="AX6" s="49" t="inlineStr">
        <is>
          <t>[CARBON Mapping Master] Department</t>
        </is>
      </c>
      <c r="AY6" s="49" t="inlineStr">
        <is>
          <t>[CARBON Mapping Master] Role Family</t>
        </is>
      </c>
      <c r="AZ6" s="49" t="inlineStr">
        <is>
          <t>[CARBON Mapping Master] Sub-Family</t>
        </is>
      </c>
      <c r="BA6" s="49" t="inlineStr">
        <is>
          <t>[CARBON Mapping Master] Recommended Role Family</t>
        </is>
      </c>
      <c r="BB6" s="49" t="inlineStr">
        <is>
          <t>[CARBON Mapping Master] Recommended Sub-Family</t>
        </is>
      </c>
      <c r="BC6" s="49" t="inlineStr">
        <is>
          <t>[CARBON Mapping Master] Category</t>
        </is>
      </c>
      <c r="BD6" s="49" t="inlineStr">
        <is>
          <t>[CARBON Mapping Master] Current Reporting Manager</t>
        </is>
      </c>
      <c r="BE6" s="49" t="inlineStr">
        <is>
          <t>[CARBON Mapping Master] New Reporting Manager</t>
        </is>
      </c>
      <c r="BF6" s="49" t="inlineStr">
        <is>
          <t>[CARBON Mapping Master] Change in RM?</t>
        </is>
      </c>
      <c r="BG6" s="49" t="inlineStr">
        <is>
          <t>[CARBON Mapping Master] Current Designation</t>
        </is>
      </c>
      <c r="BH6" s="49" t="inlineStr">
        <is>
          <t>[CARBON Mapping Master] New Designation</t>
        </is>
      </c>
      <c r="BI6" s="49" t="inlineStr">
        <is>
          <t>[CARBON Mapping Master] Change in Designation?</t>
        </is>
      </c>
      <c r="BJ6" s="49" t="inlineStr">
        <is>
          <t>[CARBON Mapping Master] Current Span · Mgrs only</t>
        </is>
      </c>
      <c r="BK6" s="49" t="inlineStr">
        <is>
          <t>[CARBON Mapping Master] Current Span — FTE</t>
        </is>
      </c>
      <c r="BL6" s="49" t="inlineStr">
        <is>
          <t>[CARBON Mapping Master] Current Span — Consult/Intern</t>
        </is>
      </c>
      <c r="BM6" s="49" t="inlineStr">
        <is>
          <t>[CARBON Mapping Master] Current Span Flag</t>
        </is>
      </c>
      <c r="BN6" s="49" t="inlineStr">
        <is>
          <t>[CARBON Mapping Master] New Span · Mgrs only</t>
        </is>
      </c>
      <c r="BO6" s="49" t="inlineStr">
        <is>
          <t>[CARBON Mapping Master] New Span — FTE</t>
        </is>
      </c>
      <c r="BP6" s="49" t="inlineStr">
        <is>
          <t>[CARBON Mapping Master] New Span — Consult/Intern</t>
        </is>
      </c>
      <c r="BQ6" s="49" t="inlineStr">
        <is>
          <t>[CARBON Mapping Master] New Span Flag</t>
        </is>
      </c>
      <c r="BR6" s="49" t="inlineStr">
        <is>
          <t>[CARBON Mapping Master] Change in Span?</t>
        </is>
      </c>
      <c r="BS6" s="49" t="inlineStr">
        <is>
          <t>[CARBON Mapping Master] Career Level — Current</t>
        </is>
      </c>
      <c r="BT6" s="49" t="inlineStr">
        <is>
          <t>[CARBON Mapping Master] Career Level — New</t>
        </is>
      </c>
      <c r="BU6" s="49" t="inlineStr">
        <is>
          <t>[CARBON Mapping Master] Career Level Source</t>
        </is>
      </c>
      <c r="BV6" s="49" t="inlineStr">
        <is>
          <t>[CARBON Mapping Master] KRAs Submitted</t>
        </is>
      </c>
      <c r="BW6" s="49" t="inlineStr">
        <is>
          <t>[CARBON Mapping Master] Acual Work</t>
        </is>
      </c>
      <c r="BX6" s="49" t="inlineStr">
        <is>
          <t>[CARBON Mapping Master] Region / Operating Area</t>
        </is>
      </c>
      <c r="BY6" s="49" t="inlineStr">
        <is>
          <t>[CARBON Talent Mapping · Raw] Rating Manager</t>
        </is>
      </c>
      <c r="BZ6" s="49" t="inlineStr">
        <is>
          <t>[CARBON Talent Mapping · Raw] Emp Id</t>
        </is>
      </c>
      <c r="CA6" s="49" t="inlineStr">
        <is>
          <t>[CARBON Talent Mapping · Raw] Employee Category</t>
        </is>
      </c>
      <c r="CB6" s="49" t="inlineStr">
        <is>
          <t>[CARBON Talent Mapping · Raw] Employee Status</t>
        </is>
      </c>
      <c r="CC6" s="49" t="inlineStr">
        <is>
          <t>[CARBON Talent Mapping · Raw] Employee Name</t>
        </is>
      </c>
      <c r="CD6" s="49" t="inlineStr">
        <is>
          <t>[CARBON Talent Mapping · Raw] DoJ</t>
        </is>
      </c>
      <c r="CE6" s="49" t="inlineStr">
        <is>
          <t>[CARBON Talent Mapping · Raw] Designation</t>
        </is>
      </c>
      <c r="CF6" s="49" t="inlineStr">
        <is>
          <t>[CARBON Talent Mapping · Raw] Actual JD</t>
        </is>
      </c>
      <c r="CG6" s="49" t="inlineStr">
        <is>
          <t>[CARBON Talent Mapping · Raw] Role Family</t>
        </is>
      </c>
      <c r="CH6" s="49" t="inlineStr">
        <is>
          <t>[CARBON Talent Mapping · Raw] Sub-Family</t>
        </is>
      </c>
      <c r="CI6" s="49" t="inlineStr">
        <is>
          <t>[CARBON Talent Mapping · Raw] Job Title</t>
        </is>
      </c>
      <c r="CJ6" s="49" t="inlineStr">
        <is>
          <t>[CARBON Talent Mapping · Raw] Career Level</t>
        </is>
      </c>
      <c r="CK6" s="49" t="inlineStr">
        <is>
          <t>[CARBON Talent Mapping · Raw] Reporting Manager</t>
        </is>
      </c>
      <c r="CL6" s="49" t="inlineStr">
        <is>
          <t>[CARBON Talent Mapping · Raw] N levels</t>
        </is>
      </c>
      <c r="CM6" s="49" t="inlineStr">
        <is>
          <t>[CARBON Talent Mapping · Raw] Manager or Individual Contributor or Player cum Coach</t>
        </is>
      </c>
      <c r="CN6" s="49" t="inlineStr">
        <is>
          <t>[CARBON Talent Mapping · Raw] Business Line</t>
        </is>
      </c>
      <c r="CO6" s="49" t="inlineStr">
        <is>
          <t>[CARBON Talent Mapping · Raw] Department</t>
        </is>
      </c>
      <c r="CP6" s="49" t="inlineStr">
        <is>
          <t>[CARBON Talent Mapping · Raw] Total Experience</t>
        </is>
      </c>
      <c r="CQ6" s="49" t="inlineStr">
        <is>
          <t>[CARBON Talent Mapping · Raw] Correct Designation Based on Work</t>
        </is>
      </c>
      <c r="CR6" s="49" t="inlineStr">
        <is>
          <t>[CARBON Talent Mapping · Raw] Is a structural Change needed for better future · If yes, What changes</t>
        </is>
      </c>
      <c r="CS6" s="49" t="inlineStr">
        <is>
          <t>[CARBON Talent Mapping · Raw] Quarterly Performance Rating</t>
        </is>
      </c>
      <c r="CT6" s="49" t="inlineStr">
        <is>
          <t>[CARBON Talent Mapping · Raw] Potential Rating · High/Med/Low</t>
        </is>
      </c>
      <c r="CU6" s="49" t="inlineStr">
        <is>
          <t>[CARBON Talent Mapping · Raw] 9-Box Placement</t>
        </is>
      </c>
      <c r="CV6" s="49" t="inlineStr">
        <is>
          <t>[CARBON Talent Mapping · Raw] Ready for Promotion</t>
        </is>
      </c>
      <c r="CW6" s="49" t="inlineStr">
        <is>
          <t>[CARBON Talent Mapping · Raw] Fast Tracker · Y/N</t>
        </is>
      </c>
      <c r="CX6" s="49" t="inlineStr">
        <is>
          <t>[CARBON Talent Mapping · Raw] Critical Role · Y/N</t>
        </is>
      </c>
      <c r="CY6" s="49" t="inlineStr">
        <is>
          <t>[CARBON Talent Mapping · Raw] Name of Successor Identified</t>
        </is>
      </c>
      <c r="CZ6" s="49" t="inlineStr">
        <is>
          <t>[CARBON Talent Mapping · Raw] Training Needs identified for current Role</t>
        </is>
      </c>
      <c r="DA6" s="49" t="inlineStr">
        <is>
          <t>[CARBON Talent Mapping · Raw] Training Needs identified if · If promotion Ready</t>
        </is>
      </c>
      <c r="DB6" s="49" t="inlineStr">
        <is>
          <t>[CARBON Talent Mapping · Raw] Comments</t>
        </is>
      </c>
      <c r="DC6" s="49" t="inlineStr">
        <is>
          <t>[Talent Mapping · iFile / iDEAL / DataTech / Database Content] Rating Manager</t>
        </is>
      </c>
      <c r="DD6" s="49" t="inlineStr">
        <is>
          <t>[Talent Mapping · iFile / iDEAL / DataTech / Database Content] Emp Id</t>
        </is>
      </c>
      <c r="DE6" s="49" t="inlineStr">
        <is>
          <t>[Talent Mapping · iFile / iDEAL / DataTech / Database Content] Employee Category</t>
        </is>
      </c>
      <c r="DF6" s="49" t="inlineStr">
        <is>
          <t>[Talent Mapping · iFile / iDEAL / DataTech / Database Content] Employee Status</t>
        </is>
      </c>
      <c r="DG6" s="49" t="inlineStr">
        <is>
          <t>[Talent Mapping · iFile / iDEAL / DataTech / Database Content] Employee Name</t>
        </is>
      </c>
      <c r="DH6" s="49" t="inlineStr">
        <is>
          <t>[Talent Mapping · iFile / iDEAL / DataTech / Database Content] DoJ</t>
        </is>
      </c>
      <c r="DI6" s="49" t="inlineStr">
        <is>
          <t>[Talent Mapping · iFile / iDEAL / DataTech / Database Content] Designation</t>
        </is>
      </c>
      <c r="DJ6" s="49" t="inlineStr">
        <is>
          <t>[Talent Mapping · iFile / iDEAL / DataTech / Database Content] Role Family</t>
        </is>
      </c>
      <c r="DK6" s="49" t="inlineStr">
        <is>
          <t>[Talent Mapping · iFile / iDEAL / DataTech / Database Content] Sub-Family</t>
        </is>
      </c>
      <c r="DL6" s="49" t="inlineStr">
        <is>
          <t>[Talent Mapping · iFile / iDEAL / DataTech / Database Content] Job Title</t>
        </is>
      </c>
      <c r="DM6" s="49" t="inlineStr">
        <is>
          <t>[Talent Mapping · iFile / iDEAL / DataTech / Database Content] Career Level</t>
        </is>
      </c>
      <c r="DN6" s="49" t="inlineStr">
        <is>
          <t>[Talent Mapping · iFile / iDEAL / DataTech / Database Content] Highest Qualifications</t>
        </is>
      </c>
      <c r="DO6" s="49" t="inlineStr">
        <is>
          <t>[Talent Mapping · iFile / iDEAL / DataTech / Database Content] Reporting Manager</t>
        </is>
      </c>
      <c r="DP6" s="49" t="inlineStr">
        <is>
          <t>[Talent Mapping · iFile / iDEAL / DataTech / Database Content] N levels</t>
        </is>
      </c>
      <c r="DQ6" s="49" t="inlineStr">
        <is>
          <t>[Talent Mapping · iFile / iDEAL / DataTech / Database Content] Manager or Individual Contributor</t>
        </is>
      </c>
      <c r="DR6" s="49" t="inlineStr">
        <is>
          <t>[Talent Mapping · iFile / iDEAL / DataTech / Database Content] EXP Outside IRIS</t>
        </is>
      </c>
      <c r="DS6" s="49" t="inlineStr">
        <is>
          <t>[Talent Mapping · iFile / iDEAL / DataTech / Database Content] EXP Current IRIS</t>
        </is>
      </c>
      <c r="DT6" s="49" t="inlineStr">
        <is>
          <t>[Talent Mapping · iFile / iDEAL / DataTech / Database Content] Total Experience</t>
        </is>
      </c>
      <c r="DU6" s="49" t="inlineStr">
        <is>
          <t>[Talent Mapping · iFile / iDEAL / DataTech / Database Content] Avg Exp in IRIS</t>
        </is>
      </c>
      <c r="DV6" s="49" t="inlineStr">
        <is>
          <t>[Talent Mapping · iFile / iDEAL / DataTech / Database Content] Business Line</t>
        </is>
      </c>
      <c r="DW6" s="49" t="inlineStr">
        <is>
          <t>[Talent Mapping · iFile / iDEAL / DataTech / Database Content] Product/Others</t>
        </is>
      </c>
      <c r="DX6" s="49" t="inlineStr">
        <is>
          <t>[Talent Mapping · iFile / iDEAL / DataTech / Database Content] Department</t>
        </is>
      </c>
      <c r="DY6" s="49" t="inlineStr">
        <is>
          <t>[Talent Mapping · iFile / iDEAL / DataTech / Database Content] Sub Functional Categorization</t>
        </is>
      </c>
      <c r="DZ6" s="49" t="inlineStr">
        <is>
          <t>[Talent Mapping · iFile / iDEAL / DataTech / Database Content] Core Development</t>
        </is>
      </c>
      <c r="EA6" s="49" t="inlineStr">
        <is>
          <t>[Talent Mapping · iFile / iDEAL / DataTech / Database Content] Functional Categorization</t>
        </is>
      </c>
      <c r="EB6" s="49" t="inlineStr">
        <is>
          <t>[Talent Mapping · iFile / iDEAL / DataTech / Database Content] Skill Sets</t>
        </is>
      </c>
      <c r="EC6" s="49" t="inlineStr">
        <is>
          <t>[Talent Mapping · iFile / iDEAL / DataTech / Database Content] Technical/Non-technical</t>
        </is>
      </c>
      <c r="ED6" s="49" t="inlineStr">
        <is>
          <t>[Talent Mapping · iFile / iDEAL / DataTech / Database Content] Location</t>
        </is>
      </c>
      <c r="EE6" s="49" t="inlineStr">
        <is>
          <t>[Talent Mapping · iFile / iDEAL / DataTech / Database Content] Annual KRAs · objective Measurable Minimum 5 - Self</t>
        </is>
      </c>
      <c r="EF6" s="49" t="inlineStr">
        <is>
          <t>[Talent Mapping · iFile / iDEAL / DataTech / Database Content] Annual KRAs · objective Measurable Minimum 5 - set by Manager</t>
        </is>
      </c>
      <c r="EG6" s="49" t="inlineStr">
        <is>
          <t>[Talent Mapping · iFile / iDEAL / DataTech / Database Content] Quarterly KRAs</t>
        </is>
      </c>
      <c r="EH6" s="49" t="inlineStr">
        <is>
          <t>[Talent Mapping · iFile / iDEAL / DataTech / Database Content] Tentative Rating for Q1 · Scale 1-5</t>
        </is>
      </c>
      <c r="EI6" s="49" t="inlineStr">
        <is>
          <t>[Talent Mapping · iFile / iDEAL / DataTech / Database Content] Last Performance Discussion date</t>
        </is>
      </c>
      <c r="EJ6" s="49" t="inlineStr">
        <is>
          <t>[Talent Mapping · iFile / iDEAL / DataTech / Database Content] Correct Designation</t>
        </is>
      </c>
      <c r="EK6" s="49" t="inlineStr">
        <is>
          <t>[Talent Mapping · iFile / iDEAL / DataTech / Database Content] Is a structural Change needed for better future</t>
        </is>
      </c>
      <c r="EL6" s="49" t="inlineStr">
        <is>
          <t>[Talent Mapping · iFile / iDEAL / DataTech / Database Content] Quarterly Performance Rating</t>
        </is>
      </c>
      <c r="EM6" s="49" t="inlineStr">
        <is>
          <t>[Talent Mapping · iFile / iDEAL / DataTech / Database Content] Potential Rating · High/Med/Low</t>
        </is>
      </c>
      <c r="EN6" s="49" t="inlineStr">
        <is>
          <t>[Talent Mapping · iFile / iDEAL / DataTech / Database Content] 9-Box Placement</t>
        </is>
      </c>
      <c r="EO6" s="49" t="inlineStr">
        <is>
          <t>[Talent Mapping · iFile / iDEAL / DataTech / Database Content] Ready for Promotion</t>
        </is>
      </c>
      <c r="EP6" s="49" t="inlineStr">
        <is>
          <t>[Talent Mapping · iFile / iDEAL / DataTech / Database Content] Fast Tracker · Y/N</t>
        </is>
      </c>
      <c r="EQ6" s="49" t="inlineStr">
        <is>
          <t>[Talent Mapping · iFile / iDEAL / DataTech / Database Content] Critical Role · Y/N</t>
        </is>
      </c>
      <c r="ER6" s="49" t="inlineStr">
        <is>
          <t>[Talent Mapping · iFile / iDEAL / DataTech / Database Content] Name of Successor Identified</t>
        </is>
      </c>
      <c r="ES6" s="49" t="inlineStr">
        <is>
          <t>[Talent Mapping · iFile / iDEAL / DataTech / Database Content] Training Needs identified for current Role</t>
        </is>
      </c>
      <c r="ET6" s="49" t="inlineStr">
        <is>
          <t>[Talent Mapping · iFile / iDEAL / DataTech / Database Content] Training Needs identified if · If promotion Ready</t>
        </is>
      </c>
      <c r="EU6" s="49" t="inlineStr">
        <is>
          <t>[Talent Mapping · iFile / iDEAL / DataTech / Database Content] Projects and Products</t>
        </is>
      </c>
      <c r="EV6" s="49" t="inlineStr">
        <is>
          <t>[Talent Mapping · iFile / iDEAL / DataTech / Database Content] Projects/Delivery/client Assigned</t>
        </is>
      </c>
      <c r="EW6" s="23" t="inlineStr">
        <is>
          <t>[CARBON Mapping Master] Comments</t>
        </is>
      </c>
      <c r="EX6" s="23" t="inlineStr">
        <is>
          <t>[CARBON Mapping Master] Role Mandate</t>
        </is>
      </c>
      <c r="EY6" s="23" t="inlineStr">
        <is>
          <t>[CARBON Mapping Master] Reported Deliverables &amp; Responsibilities</t>
        </is>
      </c>
      <c r="EZ6" s="23" t="inlineStr">
        <is>
          <t>[CARBON Mapping Master] Current Capabilities</t>
        </is>
      </c>
      <c r="FA6" s="23" t="inlineStr">
        <is>
          <t>[CARBON Mapping Master] Development Priorities &amp; Learning Needs</t>
        </is>
      </c>
      <c r="FB6" s="23" t="inlineStr">
        <is>
          <t>[CARBON Mapping Master] Challenges &amp; Support Required</t>
        </is>
      </c>
      <c r="FC6" s="23" t="inlineStr">
        <is>
          <t>Values restored from the source files · field names</t>
        </is>
      </c>
      <c r="FD6" s="23" t="inlineStr">
        <is>
          <t>Emp ID in the source files · where different</t>
        </is>
      </c>
      <c r="FE6" s="50" t="inlineStr">
        <is>
          <t>KRAs set by manager · annual</t>
        </is>
      </c>
      <c r="FF6" s="50" t="inlineStr">
        <is>
          <t>KRAs · quarterly</t>
        </is>
      </c>
      <c r="FG6" s="50" t="inlineStr">
        <is>
          <t>KRAs · self-reported annual</t>
        </is>
      </c>
      <c r="FH6" s="50" t="inlineStr">
        <is>
          <t>Q1 tentative rating · scale 1-5</t>
        </is>
      </c>
      <c r="FI6" s="50" t="inlineStr">
        <is>
          <t>Actual JD · from manager</t>
        </is>
      </c>
      <c r="FJ6" s="50" t="inlineStr">
        <is>
          <t>KRA status</t>
        </is>
      </c>
      <c r="FK6" s="50" t="inlineStr">
        <is>
          <t>KRA source</t>
        </is>
      </c>
      <c r="FL6" s="50" t="inlineStr">
        <is>
          <t>Survey questions answered · of 20</t>
        </is>
      </c>
      <c r="FM6" s="50" t="inlineStr">
        <is>
          <t>Role mandate &amp; core purpose · as shared</t>
        </is>
      </c>
      <c r="FN6" s="50" t="inlineStr">
        <is>
          <t>Deliverables, responsibilities &amp; accountability · as shared</t>
        </is>
      </c>
      <c r="FO6" s="50" t="inlineStr">
        <is>
          <t>Capabilities, tools, workload &amp; way of working · as shared</t>
        </is>
      </c>
      <c r="FP6" s="50" t="inlineStr">
        <is>
          <t>Development priorities &amp; learning needs · as shared</t>
        </is>
      </c>
      <c r="FQ6" s="50" t="inlineStr">
        <is>
          <t>Challenges &amp; support required · as shared</t>
        </is>
      </c>
      <c r="FR6" s="50" t="inlineStr">
        <is>
          <t>Survey &amp; KRA evidence used for each rating</t>
        </is>
      </c>
      <c r="FS6" s="50" t="inlineStr">
        <is>
          <t>Survey themes for this role · role-holders</t>
        </is>
      </c>
      <c r="FT6" s="50" t="inlineStr">
        <is>
          <t>Learning topics named in the survey</t>
        </is>
      </c>
      <c r="FU6" s="50" t="inlineStr">
        <is>
          <t>Survey status</t>
        </is>
      </c>
    </row>
    <row r="7" ht="90" customHeight="1">
      <c r="A7" s="51" t="inlineStr">
        <is>
          <t>◂ Back</t>
        </is>
      </c>
      <c r="B7" s="29" t="inlineStr">
        <is>
          <t>Mapped</t>
        </is>
      </c>
      <c r="C7" s="28" t="inlineStr">
        <is>
          <t>Corporate</t>
        </is>
      </c>
      <c r="D7" s="29" t="inlineStr">
        <is>
          <t>IRIS0001</t>
        </is>
      </c>
      <c r="E7" s="29" t="inlineStr">
        <is>
          <t>Balachandran K</t>
        </is>
      </c>
      <c r="F7" s="29" t="inlineStr">
        <is>
          <t>Management</t>
        </is>
      </c>
      <c r="G7" s="29" t="inlineStr">
        <is>
          <t>CEO</t>
        </is>
      </c>
      <c r="H7" s="29" t="inlineStr">
        <is>
          <t>Chief Executive Officer</t>
        </is>
      </c>
      <c r="I7" s="29" t="inlineStr">
        <is>
          <t>Not in current mapping files</t>
        </is>
      </c>
      <c r="J7" s="29" t="inlineStr">
        <is>
          <t>E2</t>
        </is>
      </c>
      <c r="K7" s="29" t="inlineStr">
        <is>
          <t>● Newly mapped</t>
        </is>
      </c>
      <c r="L7" s="29" t="inlineStr">
        <is>
          <t>Enterprise Leadership</t>
        </is>
      </c>
      <c r="M7" s="29" t="inlineStr">
        <is>
          <t>Chief Executive</t>
        </is>
      </c>
      <c r="N7" s="29" t="inlineStr">
        <is>
          <t>• Survey response or KRAs describing the work · nothing on file — Employee + manager</t>
        </is>
      </c>
      <c r="O7" s="29" t="n">
        <v>0</v>
      </c>
      <c r="P7" s="28" t="inlineStr">
        <is>
          <t>E6</t>
        </is>
      </c>
      <c r="Q7" s="29" t="inlineStr">
        <is>
          <t>C-Level · CEO</t>
        </is>
      </c>
      <c r="R7" s="29" t="inlineStr">
        <is>
          <t>7</t>
        </is>
      </c>
      <c r="S7" s="29" t="inlineStr">
        <is>
          <t>20+ yrs</t>
        </is>
      </c>
      <c r="T7" s="29" t="inlineStr">
        <is>
          <t>—</t>
        </is>
      </c>
      <c r="U7" s="29" t="inlineStr">
        <is>
          <t>Chief Executive Officer</t>
        </is>
      </c>
      <c r="V7" s="29" t="inlineStr">
        <is>
          <t>IRIS Vs Market Benchmark — Aon Radford / Mercer executive codes: E6 CEO · IRIS Vs Competitor Benchmark — regtech / SaaS executive titles: CEO</t>
        </is>
      </c>
      <c r="W7" s="29" t="inlineStr">
        <is>
          <t>Aon Radford executive levels E1–E6; Mercer ET1–ET3; Korn Ferry Leadership Architect</t>
        </is>
      </c>
      <c r="X7" s="29" t="inlineStr">
        <is>
          <t>Core 5 · Future 5 · Functional 4 · Leadership 5</t>
        </is>
      </c>
      <c r="Y7" s="52" t="n">
        <v>1</v>
      </c>
      <c r="Z7" s="53" t="inlineStr">
        <is>
          <t>IRIS0001</t>
        </is>
      </c>
      <c r="AA7" s="53" t="inlineStr">
        <is>
          <t>Employee</t>
        </is>
      </c>
      <c r="AB7" s="53" t="inlineStr">
        <is>
          <t>Active</t>
        </is>
      </c>
      <c r="AC7" s="53" t="inlineStr">
        <is>
          <t>Balachandran K</t>
        </is>
      </c>
      <c r="AD7" s="54" t="n">
        <v>38200</v>
      </c>
      <c r="AE7" s="53" t="inlineStr">
        <is>
          <t>CEO</t>
        </is>
      </c>
      <c r="AF7" s="53" t="inlineStr">
        <is>
          <t>MBA</t>
        </is>
      </c>
      <c r="AG7" s="53" t="inlineStr">
        <is>
          <t>-</t>
        </is>
      </c>
      <c r="AH7" s="53" t="inlineStr">
        <is>
          <t>N</t>
        </is>
      </c>
      <c r="AI7" s="53" t="inlineStr">
        <is>
          <t>Manager</t>
        </is>
      </c>
      <c r="AJ7" s="53" t="inlineStr">
        <is>
          <t>10 years, 0 months, 0 days</t>
        </is>
      </c>
      <c r="AK7" s="53" t="inlineStr">
        <is>
          <t>22 years, 0 months, 24 days</t>
        </is>
      </c>
      <c r="AL7" s="53" t="inlineStr">
        <is>
          <t>Corporate</t>
        </is>
      </c>
      <c r="AM7" s="53" t="inlineStr">
        <is>
          <t>Corporate</t>
        </is>
      </c>
      <c r="AN7" s="53" t="inlineStr">
        <is>
          <t>Management</t>
        </is>
      </c>
      <c r="AO7" s="53" t="inlineStr">
        <is>
          <t>Management</t>
        </is>
      </c>
      <c r="AP7" s="53" t="inlineStr">
        <is>
          <t>No</t>
        </is>
      </c>
      <c r="AQ7" s="53" t="inlineStr">
        <is>
          <t>Management</t>
        </is>
      </c>
      <c r="AR7" s="53" t="inlineStr">
        <is>
          <t>Management</t>
        </is>
      </c>
      <c r="AS7" s="53" t="inlineStr">
        <is>
          <t>Non-technical</t>
        </is>
      </c>
      <c r="AT7" s="53" t="n">
        <v>0</v>
      </c>
      <c r="AU7" s="53" t="inlineStr">
        <is>
          <t>E-Top management</t>
        </is>
      </c>
      <c r="AV7" s="53" t="n"/>
      <c r="AW7" s="53" t="n"/>
      <c r="AX7" s="53" t="n"/>
      <c r="AY7" s="53" t="n"/>
      <c r="AZ7" s="53" t="n"/>
      <c r="BA7" s="53" t="n"/>
      <c r="BB7" s="53" t="n"/>
      <c r="BC7" s="53" t="n"/>
      <c r="BD7" s="53" t="n"/>
      <c r="BE7" s="53" t="n"/>
      <c r="BF7" s="53" t="n"/>
      <c r="BG7" s="53" t="n"/>
      <c r="BH7" s="53" t="n"/>
      <c r="BI7" s="53" t="n"/>
      <c r="BJ7" s="53" t="n"/>
      <c r="BK7" s="53" t="n"/>
      <c r="BL7" s="53" t="n"/>
      <c r="BM7" s="53" t="n"/>
      <c r="BN7" s="53" t="n"/>
      <c r="BO7" s="53" t="n"/>
      <c r="BP7" s="53" t="n"/>
      <c r="BQ7" s="53" t="n"/>
      <c r="BR7" s="53" t="n"/>
      <c r="BS7" s="53" t="n"/>
      <c r="BT7" s="53" t="n"/>
      <c r="BU7" s="53" t="n"/>
      <c r="BV7" s="53" t="n"/>
      <c r="BW7" s="53" t="n"/>
      <c r="BX7" s="53" t="n"/>
      <c r="BY7" s="53" t="n"/>
      <c r="BZ7" s="53" t="n"/>
      <c r="CA7" s="53" t="n"/>
      <c r="CB7" s="53" t="n"/>
      <c r="CC7" s="53" t="n"/>
      <c r="CD7" s="53" t="n"/>
      <c r="CE7" s="53" t="n"/>
      <c r="CF7" s="53" t="n"/>
      <c r="CG7" s="53" t="n"/>
      <c r="CH7" s="53" t="n"/>
      <c r="CI7" s="53" t="n"/>
      <c r="CJ7" s="53" t="n"/>
      <c r="CK7" s="53" t="n"/>
      <c r="CL7" s="53" t="n"/>
      <c r="CM7" s="53" t="n"/>
      <c r="CN7" s="53" t="n"/>
      <c r="CO7" s="53" t="n"/>
      <c r="CP7" s="53" t="n"/>
      <c r="CQ7" s="53" t="n"/>
      <c r="CR7" s="53" t="n"/>
      <c r="CS7" s="53" t="n"/>
      <c r="CT7" s="53" t="n"/>
      <c r="CU7" s="53" t="n"/>
      <c r="CV7" s="53" t="n"/>
      <c r="CW7" s="53" t="n"/>
      <c r="CX7" s="53" t="n"/>
      <c r="CY7" s="53" t="n"/>
      <c r="CZ7" s="53" t="n"/>
      <c r="DA7" s="53" t="n"/>
      <c r="DB7" s="53" t="n"/>
      <c r="DC7" s="53" t="n"/>
      <c r="DD7" s="53" t="n"/>
      <c r="DE7" s="53" t="n"/>
      <c r="DF7" s="53" t="n"/>
      <c r="DG7" s="53" t="n"/>
      <c r="DH7" s="53" t="n"/>
      <c r="DI7" s="53" t="n"/>
      <c r="DJ7" s="53" t="n"/>
      <c r="DK7" s="53" t="n"/>
      <c r="DL7" s="53" t="n"/>
      <c r="DM7" s="53" t="n"/>
      <c r="DN7" s="53" t="n"/>
      <c r="DO7" s="53" t="n"/>
      <c r="DP7" s="53" t="n"/>
      <c r="DQ7" s="53" t="n"/>
      <c r="DR7" s="53" t="n"/>
      <c r="DS7" s="53" t="n"/>
      <c r="DT7" s="53" t="n"/>
      <c r="DU7" s="53" t="n"/>
      <c r="DV7" s="53" t="n"/>
      <c r="DW7" s="53" t="n"/>
      <c r="DX7" s="53" t="n"/>
      <c r="DY7" s="53" t="n"/>
      <c r="DZ7" s="53" t="n"/>
      <c r="EA7" s="53" t="n"/>
      <c r="EB7" s="53" t="n"/>
      <c r="EC7" s="53" t="n"/>
      <c r="ED7" s="53" t="n"/>
      <c r="EE7" s="53" t="n"/>
      <c r="EF7" s="53" t="n"/>
      <c r="EG7" s="53" t="n"/>
      <c r="EH7" s="53" t="n"/>
      <c r="EI7" s="53" t="n"/>
      <c r="EJ7" s="53" t="n"/>
      <c r="EK7" s="53" t="n"/>
      <c r="EL7" s="53" t="n"/>
      <c r="EM7" s="53" t="n"/>
      <c r="EN7" s="53" t="n"/>
      <c r="EO7" s="53" t="n"/>
      <c r="EP7" s="53" t="n"/>
      <c r="EQ7" s="53" t="n"/>
      <c r="ER7" s="53" t="n"/>
      <c r="ES7" s="53" t="n"/>
      <c r="ET7" s="53" t="n"/>
      <c r="EU7" s="53" t="n"/>
      <c r="EV7" s="53" t="n"/>
      <c r="EW7" s="52" t="n"/>
      <c r="EX7" s="53" t="n"/>
      <c r="EY7" s="53" t="n"/>
      <c r="EZ7" s="53" t="n"/>
      <c r="FA7" s="53" t="n"/>
      <c r="FB7" s="53" t="n"/>
      <c r="FC7" s="53" t="n"/>
      <c r="FD7" s="53" t="n"/>
      <c r="FE7" s="55" t="inlineStr">
        <is>
          <t>KRAs not received · manager to supply</t>
        </is>
      </c>
      <c r="FF7" s="56" t="n"/>
      <c r="FG7" s="56" t="n"/>
      <c r="FH7" s="56" t="n"/>
      <c r="FI7" s="56" t="n"/>
      <c r="FJ7" s="32" t="inlineStr">
        <is>
          <t>KRAs not received · manager to supply</t>
        </is>
      </c>
      <c r="FK7" s="56" t="n"/>
      <c r="FL7" s="56" t="n">
        <v>0</v>
      </c>
      <c r="FM7" s="32" t="inlineStr">
        <is>
          <t>No survey response on file</t>
        </is>
      </c>
      <c r="FN7" s="56" t="inlineStr">
        <is>
          <t>—</t>
        </is>
      </c>
      <c r="FO7" s="56" t="inlineStr">
        <is>
          <t>—</t>
        </is>
      </c>
      <c r="FP7" s="56" t="inlineStr">
        <is>
          <t>—</t>
        </is>
      </c>
      <c r="FQ7" s="56" t="inlineStr">
        <is>
          <t>—</t>
        </is>
      </c>
      <c r="FR7" s="56"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FS7" s="56" t="n"/>
      <c r="FT7" s="56" t="n"/>
      <c r="FU7" s="32" t="inlineStr">
        <is>
          <t>No survey response on file</t>
        </is>
      </c>
    </row>
    <row r="8" ht="90" customHeight="1">
      <c r="A8" s="51" t="inlineStr">
        <is>
          <t>◂ Back</t>
        </is>
      </c>
      <c r="B8" s="29" t="inlineStr">
        <is>
          <t>Mapped</t>
        </is>
      </c>
      <c r="C8" s="28" t="inlineStr">
        <is>
          <t>CARBON</t>
        </is>
      </c>
      <c r="D8" s="29" t="inlineStr">
        <is>
          <t>IRIS2478</t>
        </is>
      </c>
      <c r="E8" s="29" t="inlineStr">
        <is>
          <t>Dixit Jasani</t>
        </is>
      </c>
      <c r="F8" s="29" t="inlineStr">
        <is>
          <t>CRO - Carbon</t>
        </is>
      </c>
      <c r="G8" s="29" t="inlineStr">
        <is>
          <t>Chief Revenue Officer- Enterprise Division</t>
        </is>
      </c>
      <c r="H8" s="29" t="inlineStr">
        <is>
          <t>Chief Revenue Officer</t>
        </is>
      </c>
      <c r="I8" s="29" t="inlineStr">
        <is>
          <t>Not in current mapping files</t>
        </is>
      </c>
      <c r="J8" s="29" t="inlineStr">
        <is>
          <t>E1</t>
        </is>
      </c>
      <c r="K8" s="29" t="inlineStr">
        <is>
          <t>● Newly mapped</t>
        </is>
      </c>
      <c r="L8" s="29" t="inlineStr">
        <is>
          <t>Enterprise Leadership</t>
        </is>
      </c>
      <c r="M8" s="29" t="inlineStr">
        <is>
          <t>Chief Officers · CXO</t>
        </is>
      </c>
      <c r="N8" s="29" t="inlineStr">
        <is>
          <t>• Survey response or KRAs describing the work · nothing on file — Employee + manager
• Resolve conflicting role records — Business head</t>
        </is>
      </c>
      <c r="O8" s="29" t="n">
        <v>0</v>
      </c>
      <c r="P8" s="28" t="inlineStr">
        <is>
          <t>E5</t>
        </is>
      </c>
      <c r="Q8" s="29" t="inlineStr">
        <is>
          <t>C-Level</t>
        </is>
      </c>
      <c r="R8" s="29" t="inlineStr">
        <is>
          <t>7</t>
        </is>
      </c>
      <c r="S8" s="29" t="inlineStr">
        <is>
          <t>20+ yrs</t>
        </is>
      </c>
      <c r="T8" s="29" t="inlineStr">
        <is>
          <t>—</t>
        </is>
      </c>
      <c r="U8" s="29" t="inlineStr">
        <is>
          <t>CXO · functional chief</t>
        </is>
      </c>
      <c r="V8" s="29" t="inlineStr">
        <is>
          <t>IRIS Vs Market Benchmark — Aon Radford / Mercer executive codes: E5 C-level · functional · IRIS Vs Competitor Benchmark — regtech / SaaS executive titles: CTO · CFO · CRO · CCO · COO</t>
        </is>
      </c>
      <c r="W8" s="29" t="inlineStr">
        <is>
          <t>Aon Radford executive levels E1–E6; Mercer ET1–ET3; Korn Ferry Leadership Architect</t>
        </is>
      </c>
      <c r="X8" s="29" t="inlineStr">
        <is>
          <t>Core 5 · Future 5 · Functional 4 · Leadership 5</t>
        </is>
      </c>
      <c r="Y8" s="52" t="n">
        <v>453</v>
      </c>
      <c r="Z8" s="53" t="inlineStr">
        <is>
          <t>IRIS2478</t>
        </is>
      </c>
      <c r="AA8" s="53" t="inlineStr">
        <is>
          <t>Employee</t>
        </is>
      </c>
      <c r="AB8" s="53" t="inlineStr">
        <is>
          <t>Active</t>
        </is>
      </c>
      <c r="AC8" s="53" t="inlineStr">
        <is>
          <t>Dixit Jasani</t>
        </is>
      </c>
      <c r="AD8" s="54" t="n">
        <v>46071</v>
      </c>
      <c r="AE8" s="53" t="inlineStr">
        <is>
          <t>Chief Revenue Officer- Enterprise Division</t>
        </is>
      </c>
      <c r="AF8" s="53" t="inlineStr">
        <is>
          <t>PGDM</t>
        </is>
      </c>
      <c r="AG8" s="53" t="inlineStr">
        <is>
          <t>Balachandran K</t>
        </is>
      </c>
      <c r="AH8" s="53" t="inlineStr">
        <is>
          <t>N-1</t>
        </is>
      </c>
      <c r="AI8" s="53" t="inlineStr">
        <is>
          <t>Manager</t>
        </is>
      </c>
      <c r="AJ8" s="53" t="inlineStr">
        <is>
          <t>27 years, 4 months, 0 days</t>
        </is>
      </c>
      <c r="AK8" s="53" t="inlineStr">
        <is>
          <t>0 years, 6 months, 7 days</t>
        </is>
      </c>
      <c r="AL8" s="53" t="inlineStr">
        <is>
          <t>Regtech</t>
        </is>
      </c>
      <c r="AM8" s="53" t="inlineStr">
        <is>
          <t>CARBON</t>
        </is>
      </c>
      <c r="AN8" s="53" t="inlineStr">
        <is>
          <t>CRO - Carbon</t>
        </is>
      </c>
      <c r="AO8" s="53" t="inlineStr">
        <is>
          <t>Sales</t>
        </is>
      </c>
      <c r="AP8" s="53" t="inlineStr">
        <is>
          <t>No</t>
        </is>
      </c>
      <c r="AQ8" s="53" t="inlineStr">
        <is>
          <t>Sales, Marketing &amp; Support</t>
        </is>
      </c>
      <c r="AR8" s="53" t="inlineStr">
        <is>
          <t>Sales</t>
        </is>
      </c>
      <c r="AS8" s="53" t="inlineStr">
        <is>
          <t>Non-technical</t>
        </is>
      </c>
      <c r="AT8" s="53" t="n">
        <v>0</v>
      </c>
      <c r="AU8" s="53" t="inlineStr">
        <is>
          <t>E-Top management</t>
        </is>
      </c>
      <c r="AV8" s="53" t="inlineStr">
        <is>
          <t>IRIS2478</t>
        </is>
      </c>
      <c r="AW8" s="53" t="inlineStr">
        <is>
          <t>Dixit Jasani</t>
        </is>
      </c>
      <c r="AX8" s="53" t="inlineStr">
        <is>
          <t>Sales</t>
        </is>
      </c>
      <c r="AY8" s="53" t="inlineStr">
        <is>
          <t>Executive Leadership</t>
        </is>
      </c>
      <c r="AZ8" s="53" t="inlineStr">
        <is>
          <t>Revenue</t>
        </is>
      </c>
      <c r="BA8" s="53" t="inlineStr">
        <is>
          <t>Business &amp; Functional Leadership</t>
        </is>
      </c>
      <c r="BB8" s="53" t="inlineStr">
        <is>
          <t>Revenue</t>
        </is>
      </c>
      <c r="BC8" s="53" t="inlineStr">
        <is>
          <t>Employee</t>
        </is>
      </c>
      <c r="BD8" s="53" t="inlineStr">
        <is>
          <t>Balachandran K</t>
        </is>
      </c>
      <c r="BE8" s="53" t="inlineStr">
        <is>
          <t>K. Balachandran · CEO — per Recommended Structure tab</t>
        </is>
      </c>
      <c r="BF8" s="53" t="inlineStr">
        <is>
          <t>New entry</t>
        </is>
      </c>
      <c r="BG8" s="53" t="inlineStr">
        <is>
          <t>Chief Revenue Officer - Enterprise Division</t>
        </is>
      </c>
      <c r="BH8" s="53" t="inlineStr">
        <is>
          <t>CRO — Marketing + Partnerships &amp; Alliances · per Recommended Structure</t>
        </is>
      </c>
      <c r="BI8" s="53" t="inlineStr">
        <is>
          <t>N/A · new entry</t>
        </is>
      </c>
      <c r="BJ8" s="53" t="n">
        <v>1</v>
      </c>
      <c r="BK8" s="53" t="n">
        <v>1</v>
      </c>
      <c r="BL8" s="53" t="n">
        <v>0</v>
      </c>
      <c r="BM8" s="53" t="inlineStr">
        <is>
          <t>Consolidate / flatten</t>
        </is>
      </c>
      <c r="BN8" s="53" t="n">
        <v>2</v>
      </c>
      <c r="BO8" s="53" t="n">
        <v>2</v>
      </c>
      <c r="BP8" s="53" t="n">
        <v>0</v>
      </c>
      <c r="BQ8" s="53" t="inlineStr">
        <is>
          <t>Consolidate / flatten</t>
        </is>
      </c>
      <c r="BR8" s="53" t="inlineStr">
        <is>
          <t>Yes</t>
        </is>
      </c>
      <c r="BS8" s="53" t="n"/>
      <c r="BT8" s="53" t="n"/>
      <c r="BU8" s="53" t="inlineStr">
        <is>
          <t>Backfilled from Carbon_List.xlsx · current state</t>
        </is>
      </c>
      <c r="BV8" s="53" t="n"/>
      <c r="BW8" s="53" t="n"/>
      <c r="BX8" s="53" t="n"/>
      <c r="BY8" s="53" t="n"/>
      <c r="BZ8" s="53" t="n"/>
      <c r="CA8" s="53" t="n"/>
      <c r="CB8" s="53" t="n"/>
      <c r="CC8" s="53" t="n"/>
      <c r="CD8" s="53" t="n"/>
      <c r="CE8" s="53" t="n"/>
      <c r="CF8" s="53" t="n"/>
      <c r="CG8" s="53" t="n"/>
      <c r="CH8" s="53" t="n"/>
      <c r="CI8" s="53" t="n"/>
      <c r="CJ8" s="53" t="n"/>
      <c r="CK8" s="53" t="n"/>
      <c r="CL8" s="53" t="n"/>
      <c r="CM8" s="53" t="n"/>
      <c r="CN8" s="53" t="n"/>
      <c r="CO8" s="53" t="n"/>
      <c r="CP8" s="53" t="n"/>
      <c r="CQ8" s="53" t="n"/>
      <c r="CR8" s="53" t="n"/>
      <c r="CS8" s="53" t="n"/>
      <c r="CT8" s="53" t="n"/>
      <c r="CU8" s="53" t="n"/>
      <c r="CV8" s="53" t="n"/>
      <c r="CW8" s="53" t="n"/>
      <c r="CX8" s="53" t="n"/>
      <c r="CY8" s="53" t="n"/>
      <c r="CZ8" s="53" t="n"/>
      <c r="DA8" s="53" t="n"/>
      <c r="DB8" s="53" t="n"/>
      <c r="DC8" s="53" t="n"/>
      <c r="DD8" s="53" t="n"/>
      <c r="DE8" s="53" t="n"/>
      <c r="DF8" s="53" t="n"/>
      <c r="DG8" s="53" t="n"/>
      <c r="DH8" s="53" t="n"/>
      <c r="DI8" s="53" t="n"/>
      <c r="DJ8" s="53" t="n"/>
      <c r="DK8" s="53" t="n"/>
      <c r="DL8" s="53" t="n"/>
      <c r="DM8" s="53" t="n"/>
      <c r="DN8" s="53" t="n"/>
      <c r="DO8" s="53" t="n"/>
      <c r="DP8" s="53" t="n"/>
      <c r="DQ8" s="53" t="n"/>
      <c r="DR8" s="53" t="n"/>
      <c r="DS8" s="53" t="n"/>
      <c r="DT8" s="53" t="n"/>
      <c r="DU8" s="53" t="n"/>
      <c r="DV8" s="53" t="n"/>
      <c r="DW8" s="53" t="n"/>
      <c r="DX8" s="53" t="n"/>
      <c r="DY8" s="53" t="n"/>
      <c r="DZ8" s="53" t="n"/>
      <c r="EA8" s="53" t="n"/>
      <c r="EB8" s="53" t="n"/>
      <c r="EC8" s="53" t="n"/>
      <c r="ED8" s="53" t="n"/>
      <c r="EE8" s="53" t="n"/>
      <c r="EF8" s="53" t="n"/>
      <c r="EG8" s="53" t="n"/>
      <c r="EH8" s="53" t="n"/>
      <c r="EI8" s="53" t="n"/>
      <c r="EJ8" s="53" t="n"/>
      <c r="EK8" s="53" t="n"/>
      <c r="EL8" s="53" t="n"/>
      <c r="EM8" s="53" t="n"/>
      <c r="EN8" s="53" t="n"/>
      <c r="EO8" s="53" t="n"/>
      <c r="EP8" s="53" t="n"/>
      <c r="EQ8" s="53" t="n"/>
      <c r="ER8" s="53" t="n"/>
      <c r="ES8" s="53" t="n"/>
      <c r="ET8" s="53" t="n"/>
      <c r="EU8" s="53" t="n"/>
      <c r="EV8" s="53" t="n"/>
      <c r="EW8" s="52" t="n"/>
      <c r="EX8" s="53" t="n"/>
      <c r="EY8" s="53" t="n"/>
      <c r="EZ8" s="53" t="n"/>
      <c r="FA8" s="53" t="n"/>
      <c r="FB8" s="53" t="n"/>
      <c r="FC8" s="53" t="n"/>
      <c r="FD8" s="53" t="n"/>
      <c r="FE8" s="55" t="inlineStr">
        <is>
          <t>KRAs not received · manager to supply</t>
        </is>
      </c>
      <c r="FF8" s="56" t="n"/>
      <c r="FG8" s="56" t="n"/>
      <c r="FH8" s="56" t="n"/>
      <c r="FI8" s="56" t="n"/>
      <c r="FJ8" s="32" t="inlineStr">
        <is>
          <t>KRAs not received · manager to supply</t>
        </is>
      </c>
      <c r="FK8" s="56" t="n"/>
      <c r="FL8" s="56" t="n">
        <v>0</v>
      </c>
      <c r="FM8" s="32" t="inlineStr">
        <is>
          <t>No survey response on file</t>
        </is>
      </c>
      <c r="FN8" s="56" t="inlineStr">
        <is>
          <t>—</t>
        </is>
      </c>
      <c r="FO8" s="56" t="inlineStr">
        <is>
          <t>—</t>
        </is>
      </c>
      <c r="FP8" s="56" t="inlineStr">
        <is>
          <t>—</t>
        </is>
      </c>
      <c r="FQ8" s="56" t="inlineStr">
        <is>
          <t>—</t>
        </is>
      </c>
      <c r="FR8" s="56"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FS8" s="56" t="n"/>
      <c r="FT8" s="56" t="n"/>
      <c r="FU8" s="32" t="inlineStr">
        <is>
          <t>No survey response on file</t>
        </is>
      </c>
    </row>
    <row r="9" ht="90" customHeight="1">
      <c r="A9" s="51" t="inlineStr">
        <is>
          <t>◂ Back</t>
        </is>
      </c>
      <c r="B9" s="29" t="inlineStr">
        <is>
          <t>Mapped</t>
        </is>
      </c>
      <c r="C9" s="28" t="inlineStr">
        <is>
          <t>CARBON</t>
        </is>
      </c>
      <c r="D9" s="29" t="inlineStr">
        <is>
          <t>IRIS0391</t>
        </is>
      </c>
      <c r="E9" s="29" t="inlineStr">
        <is>
          <t>Anuradha RK</t>
        </is>
      </c>
      <c r="F9" s="29" t="inlineStr">
        <is>
          <t>CARBON Business Head</t>
        </is>
      </c>
      <c r="G9" s="29" t="inlineStr">
        <is>
          <t>Business Head</t>
        </is>
      </c>
      <c r="H9" s="29" t="inlineStr">
        <is>
          <t>Business Head</t>
        </is>
      </c>
      <c r="I9" s="29" t="inlineStr">
        <is>
          <t>Not in current mapping files</t>
        </is>
      </c>
      <c r="J9" s="29" t="inlineStr">
        <is>
          <t>D2</t>
        </is>
      </c>
      <c r="K9" s="29" t="inlineStr">
        <is>
          <t>● Newly mapped</t>
        </is>
      </c>
      <c r="L9" s="29" t="inlineStr">
        <is>
          <t>Executive Leadership</t>
        </is>
      </c>
      <c r="M9" s="29" t="inlineStr">
        <is>
          <t>Business Head</t>
        </is>
      </c>
      <c r="N9" s="29" t="inlineStr">
        <is>
          <t>• Survey response or KRAs describing the work · nothing on file — Employee + manager
• Resolve conflicting role records — Business head</t>
        </is>
      </c>
      <c r="O9" s="29" t="n">
        <v>0</v>
      </c>
      <c r="P9" s="28" t="inlineStr">
        <is>
          <t>E3–E4</t>
        </is>
      </c>
      <c r="Q9" s="29" t="inlineStr">
        <is>
          <t>SVP</t>
        </is>
      </c>
      <c r="R9" s="29" t="inlineStr">
        <is>
          <t>7 Set strategy</t>
        </is>
      </c>
      <c r="S9" s="29" t="inlineStr">
        <is>
          <t>18–24 yrs</t>
        </is>
      </c>
      <c r="T9" s="29" t="inlineStr">
        <is>
          <t>—</t>
        </is>
      </c>
      <c r="U9" s="29" t="inlineStr">
        <is>
          <t>Associate Vice President</t>
        </is>
      </c>
      <c r="V9" s="29" t="inlineStr">
        <is>
          <t>IRIS Vs Market Benchmark — Aon Radford / Mercer executive codes: E3–E4 SVP · IRIS Vs Competitor Benchmark — regtech / SaaS executive titles: SVP</t>
        </is>
      </c>
      <c r="W9" s="29" t="inlineStr">
        <is>
          <t>Aon Radford executive levels E1–E6; Mercer ET1–ET3; Korn Ferry Leadership Architect</t>
        </is>
      </c>
      <c r="X9" s="29" t="inlineStr">
        <is>
          <t>Core 5 · Future 4 · Functional 4 · Leadership 5</t>
        </is>
      </c>
      <c r="Y9" s="52" t="n">
        <v>53</v>
      </c>
      <c r="Z9" s="53" t="inlineStr">
        <is>
          <t>IRIS0391</t>
        </is>
      </c>
      <c r="AA9" s="53" t="inlineStr">
        <is>
          <t>Employee</t>
        </is>
      </c>
      <c r="AB9" s="53" t="inlineStr">
        <is>
          <t>Active</t>
        </is>
      </c>
      <c r="AC9" s="53" t="inlineStr">
        <is>
          <t>Anuradha RK</t>
        </is>
      </c>
      <c r="AD9" s="54" t="n">
        <v>40304</v>
      </c>
      <c r="AE9" s="53" t="inlineStr">
        <is>
          <t>Business Head</t>
        </is>
      </c>
      <c r="AF9" s="53" t="inlineStr">
        <is>
          <t>MBA</t>
        </is>
      </c>
      <c r="AG9" s="53" t="inlineStr">
        <is>
          <t>Dixit Jasani</t>
        </is>
      </c>
      <c r="AH9" s="53" t="inlineStr">
        <is>
          <t>N-2</t>
        </is>
      </c>
      <c r="AI9" s="53" t="inlineStr">
        <is>
          <t>Manager</t>
        </is>
      </c>
      <c r="AJ9" s="53" t="inlineStr">
        <is>
          <t>0 years, 8 months, 0 days</t>
        </is>
      </c>
      <c r="AK9" s="53" t="inlineStr">
        <is>
          <t>16 years, 3 months, 19 days</t>
        </is>
      </c>
      <c r="AL9" s="53" t="inlineStr">
        <is>
          <t>Regtech</t>
        </is>
      </c>
      <c r="AM9" s="53" t="inlineStr">
        <is>
          <t>CARBON</t>
        </is>
      </c>
      <c r="AN9" s="53" t="inlineStr">
        <is>
          <t>CARBON Business Head</t>
        </is>
      </c>
      <c r="AO9" s="53" t="inlineStr">
        <is>
          <t>Client Engagement</t>
        </is>
      </c>
      <c r="AP9" s="53" t="inlineStr">
        <is>
          <t>No</t>
        </is>
      </c>
      <c r="AQ9" s="53" t="inlineStr">
        <is>
          <t>Client Engagement</t>
        </is>
      </c>
      <c r="AR9" s="53" t="inlineStr">
        <is>
          <t>Product Management</t>
        </is>
      </c>
      <c r="AS9" s="53" t="inlineStr">
        <is>
          <t>Technical · BA, PM and QA</t>
        </is>
      </c>
      <c r="AT9" s="53" t="n">
        <v>0</v>
      </c>
      <c r="AU9" s="53" t="inlineStr">
        <is>
          <t>E-Top management</t>
        </is>
      </c>
      <c r="AV9" s="53" t="inlineStr">
        <is>
          <t>IRIS0391</t>
        </is>
      </c>
      <c r="AW9" s="53" t="inlineStr">
        <is>
          <t>Anuradha RK</t>
        </is>
      </c>
      <c r="AX9" s="53" t="inlineStr">
        <is>
          <t>Sales</t>
        </is>
      </c>
      <c r="AY9" s="53" t="inlineStr">
        <is>
          <t>Executive Leadership</t>
        </is>
      </c>
      <c r="AZ9" s="53" t="inlineStr">
        <is>
          <t>Revenue</t>
        </is>
      </c>
      <c r="BA9" s="53" t="inlineStr">
        <is>
          <t>Business &amp; Functional Leadership</t>
        </is>
      </c>
      <c r="BB9" s="53" t="inlineStr">
        <is>
          <t>Business Head</t>
        </is>
      </c>
      <c r="BC9" s="53" t="inlineStr">
        <is>
          <t>Employee</t>
        </is>
      </c>
      <c r="BD9" s="53" t="inlineStr">
        <is>
          <t>Dixit Jasani</t>
        </is>
      </c>
      <c r="BE9" s="53" t="inlineStr">
        <is>
          <t>Dixit Jasani</t>
        </is>
      </c>
      <c r="BF9" s="53" t="inlineStr">
        <is>
          <t>New entry</t>
        </is>
      </c>
      <c r="BG9" s="53" t="inlineStr">
        <is>
          <t>Business Head</t>
        </is>
      </c>
      <c r="BH9" s="53" t="inlineStr">
        <is>
          <t>Sales + Implementation · per Recommended Structure</t>
        </is>
      </c>
      <c r="BI9" s="53" t="inlineStr">
        <is>
          <t>N/A · new entry</t>
        </is>
      </c>
      <c r="BJ9" s="53" t="n">
        <v>11</v>
      </c>
      <c r="BK9" s="53" t="n">
        <v>10</v>
      </c>
      <c r="BL9" s="53" t="n">
        <v>1</v>
      </c>
      <c r="BM9" s="53" t="inlineStr">
        <is>
          <t>Healthy</t>
        </is>
      </c>
      <c r="BN9" s="53" t="n">
        <v>13</v>
      </c>
      <c r="BO9" s="53" t="n">
        <v>12</v>
      </c>
      <c r="BP9" s="53" t="n">
        <v>1</v>
      </c>
      <c r="BQ9" s="53" t="inlineStr">
        <is>
          <t>Healthy</t>
        </is>
      </c>
      <c r="BR9" s="53" t="inlineStr">
        <is>
          <t>Yes</t>
        </is>
      </c>
      <c r="BS9" s="53" t="n"/>
      <c r="BT9" s="53" t="n"/>
      <c r="BU9" s="53" t="inlineStr">
        <is>
          <t>Backfilled from Carbon_List.xlsx · current state</t>
        </is>
      </c>
      <c r="BV9" s="53" t="n"/>
      <c r="BW9" s="53" t="n"/>
      <c r="BX9" s="53" t="n"/>
      <c r="BY9" s="53" t="n"/>
      <c r="BZ9" s="53" t="n"/>
      <c r="CA9" s="53" t="n"/>
      <c r="CB9" s="53" t="n"/>
      <c r="CC9" s="53" t="n"/>
      <c r="CD9" s="53" t="n"/>
      <c r="CE9" s="53" t="n"/>
      <c r="CF9" s="53" t="n"/>
      <c r="CG9" s="53" t="n"/>
      <c r="CH9" s="53" t="n"/>
      <c r="CI9" s="53" t="n"/>
      <c r="CJ9" s="53" t="n"/>
      <c r="CK9" s="53" t="n"/>
      <c r="CL9" s="53" t="n"/>
      <c r="CM9" s="53" t="n"/>
      <c r="CN9" s="53" t="n"/>
      <c r="CO9" s="53" t="n"/>
      <c r="CP9" s="53" t="n"/>
      <c r="CQ9" s="53" t="n"/>
      <c r="CR9" s="53" t="n"/>
      <c r="CS9" s="53" t="n"/>
      <c r="CT9" s="53" t="n"/>
      <c r="CU9" s="53" t="n"/>
      <c r="CV9" s="53" t="n"/>
      <c r="CW9" s="53" t="n"/>
      <c r="CX9" s="53" t="n"/>
      <c r="CY9" s="53" t="n"/>
      <c r="CZ9" s="53" t="n"/>
      <c r="DA9" s="53" t="n"/>
      <c r="DB9" s="53" t="n"/>
      <c r="DC9" s="53" t="n"/>
      <c r="DD9" s="53" t="n"/>
      <c r="DE9" s="53" t="n"/>
      <c r="DF9" s="53" t="n"/>
      <c r="DG9" s="53" t="n"/>
      <c r="DH9" s="53" t="n"/>
      <c r="DI9" s="53" t="n"/>
      <c r="DJ9" s="53" t="n"/>
      <c r="DK9" s="53" t="n"/>
      <c r="DL9" s="53" t="n"/>
      <c r="DM9" s="53" t="n"/>
      <c r="DN9" s="53" t="n"/>
      <c r="DO9" s="53" t="n"/>
      <c r="DP9" s="53" t="n"/>
      <c r="DQ9" s="53" t="n"/>
      <c r="DR9" s="53" t="n"/>
      <c r="DS9" s="53" t="n"/>
      <c r="DT9" s="53" t="n"/>
      <c r="DU9" s="53" t="n"/>
      <c r="DV9" s="53" t="n"/>
      <c r="DW9" s="53" t="n"/>
      <c r="DX9" s="53" t="n"/>
      <c r="DY9" s="53" t="n"/>
      <c r="DZ9" s="53" t="n"/>
      <c r="EA9" s="53" t="n"/>
      <c r="EB9" s="53" t="n"/>
      <c r="EC9" s="53" t="n"/>
      <c r="ED9" s="53" t="n"/>
      <c r="EE9" s="53" t="n"/>
      <c r="EF9" s="53" t="n"/>
      <c r="EG9" s="53" t="n"/>
      <c r="EH9" s="53" t="n"/>
      <c r="EI9" s="53" t="n"/>
      <c r="EJ9" s="53" t="n"/>
      <c r="EK9" s="53" t="n"/>
      <c r="EL9" s="53" t="n"/>
      <c r="EM9" s="53" t="n"/>
      <c r="EN9" s="53" t="n"/>
      <c r="EO9" s="53" t="n"/>
      <c r="EP9" s="53" t="n"/>
      <c r="EQ9" s="53" t="n"/>
      <c r="ER9" s="53" t="n"/>
      <c r="ES9" s="53" t="n"/>
      <c r="ET9" s="53" t="n"/>
      <c r="EU9" s="53" t="n"/>
      <c r="EV9" s="53" t="n"/>
      <c r="EW9" s="52" t="n"/>
      <c r="EX9" s="53" t="n"/>
      <c r="EY9" s="53" t="n"/>
      <c r="EZ9" s="53" t="n"/>
      <c r="FA9" s="53" t="n"/>
      <c r="FB9" s="53" t="n"/>
      <c r="FC9" s="53" t="n"/>
      <c r="FD9" s="53" t="n"/>
      <c r="FE9" s="55" t="inlineStr">
        <is>
          <t>KRAs not received · manager to supply</t>
        </is>
      </c>
      <c r="FF9" s="56" t="n"/>
      <c r="FG9" s="56" t="n"/>
      <c r="FH9" s="56" t="n"/>
      <c r="FI9" s="56" t="n"/>
      <c r="FJ9" s="32" t="inlineStr">
        <is>
          <t>KRAs not received · manager to supply</t>
        </is>
      </c>
      <c r="FK9" s="56" t="n"/>
      <c r="FL9" s="56" t="n">
        <v>0</v>
      </c>
      <c r="FM9" s="32" t="inlineStr">
        <is>
          <t>No survey response on file</t>
        </is>
      </c>
      <c r="FN9" s="56" t="inlineStr">
        <is>
          <t>—</t>
        </is>
      </c>
      <c r="FO9" s="56" t="inlineStr">
        <is>
          <t>—</t>
        </is>
      </c>
      <c r="FP9" s="56" t="inlineStr">
        <is>
          <t>—</t>
        </is>
      </c>
      <c r="FQ9" s="56" t="inlineStr">
        <is>
          <t>—</t>
        </is>
      </c>
      <c r="FR9" s="56"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FS9" s="56" t="n"/>
      <c r="FT9" s="56" t="n"/>
      <c r="FU9" s="32" t="inlineStr">
        <is>
          <t>No survey response on file</t>
        </is>
      </c>
    </row>
    <row r="10" ht="90" customHeight="1">
      <c r="A10" s="51" t="inlineStr">
        <is>
          <t>◂ Back</t>
        </is>
      </c>
      <c r="B10" s="29" t="inlineStr">
        <is>
          <t>Mapped</t>
        </is>
      </c>
      <c r="C10" s="28" t="inlineStr">
        <is>
          <t>CARBON</t>
        </is>
      </c>
      <c r="D10" s="29" t="inlineStr">
        <is>
          <t>IRIS2359</t>
        </is>
      </c>
      <c r="E10" s="29" t="inlineStr">
        <is>
          <t>Suman Adhikary</t>
        </is>
      </c>
      <c r="F10" s="29" t="inlineStr">
        <is>
          <t>Customer Experience</t>
        </is>
      </c>
      <c r="G10" s="29" t="inlineStr">
        <is>
          <t>Senior Vice President - Customer Experience</t>
        </is>
      </c>
      <c r="H10" s="29" t="inlineStr">
        <is>
          <t>Senior Vice President – Customer Experience</t>
        </is>
      </c>
      <c r="I10" s="29" t="inlineStr">
        <is>
          <t>Not in current mapping files</t>
        </is>
      </c>
      <c r="J10" s="29" t="inlineStr">
        <is>
          <t>D1</t>
        </is>
      </c>
      <c r="K10" s="29" t="inlineStr">
        <is>
          <t>● Newly mapped</t>
        </is>
      </c>
      <c r="L10" s="29" t="inlineStr">
        <is>
          <t>Executive Leadership</t>
        </is>
      </c>
      <c r="M10" s="29" t="inlineStr">
        <is>
          <t>Business Head</t>
        </is>
      </c>
      <c r="N10" s="29" t="inlineStr">
        <is>
          <t>• Survey response or KRAs describing the work · nothing on file — Employee + manager
• Resolve conflicting role records — Business head</t>
        </is>
      </c>
      <c r="O10" s="29" t="n">
        <v>0</v>
      </c>
      <c r="P10" s="28" t="inlineStr">
        <is>
          <t>E1–E2</t>
        </is>
      </c>
      <c r="Q10" s="29" t="inlineStr">
        <is>
          <t>VP</t>
        </is>
      </c>
      <c r="R10" s="29" t="inlineStr">
        <is>
          <t>6–7</t>
        </is>
      </c>
      <c r="S10" s="29" t="inlineStr">
        <is>
          <t>15–20 yrs</t>
        </is>
      </c>
      <c r="T10" s="29" t="inlineStr">
        <is>
          <t>—</t>
        </is>
      </c>
      <c r="U10" s="29" t="inlineStr">
        <is>
          <t>Vice President / Senior Vice President / Senior Vice President</t>
        </is>
      </c>
      <c r="V10" s="29" t="inlineStr">
        <is>
          <t>IRIS Vs Market Benchmark — Aon Radford / Mercer executive codes: E1–E2 VP / Business Head · IRIS Vs Competitor Benchmark — regtech / SaaS executive titles: General Manager / VP</t>
        </is>
      </c>
      <c r="W10" s="29" t="inlineStr">
        <is>
          <t>Aon Radford executive levels E1–E6; Mercer ET1–ET3; Korn Ferry Leadership Architect</t>
        </is>
      </c>
      <c r="X10" s="29" t="inlineStr">
        <is>
          <t>Core 5 · Future 4 · Functional 4 · Leadership 5</t>
        </is>
      </c>
      <c r="Y10" s="52" t="n">
        <v>365</v>
      </c>
      <c r="Z10" s="53" t="inlineStr">
        <is>
          <t>IRIS2359</t>
        </is>
      </c>
      <c r="AA10" s="53" t="inlineStr">
        <is>
          <t>Employee</t>
        </is>
      </c>
      <c r="AB10" s="53" t="inlineStr">
        <is>
          <t>Active</t>
        </is>
      </c>
      <c r="AC10" s="53" t="inlineStr">
        <is>
          <t>Suman Adhikary</t>
        </is>
      </c>
      <c r="AD10" s="54" t="n">
        <v>45748</v>
      </c>
      <c r="AE10" s="53" t="inlineStr">
        <is>
          <t>Senior Vice President - Customer Experience</t>
        </is>
      </c>
      <c r="AF10" s="53" t="inlineStr">
        <is>
          <t>B.E</t>
        </is>
      </c>
      <c r="AG10" s="53" t="inlineStr">
        <is>
          <t>Anuradha RK</t>
        </is>
      </c>
      <c r="AH10" s="53" t="inlineStr">
        <is>
          <t>N-3</t>
        </is>
      </c>
      <c r="AI10" s="53" t="inlineStr">
        <is>
          <t>Manager</t>
        </is>
      </c>
      <c r="AJ10" s="53" t="inlineStr">
        <is>
          <t>27 years, 2 months, 0 days</t>
        </is>
      </c>
      <c r="AK10" s="53" t="inlineStr">
        <is>
          <t>1 years, 4 months, 24 days</t>
        </is>
      </c>
      <c r="AL10" s="53" t="inlineStr">
        <is>
          <t>Regtech</t>
        </is>
      </c>
      <c r="AM10" s="53" t="inlineStr">
        <is>
          <t>CARBON</t>
        </is>
      </c>
      <c r="AN10" s="53" t="inlineStr">
        <is>
          <t>Customer Experience</t>
        </is>
      </c>
      <c r="AO10" s="53" t="inlineStr">
        <is>
          <t>Client Engagement</t>
        </is>
      </c>
      <c r="AP10" s="53" t="inlineStr">
        <is>
          <t>No</t>
        </is>
      </c>
      <c r="AQ10" s="53" t="inlineStr">
        <is>
          <t>Client Engagement</t>
        </is>
      </c>
      <c r="AR10" s="53" t="inlineStr">
        <is>
          <t>Customer Experience</t>
        </is>
      </c>
      <c r="AS10" s="53" t="inlineStr">
        <is>
          <t>Non-technical</t>
        </is>
      </c>
      <c r="AT10" s="53" t="n">
        <v>0</v>
      </c>
      <c r="AU10" s="53" t="inlineStr">
        <is>
          <t>E-Top management</t>
        </is>
      </c>
      <c r="AV10" s="53" t="inlineStr">
        <is>
          <t>IRIS2359</t>
        </is>
      </c>
      <c r="AW10" s="53" t="inlineStr">
        <is>
          <t>Suman Adhikary</t>
        </is>
      </c>
      <c r="AX10" s="53" t="inlineStr">
        <is>
          <t>Services</t>
        </is>
      </c>
      <c r="AY10" s="53" t="inlineStr">
        <is>
          <t>Executive Leadership</t>
        </is>
      </c>
      <c r="AZ10" s="53" t="inlineStr">
        <is>
          <t>Customer Experience</t>
        </is>
      </c>
      <c r="BA10" s="53" t="inlineStr">
        <is>
          <t>Business &amp; Functional Leadership</t>
        </is>
      </c>
      <c r="BB10" s="53" t="inlineStr">
        <is>
          <t>Customer Experience</t>
        </is>
      </c>
      <c r="BC10" s="53" t="inlineStr">
        <is>
          <t>Employee</t>
        </is>
      </c>
      <c r="BD10" s="53" t="inlineStr">
        <is>
          <t>Anuradha RK</t>
        </is>
      </c>
      <c r="BE10" s="53" t="inlineStr">
        <is>
          <t>Dixit Jasani</t>
        </is>
      </c>
      <c r="BF10" s="53" t="inlineStr">
        <is>
          <t>Yes</t>
        </is>
      </c>
      <c r="BG10" s="53" t="inlineStr">
        <is>
          <t>Senior Vice President - Customer Experience</t>
        </is>
      </c>
      <c r="BH10" s="53" t="inlineStr">
        <is>
          <t>Senior Vice President - Customer Experience</t>
        </is>
      </c>
      <c r="BI10" s="53" t="inlineStr">
        <is>
          <t>N/A · new entry</t>
        </is>
      </c>
      <c r="BJ10" s="53" t="n">
        <v>10</v>
      </c>
      <c r="BK10" s="53" t="n">
        <v>10</v>
      </c>
      <c r="BL10" s="53" t="n">
        <v>0</v>
      </c>
      <c r="BM10" s="53" t="inlineStr">
        <is>
          <t>Healthy</t>
        </is>
      </c>
      <c r="BN10" s="53" t="n">
        <v>3</v>
      </c>
      <c r="BO10" s="53" t="n">
        <v>3</v>
      </c>
      <c r="BP10" s="53" t="n">
        <v>0</v>
      </c>
      <c r="BQ10" s="53" t="inlineStr">
        <is>
          <t>Review</t>
        </is>
      </c>
      <c r="BR10" s="53" t="inlineStr">
        <is>
          <t>Yes</t>
        </is>
      </c>
      <c r="BS10" s="53" t="n"/>
      <c r="BT10" s="53" t="n"/>
      <c r="BU10" s="53" t="inlineStr">
        <is>
          <t>No designation change — current record value carried forward</t>
        </is>
      </c>
      <c r="BV10" s="53" t="n"/>
      <c r="BW10" s="53" t="n"/>
      <c r="BX10" s="53" t="n"/>
      <c r="BY10" s="53" t="n"/>
      <c r="BZ10" s="53" t="inlineStr">
        <is>
          <t>IRIS2359</t>
        </is>
      </c>
      <c r="CA10" s="53" t="inlineStr">
        <is>
          <t>Employee</t>
        </is>
      </c>
      <c r="CB10" s="53" t="inlineStr">
        <is>
          <t>Active</t>
        </is>
      </c>
      <c r="CC10" s="53" t="inlineStr">
        <is>
          <t>Suman Adhikary</t>
        </is>
      </c>
      <c r="CD10" s="54" t="n">
        <v>28110</v>
      </c>
      <c r="CE10" s="53" t="inlineStr">
        <is>
          <t>Senior Vice President - Customer Experience</t>
        </is>
      </c>
      <c r="CF10" s="53" t="n"/>
      <c r="CG10" s="53" t="inlineStr">
        <is>
          <t>Executive Leadership</t>
        </is>
      </c>
      <c r="CH10" s="53" t="inlineStr">
        <is>
          <t>Business / Functional Leadership</t>
        </is>
      </c>
      <c r="CI10" s="53" t="inlineStr">
        <is>
          <t>Senior Vice President - Customer Experience</t>
        </is>
      </c>
      <c r="CJ10" s="53" t="inlineStr">
        <is>
          <t>L8 – Vice President</t>
        </is>
      </c>
      <c r="CK10" s="53" t="inlineStr">
        <is>
          <t>Anuradha RK</t>
        </is>
      </c>
      <c r="CL10" s="53" t="inlineStr">
        <is>
          <t>N-3</t>
        </is>
      </c>
      <c r="CM10" s="53" t="n"/>
      <c r="CN10" s="53" t="inlineStr">
        <is>
          <t>Manager</t>
        </is>
      </c>
      <c r="CO10" s="53" t="inlineStr">
        <is>
          <t>Customer Experience</t>
        </is>
      </c>
      <c r="CP10" s="53" t="inlineStr">
        <is>
          <t>27 years, 2 months, 0 days</t>
        </is>
      </c>
      <c r="CQ10" s="53" t="n"/>
      <c r="CR10" s="53" t="inlineStr">
        <is>
          <t>1 years, 2 months, 19 days</t>
        </is>
      </c>
      <c r="CS10" s="53" t="inlineStr">
        <is>
          <t>28 years, 4 months, 19 days</t>
        </is>
      </c>
      <c r="CT10" s="53" t="n">
        <v>1.218721461</v>
      </c>
      <c r="CU10" s="53" t="n"/>
      <c r="CV10" s="53" t="n"/>
      <c r="CW10" s="53" t="inlineStr">
        <is>
          <t>Regtech</t>
        </is>
      </c>
      <c r="CX10" s="53" t="inlineStr">
        <is>
          <t>CARBON</t>
        </is>
      </c>
      <c r="CY10" s="53" t="inlineStr">
        <is>
          <t>Customer Experience</t>
        </is>
      </c>
      <c r="CZ10" s="53" t="inlineStr">
        <is>
          <t>Client Engagement</t>
        </is>
      </c>
      <c r="DA10" s="53" t="inlineStr">
        <is>
          <t>No</t>
        </is>
      </c>
      <c r="DB10" s="53" t="inlineStr">
        <is>
          <t>Client Engagement</t>
        </is>
      </c>
      <c r="DC10" s="53" t="n"/>
      <c r="DD10" s="53" t="n"/>
      <c r="DE10" s="53" t="n"/>
      <c r="DF10" s="53" t="n"/>
      <c r="DG10" s="53" t="n"/>
      <c r="DH10" s="53" t="n"/>
      <c r="DI10" s="53" t="n"/>
      <c r="DJ10" s="53" t="n"/>
      <c r="DK10" s="53" t="n"/>
      <c r="DL10" s="53" t="n"/>
      <c r="DM10" s="53" t="n"/>
      <c r="DN10" s="53" t="n"/>
      <c r="DO10" s="53" t="n"/>
      <c r="DP10" s="53" t="n"/>
      <c r="DQ10" s="53" t="n"/>
      <c r="DR10" s="53" t="n"/>
      <c r="DS10" s="53" t="n"/>
      <c r="DT10" s="53" t="n"/>
      <c r="DU10" s="53" t="n"/>
      <c r="DV10" s="53" t="n"/>
      <c r="DW10" s="53" t="n"/>
      <c r="DX10" s="53" t="n"/>
      <c r="DY10" s="53" t="n"/>
      <c r="DZ10" s="53" t="n"/>
      <c r="EA10" s="53" t="n"/>
      <c r="EB10" s="53" t="n"/>
      <c r="EC10" s="53" t="n"/>
      <c r="ED10" s="53" t="n"/>
      <c r="EE10" s="53" t="n"/>
      <c r="EF10" s="53" t="n"/>
      <c r="EG10" s="53" t="n"/>
      <c r="EH10" s="53" t="n"/>
      <c r="EI10" s="53" t="n"/>
      <c r="EJ10" s="53" t="n"/>
      <c r="EK10" s="53" t="n"/>
      <c r="EL10" s="53" t="n"/>
      <c r="EM10" s="53" t="n"/>
      <c r="EN10" s="53" t="n"/>
      <c r="EO10" s="53" t="n"/>
      <c r="EP10" s="53" t="n"/>
      <c r="EQ10" s="53" t="n"/>
      <c r="ER10" s="53" t="n"/>
      <c r="ES10" s="53" t="n"/>
      <c r="ET10" s="53" t="n"/>
      <c r="EU10" s="53" t="n"/>
      <c r="EV10" s="53" t="n"/>
      <c r="EW10" s="52" t="n"/>
      <c r="EX10" s="53" t="n"/>
      <c r="EY10" s="53" t="n"/>
      <c r="EZ10" s="53" t="n"/>
      <c r="FA10" s="53" t="n"/>
      <c r="FB10" s="53" t="n"/>
      <c r="FC10" s="53" t="n"/>
      <c r="FD10" s="53" t="n"/>
      <c r="FE10" s="55" t="inlineStr">
        <is>
          <t>KRAs not received · manager to supply</t>
        </is>
      </c>
      <c r="FF10" s="56" t="n"/>
      <c r="FG10" s="56" t="n"/>
      <c r="FH10" s="56" t="n"/>
      <c r="FI10" s="56" t="n"/>
      <c r="FJ10" s="32" t="inlineStr">
        <is>
          <t>KRAs not received · manager to supply</t>
        </is>
      </c>
      <c r="FK10" s="56" t="n"/>
      <c r="FL10" s="56" t="n">
        <v>0</v>
      </c>
      <c r="FM10" s="32" t="inlineStr">
        <is>
          <t>No survey response on file</t>
        </is>
      </c>
      <c r="FN10" s="56" t="inlineStr">
        <is>
          <t>—</t>
        </is>
      </c>
      <c r="FO10" s="56" t="inlineStr">
        <is>
          <t>—</t>
        </is>
      </c>
      <c r="FP10" s="56" t="inlineStr">
        <is>
          <t>—</t>
        </is>
      </c>
      <c r="FQ10" s="56" t="inlineStr">
        <is>
          <t>—</t>
        </is>
      </c>
      <c r="FR10" s="56"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FS10" s="56" t="n"/>
      <c r="FT10" s="56" t="n"/>
      <c r="FU10" s="32" t="inlineStr">
        <is>
          <t>No survey response on file</t>
        </is>
      </c>
    </row>
    <row r="11" ht="90" customHeight="1">
      <c r="A11" s="51" t="inlineStr">
        <is>
          <t>◂ Back</t>
        </is>
      </c>
      <c r="B11" s="29" t="inlineStr">
        <is>
          <t>Mapped</t>
        </is>
      </c>
      <c r="C11" s="28" t="inlineStr">
        <is>
          <t>CARBON</t>
        </is>
      </c>
      <c r="D11" s="29" t="inlineStr">
        <is>
          <t>IRIS1335</t>
        </is>
      </c>
      <c r="E11" s="29" t="inlineStr">
        <is>
          <t>Anushree Aparajit</t>
        </is>
      </c>
      <c r="F11" s="29" t="inlineStr">
        <is>
          <t>Support</t>
        </is>
      </c>
      <c r="G11" s="29" t="inlineStr">
        <is>
          <t>Global Customer Success Head</t>
        </is>
      </c>
      <c r="H11" s="29" t="inlineStr">
        <is>
          <t>Associate Head – Customer Success</t>
        </is>
      </c>
      <c r="I11" s="29" t="inlineStr">
        <is>
          <t>L7 – Head / Sr Director</t>
        </is>
      </c>
      <c r="J11" s="29" t="inlineStr">
        <is>
          <t>C1</t>
        </is>
      </c>
      <c r="K11" s="29" t="inlineStr">
        <is>
          <t>▼ Down · protected</t>
        </is>
      </c>
      <c r="L11" s="29" t="inlineStr">
        <is>
          <t>Executive Leadership</t>
        </is>
      </c>
      <c r="M11" s="29" t="inlineStr">
        <is>
          <t>Business Head</t>
        </is>
      </c>
      <c r="N11" s="29" t="inlineStr">
        <is>
          <t>• Confirm structure behind the senior title · org chart — Business head</t>
        </is>
      </c>
      <c r="O11" s="29" t="n">
        <v>0</v>
      </c>
      <c r="P11" s="28" t="inlineStr">
        <is>
          <t>P6 / M5</t>
        </is>
      </c>
      <c r="Q11" s="29" t="inlineStr">
        <is>
          <t>Principal / Director</t>
        </is>
      </c>
      <c r="R11" s="29" t="inlineStr">
        <is>
          <t>5–6</t>
        </is>
      </c>
      <c r="S11" s="29" t="inlineStr">
        <is>
          <t>10–14 yrs</t>
        </is>
      </c>
      <c r="T11" s="29" t="inlineStr">
        <is>
          <t>12–16 · 12–18</t>
        </is>
      </c>
      <c r="U11" s="29" t="inlineStr">
        <is>
          <t>Head of Function / AGM</t>
        </is>
      </c>
      <c r="V11" s="29" t="inlineStr">
        <is>
          <t>IRIS Vs Competitor Benchmark — SaaS customer-success ladder: Senior Manager CS</t>
        </is>
      </c>
      <c r="W11" s="29" t="inlineStr">
        <is>
          <t>TSIA frameworks and benchmarks; ITIL 4 service desk; Gainsight customer-success practice</t>
        </is>
      </c>
      <c r="X11" s="29" t="inlineStr">
        <is>
          <t>Core 4 · Future 4 · Functional 4 · Leadership 4</t>
        </is>
      </c>
      <c r="Y11" s="52" t="n">
        <v>117</v>
      </c>
      <c r="Z11" s="53" t="inlineStr">
        <is>
          <t>IRIS1335</t>
        </is>
      </c>
      <c r="AA11" s="53" t="inlineStr">
        <is>
          <t>Employee</t>
        </is>
      </c>
      <c r="AB11" s="53" t="inlineStr">
        <is>
          <t>Active</t>
        </is>
      </c>
      <c r="AC11" s="53" t="inlineStr">
        <is>
          <t>Anushree Aparajit</t>
        </is>
      </c>
      <c r="AD11" s="54" t="n">
        <v>41428</v>
      </c>
      <c r="AE11" s="53" t="inlineStr">
        <is>
          <t>Global Customer Success Head</t>
        </is>
      </c>
      <c r="AF11" s="53" t="inlineStr">
        <is>
          <t>CA</t>
        </is>
      </c>
      <c r="AG11" s="53" t="inlineStr">
        <is>
          <t>Suman Adhikary</t>
        </is>
      </c>
      <c r="AH11" s="53" t="inlineStr">
        <is>
          <t>N-4</t>
        </is>
      </c>
      <c r="AI11" s="53" t="inlineStr">
        <is>
          <t>Manager</t>
        </is>
      </c>
      <c r="AJ11" s="53" t="inlineStr">
        <is>
          <t>1 years, 4 months, 0 days</t>
        </is>
      </c>
      <c r="AK11" s="53" t="inlineStr">
        <is>
          <t>13 years, 2 months, 22 days</t>
        </is>
      </c>
      <c r="AL11" s="53" t="inlineStr">
        <is>
          <t>Regtech</t>
        </is>
      </c>
      <c r="AM11" s="53" t="inlineStr">
        <is>
          <t>CARBON</t>
        </is>
      </c>
      <c r="AN11" s="53" t="inlineStr">
        <is>
          <t>Support</t>
        </is>
      </c>
      <c r="AO11" s="53" t="inlineStr">
        <is>
          <t>Client Engagement</t>
        </is>
      </c>
      <c r="AP11" s="53" t="inlineStr">
        <is>
          <t>No</t>
        </is>
      </c>
      <c r="AQ11" s="53" t="inlineStr">
        <is>
          <t>Client Engagement</t>
        </is>
      </c>
      <c r="AR11" s="53" t="inlineStr">
        <is>
          <t>XBRL Domain</t>
        </is>
      </c>
      <c r="AS11" s="53" t="inlineStr">
        <is>
          <t>Non-technical</t>
        </is>
      </c>
      <c r="AT11" s="53" t="n">
        <v>0</v>
      </c>
      <c r="AU11" s="53" t="inlineStr">
        <is>
          <t>E-Top management</t>
        </is>
      </c>
      <c r="AV11" s="53" t="inlineStr">
        <is>
          <t>IRIS1335</t>
        </is>
      </c>
      <c r="AW11" s="53" t="inlineStr">
        <is>
          <t>Anushree Aparajit</t>
        </is>
      </c>
      <c r="AX11" s="53" t="inlineStr">
        <is>
          <t>Support</t>
        </is>
      </c>
      <c r="AY11" s="53" t="inlineStr">
        <is>
          <t>Customer Success &amp; Support</t>
        </is>
      </c>
      <c r="AZ11" s="53" t="inlineStr">
        <is>
          <t>Customer Success</t>
        </is>
      </c>
      <c r="BA11" s="53" t="n"/>
      <c r="BB11" s="53" t="n"/>
      <c r="BC11" s="53" t="inlineStr">
        <is>
          <t>Employee</t>
        </is>
      </c>
      <c r="BD11" s="53" t="inlineStr">
        <is>
          <t>Suman Adhikary</t>
        </is>
      </c>
      <c r="BE11" s="53" t="inlineStr">
        <is>
          <t>Suman Adhikary</t>
        </is>
      </c>
      <c r="BF11" s="53" t="inlineStr">
        <is>
          <t>No</t>
        </is>
      </c>
      <c r="BG11" s="53" t="inlineStr">
        <is>
          <t>Global Customer Success Head</t>
        </is>
      </c>
      <c r="BH11" s="53" t="inlineStr">
        <is>
          <t>Global Customer Success Head</t>
        </is>
      </c>
      <c r="BI11" s="53" t="inlineStr">
        <is>
          <t>No</t>
        </is>
      </c>
      <c r="BJ11" s="53" t="n">
        <v>9</v>
      </c>
      <c r="BK11" s="53" t="n">
        <v>7</v>
      </c>
      <c r="BL11" s="53" t="n">
        <v>2</v>
      </c>
      <c r="BM11" s="53" t="inlineStr">
        <is>
          <t>Healthy</t>
        </is>
      </c>
      <c r="BN11" s="53" t="n">
        <v>9</v>
      </c>
      <c r="BO11" s="53" t="n">
        <v>7</v>
      </c>
      <c r="BP11" s="53" t="n">
        <v>2</v>
      </c>
      <c r="BQ11" s="53" t="inlineStr">
        <is>
          <t>Healthy</t>
        </is>
      </c>
      <c r="BR11" s="53" t="inlineStr">
        <is>
          <t>No</t>
        </is>
      </c>
      <c r="BS11" s="53" t="inlineStr">
        <is>
          <t>L7 – Head / Sr Director</t>
        </is>
      </c>
      <c r="BT11" s="53" t="inlineStr">
        <is>
          <t>L7 – Head / Sr Director</t>
        </is>
      </c>
      <c r="BU11" s="53" t="inlineStr">
        <is>
          <t>No designation change — current record value carried forward</t>
        </is>
      </c>
      <c r="BV11" s="53" t="inlineStr">
        <is>
          <t>Net Revenue Retention ≥100–105%​
Target ARR - to be achieved - INR 2.35 CR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BW11" s="53" t="n"/>
      <c r="BX11" s="53" t="n"/>
      <c r="BY11" s="53" t="n"/>
      <c r="BZ11" s="53" t="inlineStr">
        <is>
          <t>IRIS1335</t>
        </is>
      </c>
      <c r="CA11" s="53" t="inlineStr">
        <is>
          <t>Employee</t>
        </is>
      </c>
      <c r="CB11" s="53" t="inlineStr">
        <is>
          <t>Active</t>
        </is>
      </c>
      <c r="CC11" s="53" t="inlineStr">
        <is>
          <t>Anushree Aparajit</t>
        </is>
      </c>
      <c r="CD11" s="54" t="n">
        <v>41428</v>
      </c>
      <c r="CE11" s="53" t="inlineStr">
        <is>
          <t>Global Customer Success Head</t>
        </is>
      </c>
      <c r="CF11" s="53" t="inlineStr">
        <is>
          <t>Upsell, cross, improve NPS, follow up with tech team</t>
        </is>
      </c>
      <c r="CG11" s="53" t="inlineStr">
        <is>
          <t>Customer Success &amp; Support</t>
        </is>
      </c>
      <c r="CH11" s="53" t="inlineStr">
        <is>
          <t>Customer Support</t>
        </is>
      </c>
      <c r="CI11" s="53" t="inlineStr">
        <is>
          <t>Global Customer Success Head</t>
        </is>
      </c>
      <c r="CJ11" s="53" t="inlineStr">
        <is>
          <t>L7 – Head / Sr Director</t>
        </is>
      </c>
      <c r="CK11" s="53" t="inlineStr">
        <is>
          <t>Suman Adhikary</t>
        </is>
      </c>
      <c r="CL11" s="53" t="inlineStr">
        <is>
          <t>N-4</t>
        </is>
      </c>
      <c r="CM11" s="53" t="inlineStr">
        <is>
          <t>Manager</t>
        </is>
      </c>
      <c r="CN11" s="53" t="inlineStr">
        <is>
          <t>Regtech</t>
        </is>
      </c>
      <c r="CO11" s="53" t="inlineStr">
        <is>
          <t>Support</t>
        </is>
      </c>
      <c r="CP11" s="53" t="inlineStr">
        <is>
          <t>14 years, 4 months, 17 days</t>
        </is>
      </c>
      <c r="CQ11" s="53" t="inlineStr">
        <is>
          <t>Global Customer Success Head</t>
        </is>
      </c>
      <c r="CR11" s="53" t="inlineStr">
        <is>
          <t>No</t>
        </is>
      </c>
      <c r="CS11" s="53" t="n">
        <v>4</v>
      </c>
      <c r="CT11" s="53" t="inlineStr">
        <is>
          <t>Medium</t>
        </is>
      </c>
      <c r="CU11" s="53" t="inlineStr">
        <is>
          <t>High Impact / Growth Talent</t>
        </is>
      </c>
      <c r="CV11" s="53" t="n"/>
      <c r="CW11" s="53" t="n"/>
      <c r="CX11" s="53" t="inlineStr">
        <is>
          <t>Yes</t>
        </is>
      </c>
      <c r="CY11" s="53" t="n"/>
      <c r="CZ11" s="53" t="inlineStr">
        <is>
          <t>XBRL taxonomy &amp; regulatory updates; domain/accounting refreshers; quality &amp; accuracy practices; tooling proficiency | People management: goal-setting &amp; feedback, 1:1 coaching, performance conversations</t>
        </is>
      </c>
      <c r="DA11" s="53" t="inlineStr">
        <is>
          <t>Leadership development: strategic thinking, cross-functional influence, financial/business acumen, succession &amp; talent development, change management, executive communication</t>
        </is>
      </c>
      <c r="DB11" s="53" t="inlineStr">
        <is>
          <t>Suggested for standard designation like "Sr Director" / "Customer Success Head"</t>
        </is>
      </c>
      <c r="DC11" s="53" t="n"/>
      <c r="DD11" s="53" t="n"/>
      <c r="DE11" s="53" t="n"/>
      <c r="DF11" s="53" t="n"/>
      <c r="DG11" s="53" t="n"/>
      <c r="DH11" s="53" t="n"/>
      <c r="DI11" s="53" t="n"/>
      <c r="DJ11" s="53" t="n"/>
      <c r="DK11" s="53" t="n"/>
      <c r="DL11" s="53" t="n"/>
      <c r="DM11" s="53" t="n"/>
      <c r="DN11" s="53" t="n"/>
      <c r="DO11" s="53" t="n"/>
      <c r="DP11" s="53" t="n"/>
      <c r="DQ11" s="53" t="n"/>
      <c r="DR11" s="53" t="n"/>
      <c r="DS11" s="53" t="n"/>
      <c r="DT11" s="53" t="n"/>
      <c r="DU11" s="53" t="n"/>
      <c r="DV11" s="53" t="n"/>
      <c r="DW11" s="53" t="n"/>
      <c r="DX11" s="53" t="n"/>
      <c r="DY11" s="53" t="n"/>
      <c r="DZ11" s="53" t="n"/>
      <c r="EA11" s="53" t="n"/>
      <c r="EB11" s="53" t="n"/>
      <c r="EC11" s="53" t="n"/>
      <c r="ED11" s="53" t="n"/>
      <c r="EE11" s="53" t="n"/>
      <c r="EF11" s="53" t="n"/>
      <c r="EG11" s="53" t="n"/>
      <c r="EH11" s="53" t="n"/>
      <c r="EI11" s="53" t="n"/>
      <c r="EJ11" s="53" t="n"/>
      <c r="EK11" s="53" t="n"/>
      <c r="EL11" s="53" t="n"/>
      <c r="EM11" s="53" t="n"/>
      <c r="EN11" s="53" t="n"/>
      <c r="EO11" s="53" t="n"/>
      <c r="EP11" s="53" t="n"/>
      <c r="EQ11" s="53" t="n"/>
      <c r="ER11" s="53" t="n"/>
      <c r="ES11" s="53" t="n"/>
      <c r="ET11" s="53" t="n"/>
      <c r="EU11" s="53" t="n"/>
      <c r="EV11" s="53" t="n"/>
      <c r="EW11" s="52" t="n"/>
      <c r="EX11" s="53" t="n"/>
      <c r="EY11" s="53" t="n"/>
      <c r="EZ11" s="53" t="n"/>
      <c r="FA11" s="53" t="n"/>
      <c r="FB11" s="53" t="n"/>
      <c r="FC11" s="53" t="n"/>
      <c r="FD11" s="53" t="n"/>
      <c r="FE11" s="57" t="inlineStr">
        <is>
          <t>Net Revenue Retention ≥100–105%
Target ARR - to be achieved - INR 2.35 CR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FF11" s="56" t="n"/>
      <c r="FG11" s="56" t="n"/>
      <c r="FH11" s="56" t="n"/>
      <c r="FI11" s="56" t="inlineStr">
        <is>
          <t>Upsell, cross, improve NPS, follow up with tech team</t>
        </is>
      </c>
      <c r="FJ11" s="56" t="inlineStr">
        <is>
          <t>Received · manager annual</t>
        </is>
      </c>
      <c r="FK11" s="56" t="inlineStr">
        <is>
          <t>CARBON Mapping Master · CARBON Talent Mapping · Raw</t>
        </is>
      </c>
      <c r="FL11" s="56" t="n">
        <v>0</v>
      </c>
      <c r="FM11" s="32" t="inlineStr">
        <is>
          <t>No survey response on file</t>
        </is>
      </c>
      <c r="FN11" s="56" t="inlineStr">
        <is>
          <t>—</t>
        </is>
      </c>
      <c r="FO11" s="56" t="inlineStr">
        <is>
          <t>—</t>
        </is>
      </c>
      <c r="FP11" s="56" t="inlineStr">
        <is>
          <t>—</t>
        </is>
      </c>
      <c r="FQ11" s="56" t="inlineStr">
        <is>
          <t>—</t>
        </is>
      </c>
      <c r="FR11" s="56"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Moved +0.5: the survey / manager mapping marks it business-critical.</t>
        </is>
      </c>
      <c r="FS11" s="56" t="n"/>
      <c r="FT11" s="56" t="n"/>
      <c r="FU11" s="32" t="inlineStr">
        <is>
          <t>No survey response on file</t>
        </is>
      </c>
    </row>
    <row r="12" ht="90" customHeight="1">
      <c r="A12" s="51" t="inlineStr">
        <is>
          <t>◂ Back</t>
        </is>
      </c>
      <c r="B12" s="29" t="inlineStr">
        <is>
          <t>Mapped</t>
        </is>
      </c>
      <c r="C12" s="28" t="inlineStr">
        <is>
          <t>CARBON</t>
        </is>
      </c>
      <c r="D12" s="29" t="inlineStr">
        <is>
          <t>IRIS1935</t>
        </is>
      </c>
      <c r="E12" s="29" t="inlineStr">
        <is>
          <t>Chinmayi Patil</t>
        </is>
      </c>
      <c r="F12" s="29" t="inlineStr">
        <is>
          <t>Support</t>
        </is>
      </c>
      <c r="G12" s="29" t="inlineStr">
        <is>
          <t>Customer Success Manager</t>
        </is>
      </c>
      <c r="H12" s="29" t="inlineStr">
        <is>
          <t>Customer Success Specialist</t>
        </is>
      </c>
      <c r="I12" s="29" t="inlineStr">
        <is>
          <t>L5 – Manager</t>
        </is>
      </c>
      <c r="J12" s="29" t="inlineStr">
        <is>
          <t>B2</t>
        </is>
      </c>
      <c r="K12" s="29" t="inlineStr">
        <is>
          <t>▼ Down · protected</t>
        </is>
      </c>
      <c r="L12" s="29" t="inlineStr">
        <is>
          <t>Customer Success &amp; Support</t>
        </is>
      </c>
      <c r="M12" s="29" t="inlineStr">
        <is>
          <t>Customer Success &amp; Account Management</t>
        </is>
      </c>
      <c r="N12" s="29" t="n"/>
      <c r="O12" s="29" t="n">
        <v>20</v>
      </c>
      <c r="P12" s="28" t="inlineStr">
        <is>
          <t>P4 / M3</t>
        </is>
      </c>
      <c r="Q12" s="29" t="inlineStr">
        <is>
          <t>Senior / Manager</t>
        </is>
      </c>
      <c r="R12" s="29" t="inlineStr">
        <is>
          <t>4–5</t>
        </is>
      </c>
      <c r="S12" s="29" t="inlineStr">
        <is>
          <t>6–9 yrs</t>
        </is>
      </c>
      <c r="T12" s="29" t="inlineStr">
        <is>
          <t>7–10 · 6–11</t>
        </is>
      </c>
      <c r="U12" s="29" t="inlineStr">
        <is>
          <t>Senior Executive / CSM</t>
        </is>
      </c>
      <c r="V12" s="29" t="inlineStr">
        <is>
          <t>Workiva: Product Success Manager · IRIS Vs Competitor Benchmark — SaaS customer-success ladder: Senior CSM · IRIS Vs Competitor Benchmark — support tiers: Support Team Manager</t>
        </is>
      </c>
      <c r="W12" s="29" t="inlineStr">
        <is>
          <t>TSIA frameworks and benchmarks; ITIL 4 service desk; Gainsight customer-success practice</t>
        </is>
      </c>
      <c r="X12" s="29" t="inlineStr">
        <is>
          <t>Core 3 · Future 3 · Functional 4 · Leadership 2</t>
        </is>
      </c>
      <c r="Y12" s="52" t="n">
        <v>191</v>
      </c>
      <c r="Z12" s="53" t="inlineStr">
        <is>
          <t>IRIS1935</t>
        </is>
      </c>
      <c r="AA12" s="53" t="inlineStr">
        <is>
          <t>Employee</t>
        </is>
      </c>
      <c r="AB12" s="53" t="inlineStr">
        <is>
          <t>Active</t>
        </is>
      </c>
      <c r="AC12" s="53" t="inlineStr">
        <is>
          <t>Chinmayi Patil</t>
        </is>
      </c>
      <c r="AD12" s="54" t="n">
        <v>44403</v>
      </c>
      <c r="AE12" s="53" t="inlineStr">
        <is>
          <t>Customer Success Manager</t>
        </is>
      </c>
      <c r="AF12" s="53" t="inlineStr">
        <is>
          <t>MMS</t>
        </is>
      </c>
      <c r="AG12" s="53" t="inlineStr">
        <is>
          <t>Anushree Aparajit</t>
        </is>
      </c>
      <c r="AH12" s="53" t="inlineStr">
        <is>
          <t>N-5</t>
        </is>
      </c>
      <c r="AI12" s="53" t="inlineStr">
        <is>
          <t>Individual Contributor</t>
        </is>
      </c>
      <c r="AJ12" s="53" t="inlineStr">
        <is>
          <t>0 years, 0 months, 0 days</t>
        </is>
      </c>
      <c r="AK12" s="53" t="inlineStr">
        <is>
          <t>5 years, 0 months, 30 days</t>
        </is>
      </c>
      <c r="AL12" s="53" t="inlineStr">
        <is>
          <t>Regtech</t>
        </is>
      </c>
      <c r="AM12" s="53" t="inlineStr">
        <is>
          <t>CARBON</t>
        </is>
      </c>
      <c r="AN12" s="53" t="inlineStr">
        <is>
          <t>Support</t>
        </is>
      </c>
      <c r="AO12" s="53" t="inlineStr">
        <is>
          <t>Client Engagement</t>
        </is>
      </c>
      <c r="AP12" s="53" t="inlineStr">
        <is>
          <t>No</t>
        </is>
      </c>
      <c r="AQ12" s="53" t="inlineStr">
        <is>
          <t>Client Engagement</t>
        </is>
      </c>
      <c r="AR12" s="53" t="inlineStr">
        <is>
          <t>XBRL Domain</t>
        </is>
      </c>
      <c r="AS12" s="53" t="inlineStr">
        <is>
          <t>Non-technical</t>
        </is>
      </c>
      <c r="AT12" s="53" t="n">
        <v>20</v>
      </c>
      <c r="AU12" s="53" t="inlineStr">
        <is>
          <t>Covered</t>
        </is>
      </c>
      <c r="AV12" s="53" t="inlineStr">
        <is>
          <t>IRIS1935</t>
        </is>
      </c>
      <c r="AW12" s="53" t="inlineStr">
        <is>
          <t>Chinmayi Patil</t>
        </is>
      </c>
      <c r="AX12" s="53" t="inlineStr">
        <is>
          <t>Support</t>
        </is>
      </c>
      <c r="AY12" s="53" t="inlineStr">
        <is>
          <t>Customer Success &amp; Support</t>
        </is>
      </c>
      <c r="AZ12" s="53" t="inlineStr">
        <is>
          <t>Customer Success</t>
        </is>
      </c>
      <c r="BA12" s="53" t="n"/>
      <c r="BB12" s="53" t="n"/>
      <c r="BC12" s="53" t="inlineStr">
        <is>
          <t>Employee</t>
        </is>
      </c>
      <c r="BD12" s="53" t="inlineStr">
        <is>
          <t>Anushree Aparajit</t>
        </is>
      </c>
      <c r="BE12" s="53" t="inlineStr">
        <is>
          <t>Anushree Aparajit</t>
        </is>
      </c>
      <c r="BF12" s="53" t="inlineStr">
        <is>
          <t>No</t>
        </is>
      </c>
      <c r="BG12" s="53" t="inlineStr">
        <is>
          <t>Customer Success Manager</t>
        </is>
      </c>
      <c r="BH12" s="53" t="inlineStr">
        <is>
          <t>Sr.Customer Engagement Manager</t>
        </is>
      </c>
      <c r="BI12" s="53" t="inlineStr">
        <is>
          <t>Yes</t>
        </is>
      </c>
      <c r="BJ12" s="53" t="inlineStr">
        <is>
          <t>—</t>
        </is>
      </c>
      <c r="BK12" s="53" t="inlineStr">
        <is>
          <t>—</t>
        </is>
      </c>
      <c r="BL12" s="53" t="inlineStr">
        <is>
          <t>—</t>
        </is>
      </c>
      <c r="BM12" s="53" t="inlineStr">
        <is>
          <t>Not a manager</t>
        </is>
      </c>
      <c r="BN12" s="53" t="inlineStr">
        <is>
          <t>—</t>
        </is>
      </c>
      <c r="BO12" s="53" t="inlineStr">
        <is>
          <t>—</t>
        </is>
      </c>
      <c r="BP12" s="53" t="inlineStr">
        <is>
          <t>—</t>
        </is>
      </c>
      <c r="BQ12" s="53" t="inlineStr">
        <is>
          <t>Not a manager</t>
        </is>
      </c>
      <c r="BR12" s="53" t="inlineStr">
        <is>
          <t>—</t>
        </is>
      </c>
      <c r="BS12" s="53" t="inlineStr">
        <is>
          <t>L5 – Manager</t>
        </is>
      </c>
      <c r="BT12" s="53" t="inlineStr">
        <is>
          <t>L2</t>
        </is>
      </c>
      <c r="BU12" s="53" t="inlineStr">
        <is>
          <t>Matched from Title Hierarchy · new designation</t>
        </is>
      </c>
      <c r="BV12" s="53" t="inlineStr">
        <is>
          <t>Net Revenue Retention ≥100–105%​
Target ARR - to be achieved: INR 3000000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BW12" s="53" t="n"/>
      <c r="BX12" s="53" t="inlineStr">
        <is>
          <t>US; Brazil; India.</t>
        </is>
      </c>
      <c r="BY12" s="53" t="n"/>
      <c r="BZ12" s="53" t="inlineStr">
        <is>
          <t>IRIS1935</t>
        </is>
      </c>
      <c r="CA12" s="53" t="inlineStr">
        <is>
          <t>Employee</t>
        </is>
      </c>
      <c r="CB12" s="53" t="inlineStr">
        <is>
          <t>Active</t>
        </is>
      </c>
      <c r="CC12" s="53" t="inlineStr">
        <is>
          <t>Chinmayi Patil</t>
        </is>
      </c>
      <c r="CD12" s="54" t="n">
        <v>44403</v>
      </c>
      <c r="CE12" s="53" t="inlineStr">
        <is>
          <t>Customer Success Manager</t>
        </is>
      </c>
      <c r="CF12" s="53" t="inlineStr">
        <is>
          <t>Upsell, cross, improve NPS, follow up with tech team · USMarket</t>
        </is>
      </c>
      <c r="CG12" s="53" t="inlineStr">
        <is>
          <t>Customer Success &amp; Support</t>
        </is>
      </c>
      <c r="CH12" s="53" t="inlineStr">
        <is>
          <t>Customer Support</t>
        </is>
      </c>
      <c r="CI12" s="53" t="inlineStr">
        <is>
          <t>Customer Engagement Manager</t>
        </is>
      </c>
      <c r="CJ12" s="53" t="inlineStr">
        <is>
          <t>L5 – Manager</t>
        </is>
      </c>
      <c r="CK12" s="53" t="inlineStr">
        <is>
          <t>Anushree Aparajit</t>
        </is>
      </c>
      <c r="CL12" s="53" t="inlineStr">
        <is>
          <t>N-5</t>
        </is>
      </c>
      <c r="CM12" s="53" t="inlineStr">
        <is>
          <t>Individual Contributor</t>
        </is>
      </c>
      <c r="CN12" s="53" t="inlineStr">
        <is>
          <t>Regtech</t>
        </is>
      </c>
      <c r="CO12" s="53" t="inlineStr">
        <is>
          <t>Support</t>
        </is>
      </c>
      <c r="CP12" s="53" t="inlineStr">
        <is>
          <t>4 years, 10 months, 25 days</t>
        </is>
      </c>
      <c r="CQ12" s="53" t="inlineStr">
        <is>
          <t>Customer Engagement Manager</t>
        </is>
      </c>
      <c r="CR12" s="53" t="inlineStr">
        <is>
          <t>No</t>
        </is>
      </c>
      <c r="CS12" s="53" t="n">
        <v>4</v>
      </c>
      <c r="CT12" s="53" t="inlineStr">
        <is>
          <t>High</t>
        </is>
      </c>
      <c r="CU12" s="53" t="inlineStr">
        <is>
          <t>Future Leader</t>
        </is>
      </c>
      <c r="CV12" s="53" t="inlineStr">
        <is>
          <t>Yes</t>
        </is>
      </c>
      <c r="CW12" s="53" t="inlineStr">
        <is>
          <t>Yes</t>
        </is>
      </c>
      <c r="CX12" s="53" t="inlineStr">
        <is>
          <t>Yes</t>
        </is>
      </c>
      <c r="CY12" s="53" t="inlineStr">
        <is>
          <t>Y</t>
        </is>
      </c>
      <c r="CZ12" s="53" t="inlineStr">
        <is>
          <t>XBRL taxonomy &amp; regulatory updates; domain/accounting refreshers; quality &amp; accuracy practices; Data security and management</t>
        </is>
      </c>
      <c r="DA12" s="53" t="inlineStr">
        <is>
          <t>Data security and Management aspects to be brushed up to handle InfoSec queries from the US. Communication shrpening needed to scale up the talk tracks with Big 4s. In-person meetings/ trainings is a must for Chinmayi to be explored now to enhance her visibility.</t>
        </is>
      </c>
      <c r="DB12" s="53" t="inlineStr">
        <is>
          <t>Title to be standardized to: Customer Engagement Manager</t>
        </is>
      </c>
      <c r="DC12" s="53" t="n"/>
      <c r="DD12" s="53" t="n"/>
      <c r="DE12" s="53" t="n"/>
      <c r="DF12" s="53" t="n"/>
      <c r="DG12" s="53" t="n"/>
      <c r="DH12" s="53" t="n"/>
      <c r="DI12" s="53" t="n"/>
      <c r="DJ12" s="53" t="n"/>
      <c r="DK12" s="53" t="n"/>
      <c r="DL12" s="53" t="n"/>
      <c r="DM12" s="53" t="n"/>
      <c r="DN12" s="53" t="n"/>
      <c r="DO12" s="53" t="n"/>
      <c r="DP12" s="53" t="n"/>
      <c r="DQ12" s="53" t="n"/>
      <c r="DR12" s="53" t="n"/>
      <c r="DS12" s="53" t="n"/>
      <c r="DT12" s="53" t="n"/>
      <c r="DU12" s="53" t="n"/>
      <c r="DV12" s="53" t="n"/>
      <c r="DW12" s="53" t="n"/>
      <c r="DX12" s="53" t="n"/>
      <c r="DY12" s="53" t="n"/>
      <c r="DZ12" s="53" t="n"/>
      <c r="EA12" s="53" t="n"/>
      <c r="EB12" s="53" t="n"/>
      <c r="EC12" s="53" t="n"/>
      <c r="ED12" s="53" t="n"/>
      <c r="EE12" s="53" t="n"/>
      <c r="EF12" s="53" t="n"/>
      <c r="EG12" s="53" t="n"/>
      <c r="EH12" s="53" t="n"/>
      <c r="EI12" s="53" t="n"/>
      <c r="EJ12" s="53" t="n"/>
      <c r="EK12" s="53" t="n"/>
      <c r="EL12" s="53" t="n"/>
      <c r="EM12" s="53" t="n"/>
      <c r="EN12" s="53" t="n"/>
      <c r="EO12" s="53" t="n"/>
      <c r="EP12" s="53" t="n"/>
      <c r="EQ12" s="53" t="n"/>
      <c r="ER12" s="53" t="n"/>
      <c r="ES12" s="53" t="n"/>
      <c r="ET12" s="53" t="n"/>
      <c r="EU12" s="53" t="n"/>
      <c r="EV12" s="53" t="n"/>
      <c r="EW12" s="52" t="n"/>
      <c r="EX12" s="53" t="inlineStr">
        <is>
          <t>• Role / sub-team: Support — Customer Success Manager.
• Core purpose: Post sales customer journey, retention and renewal, up sell and cross sell of other products for account expansion and revenue growth.
• Decision-making autonomy: Can independently product training material.
• Is this something only they do: Most of us.
• What's different about this role: Product self help videos.</t>
        </is>
      </c>
      <c r="EY12" s="53" t="inlineStr">
        <is>
          <t>• Key responsibilities include: Tracker update; Product self help videos.
• Personally accountable for: Account retention &amp; renewal; Invoicing and timely payment.
• Impact if missed or done wrong: Internal review and next steps.
• How measured: Same as everyone.</t>
        </is>
      </c>
      <c r="EZ12" s="53" t="inlineStr">
        <is>
          <t>• Current capabilities: Communication; Basic finance knowledge.
• Tools / software used: Excel and Word.
• Workload: Rated a heavy load · 4/5 in a typical week.
• Judgment/way of working: Negotiations.</t>
        </is>
      </c>
      <c r="FA12" s="53" t="inlineStr">
        <is>
          <t>• Development priorities: PMO certification; Exposure to customer meetings.
• Learning and Development Need: Feedback and acc reviews. Handling tough conversations; Legal negotiations.
• Role evolving toward: New project with advanced deliverables; Sales target.</t>
        </is>
      </c>
      <c r="FB12" s="53" t="inlineStr">
        <is>
          <t>• Key challenges: Clarity and approvals.
• Support required: Defined shift time.</t>
        </is>
      </c>
      <c r="FC12" s="53" t="n"/>
      <c r="FD12" s="53" t="n"/>
      <c r="FE12" s="57" t="inlineStr">
        <is>
          <t>Net Revenue Retention ≥100–105%
Target ARR - to be achieved: INR 3000000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FF12" s="56" t="n"/>
      <c r="FG12" s="56" t="n"/>
      <c r="FH12" s="56" t="n"/>
      <c r="FI12" s="56" t="inlineStr">
        <is>
          <t>Upsell, cross, improve NPS, follow up with tech team · USMarket</t>
        </is>
      </c>
      <c r="FJ12" s="56" t="inlineStr">
        <is>
          <t>Received · manager annual</t>
        </is>
      </c>
      <c r="FK12" s="56" t="inlineStr">
        <is>
          <t>CARBON Mapping Master · CARBON Talent Mapping · Raw</t>
        </is>
      </c>
      <c r="FL12" s="56" t="n">
        <v>20</v>
      </c>
      <c r="FM12" s="56" t="inlineStr">
        <is>
          <t>• Role / sub-team: Support — Customer Success Manager.
• Core purpose: Post sales customer journey, retention and renewal, up sell and cross sell of other products for account expansion and revenue growth.
• Decision-making autonomy: Can independently product training material.
• Is this something only they do: Most of us.
• What's different about this role: Product self help videos.</t>
        </is>
      </c>
      <c r="FN12" s="56" t="inlineStr">
        <is>
          <t>• Key responsibilities include: Tracker update; Product self help videos.
• Personally accountable for: Account retention &amp; renewal; Invoicing and timely payment.
• Impact if missed or done wrong: Internal review and next steps.
• How measured: Same as everyone.</t>
        </is>
      </c>
      <c r="FO12" s="56" t="inlineStr">
        <is>
          <t>• Current capabilities: Communication; Basic finance knowledge.
• Tools / software used: Excel and Word.
• Workload: Rated a heavy load · 4/5 in a typical week.
• Judgment/way of working: Negotiations.</t>
        </is>
      </c>
      <c r="FP12" s="56" t="inlineStr">
        <is>
          <t>• Development priorities: PMO certification; Exposure to customer meetings.
• Learning and Development Need: Feedback and acc reviews. Handling tough conversations; Legal negotiations.
• Role evolving toward: New project with advanced deliverables; Sales target.</t>
        </is>
      </c>
      <c r="FQ12" s="56" t="inlineStr">
        <is>
          <t>• Key challenges: Clarity and approvals.
• Support required: Defined shift time.</t>
        </is>
      </c>
      <c r="FR12" s="56" t="inlineStr">
        <is>
          <t>Complexity: Evidence reads like A2: Listed duties are tracker updates and product self-help videos; basic finance knowledge → moved down 0.5
Autonomy: Evidence reads like A2: Decides independently only on product training material → moved down 0.5
Accountability: Evidence reads like B1: Account retention and renewal, invoicing and timely payment for own accounts → moved down 0.5
Leadership: Evidence reads like A1: No guidance of others described → moved down 0.5
Business Impact: Moved +0.5: the survey / manager mapping marks it business-critical.</t>
        </is>
      </c>
      <c r="FS12" s="56" t="inlineStr">
        <is>
          <t>Common themes in role-holders' answers: cross improve · upsell cross · nps follow · tech · improve nps · us market
Common themes in role-holders' answers: product · renewals · upsell · cross sell · update · testing
Common themes in role-holders' answers: client · customer
Common themes in role-holders' answers: retention · renewals · sell · cross · maintaining · invoicing</t>
        </is>
      </c>
      <c r="FT12" s="56" t="inlineStr">
        <is>
          <t>Self-identified: Client, sales &amp; stakeholders · Communication &amp; presentation · Certification / formal course · Broader exposure &amp; ownership
For the next role: Client, sales &amp; stakeholders · Communication &amp; presentation · Certification / formal course · Broader exposure &amp; ownership</t>
        </is>
      </c>
      <c r="FU12" s="56" t="inlineStr">
        <is>
          <t>Per-person summary · CARBON Mapping Master</t>
        </is>
      </c>
    </row>
    <row r="13" ht="90" customHeight="1">
      <c r="A13" s="51" t="inlineStr">
        <is>
          <t>◂ Back</t>
        </is>
      </c>
      <c r="B13" s="29" t="inlineStr">
        <is>
          <t>Mapped</t>
        </is>
      </c>
      <c r="C13" s="28" t="inlineStr">
        <is>
          <t>CARBON</t>
        </is>
      </c>
      <c r="D13" s="29" t="inlineStr">
        <is>
          <t>IRIS1963</t>
        </is>
      </c>
      <c r="E13" s="29" t="inlineStr">
        <is>
          <t>Neha Gajbhiye</t>
        </is>
      </c>
      <c r="F13" s="29" t="inlineStr">
        <is>
          <t>Support</t>
        </is>
      </c>
      <c r="G13" s="29" t="inlineStr">
        <is>
          <t>Manager- Customer Engagement</t>
        </is>
      </c>
      <c r="H13" s="29" t="inlineStr">
        <is>
          <t>Senior Customer Success Specialist – POD Lead</t>
        </is>
      </c>
      <c r="I13" s="29" t="inlineStr">
        <is>
          <t>L5 – Manager</t>
        </is>
      </c>
      <c r="J13" s="29" t="inlineStr">
        <is>
          <t>B2</t>
        </is>
      </c>
      <c r="K13" s="29" t="inlineStr">
        <is>
          <t>• Same level</t>
        </is>
      </c>
      <c r="L13" s="29" t="inlineStr">
        <is>
          <t>Customer Success &amp; Support</t>
        </is>
      </c>
      <c r="M13" s="29" t="inlineStr">
        <is>
          <t>Customer Success &amp; Account Management</t>
        </is>
      </c>
      <c r="N13" s="29" t="n"/>
      <c r="O13" s="29" t="n">
        <v>20</v>
      </c>
      <c r="P13" s="28" t="inlineStr">
        <is>
          <t>P4 / M3</t>
        </is>
      </c>
      <c r="Q13" s="29" t="inlineStr">
        <is>
          <t>Senior / Manager</t>
        </is>
      </c>
      <c r="R13" s="29" t="inlineStr">
        <is>
          <t>4–5</t>
        </is>
      </c>
      <c r="S13" s="29" t="inlineStr">
        <is>
          <t>6–9 yrs</t>
        </is>
      </c>
      <c r="T13" s="29" t="inlineStr">
        <is>
          <t>7–10 · 6–11</t>
        </is>
      </c>
      <c r="U13" s="29" t="inlineStr">
        <is>
          <t>Senior CSM / Support Specialist</t>
        </is>
      </c>
      <c r="V13" s="29" t="inlineStr">
        <is>
          <t>Workiva: Product Success Manager · IRIS Vs Competitor Benchmark — SaaS customer-success ladder: Senior CSM · IRIS Vs Competitor Benchmark — support tiers: Support Team Manager</t>
        </is>
      </c>
      <c r="W13" s="29" t="inlineStr">
        <is>
          <t>TSIA frameworks and benchmarks; ITIL 4 service desk; Gainsight customer-success practice</t>
        </is>
      </c>
      <c r="X13" s="29" t="inlineStr">
        <is>
          <t>Core 3 · Future 3 · Functional 4 · Leadership 3</t>
        </is>
      </c>
      <c r="Y13" s="52" t="n">
        <v>202</v>
      </c>
      <c r="Z13" s="53" t="inlineStr">
        <is>
          <t>IRIS1963</t>
        </is>
      </c>
      <c r="AA13" s="53" t="inlineStr">
        <is>
          <t>Employee</t>
        </is>
      </c>
      <c r="AB13" s="53" t="inlineStr">
        <is>
          <t>Active</t>
        </is>
      </c>
      <c r="AC13" s="53" t="inlineStr">
        <is>
          <t>Neha Gajbhiye</t>
        </is>
      </c>
      <c r="AD13" s="54" t="n">
        <v>44494</v>
      </c>
      <c r="AE13" s="53" t="inlineStr">
        <is>
          <t>Manager- Customer Engagement</t>
        </is>
      </c>
      <c r="AF13" s="53" t="inlineStr">
        <is>
          <t>MBA</t>
        </is>
      </c>
      <c r="AG13" s="53" t="inlineStr">
        <is>
          <t>Anushree Aparajit</t>
        </is>
      </c>
      <c r="AH13" s="53" t="inlineStr">
        <is>
          <t>N-5</t>
        </is>
      </c>
      <c r="AI13" s="53" t="inlineStr">
        <is>
          <t>Manager</t>
        </is>
      </c>
      <c r="AJ13" s="53" t="inlineStr">
        <is>
          <t>11 years, 4 months, 0 days</t>
        </is>
      </c>
      <c r="AK13" s="53" t="inlineStr">
        <is>
          <t>4 years, 10 months, 0 days</t>
        </is>
      </c>
      <c r="AL13" s="53" t="inlineStr">
        <is>
          <t>Regtech</t>
        </is>
      </c>
      <c r="AM13" s="53" t="inlineStr">
        <is>
          <t>CARBON</t>
        </is>
      </c>
      <c r="AN13" s="53" t="inlineStr">
        <is>
          <t>Support</t>
        </is>
      </c>
      <c r="AO13" s="53" t="inlineStr">
        <is>
          <t>Client Engagement</t>
        </is>
      </c>
      <c r="AP13" s="53" t="inlineStr">
        <is>
          <t>No</t>
        </is>
      </c>
      <c r="AQ13" s="53" t="inlineStr">
        <is>
          <t>Client Engagement</t>
        </is>
      </c>
      <c r="AR13" s="53" t="inlineStr">
        <is>
          <t>XBRL Domain</t>
        </is>
      </c>
      <c r="AS13" s="53" t="inlineStr">
        <is>
          <t>Non-technical</t>
        </is>
      </c>
      <c r="AT13" s="53" t="n">
        <v>20</v>
      </c>
      <c r="AU13" s="53" t="inlineStr">
        <is>
          <t>Covered</t>
        </is>
      </c>
      <c r="AV13" s="53" t="inlineStr">
        <is>
          <t>IRIS1963</t>
        </is>
      </c>
      <c r="AW13" s="53" t="inlineStr">
        <is>
          <t>Neha Gajbhiye</t>
        </is>
      </c>
      <c r="AX13" s="53" t="inlineStr">
        <is>
          <t>Support</t>
        </is>
      </c>
      <c r="AY13" s="53" t="inlineStr">
        <is>
          <t>Customer Success &amp; Support</t>
        </is>
      </c>
      <c r="AZ13" s="53" t="inlineStr">
        <is>
          <t>Customer Success</t>
        </is>
      </c>
      <c r="BA13" s="53" t="n"/>
      <c r="BB13" s="53" t="n"/>
      <c r="BC13" s="53" t="inlineStr">
        <is>
          <t>Employee</t>
        </is>
      </c>
      <c r="BD13" s="53" t="inlineStr">
        <is>
          <t>Anushree Aparajit</t>
        </is>
      </c>
      <c r="BE13" s="53" t="inlineStr">
        <is>
          <t>Anushree Aparajit</t>
        </is>
      </c>
      <c r="BF13" s="53" t="inlineStr">
        <is>
          <t>No</t>
        </is>
      </c>
      <c r="BG13" s="53" t="inlineStr">
        <is>
          <t>Manager- Customer Engagement</t>
        </is>
      </c>
      <c r="BH13" s="53" t="inlineStr">
        <is>
          <t>Sr.Customer Engagement Manager</t>
        </is>
      </c>
      <c r="BI13" s="53" t="inlineStr">
        <is>
          <t>Yes</t>
        </is>
      </c>
      <c r="BJ13" s="53" t="n">
        <v>1</v>
      </c>
      <c r="BK13" s="53" t="n">
        <v>0</v>
      </c>
      <c r="BL13" s="53" t="n">
        <v>1</v>
      </c>
      <c r="BM13" s="53" t="inlineStr">
        <is>
          <t>Consolidate / flatten</t>
        </is>
      </c>
      <c r="BN13" s="53" t="n">
        <v>1</v>
      </c>
      <c r="BO13" s="53" t="n">
        <v>0</v>
      </c>
      <c r="BP13" s="53" t="n">
        <v>1</v>
      </c>
      <c r="BQ13" s="53" t="inlineStr">
        <is>
          <t>Consolidate / flatten</t>
        </is>
      </c>
      <c r="BR13" s="53" t="inlineStr">
        <is>
          <t>No</t>
        </is>
      </c>
      <c r="BS13" s="53" t="inlineStr">
        <is>
          <t>L5 – Manager</t>
        </is>
      </c>
      <c r="BT13" s="53" t="inlineStr">
        <is>
          <t>L4</t>
        </is>
      </c>
      <c r="BU13" s="53" t="inlineStr">
        <is>
          <t>Matched from Title Hierarchy · new designation</t>
        </is>
      </c>
      <c r="BV13" s="53" t="inlineStr">
        <is>
          <t>Net Revenue Retention ≥100–105%​
Target ARR - to be achieved: INR 1700000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BW13" s="53" t="n"/>
      <c r="BX13" s="53" t="inlineStr">
        <is>
          <t>Europe; India; Nigeria; Singapore.</t>
        </is>
      </c>
      <c r="BY13" s="53" t="n"/>
      <c r="BZ13" s="53" t="inlineStr">
        <is>
          <t>IRIS1963</t>
        </is>
      </c>
      <c r="CA13" s="53" t="inlineStr">
        <is>
          <t>Employee</t>
        </is>
      </c>
      <c r="CB13" s="53" t="inlineStr">
        <is>
          <t>Active</t>
        </is>
      </c>
      <c r="CC13" s="53" t="inlineStr">
        <is>
          <t>Neha Gajbhiye</t>
        </is>
      </c>
      <c r="CD13" s="54" t="n">
        <v>44494</v>
      </c>
      <c r="CE13" s="53" t="inlineStr">
        <is>
          <t>Manager- Customer Engagement</t>
        </is>
      </c>
      <c r="CF13" s="53" t="inlineStr">
        <is>
          <t>Upsell, cross, improve NPS, follow up with tech team · Non US Market</t>
        </is>
      </c>
      <c r="CG13" s="53" t="inlineStr">
        <is>
          <t>Customer Success &amp; Support</t>
        </is>
      </c>
      <c r="CH13" s="53" t="inlineStr">
        <is>
          <t>Customer Support</t>
        </is>
      </c>
      <c r="CI13" s="53" t="inlineStr">
        <is>
          <t>Customer Engagement Lead</t>
        </is>
      </c>
      <c r="CJ13" s="53" t="inlineStr">
        <is>
          <t>L5 – Manager</t>
        </is>
      </c>
      <c r="CK13" s="53" t="inlineStr">
        <is>
          <t>Anushree Aparajit</t>
        </is>
      </c>
      <c r="CL13" s="53" t="inlineStr">
        <is>
          <t>N-5</t>
        </is>
      </c>
      <c r="CM13" s="53" t="inlineStr">
        <is>
          <t>Player Cum Coach</t>
        </is>
      </c>
      <c r="CN13" s="53" t="inlineStr">
        <is>
          <t>Regtech</t>
        </is>
      </c>
      <c r="CO13" s="53" t="inlineStr">
        <is>
          <t>Support</t>
        </is>
      </c>
      <c r="CP13" s="53" t="inlineStr">
        <is>
          <t>15 years, 11 months, 26 days</t>
        </is>
      </c>
      <c r="CQ13" s="53" t="inlineStr">
        <is>
          <t>Customer Engagement Lead</t>
        </is>
      </c>
      <c r="CR13" s="53" t="inlineStr">
        <is>
          <t>No</t>
        </is>
      </c>
      <c r="CS13" s="53" t="n">
        <v>4</v>
      </c>
      <c r="CT13" s="53" t="inlineStr">
        <is>
          <t>High</t>
        </is>
      </c>
      <c r="CU13" s="53" t="inlineStr">
        <is>
          <t>High Impact / Growth Talent</t>
        </is>
      </c>
      <c r="CV13" s="53" t="inlineStr">
        <is>
          <t>Yes</t>
        </is>
      </c>
      <c r="CW13" s="53" t="inlineStr">
        <is>
          <t>Yes</t>
        </is>
      </c>
      <c r="CX13" s="53" t="inlineStr">
        <is>
          <t>Yes</t>
        </is>
      </c>
      <c r="CY13" s="53" t="inlineStr">
        <is>
          <t>Y</t>
        </is>
      </c>
      <c r="CZ13" s="53" t="inlineStr">
        <is>
          <t>Quality &amp; accuracy practices| People management: goal-setting &amp; feedback, 1:1 coaching, performance conversations</t>
        </is>
      </c>
      <c r="DA13" s="53" t="inlineStr">
        <is>
          <t>Personality Development and C-suite communication for expansion</t>
        </is>
      </c>
      <c r="DB13" s="53" t="inlineStr">
        <is>
          <t>Neha needs extensive Personality and speech training to scale up for c-suite communications and pricing discussions along with standard Contractual clause interpretation and understanding.Title to be standardized to; Customer Engagement Lead</t>
        </is>
      </c>
      <c r="DC13" s="53" t="n"/>
      <c r="DD13" s="53" t="n"/>
      <c r="DE13" s="53" t="n"/>
      <c r="DF13" s="53" t="n"/>
      <c r="DG13" s="53" t="n"/>
      <c r="DH13" s="53" t="n"/>
      <c r="DI13" s="53" t="n"/>
      <c r="DJ13" s="53" t="n"/>
      <c r="DK13" s="53" t="n"/>
      <c r="DL13" s="53" t="n"/>
      <c r="DM13" s="53" t="n"/>
      <c r="DN13" s="53" t="n"/>
      <c r="DO13" s="53" t="n"/>
      <c r="DP13" s="53" t="n"/>
      <c r="DQ13" s="53" t="n"/>
      <c r="DR13" s="53" t="n"/>
      <c r="DS13" s="53" t="n"/>
      <c r="DT13" s="53" t="n"/>
      <c r="DU13" s="53" t="n"/>
      <c r="DV13" s="53" t="n"/>
      <c r="DW13" s="53" t="n"/>
      <c r="DX13" s="53" t="n"/>
      <c r="DY13" s="53" t="n"/>
      <c r="DZ13" s="53" t="n"/>
      <c r="EA13" s="53" t="n"/>
      <c r="EB13" s="53" t="n"/>
      <c r="EC13" s="53" t="n"/>
      <c r="ED13" s="53" t="n"/>
      <c r="EE13" s="53" t="n"/>
      <c r="EF13" s="53" t="n"/>
      <c r="EG13" s="53" t="n"/>
      <c r="EH13" s="53" t="n"/>
      <c r="EI13" s="53" t="n"/>
      <c r="EJ13" s="53" t="n"/>
      <c r="EK13" s="53" t="n"/>
      <c r="EL13" s="53" t="n"/>
      <c r="EM13" s="53" t="n"/>
      <c r="EN13" s="53" t="n"/>
      <c r="EO13" s="53" t="n"/>
      <c r="EP13" s="53" t="n"/>
      <c r="EQ13" s="53" t="n"/>
      <c r="ER13" s="53" t="n"/>
      <c r="ES13" s="53" t="n"/>
      <c r="ET13" s="53" t="n"/>
      <c r="EU13" s="53" t="n"/>
      <c r="EV13" s="53" t="n"/>
      <c r="EW13" s="52" t="n"/>
      <c r="EX13" s="53" t="inlineStr">
        <is>
          <t>• Role / sub-team: Support — Manager- Customer Engagement.
• Core purpose: Client interaction, Domain expertise, Go live,  platform enablement, training and end to end hypercare.
• Decision-making autonomy: Can independently trainings only.
• Is this something only they do: Everyone does the same but in different geos.
• What's different about this role: Handling Muliple Geos, mandates and countries.</t>
        </is>
      </c>
      <c r="EY13" s="53" t="inlineStr">
        <is>
          <t>• Key responsibilities include: Customer care; Renewals; Upsell; Cross sell; Feedbacks.
• Personally accountable for: Renewals, upsell, crosssell, outstanding payments, NPS/CSAT; Renewals, upsell, cross sell.
• Impact if missed or done wrong: Missed the bus if renewals were missed.
• How measured: Same as everyone.</t>
        </is>
      </c>
      <c r="EZ13" s="53" t="inlineStr">
        <is>
          <t>• Current capabilities: Communication skills; Domain knowledge; Client interaction; Handles SAAS platform; Xml.
• Tools / software used: Notepad; Textpad; Hubspot.
• Workload: Rated a heavy load · 4/5 in a typical week.
• Judgment/way of working: Communicating and Negotiation.</t>
        </is>
      </c>
      <c r="FA13" s="53" t="inlineStr">
        <is>
          <t>• Development priorities: Data management project management.
• Learning and Development Need: In person client meetings; Sales pitch negotiation. Learn to say No.
• Role evolving toward: Renewals, upsell, cross sell, invoices and payments, targets added, same designation.</t>
        </is>
      </c>
      <c r="FB13" s="53" t="inlineStr">
        <is>
          <t>• Key challenges: Approval process; Getting agreements done; Explaining same thing to.
• Support required: Streamlining approval process.</t>
        </is>
      </c>
      <c r="FC13" s="53" t="n"/>
      <c r="FD13" s="53" t="n"/>
      <c r="FE13" s="57" t="inlineStr">
        <is>
          <t>Net Revenue Retention ≥100–105%
Target ARR - to be achieved: INR 1700000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FF13" s="56" t="n"/>
      <c r="FG13" s="56" t="n"/>
      <c r="FH13" s="56" t="n"/>
      <c r="FI13" s="56" t="inlineStr">
        <is>
          <t>Upsell, cross, improve NPS, follow up with tech team · Non US Market</t>
        </is>
      </c>
      <c r="FJ13" s="56" t="inlineStr">
        <is>
          <t>Received · manager annual</t>
        </is>
      </c>
      <c r="FK13" s="56" t="inlineStr">
        <is>
          <t>CARBON Mapping Master · CARBON Talent Mapping · Raw</t>
        </is>
      </c>
      <c r="FL13" s="56" t="n">
        <v>20</v>
      </c>
      <c r="FM13" s="56" t="inlineStr">
        <is>
          <t>• Role / sub-team: Support — Manager- Customer Engagement.
• Core purpose: Client interaction, Domain expertise, Go live,  platform enablement, training and end to end hypercare.
• Decision-making autonomy: Can independently trainings only.
• Is this something only they do: Everyone does the same but in different geos.
• What's different about this role: Handling Muliple Geos, mandates and countries.</t>
        </is>
      </c>
      <c r="FN13" s="56" t="inlineStr">
        <is>
          <t>• Key responsibilities include: Customer care; Renewals; Upsell; Cross sell; Feedbacks.
• Personally accountable for: Renewals, upsell, crosssell, outstanding payments, NPS/CSAT; Renewals, upsell, cross sell.
• Impact if missed or done wrong: Missed the bus if renewals were missed.
• How measured: Same as everyone.</t>
        </is>
      </c>
      <c r="FO13" s="56" t="inlineStr">
        <is>
          <t>• Current capabilities: Communication skills; Domain knowledge; Client interaction; Handles SAAS platform; Xml.
• Tools / software used: Notepad; Textpad; Hubspot.
• Workload: Rated a heavy load · 4/5 in a typical week.
• Judgment/way of working: Communicating and Negotiation.</t>
        </is>
      </c>
      <c r="FP13" s="56" t="inlineStr">
        <is>
          <t>• Development priorities: Data management project management.
• Learning and Development Need: In person client meetings; Sales pitch negotiation. Learn to say No.
• Role evolving toward: Renewals, upsell, cross sell, invoices and payments, targets added, same designation.</t>
        </is>
      </c>
      <c r="FQ13" s="56" t="inlineStr">
        <is>
          <t>• Key challenges: Approval process; Getting agreements done; Explaining same thing to.
• Support required: Streamlining approval process.</t>
        </is>
      </c>
      <c r="FR13" s="56" t="inlineStr">
        <is>
          <t>Complexity: Evidence reads like A3: own survey / KRA answers · summarised by the rater; not quoted → moved down 1
Autonomy: Evidence reads like A2: States can decide independently on 'trainings only' → moved down 1
Accountability: Evidence reads like B2: Renewals, upsell, cross-sell, outstanding payments and NPS/CSAT across multi-country accounts → moved up 0.2
Leadership: Evidence reads like A1: No guidance described despite one report → moved down 1
Business Impact: Moved +0.5: the survey / manager mapping marks it business-critical.</t>
        </is>
      </c>
      <c r="FS13" s="56" t="inlineStr">
        <is>
          <t>Common themes in role-holders' answers: cross improve · upsell cross · nps follow · tech · improve nps · us market
Common themes in role-holders' answers: product · renewals · upsell · cross sell · update · testing
Common themes in role-holders' answers: client · customer
Common themes in role-holders' answers: retention · renewals · sell · cross · maintaining · invoicing</t>
        </is>
      </c>
      <c r="FT13" s="56" t="inlineStr">
        <is>
          <t>Self-identified: Project / programme management · Data, SQL &amp; analytics
For the next role: Project / programme management · Data, SQL &amp; analytics</t>
        </is>
      </c>
      <c r="FU13" s="56" t="inlineStr">
        <is>
          <t>Per-person summary · CARBON Mapping Master</t>
        </is>
      </c>
    </row>
    <row r="14" ht="90" customHeight="1">
      <c r="A14" s="51" t="inlineStr">
        <is>
          <t>◂ Back</t>
        </is>
      </c>
      <c r="B14" s="29" t="inlineStr">
        <is>
          <t>Mapped</t>
        </is>
      </c>
      <c r="C14" s="28" t="inlineStr">
        <is>
          <t>CARBON</t>
        </is>
      </c>
      <c r="D14" s="29" t="inlineStr">
        <is>
          <t>IRISC184</t>
        </is>
      </c>
      <c r="E14" s="29" t="inlineStr">
        <is>
          <t>Tanya Dhere</t>
        </is>
      </c>
      <c r="F14" s="29" t="inlineStr">
        <is>
          <t>Support</t>
        </is>
      </c>
      <c r="G14" s="29" t="inlineStr">
        <is>
          <t>Consultant</t>
        </is>
      </c>
      <c r="H14" s="29" t="inlineStr">
        <is>
          <t>Senior Customer Success Executive</t>
        </is>
      </c>
      <c r="I14" s="29" t="inlineStr">
        <is>
          <t>L3 – Professional / Associate</t>
        </is>
      </c>
      <c r="J14" s="29" t="inlineStr">
        <is>
          <t>A3</t>
        </is>
      </c>
      <c r="K14" s="29" t="inlineStr">
        <is>
          <t>▲ Up</t>
        </is>
      </c>
      <c r="L14" s="29" t="inlineStr">
        <is>
          <t>Customer Success &amp; Support</t>
        </is>
      </c>
      <c r="M14" s="29" t="inlineStr">
        <is>
          <t>Customer Success &amp; Account Management</t>
        </is>
      </c>
      <c r="N14" s="29" t="n"/>
      <c r="O14" s="29" t="n">
        <v>19</v>
      </c>
      <c r="P14" s="28" t="inlineStr">
        <is>
          <t>P2</t>
        </is>
      </c>
      <c r="Q14" s="29" t="inlineStr">
        <is>
          <t>Developing</t>
        </is>
      </c>
      <c r="R14" s="29" t="inlineStr">
        <is>
          <t>3 Apply</t>
        </is>
      </c>
      <c r="S14" s="29" t="inlineStr">
        <is>
          <t>2–4 yrs</t>
        </is>
      </c>
      <c r="T14" s="29" t="inlineStr">
        <is>
          <t>3–5 · 2–5</t>
        </is>
      </c>
      <c r="U14" s="29" t="inlineStr">
        <is>
          <t>Support / CS Executive</t>
        </is>
      </c>
      <c r="V14" s="29" t="inlineStr">
        <is>
          <t>IRIS Vs Competitor Benchmark — SaaS customer-success ladder: Associate CSM · Regnology: Product Support Specialist · Reg Reporting · IRIS Vs Competitor Benchmark — support tiers: L2 Application Support</t>
        </is>
      </c>
      <c r="W14" s="29" t="inlineStr">
        <is>
          <t>TSIA frameworks and benchmarks; ITIL 4 service desk; Gainsight customer-success practice</t>
        </is>
      </c>
      <c r="X14" s="29" t="inlineStr">
        <is>
          <t>Core 2 · Future 2 · Functional 3 · Leadership not scored</t>
        </is>
      </c>
      <c r="Y14" s="52" t="n">
        <v>170</v>
      </c>
      <c r="Z14" s="53" t="inlineStr">
        <is>
          <t>IRISC184</t>
        </is>
      </c>
      <c r="AA14" s="53" t="inlineStr">
        <is>
          <t>On Contract</t>
        </is>
      </c>
      <c r="AB14" s="53" t="inlineStr">
        <is>
          <t>Active</t>
        </is>
      </c>
      <c r="AC14" s="53" t="inlineStr">
        <is>
          <t>Tanya Dhere</t>
        </is>
      </c>
      <c r="AD14" s="54" t="n">
        <v>44095</v>
      </c>
      <c r="AE14" s="53" t="inlineStr">
        <is>
          <t>Consultant</t>
        </is>
      </c>
      <c r="AF14" s="53" t="inlineStr">
        <is>
          <t>B.Com</t>
        </is>
      </c>
      <c r="AG14" s="53" t="inlineStr">
        <is>
          <t>Neha Gajbhiye</t>
        </is>
      </c>
      <c r="AH14" s="53" t="inlineStr">
        <is>
          <t>N-6</t>
        </is>
      </c>
      <c r="AI14" s="53" t="inlineStr">
        <is>
          <t>Individual Contributor</t>
        </is>
      </c>
      <c r="AJ14" s="53" t="inlineStr">
        <is>
          <t>7 years, 0 months, 0 days</t>
        </is>
      </c>
      <c r="AK14" s="53" t="inlineStr">
        <is>
          <t>5 years, 11 months, 4 days</t>
        </is>
      </c>
      <c r="AL14" s="53" t="inlineStr">
        <is>
          <t>Regtech</t>
        </is>
      </c>
      <c r="AM14" s="53" t="inlineStr">
        <is>
          <t>CARBON</t>
        </is>
      </c>
      <c r="AN14" s="53" t="inlineStr">
        <is>
          <t>Support</t>
        </is>
      </c>
      <c r="AO14" s="53" t="inlineStr">
        <is>
          <t>Client Engagement</t>
        </is>
      </c>
      <c r="AP14" s="53" t="inlineStr">
        <is>
          <t>No</t>
        </is>
      </c>
      <c r="AQ14" s="53" t="inlineStr">
        <is>
          <t>Client Engagement</t>
        </is>
      </c>
      <c r="AR14" s="53" t="inlineStr">
        <is>
          <t>XBRL Domain</t>
        </is>
      </c>
      <c r="AS14" s="53" t="inlineStr">
        <is>
          <t>Non-technical</t>
        </is>
      </c>
      <c r="AT14" s="53" t="n">
        <v>20</v>
      </c>
      <c r="AU14" s="53" t="inlineStr">
        <is>
          <t>Covered</t>
        </is>
      </c>
      <c r="AV14" s="53" t="inlineStr">
        <is>
          <t>IRISC184</t>
        </is>
      </c>
      <c r="AW14" s="53" t="inlineStr">
        <is>
          <t>Tanya Dhere</t>
        </is>
      </c>
      <c r="AX14" s="53" t="inlineStr">
        <is>
          <t>Functional</t>
        </is>
      </c>
      <c r="AY14" s="53" t="inlineStr">
        <is>
          <t>Client Engagement</t>
        </is>
      </c>
      <c r="AZ14" s="53" t="inlineStr">
        <is>
          <t>Client Engagement</t>
        </is>
      </c>
      <c r="BA14" s="53" t="n"/>
      <c r="BB14" s="53" t="n"/>
      <c r="BC14" s="53" t="inlineStr">
        <is>
          <t>On Contract</t>
        </is>
      </c>
      <c r="BD14" s="53" t="inlineStr">
        <is>
          <t>Neha Gajbhiye</t>
        </is>
      </c>
      <c r="BE14" s="53" t="inlineStr">
        <is>
          <t>Neha Gajbhiye</t>
        </is>
      </c>
      <c r="BF14" s="53" t="inlineStr">
        <is>
          <t>No</t>
        </is>
      </c>
      <c r="BG14" s="53" t="inlineStr">
        <is>
          <t>Consultant</t>
        </is>
      </c>
      <c r="BH14" s="53" t="inlineStr">
        <is>
          <t>Senior Services Specialist</t>
        </is>
      </c>
      <c r="BI14" s="53" t="inlineStr">
        <is>
          <t>Yes</t>
        </is>
      </c>
      <c r="BJ14" s="53" t="inlineStr">
        <is>
          <t>—</t>
        </is>
      </c>
      <c r="BK14" s="53" t="inlineStr">
        <is>
          <t>—</t>
        </is>
      </c>
      <c r="BL14" s="53" t="inlineStr">
        <is>
          <t>—</t>
        </is>
      </c>
      <c r="BM14" s="53" t="inlineStr">
        <is>
          <t>Not a manager</t>
        </is>
      </c>
      <c r="BN14" s="53" t="inlineStr">
        <is>
          <t>—</t>
        </is>
      </c>
      <c r="BO14" s="53" t="inlineStr">
        <is>
          <t>—</t>
        </is>
      </c>
      <c r="BP14" s="53" t="inlineStr">
        <is>
          <t>—</t>
        </is>
      </c>
      <c r="BQ14" s="53" t="inlineStr">
        <is>
          <t>Not a manager</t>
        </is>
      </c>
      <c r="BR14" s="53" t="inlineStr">
        <is>
          <t>—</t>
        </is>
      </c>
      <c r="BS14" s="53" t="inlineStr">
        <is>
          <t>L3 – Professional / Associate</t>
        </is>
      </c>
      <c r="BT14" s="53" t="inlineStr">
        <is>
          <t>L3 – Professional / Associate</t>
        </is>
      </c>
      <c r="BU14" s="53" t="inlineStr">
        <is>
          <t>Designation refined from Raw tab Comments column · this update</t>
        </is>
      </c>
      <c r="BV14" s="53" t="n"/>
      <c r="BW14" s="53" t="n"/>
      <c r="BX14" s="53" t="inlineStr">
        <is>
          <t>India - MCA; Europe - ESEF · On Contract.</t>
        </is>
      </c>
      <c r="BY14" s="53" t="n"/>
      <c r="BZ14" s="53" t="inlineStr">
        <is>
          <t>IRISC184</t>
        </is>
      </c>
      <c r="CA14" s="53" t="inlineStr">
        <is>
          <t>On Contract</t>
        </is>
      </c>
      <c r="CB14" s="53" t="inlineStr">
        <is>
          <t>Active</t>
        </is>
      </c>
      <c r="CC14" s="53" t="inlineStr">
        <is>
          <t>Tanya Dhere</t>
        </is>
      </c>
      <c r="CD14" s="54" t="n">
        <v>44095</v>
      </c>
      <c r="CE14" s="53" t="inlineStr">
        <is>
          <t>Consultant</t>
        </is>
      </c>
      <c r="CF14" s="53" t="n"/>
      <c r="CG14" s="53" t="inlineStr">
        <is>
          <t>Professional Services</t>
        </is>
      </c>
      <c r="CH14" s="53" t="inlineStr">
        <is>
          <t>XBRL / Regulatory Reporting</t>
        </is>
      </c>
      <c r="CI14" s="53" t="inlineStr">
        <is>
          <t>Consultant</t>
        </is>
      </c>
      <c r="CJ14" s="53" t="inlineStr">
        <is>
          <t>L3 – Professional / Associate</t>
        </is>
      </c>
      <c r="CK14" s="53" t="inlineStr">
        <is>
          <t>Neha Gajbhiye</t>
        </is>
      </c>
      <c r="CL14" s="53" t="inlineStr">
        <is>
          <t>N-6</t>
        </is>
      </c>
      <c r="CM14" s="53" t="inlineStr">
        <is>
          <t>Individual Contributor</t>
        </is>
      </c>
      <c r="CN14" s="53" t="inlineStr">
        <is>
          <t>Regtech</t>
        </is>
      </c>
      <c r="CO14" s="53" t="inlineStr">
        <is>
          <t>Services</t>
        </is>
      </c>
      <c r="CP14" s="53" t="inlineStr">
        <is>
          <t>12 years, 8 months, 30 days</t>
        </is>
      </c>
      <c r="CQ14" s="53" t="inlineStr">
        <is>
          <t>Senior Consultant · review – experience supports senior band</t>
        </is>
      </c>
      <c r="CR14" s="53" t="inlineStr">
        <is>
          <t>No</t>
        </is>
      </c>
      <c r="CS14" s="53" t="n">
        <v>3</v>
      </c>
      <c r="CT14" s="53" t="inlineStr">
        <is>
          <t>Low</t>
        </is>
      </c>
      <c r="CU14" s="53" t="inlineStr">
        <is>
          <t>Reliable Specialist</t>
        </is>
      </c>
      <c r="CV14" s="53" t="n"/>
      <c r="CW14" s="53" t="n"/>
      <c r="CX14" s="53" t="n"/>
      <c r="CY14" s="53" t="n"/>
      <c r="CZ14" s="53" t="inlineStr">
        <is>
          <t>XBRL taxonomy &amp; regulatory updates; domain/accounting refreshers; quality &amp; accuracy practices; tooling proficiency</t>
        </is>
      </c>
      <c r="DA14" s="53" t="inlineStr">
        <is>
          <t>Transition to leadership: people management &amp; delegation, mentoring/coaching, project ownership &amp; stakeholder management, prioritisation under ambiguity, presentation &amp; influence skills</t>
        </is>
      </c>
      <c r="DB14" s="53" t="inlineStr">
        <is>
          <t>07/16 - She is a contractor. Title to be changed to Senior Services Specialist</t>
        </is>
      </c>
      <c r="DC14" s="53" t="n"/>
      <c r="DD14" s="53" t="n"/>
      <c r="DE14" s="53" t="n"/>
      <c r="DF14" s="53" t="n"/>
      <c r="DG14" s="53" t="n"/>
      <c r="DH14" s="53" t="n"/>
      <c r="DI14" s="53" t="n"/>
      <c r="DJ14" s="53" t="n"/>
      <c r="DK14" s="53" t="n"/>
      <c r="DL14" s="53" t="n"/>
      <c r="DM14" s="53" t="n"/>
      <c r="DN14" s="53" t="n"/>
      <c r="DO14" s="53" t="n"/>
      <c r="DP14" s="53" t="n"/>
      <c r="DQ14" s="53" t="n"/>
      <c r="DR14" s="53" t="n"/>
      <c r="DS14" s="53" t="n"/>
      <c r="DT14" s="53" t="n"/>
      <c r="DU14" s="53" t="n"/>
      <c r="DV14" s="53" t="n"/>
      <c r="DW14" s="53" t="n"/>
      <c r="DX14" s="53" t="n"/>
      <c r="DY14" s="53" t="n"/>
      <c r="DZ14" s="53" t="n"/>
      <c r="EA14" s="53" t="n"/>
      <c r="EB14" s="53" t="n"/>
      <c r="EC14" s="53" t="n"/>
      <c r="ED14" s="53" t="n"/>
      <c r="EE14" s="53" t="n"/>
      <c r="EF14" s="53" t="n"/>
      <c r="EG14" s="53" t="n"/>
      <c r="EH14" s="53" t="n"/>
      <c r="EI14" s="53" t="n"/>
      <c r="EJ14" s="53" t="n"/>
      <c r="EK14" s="53" t="n"/>
      <c r="EL14" s="53" t="n"/>
      <c r="EM14" s="53" t="n"/>
      <c r="EN14" s="53" t="n"/>
      <c r="EO14" s="53" t="n"/>
      <c r="EP14" s="53" t="n"/>
      <c r="EQ14" s="53" t="n"/>
      <c r="ER14" s="53" t="n"/>
      <c r="ES14" s="53" t="n"/>
      <c r="ET14" s="53" t="n"/>
      <c r="EU14" s="53" t="n"/>
      <c r="EV14" s="53" t="n"/>
      <c r="EW14" s="52" t="inlineStr">
        <is>
          <t>Shifted from XBRL / Regulatory Reporting to the CEM · Client Engagement team; Department/Role Family/Sub-Family updated accordingly · Department mapped to existing CARBON Client Engagement precedent.</t>
        </is>
      </c>
      <c r="EX14" s="53" t="inlineStr">
        <is>
          <t>• Role / sub-team: PMO Activity, AI Testing.</t>
        </is>
      </c>
      <c r="EY14" s="53" t="inlineStr">
        <is>
          <t>• Key responsibilities include: Client engagement management , invoicing, proposals, Process mediator between Service, client, auditors, Problem solving, getting Outstanding Cleared, Attending replying mails , maintaining records .
• Reported deliverables and outcomes include: Work is handled solely by this employee day to day; in their absence, urgent items are taken forward by their manager.
• Additional duties outside usual job: Testing, Services.</t>
        </is>
      </c>
      <c r="EZ14" s="53" t="inlineStr">
        <is>
          <t>• Current capabilities: Quick resolutions; NEW WAYS OF WORKING OUT T.</t>
        </is>
      </c>
      <c r="FA14" s="53" t="inlineStr">
        <is>
          <t>• Development priorities: No input received.
• Learning and Development Need: Past experiences.
• AI Enablement Need: AI prompt engineering and using AI to increase efficiency, given their reported use of AI.</t>
        </is>
      </c>
      <c r="FB14" s="53" t="inlineStr">
        <is>
          <t>• Key challenges: Net Access Approvals; tools not working.
• Support required: No input received.</t>
        </is>
      </c>
      <c r="FC14" s="53" t="n"/>
      <c r="FD14" s="53" t="n"/>
      <c r="FE14" s="55" t="inlineStr">
        <is>
          <t>KRAs not received · manager to supply</t>
        </is>
      </c>
      <c r="FF14" s="56" t="n"/>
      <c r="FG14" s="56" t="n"/>
      <c r="FH14" s="56" t="n"/>
      <c r="FI14" s="56" t="n"/>
      <c r="FJ14" s="32" t="inlineStr">
        <is>
          <t>KRAs not received · manager to supply</t>
        </is>
      </c>
      <c r="FK14" s="56" t="n"/>
      <c r="FL14" s="56" t="n">
        <v>19</v>
      </c>
      <c r="FM14" s="56" t="inlineStr">
        <is>
          <t>• Role / sub-team: PMO Activity, AI Testing.</t>
        </is>
      </c>
      <c r="FN14" s="56" t="inlineStr">
        <is>
          <t>• Key responsibilities include: Client engagement management , invoicing, proposals, Process mediator between Service, client, auditors, Problem solving, getting Outstanding Cleared, Attending replying mails , maintaining records .
• Reported deliverables and outcomes include: Work is handled solely by this employee day to day; in their absence, urgent items are taken forward by their manager.
• Additional duties outside usual job: Testing, Services.</t>
        </is>
      </c>
      <c r="FO14" s="56" t="inlineStr">
        <is>
          <t>• Current capabilities: Quick resolutions; NEW WAYS OF WORKING OUT T.</t>
        </is>
      </c>
      <c r="FP14" s="56" t="inlineStr">
        <is>
          <t>• Development priorities: No input received.
• Learning and Development Need: Past experiences.
• AI Enablement Need: AI prompt engineering and using AI to increase efficiency, given their reported use of AI.</t>
        </is>
      </c>
      <c r="FQ14" s="56" t="inlineStr">
        <is>
          <t>• Key challenges: Net Access Approvals; tools not working.
• Support required: No input received.</t>
        </is>
      </c>
      <c r="FR14" s="56" t="inlineStr">
        <is>
          <t>Complexity: Evidence reads like A3: Invoicing, proposals, legal documentation, receivables; mediates between service, client and auditors → moved up 0.5
Autonomy: Evidence reads like A2: Handles daily work alone; manager covers urgent items when absent; no decisions stated → matches the start
Accountability: Evidence reads like A3: Invoices, outstanding payments, renewal and legal documentation; direct revenue impact → moved up 0.5
Leadership: Evidence reads like A1: No guidance of others described → matches the start
Business Impact: No survey or manager-mapping signal on criticality: kept at the start point.</t>
        </is>
      </c>
      <c r="FS14" s="56" t="inlineStr">
        <is>
          <t>Common themes in sub-family holders, all levels' answers: cross improve · upsell cross · nps follow · tech · improve nps · us market
Common themes in sub-family holders, all levels' answers: product · renewals · testing · upsell · cross sell · training
Common themes in sub-family holders, all levels' answers: customer · csat · product · esef · client
Common themes in sub-family holders, all levels' answers: retention · renewals · sell · cross · invoicing · outstanding
Common themes in sub-family holders, all levels' answers: trainings
If the work is missed · role-holders' themes: business · impact · revenue.</t>
        </is>
      </c>
      <c r="FT14" s="56" t="inlineStr">
        <is>
          <t>Self-identified: Answered · no common topic
For the next role: Answered · no common topic</t>
        </is>
      </c>
      <c r="FU14" s="56" t="inlineStr">
        <is>
          <t>Per-person summary · CARBON Mapping Master</t>
        </is>
      </c>
    </row>
    <row r="15" ht="90" customHeight="1">
      <c r="A15" s="51" t="inlineStr">
        <is>
          <t>◂ Back</t>
        </is>
      </c>
      <c r="B15" s="29" t="inlineStr">
        <is>
          <t>Mapped</t>
        </is>
      </c>
      <c r="C15" s="28" t="inlineStr">
        <is>
          <t>CARBON</t>
        </is>
      </c>
      <c r="D15" s="29" t="inlineStr">
        <is>
          <t>IRIS1959</t>
        </is>
      </c>
      <c r="E15" s="29" t="inlineStr">
        <is>
          <t>Praveen Kumar Rajpurohit</t>
        </is>
      </c>
      <c r="F15" s="29" t="inlineStr">
        <is>
          <t>Support</t>
        </is>
      </c>
      <c r="G15" s="29" t="inlineStr">
        <is>
          <t>Manager- Customer Engagement</t>
        </is>
      </c>
      <c r="H15" s="29" t="inlineStr">
        <is>
          <t>Senior Customer Success Specialist</t>
        </is>
      </c>
      <c r="I15" s="29" t="inlineStr">
        <is>
          <t>L5 – Manager</t>
        </is>
      </c>
      <c r="J15" s="29" t="inlineStr">
        <is>
          <t>B2</t>
        </is>
      </c>
      <c r="K15" s="29" t="inlineStr">
        <is>
          <t>• Same level</t>
        </is>
      </c>
      <c r="L15" s="29" t="inlineStr">
        <is>
          <t>Customer Success &amp; Support</t>
        </is>
      </c>
      <c r="M15" s="29" t="inlineStr">
        <is>
          <t>Customer Success &amp; Account Management</t>
        </is>
      </c>
      <c r="N15" s="29" t="n"/>
      <c r="O15" s="29" t="n">
        <v>20</v>
      </c>
      <c r="P15" s="28" t="inlineStr">
        <is>
          <t>P4 / M3</t>
        </is>
      </c>
      <c r="Q15" s="29" t="inlineStr">
        <is>
          <t>Senior / Manager</t>
        </is>
      </c>
      <c r="R15" s="29" t="inlineStr">
        <is>
          <t>4–5</t>
        </is>
      </c>
      <c r="S15" s="29" t="inlineStr">
        <is>
          <t>6–9 yrs</t>
        </is>
      </c>
      <c r="T15" s="29" t="inlineStr">
        <is>
          <t>7–10 · 6–11</t>
        </is>
      </c>
      <c r="U15" s="29" t="inlineStr">
        <is>
          <t>Senior CSM / Support Specialist</t>
        </is>
      </c>
      <c r="V15" s="29" t="inlineStr">
        <is>
          <t>Workiva: Product Success Manager · IRIS Vs Competitor Benchmark — SaaS customer-success ladder: Senior CSM · IRIS Vs Competitor Benchmark — support tiers: Support Team Manager</t>
        </is>
      </c>
      <c r="W15" s="29" t="inlineStr">
        <is>
          <t>TSIA frameworks and benchmarks; ITIL 4 service desk; Gainsight customer-success practice</t>
        </is>
      </c>
      <c r="X15" s="29" t="inlineStr">
        <is>
          <t>Core 3 · Future 3 · Functional 4 · Leadership 2</t>
        </is>
      </c>
      <c r="Y15" s="52" t="n">
        <v>201</v>
      </c>
      <c r="Z15" s="53" t="inlineStr">
        <is>
          <t>IRIS1959</t>
        </is>
      </c>
      <c r="AA15" s="53" t="inlineStr">
        <is>
          <t>Employee</t>
        </is>
      </c>
      <c r="AB15" s="53" t="inlineStr">
        <is>
          <t>Active</t>
        </is>
      </c>
      <c r="AC15" s="53" t="inlineStr">
        <is>
          <t>Praveen Kumar Rajpurohit</t>
        </is>
      </c>
      <c r="AD15" s="54" t="n">
        <v>44473</v>
      </c>
      <c r="AE15" s="53" t="inlineStr">
        <is>
          <t>Manager- Customer Engagement</t>
        </is>
      </c>
      <c r="AF15" s="53" t="inlineStr">
        <is>
          <t>MBA</t>
        </is>
      </c>
      <c r="AG15" s="53" t="inlineStr">
        <is>
          <t>Anushree Aparajit</t>
        </is>
      </c>
      <c r="AH15" s="53" t="inlineStr">
        <is>
          <t>N-5</t>
        </is>
      </c>
      <c r="AI15" s="53" t="inlineStr">
        <is>
          <t>Individual Contributor</t>
        </is>
      </c>
      <c r="AJ15" s="53" t="inlineStr">
        <is>
          <t>9 years, 7 months, 0 days</t>
        </is>
      </c>
      <c r="AK15" s="53" t="inlineStr">
        <is>
          <t>4 years, 10 months, 21 days</t>
        </is>
      </c>
      <c r="AL15" s="53" t="inlineStr">
        <is>
          <t>Regtech</t>
        </is>
      </c>
      <c r="AM15" s="53" t="inlineStr">
        <is>
          <t>CARBON</t>
        </is>
      </c>
      <c r="AN15" s="53" t="inlineStr">
        <is>
          <t>Support</t>
        </is>
      </c>
      <c r="AO15" s="53" t="inlineStr">
        <is>
          <t>Client Engagement</t>
        </is>
      </c>
      <c r="AP15" s="53" t="inlineStr">
        <is>
          <t>No</t>
        </is>
      </c>
      <c r="AQ15" s="53" t="inlineStr">
        <is>
          <t>Client Engagement</t>
        </is>
      </c>
      <c r="AR15" s="53" t="inlineStr">
        <is>
          <t>XBRL Domain</t>
        </is>
      </c>
      <c r="AS15" s="53" t="inlineStr">
        <is>
          <t>Non-technical</t>
        </is>
      </c>
      <c r="AT15" s="53" t="n">
        <v>20</v>
      </c>
      <c r="AU15" s="53" t="inlineStr">
        <is>
          <t>Covered</t>
        </is>
      </c>
      <c r="AV15" s="53" t="inlineStr">
        <is>
          <t>IRIS1959</t>
        </is>
      </c>
      <c r="AW15" s="53" t="inlineStr">
        <is>
          <t>Praveen Kumar Rajpurohit</t>
        </is>
      </c>
      <c r="AX15" s="53" t="inlineStr">
        <is>
          <t>Support</t>
        </is>
      </c>
      <c r="AY15" s="53" t="inlineStr">
        <is>
          <t>Customer Success &amp; Support</t>
        </is>
      </c>
      <c r="AZ15" s="53" t="inlineStr">
        <is>
          <t>Customer Success</t>
        </is>
      </c>
      <c r="BA15" s="53" t="n"/>
      <c r="BB15" s="53" t="n"/>
      <c r="BC15" s="53" t="inlineStr">
        <is>
          <t>Employee</t>
        </is>
      </c>
      <c r="BD15" s="53" t="inlineStr">
        <is>
          <t>Anushree Aparajit</t>
        </is>
      </c>
      <c r="BE15" s="53" t="inlineStr">
        <is>
          <t>Anushree Aparajit</t>
        </is>
      </c>
      <c r="BF15" s="53" t="inlineStr">
        <is>
          <t>No</t>
        </is>
      </c>
      <c r="BG15" s="53" t="inlineStr">
        <is>
          <t>Manager- Customer Engagement</t>
        </is>
      </c>
      <c r="BH15" s="53" t="inlineStr">
        <is>
          <t>Sr.Customer Engagement Manager</t>
        </is>
      </c>
      <c r="BI15" s="53" t="inlineStr">
        <is>
          <t>Yes</t>
        </is>
      </c>
      <c r="BJ15" s="53" t="inlineStr">
        <is>
          <t>—</t>
        </is>
      </c>
      <c r="BK15" s="53" t="inlineStr">
        <is>
          <t>—</t>
        </is>
      </c>
      <c r="BL15" s="53" t="inlineStr">
        <is>
          <t>—</t>
        </is>
      </c>
      <c r="BM15" s="53" t="inlineStr">
        <is>
          <t>Not a manager</t>
        </is>
      </c>
      <c r="BN15" s="53" t="inlineStr">
        <is>
          <t>—</t>
        </is>
      </c>
      <c r="BO15" s="53" t="inlineStr">
        <is>
          <t>—</t>
        </is>
      </c>
      <c r="BP15" s="53" t="inlineStr">
        <is>
          <t>—</t>
        </is>
      </c>
      <c r="BQ15" s="53" t="inlineStr">
        <is>
          <t>Not a manager</t>
        </is>
      </c>
      <c r="BR15" s="53" t="inlineStr">
        <is>
          <t>—</t>
        </is>
      </c>
      <c r="BS15" s="53" t="inlineStr">
        <is>
          <t>L5 – Manager</t>
        </is>
      </c>
      <c r="BT15" s="53" t="inlineStr">
        <is>
          <t>L3</t>
        </is>
      </c>
      <c r="BU15" s="53" t="inlineStr">
        <is>
          <t>Matched from Title Hierarchy · new designation</t>
        </is>
      </c>
      <c r="BV15" s="53" t="inlineStr">
        <is>
          <t>Net Revenue Retention ≥100–105%​
Target ARR - to be achieved: INR 50,00,000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BW15" s="53" t="n"/>
      <c r="BX15" s="53" t="inlineStr">
        <is>
          <t>Europe India US.</t>
        </is>
      </c>
      <c r="BY15" s="53" t="n"/>
      <c r="BZ15" s="53" t="inlineStr">
        <is>
          <t>IRIS1959</t>
        </is>
      </c>
      <c r="CA15" s="53" t="inlineStr">
        <is>
          <t>Employee</t>
        </is>
      </c>
      <c r="CB15" s="53" t="inlineStr">
        <is>
          <t>Active</t>
        </is>
      </c>
      <c r="CC15" s="53" t="inlineStr">
        <is>
          <t>Praveen Kumar Rajpurohit</t>
        </is>
      </c>
      <c r="CD15" s="54" t="n">
        <v>44473</v>
      </c>
      <c r="CE15" s="53" t="inlineStr">
        <is>
          <t>Manager- Customer Engagement</t>
        </is>
      </c>
      <c r="CF15" s="53" t="inlineStr">
        <is>
          <t>Upsell, cross, improve NPS, follow up with tech team · Non US Market</t>
        </is>
      </c>
      <c r="CG15" s="53" t="inlineStr">
        <is>
          <t>Customer Success &amp; Support</t>
        </is>
      </c>
      <c r="CH15" s="53" t="inlineStr">
        <is>
          <t>Customer Support</t>
        </is>
      </c>
      <c r="CI15" s="53" t="inlineStr">
        <is>
          <t>Sr.Customer Engagement Manager</t>
        </is>
      </c>
      <c r="CJ15" s="53" t="inlineStr">
        <is>
          <t>L5 – Manager</t>
        </is>
      </c>
      <c r="CK15" s="53" t="inlineStr">
        <is>
          <t>Anushree Aparajit</t>
        </is>
      </c>
      <c r="CL15" s="53" t="inlineStr">
        <is>
          <t>N-5</t>
        </is>
      </c>
      <c r="CM15" s="53" t="inlineStr">
        <is>
          <t>Individual Contributor</t>
        </is>
      </c>
      <c r="CN15" s="53" t="inlineStr">
        <is>
          <t>Regtech</t>
        </is>
      </c>
      <c r="CO15" s="53" t="inlineStr">
        <is>
          <t>Support</t>
        </is>
      </c>
      <c r="CP15" s="53" t="inlineStr">
        <is>
          <t>14 years, 3 months, 16 days</t>
        </is>
      </c>
      <c r="CQ15" s="53" t="inlineStr">
        <is>
          <t>Sr.Customer Engagement Manager</t>
        </is>
      </c>
      <c r="CR15" s="53" t="inlineStr">
        <is>
          <t>No</t>
        </is>
      </c>
      <c r="CS15" s="53" t="n">
        <v>3</v>
      </c>
      <c r="CT15" s="53" t="inlineStr">
        <is>
          <t>Medium</t>
        </is>
      </c>
      <c r="CU15" s="53" t="inlineStr">
        <is>
          <t>Core Contributor</t>
        </is>
      </c>
      <c r="CV15" s="53" t="inlineStr">
        <is>
          <t>No</t>
        </is>
      </c>
      <c r="CW15" s="53" t="inlineStr">
        <is>
          <t>No</t>
        </is>
      </c>
      <c r="CX15" s="53" t="inlineStr">
        <is>
          <t>Yes</t>
        </is>
      </c>
      <c r="CY15" s="53" t="inlineStr">
        <is>
          <t>N</t>
        </is>
      </c>
      <c r="CZ15" s="53" t="inlineStr">
        <is>
          <t>XBRL taxonomy &amp; regulatory updates; domain/accounting refreshers; quality &amp; accuracy practices; tooling proficiency</t>
        </is>
      </c>
      <c r="DA15" s="53" t="n"/>
      <c r="DB15" s="53" t="inlineStr">
        <is>
          <t>Praveen needs training on communication and professional etiquettes. The way of conducting self during in-person meetings, dress code to be followed etc etiquettes and Personality development aspects to be brushed for him to be eligible for promotion. Along with that, proactiveness is lacking.</t>
        </is>
      </c>
      <c r="DC15" s="53" t="n"/>
      <c r="DD15" s="53" t="n"/>
      <c r="DE15" s="53" t="n"/>
      <c r="DF15" s="53" t="n"/>
      <c r="DG15" s="53" t="n"/>
      <c r="DH15" s="53" t="n"/>
      <c r="DI15" s="53" t="n"/>
      <c r="DJ15" s="53" t="n"/>
      <c r="DK15" s="53" t="n"/>
      <c r="DL15" s="53" t="n"/>
      <c r="DM15" s="53" t="n"/>
      <c r="DN15" s="53" t="n"/>
      <c r="DO15" s="53" t="n"/>
      <c r="DP15" s="53" t="n"/>
      <c r="DQ15" s="53" t="n"/>
      <c r="DR15" s="53" t="n"/>
      <c r="DS15" s="53" t="n"/>
      <c r="DT15" s="53" t="n"/>
      <c r="DU15" s="53" t="n"/>
      <c r="DV15" s="53" t="n"/>
      <c r="DW15" s="53" t="n"/>
      <c r="DX15" s="53" t="n"/>
      <c r="DY15" s="53" t="n"/>
      <c r="DZ15" s="53" t="n"/>
      <c r="EA15" s="53" t="n"/>
      <c r="EB15" s="53" t="n"/>
      <c r="EC15" s="53" t="n"/>
      <c r="ED15" s="53" t="n"/>
      <c r="EE15" s="53" t="n"/>
      <c r="EF15" s="53" t="n"/>
      <c r="EG15" s="53" t="n"/>
      <c r="EH15" s="53" t="n"/>
      <c r="EI15" s="53" t="n"/>
      <c r="EJ15" s="53" t="n"/>
      <c r="EK15" s="53" t="n"/>
      <c r="EL15" s="53" t="n"/>
      <c r="EM15" s="53" t="n"/>
      <c r="EN15" s="53" t="n"/>
      <c r="EO15" s="53" t="n"/>
      <c r="EP15" s="53" t="n"/>
      <c r="EQ15" s="53" t="n"/>
      <c r="ER15" s="53" t="n"/>
      <c r="ES15" s="53" t="n"/>
      <c r="ET15" s="53" t="n"/>
      <c r="EU15" s="53" t="n"/>
      <c r="EV15" s="53" t="n"/>
      <c r="EW15" s="52" t="n"/>
      <c r="EX15" s="53" t="inlineStr">
        <is>
          <t>• Role / sub-team: Support — Manager- Customer Engagement.
• Core purpose: Managing EU client portfolios to ensure timely ESEF filings, effective use of the Disclosure Management Platform, client retention and renewals, while supporting prospect demos and product feedback.
• Decision-making autonomy: Can independently clients query handling.
• Is this something only they do: All.
• What's different about this role: Critical client handling; Product testing and training to clients.</t>
        </is>
      </c>
      <c r="EY15" s="53" t="inlineStr">
        <is>
          <t>• Key responsibilities include: Cross sell; Upsell; Data update in excels; Too many excels; Client retention; Product testing.
• Personally accountable for: Client retention and overall client experience.
• Impact if missed or done wrong: Not faced anything such until now.
• How measured: Higher target.</t>
        </is>
      </c>
      <c r="EZ15" s="53" t="inlineStr">
        <is>
          <t>• Current capabilities: XBRL knowledge; Negotiation skills; Patience; Multi tasking.
• Tools / software used: ChatGPT; PPT.
• Workload: Rated a moderate load · 3/5 in a typical week.
• Judgment/way of working: Sales activities.</t>
        </is>
      </c>
      <c r="FA15" s="53" t="inlineStr">
        <is>
          <t>• Development priorities: Executive communication.
• Learning and Development Need: Rapo with internal teams; Advance Excel training. Nothing specific.
• Role evolving toward: Less collaboration in product development activities.</t>
        </is>
      </c>
      <c r="FB15" s="53" t="inlineStr">
        <is>
          <t>• Key challenges: Pricing approval; Same data in diff excels; Unplanned calls.
• Support required: Sales activities; Remove sales related activities; Ownership to take decisions on pricing.</t>
        </is>
      </c>
      <c r="FC15" s="53" t="n"/>
      <c r="FD15" s="53" t="n"/>
      <c r="FE15" s="57" t="inlineStr">
        <is>
          <t>Net Revenue Retention ≥100–105%
Target ARR - to be achieved: INR 50,00,000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FF15" s="56" t="n"/>
      <c r="FG15" s="56" t="n"/>
      <c r="FH15" s="56" t="n"/>
      <c r="FI15" s="56" t="inlineStr">
        <is>
          <t>Upsell, cross, improve NPS, follow up with tech team · Non US Market</t>
        </is>
      </c>
      <c r="FJ15" s="56" t="inlineStr">
        <is>
          <t>Received · manager annual</t>
        </is>
      </c>
      <c r="FK15" s="56" t="inlineStr">
        <is>
          <t>CARBON Mapping Master · CARBON Talent Mapping · Raw</t>
        </is>
      </c>
      <c r="FL15" s="56" t="n">
        <v>20</v>
      </c>
      <c r="FM15" s="56" t="inlineStr">
        <is>
          <t>• Role / sub-team: Support — Manager- Customer Engagement.
• Core purpose: Managing EU client portfolios to ensure timely ESEF filings, effective use of the Disclosure Management Platform, client retention and renewals, while supporting prospect demos and product feedback.
• Decision-making autonomy: Can independently clients query handling.
• Is this something only they do: All.
• What's different about this role: Critical client handling; Product testing and training to clients.</t>
        </is>
      </c>
      <c r="FN15" s="56" t="inlineStr">
        <is>
          <t>• Key responsibilities include: Cross sell; Upsell; Data update in excels; Too many excels; Client retention; Product testing.
• Personally accountable for: Client retention and overall client experience.
• Impact if missed or done wrong: Not faced anything such until now.
• How measured: Higher target.</t>
        </is>
      </c>
      <c r="FO15" s="56" t="inlineStr">
        <is>
          <t>• Current capabilities: XBRL knowledge; Negotiation skills; Patience; Multi tasking.
• Tools / software used: ChatGPT; PPT.
• Workload: Rated a moderate load · 3/5 in a typical week.
• Judgment/way of working: Sales activities.</t>
        </is>
      </c>
      <c r="FP15" s="56" t="inlineStr">
        <is>
          <t>• Development priorities: Executive communication.
• Learning and Development Need: Rapo with internal teams; Advance Excel training. Nothing specific.
• Role evolving toward: Less collaboration in product development activities.</t>
        </is>
      </c>
      <c r="FQ15" s="56" t="inlineStr">
        <is>
          <t>• Key challenges: Pricing approval; Same data in diff excels; Unplanned calls.
• Support required: Sales activities; Remove sales related activities; Ownership to take decisions on pricing.</t>
        </is>
      </c>
      <c r="FR15" s="56" t="inlineStr">
        <is>
          <t>Complexity: Evidence reads like A3: Manages EU clients' ESEF filings on DM platform; product testing, client training, demos → moved down 1
Autonomy: Evidence reads like A2: Decides independently on client query handling only → moved down 1
Accountability: Evidence reads like B2: EU client portfolios: timely ESEF filings, retention, renewals, cross-sell and upsell → matches the start
Leadership: Evidence reads like A1: Trains clients; no internal guidance described → moved down 1
Business Impact: Moved +0.5: the survey / manager mapping marks it business-critical.</t>
        </is>
      </c>
      <c r="FS15" s="56" t="inlineStr">
        <is>
          <t>Common themes in role-holders' answers: cross improve · upsell cross · nps follow · tech · improve nps · us market
Common themes in role-holders' answers: product · renewals · upsell · cross sell · update · testing
Common themes in role-holders' answers: client · customer
Common themes in role-holders' answers: retention · renewals · sell · cross · maintaining · invoicing</t>
        </is>
      </c>
      <c r="FT15" s="56" t="inlineStr">
        <is>
          <t>Self-identified: Communication &amp; presentation
For the next role: Communication &amp; presentation</t>
        </is>
      </c>
      <c r="FU15" s="56" t="inlineStr">
        <is>
          <t>Per-person summary · CARBON Mapping Master</t>
        </is>
      </c>
    </row>
    <row r="16" ht="90" customHeight="1">
      <c r="A16" s="51" t="inlineStr">
        <is>
          <t>◂ Back</t>
        </is>
      </c>
      <c r="B16" s="29" t="inlineStr">
        <is>
          <t>Mapped</t>
        </is>
      </c>
      <c r="C16" s="28" t="inlineStr">
        <is>
          <t>CARBON</t>
        </is>
      </c>
      <c r="D16" s="29" t="inlineStr">
        <is>
          <t>IRIS1967</t>
        </is>
      </c>
      <c r="E16" s="29" t="inlineStr">
        <is>
          <t>Pritam Agarwal</t>
        </is>
      </c>
      <c r="F16" s="29" t="inlineStr">
        <is>
          <t>Support</t>
        </is>
      </c>
      <c r="G16" s="29" t="inlineStr">
        <is>
          <t>Manager- Customer Engagement</t>
        </is>
      </c>
      <c r="H16" s="29" t="inlineStr">
        <is>
          <t>Senior Customer Success Specialist</t>
        </is>
      </c>
      <c r="I16" s="29" t="inlineStr">
        <is>
          <t>L5 – Manager</t>
        </is>
      </c>
      <c r="J16" s="29" t="inlineStr">
        <is>
          <t>B2</t>
        </is>
      </c>
      <c r="K16" s="29" t="inlineStr">
        <is>
          <t>• Same level</t>
        </is>
      </c>
      <c r="L16" s="29" t="inlineStr">
        <is>
          <t>Customer Success &amp; Support</t>
        </is>
      </c>
      <c r="M16" s="29" t="inlineStr">
        <is>
          <t>Customer Success &amp; Account Management</t>
        </is>
      </c>
      <c r="N16" s="29" t="n"/>
      <c r="O16" s="29" t="n">
        <v>20</v>
      </c>
      <c r="P16" s="28" t="inlineStr">
        <is>
          <t>P4 / M3</t>
        </is>
      </c>
      <c r="Q16" s="29" t="inlineStr">
        <is>
          <t>Senior / Manager</t>
        </is>
      </c>
      <c r="R16" s="29" t="inlineStr">
        <is>
          <t>4–5</t>
        </is>
      </c>
      <c r="S16" s="29" t="inlineStr">
        <is>
          <t>6–9 yrs</t>
        </is>
      </c>
      <c r="T16" s="29" t="inlineStr">
        <is>
          <t>7–10 · 6–11</t>
        </is>
      </c>
      <c r="U16" s="29" t="inlineStr">
        <is>
          <t>Senior CSM / Support Specialist</t>
        </is>
      </c>
      <c r="V16" s="29" t="inlineStr">
        <is>
          <t>Workiva: Product Success Manager · IRIS Vs Competitor Benchmark — SaaS customer-success ladder: Senior CSM · IRIS Vs Competitor Benchmark — support tiers: Support Team Manager</t>
        </is>
      </c>
      <c r="W16" s="29" t="inlineStr">
        <is>
          <t>TSIA frameworks and benchmarks; ITIL 4 service desk; Gainsight customer-success practice</t>
        </is>
      </c>
      <c r="X16" s="29" t="inlineStr">
        <is>
          <t>Core 3 · Future 3 · Functional 4 · Leadership 2</t>
        </is>
      </c>
      <c r="Y16" s="52" t="n">
        <v>203</v>
      </c>
      <c r="Z16" s="53" t="inlineStr">
        <is>
          <t>IRIS1967</t>
        </is>
      </c>
      <c r="AA16" s="53" t="inlineStr">
        <is>
          <t>Employee</t>
        </is>
      </c>
      <c r="AB16" s="53" t="inlineStr">
        <is>
          <t>Active</t>
        </is>
      </c>
      <c r="AC16" s="53" t="inlineStr">
        <is>
          <t>Pritam Agarwal</t>
        </is>
      </c>
      <c r="AD16" s="54" t="n">
        <v>44531</v>
      </c>
      <c r="AE16" s="53" t="inlineStr">
        <is>
          <t>Manager- Customer Engagement</t>
        </is>
      </c>
      <c r="AF16" s="53" t="inlineStr">
        <is>
          <t>PGDM</t>
        </is>
      </c>
      <c r="AG16" s="53" t="inlineStr">
        <is>
          <t>Anushree Aparajit</t>
        </is>
      </c>
      <c r="AH16" s="53" t="inlineStr">
        <is>
          <t>N-5</t>
        </is>
      </c>
      <c r="AI16" s="53" t="inlineStr">
        <is>
          <t>Individual Contributor</t>
        </is>
      </c>
      <c r="AJ16" s="53" t="inlineStr">
        <is>
          <t>15 years, 4 months, 0 days</t>
        </is>
      </c>
      <c r="AK16" s="53" t="inlineStr">
        <is>
          <t>4 years, 8 months, 24 days</t>
        </is>
      </c>
      <c r="AL16" s="53" t="inlineStr">
        <is>
          <t>Regtech</t>
        </is>
      </c>
      <c r="AM16" s="53" t="inlineStr">
        <is>
          <t>CARBON</t>
        </is>
      </c>
      <c r="AN16" s="53" t="inlineStr">
        <is>
          <t>Support</t>
        </is>
      </c>
      <c r="AO16" s="53" t="inlineStr">
        <is>
          <t>Client Engagement</t>
        </is>
      </c>
      <c r="AP16" s="53" t="inlineStr">
        <is>
          <t>No</t>
        </is>
      </c>
      <c r="AQ16" s="53" t="inlineStr">
        <is>
          <t>Client Engagement</t>
        </is>
      </c>
      <c r="AR16" s="53" t="inlineStr">
        <is>
          <t>XBRL Domain</t>
        </is>
      </c>
      <c r="AS16" s="53" t="inlineStr">
        <is>
          <t>Non-technical</t>
        </is>
      </c>
      <c r="AT16" s="53" t="n">
        <v>20</v>
      </c>
      <c r="AU16" s="53" t="inlineStr">
        <is>
          <t>Covered</t>
        </is>
      </c>
      <c r="AV16" s="53" t="inlineStr">
        <is>
          <t>IRIS1967</t>
        </is>
      </c>
      <c r="AW16" s="53" t="inlineStr">
        <is>
          <t>Pritam Agarwal</t>
        </is>
      </c>
      <c r="AX16" s="53" t="inlineStr">
        <is>
          <t>Support</t>
        </is>
      </c>
      <c r="AY16" s="53" t="inlineStr">
        <is>
          <t>Customer Success &amp; Support</t>
        </is>
      </c>
      <c r="AZ16" s="53" t="inlineStr">
        <is>
          <t>Customer Success</t>
        </is>
      </c>
      <c r="BA16" s="53" t="n"/>
      <c r="BB16" s="53" t="n"/>
      <c r="BC16" s="53" t="inlineStr">
        <is>
          <t>Employee</t>
        </is>
      </c>
      <c r="BD16" s="53" t="inlineStr">
        <is>
          <t>Anushree Aparajit</t>
        </is>
      </c>
      <c r="BE16" s="53" t="inlineStr">
        <is>
          <t>Anushree Aparajit</t>
        </is>
      </c>
      <c r="BF16" s="53" t="inlineStr">
        <is>
          <t>No</t>
        </is>
      </c>
      <c r="BG16" s="53" t="inlineStr">
        <is>
          <t>Manager- Customer Engagement</t>
        </is>
      </c>
      <c r="BH16" s="53" t="inlineStr">
        <is>
          <t>Sr.Customer Engagement Manager</t>
        </is>
      </c>
      <c r="BI16" s="53" t="inlineStr">
        <is>
          <t>Yes</t>
        </is>
      </c>
      <c r="BJ16" s="53" t="inlineStr">
        <is>
          <t>—</t>
        </is>
      </c>
      <c r="BK16" s="53" t="inlineStr">
        <is>
          <t>—</t>
        </is>
      </c>
      <c r="BL16" s="53" t="inlineStr">
        <is>
          <t>—</t>
        </is>
      </c>
      <c r="BM16" s="53" t="inlineStr">
        <is>
          <t>Not a manager</t>
        </is>
      </c>
      <c r="BN16" s="53" t="inlineStr">
        <is>
          <t>—</t>
        </is>
      </c>
      <c r="BO16" s="53" t="inlineStr">
        <is>
          <t>—</t>
        </is>
      </c>
      <c r="BP16" s="53" t="inlineStr">
        <is>
          <t>—</t>
        </is>
      </c>
      <c r="BQ16" s="53" t="inlineStr">
        <is>
          <t>Not a manager</t>
        </is>
      </c>
      <c r="BR16" s="53" t="inlineStr">
        <is>
          <t>—</t>
        </is>
      </c>
      <c r="BS16" s="53" t="inlineStr">
        <is>
          <t>L5 – Manager</t>
        </is>
      </c>
      <c r="BT16" s="53" t="inlineStr">
        <is>
          <t>L3</t>
        </is>
      </c>
      <c r="BU16" s="53" t="inlineStr">
        <is>
          <t>Matched from Title Hierarchy · new designation</t>
        </is>
      </c>
      <c r="BV16" s="53" t="inlineStr">
        <is>
          <t>"Net Revenue Retention ≥100–105%​
Target ARR - to be achieved: INR 30,00,000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BW16" s="53" t="n"/>
      <c r="BX16" s="53" t="inlineStr">
        <is>
          <t>Germany and Netherlands.</t>
        </is>
      </c>
      <c r="BY16" s="53" t="n"/>
      <c r="BZ16" s="53" t="inlineStr">
        <is>
          <t>IRIS1967</t>
        </is>
      </c>
      <c r="CA16" s="53" t="inlineStr">
        <is>
          <t>Employee</t>
        </is>
      </c>
      <c r="CB16" s="53" t="inlineStr">
        <is>
          <t>Active</t>
        </is>
      </c>
      <c r="CC16" s="53" t="inlineStr">
        <is>
          <t>Pritam Agarwal</t>
        </is>
      </c>
      <c r="CD16" s="54" t="n">
        <v>44531</v>
      </c>
      <c r="CE16" s="53" t="inlineStr">
        <is>
          <t>Manager- Customer Engagement</t>
        </is>
      </c>
      <c r="CF16" s="53" t="inlineStr">
        <is>
          <t>Upsell, cross, improve NPS, follow up with tech team · Non US Market</t>
        </is>
      </c>
      <c r="CG16" s="53" t="inlineStr">
        <is>
          <t>Customer Success &amp; Support</t>
        </is>
      </c>
      <c r="CH16" s="53" t="inlineStr">
        <is>
          <t>Customer Support</t>
        </is>
      </c>
      <c r="CI16" s="53" t="inlineStr">
        <is>
          <t>Sr.Customer Engagement Manager</t>
        </is>
      </c>
      <c r="CJ16" s="53" t="inlineStr">
        <is>
          <t>L5 – Manager</t>
        </is>
      </c>
      <c r="CK16" s="53" t="inlineStr">
        <is>
          <t>Anushree Aparajit</t>
        </is>
      </c>
      <c r="CL16" s="53" t="inlineStr">
        <is>
          <t>N-5</t>
        </is>
      </c>
      <c r="CM16" s="53" t="inlineStr">
        <is>
          <t>Individual Contributor</t>
        </is>
      </c>
      <c r="CN16" s="53" t="inlineStr">
        <is>
          <t>Regtech</t>
        </is>
      </c>
      <c r="CO16" s="53" t="inlineStr">
        <is>
          <t>Support</t>
        </is>
      </c>
      <c r="CP16" s="53" t="inlineStr">
        <is>
          <t>19 years, 10 months, 19 days</t>
        </is>
      </c>
      <c r="CQ16" s="53" t="inlineStr">
        <is>
          <t>Sr.Customer Engagement Manager</t>
        </is>
      </c>
      <c r="CR16" s="53" t="inlineStr">
        <is>
          <t>No</t>
        </is>
      </c>
      <c r="CS16" s="53" t="n">
        <v>2</v>
      </c>
      <c r="CT16" s="53" t="inlineStr">
        <is>
          <t>Medium</t>
        </is>
      </c>
      <c r="CU16" s="53" t="inlineStr">
        <is>
          <t>Core Contributor</t>
        </is>
      </c>
      <c r="CV16" s="53" t="inlineStr">
        <is>
          <t>No</t>
        </is>
      </c>
      <c r="CW16" s="53" t="inlineStr">
        <is>
          <t>No</t>
        </is>
      </c>
      <c r="CX16" s="53" t="inlineStr">
        <is>
          <t>Yes</t>
        </is>
      </c>
      <c r="CY16" s="53" t="inlineStr">
        <is>
          <t>N</t>
        </is>
      </c>
      <c r="CZ16" s="53" t="inlineStr">
        <is>
          <t>XBRL taxonomy &amp; regulatory updates; domain/accounting refreshers; quality &amp; accuracy practices; tooling proficiency</t>
        </is>
      </c>
      <c r="DA16" s="53" t="n"/>
      <c r="DB16" s="53" t="inlineStr">
        <is>
          <t>Pritam needs to take ownership and work proactively. He is excellent in process driven work but on dynamic workscape, there are aspects of proactive picking up threads, forecasting, price gaze, market study involved, which he needs to pick up.</t>
        </is>
      </c>
      <c r="DC16" s="53" t="n"/>
      <c r="DD16" s="53" t="n"/>
      <c r="DE16" s="53" t="n"/>
      <c r="DF16" s="53" t="n"/>
      <c r="DG16" s="53" t="n"/>
      <c r="DH16" s="53" t="n"/>
      <c r="DI16" s="53" t="n"/>
      <c r="DJ16" s="53" t="n"/>
      <c r="DK16" s="53" t="n"/>
      <c r="DL16" s="53" t="n"/>
      <c r="DM16" s="53" t="n"/>
      <c r="DN16" s="53" t="n"/>
      <c r="DO16" s="53" t="n"/>
      <c r="DP16" s="53" t="n"/>
      <c r="DQ16" s="53" t="n"/>
      <c r="DR16" s="53" t="n"/>
      <c r="DS16" s="53" t="n"/>
      <c r="DT16" s="53" t="n"/>
      <c r="DU16" s="53" t="n"/>
      <c r="DV16" s="53" t="n"/>
      <c r="DW16" s="53" t="n"/>
      <c r="DX16" s="53" t="n"/>
      <c r="DY16" s="53" t="n"/>
      <c r="DZ16" s="53" t="n"/>
      <c r="EA16" s="53" t="n"/>
      <c r="EB16" s="53" t="n"/>
      <c r="EC16" s="53" t="n"/>
      <c r="ED16" s="53" t="n"/>
      <c r="EE16" s="53" t="n"/>
      <c r="EF16" s="53" t="n"/>
      <c r="EG16" s="53" t="n"/>
      <c r="EH16" s="53" t="n"/>
      <c r="EI16" s="53" t="n"/>
      <c r="EJ16" s="53" t="n"/>
      <c r="EK16" s="53" t="n"/>
      <c r="EL16" s="53" t="n"/>
      <c r="EM16" s="53" t="n"/>
      <c r="EN16" s="53" t="n"/>
      <c r="EO16" s="53" t="n"/>
      <c r="EP16" s="53" t="n"/>
      <c r="EQ16" s="53" t="n"/>
      <c r="ER16" s="53" t="n"/>
      <c r="ES16" s="53" t="n"/>
      <c r="ET16" s="53" t="n"/>
      <c r="EU16" s="53" t="n"/>
      <c r="EV16" s="53" t="n"/>
      <c r="EW16" s="52" t="n"/>
      <c r="EX16" s="53" t="inlineStr">
        <is>
          <t>• Role / sub-team: Support — Manager- Customer Engagement.
• Core purpose: Client communication and Nurturing the client with training and enablement process to work independently.
• Decision-making autonomy: Can independently none of the activity.
• Is this something only they do: Most of us.
• What's different about this role: Geo specific reporting; Germany and Netherlands.</t>
        </is>
      </c>
      <c r="EY16" s="53" t="inlineStr">
        <is>
          <t>• Key responsibilities include: Hubspot updates.
• Personally accountable for: Maintaining CSAY Score, NPS, Logo Retention, New business.
• Impact if missed or done wrong: Client lost due to loss of care.
• How measured: Same as everyone else’s.</t>
        </is>
      </c>
      <c r="EZ16" s="53" t="inlineStr">
        <is>
          <t>• Current capabilities: Client communication.
• Tools / software used: Hubspot and excel.
• Workload: Rated a heavy load · 4/5 in a typical week.
• Judgment/way of working: Email drafting.</t>
        </is>
      </c>
      <c r="FA16" s="53" t="inlineStr">
        <is>
          <t>• Development priorities: Business Analytics tool learning to forecast things related to client activities.
• Learning and Development Need: Product testing. Raise concerns when needed.
• Role evolving toward: Yes, outside the skill like completely new sales work.</t>
        </is>
      </c>
      <c r="FB16" s="53" t="inlineStr">
        <is>
          <t>• Key challenges: Multiple stage approval.
• Support required: No new account - Sales can handle it better.</t>
        </is>
      </c>
      <c r="FC16" s="53" t="n"/>
      <c r="FD16" s="53" t="n"/>
      <c r="FE16" s="57" t="inlineStr">
        <is>
          <t>"Net Revenue Retention ≥100–105%
Target ARR - to be achieved: INR 30,00,000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FF16" s="56" t="n"/>
      <c r="FG16" s="56" t="n"/>
      <c r="FH16" s="56" t="n"/>
      <c r="FI16" s="56" t="inlineStr">
        <is>
          <t>Upsell, cross, improve NPS, follow up with tech team · Non US Market</t>
        </is>
      </c>
      <c r="FJ16" s="56" t="inlineStr">
        <is>
          <t>Received · manager annual</t>
        </is>
      </c>
      <c r="FK16" s="56" t="inlineStr">
        <is>
          <t>CARBON Mapping Master · CARBON Talent Mapping · Raw</t>
        </is>
      </c>
      <c r="FL16" s="56" t="n">
        <v>20</v>
      </c>
      <c r="FM16" s="56" t="inlineStr">
        <is>
          <t>• Role / sub-team: Support — Manager- Customer Engagement.
• Core purpose: Client communication and Nurturing the client with training and enablement process to work independently.
• Decision-making autonomy: Can independently none of the activity.
• Is this something only they do: Most of us.
• What's different about this role: Geo specific reporting; Germany and Netherlands.</t>
        </is>
      </c>
      <c r="FN16" s="56" t="inlineStr">
        <is>
          <t>• Key responsibilities include: Hubspot updates.
• Personally accountable for: Maintaining CSAY Score, NPS, Logo Retention, New business.
• Impact if missed or done wrong: Client lost due to loss of care.
• How measured: Same as everyone else’s.</t>
        </is>
      </c>
      <c r="FO16" s="56" t="inlineStr">
        <is>
          <t>• Current capabilities: Client communication.
• Tools / software used: Hubspot and excel.
• Workload: Rated a heavy load · 4/5 in a typical week.
• Judgment/way of working: Email drafting.</t>
        </is>
      </c>
      <c r="FP16" s="56" t="inlineStr">
        <is>
          <t>• Development priorities: Business Analytics tool learning to forecast things related to client activities.
• Learning and Development Need: Product testing. Raise concerns when needed.
• Role evolving toward: Yes, outside the skill like completely new sales work.</t>
        </is>
      </c>
      <c r="FQ16" s="56" t="inlineStr">
        <is>
          <t>• Key challenges: Multiple stage approval.
• Support required: No new account - Sales can handle it better.</t>
        </is>
      </c>
      <c r="FR16" s="56" t="inlineStr">
        <is>
          <t>Complexity: Evidence reads like A2: Client communication, sharing ESEF files and HubSpot updates; skills cited are email drafting → moved down 0.5
Autonomy: Evidence reads like A1: States decides 'none of the activity' independently → moved down 0.5
Accountability: Evidence reads like B1: CSAT, NPS, logo retention and new business for own Germany/Netherlands accounts → moved down 0.5
Leadership: Evidence reads like A1: No guidance of others described → moved down 0.5
Business Impact: Moved +0.5: the survey / manager mapping marks it business-critical.</t>
        </is>
      </c>
      <c r="FS16" s="56" t="inlineStr">
        <is>
          <t>Common themes in role-holders' answers: cross improve · upsell cross · nps follow · tech · improve nps · us market
Common themes in role-holders' answers: product · renewals · upsell · cross sell · update · testing
Common themes in role-holders' answers: client · customer
Common themes in role-holders' answers: retention · renewals · sell · cross · maintaining · invoicing</t>
        </is>
      </c>
      <c r="FT16" s="56" t="inlineStr">
        <is>
          <t>Self-identified: Data, SQL &amp; analytics · Product &amp; tool knowledge · Client, sales &amp; stakeholders
For the next role: Data, SQL &amp; analytics · Product &amp; tool knowledge · Client, sales &amp; stakeholders</t>
        </is>
      </c>
      <c r="FU16" s="56" t="inlineStr">
        <is>
          <t>Per-person summary · CARBON Mapping Master</t>
        </is>
      </c>
    </row>
    <row r="17" ht="90" customHeight="1">
      <c r="A17" s="51" t="inlineStr">
        <is>
          <t>◂ Back</t>
        </is>
      </c>
      <c r="B17" s="29" t="inlineStr">
        <is>
          <t>Mapped</t>
        </is>
      </c>
      <c r="C17" s="28" t="inlineStr">
        <is>
          <t>CARBON</t>
        </is>
      </c>
      <c r="D17" s="29" t="inlineStr">
        <is>
          <t>IRIS1911</t>
        </is>
      </c>
      <c r="E17" s="29" t="inlineStr">
        <is>
          <t>Varun Bubna</t>
        </is>
      </c>
      <c r="F17" s="29" t="inlineStr">
        <is>
          <t>Support</t>
        </is>
      </c>
      <c r="G17" s="29" t="inlineStr">
        <is>
          <t>Customer Success Manager</t>
        </is>
      </c>
      <c r="H17" s="29" t="inlineStr">
        <is>
          <t>Senior Customer Success Specialist</t>
        </is>
      </c>
      <c r="I17" s="29" t="inlineStr">
        <is>
          <t>L5 – Manager</t>
        </is>
      </c>
      <c r="J17" s="29" t="inlineStr">
        <is>
          <t>B2</t>
        </is>
      </c>
      <c r="K17" s="29" t="inlineStr">
        <is>
          <t>• Same level</t>
        </is>
      </c>
      <c r="L17" s="29" t="inlineStr">
        <is>
          <t>Customer Success &amp; Support</t>
        </is>
      </c>
      <c r="M17" s="29" t="inlineStr">
        <is>
          <t>Customer Success &amp; Account Management</t>
        </is>
      </c>
      <c r="N17" s="29" t="inlineStr">
        <is>
          <t>• Correct the experience record — HR</t>
        </is>
      </c>
      <c r="O17" s="29" t="n">
        <v>20</v>
      </c>
      <c r="P17" s="28" t="inlineStr">
        <is>
          <t>P4 / M3</t>
        </is>
      </c>
      <c r="Q17" s="29" t="inlineStr">
        <is>
          <t>Senior / Manager</t>
        </is>
      </c>
      <c r="R17" s="29" t="inlineStr">
        <is>
          <t>4–5</t>
        </is>
      </c>
      <c r="S17" s="29" t="inlineStr">
        <is>
          <t>6–9 yrs</t>
        </is>
      </c>
      <c r="T17" s="29" t="inlineStr">
        <is>
          <t>7–10 · 6–11</t>
        </is>
      </c>
      <c r="U17" s="29" t="inlineStr">
        <is>
          <t>Senior CSM / Support Specialist</t>
        </is>
      </c>
      <c r="V17" s="29" t="inlineStr">
        <is>
          <t>Workiva: Product Success Manager · IRIS Vs Competitor Benchmark — SaaS customer-success ladder: Senior CSM · IRIS Vs Competitor Benchmark — support tiers: Support Team Manager</t>
        </is>
      </c>
      <c r="W17" s="29" t="inlineStr">
        <is>
          <t>TSIA frameworks and benchmarks; ITIL 4 service desk; Gainsight customer-success practice</t>
        </is>
      </c>
      <c r="X17" s="29" t="inlineStr">
        <is>
          <t>Core 3 · Future 3 · Functional 4 · Leadership 2</t>
        </is>
      </c>
      <c r="Y17" s="52" t="n">
        <v>180</v>
      </c>
      <c r="Z17" s="53" t="inlineStr">
        <is>
          <t>IRIS1911</t>
        </is>
      </c>
      <c r="AA17" s="53" t="inlineStr">
        <is>
          <t>Employee</t>
        </is>
      </c>
      <c r="AB17" s="53" t="inlineStr">
        <is>
          <t>Active</t>
        </is>
      </c>
      <c r="AC17" s="53" t="inlineStr">
        <is>
          <t>Varun Bubna</t>
        </is>
      </c>
      <c r="AD17" s="54" t="n">
        <v>44319</v>
      </c>
      <c r="AE17" s="53" t="inlineStr">
        <is>
          <t>Customer Success Manager</t>
        </is>
      </c>
      <c r="AF17" s="53" t="inlineStr">
        <is>
          <t>B.Com</t>
        </is>
      </c>
      <c r="AG17" s="53" t="inlineStr">
        <is>
          <t>Anushree Aparajit</t>
        </is>
      </c>
      <c r="AH17" s="53" t="inlineStr">
        <is>
          <t>N-5</t>
        </is>
      </c>
      <c r="AI17" s="53" t="inlineStr">
        <is>
          <t>Individual Contributor</t>
        </is>
      </c>
      <c r="AJ17" s="53" t="inlineStr">
        <is>
          <t>3 years, 0 months, 0 days</t>
        </is>
      </c>
      <c r="AK17" s="53" t="inlineStr">
        <is>
          <t>5 years, 3 months, 22 days</t>
        </is>
      </c>
      <c r="AL17" s="53" t="inlineStr">
        <is>
          <t>Regtech</t>
        </is>
      </c>
      <c r="AM17" s="53" t="inlineStr">
        <is>
          <t>CARBON</t>
        </is>
      </c>
      <c r="AN17" s="53" t="inlineStr">
        <is>
          <t>Support</t>
        </is>
      </c>
      <c r="AO17" s="53" t="inlineStr">
        <is>
          <t>Client Engagement</t>
        </is>
      </c>
      <c r="AP17" s="53" t="inlineStr">
        <is>
          <t>No</t>
        </is>
      </c>
      <c r="AQ17" s="53" t="inlineStr">
        <is>
          <t>Client Engagement</t>
        </is>
      </c>
      <c r="AR17" s="53" t="inlineStr">
        <is>
          <t>XBRL Domain</t>
        </is>
      </c>
      <c r="AS17" s="53" t="inlineStr">
        <is>
          <t>Non-technical</t>
        </is>
      </c>
      <c r="AT17" s="53" t="n">
        <v>20</v>
      </c>
      <c r="AU17" s="53" t="inlineStr">
        <is>
          <t>Covered</t>
        </is>
      </c>
      <c r="AV17" s="53" t="inlineStr">
        <is>
          <t>IRIS1911</t>
        </is>
      </c>
      <c r="AW17" s="53" t="inlineStr">
        <is>
          <t>Varun Bubna</t>
        </is>
      </c>
      <c r="AX17" s="53" t="inlineStr">
        <is>
          <t>Support</t>
        </is>
      </c>
      <c r="AY17" s="53" t="inlineStr">
        <is>
          <t>Customer Success &amp; Support</t>
        </is>
      </c>
      <c r="AZ17" s="53" t="inlineStr">
        <is>
          <t>Customer Success</t>
        </is>
      </c>
      <c r="BA17" s="53" t="n"/>
      <c r="BB17" s="53" t="n"/>
      <c r="BC17" s="53" t="inlineStr">
        <is>
          <t>Employee</t>
        </is>
      </c>
      <c r="BD17" s="53" t="inlineStr">
        <is>
          <t>Anushree Aparajit</t>
        </is>
      </c>
      <c r="BE17" s="53" t="inlineStr">
        <is>
          <t>Anushree Aparajit</t>
        </is>
      </c>
      <c r="BF17" s="53" t="inlineStr">
        <is>
          <t>No</t>
        </is>
      </c>
      <c r="BG17" s="53" t="inlineStr">
        <is>
          <t>Customer Success Manager</t>
        </is>
      </c>
      <c r="BH17" s="53" t="inlineStr">
        <is>
          <t>Sr.Customer Engagement Manager</t>
        </is>
      </c>
      <c r="BI17" s="53" t="inlineStr">
        <is>
          <t>Yes</t>
        </is>
      </c>
      <c r="BJ17" s="53" t="inlineStr">
        <is>
          <t>—</t>
        </is>
      </c>
      <c r="BK17" s="53" t="inlineStr">
        <is>
          <t>—</t>
        </is>
      </c>
      <c r="BL17" s="53" t="inlineStr">
        <is>
          <t>—</t>
        </is>
      </c>
      <c r="BM17" s="53" t="inlineStr">
        <is>
          <t>Not a manager</t>
        </is>
      </c>
      <c r="BN17" s="53" t="inlineStr">
        <is>
          <t>—</t>
        </is>
      </c>
      <c r="BO17" s="53" t="inlineStr">
        <is>
          <t>—</t>
        </is>
      </c>
      <c r="BP17" s="53" t="inlineStr">
        <is>
          <t>—</t>
        </is>
      </c>
      <c r="BQ17" s="53" t="inlineStr">
        <is>
          <t>Not a manager</t>
        </is>
      </c>
      <c r="BR17" s="53" t="inlineStr">
        <is>
          <t>—</t>
        </is>
      </c>
      <c r="BS17" s="53" t="inlineStr">
        <is>
          <t>L5 – Manager</t>
        </is>
      </c>
      <c r="BT17" s="53" t="inlineStr">
        <is>
          <t>L2</t>
        </is>
      </c>
      <c r="BU17" s="53" t="inlineStr">
        <is>
          <t>Matched from Title Hierarchy · new designation</t>
        </is>
      </c>
      <c r="BV17" s="53" t="inlineStr">
        <is>
          <t>Net Revenue Retention ≥100–105%​ 
Target ARR - to be achieved Rs. 50,00,000 per year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BW17" s="53" t="n"/>
      <c r="BX17" s="53" t="inlineStr">
        <is>
          <t>US; Ireland; Argentina; Brazil.</t>
        </is>
      </c>
      <c r="BY17" s="53" t="n"/>
      <c r="BZ17" s="53" t="inlineStr">
        <is>
          <t>IRIS1911</t>
        </is>
      </c>
      <c r="CA17" s="53" t="inlineStr">
        <is>
          <t>Employee</t>
        </is>
      </c>
      <c r="CB17" s="53" t="inlineStr">
        <is>
          <t>Active</t>
        </is>
      </c>
      <c r="CC17" s="53" t="inlineStr">
        <is>
          <t>Varun Bubna</t>
        </is>
      </c>
      <c r="CD17" s="54" t="n">
        <v>44319</v>
      </c>
      <c r="CE17" s="53" t="inlineStr">
        <is>
          <t>Customer Success Manager</t>
        </is>
      </c>
      <c r="CF17" s="53" t="inlineStr">
        <is>
          <t>Upsell, cross, improve NPS, follow up with tech team · US Market</t>
        </is>
      </c>
      <c r="CG17" s="53" t="inlineStr">
        <is>
          <t>Customer Success &amp; Support</t>
        </is>
      </c>
      <c r="CH17" s="53" t="inlineStr">
        <is>
          <t>Customer Support</t>
        </is>
      </c>
      <c r="CI17" s="53" t="inlineStr">
        <is>
          <t>Customer Engagement Manager</t>
        </is>
      </c>
      <c r="CJ17" s="53" t="inlineStr">
        <is>
          <t>L5 – Manager</t>
        </is>
      </c>
      <c r="CK17" s="53" t="inlineStr">
        <is>
          <t>Anushree Aparajit</t>
        </is>
      </c>
      <c r="CL17" s="53" t="inlineStr">
        <is>
          <t>N-5</t>
        </is>
      </c>
      <c r="CM17" s="53" t="inlineStr">
        <is>
          <t>Individual Contributor</t>
        </is>
      </c>
      <c r="CN17" s="53" t="inlineStr">
        <is>
          <t>Regtech</t>
        </is>
      </c>
      <c r="CO17" s="53" t="inlineStr">
        <is>
          <t>Support</t>
        </is>
      </c>
      <c r="CP17" s="53" t="inlineStr">
        <is>
          <t>8 years, 1 months, 17 days</t>
        </is>
      </c>
      <c r="CQ17" s="53" t="inlineStr">
        <is>
          <t>Customer Engagement Manager</t>
        </is>
      </c>
      <c r="CR17" s="53" t="inlineStr">
        <is>
          <t>No</t>
        </is>
      </c>
      <c r="CS17" s="53" t="n">
        <v>4</v>
      </c>
      <c r="CT17" s="53" t="inlineStr">
        <is>
          <t>Medium</t>
        </is>
      </c>
      <c r="CU17" s="53" t="inlineStr">
        <is>
          <t>High Impact / Growth Talent</t>
        </is>
      </c>
      <c r="CV17" s="53" t="n"/>
      <c r="CW17" s="53" t="n"/>
      <c r="CX17" s="53" t="n"/>
      <c r="CY17" s="53" t="n"/>
      <c r="CZ17" s="53" t="inlineStr">
        <is>
          <t>Communication, Handling Escalation, AI application</t>
        </is>
      </c>
      <c r="DA17" s="53" t="n"/>
      <c r="DB17" s="53" t="inlineStr">
        <is>
          <t>Title to be standardized to: Customer Engagement Manager</t>
        </is>
      </c>
      <c r="DC17" s="53" t="n"/>
      <c r="DD17" s="53" t="n"/>
      <c r="DE17" s="53" t="n"/>
      <c r="DF17" s="53" t="n"/>
      <c r="DG17" s="53" t="n"/>
      <c r="DH17" s="53" t="n"/>
      <c r="DI17" s="53" t="n"/>
      <c r="DJ17" s="53" t="n"/>
      <c r="DK17" s="53" t="n"/>
      <c r="DL17" s="53" t="n"/>
      <c r="DM17" s="53" t="n"/>
      <c r="DN17" s="53" t="n"/>
      <c r="DO17" s="53" t="n"/>
      <c r="DP17" s="53" t="n"/>
      <c r="DQ17" s="53" t="n"/>
      <c r="DR17" s="53" t="n"/>
      <c r="DS17" s="53" t="n"/>
      <c r="DT17" s="53" t="n"/>
      <c r="DU17" s="53" t="n"/>
      <c r="DV17" s="53" t="n"/>
      <c r="DW17" s="53" t="n"/>
      <c r="DX17" s="53" t="n"/>
      <c r="DY17" s="53" t="n"/>
      <c r="DZ17" s="53" t="n"/>
      <c r="EA17" s="53" t="n"/>
      <c r="EB17" s="53" t="n"/>
      <c r="EC17" s="53" t="n"/>
      <c r="ED17" s="53" t="n"/>
      <c r="EE17" s="53" t="n"/>
      <c r="EF17" s="53" t="n"/>
      <c r="EG17" s="53" t="n"/>
      <c r="EH17" s="53" t="n"/>
      <c r="EI17" s="53" t="n"/>
      <c r="EJ17" s="53" t="n"/>
      <c r="EK17" s="53" t="n"/>
      <c r="EL17" s="53" t="n"/>
      <c r="EM17" s="53" t="n"/>
      <c r="EN17" s="53" t="n"/>
      <c r="EO17" s="53" t="n"/>
      <c r="EP17" s="53" t="n"/>
      <c r="EQ17" s="53" t="n"/>
      <c r="ER17" s="53" t="n"/>
      <c r="ES17" s="53" t="n"/>
      <c r="ET17" s="53" t="n"/>
      <c r="EU17" s="53" t="n"/>
      <c r="EV17" s="53" t="n"/>
      <c r="EW17" s="52" t="n"/>
      <c r="EX17" s="53" t="inlineStr">
        <is>
          <t>• Role / sub-team: Support — Customer Success Manager.
• Core purpose: Intersection of Customers, Business, product and technology, helping customers get enabled into the platform and meet their regulatory needs understanding the value of our offering so that they stay.
• Decision-making autonomy: Can independently customer feedback.
• Is this something only they do: Most of us.
• What's different about this role: Handling multiple geos and mandates with important logos; Tech coordination.</t>
        </is>
      </c>
      <c r="EY17" s="53" t="inlineStr">
        <is>
          <t>• Key responsibilities include: SEC SME; Renewals; Expansions; Training; Product testing; Maintaining HubSpot.
• Personally accountable for: Renewals, ARR Expansion, invoicing, product testing, receivables, cross sell, maintaining partners, getting references, training customers.
• Impact if missed or done wrong: Business get impact either in terms of revenue, brand image. Gets noted in diary for appraisal.
• How measured: Higher target, need to nurture partner and ensure that clients using old platform are transitioned into the latest product.</t>
        </is>
      </c>
      <c r="EZ17" s="53" t="inlineStr">
        <is>
          <t>• Current capabilities: Regulatory expertise; Interpersonal skills; Nurturing skills; Product in- out for UAT.
• Tools / software used: HubSpot; Disclosure management; Office 365; Copilot.
• Workload: Rated a very heavy load · 5/5 in a typical week.
• Judgment/way of working: Client rapport, Domain expertise, detailed product knowledge, internal collaboration.</t>
        </is>
      </c>
      <c r="FA17" s="53" t="inlineStr">
        <is>
          <t>• Development priorities: Forecasting and data analysis.
• Learning and Development Need: Negotiating; Product planning.
• Role evolving toward: Focus on creating a brand for DM; Lots of new clients for DM with enablement; Revenue targets.</t>
        </is>
      </c>
      <c r="FB17" s="53" t="inlineStr">
        <is>
          <t>• Key challenges: Internal approvals; Invoicing delays; Lack of clarity; Continuous process change.
• Support required: Give more ownership while assigning responsibilities; Provide more authority.</t>
        </is>
      </c>
      <c r="FC17" s="53" t="n"/>
      <c r="FD17" s="53" t="n"/>
      <c r="FE17" s="57" t="inlineStr">
        <is>
          <t>Net Revenue Retention ≥100–105% 
Target ARR - to be achieved Rs. 50,00,000 per year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FF17" s="56" t="n"/>
      <c r="FG17" s="56" t="n"/>
      <c r="FH17" s="56" t="n"/>
      <c r="FI17" s="56" t="inlineStr">
        <is>
          <t>Upsell, cross, improve NPS, follow up with tech team · US Market</t>
        </is>
      </c>
      <c r="FJ17" s="56" t="inlineStr">
        <is>
          <t>Received · manager annual</t>
        </is>
      </c>
      <c r="FK17" s="56" t="inlineStr">
        <is>
          <t>CARBON Mapping Master · CARBON Talent Mapping · Raw</t>
        </is>
      </c>
      <c r="FL17" s="56" t="n">
        <v>20</v>
      </c>
      <c r="FM17" s="56" t="inlineStr">
        <is>
          <t>• Role / sub-team: Support — Customer Success Manager.
• Core purpose: Intersection of Customers, Business, product and technology, helping customers get enabled into the platform and meet their regulatory needs understanding the value of our offering so that they stay.
• Decision-making autonomy: Can independently customer feedback.
• Is this something only they do: Most of us.
• What's different about this role: Handling multiple geos and mandates with important logos; Tech coordination.</t>
        </is>
      </c>
      <c r="FN17" s="56" t="inlineStr">
        <is>
          <t>• Key responsibilities include: SEC SME; Renewals; Expansions; Training; Product testing; Maintaining HubSpot.
• Personally accountable for: Renewals, ARR Expansion, invoicing, product testing, receivables, cross sell, maintaining partners, getting references, training customers.
• Impact if missed or done wrong: Business get impact either in terms of revenue, brand image. Gets noted in diary for appraisal.
• How measured: Higher target, need to nurture partner and ensure that clients using old platform are transitioned into the latest product.</t>
        </is>
      </c>
      <c r="FO17" s="56" t="inlineStr">
        <is>
          <t>• Current capabilities: Regulatory expertise; Interpersonal skills; Nurturing skills; Product in- out for UAT.
• Tools / software used: HubSpot; Disclosure management; Office 365; Copilot.
• Workload: Rated a very heavy load · 5/5 in a typical week.
• Judgment/way of working: Client rapport, Domain expertise, detailed product knowledge, internal collaboration.</t>
        </is>
      </c>
      <c r="FP17" s="56" t="inlineStr">
        <is>
          <t>• Development priorities: Forecasting and data analysis.
• Learning and Development Need: Negotiating; Product planning.
• Role evolving toward: Focus on creating a brand for DM; Lots of new clients for DM with enablement; Revenue targets.</t>
        </is>
      </c>
      <c r="FQ17" s="56" t="inlineStr">
        <is>
          <t>• Key challenges: Internal approvals; Invoicing delays; Lack of clarity; Continuous process change.
• Support required: Give more ownership while assigning responsibilities; Provide more authority.</t>
        </is>
      </c>
      <c r="FR17" s="56" t="inlineStr">
        <is>
          <t>Complexity: Evidence reads like B1: SEC subject-matter expert; multiple geos and mandates; product UAT and customer training → moved down 0.5
Autonomy: Evidence reads like A2: Decides independently only on customer feedback → moved down 1
Accountability: Evidence reads like B2: Renewals, ARR expansion, receivables, cross-sell and partners across multi-geo key accounts → matches the start
Leadership: Evidence reads like A1: Trains customers; no internal guidance or leadership described → moved down 1
Business Impact: No survey or manager-mapping signal on criticality: kept at the start point.</t>
        </is>
      </c>
      <c r="FS17" s="56" t="inlineStr">
        <is>
          <t>Common themes in role-holders' answers: cross improve · upsell cross · nps follow · tech · improve nps · us market
Common themes in role-holders' answers: product · renewals · upsell · cross sell · update · testing
Common themes in role-holders' answers: client · customer
Common themes in role-holders' answers: retention · renewals · sell · cross · maintaining · invoicing</t>
        </is>
      </c>
      <c r="FT17" s="56" t="inlineStr">
        <is>
          <t>Self-identified: Data, SQL &amp; analytics
For the next role: Data, SQL &amp; analytics</t>
        </is>
      </c>
      <c r="FU17" s="56" t="inlineStr">
        <is>
          <t>Per-person summary · CARBON Mapping Master</t>
        </is>
      </c>
    </row>
    <row r="18" ht="90" customHeight="1">
      <c r="A18" s="51" t="inlineStr">
        <is>
          <t>◂ Back</t>
        </is>
      </c>
      <c r="B18" s="29" t="inlineStr">
        <is>
          <t>Mapped</t>
        </is>
      </c>
      <c r="C18" s="28" t="inlineStr">
        <is>
          <t>CARBON</t>
        </is>
      </c>
      <c r="D18" s="29" t="inlineStr">
        <is>
          <t>IRIS1939</t>
        </is>
      </c>
      <c r="E18" s="29" t="inlineStr">
        <is>
          <t>Nupur Samantaray</t>
        </is>
      </c>
      <c r="F18" s="29" t="inlineStr">
        <is>
          <t>Support</t>
        </is>
      </c>
      <c r="G18" s="29" t="inlineStr">
        <is>
          <t>Manager- Customer Engagement</t>
        </is>
      </c>
      <c r="H18" s="29" t="inlineStr">
        <is>
          <t>Senior Customer Success Specialist</t>
        </is>
      </c>
      <c r="I18" s="29" t="inlineStr">
        <is>
          <t>L5 – Manager</t>
        </is>
      </c>
      <c r="J18" s="29" t="inlineStr">
        <is>
          <t>B1</t>
        </is>
      </c>
      <c r="K18" s="29" t="inlineStr">
        <is>
          <t>• Same level</t>
        </is>
      </c>
      <c r="L18" s="29" t="inlineStr">
        <is>
          <t>Customer Success &amp; Support</t>
        </is>
      </c>
      <c r="M18" s="29" t="inlineStr">
        <is>
          <t>Customer Success &amp; Account Management</t>
        </is>
      </c>
      <c r="N18" s="29" t="n"/>
      <c r="O18" s="29" t="n">
        <v>20</v>
      </c>
      <c r="P18" s="28" t="inlineStr">
        <is>
          <t>P3 / M2</t>
        </is>
      </c>
      <c r="Q18" s="29" t="inlineStr">
        <is>
          <t>Career / · Team Lead</t>
        </is>
      </c>
      <c r="R18" s="29" t="inlineStr">
        <is>
          <t>4 Enable</t>
        </is>
      </c>
      <c r="S18" s="29" t="inlineStr">
        <is>
          <t>4–7 yrs</t>
        </is>
      </c>
      <c r="T18" s="29" t="inlineStr">
        <is>
          <t>5–8 · 4–8</t>
        </is>
      </c>
      <c r="U18" s="29" t="inlineStr">
        <is>
          <t>Senior CSM / Support Specialist</t>
        </is>
      </c>
      <c r="V18" s="29" t="inlineStr">
        <is>
          <t>Workiva: Customer Success Manager · IRIS Vs Competitor Benchmark — SaaS customer-success ladder: CSM · IRIS Vs Competitor Benchmark — support tiers: L3 / Problem Analyst</t>
        </is>
      </c>
      <c r="W18" s="29" t="inlineStr">
        <is>
          <t>TSIA frameworks and benchmarks; ITIL 4 service desk; Gainsight customer-success practice</t>
        </is>
      </c>
      <c r="X18" s="29" t="inlineStr">
        <is>
          <t>Core 3 · Future 3 · Functional 3 · Leadership 1</t>
        </is>
      </c>
      <c r="Y18" s="52" t="n">
        <v>192</v>
      </c>
      <c r="Z18" s="53" t="inlineStr">
        <is>
          <t>IRIS1939</t>
        </is>
      </c>
      <c r="AA18" s="53" t="inlineStr">
        <is>
          <t>Employee</t>
        </is>
      </c>
      <c r="AB18" s="53" t="inlineStr">
        <is>
          <t>Active</t>
        </is>
      </c>
      <c r="AC18" s="53" t="inlineStr">
        <is>
          <t>Nupur Samantaray</t>
        </is>
      </c>
      <c r="AD18" s="54" t="n">
        <v>44410</v>
      </c>
      <c r="AE18" s="53" t="inlineStr">
        <is>
          <t>Manager- Customer Engagement</t>
        </is>
      </c>
      <c r="AF18" s="53" t="inlineStr">
        <is>
          <t>CA</t>
        </is>
      </c>
      <c r="AG18" s="53" t="inlineStr">
        <is>
          <t>Anushree Aparajit</t>
        </is>
      </c>
      <c r="AH18" s="53" t="inlineStr">
        <is>
          <t>N-5</t>
        </is>
      </c>
      <c r="AI18" s="53" t="inlineStr">
        <is>
          <t>Individual Contributor</t>
        </is>
      </c>
      <c r="AJ18" s="53" t="inlineStr">
        <is>
          <t>4 years, 0 months, 0 days</t>
        </is>
      </c>
      <c r="AK18" s="53" t="inlineStr">
        <is>
          <t>5 years, 0 months, 23 days</t>
        </is>
      </c>
      <c r="AL18" s="53" t="inlineStr">
        <is>
          <t>Regtech</t>
        </is>
      </c>
      <c r="AM18" s="53" t="inlineStr">
        <is>
          <t>CARBON</t>
        </is>
      </c>
      <c r="AN18" s="53" t="inlineStr">
        <is>
          <t>Support</t>
        </is>
      </c>
      <c r="AO18" s="53" t="inlineStr">
        <is>
          <t>Client Engagement</t>
        </is>
      </c>
      <c r="AP18" s="53" t="inlineStr">
        <is>
          <t>No</t>
        </is>
      </c>
      <c r="AQ18" s="53" t="inlineStr">
        <is>
          <t>Client Engagement</t>
        </is>
      </c>
      <c r="AR18" s="53" t="inlineStr">
        <is>
          <t>XBRL Domain</t>
        </is>
      </c>
      <c r="AS18" s="53" t="inlineStr">
        <is>
          <t>Non-technical</t>
        </is>
      </c>
      <c r="AT18" s="53" t="n">
        <v>20</v>
      </c>
      <c r="AU18" s="53" t="inlineStr">
        <is>
          <t>Covered</t>
        </is>
      </c>
      <c r="AV18" s="53" t="inlineStr">
        <is>
          <t>IRIS1939</t>
        </is>
      </c>
      <c r="AW18" s="53" t="inlineStr">
        <is>
          <t>Nupur Samantaray</t>
        </is>
      </c>
      <c r="AX18" s="53" t="inlineStr">
        <is>
          <t>Support</t>
        </is>
      </c>
      <c r="AY18" s="53" t="inlineStr">
        <is>
          <t>Customer Success &amp; Support</t>
        </is>
      </c>
      <c r="AZ18" s="53" t="inlineStr">
        <is>
          <t>Customer Success</t>
        </is>
      </c>
      <c r="BA18" s="53" t="n"/>
      <c r="BB18" s="53" t="n"/>
      <c r="BC18" s="53" t="inlineStr">
        <is>
          <t>Employee</t>
        </is>
      </c>
      <c r="BD18" s="53" t="inlineStr">
        <is>
          <t>Anushree Aparajit</t>
        </is>
      </c>
      <c r="BE18" s="53" t="inlineStr">
        <is>
          <t>Anushree Aparajit</t>
        </is>
      </c>
      <c r="BF18" s="53" t="inlineStr">
        <is>
          <t>No</t>
        </is>
      </c>
      <c r="BG18" s="53" t="inlineStr">
        <is>
          <t>Manager- Customer Engagement</t>
        </is>
      </c>
      <c r="BH18" s="53" t="inlineStr">
        <is>
          <t>Sr.Customer Engagement Manager</t>
        </is>
      </c>
      <c r="BI18" s="53" t="inlineStr">
        <is>
          <t>Yes</t>
        </is>
      </c>
      <c r="BJ18" s="53" t="inlineStr">
        <is>
          <t>—</t>
        </is>
      </c>
      <c r="BK18" s="53" t="inlineStr">
        <is>
          <t>—</t>
        </is>
      </c>
      <c r="BL18" s="53" t="inlineStr">
        <is>
          <t>—</t>
        </is>
      </c>
      <c r="BM18" s="53" t="inlineStr">
        <is>
          <t>Not a manager</t>
        </is>
      </c>
      <c r="BN18" s="53" t="inlineStr">
        <is>
          <t>—</t>
        </is>
      </c>
      <c r="BO18" s="53" t="inlineStr">
        <is>
          <t>—</t>
        </is>
      </c>
      <c r="BP18" s="53" t="inlineStr">
        <is>
          <t>—</t>
        </is>
      </c>
      <c r="BQ18" s="53" t="inlineStr">
        <is>
          <t>Not a manager</t>
        </is>
      </c>
      <c r="BR18" s="53" t="inlineStr">
        <is>
          <t>—</t>
        </is>
      </c>
      <c r="BS18" s="53" t="inlineStr">
        <is>
          <t>L5 – Manager</t>
        </is>
      </c>
      <c r="BT18" s="53" t="inlineStr">
        <is>
          <t>L3</t>
        </is>
      </c>
      <c r="BU18" s="53" t="inlineStr">
        <is>
          <t>Matched from Title Hierarchy · new designation</t>
        </is>
      </c>
      <c r="BV18" s="53" t="inlineStr">
        <is>
          <t>Net Revenue Retention ≥100–105%​
Target ARR - to be achieved: INR 55,00,000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BW18" s="53" t="n"/>
      <c r="BX18" s="53" t="inlineStr">
        <is>
          <t>Benelux; UK.</t>
        </is>
      </c>
      <c r="BY18" s="53" t="n"/>
      <c r="BZ18" s="53" t="inlineStr">
        <is>
          <t>IRIS1939</t>
        </is>
      </c>
      <c r="CA18" s="53" t="inlineStr">
        <is>
          <t>Employee</t>
        </is>
      </c>
      <c r="CB18" s="53" t="inlineStr">
        <is>
          <t>Active</t>
        </is>
      </c>
      <c r="CC18" s="53" t="inlineStr">
        <is>
          <t>Nupur Samantaray</t>
        </is>
      </c>
      <c r="CD18" s="54" t="n">
        <v>44410</v>
      </c>
      <c r="CE18" s="53" t="inlineStr">
        <is>
          <t>Manager- Customer Engagement</t>
        </is>
      </c>
      <c r="CF18" s="53" t="inlineStr">
        <is>
          <t>Upsell, cross, improve NPS, follow up with tech team · Non US Market</t>
        </is>
      </c>
      <c r="CG18" s="53" t="inlineStr">
        <is>
          <t>Customer Success &amp; Support</t>
        </is>
      </c>
      <c r="CH18" s="53" t="inlineStr">
        <is>
          <t>Customer Support</t>
        </is>
      </c>
      <c r="CI18" s="53" t="inlineStr">
        <is>
          <t>Sr.Customer Engagement Manager</t>
        </is>
      </c>
      <c r="CJ18" s="53" t="inlineStr">
        <is>
          <t>L5 – Manager</t>
        </is>
      </c>
      <c r="CK18" s="53" t="inlineStr">
        <is>
          <t>Anushree Aparajit</t>
        </is>
      </c>
      <c r="CL18" s="53" t="inlineStr">
        <is>
          <t>N-5</t>
        </is>
      </c>
      <c r="CM18" s="53" t="inlineStr">
        <is>
          <t>Individual Contributor</t>
        </is>
      </c>
      <c r="CN18" s="53" t="inlineStr">
        <is>
          <t>Regtech</t>
        </is>
      </c>
      <c r="CO18" s="53" t="inlineStr">
        <is>
          <t>Support</t>
        </is>
      </c>
      <c r="CP18" s="53" t="inlineStr">
        <is>
          <t>8 years, 10 months, 18 days</t>
        </is>
      </c>
      <c r="CQ18" s="53" t="inlineStr">
        <is>
          <t>Sr.Customer Engagement Manager</t>
        </is>
      </c>
      <c r="CR18" s="53" t="inlineStr">
        <is>
          <t>No</t>
        </is>
      </c>
      <c r="CS18" s="53" t="n">
        <v>3</v>
      </c>
      <c r="CT18" s="53" t="inlineStr">
        <is>
          <t>Medium</t>
        </is>
      </c>
      <c r="CU18" s="53" t="inlineStr">
        <is>
          <t>Core Contributor</t>
        </is>
      </c>
      <c r="CV18" s="53" t="inlineStr">
        <is>
          <t>No</t>
        </is>
      </c>
      <c r="CW18" s="53" t="inlineStr">
        <is>
          <t>No</t>
        </is>
      </c>
      <c r="CX18" s="53" t="inlineStr">
        <is>
          <t>Yes</t>
        </is>
      </c>
      <c r="CY18" s="53" t="inlineStr">
        <is>
          <t>N</t>
        </is>
      </c>
      <c r="CZ18" s="53" t="inlineStr">
        <is>
          <t>XBRL taxonomy &amp; regulatory updates; domain/accounting refreshers; quality &amp; accuracy practices; tooling proficiency, DM proficiency, in-person meeting gearing up.</t>
        </is>
      </c>
      <c r="DA18" s="53" t="n"/>
      <c r="DB18" s="53" t="inlineStr">
        <is>
          <t>Title to be Standardized: Sr.Customer Engagement Manager</t>
        </is>
      </c>
      <c r="DC18" s="53" t="n"/>
      <c r="DD18" s="53" t="n"/>
      <c r="DE18" s="53" t="n"/>
      <c r="DF18" s="53" t="n"/>
      <c r="DG18" s="53" t="n"/>
      <c r="DH18" s="53" t="n"/>
      <c r="DI18" s="53" t="n"/>
      <c r="DJ18" s="53" t="n"/>
      <c r="DK18" s="53" t="n"/>
      <c r="DL18" s="53" t="n"/>
      <c r="DM18" s="53" t="n"/>
      <c r="DN18" s="53" t="n"/>
      <c r="DO18" s="53" t="n"/>
      <c r="DP18" s="53" t="n"/>
      <c r="DQ18" s="53" t="n"/>
      <c r="DR18" s="53" t="n"/>
      <c r="DS18" s="53" t="n"/>
      <c r="DT18" s="53" t="n"/>
      <c r="DU18" s="53" t="n"/>
      <c r="DV18" s="53" t="n"/>
      <c r="DW18" s="53" t="n"/>
      <c r="DX18" s="53" t="n"/>
      <c r="DY18" s="53" t="n"/>
      <c r="DZ18" s="53" t="n"/>
      <c r="EA18" s="53" t="n"/>
      <c r="EB18" s="53" t="n"/>
      <c r="EC18" s="53" t="n"/>
      <c r="ED18" s="53" t="n"/>
      <c r="EE18" s="53" t="n"/>
      <c r="EF18" s="53" t="n"/>
      <c r="EG18" s="53" t="n"/>
      <c r="EH18" s="53" t="n"/>
      <c r="EI18" s="53" t="n"/>
      <c r="EJ18" s="53" t="n"/>
      <c r="EK18" s="53" t="n"/>
      <c r="EL18" s="53" t="n"/>
      <c r="EM18" s="53" t="n"/>
      <c r="EN18" s="53" t="n"/>
      <c r="EO18" s="53" t="n"/>
      <c r="EP18" s="53" t="n"/>
      <c r="EQ18" s="53" t="n"/>
      <c r="ER18" s="53" t="n"/>
      <c r="ES18" s="53" t="n"/>
      <c r="ET18" s="53" t="n"/>
      <c r="EU18" s="53" t="n"/>
      <c r="EV18" s="53" t="n"/>
      <c r="EW18" s="52" t="n"/>
      <c r="EX18" s="53" t="inlineStr">
        <is>
          <t>• Role / sub-team: Support — Manager- Customer Engagement.
• Core purpose: Act as primary point of contact and understand customer requirements and pass on to product or service team
Coordinate between internal teams
Renewal and customer retention
Upselling.
• Decision-making autonomy: Can independently new logo.
• Is this something only they do: Most of us.
• What's different about this role: High demanding customer; Highly stylised reports; Too much involvement with tech team.</t>
        </is>
      </c>
      <c r="EY18" s="53" t="inlineStr">
        <is>
          <t>• Key responsibilities include: Renewals; Receivables; Training; Product Testing.
• Personally accountable for: ESEF output; Share invoices; Renewals.
• Impact if missed or done wrong: Customer escalation; Internally answerable; Affects performance rating.
• How measured: Much higher target.</t>
        </is>
      </c>
      <c r="EZ18" s="53" t="inlineStr">
        <is>
          <t>• Current capabilities: Basic excel; Email drafting; Communication.
• Tools / software used: Office 365; IRIS Carbon.
• Workload: Rated a heavy load · 4/5 in a typical week.
• Judgment/way of working: Collaboration with internal team.</t>
        </is>
      </c>
      <c r="FA18" s="53" t="inlineStr">
        <is>
          <t>• Development priorities: AI certification; PMO certication.
• Learning and Development Need: Product testing; Mandate enablement. Sales activity.
• Role evolving toward: Hubspot; Targets; Introduction of targets.</t>
        </is>
      </c>
      <c r="FB18" s="53" t="inlineStr">
        <is>
          <t>• Key challenges: Internal approvals; Invoicing process.
• Support required: More ownership; Remove sales related activities.</t>
        </is>
      </c>
      <c r="FC18" s="53" t="n"/>
      <c r="FD18" s="53" t="n"/>
      <c r="FE18" s="57" t="inlineStr">
        <is>
          <t>Net Revenue Retention ≥100–105%
Target ARR - to be achieved: INR 55,00,000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FF18" s="56" t="n"/>
      <c r="FG18" s="56" t="n"/>
      <c r="FH18" s="56" t="n"/>
      <c r="FI18" s="56" t="inlineStr">
        <is>
          <t>Upsell, cross, improve NPS, follow up with tech team · Non US Market</t>
        </is>
      </c>
      <c r="FJ18" s="56" t="inlineStr">
        <is>
          <t>Received · manager annual</t>
        </is>
      </c>
      <c r="FK18" s="56" t="inlineStr">
        <is>
          <t>CARBON Mapping Master · CARBON Talent Mapping · Raw</t>
        </is>
      </c>
      <c r="FL18" s="56" t="n">
        <v>20</v>
      </c>
      <c r="FM18" s="56" t="inlineStr">
        <is>
          <t>• Role / sub-team: Support — Manager- Customer Engagement.
• Core purpose: Act as primary point of contact and understand customer requirements and pass on to product or service team
Coordinate between internal teams
Renewal and customer retention
Upselling.
• Decision-making autonomy: Can independently new logo.
• Is this something only they do: Most of us.
• What's different about this role: High demanding customer; Highly stylised reports; Too much involvement with tech team.</t>
        </is>
      </c>
      <c r="FN18" s="56" t="inlineStr">
        <is>
          <t>• Key responsibilities include: Renewals; Receivables; Training; Product Testing.
• Personally accountable for: ESEF output; Share invoices; Renewals.
• Impact if missed or done wrong: Customer escalation; Internally answerable; Affects performance rating.
• How measured: Much higher target.</t>
        </is>
      </c>
      <c r="FO18" s="56" t="inlineStr">
        <is>
          <t>• Current capabilities: Basic excel; Email drafting; Communication.
• Tools / software used: Office 365; IRIS Carbon.
• Workload: Rated a heavy load · 4/5 in a typical week.
• Judgment/way of working: Collaboration with internal team.</t>
        </is>
      </c>
      <c r="FP18" s="56" t="inlineStr">
        <is>
          <t>• Development priorities: AI certification; PMO certication.
• Learning and Development Need: Product testing; Mandate enablement. Sales activity.
• Role evolving toward: Hubspot; Targets; Introduction of targets.</t>
        </is>
      </c>
      <c r="FQ18" s="56" t="inlineStr">
        <is>
          <t>• Key challenges: Internal approvals; Invoicing process.
• Support required: More ownership; Remove sales related activities.</t>
        </is>
      </c>
      <c r="FR18" s="56" t="inlineStr">
        <is>
          <t>Complexity: Evidence reads like A3: Delivers ESEF reports for demanding customers with highly stylised reports; product testing, training → moved down 1
Autonomy: Evidence reads like A2: Passes requirements to product or service teams; only 'new logo' cited as own decision → moved down 1
Accountability: Evidence reads like B1: ESEF output, invoices, renewals and receivables for own accounts → moved down 0.5
Leadership: Evidence reads like A1: No guidance of others described → moved down 1
Business Impact: Moved +0.5: the survey / manager mapping marks it business-critical.</t>
        </is>
      </c>
      <c r="FS18" s="56" t="inlineStr">
        <is>
          <t>Common themes in sub-family holders, all levels' answers: cross improve · upsell cross · nps follow · tech · improve nps · us market
Common themes in sub-family holders, all levels' answers: product · renewals · testing · upsell · cross sell · training
Common themes in sub-family holders, all levels' answers: customer · csat · product · esef · client
Common themes in sub-family holders, all levels' answers: retention · renewals · sell · cross · invoicing · outstanding
Common themes in sub-family holders, all levels' answers: trainings
If the work is missed · role-holders' themes: business · impact · revenue.</t>
        </is>
      </c>
      <c r="FT18" s="56" t="inlineStr">
        <is>
          <t>Self-identified: AI / automation · Certification / formal course
For the next role: AI / automation · Certification / formal course</t>
        </is>
      </c>
      <c r="FU18" s="56" t="inlineStr">
        <is>
          <t>Per-person summary · CARBON Mapping Master</t>
        </is>
      </c>
    </row>
    <row r="19" ht="90" customHeight="1">
      <c r="A19" s="51" t="inlineStr">
        <is>
          <t>◂ Back</t>
        </is>
      </c>
      <c r="B19" s="29" t="inlineStr">
        <is>
          <t>Mapped</t>
        </is>
      </c>
      <c r="C19" s="28" t="inlineStr">
        <is>
          <t>CARBON</t>
        </is>
      </c>
      <c r="D19" s="29" t="inlineStr">
        <is>
          <t>IRIS2448</t>
        </is>
      </c>
      <c r="E19" s="29" t="inlineStr">
        <is>
          <t>Samiksha Kadam</t>
        </is>
      </c>
      <c r="F19" s="29" t="inlineStr">
        <is>
          <t>Support</t>
        </is>
      </c>
      <c r="G19" s="29" t="inlineStr">
        <is>
          <t>Customer Engagement Executive</t>
        </is>
      </c>
      <c r="H19" s="29" t="inlineStr">
        <is>
          <t>Senior Customer Success Executive</t>
        </is>
      </c>
      <c r="I19" s="29" t="inlineStr">
        <is>
          <t>L3 – Professional / Associate</t>
        </is>
      </c>
      <c r="J19" s="29" t="inlineStr">
        <is>
          <t>A3</t>
        </is>
      </c>
      <c r="K19" s="29" t="inlineStr">
        <is>
          <t>▲ Up</t>
        </is>
      </c>
      <c r="L19" s="29" t="inlineStr">
        <is>
          <t>Customer Success &amp; Support</t>
        </is>
      </c>
      <c r="M19" s="29" t="inlineStr">
        <is>
          <t>Customer Success &amp; Account Management</t>
        </is>
      </c>
      <c r="N19" s="29" t="n"/>
      <c r="O19" s="29" t="n">
        <v>20</v>
      </c>
      <c r="P19" s="28" t="inlineStr">
        <is>
          <t>P2</t>
        </is>
      </c>
      <c r="Q19" s="29" t="inlineStr">
        <is>
          <t>Developing</t>
        </is>
      </c>
      <c r="R19" s="29" t="inlineStr">
        <is>
          <t>3 Apply</t>
        </is>
      </c>
      <c r="S19" s="29" t="inlineStr">
        <is>
          <t>2–4 yrs</t>
        </is>
      </c>
      <c r="T19" s="29" t="inlineStr">
        <is>
          <t>3–5 · 2–5</t>
        </is>
      </c>
      <c r="U19" s="29" t="inlineStr">
        <is>
          <t>Support / CS Executive</t>
        </is>
      </c>
      <c r="V19" s="29" t="inlineStr">
        <is>
          <t>IRIS Vs Competitor Benchmark — SaaS customer-success ladder: Associate CSM · Regnology: Product Support Specialist · Reg Reporting · IRIS Vs Competitor Benchmark — support tiers: L2 Application Support</t>
        </is>
      </c>
      <c r="W19" s="29" t="inlineStr">
        <is>
          <t>TSIA frameworks and benchmarks; ITIL 4 service desk; Gainsight customer-success practice</t>
        </is>
      </c>
      <c r="X19" s="29" t="inlineStr">
        <is>
          <t>Core 2 · Future 2 · Functional 3 · Leadership not scored</t>
        </is>
      </c>
      <c r="Y19" s="52" t="n">
        <v>415</v>
      </c>
      <c r="Z19" s="53" t="inlineStr">
        <is>
          <t>IRIS2448</t>
        </is>
      </c>
      <c r="AA19" s="53" t="inlineStr">
        <is>
          <t>Employee</t>
        </is>
      </c>
      <c r="AB19" s="53" t="inlineStr">
        <is>
          <t>Serving Notice</t>
        </is>
      </c>
      <c r="AC19" s="53" t="inlineStr">
        <is>
          <t>Samiksha Kadam</t>
        </is>
      </c>
      <c r="AD19" s="54" t="n">
        <v>45992</v>
      </c>
      <c r="AE19" s="53" t="inlineStr">
        <is>
          <t>Customer Engagement Executive</t>
        </is>
      </c>
      <c r="AF19" s="53" t="inlineStr">
        <is>
          <t>BMS</t>
        </is>
      </c>
      <c r="AG19" s="53" t="inlineStr">
        <is>
          <t>Anushree Aparajit</t>
        </is>
      </c>
      <c r="AH19" s="53" t="inlineStr">
        <is>
          <t>N-5</t>
        </is>
      </c>
      <c r="AI19" s="53" t="inlineStr">
        <is>
          <t>Individual Contributor</t>
        </is>
      </c>
      <c r="AJ19" s="53" t="inlineStr">
        <is>
          <t>9 years, 0 months, 0 days</t>
        </is>
      </c>
      <c r="AK19" s="53" t="inlineStr">
        <is>
          <t>0 years, 8 months, 24 days</t>
        </is>
      </c>
      <c r="AL19" s="53" t="inlineStr">
        <is>
          <t>Regtech</t>
        </is>
      </c>
      <c r="AM19" s="53" t="inlineStr">
        <is>
          <t>CARBON</t>
        </is>
      </c>
      <c r="AN19" s="53" t="inlineStr">
        <is>
          <t>Support</t>
        </is>
      </c>
      <c r="AO19" s="53" t="inlineStr">
        <is>
          <t>Client Engagement</t>
        </is>
      </c>
      <c r="AP19" s="53" t="inlineStr">
        <is>
          <t>No</t>
        </is>
      </c>
      <c r="AQ19" s="53" t="inlineStr">
        <is>
          <t>Client Engagement</t>
        </is>
      </c>
      <c r="AR19" s="53" t="inlineStr">
        <is>
          <t>XBRL Domain</t>
        </is>
      </c>
      <c r="AS19" s="53" t="inlineStr">
        <is>
          <t>Non-technical</t>
        </is>
      </c>
      <c r="AT19" s="53" t="n">
        <v>20</v>
      </c>
      <c r="AU19" s="53" t="inlineStr">
        <is>
          <t>Covered</t>
        </is>
      </c>
      <c r="AV19" s="53" t="inlineStr">
        <is>
          <t>IRIS2448</t>
        </is>
      </c>
      <c r="AW19" s="53" t="inlineStr">
        <is>
          <t>Samiksha Kadam</t>
        </is>
      </c>
      <c r="AX19" s="53" t="inlineStr">
        <is>
          <t>Support</t>
        </is>
      </c>
      <c r="AY19" s="53" t="inlineStr">
        <is>
          <t>Customer Success &amp; Support</t>
        </is>
      </c>
      <c r="AZ19" s="53" t="inlineStr">
        <is>
          <t>Customer Success</t>
        </is>
      </c>
      <c r="BA19" s="53" t="n"/>
      <c r="BB19" s="53" t="n"/>
      <c r="BC19" s="53" t="inlineStr">
        <is>
          <t>Employee</t>
        </is>
      </c>
      <c r="BD19" s="53" t="inlineStr">
        <is>
          <t>Anushree Aparajit</t>
        </is>
      </c>
      <c r="BE19" s="53" t="inlineStr">
        <is>
          <t>Anushree Aparajit</t>
        </is>
      </c>
      <c r="BF19" s="53" t="inlineStr">
        <is>
          <t>No</t>
        </is>
      </c>
      <c r="BG19" s="53" t="inlineStr">
        <is>
          <t>Customer Engagement Executive</t>
        </is>
      </c>
      <c r="BH19" s="53" t="inlineStr">
        <is>
          <t>Customer Engagement Executive</t>
        </is>
      </c>
      <c r="BI19" s="53" t="inlineStr">
        <is>
          <t>No</t>
        </is>
      </c>
      <c r="BJ19" s="53" t="inlineStr">
        <is>
          <t>—</t>
        </is>
      </c>
      <c r="BK19" s="53" t="inlineStr">
        <is>
          <t>—</t>
        </is>
      </c>
      <c r="BL19" s="53" t="inlineStr">
        <is>
          <t>—</t>
        </is>
      </c>
      <c r="BM19" s="53" t="inlineStr">
        <is>
          <t>Not a manager</t>
        </is>
      </c>
      <c r="BN19" s="53" t="inlineStr">
        <is>
          <t>—</t>
        </is>
      </c>
      <c r="BO19" s="53" t="inlineStr">
        <is>
          <t>—</t>
        </is>
      </c>
      <c r="BP19" s="53" t="inlineStr">
        <is>
          <t>—</t>
        </is>
      </c>
      <c r="BQ19" s="53" t="inlineStr">
        <is>
          <t>Not a manager</t>
        </is>
      </c>
      <c r="BR19" s="53" t="inlineStr">
        <is>
          <t>—</t>
        </is>
      </c>
      <c r="BS19" s="53" t="inlineStr">
        <is>
          <t>L3 – Professional / Associate</t>
        </is>
      </c>
      <c r="BT19" s="53" t="inlineStr">
        <is>
          <t>L3 – Professional / Associate</t>
        </is>
      </c>
      <c r="BU19" s="53" t="inlineStr">
        <is>
          <t>No designation change — current record value carried forward</t>
        </is>
      </c>
      <c r="BV19" s="53" t="inlineStr">
        <is>
          <t>Net Revenue Retention - 105%
Target ARR - to be achieved Rs. 10,50,000 per quarter - Cross Sell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BW19" s="53" t="n"/>
      <c r="BX19" s="53" t="inlineStr">
        <is>
          <t>US.</t>
        </is>
      </c>
      <c r="BY19" s="53" t="n"/>
      <c r="BZ19" s="53" t="inlineStr">
        <is>
          <t>IRIS2448</t>
        </is>
      </c>
      <c r="CA19" s="53" t="inlineStr">
        <is>
          <t>Employee</t>
        </is>
      </c>
      <c r="CB19" s="53" t="inlineStr">
        <is>
          <t>Active</t>
        </is>
      </c>
      <c r="CC19" s="53" t="inlineStr">
        <is>
          <t>Samiksha Kadam</t>
        </is>
      </c>
      <c r="CD19" s="54" t="n">
        <v>45992</v>
      </c>
      <c r="CE19" s="53" t="inlineStr">
        <is>
          <t>Customer Engagement Executive</t>
        </is>
      </c>
      <c r="CF19" s="53" t="inlineStr">
        <is>
          <t>Upsell, cross, improve NPS, follow up with tech team · US Market</t>
        </is>
      </c>
      <c r="CG19" s="53" t="inlineStr">
        <is>
          <t>Customer Success &amp; Support</t>
        </is>
      </c>
      <c r="CH19" s="53" t="inlineStr">
        <is>
          <t>Customer Support</t>
        </is>
      </c>
      <c r="CI19" s="53" t="inlineStr">
        <is>
          <t>Customer Engagement Executive</t>
        </is>
      </c>
      <c r="CJ19" s="53" t="inlineStr">
        <is>
          <t>L3 – Professional / Associate</t>
        </is>
      </c>
      <c r="CK19" s="53" t="inlineStr">
        <is>
          <t>Anushree Aparajit</t>
        </is>
      </c>
      <c r="CL19" s="53" t="inlineStr">
        <is>
          <t>N-5</t>
        </is>
      </c>
      <c r="CM19" s="53" t="inlineStr">
        <is>
          <t>Individual Contributor</t>
        </is>
      </c>
      <c r="CN19" s="53" t="inlineStr">
        <is>
          <t>Regtech</t>
        </is>
      </c>
      <c r="CO19" s="53" t="inlineStr">
        <is>
          <t>Support</t>
        </is>
      </c>
      <c r="CP19" s="53" t="inlineStr">
        <is>
          <t>9 years, 6 months, 19 days</t>
        </is>
      </c>
      <c r="CQ19" s="53" t="inlineStr">
        <is>
          <t>Customer Engagement Executive</t>
        </is>
      </c>
      <c r="CR19" s="53" t="inlineStr">
        <is>
          <t>No</t>
        </is>
      </c>
      <c r="CS19" s="53" t="n">
        <v>3</v>
      </c>
      <c r="CT19" s="53" t="inlineStr">
        <is>
          <t>Medium</t>
        </is>
      </c>
      <c r="CU19" s="53" t="inlineStr">
        <is>
          <t>Core Contributor</t>
        </is>
      </c>
      <c r="CV19" s="53" t="inlineStr">
        <is>
          <t>No</t>
        </is>
      </c>
      <c r="CW19" s="53" t="inlineStr">
        <is>
          <t>No</t>
        </is>
      </c>
      <c r="CX19" s="53" t="inlineStr">
        <is>
          <t>Yes</t>
        </is>
      </c>
      <c r="CY19" s="53" t="inlineStr">
        <is>
          <t>N</t>
        </is>
      </c>
      <c r="CZ19" s="53" t="inlineStr">
        <is>
          <t>XBRL taxonomy &amp; regulatory updates; domain/accounting refreshers;</t>
        </is>
      </c>
      <c r="DA19" s="53" t="inlineStr">
        <is>
          <t>Transition to leadership: people management &amp; delegation, mentoring/coaching, project ownership &amp; stakeholder management, prioritisation under ambiguity, presentation &amp; influence skills</t>
        </is>
      </c>
      <c r="DB19" s="53" t="inlineStr">
        <is>
          <t>Title to be Standardized to: Customer Engagement Executive</t>
        </is>
      </c>
      <c r="DC19" s="53" t="n"/>
      <c r="DD19" s="53" t="n"/>
      <c r="DE19" s="53" t="n"/>
      <c r="DF19" s="53" t="n"/>
      <c r="DG19" s="53" t="n"/>
      <c r="DH19" s="53" t="n"/>
      <c r="DI19" s="53" t="n"/>
      <c r="DJ19" s="53" t="n"/>
      <c r="DK19" s="53" t="n"/>
      <c r="DL19" s="53" t="n"/>
      <c r="DM19" s="53" t="n"/>
      <c r="DN19" s="53" t="n"/>
      <c r="DO19" s="53" t="n"/>
      <c r="DP19" s="53" t="n"/>
      <c r="DQ19" s="53" t="n"/>
      <c r="DR19" s="53" t="n"/>
      <c r="DS19" s="53" t="n"/>
      <c r="DT19" s="53" t="n"/>
      <c r="DU19" s="53" t="n"/>
      <c r="DV19" s="53" t="n"/>
      <c r="DW19" s="53" t="n"/>
      <c r="DX19" s="53" t="n"/>
      <c r="DY19" s="53" t="n"/>
      <c r="DZ19" s="53" t="n"/>
      <c r="EA19" s="53" t="n"/>
      <c r="EB19" s="53" t="n"/>
      <c r="EC19" s="53" t="n"/>
      <c r="ED19" s="53" t="n"/>
      <c r="EE19" s="53" t="n"/>
      <c r="EF19" s="53" t="n"/>
      <c r="EG19" s="53" t="n"/>
      <c r="EH19" s="53" t="n"/>
      <c r="EI19" s="53" t="n"/>
      <c r="EJ19" s="53" t="n"/>
      <c r="EK19" s="53" t="n"/>
      <c r="EL19" s="53" t="n"/>
      <c r="EM19" s="53" t="n"/>
      <c r="EN19" s="53" t="n"/>
      <c r="EO19" s="53" t="n"/>
      <c r="EP19" s="53" t="n"/>
      <c r="EQ19" s="53" t="n"/>
      <c r="ER19" s="53" t="n"/>
      <c r="ES19" s="53" t="n"/>
      <c r="ET19" s="53" t="n"/>
      <c r="EU19" s="53" t="n"/>
      <c r="EV19" s="53" t="n"/>
      <c r="EW19" s="52" t="n"/>
      <c r="EX19" s="53" t="inlineStr">
        <is>
          <t>• Role / sub-team: Support — Customer Engagement Executive.
• Core purpose: The role is more focused on Client interaction, business optimisation and retention.
The team is also expected to bring in new logos to the current customer pool apart from upsell and cross sell.
• Decision-making autonomy: Can independently trainings.
• Is this something only they do: Good communication skills, Financial understanding, Understanding of the CS role.
• What's different about this role: Data analysis, sanitisation and management.</t>
        </is>
      </c>
      <c r="EY19" s="53" t="inlineStr">
        <is>
          <t>• Key responsibilities include: Data Analysis and Mgmt.
• Personally accountable for: Product enablement , renewals, Upsell, Cross sell, retention, invoicing and customer feedback.
• Impact if missed or done wrong: Risk/error identification and mitigation POA.
• How measured: I am not sure, but I feel underutilized where I can do more.</t>
        </is>
      </c>
      <c r="EZ19" s="53" t="inlineStr">
        <is>
          <t>• Current capabilities: No input received.
• Tools / software used: No input received.
• Workload: Rated a manageable load · 2/5 in a typical week.
• Judgment/way of working: CRM Optimisation.</t>
        </is>
      </c>
      <c r="FA19" s="53" t="inlineStr">
        <is>
          <t>• Development priorities: Claude certification; Data Analysis and Project Management.
• Learning and Development Need: Vibe coding; Product landscape. Negotiation skills.
• Role evolving toward: Exposure to domain knowledge.</t>
        </is>
      </c>
      <c r="FB19" s="53" t="inlineStr">
        <is>
          <t>• Key challenges: Minimal mentorship.
• Support required: No to less excel files, optimising CRM  and automation to make CEM's life easy and no to less manual data management.</t>
        </is>
      </c>
      <c r="FC19" s="53" t="n"/>
      <c r="FD19" s="53" t="n"/>
      <c r="FE19" s="57" t="inlineStr">
        <is>
          <t>Net Revenue Retention - 105%
Target ARR - to be achieved Rs. 10,50,000 per quarter - Cross Sell
90% reach value milestone in 90 days
Develop advocates · Promoter per CEM
Produce case studies annually
CSAT ≥90%
NPS ≥30
100% QBR coverage for accounts
100% CRM hygiene maintained
Renewal forecast accuracy ≥95%
Outstanding receivables ≤45 days
Enablement and Training 
Share at least 3 structured customer insights with Product/Engineering per quarter.
Drive price increase in renewals
Mentor or support junior team member from any team each quarter</t>
        </is>
      </c>
      <c r="FF19" s="56" t="n"/>
      <c r="FG19" s="56" t="n"/>
      <c r="FH19" s="56" t="n"/>
      <c r="FI19" s="56" t="inlineStr">
        <is>
          <t>Upsell, cross, improve NPS, follow up with tech team · US Market</t>
        </is>
      </c>
      <c r="FJ19" s="56" t="inlineStr">
        <is>
          <t>Received · manager annual</t>
        </is>
      </c>
      <c r="FK19" s="56" t="inlineStr">
        <is>
          <t>CARBON Mapping Master · CARBON Talent Mapping · Raw</t>
        </is>
      </c>
      <c r="FL19" s="56" t="n">
        <v>20</v>
      </c>
      <c r="FM19" s="56" t="inlineStr">
        <is>
          <t>• Role / sub-team: Support — Customer Engagement Executive.
• Core purpose: The role is more focused on Client interaction, business optimisation and retention.
The team is also expected to bring in new logos to the current customer pool apart from upsell and cross sell.
• Decision-making autonomy: Can independently trainings.
• Is this something only they do: Good communication skills, Financial understanding, Understanding of the CS role.
• What's different about this role: Data analysis, sanitisation and management.</t>
        </is>
      </c>
      <c r="FN19" s="56" t="inlineStr">
        <is>
          <t>• Key responsibilities include: Data Analysis and Mgmt.
• Personally accountable for: Product enablement , renewals, Upsell, Cross sell, retention, invoicing and customer feedback.
• Impact if missed or done wrong: Risk/error identification and mitigation POA.
• How measured: I am not sure, but I feel underutilized where I can do more.</t>
        </is>
      </c>
      <c r="FO19" s="56" t="inlineStr">
        <is>
          <t>• Current capabilities: No input received.
• Tools / software used: No input received.
• Workload: Rated a manageable load · 2/5 in a typical week.
• Judgment/way of working: CRM Optimisation.</t>
        </is>
      </c>
      <c r="FP19" s="56" t="inlineStr">
        <is>
          <t>• Development priorities: Claude certification; Data Analysis and Project Management.
• Learning and Development Need: Vibe coding; Product landscape. Negotiation skills.
• Role evolving toward: Exposure to domain knowledge.</t>
        </is>
      </c>
      <c r="FQ19" s="56" t="inlineStr">
        <is>
          <t>• Key challenges: Minimal mentorship.
• Support required: No to less excel files, optimising CRM  and automation to make CEM's life easy and no to less manual data management.</t>
        </is>
      </c>
      <c r="FR19" s="56" t="inlineStr">
        <is>
          <t>Complexity: Evidence reads like A3: Client enablement, renewals, upsell and cross-sell plus data analysis and sanitisation in CRM → moved up 0.5
Autonomy: Evidence reads like A2: Decides independently only on trainings → matches the start
Accountability: Evidence reads like B1: own survey / KRA answers · summarised by the rater; not quoted → moved up 1
Leadership: Evidence reads like A1: No guidance of others described → matches the start
Business Impact: Moved +0.5: the survey / manager mapping marks it business-critical.</t>
        </is>
      </c>
      <c r="FS19" s="56" t="inlineStr">
        <is>
          <t>Common themes in sub-family holders, all levels' answers: cross improve · upsell cross · nps follow · tech · improve nps · us market
Common themes in sub-family holders, all levels' answers: product · renewals · testing · upsell · cross sell · training
Common themes in sub-family holders, all levels' answers: customer · csat · product · esef · client
Common themes in sub-family holders, all levels' answers: retention · renewals · sell · cross · invoicing · outstanding
Common themes in sub-family holders, all levels' answers: trainings
If the work is missed · role-holders' themes: business · impact · revenue.</t>
        </is>
      </c>
      <c r="FT19" s="56" t="inlineStr">
        <is>
          <t>Self-identified: Project / programme management · Data, SQL &amp; analytics · Certification / formal course
For the next role: Project / programme management · Data, SQL &amp; analytics · Certification / formal course</t>
        </is>
      </c>
      <c r="FU19" s="56" t="inlineStr">
        <is>
          <t>Per-person summary · CARBON Mapping Master</t>
        </is>
      </c>
    </row>
    <row r="20" ht="90" customHeight="1">
      <c r="A20" s="51" t="inlineStr">
        <is>
          <t>◂ Back</t>
        </is>
      </c>
      <c r="B20" s="29" t="inlineStr">
        <is>
          <t>Mapped</t>
        </is>
      </c>
      <c r="C20" s="28" t="inlineStr">
        <is>
          <t>CARBON</t>
        </is>
      </c>
      <c r="D20" s="29" t="inlineStr">
        <is>
          <t>IRIS0018</t>
        </is>
      </c>
      <c r="E20" s="29" t="inlineStr">
        <is>
          <t>K Ashok Kumar</t>
        </is>
      </c>
      <c r="F20" s="29" t="inlineStr">
        <is>
          <t>Services</t>
        </is>
      </c>
      <c r="G20" s="29" t="inlineStr">
        <is>
          <t>Manager Financial Analyst</t>
        </is>
      </c>
      <c r="H20" s="29" t="inlineStr">
        <is>
          <t>Associate Head – Assisted Services</t>
        </is>
      </c>
      <c r="I20" s="29" t="inlineStr">
        <is>
          <t>L5 – Manager</t>
        </is>
      </c>
      <c r="J20" s="29" t="inlineStr">
        <is>
          <t>C1</t>
        </is>
      </c>
      <c r="K20" s="29" t="inlineStr">
        <is>
          <t>▲ Up</t>
        </is>
      </c>
      <c r="L20" s="29" t="inlineStr">
        <is>
          <t>Executive Leadership</t>
        </is>
      </c>
      <c r="M20" s="29" t="inlineStr">
        <is>
          <t>Business Head</t>
        </is>
      </c>
      <c r="N20" s="29" t="inlineStr">
        <is>
          <t>• Confirm the reporting line — Manager</t>
        </is>
      </c>
      <c r="O20" s="29" t="n">
        <v>20</v>
      </c>
      <c r="P20" s="28" t="inlineStr">
        <is>
          <t>P6 / M5</t>
        </is>
      </c>
      <c r="Q20" s="29" t="inlineStr">
        <is>
          <t>Principal / Director</t>
        </is>
      </c>
      <c r="R20" s="29" t="inlineStr">
        <is>
          <t>5–6</t>
        </is>
      </c>
      <c r="S20" s="29" t="inlineStr">
        <is>
          <t>10–14 yrs</t>
        </is>
      </c>
      <c r="T20" s="29" t="inlineStr">
        <is>
          <t>12–16 · 12–18</t>
        </is>
      </c>
      <c r="U20" s="29" t="inlineStr">
        <is>
          <t>Head of Function / AGM</t>
        </is>
      </c>
      <c r="V20" s="29" t="inlineStr">
        <is>
          <t>Big Four: Associate Director</t>
        </is>
      </c>
      <c r="W20" s="29" t="inlineStr">
        <is>
          <t>XBRL US GAAP Certificate · AICPA &amp; XBRL US; XBRL International specifications; IFRS / US GAAP / Ind AS</t>
        </is>
      </c>
      <c r="X20" s="29" t="inlineStr">
        <is>
          <t>Core 4 · Future 4 · Functional 4 · Leadership 4</t>
        </is>
      </c>
      <c r="Y20" s="52" t="n">
        <v>9</v>
      </c>
      <c r="Z20" s="53" t="inlineStr">
        <is>
          <t>IRIS0018</t>
        </is>
      </c>
      <c r="AA20" s="53" t="inlineStr">
        <is>
          <t>Employee</t>
        </is>
      </c>
      <c r="AB20" s="53" t="inlineStr">
        <is>
          <t>Active</t>
        </is>
      </c>
      <c r="AC20" s="53" t="inlineStr">
        <is>
          <t>K Ashok Kumar</t>
        </is>
      </c>
      <c r="AD20" s="54" t="n">
        <v>38293</v>
      </c>
      <c r="AE20" s="53" t="inlineStr">
        <is>
          <t>Manager Financial Analyst</t>
        </is>
      </c>
      <c r="AF20" s="53" t="inlineStr">
        <is>
          <t>M.Com</t>
        </is>
      </c>
      <c r="AG20" s="53" t="inlineStr">
        <is>
          <t>Suman Adhikary</t>
        </is>
      </c>
      <c r="AH20" s="53" t="inlineStr">
        <is>
          <t>N-4</t>
        </is>
      </c>
      <c r="AI20" s="53" t="inlineStr">
        <is>
          <t>Manager</t>
        </is>
      </c>
      <c r="AJ20" s="53" t="inlineStr">
        <is>
          <t>0 years, 0 months, 0 days</t>
        </is>
      </c>
      <c r="AK20" s="53" t="inlineStr">
        <is>
          <t>21 years, 9 months, 23 days</t>
        </is>
      </c>
      <c r="AL20" s="53" t="inlineStr">
        <is>
          <t>Regtech</t>
        </is>
      </c>
      <c r="AM20" s="53" t="inlineStr">
        <is>
          <t>CARBON</t>
        </is>
      </c>
      <c r="AN20" s="53" t="inlineStr">
        <is>
          <t>Services</t>
        </is>
      </c>
      <c r="AO20" s="53" t="inlineStr">
        <is>
          <t>Expert Assisted services</t>
        </is>
      </c>
      <c r="AP20" s="53" t="inlineStr">
        <is>
          <t>No</t>
        </is>
      </c>
      <c r="AQ20" s="53" t="inlineStr">
        <is>
          <t>Professional Services</t>
        </is>
      </c>
      <c r="AR20" s="53" t="inlineStr">
        <is>
          <t>XBRL Domain</t>
        </is>
      </c>
      <c r="AS20" s="53" t="inlineStr">
        <is>
          <t>Non-technical</t>
        </is>
      </c>
      <c r="AT20" s="53" t="n">
        <v>20</v>
      </c>
      <c r="AU20" s="53" t="inlineStr">
        <is>
          <t>Covered</t>
        </is>
      </c>
      <c r="AV20" s="53" t="inlineStr">
        <is>
          <t>IRIS0018</t>
        </is>
      </c>
      <c r="AW20" s="53" t="inlineStr">
        <is>
          <t>K Ashok Kumar</t>
        </is>
      </c>
      <c r="AX20" s="53" t="inlineStr">
        <is>
          <t>Services</t>
        </is>
      </c>
      <c r="AY20" s="53" t="inlineStr">
        <is>
          <t>Professional Services</t>
        </is>
      </c>
      <c r="AZ20" s="53" t="inlineStr">
        <is>
          <t>AI /Domain Testing</t>
        </is>
      </c>
      <c r="BA20" s="53" t="n"/>
      <c r="BB20" s="53" t="n"/>
      <c r="BC20" s="53" t="inlineStr">
        <is>
          <t>Employee</t>
        </is>
      </c>
      <c r="BD20" s="53" t="inlineStr">
        <is>
          <t>Suman Adhikary</t>
        </is>
      </c>
      <c r="BE20" s="53" t="inlineStr">
        <is>
          <t>Suman Adhikary</t>
        </is>
      </c>
      <c r="BF20" s="53" t="inlineStr">
        <is>
          <t>No</t>
        </is>
      </c>
      <c r="BG20" s="53" t="inlineStr">
        <is>
          <t>Manager Financial Analyst</t>
        </is>
      </c>
      <c r="BH20" s="53" t="inlineStr">
        <is>
          <t>Head - Services</t>
        </is>
      </c>
      <c r="BI20" s="53" t="inlineStr">
        <is>
          <t>Yes</t>
        </is>
      </c>
      <c r="BJ20" s="53" t="n">
        <v>4</v>
      </c>
      <c r="BK20" s="53" t="n">
        <v>4</v>
      </c>
      <c r="BL20" s="53" t="n">
        <v>0</v>
      </c>
      <c r="BM20" s="53" t="inlineStr">
        <is>
          <t>Review</t>
        </is>
      </c>
      <c r="BN20" s="53" t="n">
        <v>4</v>
      </c>
      <c r="BO20" s="53" t="n">
        <v>4</v>
      </c>
      <c r="BP20" s="53" t="n">
        <v>0</v>
      </c>
      <c r="BQ20" s="53" t="inlineStr">
        <is>
          <t>Review</t>
        </is>
      </c>
      <c r="BR20" s="53" t="inlineStr">
        <is>
          <t>No</t>
        </is>
      </c>
      <c r="BS20" s="53" t="inlineStr">
        <is>
          <t>L5 – Manager</t>
        </is>
      </c>
      <c r="BT20" s="53" t="inlineStr">
        <is>
          <t>L7</t>
        </is>
      </c>
      <c r="BU20" s="53" t="inlineStr">
        <is>
          <t>Matched from Title Hierarchy · new designation</t>
        </is>
      </c>
      <c r="BV20" s="53" t="inlineStr">
        <is>
          <t>1. Testing of AI related features · Anomaly, MBRS and Reg AI.
2. Providing suggestions/Corrections in new and existing functionality of AI related features.
3. Providing Enhancements required in new and existing functionality of AI related features.
4. CBCR and other testing allocated to me and my team.</t>
        </is>
      </c>
      <c r="BW20" s="53" t="n"/>
      <c r="BX20" s="53" t="n"/>
      <c r="BY20" s="53" t="n"/>
      <c r="BZ20" s="53" t="inlineStr">
        <is>
          <t>IRIS0018</t>
        </is>
      </c>
      <c r="CA20" s="53" t="inlineStr">
        <is>
          <t>Employee</t>
        </is>
      </c>
      <c r="CB20" s="53" t="inlineStr">
        <is>
          <t>Active</t>
        </is>
      </c>
      <c r="CC20" s="53" t="inlineStr">
        <is>
          <t>K Ashok Kumar</t>
        </is>
      </c>
      <c r="CD20" s="54" t="n">
        <v>38293</v>
      </c>
      <c r="CE20" s="53" t="inlineStr">
        <is>
          <t>Manager Financial Analyst</t>
        </is>
      </c>
      <c r="CF20" s="53" t="inlineStr">
        <is>
          <t>4. Handle complex pre-sales process, implementations, and ensure effective adoption and customer ratings.</t>
        </is>
      </c>
      <c r="CG20" s="53" t="inlineStr">
        <is>
          <t>Professional Services</t>
        </is>
      </c>
      <c r="CH20" s="53" t="inlineStr">
        <is>
          <t>XBRL / Regulatory Reporting</t>
        </is>
      </c>
      <c r="CI20" s="53" t="inlineStr">
        <is>
          <t>Head - Services</t>
        </is>
      </c>
      <c r="CJ20" s="53" t="inlineStr">
        <is>
          <t>L7 – Head / Sr Director</t>
        </is>
      </c>
      <c r="CK20" s="53" t="inlineStr">
        <is>
          <t>Suman Adhikary</t>
        </is>
      </c>
      <c r="CL20" s="53" t="inlineStr">
        <is>
          <t>N-4</t>
        </is>
      </c>
      <c r="CM20" s="53" t="inlineStr">
        <is>
          <t>Manager</t>
        </is>
      </c>
      <c r="CN20" s="53" t="inlineStr">
        <is>
          <t>Regtech</t>
        </is>
      </c>
      <c r="CO20" s="53" t="inlineStr">
        <is>
          <t>Services</t>
        </is>
      </c>
      <c r="CP20" s="53" t="inlineStr">
        <is>
          <t>21 years, 7 months, 18 days</t>
        </is>
      </c>
      <c r="CQ20" s="53" t="inlineStr">
        <is>
          <t>Head - Services</t>
        </is>
      </c>
      <c r="CR20" s="53" t="inlineStr">
        <is>
          <t>No</t>
        </is>
      </c>
      <c r="CS20" s="53" t="n">
        <v>3</v>
      </c>
      <c r="CT20" s="53" t="inlineStr">
        <is>
          <t>Medium</t>
        </is>
      </c>
      <c r="CU20" s="53" t="inlineStr">
        <is>
          <t>Core Contributor</t>
        </is>
      </c>
      <c r="CV20" s="53" t="n"/>
      <c r="CW20" s="53" t="n"/>
      <c r="CX20" s="53" t="inlineStr">
        <is>
          <t>Yes</t>
        </is>
      </c>
      <c r="CY20" s="53" t="inlineStr">
        <is>
          <t>Shashidhar M</t>
        </is>
      </c>
      <c r="CZ20" s="53" t="inlineStr">
        <is>
          <t>XBRL taxonomy &amp; regulatory updates; domain/accounting refreshers; quality &amp; accuracy practices; tooling proficiency | People management: goal-setting &amp; feedback, 1:1 coaching, performance conversations</t>
        </is>
      </c>
      <c r="DA20" s="53" t="inlineStr">
        <is>
          <t>Leadership development: strategic thinking, cross-functional influence, financial/business acumen, succession &amp; talent development, change management, executive communication</t>
        </is>
      </c>
      <c r="DB20" s="53" t="inlineStr">
        <is>
          <t>Involve more on DM and AI testing. Title to be standardized as Head - Services</t>
        </is>
      </c>
      <c r="DC20" s="53" t="n"/>
      <c r="DD20" s="53" t="n"/>
      <c r="DE20" s="53" t="n"/>
      <c r="DF20" s="53" t="n"/>
      <c r="DG20" s="53" t="n"/>
      <c r="DH20" s="53" t="n"/>
      <c r="DI20" s="53" t="n"/>
      <c r="DJ20" s="53" t="n"/>
      <c r="DK20" s="53" t="n"/>
      <c r="DL20" s="53" t="n"/>
      <c r="DM20" s="53" t="n"/>
      <c r="DN20" s="53" t="n"/>
      <c r="DO20" s="53" t="n"/>
      <c r="DP20" s="53" t="n"/>
      <c r="DQ20" s="53" t="n"/>
      <c r="DR20" s="53" t="n"/>
      <c r="DS20" s="53" t="n"/>
      <c r="DT20" s="53" t="n"/>
      <c r="DU20" s="53" t="n"/>
      <c r="DV20" s="53" t="n"/>
      <c r="DW20" s="53" t="n"/>
      <c r="DX20" s="53" t="n"/>
      <c r="DY20" s="53" t="n"/>
      <c r="DZ20" s="53" t="n"/>
      <c r="EA20" s="53" t="n"/>
      <c r="EB20" s="53" t="n"/>
      <c r="EC20" s="53" t="n"/>
      <c r="ED20" s="53" t="n"/>
      <c r="EE20" s="53" t="n"/>
      <c r="EF20" s="53" t="n"/>
      <c r="EG20" s="53" t="n"/>
      <c r="EH20" s="53" t="n"/>
      <c r="EI20" s="53" t="n"/>
      <c r="EJ20" s="53" t="n"/>
      <c r="EK20" s="53" t="n"/>
      <c r="EL20" s="53" t="n"/>
      <c r="EM20" s="53" t="n"/>
      <c r="EN20" s="53" t="n"/>
      <c r="EO20" s="53" t="n"/>
      <c r="EP20" s="53" t="n"/>
      <c r="EQ20" s="53" t="n"/>
      <c r="ER20" s="53" t="n"/>
      <c r="ES20" s="53" t="n"/>
      <c r="ET20" s="53" t="n"/>
      <c r="EU20" s="53" t="n"/>
      <c r="EV20" s="53" t="n"/>
      <c r="EW20" s="52" t="n"/>
      <c r="EX20" s="53" t="n"/>
      <c r="EY20" s="53" t="n"/>
      <c r="EZ20" s="53" t="n"/>
      <c r="FA20" s="53" t="n"/>
      <c r="FB20" s="53" t="n"/>
      <c r="FC20" s="53" t="n"/>
      <c r="FD20" s="53" t="n"/>
      <c r="FE20" s="57" t="inlineStr">
        <is>
          <t>1. Testing of AI related features · Anomaly, MBRS and Reg AI.
2. Providing suggestions/Corrections in new and existing functionality of AI related features.
3. Providing Enhancements required in new and existing functionality of AI related features.
4. CBCR and other testing allocated to me and my team.</t>
        </is>
      </c>
      <c r="FF20" s="56" t="n"/>
      <c r="FG20" s="56" t="n"/>
      <c r="FH20" s="56" t="n"/>
      <c r="FI20" s="56" t="inlineStr">
        <is>
          <t>4. Handle complex pre-sales process, implementations, and ensure effective adoption and customer ratings.</t>
        </is>
      </c>
      <c r="FJ20" s="56" t="inlineStr">
        <is>
          <t>Received · manager annual</t>
        </is>
      </c>
      <c r="FK20" s="56" t="inlineStr">
        <is>
          <t>CARBON Mapping Master · CARBON Talent Mapping · Raw</t>
        </is>
      </c>
      <c r="FL20" s="56" t="n">
        <v>20</v>
      </c>
      <c r="FM20" s="32" t="inlineStr">
        <is>
          <t>Full survey answers not in the files received · How We Grow export needed · HR</t>
        </is>
      </c>
      <c r="FN20" s="56" t="inlineStr">
        <is>
          <t>—</t>
        </is>
      </c>
      <c r="FO20" s="56" t="inlineStr">
        <is>
          <t>—</t>
        </is>
      </c>
      <c r="FP20" s="56" t="inlineStr">
        <is>
          <t>—</t>
        </is>
      </c>
      <c r="FQ20" s="56" t="inlineStr">
        <is>
          <t>—</t>
        </is>
      </c>
      <c r="FR20" s="56" t="inlineStr">
        <is>
          <t>Complexity: Evidence reads like B1: Plans AI testing, defines test scenarios and validation criteria, reviews AI outputs → moved down 0.5
Autonomy: Evidence reads like A3: Only 'testing' named; sets scenarios and criteria for the testing work itself → moved down 0.5
Accountability: Evidence reads like A3: AI test planning, execution, defect identification, reporting and test coverage → moved down 0.5
Leadership: Evidence reads like A3: States leading and coordinating AI testing; no people-management detail despite four reports → moved down 0.5
Business Impact: Moved +1: the survey / manager mapping marks it business-critical and it does work no one else does.</t>
        </is>
      </c>
      <c r="FS20" s="56" t="n"/>
      <c r="FT20" s="56" t="inlineStr">
        <is>
          <t>Self-identified: AI / automation · Data, SQL &amp; analytics
For the next role: AI / automation · Data, SQL &amp; analytics</t>
        </is>
      </c>
      <c r="FU20" s="32" t="inlineStr">
        <is>
          <t>Full survey answers not in the files received · How We Grow export needed · HR</t>
        </is>
      </c>
    </row>
    <row r="21" ht="90" customHeight="1">
      <c r="A21" s="51" t="inlineStr">
        <is>
          <t>◂ Back</t>
        </is>
      </c>
      <c r="B21" s="29" t="inlineStr">
        <is>
          <t>Mapped</t>
        </is>
      </c>
      <c r="C21" s="28" t="inlineStr">
        <is>
          <t>CARBON</t>
        </is>
      </c>
      <c r="D21" s="29" t="inlineStr">
        <is>
          <t>IRIS0786</t>
        </is>
      </c>
      <c r="E21" s="29" t="inlineStr">
        <is>
          <t>Shashikant Mudaliar</t>
        </is>
      </c>
      <c r="F21" s="29" t="inlineStr">
        <is>
          <t>Services</t>
        </is>
      </c>
      <c r="G21" s="29" t="inlineStr">
        <is>
          <t>Head - XBRL Assisted Services</t>
        </is>
      </c>
      <c r="H21" s="29" t="inlineStr">
        <is>
          <t>Associate Head – XBRL Assisted Services</t>
        </is>
      </c>
      <c r="I21" s="29" t="inlineStr">
        <is>
          <t>L7 – Head / Sr Director</t>
        </is>
      </c>
      <c r="J21" s="29" t="inlineStr">
        <is>
          <t>C1</t>
        </is>
      </c>
      <c r="K21" s="29" t="inlineStr">
        <is>
          <t>▼ Down · protected</t>
        </is>
      </c>
      <c r="L21" s="29" t="inlineStr">
        <is>
          <t>Consulting &amp; Professional Services</t>
        </is>
      </c>
      <c r="M21" s="29" t="inlineStr">
        <is>
          <t>Professional Services Leadership</t>
        </is>
      </c>
      <c r="N21" s="29" t="n"/>
      <c r="O21" s="29" t="n">
        <v>20</v>
      </c>
      <c r="P21" s="28" t="inlineStr">
        <is>
          <t>P6 / M5</t>
        </is>
      </c>
      <c r="Q21" s="29" t="inlineStr">
        <is>
          <t>Principal / Director</t>
        </is>
      </c>
      <c r="R21" s="29" t="inlineStr">
        <is>
          <t>5–6</t>
        </is>
      </c>
      <c r="S21" s="29" t="inlineStr">
        <is>
          <t>10–14 yrs</t>
        </is>
      </c>
      <c r="T21" s="29" t="inlineStr">
        <is>
          <t>12–16 · 12–18</t>
        </is>
      </c>
      <c r="U21" s="29" t="inlineStr">
        <is>
          <t>Head of Function / AGM</t>
        </is>
      </c>
      <c r="V21" s="29" t="inlineStr">
        <is>
          <t>Big Four: Associate Director</t>
        </is>
      </c>
      <c r="W21" s="29" t="inlineStr">
        <is>
          <t>XBRL US GAAP Certificate · AICPA &amp; XBRL US; XBRL International specifications; IFRS / US GAAP / Ind AS</t>
        </is>
      </c>
      <c r="X21" s="29" t="inlineStr">
        <is>
          <t>Core 4 · Future 4 · Functional 4 · Leadership 4</t>
        </is>
      </c>
      <c r="Y21" s="52" t="n">
        <v>90</v>
      </c>
      <c r="Z21" s="53" t="inlineStr">
        <is>
          <t>IRIS0786</t>
        </is>
      </c>
      <c r="AA21" s="53" t="inlineStr">
        <is>
          <t>Employee</t>
        </is>
      </c>
      <c r="AB21" s="53" t="inlineStr">
        <is>
          <t>Active</t>
        </is>
      </c>
      <c r="AC21" s="53" t="inlineStr">
        <is>
          <t>Shashikant Mudaliar</t>
        </is>
      </c>
      <c r="AD21" s="54" t="n">
        <v>40749</v>
      </c>
      <c r="AE21" s="53" t="inlineStr">
        <is>
          <t>Head - XBRL Assisted Services</t>
        </is>
      </c>
      <c r="AF21" s="53" t="inlineStr">
        <is>
          <t>CMA</t>
        </is>
      </c>
      <c r="AG21" s="53" t="inlineStr">
        <is>
          <t>K Ashok Kumar</t>
        </is>
      </c>
      <c r="AH21" s="53" t="inlineStr">
        <is>
          <t>N-5</t>
        </is>
      </c>
      <c r="AI21" s="53" t="inlineStr">
        <is>
          <t>Manager</t>
        </is>
      </c>
      <c r="AJ21" s="53" t="inlineStr">
        <is>
          <t>0 years, 0 months, 0 days</t>
        </is>
      </c>
      <c r="AK21" s="53" t="inlineStr">
        <is>
          <t>15 years, 1 months, 0 days</t>
        </is>
      </c>
      <c r="AL21" s="53" t="inlineStr">
        <is>
          <t>Regtech</t>
        </is>
      </c>
      <c r="AM21" s="53" t="inlineStr">
        <is>
          <t>CARBON</t>
        </is>
      </c>
      <c r="AN21" s="53" t="inlineStr">
        <is>
          <t>Services</t>
        </is>
      </c>
      <c r="AO21" s="53" t="inlineStr">
        <is>
          <t>Expert Assisted services</t>
        </is>
      </c>
      <c r="AP21" s="53" t="inlineStr">
        <is>
          <t>No</t>
        </is>
      </c>
      <c r="AQ21" s="53" t="inlineStr">
        <is>
          <t>Professional Services</t>
        </is>
      </c>
      <c r="AR21" s="53" t="inlineStr">
        <is>
          <t>XBRL Domain</t>
        </is>
      </c>
      <c r="AS21" s="53" t="inlineStr">
        <is>
          <t>Non-technical</t>
        </is>
      </c>
      <c r="AT21" s="53" t="n">
        <v>20</v>
      </c>
      <c r="AU21" s="53" t="inlineStr">
        <is>
          <t>Covered</t>
        </is>
      </c>
      <c r="AV21" s="53" t="inlineStr">
        <is>
          <t>IRIS0786</t>
        </is>
      </c>
      <c r="AW21" s="53" t="inlineStr">
        <is>
          <t>Shashikant Mudaliar</t>
        </is>
      </c>
      <c r="AX21" s="53" t="inlineStr">
        <is>
          <t>Services</t>
        </is>
      </c>
      <c r="AY21" s="53" t="inlineStr">
        <is>
          <t>Professional Services</t>
        </is>
      </c>
      <c r="AZ21" s="53" t="inlineStr">
        <is>
          <t>XBRL / Regulatory Reporting</t>
        </is>
      </c>
      <c r="BA21" s="53" t="n"/>
      <c r="BB21" s="53" t="n"/>
      <c r="BC21" s="53" t="inlineStr">
        <is>
          <t>Employee</t>
        </is>
      </c>
      <c r="BD21" s="53" t="inlineStr">
        <is>
          <t>K Ashok Kumar</t>
        </is>
      </c>
      <c r="BE21" s="53" t="inlineStr">
        <is>
          <t>K Ashok Kumar</t>
        </is>
      </c>
      <c r="BF21" s="53" t="inlineStr">
        <is>
          <t>No</t>
        </is>
      </c>
      <c r="BG21" s="53" t="inlineStr">
        <is>
          <t>Head - XBRL Assisted Services</t>
        </is>
      </c>
      <c r="BH21" s="53" t="inlineStr">
        <is>
          <t>Manager - Assisted Services</t>
        </is>
      </c>
      <c r="BI21" s="53" t="inlineStr">
        <is>
          <t>Yes</t>
        </is>
      </c>
      <c r="BJ21" s="53" t="n">
        <v>8</v>
      </c>
      <c r="BK21" s="53" t="n">
        <v>8</v>
      </c>
      <c r="BL21" s="53" t="n">
        <v>0</v>
      </c>
      <c r="BM21" s="53" t="inlineStr">
        <is>
          <t>Healthy</t>
        </is>
      </c>
      <c r="BN21" s="53" t="n">
        <v>8</v>
      </c>
      <c r="BO21" s="53" t="n">
        <v>8</v>
      </c>
      <c r="BP21" s="53" t="n">
        <v>0</v>
      </c>
      <c r="BQ21" s="53" t="inlineStr">
        <is>
          <t>Healthy</t>
        </is>
      </c>
      <c r="BR21" s="53" t="inlineStr">
        <is>
          <t>No</t>
        </is>
      </c>
      <c r="BS21" s="53" t="inlineStr">
        <is>
          <t>L7 – Head / Sr Director</t>
        </is>
      </c>
      <c r="BT21" s="53" t="inlineStr">
        <is>
          <t>L4</t>
        </is>
      </c>
      <c r="BU21" s="53" t="inlineStr">
        <is>
          <t>Matched from Title Hierarchy · new designation</t>
        </is>
      </c>
      <c r="BV21" s="53" t="inlineStr">
        <is>
          <t>1. Ensure files processed by team with &gt;=99% accuracy · zero critical errors.
2. Meet 100% of regulatory / client filing deadlines · no SLA breaches
3. Reduce average filing turnaround time by 10-20% by this year.
4. Identify and develop future team leads.
5. Deliver zero escalations from key clients.
6. Launch AI-assisted formatting/tagging and review suggestion engine · Give Logic to Engineering Team and Test it whenever developed</t>
        </is>
      </c>
      <c r="BW21" s="53" t="n"/>
      <c r="BX21" s="53" t="inlineStr">
        <is>
          <t>UK-HMRS, USA-SEC, Eurpoe-ESMA, Netherland-KVK</t>
        </is>
      </c>
      <c r="BY21" s="53" t="n"/>
      <c r="BZ21" s="53" t="inlineStr">
        <is>
          <t>IRIS0786</t>
        </is>
      </c>
      <c r="CA21" s="53" t="inlineStr">
        <is>
          <t>Employee</t>
        </is>
      </c>
      <c r="CB21" s="53" t="inlineStr">
        <is>
          <t>Active</t>
        </is>
      </c>
      <c r="CC21" s="53" t="inlineStr">
        <is>
          <t>Shashikant Mudaliar</t>
        </is>
      </c>
      <c r="CD21" s="54" t="n">
        <v>40749</v>
      </c>
      <c r="CE21" s="53" t="inlineStr">
        <is>
          <t>Head - XBRL Assisted Services</t>
        </is>
      </c>
      <c r="CF21" s="53" t="n"/>
      <c r="CG21" s="53" t="inlineStr">
        <is>
          <t>Professional Services</t>
        </is>
      </c>
      <c r="CH21" s="53" t="inlineStr">
        <is>
          <t>XBRL / Regulatory Reporting</t>
        </is>
      </c>
      <c r="CI21" s="53" t="inlineStr">
        <is>
          <t>Head - XBRL Assisted Services</t>
        </is>
      </c>
      <c r="CJ21" s="53" t="inlineStr">
        <is>
          <t>L7 – Head / Sr Director</t>
        </is>
      </c>
      <c r="CK21" s="53" t="inlineStr">
        <is>
          <t>K Ashok Kumar</t>
        </is>
      </c>
      <c r="CL21" s="53" t="inlineStr">
        <is>
          <t>N-5</t>
        </is>
      </c>
      <c r="CM21" s="53" t="inlineStr">
        <is>
          <t>Manager</t>
        </is>
      </c>
      <c r="CN21" s="53" t="inlineStr">
        <is>
          <t>Regtech</t>
        </is>
      </c>
      <c r="CO21" s="53" t="inlineStr">
        <is>
          <t>Services</t>
        </is>
      </c>
      <c r="CP21" s="53" t="inlineStr">
        <is>
          <t>14 years, 10 months, 26 days</t>
        </is>
      </c>
      <c r="CQ21" s="53" t="inlineStr">
        <is>
          <t>Manager - Assisted Services</t>
        </is>
      </c>
      <c r="CR21" s="53" t="n"/>
      <c r="CS21" s="53" t="n">
        <v>5</v>
      </c>
      <c r="CT21" s="53" t="inlineStr">
        <is>
          <t>High</t>
        </is>
      </c>
      <c r="CU21" s="53" t="inlineStr">
        <is>
          <t>Future Leader</t>
        </is>
      </c>
      <c r="CV21" s="53" t="inlineStr">
        <is>
          <t>Yes</t>
        </is>
      </c>
      <c r="CW21" s="53" t="inlineStr">
        <is>
          <t>Yes</t>
        </is>
      </c>
      <c r="CX21" s="53" t="inlineStr">
        <is>
          <t>Yes</t>
        </is>
      </c>
      <c r="CY21" s="53" t="n"/>
      <c r="CZ21" s="53" t="n"/>
      <c r="DA21" s="53" t="n"/>
      <c r="DB21" s="53" t="n"/>
      <c r="DC21" s="53" t="n"/>
      <c r="DD21" s="53" t="n"/>
      <c r="DE21" s="53" t="n"/>
      <c r="DF21" s="53" t="n"/>
      <c r="DG21" s="53" t="n"/>
      <c r="DH21" s="53" t="n"/>
      <c r="DI21" s="53" t="n"/>
      <c r="DJ21" s="53" t="n"/>
      <c r="DK21" s="53" t="n"/>
      <c r="DL21" s="53" t="n"/>
      <c r="DM21" s="53" t="n"/>
      <c r="DN21" s="53" t="n"/>
      <c r="DO21" s="53" t="n"/>
      <c r="DP21" s="53" t="n"/>
      <c r="DQ21" s="53" t="n"/>
      <c r="DR21" s="53" t="n"/>
      <c r="DS21" s="53" t="n"/>
      <c r="DT21" s="53" t="n"/>
      <c r="DU21" s="53" t="n"/>
      <c r="DV21" s="53" t="n"/>
      <c r="DW21" s="53" t="n"/>
      <c r="DX21" s="53" t="n"/>
      <c r="DY21" s="53" t="n"/>
      <c r="DZ21" s="53" t="n"/>
      <c r="EA21" s="53" t="n"/>
      <c r="EB21" s="53" t="n"/>
      <c r="EC21" s="53" t="n"/>
      <c r="ED21" s="53" t="n"/>
      <c r="EE21" s="53" t="n"/>
      <c r="EF21" s="53" t="n"/>
      <c r="EG21" s="53" t="n"/>
      <c r="EH21" s="53" t="n"/>
      <c r="EI21" s="53" t="n"/>
      <c r="EJ21" s="53" t="n"/>
      <c r="EK21" s="53" t="n"/>
      <c r="EL21" s="53" t="n"/>
      <c r="EM21" s="53" t="n"/>
      <c r="EN21" s="53" t="n"/>
      <c r="EO21" s="53" t="n"/>
      <c r="EP21" s="53" t="n"/>
      <c r="EQ21" s="53" t="n"/>
      <c r="ER21" s="53" t="n"/>
      <c r="ES21" s="53" t="n"/>
      <c r="ET21" s="53" t="n"/>
      <c r="EU21" s="53" t="n"/>
      <c r="EV21" s="53" t="n"/>
      <c r="EW21" s="52" t="n"/>
      <c r="EX21" s="53" t="inlineStr">
        <is>
          <t>• Role / sub-team: Assisted Services</t>
        </is>
      </c>
      <c r="EY21" s="53" t="inlineStr">
        <is>
          <t>• Key responsibilities include: Testing, billing, Doubt solving, Tagging, Mapping, Client doubt solving, Report preparation.
• Reported deliverables and outcomes include: Billing and files are shared with the client; reports are shared with the manager.
• Additional duties outside usual job: Collate AI machine learning data , work as back up for anyone on leave.</t>
        </is>
      </c>
      <c r="EZ21" s="53" t="inlineStr">
        <is>
          <t>• Current capabilities: Patience; Communication; Team bonding; Work experience; Accounting knowledge; Tools / software used: HTML - Editor | Ifile, Iris Instant.</t>
        </is>
      </c>
      <c r="FA21" s="53" t="inlineStr">
        <is>
          <t>• Development priorities: 
• Learning and Development Need: Time management; Work Planning and New Manager Trainings.</t>
        </is>
      </c>
      <c r="FB21" s="53" t="inlineStr">
        <is>
          <t>• Key challenges: Waiting for information; Slow work machines; Tool issues; Client revert.
• Support required: No input received.</t>
        </is>
      </c>
      <c r="FC21" s="53" t="n"/>
      <c r="FD21" s="53" t="n"/>
      <c r="FE21" s="57" t="inlineStr">
        <is>
          <t>1.  Ensure files processed by team  with &gt;=99% accuracy · zero critical errors.
2. Meet 100% of regulatory / client filing deadlines · no SLA breaches
3. Reduce average filing turnaround time by 10-20% by this year.
4. Identify and develop future team leads.
5. Deliver zero escalations from key clients.
6. Launch AI-assisted formatting/tagging and review suggestion engine · Give Logic to Engineering Team and Test it whenever developed</t>
        </is>
      </c>
      <c r="FF21" s="56" t="n"/>
      <c r="FG21" s="56" t="n"/>
      <c r="FH21" s="56" t="n"/>
      <c r="FI21" s="56" t="n"/>
      <c r="FJ21" s="56" t="inlineStr">
        <is>
          <t>Received · manager annual</t>
        </is>
      </c>
      <c r="FK21" s="56" t="inlineStr">
        <is>
          <t>CARBON Mapping Master</t>
        </is>
      </c>
      <c r="FL21" s="56" t="n">
        <v>20</v>
      </c>
      <c r="FM21" s="56" t="inlineStr">
        <is>
          <t>• Role / sub-team: Assisted Services</t>
        </is>
      </c>
      <c r="FN21" s="56" t="inlineStr">
        <is>
          <t>• Key responsibilities include: Testing, billing, Doubt solving, Tagging, Mapping, Client doubt solving, Report preparation.
• Reported deliverables and outcomes include: Billing and files are shared with the client; reports are shared with the manager.
• Additional duties outside usual job: Collate AI machine learning data , work as back up for anyone on leave.</t>
        </is>
      </c>
      <c r="FO21" s="56" t="inlineStr">
        <is>
          <t>• Current capabilities: Patience; Communication; Team bonding; Work experience; Accounting knowledge; Tools / software used: HTML - Editor | Ifile, Iris Instant.</t>
        </is>
      </c>
      <c r="FP21" s="56" t="inlineStr">
        <is>
          <t>• Development priorities: 
• Learning and Development Need: Time management; Work Planning and New Manager Trainings.</t>
        </is>
      </c>
      <c r="FQ21" s="56" t="inlineStr">
        <is>
          <t>• Key challenges: Waiting for information; Slow work machines; Tool issues; Client revert.
• Support required: No input received.</t>
        </is>
      </c>
      <c r="FR21" s="56" t="inlineStr">
        <is>
          <t>Complexity: Evidence reads like B3: Multi-market XBRL filings; makes tagging calls on complex files; changes internal review steps; researches new mandates → moved down 1
Autonomy: Evidence reads like B3: Decides allocation, who leads each team or mandate, clashing-deadline priorities, review process changes → moved down 1
Accountability: Evidence reads like B3: own survey / KRA answers · summarised by the rater; not quoted → moved down 1
Leadership: Evidence reads like B3: Eight reports; appoints team/mandate leads, trains reviewers, plans capacity for reporting seasons → moved down 1
Business Impact: Moved +0.5: the survey / manager mapping marks it business-critical.</t>
        </is>
      </c>
      <c r="FS21" s="56" t="n"/>
      <c r="FT21" s="56" t="inlineStr">
        <is>
          <t>Self-identified: Project / programme management · Broader exposure &amp; ownership
For the next role: Project / programme management · Broader exposure &amp; ownership</t>
        </is>
      </c>
      <c r="FU21" s="56" t="inlineStr">
        <is>
          <t>Per-person summary · CARBON Mapping Master</t>
        </is>
      </c>
    </row>
    <row r="22" ht="90" customHeight="1">
      <c r="A22" s="51" t="inlineStr">
        <is>
          <t>◂ Back</t>
        </is>
      </c>
      <c r="B22" s="29" t="inlineStr">
        <is>
          <t>Mapped</t>
        </is>
      </c>
      <c r="C22" s="28" t="inlineStr">
        <is>
          <t>CARBON</t>
        </is>
      </c>
      <c r="D22" s="29" t="inlineStr">
        <is>
          <t>IRIS0511</t>
        </is>
      </c>
      <c r="E22" s="29" t="inlineStr">
        <is>
          <t>Jinesh Kumar S</t>
        </is>
      </c>
      <c r="F22" s="29" t="inlineStr">
        <is>
          <t>Services</t>
        </is>
      </c>
      <c r="G22" s="29" t="inlineStr">
        <is>
          <t>Lead - Assisted Services</t>
        </is>
      </c>
      <c r="H22" s="29" t="inlineStr">
        <is>
          <t>Manager – Assisted Services</t>
        </is>
      </c>
      <c r="I22" s="29" t="inlineStr">
        <is>
          <t>L5 – Lead · IC</t>
        </is>
      </c>
      <c r="J22" s="29" t="inlineStr">
        <is>
          <t>B2</t>
        </is>
      </c>
      <c r="K22" s="29" t="inlineStr">
        <is>
          <t>▼ Down · protected</t>
        </is>
      </c>
      <c r="L22" s="29" t="inlineStr">
        <is>
          <t>Consulting &amp; Professional Services</t>
        </is>
      </c>
      <c r="M22" s="29" t="inlineStr">
        <is>
          <t>XBRL Tagging, Conversion &amp; Filing</t>
        </is>
      </c>
      <c r="N22" s="29" t="n"/>
      <c r="O22" s="29" t="n">
        <v>20</v>
      </c>
      <c r="P22" s="28" t="inlineStr">
        <is>
          <t>P4 / M3</t>
        </is>
      </c>
      <c r="Q22" s="29" t="inlineStr">
        <is>
          <t>Senior / Manager</t>
        </is>
      </c>
      <c r="R22" s="29" t="inlineStr">
        <is>
          <t>4–5</t>
        </is>
      </c>
      <c r="S22" s="29" t="inlineStr">
        <is>
          <t>6–9 yrs</t>
        </is>
      </c>
      <c r="T22" s="29" t="inlineStr">
        <is>
          <t>7–10 · 6–11</t>
        </is>
      </c>
      <c r="U22" s="29" t="inlineStr">
        <is>
          <t>Manager</t>
        </is>
      </c>
      <c r="V22" s="29" t="inlineStr">
        <is>
          <t>Big Four: Manager · IRIS Vs Market Benchmark — XBRL US credential pathway: Certificate + review authority</t>
        </is>
      </c>
      <c r="W22" s="29" t="inlineStr">
        <is>
          <t>XBRL US GAAP Certificate · AICPA &amp; XBRL US; XBRL International specifications; IFRS / US GAAP / Ind AS</t>
        </is>
      </c>
      <c r="X22" s="29" t="inlineStr">
        <is>
          <t>Core 3 · Future 3 · Functional 4 · Leadership 3</t>
        </is>
      </c>
      <c r="Y22" s="52" t="n">
        <v>68</v>
      </c>
      <c r="Z22" s="53" t="inlineStr">
        <is>
          <t>IRIS0511</t>
        </is>
      </c>
      <c r="AA22" s="53" t="inlineStr">
        <is>
          <t>Employee</t>
        </is>
      </c>
      <c r="AB22" s="53" t="inlineStr">
        <is>
          <t>Active</t>
        </is>
      </c>
      <c r="AC22" s="53" t="inlineStr">
        <is>
          <t>Jinesh Kumar S</t>
        </is>
      </c>
      <c r="AD22" s="54" t="n">
        <v>40553</v>
      </c>
      <c r="AE22" s="53" t="inlineStr">
        <is>
          <t>Lead - Assisted Services</t>
        </is>
      </c>
      <c r="AF22" s="53" t="inlineStr">
        <is>
          <t>M.Com</t>
        </is>
      </c>
      <c r="AG22" s="53" t="inlineStr">
        <is>
          <t>Shashikant Mudaliar</t>
        </is>
      </c>
      <c r="AH22" s="53" t="inlineStr">
        <is>
          <t>N-6</t>
        </is>
      </c>
      <c r="AI22" s="53" t="inlineStr">
        <is>
          <t>Manager</t>
        </is>
      </c>
      <c r="AJ22" s="53" t="inlineStr">
        <is>
          <t>0 years, 5 months, 0 days</t>
        </is>
      </c>
      <c r="AK22" s="53" t="inlineStr">
        <is>
          <t>15 years, 7 months, 15 days</t>
        </is>
      </c>
      <c r="AL22" s="53" t="inlineStr">
        <is>
          <t>Regtech</t>
        </is>
      </c>
      <c r="AM22" s="53" t="inlineStr">
        <is>
          <t>CARBON</t>
        </is>
      </c>
      <c r="AN22" s="53" t="inlineStr">
        <is>
          <t>Services</t>
        </is>
      </c>
      <c r="AO22" s="53" t="inlineStr">
        <is>
          <t>Expert Assisted services</t>
        </is>
      </c>
      <c r="AP22" s="53" t="inlineStr">
        <is>
          <t>No</t>
        </is>
      </c>
      <c r="AQ22" s="53" t="inlineStr">
        <is>
          <t>Professional Services</t>
        </is>
      </c>
      <c r="AR22" s="53" t="inlineStr">
        <is>
          <t>XBRL Domain</t>
        </is>
      </c>
      <c r="AS22" s="53" t="inlineStr">
        <is>
          <t>Non-technical</t>
        </is>
      </c>
      <c r="AT22" s="53" t="n">
        <v>20</v>
      </c>
      <c r="AU22" s="53" t="inlineStr">
        <is>
          <t>Covered</t>
        </is>
      </c>
      <c r="AV22" s="53" t="inlineStr">
        <is>
          <t>IRIS0511</t>
        </is>
      </c>
      <c r="AW22" s="53" t="inlineStr">
        <is>
          <t>Jinesh Kumar S</t>
        </is>
      </c>
      <c r="AX22" s="53" t="inlineStr">
        <is>
          <t>Services</t>
        </is>
      </c>
      <c r="AY22" s="53" t="inlineStr">
        <is>
          <t>Professional Services</t>
        </is>
      </c>
      <c r="AZ22" s="53" t="inlineStr">
        <is>
          <t>XBRL / Regulatory Reporting</t>
        </is>
      </c>
      <c r="BA22" s="53" t="n"/>
      <c r="BB22" s="53" t="n"/>
      <c r="BC22" s="53" t="inlineStr">
        <is>
          <t>Employee</t>
        </is>
      </c>
      <c r="BD22" s="53" t="inlineStr">
        <is>
          <t>Shashikant Mudaliar</t>
        </is>
      </c>
      <c r="BE22" s="53" t="inlineStr">
        <is>
          <t>Shashikant Mudaliar</t>
        </is>
      </c>
      <c r="BF22" s="53" t="inlineStr">
        <is>
          <t>No</t>
        </is>
      </c>
      <c r="BG22" s="53" t="inlineStr">
        <is>
          <t>Lead - Assisted Services</t>
        </is>
      </c>
      <c r="BH22" s="53" t="inlineStr">
        <is>
          <t>Manager - Services</t>
        </is>
      </c>
      <c r="BI22" s="53" t="inlineStr">
        <is>
          <t>Yes</t>
        </is>
      </c>
      <c r="BJ22" s="53" t="n">
        <v>7</v>
      </c>
      <c r="BK22" s="53" t="n">
        <v>5</v>
      </c>
      <c r="BL22" s="53" t="n">
        <v>2</v>
      </c>
      <c r="BM22" s="53" t="inlineStr">
        <is>
          <t>Healthy</t>
        </is>
      </c>
      <c r="BN22" s="53" t="n">
        <v>7</v>
      </c>
      <c r="BO22" s="53" t="n">
        <v>5</v>
      </c>
      <c r="BP22" s="53" t="n">
        <v>2</v>
      </c>
      <c r="BQ22" s="53" t="inlineStr">
        <is>
          <t>Healthy</t>
        </is>
      </c>
      <c r="BR22" s="53" t="inlineStr">
        <is>
          <t>No</t>
        </is>
      </c>
      <c r="BS22" s="53" t="inlineStr">
        <is>
          <t>L5 – Lead · IC</t>
        </is>
      </c>
      <c r="BT22" s="53" t="inlineStr">
        <is>
          <t>L5</t>
        </is>
      </c>
      <c r="BU22" s="53" t="inlineStr">
        <is>
          <t>Matched from Title Hierarchy · new designation</t>
        </is>
      </c>
      <c r="BV22" s="53" t="inlineStr">
        <is>
          <t>1. Ensure files processed by team with &gt;=99% accuracy · zero critical errors.
2. Meet 100% of regulatory / client filing deadlines · no SLA breaches
3. Ensure 0% regulatory rejections across all submitted filings · Excluding issues not highlighted by our validator.
4. Cross-train team on at least 2 filing Mandate/Product.
5. Deliver zero escalations from key clients.</t>
        </is>
      </c>
      <c r="BW22" s="53" t="n"/>
      <c r="BX22" s="53" t="inlineStr">
        <is>
          <t>USA - SEC.</t>
        </is>
      </c>
      <c r="BY22" s="53" t="n"/>
      <c r="BZ22" s="53" t="inlineStr">
        <is>
          <t>IRIS0511</t>
        </is>
      </c>
      <c r="CA22" s="53" t="inlineStr">
        <is>
          <t>Employee</t>
        </is>
      </c>
      <c r="CB22" s="53" t="inlineStr">
        <is>
          <t>Active</t>
        </is>
      </c>
      <c r="CC22" s="53" t="inlineStr">
        <is>
          <t>Jinesh Kumar S</t>
        </is>
      </c>
      <c r="CD22" s="54" t="n">
        <v>40553</v>
      </c>
      <c r="CE22" s="53" t="inlineStr">
        <is>
          <t>Lead - Assisted Services</t>
        </is>
      </c>
      <c r="CF22" s="53" t="n"/>
      <c r="CG22" s="53" t="inlineStr">
        <is>
          <t>Professional Services</t>
        </is>
      </c>
      <c r="CH22" s="53" t="inlineStr">
        <is>
          <t>XBRL / Regulatory Reporting</t>
        </is>
      </c>
      <c r="CI22" s="53" t="inlineStr">
        <is>
          <t>Lead - Assisted Services</t>
        </is>
      </c>
      <c r="CJ22" s="53" t="inlineStr">
        <is>
          <t>L5 – Lead · IC</t>
        </is>
      </c>
      <c r="CK22" s="53" t="inlineStr">
        <is>
          <t>Shashikant Mudaliar</t>
        </is>
      </c>
      <c r="CL22" s="53" t="inlineStr">
        <is>
          <t>N-6</t>
        </is>
      </c>
      <c r="CM22" s="53" t="inlineStr">
        <is>
          <t>Manager</t>
        </is>
      </c>
      <c r="CN22" s="53" t="inlineStr">
        <is>
          <t>Regtech</t>
        </is>
      </c>
      <c r="CO22" s="53" t="inlineStr">
        <is>
          <t>Services</t>
        </is>
      </c>
      <c r="CP22" s="53" t="inlineStr">
        <is>
          <t>15 years, 10 months, 10 days</t>
        </is>
      </c>
      <c r="CQ22" s="53" t="inlineStr">
        <is>
          <t>Manager - Services</t>
        </is>
      </c>
      <c r="CR22" s="53" t="n"/>
      <c r="CS22" s="53" t="n">
        <v>4</v>
      </c>
      <c r="CT22" s="53" t="inlineStr">
        <is>
          <t>High</t>
        </is>
      </c>
      <c r="CU22" s="53" t="inlineStr">
        <is>
          <t>Emerging Talent</t>
        </is>
      </c>
      <c r="CV22" s="53" t="inlineStr">
        <is>
          <t>Yes</t>
        </is>
      </c>
      <c r="CW22" s="53" t="inlineStr">
        <is>
          <t>No</t>
        </is>
      </c>
      <c r="CX22" s="53" t="inlineStr">
        <is>
          <t>Yes</t>
        </is>
      </c>
      <c r="CY22" s="53" t="n"/>
      <c r="CZ22" s="53" t="n"/>
      <c r="DA22" s="53" t="n"/>
      <c r="DB22" s="53" t="inlineStr">
        <is>
          <t>Title to be standardized to: Manager - Services</t>
        </is>
      </c>
      <c r="DC22" s="53" t="n"/>
      <c r="DD22" s="53" t="n"/>
      <c r="DE22" s="53" t="n"/>
      <c r="DF22" s="53" t="n"/>
      <c r="DG22" s="53" t="n"/>
      <c r="DH22" s="53" t="n"/>
      <c r="DI22" s="53" t="n"/>
      <c r="DJ22" s="53" t="n"/>
      <c r="DK22" s="53" t="n"/>
      <c r="DL22" s="53" t="n"/>
      <c r="DM22" s="53" t="n"/>
      <c r="DN22" s="53" t="n"/>
      <c r="DO22" s="53" t="n"/>
      <c r="DP22" s="53" t="n"/>
      <c r="DQ22" s="53" t="n"/>
      <c r="DR22" s="53" t="n"/>
      <c r="DS22" s="53" t="n"/>
      <c r="DT22" s="53" t="n"/>
      <c r="DU22" s="53" t="n"/>
      <c r="DV22" s="53" t="n"/>
      <c r="DW22" s="53" t="n"/>
      <c r="DX22" s="53" t="n"/>
      <c r="DY22" s="53" t="n"/>
      <c r="DZ22" s="53" t="n"/>
      <c r="EA22" s="53" t="n"/>
      <c r="EB22" s="53" t="n"/>
      <c r="EC22" s="53" t="n"/>
      <c r="ED22" s="53" t="n"/>
      <c r="EE22" s="53" t="n"/>
      <c r="EF22" s="53" t="n"/>
      <c r="EG22" s="53" t="n"/>
      <c r="EH22" s="53" t="n"/>
      <c r="EI22" s="53" t="n"/>
      <c r="EJ22" s="53" t="n"/>
      <c r="EK22" s="53" t="n"/>
      <c r="EL22" s="53" t="n"/>
      <c r="EM22" s="53" t="n"/>
      <c r="EN22" s="53" t="n"/>
      <c r="EO22" s="53" t="n"/>
      <c r="EP22" s="53" t="n"/>
      <c r="EQ22" s="53" t="n"/>
      <c r="ER22" s="53" t="n"/>
      <c r="ES22" s="53" t="n"/>
      <c r="ET22" s="53" t="n"/>
      <c r="EU22" s="53" t="n"/>
      <c r="EV22" s="53" t="n"/>
      <c r="EW22" s="52" t="n"/>
      <c r="EX22" s="53" t="inlineStr">
        <is>
          <t>• Role / sub-team: XBRL Tagging - US SEC.</t>
        </is>
      </c>
      <c r="EY22" s="53" t="inlineStr">
        <is>
          <t>• Key responsibilities include: XBRL Tagging and Review, Linking, Validations, Submissions to the SEC, Training, Co-ordination within the team, Co-ordination with other teams, Product testing, Team management and related activities.
• Reported deliverables and outcomes include: Client.</t>
        </is>
      </c>
      <c r="EZ22" s="53" t="inlineStr">
        <is>
          <t>• Current capabilities: Flexibility Time managmnt; Tools / software used: Both.</t>
        </is>
      </c>
      <c r="FA22" s="53" t="inlineStr">
        <is>
          <t>• Development priorities: No input received.
• Learning and Development Need: Time management; Refresher Trainings.</t>
        </is>
      </c>
      <c r="FB22" s="53" t="inlineStr">
        <is>
          <t>• Key challenges: Technical issues; Info pending from clients; Faveo Communication.
• Support required: No input received.</t>
        </is>
      </c>
      <c r="FC22" s="53" t="n"/>
      <c r="FD22" s="53" t="n"/>
      <c r="FE22" s="57" t="inlineStr">
        <is>
          <t>1. Ensure files processed by team with &gt;=99% accuracy · zero critical errors.
2. Meet 100% of regulatory / client filing deadlines · no SLA breaches
3. Ensure 0% regulatory rejections across all submitted filings · Excluding issues not highlighted by our validator.
4. Cross-train team on at least 2 filing Mandate/Product.
5. Deliver zero escalations from key clients.</t>
        </is>
      </c>
      <c r="FF22" s="56" t="n"/>
      <c r="FG22" s="56" t="n"/>
      <c r="FH22" s="56" t="n"/>
      <c r="FI22" s="56" t="n"/>
      <c r="FJ22" s="56" t="inlineStr">
        <is>
          <t>Received · manager annual</t>
        </is>
      </c>
      <c r="FK22" s="56" t="inlineStr">
        <is>
          <t>CARBON Mapping Master</t>
        </is>
      </c>
      <c r="FL22" s="56" t="n">
        <v>20</v>
      </c>
      <c r="FM22" s="56" t="inlineStr">
        <is>
          <t>• Role / sub-team: XBRL Tagging - US SEC.</t>
        </is>
      </c>
      <c r="FN22" s="56" t="inlineStr">
        <is>
          <t>• Key responsibilities include: XBRL Tagging and Review, Linking, Validations, Submissions to the SEC, Training, Co-ordination within the team, Co-ordination with other teams, Product testing, Team management and related activities.
• Reported deliverables and outcomes include: Client.</t>
        </is>
      </c>
      <c r="FO22" s="56" t="inlineStr">
        <is>
          <t>• Current capabilities: Flexibility Time managmnt; Tools / software used: Both.</t>
        </is>
      </c>
      <c r="FP22" s="56" t="inlineStr">
        <is>
          <t>• Development priorities: No input received.
• Learning and Development Need: Time management; Refresher Trainings.</t>
        </is>
      </c>
      <c r="FQ22" s="56" t="inlineStr">
        <is>
          <t>• Key challenges: Technical issues; Info pending from clients; Faveo Communication.
• Support required: No input received.</t>
        </is>
      </c>
      <c r="FR22" s="56" t="inlineStr">
        <is>
          <t>Complexity: Evidence reads like B1: Runs US SEC XBRL delivery: quality, issue resolution, product/UAT testing, process improvement → matches the start
Autonomy: Evidence reads like B2: Allocates and rebalances team workload, sets task priorities, takes corrective action within established processes → moved up 0.5
Accountability: Evidence reads like B2: US SEC team's delivery, quality, timelines, escalations and process controls → matches the start
Leadership: Evidence reads like B2: Seven direct reports; allocates work, gives day-to-day guidance and training → matches the start
Business Impact: Moved +0.5: the survey / manager mapping marks it business-critical.</t>
        </is>
      </c>
      <c r="FS22" s="56" t="inlineStr">
        <is>
          <t>Common themes in role-holders' answers: manage · carbon · quality · deadlines · maintaining · smooth
Common themes in role-holders' answers: delivery · allocation · testing · quality · management · product
Common themes in role-holders' answers: xbrl · reports · word · files · deliver · pdf
Common themes in role-holders' answers: am · personally accountable · quality · delivery · timelines · allocation
Common themes in role-holders' answers: corrective · take · day-to-day · issues · allocate · quality
If the work is missed · role-holders' themes: client · escalation · effort · lead.</t>
        </is>
      </c>
      <c r="FT22" s="56" t="inlineStr">
        <is>
          <t>Self-identified: AI / automation · Leadership &amp; people management · Data, SQL &amp; analytics · Domain, regulatory &amp; XBRL · Strategy &amp; business acumen · Broader exposure &amp; ownership
For the next role: AI / automation · Leadership &amp; people management · Data, SQL &amp; analytics · Domain, regulatory &amp; XBRL · Strategy &amp; business acumen · Broader exposure &amp; ownership</t>
        </is>
      </c>
      <c r="FU22" s="56" t="inlineStr">
        <is>
          <t>Per-person summary · CARBON Mapping Master</t>
        </is>
      </c>
    </row>
    <row r="23" ht="90" customHeight="1">
      <c r="A23" s="51" t="inlineStr">
        <is>
          <t>◂ Back</t>
        </is>
      </c>
      <c r="B23" s="29" t="inlineStr">
        <is>
          <t>Mapped</t>
        </is>
      </c>
      <c r="C23" s="28" t="inlineStr">
        <is>
          <t>CARBON</t>
        </is>
      </c>
      <c r="D23" s="29" t="inlineStr">
        <is>
          <t>IRIS2163</t>
        </is>
      </c>
      <c r="E23" s="29" t="inlineStr">
        <is>
          <t>Abhijit Bhagwan Patil</t>
        </is>
      </c>
      <c r="F23" s="29" t="inlineStr">
        <is>
          <t>Services</t>
        </is>
      </c>
      <c r="G23" s="29" t="inlineStr">
        <is>
          <t>Financial Analyst</t>
        </is>
      </c>
      <c r="H23" s="29" t="inlineStr">
        <is>
          <t>Senior Financial Analyst</t>
        </is>
      </c>
      <c r="I23" s="29" t="inlineStr">
        <is>
          <t>L3 – Professional / Associate</t>
        </is>
      </c>
      <c r="J23" s="29" t="inlineStr">
        <is>
          <t>A3</t>
        </is>
      </c>
      <c r="K23" s="29" t="inlineStr">
        <is>
          <t>▲ Up</t>
        </is>
      </c>
      <c r="L23" s="29" t="inlineStr">
        <is>
          <t>Consulting &amp; Professional Services</t>
        </is>
      </c>
      <c r="M23" s="29" t="inlineStr">
        <is>
          <t>XBRL Tagging, Conversion &amp; Filing</t>
        </is>
      </c>
      <c r="N23" s="29" t="inlineStr">
        <is>
          <t>• Confirm the reporting line — Manager</t>
        </is>
      </c>
      <c r="O23" s="29" t="n">
        <v>20</v>
      </c>
      <c r="P23" s="28" t="inlineStr">
        <is>
          <t>P2</t>
        </is>
      </c>
      <c r="Q23" s="29" t="inlineStr">
        <is>
          <t>Developing</t>
        </is>
      </c>
      <c r="R23" s="29" t="inlineStr">
        <is>
          <t>3 Apply</t>
        </is>
      </c>
      <c r="S23" s="29" t="inlineStr">
        <is>
          <t>2–4 yrs</t>
        </is>
      </c>
      <c r="T23" s="29" t="inlineStr">
        <is>
          <t>3–5 · 2–5</t>
        </is>
      </c>
      <c r="U23" s="29" t="inlineStr">
        <is>
          <t>Senior Analyst / Associate</t>
        </is>
      </c>
      <c r="V23" s="29" t="inlineStr">
        <is>
          <t>DataTracks: Senior Associate · 2–5 yrs · Big Four: Consultant · IRIS Vs Market Benchmark — XBRL US credential pathway: XBRL US GAAP Certificate</t>
        </is>
      </c>
      <c r="W23" s="29" t="inlineStr">
        <is>
          <t>XBRL US GAAP Certificate · AICPA &amp; XBRL US; XBRL International specifications; IFRS / US GAAP / Ind AS</t>
        </is>
      </c>
      <c r="X23" s="29" t="inlineStr">
        <is>
          <t>Core 2 · Future 2 · Functional 3 · Leadership not scored</t>
        </is>
      </c>
      <c r="Y23" s="52" t="n">
        <v>287</v>
      </c>
      <c r="Z23" s="53" t="inlineStr">
        <is>
          <t>IRIS2163</t>
        </is>
      </c>
      <c r="AA23" s="53" t="inlineStr">
        <is>
          <t>Employee</t>
        </is>
      </c>
      <c r="AB23" s="53" t="inlineStr">
        <is>
          <t>Active</t>
        </is>
      </c>
      <c r="AC23" s="53" t="inlineStr">
        <is>
          <t>Abhijit Bhagwan Patil</t>
        </is>
      </c>
      <c r="AD23" s="54" t="n">
        <v>45139</v>
      </c>
      <c r="AE23" s="53" t="inlineStr">
        <is>
          <t>Financial Analyst</t>
        </is>
      </c>
      <c r="AF23" s="53" t="inlineStr">
        <is>
          <t>BAF</t>
        </is>
      </c>
      <c r="AG23" s="53" t="inlineStr">
        <is>
          <t>Jinesh Kumar S</t>
        </is>
      </c>
      <c r="AH23" s="53" t="inlineStr">
        <is>
          <t>N-7</t>
        </is>
      </c>
      <c r="AI23" s="53" t="inlineStr">
        <is>
          <t>Individual Contributor</t>
        </is>
      </c>
      <c r="AJ23" s="53" t="inlineStr">
        <is>
          <t>0 years, 0 months, 0 days</t>
        </is>
      </c>
      <c r="AK23" s="53" t="inlineStr">
        <is>
          <t>3 years, 0 months, 24 days</t>
        </is>
      </c>
      <c r="AL23" s="53" t="inlineStr">
        <is>
          <t>Regtech</t>
        </is>
      </c>
      <c r="AM23" s="53" t="inlineStr">
        <is>
          <t>CARBON</t>
        </is>
      </c>
      <c r="AN23" s="53" t="inlineStr">
        <is>
          <t>Services</t>
        </is>
      </c>
      <c r="AO23" s="53" t="inlineStr">
        <is>
          <t>Expert Assisted services</t>
        </is>
      </c>
      <c r="AP23" s="53" t="inlineStr">
        <is>
          <t>No</t>
        </is>
      </c>
      <c r="AQ23" s="53" t="inlineStr">
        <is>
          <t>Professional Services</t>
        </is>
      </c>
      <c r="AR23" s="53" t="inlineStr">
        <is>
          <t>XBRL Domain</t>
        </is>
      </c>
      <c r="AS23" s="53" t="inlineStr">
        <is>
          <t>Non-technical</t>
        </is>
      </c>
      <c r="AT23" s="53" t="n">
        <v>20</v>
      </c>
      <c r="AU23" s="53" t="inlineStr">
        <is>
          <t>Covered</t>
        </is>
      </c>
      <c r="AV23" s="53" t="inlineStr">
        <is>
          <t>IRIS2163</t>
        </is>
      </c>
      <c r="AW23" s="53" t="inlineStr">
        <is>
          <t>Abhijit Bhagwan Patil</t>
        </is>
      </c>
      <c r="AX23" s="53" t="inlineStr">
        <is>
          <t>Services</t>
        </is>
      </c>
      <c r="AY23" s="53" t="inlineStr">
        <is>
          <t>Professional Services</t>
        </is>
      </c>
      <c r="AZ23" s="53" t="inlineStr">
        <is>
          <t>XBRL / Regulatory Reporting</t>
        </is>
      </c>
      <c r="BA23" s="53" t="n"/>
      <c r="BB23" s="53" t="n"/>
      <c r="BC23" s="53" t="inlineStr">
        <is>
          <t>Employee</t>
        </is>
      </c>
      <c r="BD23" s="53" t="inlineStr">
        <is>
          <t>Jinesh Kumar S</t>
        </is>
      </c>
      <c r="BE23" s="53" t="inlineStr">
        <is>
          <t>Jinesh Kumar S</t>
        </is>
      </c>
      <c r="BF23" s="53" t="inlineStr">
        <is>
          <t>No</t>
        </is>
      </c>
      <c r="BG23" s="53" t="inlineStr">
        <is>
          <t>Financial Analyst</t>
        </is>
      </c>
      <c r="BH23" s="53" t="inlineStr">
        <is>
          <t>Services Associate</t>
        </is>
      </c>
      <c r="BI23" s="53" t="inlineStr">
        <is>
          <t>Yes</t>
        </is>
      </c>
      <c r="BJ23" s="53" t="inlineStr">
        <is>
          <t>—</t>
        </is>
      </c>
      <c r="BK23" s="53" t="inlineStr">
        <is>
          <t>—</t>
        </is>
      </c>
      <c r="BL23" s="53" t="inlineStr">
        <is>
          <t>—</t>
        </is>
      </c>
      <c r="BM23" s="53" t="inlineStr">
        <is>
          <t>Not a manager</t>
        </is>
      </c>
      <c r="BN23" s="53" t="inlineStr">
        <is>
          <t>—</t>
        </is>
      </c>
      <c r="BO23" s="53" t="inlineStr">
        <is>
          <t>—</t>
        </is>
      </c>
      <c r="BP23" s="53" t="inlineStr">
        <is>
          <t>—</t>
        </is>
      </c>
      <c r="BQ23" s="53" t="inlineStr">
        <is>
          <t>Not a manager</t>
        </is>
      </c>
      <c r="BR23" s="53" t="inlineStr">
        <is>
          <t>—</t>
        </is>
      </c>
      <c r="BS23" s="53" t="inlineStr">
        <is>
          <t>L3 – Professional / Associate</t>
        </is>
      </c>
      <c r="BT23" s="53" t="inlineStr">
        <is>
          <t>L1</t>
        </is>
      </c>
      <c r="BU23" s="53" t="inlineStr">
        <is>
          <t>Matched from Title Hierarchy · new designation</t>
        </is>
      </c>
      <c r="BV23"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W23" s="53" t="n"/>
      <c r="BX23" s="53" t="inlineStr">
        <is>
          <t>USA - SEC.</t>
        </is>
      </c>
      <c r="BY23" s="53" t="n"/>
      <c r="BZ23" s="53" t="inlineStr">
        <is>
          <t>IRIS2163</t>
        </is>
      </c>
      <c r="CA23" s="53" t="inlineStr">
        <is>
          <t>Employee</t>
        </is>
      </c>
      <c r="CB23" s="53" t="inlineStr">
        <is>
          <t>Active</t>
        </is>
      </c>
      <c r="CC23" s="53" t="inlineStr">
        <is>
          <t>Abhijit Bhagwan Patil</t>
        </is>
      </c>
      <c r="CD23" s="54" t="n">
        <v>45139</v>
      </c>
      <c r="CE23" s="53" t="inlineStr">
        <is>
          <t>Financial Analyst</t>
        </is>
      </c>
      <c r="CF23" s="53" t="n"/>
      <c r="CG23" s="53" t="inlineStr">
        <is>
          <t>Professional Services</t>
        </is>
      </c>
      <c r="CH23" s="53" t="inlineStr">
        <is>
          <t>XBRL / Regulatory Reporting</t>
        </is>
      </c>
      <c r="CI23" s="53" t="inlineStr">
        <is>
          <t>Financial Analyst</t>
        </is>
      </c>
      <c r="CJ23" s="53" t="inlineStr">
        <is>
          <t>L3 – Professional / Associate</t>
        </is>
      </c>
      <c r="CK23" s="53" t="inlineStr">
        <is>
          <t>Jinesh Kumar S</t>
        </is>
      </c>
      <c r="CL23" s="53" t="inlineStr">
        <is>
          <t>N-7</t>
        </is>
      </c>
      <c r="CM23" s="53" t="inlineStr">
        <is>
          <t>Individual Contributor</t>
        </is>
      </c>
      <c r="CN23" s="53" t="inlineStr">
        <is>
          <t>Regtech</t>
        </is>
      </c>
      <c r="CO23" s="53" t="inlineStr">
        <is>
          <t>Services</t>
        </is>
      </c>
      <c r="CP23" s="53" t="inlineStr">
        <is>
          <t>2 years, 10 months, 19 days</t>
        </is>
      </c>
      <c r="CQ23" s="53" t="inlineStr">
        <is>
          <t>Services Associate</t>
        </is>
      </c>
      <c r="CR23" s="53" t="n"/>
      <c r="CS23" s="53" t="n">
        <v>4</v>
      </c>
      <c r="CT23" s="53" t="inlineStr">
        <is>
          <t>High</t>
        </is>
      </c>
      <c r="CU23" s="53" t="inlineStr">
        <is>
          <t>Core Contributor</t>
        </is>
      </c>
      <c r="CV23" s="53" t="inlineStr">
        <is>
          <t>Yes</t>
        </is>
      </c>
      <c r="CW23" s="53" t="inlineStr">
        <is>
          <t>No</t>
        </is>
      </c>
      <c r="CX23" s="53" t="inlineStr">
        <is>
          <t>Yes</t>
        </is>
      </c>
      <c r="CY23" s="53" t="n"/>
      <c r="CZ23" s="53" t="n"/>
      <c r="DA23" s="53" t="n"/>
      <c r="DB23" s="53" t="inlineStr">
        <is>
          <t>Title to be standardized to : Services Associate</t>
        </is>
      </c>
      <c r="DC23" s="53" t="n"/>
      <c r="DD23" s="53" t="n"/>
      <c r="DE23" s="53" t="n"/>
      <c r="DF23" s="53" t="n"/>
      <c r="DG23" s="53" t="n"/>
      <c r="DH23" s="53" t="n"/>
      <c r="DI23" s="53" t="n"/>
      <c r="DJ23" s="53" t="n"/>
      <c r="DK23" s="53" t="n"/>
      <c r="DL23" s="53" t="n"/>
      <c r="DM23" s="53" t="n"/>
      <c r="DN23" s="53" t="n"/>
      <c r="DO23" s="53" t="n"/>
      <c r="DP23" s="53" t="n"/>
      <c r="DQ23" s="53" t="n"/>
      <c r="DR23" s="53" t="n"/>
      <c r="DS23" s="53" t="n"/>
      <c r="DT23" s="53" t="n"/>
      <c r="DU23" s="53" t="n"/>
      <c r="DV23" s="53" t="n"/>
      <c r="DW23" s="53" t="n"/>
      <c r="DX23" s="53" t="n"/>
      <c r="DY23" s="53" t="n"/>
      <c r="DZ23" s="53" t="n"/>
      <c r="EA23" s="53" t="n"/>
      <c r="EB23" s="53" t="n"/>
      <c r="EC23" s="53" t="n"/>
      <c r="ED23" s="53" t="n"/>
      <c r="EE23" s="53" t="n"/>
      <c r="EF23" s="53" t="n"/>
      <c r="EG23" s="53" t="n"/>
      <c r="EH23" s="53" t="n"/>
      <c r="EI23" s="53" t="n"/>
      <c r="EJ23" s="53" t="n"/>
      <c r="EK23" s="53" t="n"/>
      <c r="EL23" s="53" t="n"/>
      <c r="EM23" s="53" t="n"/>
      <c r="EN23" s="53" t="n"/>
      <c r="EO23" s="53" t="n"/>
      <c r="EP23" s="53" t="n"/>
      <c r="EQ23" s="53" t="n"/>
      <c r="ER23" s="53" t="n"/>
      <c r="ES23" s="53" t="n"/>
      <c r="ET23" s="53" t="n"/>
      <c r="EU23" s="53" t="n"/>
      <c r="EV23" s="53" t="n"/>
      <c r="EW23" s="52" t="n"/>
      <c r="EX23" s="53" t="inlineStr">
        <is>
          <t>• Role / sub-team: XBRL Tagging and Quality check analyst in Us team.</t>
        </is>
      </c>
      <c r="EY23" s="53" t="inlineStr">
        <is>
          <t>• Key responsibilities include: Tagging, Quality check, Validation , Review, Roll forward process, Demo project creation, handling the client queries, Process the client comments, learning new things.
• Reported deliverables and outcomes include: If the work is not done. It will give to other team members after informing by leads.</t>
        </is>
      </c>
      <c r="EZ23" s="53" t="inlineStr">
        <is>
          <t>• Current capabilities: Time management; Tools / software used: Both.</t>
        </is>
      </c>
      <c r="FA23" s="53" t="inlineStr">
        <is>
          <t>• Development priorities: No input received.
• Learning and Development Need: Imp points discuss over c.</t>
        </is>
      </c>
      <c r="FB23" s="53" t="inlineStr">
        <is>
          <t>• Key challenges: Remote desktop issue.
• Support required: No input received.</t>
        </is>
      </c>
      <c r="FC23" s="53" t="n"/>
      <c r="FD23" s="53" t="n"/>
      <c r="FE23"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FF23" s="56" t="n"/>
      <c r="FG23" s="56" t="n"/>
      <c r="FH23" s="56" t="n"/>
      <c r="FI23" s="56" t="n"/>
      <c r="FJ23" s="56" t="inlineStr">
        <is>
          <t>Received · manager annual</t>
        </is>
      </c>
      <c r="FK23" s="56" t="inlineStr">
        <is>
          <t>CARBON Mapping Master</t>
        </is>
      </c>
      <c r="FL23" s="56" t="n">
        <v>20</v>
      </c>
      <c r="FM23" s="56" t="inlineStr">
        <is>
          <t>• Role / sub-team: XBRL Tagging and Quality check analyst in Us team.</t>
        </is>
      </c>
      <c r="FN23" s="56" t="inlineStr">
        <is>
          <t>• Key responsibilities include: Tagging, Quality check, Validation , Review, Roll forward process, Demo project creation, handling the client queries, Process the client comments, learning new things.
• Reported deliverables and outcomes include: If the work is not done. It will give to other team members after informing by leads.</t>
        </is>
      </c>
      <c r="FO23" s="56" t="inlineStr">
        <is>
          <t>• Current capabilities: Time management; Tools / software used: Both.</t>
        </is>
      </c>
      <c r="FP23" s="56" t="inlineStr">
        <is>
          <t>• Development priorities: No input received.
• Learning and Development Need: Imp points discuss over c.</t>
        </is>
      </c>
      <c r="FQ23" s="56" t="inlineStr">
        <is>
          <t>• Key challenges: Remote desktop issue.
• Support required: No input received.</t>
        </is>
      </c>
      <c r="FR23" s="56" t="inlineStr">
        <is>
          <t>Complexity: Evidence reads like A3: US mandate tagging, QC, validation and filings; roll-forward, client comments, routine issue resolution → moved up 0.5
Autonomy: Evidence reads like B1: Allocates tasks by workload and resolves routine issues; escalates critical ones to leads → moved up 1
Accountability: Evidence reads like A3: Quality and timeliness of own tagging, QC and filings; supports team delivery → moved up 0.5
Leadership: Evidence reads like A3: Gives daily guidance and QC review to team members; leads sit above → moved up 1
Business Impact: Moved +0.5: the survey / manager mapping marks it business-critical.</t>
        </is>
      </c>
      <c r="FS23" s="56"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FT23" s="56" t="inlineStr">
        <is>
          <t>Self-identified: AI / automation · Leadership &amp; people management · Client, sales &amp; stakeholders
For the next role: AI / automation · Leadership &amp; people management · Client, sales &amp; stakeholders · Broader exposure &amp; ownership</t>
        </is>
      </c>
      <c r="FU23" s="56" t="inlineStr">
        <is>
          <t>Per-person summary · CARBON Mapping Master</t>
        </is>
      </c>
    </row>
    <row r="24" ht="90" customHeight="1">
      <c r="A24" s="51" t="inlineStr">
        <is>
          <t>◂ Back</t>
        </is>
      </c>
      <c r="B24" s="29" t="inlineStr">
        <is>
          <t>Mapped</t>
        </is>
      </c>
      <c r="C24" s="28" t="inlineStr">
        <is>
          <t>CARBON</t>
        </is>
      </c>
      <c r="D24" s="29" t="inlineStr">
        <is>
          <t>IRIS0135</t>
        </is>
      </c>
      <c r="E24" s="29" t="inlineStr">
        <is>
          <t>Ashok Yadav</t>
        </is>
      </c>
      <c r="F24" s="29" t="inlineStr">
        <is>
          <t>Services</t>
        </is>
      </c>
      <c r="G24" s="29" t="inlineStr">
        <is>
          <t>Senior Financial Analyst</t>
        </is>
      </c>
      <c r="H24" s="29" t="inlineStr">
        <is>
          <t>Senior Financial Analyst</t>
        </is>
      </c>
      <c r="I24" s="29" t="inlineStr">
        <is>
          <t>L4 – Senior</t>
        </is>
      </c>
      <c r="J24" s="29" t="inlineStr">
        <is>
          <t>A3</t>
        </is>
      </c>
      <c r="K24" s="29" t="inlineStr">
        <is>
          <t>• Same level</t>
        </is>
      </c>
      <c r="L24" s="29" t="inlineStr">
        <is>
          <t>Consulting &amp; Professional Services</t>
        </is>
      </c>
      <c r="M24" s="29" t="inlineStr">
        <is>
          <t>XBRL Tagging, Conversion &amp; Filing</t>
        </is>
      </c>
      <c r="N24" s="29" t="n"/>
      <c r="O24" s="29" t="n">
        <v>19</v>
      </c>
      <c r="P24" s="28" t="inlineStr">
        <is>
          <t>P2</t>
        </is>
      </c>
      <c r="Q24" s="29" t="inlineStr">
        <is>
          <t>Developing</t>
        </is>
      </c>
      <c r="R24" s="29" t="inlineStr">
        <is>
          <t>3 Apply</t>
        </is>
      </c>
      <c r="S24" s="29" t="inlineStr">
        <is>
          <t>2–4 yrs</t>
        </is>
      </c>
      <c r="T24" s="29" t="inlineStr">
        <is>
          <t>3–5 · 2–5</t>
        </is>
      </c>
      <c r="U24" s="29" t="inlineStr">
        <is>
          <t>Senior Analyst / Associate</t>
        </is>
      </c>
      <c r="V24" s="29" t="inlineStr">
        <is>
          <t>DataTracks: Senior Associate · 2–5 yrs · Big Four: Consultant · IRIS Vs Market Benchmark — XBRL US credential pathway: XBRL US GAAP Certificate</t>
        </is>
      </c>
      <c r="W24" s="29" t="inlineStr">
        <is>
          <t>XBRL US GAAP Certificate · AICPA &amp; XBRL US; XBRL International specifications; IFRS / US GAAP / Ind AS</t>
        </is>
      </c>
      <c r="X24" s="29" t="inlineStr">
        <is>
          <t>Core 2 · Future 2 · Functional 3 · Leadership not scored</t>
        </is>
      </c>
      <c r="Y24" s="52" t="n">
        <v>30</v>
      </c>
      <c r="Z24" s="53" t="inlineStr">
        <is>
          <t>IRIS0135</t>
        </is>
      </c>
      <c r="AA24" s="53" t="inlineStr">
        <is>
          <t>Employee</t>
        </is>
      </c>
      <c r="AB24" s="53" t="inlineStr">
        <is>
          <t>Active</t>
        </is>
      </c>
      <c r="AC24" s="53" t="inlineStr">
        <is>
          <t>Ashok Yadav</t>
        </is>
      </c>
      <c r="AD24" s="54" t="n">
        <v>39391</v>
      </c>
      <c r="AE24" s="53" t="inlineStr">
        <is>
          <t>Senior Financial Analyst</t>
        </is>
      </c>
      <c r="AF24" s="53" t="inlineStr">
        <is>
          <t>B.Com</t>
        </is>
      </c>
      <c r="AG24" s="53" t="inlineStr">
        <is>
          <t>Jinesh Kumar S</t>
        </is>
      </c>
      <c r="AH24" s="53" t="inlineStr">
        <is>
          <t>N-7</t>
        </is>
      </c>
      <c r="AI24" s="53" t="inlineStr">
        <is>
          <t>Individual Contributor</t>
        </is>
      </c>
      <c r="AJ24" s="53" t="inlineStr">
        <is>
          <t>0 years, 0 months, 0 days</t>
        </is>
      </c>
      <c r="AK24" s="53" t="inlineStr">
        <is>
          <t>18 years, 9 months, 20 days</t>
        </is>
      </c>
      <c r="AL24" s="53" t="inlineStr">
        <is>
          <t>Regtech</t>
        </is>
      </c>
      <c r="AM24" s="53" t="inlineStr">
        <is>
          <t>CARBON</t>
        </is>
      </c>
      <c r="AN24" s="53" t="inlineStr">
        <is>
          <t>Services</t>
        </is>
      </c>
      <c r="AO24" s="53" t="inlineStr">
        <is>
          <t>Expert Assisted services</t>
        </is>
      </c>
      <c r="AP24" s="53" t="inlineStr">
        <is>
          <t>No</t>
        </is>
      </c>
      <c r="AQ24" s="53" t="inlineStr">
        <is>
          <t>Professional Services</t>
        </is>
      </c>
      <c r="AR24" s="53" t="inlineStr">
        <is>
          <t>XBRL Domain</t>
        </is>
      </c>
      <c r="AS24" s="53" t="inlineStr">
        <is>
          <t>Non-technical</t>
        </is>
      </c>
      <c r="AT24" s="53" t="n">
        <v>20</v>
      </c>
      <c r="AU24" s="53" t="inlineStr">
        <is>
          <t>Covered</t>
        </is>
      </c>
      <c r="AV24" s="53" t="inlineStr">
        <is>
          <t>IRIS0135</t>
        </is>
      </c>
      <c r="AW24" s="53" t="inlineStr">
        <is>
          <t>Ashok Yadav</t>
        </is>
      </c>
      <c r="AX24" s="53" t="inlineStr">
        <is>
          <t>Services</t>
        </is>
      </c>
      <c r="AY24" s="53" t="inlineStr">
        <is>
          <t>Professional Services</t>
        </is>
      </c>
      <c r="AZ24" s="53" t="inlineStr">
        <is>
          <t>XBRL / Regulatory Reporting</t>
        </is>
      </c>
      <c r="BA24" s="53" t="n"/>
      <c r="BB24" s="53" t="n"/>
      <c r="BC24" s="53" t="inlineStr">
        <is>
          <t>Employee</t>
        </is>
      </c>
      <c r="BD24" s="53" t="inlineStr">
        <is>
          <t>Jinesh Kumar S</t>
        </is>
      </c>
      <c r="BE24" s="53" t="inlineStr">
        <is>
          <t>Jinesh Kumar S</t>
        </is>
      </c>
      <c r="BF24" s="53" t="inlineStr">
        <is>
          <t>No</t>
        </is>
      </c>
      <c r="BG24" s="53" t="inlineStr">
        <is>
          <t>Senior Financial Analyst</t>
        </is>
      </c>
      <c r="BH24" s="53" t="inlineStr">
        <is>
          <t>Senior Services Specialist</t>
        </is>
      </c>
      <c r="BI24" s="53" t="inlineStr">
        <is>
          <t>Yes</t>
        </is>
      </c>
      <c r="BJ24" s="53" t="inlineStr">
        <is>
          <t>—</t>
        </is>
      </c>
      <c r="BK24" s="53" t="inlineStr">
        <is>
          <t>—</t>
        </is>
      </c>
      <c r="BL24" s="53" t="inlineStr">
        <is>
          <t>—</t>
        </is>
      </c>
      <c r="BM24" s="53" t="inlineStr">
        <is>
          <t>Not a manager</t>
        </is>
      </c>
      <c r="BN24" s="53" t="inlineStr">
        <is>
          <t>—</t>
        </is>
      </c>
      <c r="BO24" s="53" t="inlineStr">
        <is>
          <t>—</t>
        </is>
      </c>
      <c r="BP24" s="53" t="inlineStr">
        <is>
          <t>—</t>
        </is>
      </c>
      <c r="BQ24" s="53" t="inlineStr">
        <is>
          <t>Not a manager</t>
        </is>
      </c>
      <c r="BR24" s="53" t="inlineStr">
        <is>
          <t>—</t>
        </is>
      </c>
      <c r="BS24" s="53" t="inlineStr">
        <is>
          <t>L4 – Senior</t>
        </is>
      </c>
      <c r="BT24" s="53" t="inlineStr">
        <is>
          <t>L4 – Senior</t>
        </is>
      </c>
      <c r="BU24" s="53" t="inlineStr">
        <is>
          <t>Designation refined from Raw tab Comments column · this update</t>
        </is>
      </c>
      <c r="BV24"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W24" s="53" t="n"/>
      <c r="BX24" s="53" t="inlineStr">
        <is>
          <t>USA - SEC.</t>
        </is>
      </c>
      <c r="BY24" s="53" t="n"/>
      <c r="BZ24" s="53" t="inlineStr">
        <is>
          <t>IRIS0135</t>
        </is>
      </c>
      <c r="CA24" s="53" t="inlineStr">
        <is>
          <t>Employee</t>
        </is>
      </c>
      <c r="CB24" s="53" t="inlineStr">
        <is>
          <t>Active</t>
        </is>
      </c>
      <c r="CC24" s="53" t="inlineStr">
        <is>
          <t>Ashok Yadav</t>
        </is>
      </c>
      <c r="CD24" s="54" t="n">
        <v>39391</v>
      </c>
      <c r="CE24" s="53" t="inlineStr">
        <is>
          <t>Senior Financial Analyst</t>
        </is>
      </c>
      <c r="CF24" s="53" t="n"/>
      <c r="CG24" s="53" t="inlineStr">
        <is>
          <t>Professional Services</t>
        </is>
      </c>
      <c r="CH24" s="53" t="inlineStr">
        <is>
          <t>XBRL / Regulatory Reporting</t>
        </is>
      </c>
      <c r="CI24" s="53" t="inlineStr">
        <is>
          <t>Senior Financial Analyst</t>
        </is>
      </c>
      <c r="CJ24" s="53" t="inlineStr">
        <is>
          <t>L4 – Senior</t>
        </is>
      </c>
      <c r="CK24" s="53" t="inlineStr">
        <is>
          <t>Jinesh Kumar S</t>
        </is>
      </c>
      <c r="CL24" s="53" t="inlineStr">
        <is>
          <t>N-7</t>
        </is>
      </c>
      <c r="CM24" s="53" t="inlineStr">
        <is>
          <t>Individual Contributor</t>
        </is>
      </c>
      <c r="CN24" s="53" t="inlineStr">
        <is>
          <t>Regtech</t>
        </is>
      </c>
      <c r="CO24" s="53" t="inlineStr">
        <is>
          <t>Services</t>
        </is>
      </c>
      <c r="CP24" s="53" t="inlineStr">
        <is>
          <t>18 years, 7 months, 15 days</t>
        </is>
      </c>
      <c r="CQ24" s="53" t="inlineStr">
        <is>
          <t>Senior Services Specialst</t>
        </is>
      </c>
      <c r="CR24" s="53" t="n"/>
      <c r="CS24" s="53" t="n">
        <v>3</v>
      </c>
      <c r="CT24" s="53" t="inlineStr">
        <is>
          <t>Medium</t>
        </is>
      </c>
      <c r="CU24" s="53" t="inlineStr">
        <is>
          <t>Core Contributor</t>
        </is>
      </c>
      <c r="CV24" s="53" t="inlineStr">
        <is>
          <t>No</t>
        </is>
      </c>
      <c r="CW24" s="53" t="inlineStr">
        <is>
          <t>No</t>
        </is>
      </c>
      <c r="CX24" s="53" t="inlineStr">
        <is>
          <t>Yes</t>
        </is>
      </c>
      <c r="CY24" s="53" t="n"/>
      <c r="CZ24" s="53" t="n"/>
      <c r="DA24" s="53" t="n"/>
      <c r="DB24" s="53" t="inlineStr">
        <is>
          <t>Title to be standardized to: Senior Services Specialist</t>
        </is>
      </c>
      <c r="DC24" s="53" t="n"/>
      <c r="DD24" s="53" t="n"/>
      <c r="DE24" s="53" t="n"/>
      <c r="DF24" s="53" t="n"/>
      <c r="DG24" s="53" t="n"/>
      <c r="DH24" s="53" t="n"/>
      <c r="DI24" s="53" t="n"/>
      <c r="DJ24" s="53" t="n"/>
      <c r="DK24" s="53" t="n"/>
      <c r="DL24" s="53" t="n"/>
      <c r="DM24" s="53" t="n"/>
      <c r="DN24" s="53" t="n"/>
      <c r="DO24" s="53" t="n"/>
      <c r="DP24" s="53" t="n"/>
      <c r="DQ24" s="53" t="n"/>
      <c r="DR24" s="53" t="n"/>
      <c r="DS24" s="53" t="n"/>
      <c r="DT24" s="53" t="n"/>
      <c r="DU24" s="53" t="n"/>
      <c r="DV24" s="53" t="n"/>
      <c r="DW24" s="53" t="n"/>
      <c r="DX24" s="53" t="n"/>
      <c r="DY24" s="53" t="n"/>
      <c r="DZ24" s="53" t="n"/>
      <c r="EA24" s="53" t="n"/>
      <c r="EB24" s="53" t="n"/>
      <c r="EC24" s="53" t="n"/>
      <c r="ED24" s="53" t="n"/>
      <c r="EE24" s="53" t="n"/>
      <c r="EF24" s="53" t="n"/>
      <c r="EG24" s="53" t="n"/>
      <c r="EH24" s="53" t="n"/>
      <c r="EI24" s="53" t="n"/>
      <c r="EJ24" s="53" t="n"/>
      <c r="EK24" s="53" t="n"/>
      <c r="EL24" s="53" t="n"/>
      <c r="EM24" s="53" t="n"/>
      <c r="EN24" s="53" t="n"/>
      <c r="EO24" s="53" t="n"/>
      <c r="EP24" s="53" t="n"/>
      <c r="EQ24" s="53" t="n"/>
      <c r="ER24" s="53" t="n"/>
      <c r="ES24" s="53" t="n"/>
      <c r="ET24" s="53" t="n"/>
      <c r="EU24" s="53" t="n"/>
      <c r="EV24" s="53" t="n"/>
      <c r="EW24" s="52" t="n"/>
      <c r="EX24" s="53" t="inlineStr">
        <is>
          <t>• Role / sub-team: XBRL Tagging and QC in US Service Team.</t>
        </is>
      </c>
      <c r="EY24" s="53" t="inlineStr">
        <is>
          <t>• Key responsibilities include: Mail Monitoring XBRL Tagging QC Validation Test Filing and Live Filing Attending the Client Query.
• Reported deliverables and outcomes include: Work is handed over to the Shift Lead for reallocation; completed files are emailed to the client and CEM.</t>
        </is>
      </c>
      <c r="EZ24" s="53" t="inlineStr">
        <is>
          <t>• Current capabilities: Good relation with team M; Tools / software used: Both.</t>
        </is>
      </c>
      <c r="FA24" s="53" t="inlineStr">
        <is>
          <t>• Development priorities: No input received.
• Learning and Development Need: Shift management.</t>
        </is>
      </c>
      <c r="FB24" s="53" t="inlineStr">
        <is>
          <t>• Key challenges: System issue.
• Support required: No input received.</t>
        </is>
      </c>
      <c r="FC24" s="53" t="n"/>
      <c r="FD24" s="53" t="n"/>
      <c r="FE24"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FF24" s="56" t="n"/>
      <c r="FG24" s="56" t="n"/>
      <c r="FH24" s="56" t="n"/>
      <c r="FI24" s="56" t="n"/>
      <c r="FJ24" s="56" t="inlineStr">
        <is>
          <t>Received · manager annual</t>
        </is>
      </c>
      <c r="FK24" s="56" t="inlineStr">
        <is>
          <t>CARBON Mapping Master</t>
        </is>
      </c>
      <c r="FL24" s="56" t="n">
        <v>19</v>
      </c>
      <c r="FM24" s="56" t="inlineStr">
        <is>
          <t>• Role / sub-team: XBRL Tagging and QC in US Service Team.</t>
        </is>
      </c>
      <c r="FN24" s="56" t="inlineStr">
        <is>
          <t>• Key responsibilities include: Mail Monitoring XBRL Tagging QC Validation Test Filing and Live Filing Attending the Client Query.
• Reported deliverables and outcomes include: Work is handed over to the Shift Lead for reallocation; completed files are emailed to the client and CEM.</t>
        </is>
      </c>
      <c r="FO24" s="56" t="inlineStr">
        <is>
          <t>• Current capabilities: Good relation with team M; Tools / software used: Both.</t>
        </is>
      </c>
      <c r="FP24" s="56" t="inlineStr">
        <is>
          <t>• Development priorities: No input received.
• Learning and Development Need: Shift management.</t>
        </is>
      </c>
      <c r="FQ24" s="56" t="inlineStr">
        <is>
          <t>• Key challenges: System issue.
• Support required: No input received.</t>
        </is>
      </c>
      <c r="FR24" s="56" t="inlineStr">
        <is>
          <t>Complexity: Evidence reads like A3: Prepares, tags and QCs documents and files different US SEC form types → matches the start
Autonomy: Evidence reads like A2: No decisions stated; follows US mandate process, work reallocated via shift lead → moved down 0.5
Accountability: Evidence reads like A2: Accuracy and timeliness of own assigned tagging, QC and filing activities → moved down 0.5
Leadership: Evidence reads like A1: No guiding or leading of others described → moved down 0.5
Business Impact: Moved +0.5: the survey / manager mapping marks it business-critical.</t>
        </is>
      </c>
      <c r="FS24" s="56"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FT24" s="56" t="inlineStr">
        <is>
          <t>Self-identified: Testing &amp; quality · Domain, regulatory &amp; XBRL · Broader exposure &amp; ownership
For the next role: Testing &amp; quality · Domain, regulatory &amp; XBRL · Broader exposure &amp; ownership</t>
        </is>
      </c>
      <c r="FU24" s="56" t="inlineStr">
        <is>
          <t>Per-person summary · CARBON Mapping Master</t>
        </is>
      </c>
    </row>
    <row r="25" ht="90" customHeight="1">
      <c r="A25" s="51" t="inlineStr">
        <is>
          <t>◂ Back</t>
        </is>
      </c>
      <c r="B25" s="29" t="inlineStr">
        <is>
          <t>Mapped</t>
        </is>
      </c>
      <c r="C25" s="28" t="inlineStr">
        <is>
          <t>CARBON</t>
        </is>
      </c>
      <c r="D25" s="29" t="inlineStr">
        <is>
          <t>IRIS0830</t>
        </is>
      </c>
      <c r="E25" s="29" t="inlineStr">
        <is>
          <t>Bhavik Raparka</t>
        </is>
      </c>
      <c r="F25" s="29" t="inlineStr">
        <is>
          <t>Services</t>
        </is>
      </c>
      <c r="G25" s="29" t="inlineStr">
        <is>
          <t>Senior Financial Analyst</t>
        </is>
      </c>
      <c r="H25" s="29" t="inlineStr">
        <is>
          <t>Senior Financial Analyst</t>
        </is>
      </c>
      <c r="I25" s="29" t="inlineStr">
        <is>
          <t>L4 – Senior</t>
        </is>
      </c>
      <c r="J25" s="29" t="inlineStr">
        <is>
          <t>A3</t>
        </is>
      </c>
      <c r="K25" s="29" t="inlineStr">
        <is>
          <t>• Same level</t>
        </is>
      </c>
      <c r="L25" s="29" t="inlineStr">
        <is>
          <t>Consulting &amp; Professional Services</t>
        </is>
      </c>
      <c r="M25" s="29" t="inlineStr">
        <is>
          <t>XBRL Tagging, Conversion &amp; Filing</t>
        </is>
      </c>
      <c r="N25" s="29" t="n"/>
      <c r="O25" s="29" t="n">
        <v>20</v>
      </c>
      <c r="P25" s="28" t="inlineStr">
        <is>
          <t>P2</t>
        </is>
      </c>
      <c r="Q25" s="29" t="inlineStr">
        <is>
          <t>Developing</t>
        </is>
      </c>
      <c r="R25" s="29" t="inlineStr">
        <is>
          <t>3 Apply</t>
        </is>
      </c>
      <c r="S25" s="29" t="inlineStr">
        <is>
          <t>2–4 yrs</t>
        </is>
      </c>
      <c r="T25" s="29" t="inlineStr">
        <is>
          <t>3–5 · 2–5</t>
        </is>
      </c>
      <c r="U25" s="29" t="inlineStr">
        <is>
          <t>Senior Analyst / Associate</t>
        </is>
      </c>
      <c r="V25" s="29" t="inlineStr">
        <is>
          <t>DataTracks: Senior Associate · 2–5 yrs · Big Four: Consultant · IRIS Vs Market Benchmark — XBRL US credential pathway: XBRL US GAAP Certificate</t>
        </is>
      </c>
      <c r="W25" s="29" t="inlineStr">
        <is>
          <t>XBRL US GAAP Certificate · AICPA &amp; XBRL US; XBRL International specifications; IFRS / US GAAP / Ind AS</t>
        </is>
      </c>
      <c r="X25" s="29" t="inlineStr">
        <is>
          <t>Core 2 · Future 2 · Functional 3 · Leadership not scored</t>
        </is>
      </c>
      <c r="Y25" s="52" t="n">
        <v>95</v>
      </c>
      <c r="Z25" s="53" t="inlineStr">
        <is>
          <t>IRIS0830</t>
        </is>
      </c>
      <c r="AA25" s="53" t="inlineStr">
        <is>
          <t>Employee</t>
        </is>
      </c>
      <c r="AB25" s="53" t="inlineStr">
        <is>
          <t>Active</t>
        </is>
      </c>
      <c r="AC25" s="53" t="inlineStr">
        <is>
          <t>Bhavik Raparka</t>
        </is>
      </c>
      <c r="AD25" s="54" t="n">
        <v>40777</v>
      </c>
      <c r="AE25" s="53" t="inlineStr">
        <is>
          <t>Senior Financial Analyst</t>
        </is>
      </c>
      <c r="AF25" s="53" t="inlineStr">
        <is>
          <t>B.Com</t>
        </is>
      </c>
      <c r="AG25" s="53" t="inlineStr">
        <is>
          <t>Jinesh Kumar S</t>
        </is>
      </c>
      <c r="AH25" s="53" t="inlineStr">
        <is>
          <t>N-7</t>
        </is>
      </c>
      <c r="AI25" s="53" t="inlineStr">
        <is>
          <t>Individual Contributor</t>
        </is>
      </c>
      <c r="AJ25" s="53" t="inlineStr">
        <is>
          <t>0 years, 0 months, 0 days</t>
        </is>
      </c>
      <c r="AK25" s="53" t="inlineStr">
        <is>
          <t>15 years, 0 months, 3 days</t>
        </is>
      </c>
      <c r="AL25" s="53" t="inlineStr">
        <is>
          <t>Regtech</t>
        </is>
      </c>
      <c r="AM25" s="53" t="inlineStr">
        <is>
          <t>CARBON</t>
        </is>
      </c>
      <c r="AN25" s="53" t="inlineStr">
        <is>
          <t>Services</t>
        </is>
      </c>
      <c r="AO25" s="53" t="inlineStr">
        <is>
          <t>Expert Assisted services</t>
        </is>
      </c>
      <c r="AP25" s="53" t="inlineStr">
        <is>
          <t>No</t>
        </is>
      </c>
      <c r="AQ25" s="53" t="inlineStr">
        <is>
          <t>Professional Services</t>
        </is>
      </c>
      <c r="AR25" s="53" t="inlineStr">
        <is>
          <t>XBRL Domain</t>
        </is>
      </c>
      <c r="AS25" s="53" t="inlineStr">
        <is>
          <t>Non-technical</t>
        </is>
      </c>
      <c r="AT25" s="53" t="n">
        <v>20</v>
      </c>
      <c r="AU25" s="53" t="inlineStr">
        <is>
          <t>Covered</t>
        </is>
      </c>
      <c r="AV25" s="53" t="inlineStr">
        <is>
          <t>IRIS0830</t>
        </is>
      </c>
      <c r="AW25" s="53" t="inlineStr">
        <is>
          <t>Bhavik Raparka</t>
        </is>
      </c>
      <c r="AX25" s="53" t="inlineStr">
        <is>
          <t>Services</t>
        </is>
      </c>
      <c r="AY25" s="53" t="inlineStr">
        <is>
          <t>Professional Services</t>
        </is>
      </c>
      <c r="AZ25" s="53" t="inlineStr">
        <is>
          <t>XBRL / Regulatory Reporting</t>
        </is>
      </c>
      <c r="BA25" s="53" t="n"/>
      <c r="BB25" s="53" t="n"/>
      <c r="BC25" s="53" t="inlineStr">
        <is>
          <t>Employee</t>
        </is>
      </c>
      <c r="BD25" s="53" t="inlineStr">
        <is>
          <t>Jinesh Kumar S</t>
        </is>
      </c>
      <c r="BE25" s="53" t="inlineStr">
        <is>
          <t>Jinesh Kumar S</t>
        </is>
      </c>
      <c r="BF25" s="53" t="inlineStr">
        <is>
          <t>No</t>
        </is>
      </c>
      <c r="BG25" s="53" t="inlineStr">
        <is>
          <t>Senior Financial Analyst</t>
        </is>
      </c>
      <c r="BH25" s="53" t="inlineStr">
        <is>
          <t>Senior Services Specialist</t>
        </is>
      </c>
      <c r="BI25" s="53" t="inlineStr">
        <is>
          <t>Yes</t>
        </is>
      </c>
      <c r="BJ25" s="53" t="inlineStr">
        <is>
          <t>—</t>
        </is>
      </c>
      <c r="BK25" s="53" t="inlineStr">
        <is>
          <t>—</t>
        </is>
      </c>
      <c r="BL25" s="53" t="inlineStr">
        <is>
          <t>—</t>
        </is>
      </c>
      <c r="BM25" s="53" t="inlineStr">
        <is>
          <t>Not a manager</t>
        </is>
      </c>
      <c r="BN25" s="53" t="inlineStr">
        <is>
          <t>—</t>
        </is>
      </c>
      <c r="BO25" s="53" t="inlineStr">
        <is>
          <t>—</t>
        </is>
      </c>
      <c r="BP25" s="53" t="inlineStr">
        <is>
          <t>—</t>
        </is>
      </c>
      <c r="BQ25" s="53" t="inlineStr">
        <is>
          <t>Not a manager</t>
        </is>
      </c>
      <c r="BR25" s="53" t="inlineStr">
        <is>
          <t>—</t>
        </is>
      </c>
      <c r="BS25" s="53" t="inlineStr">
        <is>
          <t>L4 – Senior</t>
        </is>
      </c>
      <c r="BT25" s="53" t="inlineStr">
        <is>
          <t>L4 – Senior</t>
        </is>
      </c>
      <c r="BU25" s="53" t="inlineStr">
        <is>
          <t>Designation refined from Raw tab Comments column · this update</t>
        </is>
      </c>
      <c r="BV25"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W25" s="53" t="n"/>
      <c r="BX25" s="53" t="inlineStr">
        <is>
          <t>South Africa - CIPC; Nigeria - CBN; USA - SEC.</t>
        </is>
      </c>
      <c r="BY25" s="53" t="n"/>
      <c r="BZ25" s="53" t="inlineStr">
        <is>
          <t>IRIS0830</t>
        </is>
      </c>
      <c r="CA25" s="53" t="inlineStr">
        <is>
          <t>Employee</t>
        </is>
      </c>
      <c r="CB25" s="53" t="inlineStr">
        <is>
          <t>Active</t>
        </is>
      </c>
      <c r="CC25" s="53" t="inlineStr">
        <is>
          <t>Bhavik Raparka</t>
        </is>
      </c>
      <c r="CD25" s="54" t="n">
        <v>40777</v>
      </c>
      <c r="CE25" s="53" t="inlineStr">
        <is>
          <t>Senior Financial Analyst</t>
        </is>
      </c>
      <c r="CF25" s="53" t="n"/>
      <c r="CG25" s="53" t="inlineStr">
        <is>
          <t>Professional Services</t>
        </is>
      </c>
      <c r="CH25" s="53" t="inlineStr">
        <is>
          <t>XBRL / Regulatory Reporting</t>
        </is>
      </c>
      <c r="CI25" s="53" t="inlineStr">
        <is>
          <t>Senior Financial Analyst</t>
        </is>
      </c>
      <c r="CJ25" s="53" t="inlineStr">
        <is>
          <t>L4 – Senior</t>
        </is>
      </c>
      <c r="CK25" s="53" t="inlineStr">
        <is>
          <t>Jinesh Kumar S</t>
        </is>
      </c>
      <c r="CL25" s="53" t="inlineStr">
        <is>
          <t>N-7</t>
        </is>
      </c>
      <c r="CM25" s="53" t="inlineStr">
        <is>
          <t>Individual Contributor</t>
        </is>
      </c>
      <c r="CN25" s="53" t="inlineStr">
        <is>
          <t>Regtech</t>
        </is>
      </c>
      <c r="CO25" s="53" t="inlineStr">
        <is>
          <t>Services</t>
        </is>
      </c>
      <c r="CP25" s="53" t="inlineStr">
        <is>
          <t>14 years, 9 months, 29 days</t>
        </is>
      </c>
      <c r="CQ25" s="53" t="inlineStr">
        <is>
          <t>Senior Services Specialst</t>
        </is>
      </c>
      <c r="CR25" s="53" t="n"/>
      <c r="CS25" s="53" t="n">
        <v>3</v>
      </c>
      <c r="CT25" s="53" t="inlineStr">
        <is>
          <t>Medium</t>
        </is>
      </c>
      <c r="CU25" s="53" t="inlineStr">
        <is>
          <t>Core Contributor</t>
        </is>
      </c>
      <c r="CV25" s="53" t="inlineStr">
        <is>
          <t>No</t>
        </is>
      </c>
      <c r="CW25" s="53" t="inlineStr">
        <is>
          <t>No</t>
        </is>
      </c>
      <c r="CX25" s="53" t="inlineStr">
        <is>
          <t>Yes</t>
        </is>
      </c>
      <c r="CY25" s="53" t="n"/>
      <c r="CZ25" s="53" t="n"/>
      <c r="DA25" s="53" t="n"/>
      <c r="DB25" s="53" t="inlineStr">
        <is>
          <t>Title to be standardized to: Senior Services Specialist</t>
        </is>
      </c>
      <c r="DC25" s="53" t="n"/>
      <c r="DD25" s="53" t="n"/>
      <c r="DE25" s="53" t="n"/>
      <c r="DF25" s="53" t="n"/>
      <c r="DG25" s="53" t="n"/>
      <c r="DH25" s="53" t="n"/>
      <c r="DI25" s="53" t="n"/>
      <c r="DJ25" s="53" t="n"/>
      <c r="DK25" s="53" t="n"/>
      <c r="DL25" s="53" t="n"/>
      <c r="DM25" s="53" t="n"/>
      <c r="DN25" s="53" t="n"/>
      <c r="DO25" s="53" t="n"/>
      <c r="DP25" s="53" t="n"/>
      <c r="DQ25" s="53" t="n"/>
      <c r="DR25" s="53" t="n"/>
      <c r="DS25" s="53" t="n"/>
      <c r="DT25" s="53" t="n"/>
      <c r="DU25" s="53" t="n"/>
      <c r="DV25" s="53" t="n"/>
      <c r="DW25" s="53" t="n"/>
      <c r="DX25" s="53" t="n"/>
      <c r="DY25" s="53" t="n"/>
      <c r="DZ25" s="53" t="n"/>
      <c r="EA25" s="53" t="n"/>
      <c r="EB25" s="53" t="n"/>
      <c r="EC25" s="53" t="n"/>
      <c r="ED25" s="53" t="n"/>
      <c r="EE25" s="53" t="n"/>
      <c r="EF25" s="53" t="n"/>
      <c r="EG25" s="53" t="n"/>
      <c r="EH25" s="53" t="n"/>
      <c r="EI25" s="53" t="n"/>
      <c r="EJ25" s="53" t="n"/>
      <c r="EK25" s="53" t="n"/>
      <c r="EL25" s="53" t="n"/>
      <c r="EM25" s="53" t="n"/>
      <c r="EN25" s="53" t="n"/>
      <c r="EO25" s="53" t="n"/>
      <c r="EP25" s="53" t="n"/>
      <c r="EQ25" s="53" t="n"/>
      <c r="ER25" s="53" t="n"/>
      <c r="ES25" s="53" t="n"/>
      <c r="ET25" s="53" t="n"/>
      <c r="EU25" s="53" t="n"/>
      <c r="EV25" s="53" t="n"/>
      <c r="EW25" s="52" t="n"/>
      <c r="EX25" s="53" t="inlineStr">
        <is>
          <t>• Role / sub-team: XBRL Tagging &amp; QC in US Service Team.</t>
        </is>
      </c>
      <c r="EY25" s="53" t="inlineStr">
        <is>
          <t>• Key responsibilities include: Mail Monitor, Tagging, QC, Validation, Test and Live Filing. Review assigned work and priorities. Identify and correct tagging errors.
• Reported deliverables and outcomes include: Informed to shift lead and give hand over to next shift person.</t>
        </is>
      </c>
      <c r="EZ25" s="53" t="inlineStr">
        <is>
          <t>• Current capabilities: Staying calm under pressu; Tools / software used: Both.</t>
        </is>
      </c>
      <c r="FA25" s="53" t="inlineStr">
        <is>
          <t>• Development priorities: No input received.
• Learning and Development Need: Productivity skill.</t>
        </is>
      </c>
      <c r="FB25" s="53" t="inlineStr">
        <is>
          <t>• Key challenges: Tool issue and remote des.
• Support required: No input received.</t>
        </is>
      </c>
      <c r="FC25" s="53" t="n"/>
      <c r="FD25" s="53" t="n"/>
      <c r="FE25"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FF25" s="56" t="n"/>
      <c r="FG25" s="56" t="n"/>
      <c r="FH25" s="56" t="n"/>
      <c r="FI25" s="56" t="n"/>
      <c r="FJ25" s="56" t="inlineStr">
        <is>
          <t>Received · manager annual</t>
        </is>
      </c>
      <c r="FK25" s="56" t="inlineStr">
        <is>
          <t>CARBON Mapping Master</t>
        </is>
      </c>
      <c r="FL25" s="56" t="n">
        <v>20</v>
      </c>
      <c r="FM25" s="56" t="inlineStr">
        <is>
          <t>• Role / sub-team: XBRL Tagging &amp; QC in US Service Team.</t>
        </is>
      </c>
      <c r="FN25" s="56" t="inlineStr">
        <is>
          <t>• Key responsibilities include: Mail Monitor, Tagging, QC, Validation, Test and Live Filing. Review assigned work and priorities. Identify and correct tagging errors.
• Reported deliverables and outcomes include: Informed to shift lead and give hand over to next shift person.</t>
        </is>
      </c>
      <c r="FO25" s="56" t="inlineStr">
        <is>
          <t>• Current capabilities: Staying calm under pressu; Tools / software used: Both.</t>
        </is>
      </c>
      <c r="FP25" s="56" t="inlineStr">
        <is>
          <t>• Development priorities: No input received.
• Learning and Development Need: Productivity skill.</t>
        </is>
      </c>
      <c r="FQ25" s="56" t="inlineStr">
        <is>
          <t>• Key challenges: Tool issue and remote des.
• Support required: No input received.</t>
        </is>
      </c>
      <c r="FR25" s="56" t="inlineStr">
        <is>
          <t>Complexity: Evidence reads like A3: Tagging, QC reviews and form filings for US mandate; resolves routine issues by guidelines → matches the start
Autonomy: Evidence reads like A2: Prioritises own workload, resolves routine issues; escalates complex or unfamiliar situations → moved down 0.5
Accountability: Evidence reads like A2: Accuracy and timeliness of own assigned tagging, QC and filing activities → moved down 0.5
Leadership: Evidence reads like A1: No guiding or leading of others described → moved down 0.5
Business Impact: Moved +0.5: the survey / manager mapping marks it business-critical.</t>
        </is>
      </c>
      <c r="FS25" s="56"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FT25" s="56" t="inlineStr">
        <is>
          <t>Self-identified: Testing &amp; quality · Domain, regulatory &amp; XBRL · Broader exposure &amp; ownership
For the next role: Testing &amp; quality · Domain, regulatory &amp; XBRL · Client, sales &amp; stakeholders · Communication &amp; presentation · Broader exposure &amp; ownership</t>
        </is>
      </c>
      <c r="FU25" s="56" t="inlineStr">
        <is>
          <t>Per-person summary · CARBON Mapping Master</t>
        </is>
      </c>
    </row>
    <row r="26" ht="90" customHeight="1">
      <c r="A26" s="51" t="inlineStr">
        <is>
          <t>◂ Back</t>
        </is>
      </c>
      <c r="B26" s="29" t="inlineStr">
        <is>
          <t>Mapped</t>
        </is>
      </c>
      <c r="C26" s="28" t="inlineStr">
        <is>
          <t>CARBON</t>
        </is>
      </c>
      <c r="D26" s="29" t="inlineStr">
        <is>
          <t>IRIS1124</t>
        </is>
      </c>
      <c r="E26" s="29" t="inlineStr">
        <is>
          <t>Kamlesh Bomble</t>
        </is>
      </c>
      <c r="F26" s="29" t="inlineStr">
        <is>
          <t>Services</t>
        </is>
      </c>
      <c r="G26" s="29" t="inlineStr">
        <is>
          <t>Senior Financial Analyst</t>
        </is>
      </c>
      <c r="H26" s="29" t="inlineStr">
        <is>
          <t>Senior Financial Analyst</t>
        </is>
      </c>
      <c r="I26" s="29" t="inlineStr">
        <is>
          <t>L4 – Senior</t>
        </is>
      </c>
      <c r="J26" s="29" t="inlineStr">
        <is>
          <t>A3</t>
        </is>
      </c>
      <c r="K26" s="29" t="inlineStr">
        <is>
          <t>• Same level</t>
        </is>
      </c>
      <c r="L26" s="29" t="inlineStr">
        <is>
          <t>Consulting &amp; Professional Services</t>
        </is>
      </c>
      <c r="M26" s="29" t="inlineStr">
        <is>
          <t>XBRL Tagging, Conversion &amp; Filing</t>
        </is>
      </c>
      <c r="N26" s="29" t="n"/>
      <c r="O26" s="29" t="n">
        <v>20</v>
      </c>
      <c r="P26" s="28" t="inlineStr">
        <is>
          <t>P2</t>
        </is>
      </c>
      <c r="Q26" s="29" t="inlineStr">
        <is>
          <t>Developing</t>
        </is>
      </c>
      <c r="R26" s="29" t="inlineStr">
        <is>
          <t>3 Apply</t>
        </is>
      </c>
      <c r="S26" s="29" t="inlineStr">
        <is>
          <t>2–4 yrs</t>
        </is>
      </c>
      <c r="T26" s="29" t="inlineStr">
        <is>
          <t>3–5 · 2–5</t>
        </is>
      </c>
      <c r="U26" s="29" t="inlineStr">
        <is>
          <t>Senior Analyst / Associate</t>
        </is>
      </c>
      <c r="V26" s="29" t="inlineStr">
        <is>
          <t>DataTracks: Senior Associate · 2–5 yrs · Big Four: Consultant · IRIS Vs Market Benchmark — XBRL US credential pathway: XBRL US GAAP Certificate</t>
        </is>
      </c>
      <c r="W26" s="29" t="inlineStr">
        <is>
          <t>XBRL US GAAP Certificate · AICPA &amp; XBRL US; XBRL International specifications; IFRS / US GAAP / Ind AS</t>
        </is>
      </c>
      <c r="X26" s="29" t="inlineStr">
        <is>
          <t>Core 2 · Future 2 · Functional 3 · Leadership not scored</t>
        </is>
      </c>
      <c r="Y26" s="52" t="n">
        <v>107</v>
      </c>
      <c r="Z26" s="53" t="inlineStr">
        <is>
          <t>IRIS1124</t>
        </is>
      </c>
      <c r="AA26" s="53" t="inlineStr">
        <is>
          <t>Employee</t>
        </is>
      </c>
      <c r="AB26" s="53" t="inlineStr">
        <is>
          <t>Active</t>
        </is>
      </c>
      <c r="AC26" s="53" t="inlineStr">
        <is>
          <t>Kamlesh Bomble</t>
        </is>
      </c>
      <c r="AD26" s="54" t="n">
        <v>41036</v>
      </c>
      <c r="AE26" s="53" t="inlineStr">
        <is>
          <t>Senior Financial Analyst</t>
        </is>
      </c>
      <c r="AF26" s="53" t="inlineStr">
        <is>
          <t>B.Com</t>
        </is>
      </c>
      <c r="AG26" s="53" t="inlineStr">
        <is>
          <t>Jinesh Kumar S</t>
        </is>
      </c>
      <c r="AH26" s="53" t="inlineStr">
        <is>
          <t>N-7</t>
        </is>
      </c>
      <c r="AI26" s="53" t="inlineStr">
        <is>
          <t>Individual Contributor</t>
        </is>
      </c>
      <c r="AJ26" s="53" t="inlineStr">
        <is>
          <t>0 years, 0 months, 0 days</t>
        </is>
      </c>
      <c r="AK26" s="53" t="inlineStr">
        <is>
          <t>14 years, 3 months, 18 days</t>
        </is>
      </c>
      <c r="AL26" s="53" t="inlineStr">
        <is>
          <t>Regtech</t>
        </is>
      </c>
      <c r="AM26" s="53" t="inlineStr">
        <is>
          <t>CARBON</t>
        </is>
      </c>
      <c r="AN26" s="53" t="inlineStr">
        <is>
          <t>Services</t>
        </is>
      </c>
      <c r="AO26" s="53" t="inlineStr">
        <is>
          <t>Expert Assisted services</t>
        </is>
      </c>
      <c r="AP26" s="53" t="inlineStr">
        <is>
          <t>No</t>
        </is>
      </c>
      <c r="AQ26" s="53" t="inlineStr">
        <is>
          <t>Professional Services</t>
        </is>
      </c>
      <c r="AR26" s="53" t="inlineStr">
        <is>
          <t>XBRL Domain</t>
        </is>
      </c>
      <c r="AS26" s="53" t="inlineStr">
        <is>
          <t>Non-technical</t>
        </is>
      </c>
      <c r="AT26" s="53" t="n">
        <v>20</v>
      </c>
      <c r="AU26" s="53" t="inlineStr">
        <is>
          <t>Covered</t>
        </is>
      </c>
      <c r="AV26" s="53" t="inlineStr">
        <is>
          <t>IRIS1124</t>
        </is>
      </c>
      <c r="AW26" s="53" t="inlineStr">
        <is>
          <t>Kamlesh Bomble</t>
        </is>
      </c>
      <c r="AX26" s="53" t="inlineStr">
        <is>
          <t>Services</t>
        </is>
      </c>
      <c r="AY26" s="53" t="inlineStr">
        <is>
          <t>Professional Services</t>
        </is>
      </c>
      <c r="AZ26" s="53" t="inlineStr">
        <is>
          <t>XBRL / Regulatory Reporting</t>
        </is>
      </c>
      <c r="BA26" s="53" t="n"/>
      <c r="BB26" s="53" t="n"/>
      <c r="BC26" s="53" t="inlineStr">
        <is>
          <t>Employee</t>
        </is>
      </c>
      <c r="BD26" s="53" t="inlineStr">
        <is>
          <t>Jinesh Kumar S</t>
        </is>
      </c>
      <c r="BE26" s="53" t="inlineStr">
        <is>
          <t>Jinesh Kumar S</t>
        </is>
      </c>
      <c r="BF26" s="53" t="inlineStr">
        <is>
          <t>No</t>
        </is>
      </c>
      <c r="BG26" s="53" t="inlineStr">
        <is>
          <t>Senior Financial Analyst</t>
        </is>
      </c>
      <c r="BH26" s="53" t="inlineStr">
        <is>
          <t>Senior Services Specialist</t>
        </is>
      </c>
      <c r="BI26" s="53" t="inlineStr">
        <is>
          <t>Yes</t>
        </is>
      </c>
      <c r="BJ26" s="53" t="inlineStr">
        <is>
          <t>—</t>
        </is>
      </c>
      <c r="BK26" s="53" t="inlineStr">
        <is>
          <t>—</t>
        </is>
      </c>
      <c r="BL26" s="53" t="inlineStr">
        <is>
          <t>—</t>
        </is>
      </c>
      <c r="BM26" s="53" t="inlineStr">
        <is>
          <t>Not a manager</t>
        </is>
      </c>
      <c r="BN26" s="53" t="inlineStr">
        <is>
          <t>—</t>
        </is>
      </c>
      <c r="BO26" s="53" t="inlineStr">
        <is>
          <t>—</t>
        </is>
      </c>
      <c r="BP26" s="53" t="inlineStr">
        <is>
          <t>—</t>
        </is>
      </c>
      <c r="BQ26" s="53" t="inlineStr">
        <is>
          <t>Not a manager</t>
        </is>
      </c>
      <c r="BR26" s="53" t="inlineStr">
        <is>
          <t>—</t>
        </is>
      </c>
      <c r="BS26" s="53" t="inlineStr">
        <is>
          <t>L4 – Senior</t>
        </is>
      </c>
      <c r="BT26" s="53" t="inlineStr">
        <is>
          <t>L4 – Senior</t>
        </is>
      </c>
      <c r="BU26" s="53" t="inlineStr">
        <is>
          <t>Designation refined from Raw tab Comments column · this update</t>
        </is>
      </c>
      <c r="BV26"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W26" s="53" t="n"/>
      <c r="BX26" s="53" t="inlineStr">
        <is>
          <t>USA - SEC.</t>
        </is>
      </c>
      <c r="BY26" s="53" t="n"/>
      <c r="BZ26" s="53" t="inlineStr">
        <is>
          <t>IRIS1124</t>
        </is>
      </c>
      <c r="CA26" s="53" t="inlineStr">
        <is>
          <t>Employee</t>
        </is>
      </c>
      <c r="CB26" s="53" t="inlineStr">
        <is>
          <t>Active</t>
        </is>
      </c>
      <c r="CC26" s="53" t="inlineStr">
        <is>
          <t>Kamlesh Bomble</t>
        </is>
      </c>
      <c r="CD26" s="54" t="n">
        <v>41036</v>
      </c>
      <c r="CE26" s="53" t="inlineStr">
        <is>
          <t>Senior Financial Analyst</t>
        </is>
      </c>
      <c r="CF26" s="53" t="n"/>
      <c r="CG26" s="53" t="inlineStr">
        <is>
          <t>Professional Services</t>
        </is>
      </c>
      <c r="CH26" s="53" t="inlineStr">
        <is>
          <t>XBRL / Regulatory Reporting</t>
        </is>
      </c>
      <c r="CI26" s="53" t="inlineStr">
        <is>
          <t>Senior Financial Analyst</t>
        </is>
      </c>
      <c r="CJ26" s="53" t="inlineStr">
        <is>
          <t>L4 – Senior</t>
        </is>
      </c>
      <c r="CK26" s="53" t="inlineStr">
        <is>
          <t>Jinesh Kumar S</t>
        </is>
      </c>
      <c r="CL26" s="53" t="inlineStr">
        <is>
          <t>N-7</t>
        </is>
      </c>
      <c r="CM26" s="53" t="inlineStr">
        <is>
          <t>Individual Contributor</t>
        </is>
      </c>
      <c r="CN26" s="53" t="inlineStr">
        <is>
          <t>Regtech</t>
        </is>
      </c>
      <c r="CO26" s="53" t="inlineStr">
        <is>
          <t>Services</t>
        </is>
      </c>
      <c r="CP26" s="53" t="inlineStr">
        <is>
          <t>14 years, 1 months, 13 days</t>
        </is>
      </c>
      <c r="CQ26" s="53" t="inlineStr">
        <is>
          <t>Senior Services Specialst</t>
        </is>
      </c>
      <c r="CR26" s="53" t="n"/>
      <c r="CS26" s="53" t="n">
        <v>3</v>
      </c>
      <c r="CT26" s="53" t="inlineStr">
        <is>
          <t>Medium</t>
        </is>
      </c>
      <c r="CU26" s="53" t="inlineStr">
        <is>
          <t>Core Contributor</t>
        </is>
      </c>
      <c r="CV26" s="53" t="inlineStr">
        <is>
          <t>No</t>
        </is>
      </c>
      <c r="CW26" s="53" t="inlineStr">
        <is>
          <t>No</t>
        </is>
      </c>
      <c r="CX26" s="53" t="inlineStr">
        <is>
          <t>Yes</t>
        </is>
      </c>
      <c r="CY26" s="53" t="n"/>
      <c r="CZ26" s="53" t="n"/>
      <c r="DA26" s="53" t="n"/>
      <c r="DB26" s="53" t="inlineStr">
        <is>
          <t>Title to be standardized to: Senior Services Specialist</t>
        </is>
      </c>
      <c r="DC26" s="53" t="n"/>
      <c r="DD26" s="53" t="n"/>
      <c r="DE26" s="53" t="n"/>
      <c r="DF26" s="53" t="n"/>
      <c r="DG26" s="53" t="n"/>
      <c r="DH26" s="53" t="n"/>
      <c r="DI26" s="53" t="n"/>
      <c r="DJ26" s="53" t="n"/>
      <c r="DK26" s="53" t="n"/>
      <c r="DL26" s="53" t="n"/>
      <c r="DM26" s="53" t="n"/>
      <c r="DN26" s="53" t="n"/>
      <c r="DO26" s="53" t="n"/>
      <c r="DP26" s="53" t="n"/>
      <c r="DQ26" s="53" t="n"/>
      <c r="DR26" s="53" t="n"/>
      <c r="DS26" s="53" t="n"/>
      <c r="DT26" s="53" t="n"/>
      <c r="DU26" s="53" t="n"/>
      <c r="DV26" s="53" t="n"/>
      <c r="DW26" s="53" t="n"/>
      <c r="DX26" s="53" t="n"/>
      <c r="DY26" s="53" t="n"/>
      <c r="DZ26" s="53" t="n"/>
      <c r="EA26" s="53" t="n"/>
      <c r="EB26" s="53" t="n"/>
      <c r="EC26" s="53" t="n"/>
      <c r="ED26" s="53" t="n"/>
      <c r="EE26" s="53" t="n"/>
      <c r="EF26" s="53" t="n"/>
      <c r="EG26" s="53" t="n"/>
      <c r="EH26" s="53" t="n"/>
      <c r="EI26" s="53" t="n"/>
      <c r="EJ26" s="53" t="n"/>
      <c r="EK26" s="53" t="n"/>
      <c r="EL26" s="53" t="n"/>
      <c r="EM26" s="53" t="n"/>
      <c r="EN26" s="53" t="n"/>
      <c r="EO26" s="53" t="n"/>
      <c r="EP26" s="53" t="n"/>
      <c r="EQ26" s="53" t="n"/>
      <c r="ER26" s="53" t="n"/>
      <c r="ES26" s="53" t="n"/>
      <c r="ET26" s="53" t="n"/>
      <c r="EU26" s="53" t="n"/>
      <c r="EV26" s="53" t="n"/>
      <c r="EW26" s="52" t="n"/>
      <c r="EX26" s="53" t="inlineStr">
        <is>
          <t>• Role / sub-team: XBRL tagging - US SEC; XBRL Tagging &amp; Qc.</t>
        </is>
      </c>
      <c r="EY26" s="53" t="inlineStr">
        <is>
          <t>• Key responsibilities include: Tagging, and learning about process and step. Practice.
• Reported deliverables and outcomes include: Handed over to the next process, depending on the work allocated.</t>
        </is>
      </c>
      <c r="EZ26" s="53" t="inlineStr">
        <is>
          <t>• Current capabilities: Time management; Tools / software used: Both.</t>
        </is>
      </c>
      <c r="FA26" s="53" t="inlineStr">
        <is>
          <t>• Development priorities: No input received.
• Learning and Development Need: Time management.</t>
        </is>
      </c>
      <c r="FB26" s="53" t="inlineStr">
        <is>
          <t>• Key challenges: Technical issue tool issu.
• Support required: No input received.</t>
        </is>
      </c>
      <c r="FC26" s="53" t="n"/>
      <c r="FD26" s="53" t="n"/>
      <c r="FE26"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FF26" s="56" t="n"/>
      <c r="FG26" s="56" t="n"/>
      <c r="FH26" s="56" t="n"/>
      <c r="FI26" s="56" t="n"/>
      <c r="FJ26" s="56" t="inlineStr">
        <is>
          <t>Received · manager annual</t>
        </is>
      </c>
      <c r="FK26" s="56" t="inlineStr">
        <is>
          <t>CARBON Mapping Master</t>
        </is>
      </c>
      <c r="FL26" s="56" t="n">
        <v>20</v>
      </c>
      <c r="FM26" s="56" t="inlineStr">
        <is>
          <t>• Role / sub-team: XBRL tagging - US SEC; XBRL Tagging &amp; Qc.</t>
        </is>
      </c>
      <c r="FN26" s="56" t="inlineStr">
        <is>
          <t>• Key responsibilities include: Tagging, and learning about process and step. Practice.
• Reported deliverables and outcomes include: Handed over to the next process, depending on the work allocated.</t>
        </is>
      </c>
      <c r="FO26" s="56" t="inlineStr">
        <is>
          <t>• Current capabilities: Time management; Tools / software used: Both.</t>
        </is>
      </c>
      <c r="FP26" s="56" t="inlineStr">
        <is>
          <t>• Development priorities: No input received.
• Learning and Development Need: Time management.</t>
        </is>
      </c>
      <c r="FQ26" s="56" t="inlineStr">
        <is>
          <t>• Key challenges: Technical issue tool issu.
• Support required: No input received.</t>
        </is>
      </c>
      <c r="FR26" s="56" t="inlineStr">
        <is>
          <t>Complexity: Evidence reads like A2: Learning the US mandate; completes assigned tagging, QC and filing tasks for trained processes → moved down 0.5
Autonomy: Evidence reads like A2: Independent only on processes trained for; asks seniors for guidance → moved down 0.5
Accountability: Evidence reads like A2: Accuracy and timeliness of own assigned tagging, QC and filing tasks → moved down 0.5
Leadership: Evidence reads like A1: 'Team support' listed without any detail → moved down 0.5
Business Impact: Moved +0.5: the survey / manager mapping marks it business-critical.</t>
        </is>
      </c>
      <c r="FS26" s="56"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FT26" s="56" t="inlineStr">
        <is>
          <t>Self-identified: Testing &amp; quality · Domain, regulatory &amp; XBRL · Broader exposure &amp; ownership
For the next role: Testing &amp; quality · Domain, regulatory &amp; XBRL · Broader exposure &amp; ownership</t>
        </is>
      </c>
      <c r="FU26" s="56" t="inlineStr">
        <is>
          <t>Per-person summary · CARBON Mapping Master</t>
        </is>
      </c>
    </row>
    <row r="27" ht="90" customHeight="1">
      <c r="A27" s="51" t="inlineStr">
        <is>
          <t>◂ Back</t>
        </is>
      </c>
      <c r="B27" s="29" t="inlineStr">
        <is>
          <t>Mapped</t>
        </is>
      </c>
      <c r="C27" s="28" t="inlineStr">
        <is>
          <t>CARBON</t>
        </is>
      </c>
      <c r="D27" s="29" t="inlineStr">
        <is>
          <t>IRIS2328</t>
        </is>
      </c>
      <c r="E27" s="29" t="inlineStr">
        <is>
          <t>Namrata Juvekar</t>
        </is>
      </c>
      <c r="F27" s="29" t="inlineStr">
        <is>
          <t>Services</t>
        </is>
      </c>
      <c r="G27" s="29" t="inlineStr">
        <is>
          <t>Financial Analyst</t>
        </is>
      </c>
      <c r="H27" s="29" t="inlineStr">
        <is>
          <t>Senior Financial Analyst</t>
        </is>
      </c>
      <c r="I27" s="29" t="inlineStr">
        <is>
          <t>L3 – Professional / Associate</t>
        </is>
      </c>
      <c r="J27" s="29" t="inlineStr">
        <is>
          <t>A3</t>
        </is>
      </c>
      <c r="K27" s="29" t="inlineStr">
        <is>
          <t>▲ Up</t>
        </is>
      </c>
      <c r="L27" s="29" t="inlineStr">
        <is>
          <t>Consulting &amp; Professional Services</t>
        </is>
      </c>
      <c r="M27" s="29" t="inlineStr">
        <is>
          <t>XBRL Tagging, Conversion &amp; Filing</t>
        </is>
      </c>
      <c r="N27" s="29" t="inlineStr">
        <is>
          <t>• Confirm the reporting line — Manager</t>
        </is>
      </c>
      <c r="O27" s="29" t="n">
        <v>20</v>
      </c>
      <c r="P27" s="28" t="inlineStr">
        <is>
          <t>P2</t>
        </is>
      </c>
      <c r="Q27" s="29" t="inlineStr">
        <is>
          <t>Developing</t>
        </is>
      </c>
      <c r="R27" s="29" t="inlineStr">
        <is>
          <t>3 Apply</t>
        </is>
      </c>
      <c r="S27" s="29" t="inlineStr">
        <is>
          <t>2–4 yrs</t>
        </is>
      </c>
      <c r="T27" s="29" t="inlineStr">
        <is>
          <t>3–5 · 2–5</t>
        </is>
      </c>
      <c r="U27" s="29" t="inlineStr">
        <is>
          <t>Senior Analyst / Associate</t>
        </is>
      </c>
      <c r="V27" s="29" t="inlineStr">
        <is>
          <t>DataTracks: Senior Associate · 2–5 yrs · Big Four: Consultant · IRIS Vs Market Benchmark — XBRL US credential pathway: XBRL US GAAP Certificate</t>
        </is>
      </c>
      <c r="W27" s="29" t="inlineStr">
        <is>
          <t>XBRL US GAAP Certificate · AICPA &amp; XBRL US; XBRL International specifications; IFRS / US GAAP / Ind AS</t>
        </is>
      </c>
      <c r="X27" s="29" t="inlineStr">
        <is>
          <t>Core 2 · Future 2 · Functional 3 · Leadership not scored</t>
        </is>
      </c>
      <c r="Y27" s="52" t="n">
        <v>354</v>
      </c>
      <c r="Z27" s="53" t="inlineStr">
        <is>
          <t>IRIS2328</t>
        </is>
      </c>
      <c r="AA27" s="53" t="inlineStr">
        <is>
          <t>Employee</t>
        </is>
      </c>
      <c r="AB27" s="53" t="inlineStr">
        <is>
          <t>Active</t>
        </is>
      </c>
      <c r="AC27" s="53" t="inlineStr">
        <is>
          <t>Namrata Juvekar</t>
        </is>
      </c>
      <c r="AD27" s="54" t="n">
        <v>45658</v>
      </c>
      <c r="AE27" s="53" t="inlineStr">
        <is>
          <t>Financial Analyst</t>
        </is>
      </c>
      <c r="AF27" s="53" t="inlineStr">
        <is>
          <t>B.Com</t>
        </is>
      </c>
      <c r="AG27" s="53" t="inlineStr">
        <is>
          <t>Jinesh Kumar S</t>
        </is>
      </c>
      <c r="AH27" s="53" t="inlineStr">
        <is>
          <t>N-7</t>
        </is>
      </c>
      <c r="AI27" s="53" t="inlineStr">
        <is>
          <t>Individual Contributor</t>
        </is>
      </c>
      <c r="AJ27" s="53" t="inlineStr">
        <is>
          <t>0 years, 0 months, 0 days</t>
        </is>
      </c>
      <c r="AK27" s="53" t="inlineStr">
        <is>
          <t>1 years, 7 months, 24 days</t>
        </is>
      </c>
      <c r="AL27" s="53" t="inlineStr">
        <is>
          <t>Regtech</t>
        </is>
      </c>
      <c r="AM27" s="53" t="inlineStr">
        <is>
          <t>CARBON</t>
        </is>
      </c>
      <c r="AN27" s="53" t="inlineStr">
        <is>
          <t>Services</t>
        </is>
      </c>
      <c r="AO27" s="53" t="inlineStr">
        <is>
          <t>Expert Assisted services</t>
        </is>
      </c>
      <c r="AP27" s="53" t="inlineStr">
        <is>
          <t>No</t>
        </is>
      </c>
      <c r="AQ27" s="53" t="inlineStr">
        <is>
          <t>Professional Services</t>
        </is>
      </c>
      <c r="AR27" s="53" t="inlineStr">
        <is>
          <t>XBRL Domain</t>
        </is>
      </c>
      <c r="AS27" s="53" t="inlineStr">
        <is>
          <t>Non-technical</t>
        </is>
      </c>
      <c r="AT27" s="53" t="n">
        <v>20</v>
      </c>
      <c r="AU27" s="53" t="inlineStr">
        <is>
          <t>Covered</t>
        </is>
      </c>
      <c r="AV27" s="53" t="inlineStr">
        <is>
          <t>IRIS2328</t>
        </is>
      </c>
      <c r="AW27" s="53" t="inlineStr">
        <is>
          <t>Namrata Juvekar</t>
        </is>
      </c>
      <c r="AX27" s="53" t="inlineStr">
        <is>
          <t>Services</t>
        </is>
      </c>
      <c r="AY27" s="53" t="inlineStr">
        <is>
          <t>Professional Services</t>
        </is>
      </c>
      <c r="AZ27" s="53" t="inlineStr">
        <is>
          <t>XBRL / Regulatory Reporting</t>
        </is>
      </c>
      <c r="BA27" s="53" t="n"/>
      <c r="BB27" s="53" t="n"/>
      <c r="BC27" s="53" t="inlineStr">
        <is>
          <t>Employee</t>
        </is>
      </c>
      <c r="BD27" s="53" t="inlineStr">
        <is>
          <t>Jinesh Kumar S</t>
        </is>
      </c>
      <c r="BE27" s="53" t="inlineStr">
        <is>
          <t>Jinesh Kumar S</t>
        </is>
      </c>
      <c r="BF27" s="53" t="inlineStr">
        <is>
          <t>No</t>
        </is>
      </c>
      <c r="BG27" s="53" t="inlineStr">
        <is>
          <t>Financial Analyst</t>
        </is>
      </c>
      <c r="BH27" s="53" t="inlineStr">
        <is>
          <t>Services Associate</t>
        </is>
      </c>
      <c r="BI27" s="53" t="inlineStr">
        <is>
          <t>Yes</t>
        </is>
      </c>
      <c r="BJ27" s="53" t="inlineStr">
        <is>
          <t>—</t>
        </is>
      </c>
      <c r="BK27" s="53" t="inlineStr">
        <is>
          <t>—</t>
        </is>
      </c>
      <c r="BL27" s="53" t="inlineStr">
        <is>
          <t>—</t>
        </is>
      </c>
      <c r="BM27" s="53" t="inlineStr">
        <is>
          <t>Not a manager</t>
        </is>
      </c>
      <c r="BN27" s="53" t="inlineStr">
        <is>
          <t>—</t>
        </is>
      </c>
      <c r="BO27" s="53" t="inlineStr">
        <is>
          <t>—</t>
        </is>
      </c>
      <c r="BP27" s="53" t="inlineStr">
        <is>
          <t>—</t>
        </is>
      </c>
      <c r="BQ27" s="53" t="inlineStr">
        <is>
          <t>Not a manager</t>
        </is>
      </c>
      <c r="BR27" s="53" t="inlineStr">
        <is>
          <t>—</t>
        </is>
      </c>
      <c r="BS27" s="53" t="inlineStr">
        <is>
          <t>L3 – Professional / Associate</t>
        </is>
      </c>
      <c r="BT27" s="53" t="inlineStr">
        <is>
          <t>L1</t>
        </is>
      </c>
      <c r="BU27" s="53" t="inlineStr">
        <is>
          <t>Matched from Title Hierarchy · new designation</t>
        </is>
      </c>
      <c r="BV27"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W27" s="53" t="n"/>
      <c r="BX27" s="53" t="inlineStr">
        <is>
          <t>USA - SEC.</t>
        </is>
      </c>
      <c r="BY27" s="53" t="n"/>
      <c r="BZ27" s="53" t="inlineStr">
        <is>
          <t>IRIS2328</t>
        </is>
      </c>
      <c r="CA27" s="53" t="inlineStr">
        <is>
          <t>Employee</t>
        </is>
      </c>
      <c r="CB27" s="53" t="inlineStr">
        <is>
          <t>Active</t>
        </is>
      </c>
      <c r="CC27" s="53" t="inlineStr">
        <is>
          <t>Namrata Juvekar</t>
        </is>
      </c>
      <c r="CD27" s="54" t="n">
        <v>45658</v>
      </c>
      <c r="CE27" s="53" t="inlineStr">
        <is>
          <t>Financial Analyst</t>
        </is>
      </c>
      <c r="CF27" s="53" t="n"/>
      <c r="CG27" s="53" t="inlineStr">
        <is>
          <t>Professional Services</t>
        </is>
      </c>
      <c r="CH27" s="53" t="inlineStr">
        <is>
          <t>XBRL / Regulatory Reporting</t>
        </is>
      </c>
      <c r="CI27" s="53" t="inlineStr">
        <is>
          <t>Financial Analyst</t>
        </is>
      </c>
      <c r="CJ27" s="53" t="inlineStr">
        <is>
          <t>L3 – Professional / Associate</t>
        </is>
      </c>
      <c r="CK27" s="53" t="inlineStr">
        <is>
          <t>Jinesh Kumar S</t>
        </is>
      </c>
      <c r="CL27" s="53" t="inlineStr">
        <is>
          <t>N-7</t>
        </is>
      </c>
      <c r="CM27" s="53" t="inlineStr">
        <is>
          <t>Individual Contributor</t>
        </is>
      </c>
      <c r="CN27" s="53" t="inlineStr">
        <is>
          <t>Regtech</t>
        </is>
      </c>
      <c r="CO27" s="53" t="inlineStr">
        <is>
          <t>Services</t>
        </is>
      </c>
      <c r="CP27" s="53" t="inlineStr">
        <is>
          <t>1 years, 5 months, 19 days</t>
        </is>
      </c>
      <c r="CQ27" s="53" t="inlineStr">
        <is>
          <t>Services Associate</t>
        </is>
      </c>
      <c r="CR27" s="53" t="n"/>
      <c r="CS27" s="53" t="n">
        <v>4</v>
      </c>
      <c r="CT27" s="53" t="inlineStr">
        <is>
          <t>High</t>
        </is>
      </c>
      <c r="CU27" s="53" t="inlineStr">
        <is>
          <t>Core Contributor</t>
        </is>
      </c>
      <c r="CV27" s="53" t="inlineStr">
        <is>
          <t>Yes</t>
        </is>
      </c>
      <c r="CW27" s="53" t="inlineStr">
        <is>
          <t>No</t>
        </is>
      </c>
      <c r="CX27" s="53" t="inlineStr">
        <is>
          <t>Yes</t>
        </is>
      </c>
      <c r="CY27" s="53" t="n"/>
      <c r="CZ27" s="53" t="n"/>
      <c r="DA27" s="53" t="n"/>
      <c r="DB27" s="53" t="inlineStr">
        <is>
          <t>Title to be standardized to : Services Associate</t>
        </is>
      </c>
      <c r="DC27" s="53" t="n"/>
      <c r="DD27" s="53" t="n"/>
      <c r="DE27" s="53" t="n"/>
      <c r="DF27" s="53" t="n"/>
      <c r="DG27" s="53" t="n"/>
      <c r="DH27" s="53" t="n"/>
      <c r="DI27" s="53" t="n"/>
      <c r="DJ27" s="53" t="n"/>
      <c r="DK27" s="53" t="n"/>
      <c r="DL27" s="53" t="n"/>
      <c r="DM27" s="53" t="n"/>
      <c r="DN27" s="53" t="n"/>
      <c r="DO27" s="53" t="n"/>
      <c r="DP27" s="53" t="n"/>
      <c r="DQ27" s="53" t="n"/>
      <c r="DR27" s="53" t="n"/>
      <c r="DS27" s="53" t="n"/>
      <c r="DT27" s="53" t="n"/>
      <c r="DU27" s="53" t="n"/>
      <c r="DV27" s="53" t="n"/>
      <c r="DW27" s="53" t="n"/>
      <c r="DX27" s="53" t="n"/>
      <c r="DY27" s="53" t="n"/>
      <c r="DZ27" s="53" t="n"/>
      <c r="EA27" s="53" t="n"/>
      <c r="EB27" s="53" t="n"/>
      <c r="EC27" s="53" t="n"/>
      <c r="ED27" s="53" t="n"/>
      <c r="EE27" s="53" t="n"/>
      <c r="EF27" s="53" t="n"/>
      <c r="EG27" s="53" t="n"/>
      <c r="EH27" s="53" t="n"/>
      <c r="EI27" s="53" t="n"/>
      <c r="EJ27" s="53" t="n"/>
      <c r="EK27" s="53" t="n"/>
      <c r="EL27" s="53" t="n"/>
      <c r="EM27" s="53" t="n"/>
      <c r="EN27" s="53" t="n"/>
      <c r="EO27" s="53" t="n"/>
      <c r="EP27" s="53" t="n"/>
      <c r="EQ27" s="53" t="n"/>
      <c r="ER27" s="53" t="n"/>
      <c r="ES27" s="53" t="n"/>
      <c r="ET27" s="53" t="n"/>
      <c r="EU27" s="53" t="n"/>
      <c r="EV27" s="53" t="n"/>
      <c r="EW27" s="52" t="n"/>
      <c r="EX27" s="53" t="inlineStr">
        <is>
          <t>• Role / sub-team: Xbrl tagging and Quality Check in US Service Team.</t>
        </is>
      </c>
      <c r="EY27" s="53" t="inlineStr">
        <is>
          <t>• Key responsibilities include: Tagging, QC, Validation, Filings, doubt solving, providing training, process client comments, demo projects creation, roll forward process and product testing.
• Reported deliverables and outcomes include: Informed to the leads and give handover to the next shift person.</t>
        </is>
      </c>
      <c r="EZ27" s="53" t="inlineStr">
        <is>
          <t>• Current capabilities: Staying calm under pressu; Tools / software used: Both.</t>
        </is>
      </c>
      <c r="FA27" s="53" t="inlineStr">
        <is>
          <t>• Development priorities: No input received.
• Learning and Development Need: Time management flexibili.</t>
        </is>
      </c>
      <c r="FB27" s="53" t="inlineStr">
        <is>
          <t>• Key challenges: Technical issue.
• Support required: No input received.</t>
        </is>
      </c>
      <c r="FC27" s="53" t="n"/>
      <c r="FD27" s="53" t="n"/>
      <c r="FE27"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FF27" s="56" t="n"/>
      <c r="FG27" s="56" t="n"/>
      <c r="FH27" s="56" t="n"/>
      <c r="FI27" s="56" t="n"/>
      <c r="FJ27" s="56" t="inlineStr">
        <is>
          <t>Received · manager annual</t>
        </is>
      </c>
      <c r="FK27" s="56" t="inlineStr">
        <is>
          <t>CARBON Mapping Master</t>
        </is>
      </c>
      <c r="FL27" s="56" t="n">
        <v>20</v>
      </c>
      <c r="FM27" s="56" t="inlineStr">
        <is>
          <t>• Role / sub-team: Xbrl tagging and Quality Check in US Service Team.</t>
        </is>
      </c>
      <c r="FN27" s="56" t="inlineStr">
        <is>
          <t>• Key responsibilities include: Tagging, QC, Validation, Filings, doubt solving, providing training, process client comments, demo projects creation, roll forward process and product testing.
• Reported deliverables and outcomes include: Informed to the leads and give handover to the next shift person.</t>
        </is>
      </c>
      <c r="FO27" s="56" t="inlineStr">
        <is>
          <t>• Current capabilities: Staying calm under pressu; Tools / software used: Both.</t>
        </is>
      </c>
      <c r="FP27" s="56" t="inlineStr">
        <is>
          <t>• Development priorities: No input received.
• Learning and Development Need: Time management flexibili.</t>
        </is>
      </c>
      <c r="FQ27" s="56" t="inlineStr">
        <is>
          <t>• Key challenges: Technical issue.
• Support required: No input received.</t>
        </is>
      </c>
      <c r="FR27" s="56" t="inlineStr">
        <is>
          <t>Complexity: Evidence reads like A3: US mandate tagging, QC, validation, filings; roll-forward, product testing, client comments → moved up 0.5
Autonomy: Evidence reads like B1: Allocates and rebalances shift workload; resolves routine issues; escalates complex ones to leads → moved up 1
Accountability: Evidence reads like A3: Own tagging, QC and filings on time; coordinates shift allocation supporting team targets → moved up 0.5
Leadership: Evidence reads like B1: Shift allocation, guidance, doubt solving and training of team members · manager note → moved up 1
Business Impact: Moved +0.5: the survey / manager mapping marks it business-critical.</t>
        </is>
      </c>
      <c r="FS27" s="56"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FT27" s="56" t="inlineStr">
        <is>
          <t>Self-identified: Leadership &amp; people management · Client, sales &amp; stakeholders · Broader exposure &amp; ownership
For the next role: AI / automation · Leadership &amp; people management · Project / programme management · Data, SQL &amp; analytics · Domain, regulatory &amp; XBRL · Client, sales &amp; stakeholders · Strategy &amp; business acumen · Broader exposure &amp; ownership</t>
        </is>
      </c>
      <c r="FU27" s="56" t="inlineStr">
        <is>
          <t>Per-person summary · CARBON Mapping Master</t>
        </is>
      </c>
    </row>
    <row r="28" ht="90" customHeight="1">
      <c r="A28" s="51" t="inlineStr">
        <is>
          <t>◂ Back</t>
        </is>
      </c>
      <c r="B28" s="29" t="inlineStr">
        <is>
          <t>Mapped</t>
        </is>
      </c>
      <c r="C28" s="28" t="inlineStr">
        <is>
          <t>CARBON</t>
        </is>
      </c>
      <c r="D28" s="29" t="inlineStr">
        <is>
          <t>IRISC330</t>
        </is>
      </c>
      <c r="E28" s="29" t="inlineStr">
        <is>
          <t>Raj Ratnakar Kumbhar</t>
        </is>
      </c>
      <c r="F28" s="29" t="inlineStr">
        <is>
          <t>Services</t>
        </is>
      </c>
      <c r="G28" s="29" t="inlineStr">
        <is>
          <t>Consultant</t>
        </is>
      </c>
      <c r="H28" s="29" t="inlineStr">
        <is>
          <t>Senior Financial Analyst</t>
        </is>
      </c>
      <c r="I28" s="29" t="inlineStr">
        <is>
          <t>L3 – Professional / Associate</t>
        </is>
      </c>
      <c r="J28" s="29" t="inlineStr">
        <is>
          <t>A3</t>
        </is>
      </c>
      <c r="K28" s="29" t="inlineStr">
        <is>
          <t>▲ Up</t>
        </is>
      </c>
      <c r="L28" s="29" t="inlineStr">
        <is>
          <t>Consulting &amp; Professional Services</t>
        </is>
      </c>
      <c r="M28" s="29" t="inlineStr">
        <is>
          <t>XBRL Tagging, Conversion &amp; Filing</t>
        </is>
      </c>
      <c r="N28" s="29" t="n"/>
      <c r="O28" s="29" t="n">
        <v>20</v>
      </c>
      <c r="P28" s="28" t="inlineStr">
        <is>
          <t>P2</t>
        </is>
      </c>
      <c r="Q28" s="29" t="inlineStr">
        <is>
          <t>Developing</t>
        </is>
      </c>
      <c r="R28" s="29" t="inlineStr">
        <is>
          <t>3 Apply</t>
        </is>
      </c>
      <c r="S28" s="29" t="inlineStr">
        <is>
          <t>2–4 yrs</t>
        </is>
      </c>
      <c r="T28" s="29" t="inlineStr">
        <is>
          <t>3–5 · 2–5</t>
        </is>
      </c>
      <c r="U28" s="29" t="inlineStr">
        <is>
          <t>Senior Analyst / Associate</t>
        </is>
      </c>
      <c r="V28" s="29" t="inlineStr">
        <is>
          <t>DataTracks: Senior Associate · 2–5 yrs · Big Four: Consultant · IRIS Vs Market Benchmark — XBRL US credential pathway: XBRL US GAAP Certificate</t>
        </is>
      </c>
      <c r="W28" s="29" t="inlineStr">
        <is>
          <t>XBRL US GAAP Certificate · AICPA &amp; XBRL US; XBRL International specifications; IFRS / US GAAP / Ind AS</t>
        </is>
      </c>
      <c r="X28" s="29" t="inlineStr">
        <is>
          <t>Core 2 · Future 2 · Functional 3 · Leadership not scored</t>
        </is>
      </c>
      <c r="Y28" s="52" t="n">
        <v>432</v>
      </c>
      <c r="Z28" s="53" t="inlineStr">
        <is>
          <t>IRISC330</t>
        </is>
      </c>
      <c r="AA28" s="53" t="inlineStr">
        <is>
          <t>On Contract</t>
        </is>
      </c>
      <c r="AB28" s="53" t="inlineStr">
        <is>
          <t>Active</t>
        </is>
      </c>
      <c r="AC28" s="53" t="inlineStr">
        <is>
          <t>Raj Ratnakar Kumbhar</t>
        </is>
      </c>
      <c r="AD28" s="54" t="n">
        <v>46027</v>
      </c>
      <c r="AE28" s="53" t="inlineStr">
        <is>
          <t>Consultant</t>
        </is>
      </c>
      <c r="AF28" s="53" t="inlineStr">
        <is>
          <t>B.Com</t>
        </is>
      </c>
      <c r="AG28" s="53" t="inlineStr">
        <is>
          <t>Jinesh Kumar S</t>
        </is>
      </c>
      <c r="AH28" s="53" t="inlineStr">
        <is>
          <t>N-7</t>
        </is>
      </c>
      <c r="AI28" s="53" t="inlineStr">
        <is>
          <t>Individual Contributor</t>
        </is>
      </c>
      <c r="AJ28" s="53" t="inlineStr">
        <is>
          <t>3 years, 8 months, 0 days</t>
        </is>
      </c>
      <c r="AK28" s="53" t="inlineStr">
        <is>
          <t>0 years, 7 months, 20 days</t>
        </is>
      </c>
      <c r="AL28" s="53" t="inlineStr">
        <is>
          <t>Regtech</t>
        </is>
      </c>
      <c r="AM28" s="53" t="inlineStr">
        <is>
          <t>CARBON</t>
        </is>
      </c>
      <c r="AN28" s="53" t="inlineStr">
        <is>
          <t>Services</t>
        </is>
      </c>
      <c r="AO28" s="53" t="inlineStr">
        <is>
          <t>Expert Assisted services</t>
        </is>
      </c>
      <c r="AP28" s="53" t="inlineStr">
        <is>
          <t>No</t>
        </is>
      </c>
      <c r="AQ28" s="53" t="inlineStr">
        <is>
          <t>Professional Services</t>
        </is>
      </c>
      <c r="AR28" s="53" t="inlineStr">
        <is>
          <t>XBRL Domain</t>
        </is>
      </c>
      <c r="AS28" s="53" t="inlineStr">
        <is>
          <t>Non-technical</t>
        </is>
      </c>
      <c r="AT28" s="53" t="n">
        <v>20</v>
      </c>
      <c r="AU28" s="53" t="inlineStr">
        <is>
          <t>Covered</t>
        </is>
      </c>
      <c r="AV28" s="53" t="inlineStr">
        <is>
          <t>IRISC330</t>
        </is>
      </c>
      <c r="AW28" s="53" t="inlineStr">
        <is>
          <t>Raj Ratnakar Kumbhar</t>
        </is>
      </c>
      <c r="AX28" s="53" t="inlineStr">
        <is>
          <t>Services</t>
        </is>
      </c>
      <c r="AY28" s="53" t="inlineStr">
        <is>
          <t>Professional Services</t>
        </is>
      </c>
      <c r="AZ28" s="53" t="inlineStr">
        <is>
          <t>XBRL / Regulatory Reporting</t>
        </is>
      </c>
      <c r="BA28" s="53" t="n"/>
      <c r="BB28" s="53" t="n"/>
      <c r="BC28" s="53" t="inlineStr">
        <is>
          <t>On Contract</t>
        </is>
      </c>
      <c r="BD28" s="53" t="inlineStr">
        <is>
          <t>Jinesh Kumar S</t>
        </is>
      </c>
      <c r="BE28" s="53" t="inlineStr">
        <is>
          <t>Jinesh Kumar S</t>
        </is>
      </c>
      <c r="BF28" s="53" t="inlineStr">
        <is>
          <t>No</t>
        </is>
      </c>
      <c r="BG28" s="53" t="inlineStr">
        <is>
          <t>Consultant</t>
        </is>
      </c>
      <c r="BH28" s="53" t="inlineStr">
        <is>
          <t>Consultant</t>
        </is>
      </c>
      <c r="BI28" s="53" t="inlineStr">
        <is>
          <t>No</t>
        </is>
      </c>
      <c r="BJ28" s="53" t="inlineStr">
        <is>
          <t>—</t>
        </is>
      </c>
      <c r="BK28" s="53" t="inlineStr">
        <is>
          <t>—</t>
        </is>
      </c>
      <c r="BL28" s="53" t="inlineStr">
        <is>
          <t>—</t>
        </is>
      </c>
      <c r="BM28" s="53" t="inlineStr">
        <is>
          <t>Not a manager</t>
        </is>
      </c>
      <c r="BN28" s="53" t="inlineStr">
        <is>
          <t>—</t>
        </is>
      </c>
      <c r="BO28" s="53" t="inlineStr">
        <is>
          <t>—</t>
        </is>
      </c>
      <c r="BP28" s="53" t="inlineStr">
        <is>
          <t>—</t>
        </is>
      </c>
      <c r="BQ28" s="53" t="inlineStr">
        <is>
          <t>Not a manager</t>
        </is>
      </c>
      <c r="BR28" s="53" t="inlineStr">
        <is>
          <t>—</t>
        </is>
      </c>
      <c r="BS28" s="53" t="inlineStr">
        <is>
          <t>L3 – Professional / Associate</t>
        </is>
      </c>
      <c r="BT28" s="53" t="inlineStr">
        <is>
          <t>L3 – Professional / Associate</t>
        </is>
      </c>
      <c r="BU28" s="53" t="inlineStr">
        <is>
          <t>No designation change — current record value carried forward</t>
        </is>
      </c>
      <c r="BV28"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W28" s="53" t="n"/>
      <c r="BX28" s="53" t="inlineStr">
        <is>
          <t>USA - SEC · On Contract.</t>
        </is>
      </c>
      <c r="BY28" s="53" t="n"/>
      <c r="BZ28" s="53" t="inlineStr">
        <is>
          <t>IRISC330</t>
        </is>
      </c>
      <c r="CA28" s="53" t="inlineStr">
        <is>
          <t>On Contract</t>
        </is>
      </c>
      <c r="CB28" s="53" t="inlineStr">
        <is>
          <t>Active</t>
        </is>
      </c>
      <c r="CC28" s="53" t="inlineStr">
        <is>
          <t>Raj Ratnakar Kumbhar</t>
        </is>
      </c>
      <c r="CD28" s="54" t="n">
        <v>46027</v>
      </c>
      <c r="CE28" s="53" t="inlineStr">
        <is>
          <t>Consultant</t>
        </is>
      </c>
      <c r="CF28" s="53" t="n"/>
      <c r="CG28" s="53" t="inlineStr">
        <is>
          <t>Professional Services</t>
        </is>
      </c>
      <c r="CH28" s="53" t="inlineStr">
        <is>
          <t>XBRL / Regulatory Reporting</t>
        </is>
      </c>
      <c r="CI28" s="53" t="inlineStr">
        <is>
          <t>Consultant</t>
        </is>
      </c>
      <c r="CJ28" s="53" t="inlineStr">
        <is>
          <t>L3 – Professional / Associate</t>
        </is>
      </c>
      <c r="CK28" s="53" t="inlineStr">
        <is>
          <t>Jinesh Kumar S</t>
        </is>
      </c>
      <c r="CL28" s="53" t="inlineStr">
        <is>
          <t>N-7</t>
        </is>
      </c>
      <c r="CM28" s="53" t="inlineStr">
        <is>
          <t>Individual Contributor</t>
        </is>
      </c>
      <c r="CN28" s="53" t="inlineStr">
        <is>
          <t>Regtech</t>
        </is>
      </c>
      <c r="CO28" s="53" t="inlineStr">
        <is>
          <t>Services</t>
        </is>
      </c>
      <c r="CP28" s="53" t="inlineStr">
        <is>
          <t>4 years, 1 months, 15 days</t>
        </is>
      </c>
      <c r="CQ28" s="53" t="n"/>
      <c r="CR28" s="53" t="n"/>
      <c r="CS28" s="53" t="n">
        <v>3</v>
      </c>
      <c r="CT28" s="53" t="inlineStr">
        <is>
          <t>Medium</t>
        </is>
      </c>
      <c r="CU28" s="53" t="inlineStr">
        <is>
          <t>Core Contributor</t>
        </is>
      </c>
      <c r="CV28" s="53" t="inlineStr">
        <is>
          <t>No</t>
        </is>
      </c>
      <c r="CW28" s="53" t="inlineStr">
        <is>
          <t>No</t>
        </is>
      </c>
      <c r="CX28" s="53" t="inlineStr">
        <is>
          <t>Yes</t>
        </is>
      </c>
      <c r="CY28" s="53" t="n"/>
      <c r="CZ28" s="53" t="n"/>
      <c r="DA28" s="53" t="n"/>
      <c r="DB28" s="53" t="n"/>
      <c r="DC28" s="53" t="n"/>
      <c r="DD28" s="53" t="n"/>
      <c r="DE28" s="53" t="n"/>
      <c r="DF28" s="53" t="n"/>
      <c r="DG28" s="53" t="n"/>
      <c r="DH28" s="53" t="n"/>
      <c r="DI28" s="53" t="n"/>
      <c r="DJ28" s="53" t="n"/>
      <c r="DK28" s="53" t="n"/>
      <c r="DL28" s="53" t="n"/>
      <c r="DM28" s="53" t="n"/>
      <c r="DN28" s="53" t="n"/>
      <c r="DO28" s="53" t="n"/>
      <c r="DP28" s="53" t="n"/>
      <c r="DQ28" s="53" t="n"/>
      <c r="DR28" s="53" t="n"/>
      <c r="DS28" s="53" t="n"/>
      <c r="DT28" s="53" t="n"/>
      <c r="DU28" s="53" t="n"/>
      <c r="DV28" s="53" t="n"/>
      <c r="DW28" s="53" t="n"/>
      <c r="DX28" s="53" t="n"/>
      <c r="DY28" s="53" t="n"/>
      <c r="DZ28" s="53" t="n"/>
      <c r="EA28" s="53" t="n"/>
      <c r="EB28" s="53" t="n"/>
      <c r="EC28" s="53" t="n"/>
      <c r="ED28" s="53" t="n"/>
      <c r="EE28" s="53" t="n"/>
      <c r="EF28" s="53" t="n"/>
      <c r="EG28" s="53" t="n"/>
      <c r="EH28" s="53" t="n"/>
      <c r="EI28" s="53" t="n"/>
      <c r="EJ28" s="53" t="n"/>
      <c r="EK28" s="53" t="n"/>
      <c r="EL28" s="53" t="n"/>
      <c r="EM28" s="53" t="n"/>
      <c r="EN28" s="53" t="n"/>
      <c r="EO28" s="53" t="n"/>
      <c r="EP28" s="53" t="n"/>
      <c r="EQ28" s="53" t="n"/>
      <c r="ER28" s="53" t="n"/>
      <c r="ES28" s="53" t="n"/>
      <c r="ET28" s="53" t="n"/>
      <c r="EU28" s="53" t="n"/>
      <c r="EV28" s="53" t="n"/>
      <c r="EW28" s="52" t="n"/>
      <c r="EX28" s="53" t="inlineStr">
        <is>
          <t>• Role / sub-team: XBRL-Tagging in Us Service team.</t>
        </is>
      </c>
      <c r="EY28" s="53" t="inlineStr">
        <is>
          <t>• Key responsibilities include: XBRL Tagging, Validations, Version compare, Mail Monitoring, Training, Practice.
• Reported deliverables and outcomes include: After work informed to shift leads and give handover to next shift person.</t>
        </is>
      </c>
      <c r="EZ28" s="53" t="inlineStr">
        <is>
          <t>• Current capabilities: Time management; Tools / software used: Both.</t>
        </is>
      </c>
      <c r="FA28" s="53" t="inlineStr">
        <is>
          <t>• Development priorities: No input received.
• Learning and Development Need: Time management.</t>
        </is>
      </c>
      <c r="FB28" s="53" t="inlineStr">
        <is>
          <t>• Key challenges: System issues.
• Support required: No input received.</t>
        </is>
      </c>
      <c r="FC28" s="53" t="n"/>
      <c r="FD28" s="53" t="n"/>
      <c r="FE28"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FF28" s="56" t="n"/>
      <c r="FG28" s="56" t="n"/>
      <c r="FH28" s="56" t="n"/>
      <c r="FI28" s="56" t="n"/>
      <c r="FJ28" s="56" t="inlineStr">
        <is>
          <t>Received · manager annual</t>
        </is>
      </c>
      <c r="FK28" s="56" t="inlineStr">
        <is>
          <t>CARBON Mapping Master</t>
        </is>
      </c>
      <c r="FL28" s="56" t="n">
        <v>20</v>
      </c>
      <c r="FM28" s="56" t="inlineStr">
        <is>
          <t>• Role / sub-team: XBRL-Tagging in Us Service team.</t>
        </is>
      </c>
      <c r="FN28" s="56" t="inlineStr">
        <is>
          <t>• Key responsibilities include: XBRL Tagging, Validations, Version compare, Mail Monitoring, Training, Practice.
• Reported deliverables and outcomes include: After work informed to shift leads and give handover to next shift person.</t>
        </is>
      </c>
      <c r="FO28" s="56" t="inlineStr">
        <is>
          <t>• Current capabilities: Time management; Tools / software used: Both.</t>
        </is>
      </c>
      <c r="FP28" s="56" t="inlineStr">
        <is>
          <t>• Development priorities: No input received.
• Learning and Development Need: Time management.</t>
        </is>
      </c>
      <c r="FQ28" s="56" t="inlineStr">
        <is>
          <t>• Key challenges: System issues.
• Support required: No input received.</t>
        </is>
      </c>
      <c r="FR28" s="56" t="inlineStr">
        <is>
          <t>Business Impact: Moved +0.5: the survey / manager mapping marks it business-critical.</t>
        </is>
      </c>
      <c r="FS28" s="56"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FT28" s="56" t="inlineStr">
        <is>
          <t>Self-identified: Domain, regulatory &amp; XBRL · Broader exposure &amp; ownership
For the next role: Domain, regulatory &amp; XBRL · Product &amp; tool knowledge · Broader exposure &amp; ownership</t>
        </is>
      </c>
      <c r="FU28" s="56" t="inlineStr">
        <is>
          <t>Per-person summary · CARBON Mapping Master</t>
        </is>
      </c>
    </row>
    <row r="29" ht="90" customHeight="1">
      <c r="A29" s="51" t="inlineStr">
        <is>
          <t>◂ Back</t>
        </is>
      </c>
      <c r="B29" s="29" t="inlineStr">
        <is>
          <t>Mapped</t>
        </is>
      </c>
      <c r="C29" s="28" t="inlineStr">
        <is>
          <t>CARBON</t>
        </is>
      </c>
      <c r="D29" s="29" t="inlineStr">
        <is>
          <t>IRISC240</t>
        </is>
      </c>
      <c r="E29" s="29" t="inlineStr">
        <is>
          <t>Sakina Dholkawala</t>
        </is>
      </c>
      <c r="F29" s="29" t="inlineStr">
        <is>
          <t>Services</t>
        </is>
      </c>
      <c r="G29" s="29" t="inlineStr">
        <is>
          <t>Consultant</t>
        </is>
      </c>
      <c r="H29" s="29" t="inlineStr">
        <is>
          <t>Senior Financial Analyst</t>
        </is>
      </c>
      <c r="I29" s="29" t="inlineStr">
        <is>
          <t>L3 – Professional / Associate</t>
        </is>
      </c>
      <c r="J29" s="29" t="inlineStr">
        <is>
          <t>A3</t>
        </is>
      </c>
      <c r="K29" s="29" t="inlineStr">
        <is>
          <t>▲ Up</t>
        </is>
      </c>
      <c r="L29" s="29" t="inlineStr">
        <is>
          <t>Consulting &amp; Professional Services</t>
        </is>
      </c>
      <c r="M29" s="29" t="inlineStr">
        <is>
          <t>XBRL Tagging, Conversion &amp; Filing</t>
        </is>
      </c>
      <c r="N29" s="29" t="n"/>
      <c r="O29" s="29" t="n">
        <v>19</v>
      </c>
      <c r="P29" s="28" t="inlineStr">
        <is>
          <t>P2</t>
        </is>
      </c>
      <c r="Q29" s="29" t="inlineStr">
        <is>
          <t>Developing</t>
        </is>
      </c>
      <c r="R29" s="29" t="inlineStr">
        <is>
          <t>3 Apply</t>
        </is>
      </c>
      <c r="S29" s="29" t="inlineStr">
        <is>
          <t>2–4 yrs</t>
        </is>
      </c>
      <c r="T29" s="29" t="inlineStr">
        <is>
          <t>3–5 · 2–5</t>
        </is>
      </c>
      <c r="U29" s="29" t="inlineStr">
        <is>
          <t>Senior Analyst / Associate</t>
        </is>
      </c>
      <c r="V29" s="29" t="inlineStr">
        <is>
          <t>DataTracks: Senior Associate · 2–5 yrs · Big Four: Consultant · IRIS Vs Market Benchmark — XBRL US credential pathway: XBRL US GAAP Certificate</t>
        </is>
      </c>
      <c r="W29" s="29" t="inlineStr">
        <is>
          <t>XBRL US GAAP Certificate · AICPA &amp; XBRL US; XBRL International specifications; IFRS / US GAAP / Ind AS</t>
        </is>
      </c>
      <c r="X29" s="29" t="inlineStr">
        <is>
          <t>Core 2 · Future 2 · Functional 3 · Leadership not scored</t>
        </is>
      </c>
      <c r="Y29" s="52" t="n">
        <v>253</v>
      </c>
      <c r="Z29" s="53" t="inlineStr">
        <is>
          <t>IRISC240</t>
        </is>
      </c>
      <c r="AA29" s="53" t="inlineStr">
        <is>
          <t>On Contract</t>
        </is>
      </c>
      <c r="AB29" s="53" t="inlineStr">
        <is>
          <t>Active</t>
        </is>
      </c>
      <c r="AC29" s="53" t="inlineStr">
        <is>
          <t>Sakina Dholkawala</t>
        </is>
      </c>
      <c r="AD29" s="54" t="n">
        <v>44887</v>
      </c>
      <c r="AE29" s="53" t="inlineStr">
        <is>
          <t>Consultant</t>
        </is>
      </c>
      <c r="AF29" s="53" t="inlineStr">
        <is>
          <t>B.Com</t>
        </is>
      </c>
      <c r="AG29" s="53" t="inlineStr">
        <is>
          <t>Jinesh Kumar S</t>
        </is>
      </c>
      <c r="AH29" s="53" t="inlineStr">
        <is>
          <t>N-7</t>
        </is>
      </c>
      <c r="AI29" s="53" t="inlineStr">
        <is>
          <t>Individual Contributor</t>
        </is>
      </c>
      <c r="AJ29" s="53" t="inlineStr">
        <is>
          <t>0 years, 0 months, 0 days</t>
        </is>
      </c>
      <c r="AK29" s="53" t="inlineStr">
        <is>
          <t>3 years, 9 months, 3 days</t>
        </is>
      </c>
      <c r="AL29" s="53" t="inlineStr">
        <is>
          <t>Regtech</t>
        </is>
      </c>
      <c r="AM29" s="53" t="inlineStr">
        <is>
          <t>CARBON</t>
        </is>
      </c>
      <c r="AN29" s="53" t="inlineStr">
        <is>
          <t>Services</t>
        </is>
      </c>
      <c r="AO29" s="53" t="inlineStr">
        <is>
          <t>Expert Assisted services</t>
        </is>
      </c>
      <c r="AP29" s="53" t="inlineStr">
        <is>
          <t>No</t>
        </is>
      </c>
      <c r="AQ29" s="53" t="inlineStr">
        <is>
          <t>Professional Services</t>
        </is>
      </c>
      <c r="AR29" s="53" t="inlineStr">
        <is>
          <t>XBRL Domain</t>
        </is>
      </c>
      <c r="AS29" s="53" t="inlineStr">
        <is>
          <t>Non-technical</t>
        </is>
      </c>
      <c r="AT29" s="53" t="n">
        <v>20</v>
      </c>
      <c r="AU29" s="53" t="inlineStr">
        <is>
          <t>Covered</t>
        </is>
      </c>
      <c r="AV29" s="53" t="inlineStr">
        <is>
          <t>IRISC240</t>
        </is>
      </c>
      <c r="AW29" s="53" t="inlineStr">
        <is>
          <t>Sakina Dholkawala</t>
        </is>
      </c>
      <c r="AX29" s="53" t="inlineStr">
        <is>
          <t>Services</t>
        </is>
      </c>
      <c r="AY29" s="53" t="inlineStr">
        <is>
          <t>Professional Services</t>
        </is>
      </c>
      <c r="AZ29" s="53" t="inlineStr">
        <is>
          <t>XBRL / Regulatory Reporting</t>
        </is>
      </c>
      <c r="BA29" s="53" t="n"/>
      <c r="BB29" s="53" t="n"/>
      <c r="BC29" s="53" t="inlineStr">
        <is>
          <t>On Contract</t>
        </is>
      </c>
      <c r="BD29" s="53" t="inlineStr">
        <is>
          <t>Jinesh Kumar S</t>
        </is>
      </c>
      <c r="BE29" s="53" t="inlineStr">
        <is>
          <t>Jinesh Kumar S</t>
        </is>
      </c>
      <c r="BF29" s="53" t="inlineStr">
        <is>
          <t>No</t>
        </is>
      </c>
      <c r="BG29" s="53" t="inlineStr">
        <is>
          <t>Consultant</t>
        </is>
      </c>
      <c r="BH29" s="53" t="inlineStr">
        <is>
          <t>Consultant</t>
        </is>
      </c>
      <c r="BI29" s="53" t="inlineStr">
        <is>
          <t>No</t>
        </is>
      </c>
      <c r="BJ29" s="53" t="inlineStr">
        <is>
          <t>—</t>
        </is>
      </c>
      <c r="BK29" s="53" t="inlineStr">
        <is>
          <t>—</t>
        </is>
      </c>
      <c r="BL29" s="53" t="inlineStr">
        <is>
          <t>—</t>
        </is>
      </c>
      <c r="BM29" s="53" t="inlineStr">
        <is>
          <t>Not a manager</t>
        </is>
      </c>
      <c r="BN29" s="53" t="inlineStr">
        <is>
          <t>—</t>
        </is>
      </c>
      <c r="BO29" s="53" t="inlineStr">
        <is>
          <t>—</t>
        </is>
      </c>
      <c r="BP29" s="53" t="inlineStr">
        <is>
          <t>—</t>
        </is>
      </c>
      <c r="BQ29" s="53" t="inlineStr">
        <is>
          <t>Not a manager</t>
        </is>
      </c>
      <c r="BR29" s="53" t="inlineStr">
        <is>
          <t>—</t>
        </is>
      </c>
      <c r="BS29" s="53" t="inlineStr">
        <is>
          <t>L3 – Professional / Associate</t>
        </is>
      </c>
      <c r="BT29" s="53" t="inlineStr">
        <is>
          <t>L3 – Professional / Associate</t>
        </is>
      </c>
      <c r="BU29" s="53" t="inlineStr">
        <is>
          <t>No designation change — current record value carried forward</t>
        </is>
      </c>
      <c r="BV29"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W29" s="53" t="n"/>
      <c r="BX29" s="53" t="inlineStr">
        <is>
          <t>USA - SEC · On Contract.</t>
        </is>
      </c>
      <c r="BY29" s="53" t="n"/>
      <c r="BZ29" s="53" t="inlineStr">
        <is>
          <t>IRISC240</t>
        </is>
      </c>
      <c r="CA29" s="53" t="inlineStr">
        <is>
          <t>On Contract</t>
        </is>
      </c>
      <c r="CB29" s="53" t="inlineStr">
        <is>
          <t>Active</t>
        </is>
      </c>
      <c r="CC29" s="53" t="inlineStr">
        <is>
          <t>Sakina Dholkawala</t>
        </is>
      </c>
      <c r="CD29" s="54" t="n">
        <v>44887</v>
      </c>
      <c r="CE29" s="53" t="inlineStr">
        <is>
          <t>Consultant</t>
        </is>
      </c>
      <c r="CF29" s="53" t="n"/>
      <c r="CG29" s="53" t="inlineStr">
        <is>
          <t>Professional Services</t>
        </is>
      </c>
      <c r="CH29" s="53" t="inlineStr">
        <is>
          <t>Digitization &amp; Image Processing</t>
        </is>
      </c>
      <c r="CI29" s="53" t="inlineStr">
        <is>
          <t>Consultant</t>
        </is>
      </c>
      <c r="CJ29" s="53" t="inlineStr">
        <is>
          <t>L3 – Professional / Associate</t>
        </is>
      </c>
      <c r="CK29" s="53" t="inlineStr">
        <is>
          <t>Jinesh Kumar S</t>
        </is>
      </c>
      <c r="CL29" s="53" t="inlineStr">
        <is>
          <t>N-7</t>
        </is>
      </c>
      <c r="CM29" s="53" t="inlineStr">
        <is>
          <t>Individual Contributor</t>
        </is>
      </c>
      <c r="CN29" s="53" t="inlineStr">
        <is>
          <t>Regtech</t>
        </is>
      </c>
      <c r="CO29" s="53" t="inlineStr">
        <is>
          <t>Digitizing</t>
        </is>
      </c>
      <c r="CP29" s="53" t="inlineStr">
        <is>
          <t>3 years, 6 months, 29 days</t>
        </is>
      </c>
      <c r="CQ29" s="53" t="inlineStr">
        <is>
          <t>Consultant</t>
        </is>
      </c>
      <c r="CR29" s="53" t="n"/>
      <c r="CS29" s="53" t="n">
        <v>3</v>
      </c>
      <c r="CT29" s="53" t="inlineStr">
        <is>
          <t>Medium</t>
        </is>
      </c>
      <c r="CU29" s="53" t="inlineStr">
        <is>
          <t>Core Contributor</t>
        </is>
      </c>
      <c r="CV29" s="53" t="inlineStr">
        <is>
          <t>No</t>
        </is>
      </c>
      <c r="CW29" s="53" t="inlineStr">
        <is>
          <t>No</t>
        </is>
      </c>
      <c r="CX29" s="53" t="inlineStr">
        <is>
          <t>Yes</t>
        </is>
      </c>
      <c r="CY29" s="53" t="n"/>
      <c r="CZ29" s="53" t="n"/>
      <c r="DA29" s="53" t="n"/>
      <c r="DB29" s="53" t="inlineStr">
        <is>
          <t>Moved to Tagging Team</t>
        </is>
      </c>
      <c r="DC29" s="53" t="n"/>
      <c r="DD29" s="53" t="n"/>
      <c r="DE29" s="53" t="n"/>
      <c r="DF29" s="53" t="n"/>
      <c r="DG29" s="53" t="n"/>
      <c r="DH29" s="53" t="n"/>
      <c r="DI29" s="53" t="n"/>
      <c r="DJ29" s="53" t="n"/>
      <c r="DK29" s="53" t="n"/>
      <c r="DL29" s="53" t="n"/>
      <c r="DM29" s="53" t="n"/>
      <c r="DN29" s="53" t="n"/>
      <c r="DO29" s="53" t="n"/>
      <c r="DP29" s="53" t="n"/>
      <c r="DQ29" s="53" t="n"/>
      <c r="DR29" s="53" t="n"/>
      <c r="DS29" s="53" t="n"/>
      <c r="DT29" s="53" t="n"/>
      <c r="DU29" s="53" t="n"/>
      <c r="DV29" s="53" t="n"/>
      <c r="DW29" s="53" t="n"/>
      <c r="DX29" s="53" t="n"/>
      <c r="DY29" s="53" t="n"/>
      <c r="DZ29" s="53" t="n"/>
      <c r="EA29" s="53" t="n"/>
      <c r="EB29" s="53" t="n"/>
      <c r="EC29" s="53" t="n"/>
      <c r="ED29" s="53" t="n"/>
      <c r="EE29" s="53" t="n"/>
      <c r="EF29" s="53" t="n"/>
      <c r="EG29" s="53" t="n"/>
      <c r="EH29" s="53" t="n"/>
      <c r="EI29" s="53" t="n"/>
      <c r="EJ29" s="53" t="n"/>
      <c r="EK29" s="53" t="n"/>
      <c r="EL29" s="53" t="n"/>
      <c r="EM29" s="53" t="n"/>
      <c r="EN29" s="53" t="n"/>
      <c r="EO29" s="53" t="n"/>
      <c r="EP29" s="53" t="n"/>
      <c r="EQ29" s="53" t="n"/>
      <c r="ER29" s="53" t="n"/>
      <c r="ES29" s="53" t="n"/>
      <c r="ET29" s="53" t="n"/>
      <c r="EU29" s="53" t="n"/>
      <c r="EV29" s="53" t="n"/>
      <c r="EW29" s="52" t="n"/>
      <c r="EX29" s="53" t="inlineStr">
        <is>
          <t>• Role / sub-team: Xbrl tagging in US Service team.</t>
        </is>
      </c>
      <c r="EY29" s="53" t="inlineStr">
        <is>
          <t>• Key responsibilities include: Xbrl tagging, training, practice.
• Reported deliverables and outcomes include: Leads and clients.</t>
        </is>
      </c>
      <c r="EZ29" s="53" t="inlineStr">
        <is>
          <t>• Current capabilities: Good communication; Tools / software used: Both.</t>
        </is>
      </c>
      <c r="FA29" s="53" t="inlineStr">
        <is>
          <t>• Development priorities: No input received.
• Learning and Development Need: No input received.</t>
        </is>
      </c>
      <c r="FB29" s="53" t="inlineStr">
        <is>
          <t>• Key challenges: Remote Desktop; Technical issue.
• Support required: No input received.</t>
        </is>
      </c>
      <c r="FC29" s="53" t="n"/>
      <c r="FD29" s="53" t="n"/>
      <c r="FE29"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FF29" s="56" t="n"/>
      <c r="FG29" s="56" t="n"/>
      <c r="FH29" s="56" t="n"/>
      <c r="FI29" s="56" t="n"/>
      <c r="FJ29" s="56" t="inlineStr">
        <is>
          <t>Received · manager annual</t>
        </is>
      </c>
      <c r="FK29" s="56" t="inlineStr">
        <is>
          <t>CARBON Mapping Master</t>
        </is>
      </c>
      <c r="FL29" s="56" t="n">
        <v>19</v>
      </c>
      <c r="FM29" s="56" t="inlineStr">
        <is>
          <t>• Role / sub-team: Xbrl tagging in US Service team.</t>
        </is>
      </c>
      <c r="FN29" s="56" t="inlineStr">
        <is>
          <t>• Key responsibilities include: Xbrl tagging, training, practice.
• Reported deliverables and outcomes include: Leads and clients.</t>
        </is>
      </c>
      <c r="FO29" s="56" t="inlineStr">
        <is>
          <t>• Current capabilities: Good communication; Tools / software used: Both.</t>
        </is>
      </c>
      <c r="FP29" s="56" t="inlineStr">
        <is>
          <t>• Development priorities: No input received.
• Learning and Development Need: No input received.</t>
        </is>
      </c>
      <c r="FQ29" s="56" t="inlineStr">
        <is>
          <t>• Key challenges: Remote Desktop; Technical issue.
• Support required: No input received.</t>
        </is>
      </c>
      <c r="FR29" s="56" t="inlineStr">
        <is>
          <t>Business Impact: Moved +0.5: the survey / manager mapping marks it business-critical.</t>
        </is>
      </c>
      <c r="FS29" s="56"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FT29" s="56" t="inlineStr">
        <is>
          <t>Self-identified: Domain, regulatory &amp; XBRL · Broader exposure &amp; ownership
For the next role: Domain, regulatory &amp; XBRL · Product &amp; tool knowledge · Broader exposure &amp; ownership</t>
        </is>
      </c>
      <c r="FU29" s="56" t="inlineStr">
        <is>
          <t>Per-person summary · CARBON Mapping Master</t>
        </is>
      </c>
    </row>
    <row r="30" ht="90" customHeight="1">
      <c r="A30" s="51" t="inlineStr">
        <is>
          <t>◂ Back</t>
        </is>
      </c>
      <c r="B30" s="29" t="inlineStr">
        <is>
          <t>Mapped</t>
        </is>
      </c>
      <c r="C30" s="28" t="inlineStr">
        <is>
          <t>CARBON</t>
        </is>
      </c>
      <c r="D30" s="29" t="inlineStr">
        <is>
          <t>IRIS0977</t>
        </is>
      </c>
      <c r="E30" s="29" t="inlineStr">
        <is>
          <t>Mohammed Dholkawala</t>
        </is>
      </c>
      <c r="F30" s="29" t="inlineStr">
        <is>
          <t>Services</t>
        </is>
      </c>
      <c r="G30" s="29" t="inlineStr">
        <is>
          <t>Lead - Assisted Services</t>
        </is>
      </c>
      <c r="H30" s="29" t="inlineStr">
        <is>
          <t>Manager – Assisted Services</t>
        </is>
      </c>
      <c r="I30" s="29" t="inlineStr">
        <is>
          <t>L5 – Lead · IC</t>
        </is>
      </c>
      <c r="J30" s="29" t="inlineStr">
        <is>
          <t>B2</t>
        </is>
      </c>
      <c r="K30" s="29" t="inlineStr">
        <is>
          <t>▼ Down · protected</t>
        </is>
      </c>
      <c r="L30" s="29" t="inlineStr">
        <is>
          <t>Consulting &amp; Professional Services</t>
        </is>
      </c>
      <c r="M30" s="29" t="inlineStr">
        <is>
          <t>XBRL Tagging, Conversion &amp; Filing</t>
        </is>
      </c>
      <c r="N30" s="29" t="n"/>
      <c r="O30" s="29" t="n">
        <v>20</v>
      </c>
      <c r="P30" s="28" t="inlineStr">
        <is>
          <t>P4 / M3</t>
        </is>
      </c>
      <c r="Q30" s="29" t="inlineStr">
        <is>
          <t>Senior / Manager</t>
        </is>
      </c>
      <c r="R30" s="29" t="inlineStr">
        <is>
          <t>4–5</t>
        </is>
      </c>
      <c r="S30" s="29" t="inlineStr">
        <is>
          <t>6–9 yrs</t>
        </is>
      </c>
      <c r="T30" s="29" t="inlineStr">
        <is>
          <t>7–10 · 6–11</t>
        </is>
      </c>
      <c r="U30" s="29" t="inlineStr">
        <is>
          <t>Manager</t>
        </is>
      </c>
      <c r="V30" s="29" t="inlineStr">
        <is>
          <t>Big Four: Manager · IRIS Vs Market Benchmark — XBRL US credential pathway: Certificate + review authority</t>
        </is>
      </c>
      <c r="W30" s="29" t="inlineStr">
        <is>
          <t>XBRL US GAAP Certificate · AICPA &amp; XBRL US; XBRL International specifications; IFRS / US GAAP / Ind AS</t>
        </is>
      </c>
      <c r="X30" s="29" t="inlineStr">
        <is>
          <t>Core 3 · Future 3 · Functional 4 · Leadership 3</t>
        </is>
      </c>
      <c r="Y30" s="52" t="n">
        <v>102</v>
      </c>
      <c r="Z30" s="53" t="inlineStr">
        <is>
          <t>IRIS0977</t>
        </is>
      </c>
      <c r="AA30" s="53" t="inlineStr">
        <is>
          <t>Employee</t>
        </is>
      </c>
      <c r="AB30" s="53" t="inlineStr">
        <is>
          <t>Active</t>
        </is>
      </c>
      <c r="AC30" s="53" t="inlineStr">
        <is>
          <t>Mohammed Dholkawala</t>
        </is>
      </c>
      <c r="AD30" s="54" t="n">
        <v>40826</v>
      </c>
      <c r="AE30" s="53" t="inlineStr">
        <is>
          <t>Lead - Assisted Services</t>
        </is>
      </c>
      <c r="AF30" s="53" t="inlineStr">
        <is>
          <t>B.Com</t>
        </is>
      </c>
      <c r="AG30" s="53" t="inlineStr">
        <is>
          <t>Shashikant Mudaliar</t>
        </is>
      </c>
      <c r="AH30" s="53" t="inlineStr">
        <is>
          <t>N-6</t>
        </is>
      </c>
      <c r="AI30" s="53" t="inlineStr">
        <is>
          <t>Manager</t>
        </is>
      </c>
      <c r="AJ30" s="53" t="inlineStr">
        <is>
          <t>0 years, 0 months, 0 days</t>
        </is>
      </c>
      <c r="AK30" s="53" t="inlineStr">
        <is>
          <t>14 years, 10 months, 15 days</t>
        </is>
      </c>
      <c r="AL30" s="53" t="inlineStr">
        <is>
          <t>Regtech</t>
        </is>
      </c>
      <c r="AM30" s="53" t="inlineStr">
        <is>
          <t>CARBON</t>
        </is>
      </c>
      <c r="AN30" s="53" t="inlineStr">
        <is>
          <t>Services</t>
        </is>
      </c>
      <c r="AO30" s="53" t="inlineStr">
        <is>
          <t>Expert Assisted services</t>
        </is>
      </c>
      <c r="AP30" s="53" t="inlineStr">
        <is>
          <t>No</t>
        </is>
      </c>
      <c r="AQ30" s="53" t="inlineStr">
        <is>
          <t>Professional Services</t>
        </is>
      </c>
      <c r="AR30" s="53" t="inlineStr">
        <is>
          <t>XBRL Domain</t>
        </is>
      </c>
      <c r="AS30" s="53" t="inlineStr">
        <is>
          <t>Non-technical</t>
        </is>
      </c>
      <c r="AT30" s="53" t="n">
        <v>20</v>
      </c>
      <c r="AU30" s="53" t="inlineStr">
        <is>
          <t>Covered</t>
        </is>
      </c>
      <c r="AV30" s="53" t="inlineStr">
        <is>
          <t>IRIS0977</t>
        </is>
      </c>
      <c r="AW30" s="53" t="inlineStr">
        <is>
          <t>Mohammed Dholkawala</t>
        </is>
      </c>
      <c r="AX30" s="53" t="inlineStr">
        <is>
          <t>Services</t>
        </is>
      </c>
      <c r="AY30" s="53" t="inlineStr">
        <is>
          <t>Professional Services</t>
        </is>
      </c>
      <c r="AZ30" s="53" t="inlineStr">
        <is>
          <t>XBRL / Regulatory Reporting</t>
        </is>
      </c>
      <c r="BA30" s="53" t="n"/>
      <c r="BB30" s="53" t="n"/>
      <c r="BC30" s="53" t="inlineStr">
        <is>
          <t>Employee</t>
        </is>
      </c>
      <c r="BD30" s="53" t="inlineStr">
        <is>
          <t>Shashikant Mudaliar</t>
        </is>
      </c>
      <c r="BE30" s="53" t="inlineStr">
        <is>
          <t>Shashikant Mudaliar</t>
        </is>
      </c>
      <c r="BF30" s="53" t="inlineStr">
        <is>
          <t>No</t>
        </is>
      </c>
      <c r="BG30" s="53" t="inlineStr">
        <is>
          <t>Lead - Assisted Services</t>
        </is>
      </c>
      <c r="BH30" s="53" t="inlineStr">
        <is>
          <t>Lead - Assisted Services</t>
        </is>
      </c>
      <c r="BI30" s="53" t="inlineStr">
        <is>
          <t>No</t>
        </is>
      </c>
      <c r="BJ30" s="53" t="n">
        <v>6</v>
      </c>
      <c r="BK30" s="53" t="n">
        <v>6</v>
      </c>
      <c r="BL30" s="53" t="n">
        <v>0</v>
      </c>
      <c r="BM30" s="53" t="inlineStr">
        <is>
          <t>Healthy</t>
        </is>
      </c>
      <c r="BN30" s="53" t="n">
        <v>6</v>
      </c>
      <c r="BO30" s="53" t="n">
        <v>6</v>
      </c>
      <c r="BP30" s="53" t="n">
        <v>0</v>
      </c>
      <c r="BQ30" s="53" t="inlineStr">
        <is>
          <t>Healthy</t>
        </is>
      </c>
      <c r="BR30" s="53" t="inlineStr">
        <is>
          <t>No</t>
        </is>
      </c>
      <c r="BS30" s="53" t="inlineStr">
        <is>
          <t>L5 – Lead · IC</t>
        </is>
      </c>
      <c r="BT30" s="53" t="inlineStr">
        <is>
          <t>L5 – Lead · IC</t>
        </is>
      </c>
      <c r="BU30" s="53" t="inlineStr">
        <is>
          <t>No designation change — current record value carried forward</t>
        </is>
      </c>
      <c r="BV30" s="53" t="inlineStr">
        <is>
          <t>1. Ensure files processed by team with &gt;=99% accuracy · zero critical errors.
2. Meet 100% of regulatory / client filing deadlines · no SLA breaches
3. Ensure 0% regulatory rejections across all submitted filings · Excluding issues not highlighted by our validator.
4. Cross-train team on at least 2 filing Mandate/Product.
5. Deliver zero escalations from key clients.</t>
        </is>
      </c>
      <c r="BW30" s="53" t="n"/>
      <c r="BX30" s="53" t="inlineStr">
        <is>
          <t>India - MCA; USA - SEC.</t>
        </is>
      </c>
      <c r="BY30" s="53" t="n"/>
      <c r="BZ30" s="53" t="inlineStr">
        <is>
          <t>IRIS0977</t>
        </is>
      </c>
      <c r="CA30" s="53" t="inlineStr">
        <is>
          <t>Employee</t>
        </is>
      </c>
      <c r="CB30" s="53" t="inlineStr">
        <is>
          <t>Active</t>
        </is>
      </c>
      <c r="CC30" s="53" t="inlineStr">
        <is>
          <t>Mohammed Dholkawala</t>
        </is>
      </c>
      <c r="CD30" s="54" t="n">
        <v>40826</v>
      </c>
      <c r="CE30" s="53" t="inlineStr">
        <is>
          <t>Lead - Assisted Services</t>
        </is>
      </c>
      <c r="CF30" s="53" t="n"/>
      <c r="CG30" s="53" t="inlineStr">
        <is>
          <t>Professional Services</t>
        </is>
      </c>
      <c r="CH30" s="53" t="inlineStr">
        <is>
          <t>XBRL / Regulatory Reporting</t>
        </is>
      </c>
      <c r="CI30" s="53" t="inlineStr">
        <is>
          <t>Lead - Assisted Services</t>
        </is>
      </c>
      <c r="CJ30" s="53" t="inlineStr">
        <is>
          <t>L5 – Lead · IC</t>
        </is>
      </c>
      <c r="CK30" s="53" t="inlineStr">
        <is>
          <t>Shashikant Mudaliar</t>
        </is>
      </c>
      <c r="CL30" s="53" t="inlineStr">
        <is>
          <t>N-6</t>
        </is>
      </c>
      <c r="CM30" s="53" t="inlineStr">
        <is>
          <t>Player Cum Coach</t>
        </is>
      </c>
      <c r="CN30" s="53" t="inlineStr">
        <is>
          <t>Regtech</t>
        </is>
      </c>
      <c r="CO30" s="53" t="inlineStr">
        <is>
          <t>Services</t>
        </is>
      </c>
      <c r="CP30" s="53" t="inlineStr">
        <is>
          <t>14 years, 8 months, 10 days</t>
        </is>
      </c>
      <c r="CQ30" s="53" t="n"/>
      <c r="CR30" s="53" t="n"/>
      <c r="CS30" s="53" t="n">
        <v>4</v>
      </c>
      <c r="CT30" s="53" t="inlineStr">
        <is>
          <t>High</t>
        </is>
      </c>
      <c r="CU30" s="53" t="inlineStr">
        <is>
          <t>Emerging Talent</t>
        </is>
      </c>
      <c r="CV30" s="53" t="inlineStr">
        <is>
          <t>Yes</t>
        </is>
      </c>
      <c r="CW30" s="53" t="inlineStr">
        <is>
          <t>No</t>
        </is>
      </c>
      <c r="CX30" s="53" t="inlineStr">
        <is>
          <t>Yes</t>
        </is>
      </c>
      <c r="CY30" s="53" t="n"/>
      <c r="CZ30" s="53" t="n"/>
      <c r="DA30" s="53" t="n"/>
      <c r="DB30" s="53" t="n"/>
      <c r="DC30" s="53" t="n"/>
      <c r="DD30" s="53" t="n"/>
      <c r="DE30" s="53" t="n"/>
      <c r="DF30" s="53" t="n"/>
      <c r="DG30" s="53" t="n"/>
      <c r="DH30" s="53" t="n"/>
      <c r="DI30" s="53" t="n"/>
      <c r="DJ30" s="53" t="n"/>
      <c r="DK30" s="53" t="n"/>
      <c r="DL30" s="53" t="n"/>
      <c r="DM30" s="53" t="n"/>
      <c r="DN30" s="53" t="n"/>
      <c r="DO30" s="53" t="n"/>
      <c r="DP30" s="53" t="n"/>
      <c r="DQ30" s="53" t="n"/>
      <c r="DR30" s="53" t="n"/>
      <c r="DS30" s="53" t="n"/>
      <c r="DT30" s="53" t="n"/>
      <c r="DU30" s="53" t="n"/>
      <c r="DV30" s="53" t="n"/>
      <c r="DW30" s="53" t="n"/>
      <c r="DX30" s="53" t="n"/>
      <c r="DY30" s="53" t="n"/>
      <c r="DZ30" s="53" t="n"/>
      <c r="EA30" s="53" t="n"/>
      <c r="EB30" s="53" t="n"/>
      <c r="EC30" s="53" t="n"/>
      <c r="ED30" s="53" t="n"/>
      <c r="EE30" s="53" t="n"/>
      <c r="EF30" s="53" t="n"/>
      <c r="EG30" s="53" t="n"/>
      <c r="EH30" s="53" t="n"/>
      <c r="EI30" s="53" t="n"/>
      <c r="EJ30" s="53" t="n"/>
      <c r="EK30" s="53" t="n"/>
      <c r="EL30" s="53" t="n"/>
      <c r="EM30" s="53" t="n"/>
      <c r="EN30" s="53" t="n"/>
      <c r="EO30" s="53" t="n"/>
      <c r="EP30" s="53" t="n"/>
      <c r="EQ30" s="53" t="n"/>
      <c r="ER30" s="53" t="n"/>
      <c r="ES30" s="53" t="n"/>
      <c r="ET30" s="53" t="n"/>
      <c r="EU30" s="53" t="n"/>
      <c r="EV30" s="53" t="n"/>
      <c r="EW30" s="52" t="n"/>
      <c r="EX30" s="53" t="inlineStr">
        <is>
          <t>• Role / sub-team: Services - Disclosure management for US Region.</t>
        </is>
      </c>
      <c r="EY30" s="53" t="inlineStr">
        <is>
          <t>• Key responsibilities include: Team management, Doubt solving, R&amp;D, Meeting related to UAT, learning and development related to new updates, Providing training, tracking Deliverables and resource planning, data maintaining, testg.
• Reported deliverables and outcomes include: Internal handovers are flagged to leads for reallocation; completed files are emailed to the client or shared via platform access.
• Additional duties outside usual job: Helping SDR team for page count for pricing. UAT testing.</t>
        </is>
      </c>
      <c r="EZ30" s="53" t="inlineStr">
        <is>
          <t>• Current capabilities: Time management collabrat; Working underpressure; Flexible; Adaptiblity; Tools / software used: Both | Ifile [Teams chat].</t>
        </is>
      </c>
      <c r="FA30" s="53" t="inlineStr">
        <is>
          <t>• Development priorities: No input received.
• Learning and Development Need: Refresher training; important-points discussion; shift managing; knowledge sharing to others; checklist preparation.</t>
        </is>
      </c>
      <c r="FB30" s="53" t="inlineStr">
        <is>
          <t>• Key challenges: Peakseason resource short; RDP ISSUE; Technical; Single screen issue; Small laptop screen.
• Support required: No input received.</t>
        </is>
      </c>
      <c r="FC30" s="53" t="n"/>
      <c r="FD30" s="53" t="n"/>
      <c r="FE30" s="57" t="inlineStr">
        <is>
          <t>1. Ensure files processed by team with &gt;=99% accuracy · zero critical errors.
2. Meet 100% of regulatory / client filing deadlines · no SLA breaches
3. Ensure 0% regulatory rejections across all submitted filings · Excluding issues not highlighted by our validator.
4. Cross-train team on at least 2 filing Mandate/Product.
5. Deliver zero escalations from key clients.</t>
        </is>
      </c>
      <c r="FF30" s="56" t="n"/>
      <c r="FG30" s="56" t="n"/>
      <c r="FH30" s="56" t="n"/>
      <c r="FI30" s="56" t="n"/>
      <c r="FJ30" s="56" t="inlineStr">
        <is>
          <t>Received · manager annual</t>
        </is>
      </c>
      <c r="FK30" s="56" t="inlineStr">
        <is>
          <t>CARBON Mapping Master</t>
        </is>
      </c>
      <c r="FL30" s="56" t="n">
        <v>20</v>
      </c>
      <c r="FM30" s="56" t="inlineStr">
        <is>
          <t>• Role / sub-team: Services - Disclosure management for US Region.</t>
        </is>
      </c>
      <c r="FN30" s="56" t="inlineStr">
        <is>
          <t>• Key responsibilities include: Team management, Doubt solving, R&amp;D, Meeting related to UAT, learning and development related to new updates, Providing training, tracking Deliverables and resource planning, data maintaining, testg.
• Reported deliverables and outcomes include: Internal handovers are flagged to leads for reallocation; completed files are emailed to the client or shared via platform access.
• Additional duties outside usual job: Helping SDR team for page count for pricing. UAT testing.</t>
        </is>
      </c>
      <c r="FO30" s="56" t="inlineStr">
        <is>
          <t>• Current capabilities: Time management collabrat; Working underpressure; Flexible; Adaptiblity; Tools / software used: Both | Ifile [Teams chat].</t>
        </is>
      </c>
      <c r="FP30" s="56" t="inlineStr">
        <is>
          <t>• Development priorities: No input received.
• Learning and Development Need: Refresher training; important-points discussion; shift managing; knowledge sharing to others; checklist preparation.</t>
        </is>
      </c>
      <c r="FQ30" s="56" t="inlineStr">
        <is>
          <t>• Key challenges: Peakseason resource short; RDP ISSUE; Technical; Single screen issue; Small laptop screen.
• Support required: No input received.</t>
        </is>
      </c>
      <c r="FR30" s="56" t="inlineStr">
        <is>
          <t>Complexity: Evidence reads like B1: Runs US mandate Disclosure Management delivery: quality, issue resolution, UAT sign-off, utilisation reporting → matches the start
Autonomy: Evidence reads like B2: Allocates and rebalances workload, prioritises tasks, takes corrective action within established processes → moved up 0.5
Accountability: Evidence reads like B1: Delivery, quality and timelines of a five-person US mandate team; UAT sign-off → matches the start
Leadership: Evidence reads like B1: Five direct reports; allocates work, day-to-day guidance, training per manager note → matches the start
Business Impact: Moved +0.5: the survey / manager mapping marks it business-critical.</t>
        </is>
      </c>
      <c r="FS30" s="56" t="inlineStr">
        <is>
          <t>Common themes in role-holders' answers: manage · carbon · quality · deadlines · maintaining · smooth
Common themes in role-holders' answers: delivery · allocation · testing · quality · management · product
Common themes in role-holders' answers: xbrl · reports · word · files · deliver · pdf
Common themes in role-holders' answers: am · personally accountable · quality · delivery · timelines · allocation
Common themes in role-holders' answers: corrective · take · day-to-day · issues · allocate · quality
If the work is missed · role-holders' themes: client · escalation · effort · lead.</t>
        </is>
      </c>
      <c r="FT30" s="56" t="inlineStr">
        <is>
          <t>Self-identified: Leadership &amp; people management · Data, SQL &amp; analytics · Domain, regulatory &amp; XBRL · Client, sales &amp; stakeholders · Broader exposure &amp; ownership
For the next role: Leadership &amp; people management · Data, SQL &amp; analytics · Domain, regulatory &amp; XBRL · Client, sales &amp; stakeholders · Strategy &amp; business acumen · Broader exposure &amp; ownership</t>
        </is>
      </c>
      <c r="FU30" s="56" t="inlineStr">
        <is>
          <t>Per-person summary · CARBON Mapping Master</t>
        </is>
      </c>
    </row>
    <row r="31" ht="90" customHeight="1">
      <c r="A31" s="51" t="inlineStr">
        <is>
          <t>◂ Back</t>
        </is>
      </c>
      <c r="B31" s="29" t="inlineStr">
        <is>
          <t>Mapped</t>
        </is>
      </c>
      <c r="C31" s="28" t="inlineStr">
        <is>
          <t>CARBON</t>
        </is>
      </c>
      <c r="D31" s="29" t="inlineStr">
        <is>
          <t>IRIS1950</t>
        </is>
      </c>
      <c r="E31" s="29" t="inlineStr">
        <is>
          <t>Manish Lipcha</t>
        </is>
      </c>
      <c r="F31" s="29" t="inlineStr">
        <is>
          <t>Services</t>
        </is>
      </c>
      <c r="G31" s="29" t="inlineStr">
        <is>
          <t>Senior Financial Analyst</t>
        </is>
      </c>
      <c r="H31" s="29" t="inlineStr">
        <is>
          <t>XBRL Specialist</t>
        </is>
      </c>
      <c r="I31" s="29" t="inlineStr">
        <is>
          <t>L4 – Senior</t>
        </is>
      </c>
      <c r="J31" s="29" t="inlineStr">
        <is>
          <t>B1</t>
        </is>
      </c>
      <c r="K31" s="29" t="inlineStr">
        <is>
          <t>▲ Up</t>
        </is>
      </c>
      <c r="L31" s="29" t="inlineStr">
        <is>
          <t>Consulting &amp; Professional Services</t>
        </is>
      </c>
      <c r="M31" s="29" t="inlineStr">
        <is>
          <t>XBRL Tagging, Conversion &amp; Filing</t>
        </is>
      </c>
      <c r="N31" s="29" t="inlineStr">
        <is>
          <t>• Confirm the reporting line — Manager</t>
        </is>
      </c>
      <c r="O31" s="29" t="n">
        <v>20</v>
      </c>
      <c r="P31" s="28" t="inlineStr">
        <is>
          <t>P3 / M2</t>
        </is>
      </c>
      <c r="Q31" s="29" t="inlineStr">
        <is>
          <t>Career / · Team Lead</t>
        </is>
      </c>
      <c r="R31" s="29" t="inlineStr">
        <is>
          <t>4 Enable</t>
        </is>
      </c>
      <c r="S31" s="29" t="inlineStr">
        <is>
          <t>4–7 yrs</t>
        </is>
      </c>
      <c r="T31" s="29" t="inlineStr">
        <is>
          <t>5–8 · 4–8</t>
        </is>
      </c>
      <c r="U31" s="29" t="inlineStr">
        <is>
          <t>Consultant / Senior Associate</t>
        </is>
      </c>
      <c r="V31" s="29" t="inlineStr">
        <is>
          <t>Big Four: Senior Consultant · IRIS Vs Market Benchmark — XBRL US credential pathway: Certificate + specialist taxonomy</t>
        </is>
      </c>
      <c r="W31" s="29" t="inlineStr">
        <is>
          <t>XBRL US GAAP Certificate · AICPA &amp; XBRL US; XBRL International specifications; IFRS / US GAAP / Ind AS</t>
        </is>
      </c>
      <c r="X31" s="29" t="inlineStr">
        <is>
          <t>Core 3 · Future 3 · Functional 3 · Leadership 1</t>
        </is>
      </c>
      <c r="Y31" s="52" t="n">
        <v>196</v>
      </c>
      <c r="Z31" s="53" t="inlineStr">
        <is>
          <t>IRIS1950</t>
        </is>
      </c>
      <c r="AA31" s="53" t="inlineStr">
        <is>
          <t>Employee</t>
        </is>
      </c>
      <c r="AB31" s="53" t="inlineStr">
        <is>
          <t>Active</t>
        </is>
      </c>
      <c r="AC31" s="53" t="inlineStr">
        <is>
          <t>Manish Lipcha</t>
        </is>
      </c>
      <c r="AD31" s="54" t="n">
        <v>44445</v>
      </c>
      <c r="AE31" s="53" t="inlineStr">
        <is>
          <t>Senior Financial Analyst</t>
        </is>
      </c>
      <c r="AF31" s="53" t="inlineStr">
        <is>
          <t>MMS</t>
        </is>
      </c>
      <c r="AG31" s="53" t="inlineStr">
        <is>
          <t>Mohammed Dholkawala</t>
        </is>
      </c>
      <c r="AH31" s="53" t="inlineStr">
        <is>
          <t>N-7</t>
        </is>
      </c>
      <c r="AI31" s="53" t="inlineStr">
        <is>
          <t>Individual Contributor</t>
        </is>
      </c>
      <c r="AJ31" s="53" t="inlineStr">
        <is>
          <t>3 years, 4 months, 0 days</t>
        </is>
      </c>
      <c r="AK31" s="53" t="inlineStr">
        <is>
          <t>4 years, 11 months, 19 days</t>
        </is>
      </c>
      <c r="AL31" s="53" t="inlineStr">
        <is>
          <t>Regtech</t>
        </is>
      </c>
      <c r="AM31" s="53" t="inlineStr">
        <is>
          <t>CARBON</t>
        </is>
      </c>
      <c r="AN31" s="53" t="inlineStr">
        <is>
          <t>Services</t>
        </is>
      </c>
      <c r="AO31" s="53" t="inlineStr">
        <is>
          <t>Expert Assisted services</t>
        </is>
      </c>
      <c r="AP31" s="53" t="inlineStr">
        <is>
          <t>No</t>
        </is>
      </c>
      <c r="AQ31" s="53" t="inlineStr">
        <is>
          <t>Professional Services</t>
        </is>
      </c>
      <c r="AR31" s="53" t="inlineStr">
        <is>
          <t>XBRL Domain</t>
        </is>
      </c>
      <c r="AS31" s="53" t="inlineStr">
        <is>
          <t>Non-technical</t>
        </is>
      </c>
      <c r="AT31" s="53" t="n">
        <v>20</v>
      </c>
      <c r="AU31" s="53" t="inlineStr">
        <is>
          <t>Covered</t>
        </is>
      </c>
      <c r="AV31" s="53" t="inlineStr">
        <is>
          <t>IRIS1950</t>
        </is>
      </c>
      <c r="AW31" s="53" t="inlineStr">
        <is>
          <t>Manish Lipcha</t>
        </is>
      </c>
      <c r="AX31" s="53" t="inlineStr">
        <is>
          <t>Services</t>
        </is>
      </c>
      <c r="AY31" s="53" t="inlineStr">
        <is>
          <t>Professional Services</t>
        </is>
      </c>
      <c r="AZ31" s="53" t="inlineStr">
        <is>
          <t>XBRL / Regulatory Reporting</t>
        </is>
      </c>
      <c r="BA31" s="53" t="n"/>
      <c r="BB31" s="53" t="n"/>
      <c r="BC31" s="53" t="inlineStr">
        <is>
          <t>Employee</t>
        </is>
      </c>
      <c r="BD31" s="53" t="inlineStr">
        <is>
          <t>Mohammed Dholkawala</t>
        </is>
      </c>
      <c r="BE31" s="53" t="inlineStr">
        <is>
          <t>Mohammed Dholkawala</t>
        </is>
      </c>
      <c r="BF31" s="53" t="inlineStr">
        <is>
          <t>No</t>
        </is>
      </c>
      <c r="BG31" s="53" t="inlineStr">
        <is>
          <t>Senior Financial Analyst</t>
        </is>
      </c>
      <c r="BH31" s="53" t="inlineStr">
        <is>
          <t>Senior Services Specialist</t>
        </is>
      </c>
      <c r="BI31" s="53" t="inlineStr">
        <is>
          <t>Yes</t>
        </is>
      </c>
      <c r="BJ31" s="53" t="inlineStr">
        <is>
          <t>—</t>
        </is>
      </c>
      <c r="BK31" s="53" t="inlineStr">
        <is>
          <t>—</t>
        </is>
      </c>
      <c r="BL31" s="53" t="inlineStr">
        <is>
          <t>—</t>
        </is>
      </c>
      <c r="BM31" s="53" t="inlineStr">
        <is>
          <t>Not a manager</t>
        </is>
      </c>
      <c r="BN31" s="53" t="inlineStr">
        <is>
          <t>—</t>
        </is>
      </c>
      <c r="BO31" s="53" t="inlineStr">
        <is>
          <t>—</t>
        </is>
      </c>
      <c r="BP31" s="53" t="inlineStr">
        <is>
          <t>—</t>
        </is>
      </c>
      <c r="BQ31" s="53" t="inlineStr">
        <is>
          <t>Not a manager</t>
        </is>
      </c>
      <c r="BR31" s="53" t="inlineStr">
        <is>
          <t>—</t>
        </is>
      </c>
      <c r="BS31" s="53" t="inlineStr">
        <is>
          <t>L4 – Senior</t>
        </is>
      </c>
      <c r="BT31" s="53" t="inlineStr">
        <is>
          <t>L4 – Senior</t>
        </is>
      </c>
      <c r="BU31" s="53" t="inlineStr">
        <is>
          <t>Designation refined from Raw tab Comments column · this update</t>
        </is>
      </c>
      <c r="BV31"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W31" s="53" t="n"/>
      <c r="BX31" s="53" t="inlineStr">
        <is>
          <t>USA - SEC.</t>
        </is>
      </c>
      <c r="BY31" s="53" t="n"/>
      <c r="BZ31" s="53" t="inlineStr">
        <is>
          <t>IRIS1950</t>
        </is>
      </c>
      <c r="CA31" s="53" t="inlineStr">
        <is>
          <t>Employee</t>
        </is>
      </c>
      <c r="CB31" s="53" t="inlineStr">
        <is>
          <t>Active</t>
        </is>
      </c>
      <c r="CC31" s="53" t="inlineStr">
        <is>
          <t>Manish Lipcha</t>
        </is>
      </c>
      <c r="CD31" s="54" t="n">
        <v>44445</v>
      </c>
      <c r="CE31" s="53" t="inlineStr">
        <is>
          <t>Senior Financial Analyst</t>
        </is>
      </c>
      <c r="CF31" s="53" t="n"/>
      <c r="CG31" s="53" t="inlineStr">
        <is>
          <t>Professional Services</t>
        </is>
      </c>
      <c r="CH31" s="53" t="inlineStr">
        <is>
          <t>XBRL / Regulatory Reporting</t>
        </is>
      </c>
      <c r="CI31" s="53" t="inlineStr">
        <is>
          <t>Senior Financial Analyst</t>
        </is>
      </c>
      <c r="CJ31" s="53" t="inlineStr">
        <is>
          <t>L4 – Senior</t>
        </is>
      </c>
      <c r="CK31" s="53" t="inlineStr">
        <is>
          <t>Mohammed Dholkawala</t>
        </is>
      </c>
      <c r="CL31" s="53" t="inlineStr">
        <is>
          <t>N-7</t>
        </is>
      </c>
      <c r="CM31" s="53" t="inlineStr">
        <is>
          <t>Individual Contributor</t>
        </is>
      </c>
      <c r="CN31" s="53" t="inlineStr">
        <is>
          <t>Regtech</t>
        </is>
      </c>
      <c r="CO31" s="53" t="inlineStr">
        <is>
          <t>Services</t>
        </is>
      </c>
      <c r="CP31" s="53" t="inlineStr">
        <is>
          <t>8 years, 1 months, 14 days</t>
        </is>
      </c>
      <c r="CQ31" s="53" t="inlineStr">
        <is>
          <t>Senior Services Specialst</t>
        </is>
      </c>
      <c r="CR31" s="53" t="n"/>
      <c r="CS31" s="53" t="n">
        <v>4</v>
      </c>
      <c r="CT31" s="53" t="inlineStr">
        <is>
          <t>High</t>
        </is>
      </c>
      <c r="CU31" s="53" t="inlineStr">
        <is>
          <t>Core Contributor</t>
        </is>
      </c>
      <c r="CV31" s="53" t="inlineStr">
        <is>
          <t>Yes</t>
        </is>
      </c>
      <c r="CW31" s="53" t="inlineStr">
        <is>
          <t>No</t>
        </is>
      </c>
      <c r="CX31" s="53" t="inlineStr">
        <is>
          <t>Yes</t>
        </is>
      </c>
      <c r="CY31" s="53" t="n"/>
      <c r="CZ31" s="53" t="n"/>
      <c r="DA31" s="53" t="n"/>
      <c r="DB31" s="53" t="inlineStr">
        <is>
          <t>Title to be standardized to: Senior Services Specialist</t>
        </is>
      </c>
      <c r="DC31" s="53" t="n"/>
      <c r="DD31" s="53" t="n"/>
      <c r="DE31" s="53" t="n"/>
      <c r="DF31" s="53" t="n"/>
      <c r="DG31" s="53" t="n"/>
      <c r="DH31" s="53" t="n"/>
      <c r="DI31" s="53" t="n"/>
      <c r="DJ31" s="53" t="n"/>
      <c r="DK31" s="53" t="n"/>
      <c r="DL31" s="53" t="n"/>
      <c r="DM31" s="53" t="n"/>
      <c r="DN31" s="53" t="n"/>
      <c r="DO31" s="53" t="n"/>
      <c r="DP31" s="53" t="n"/>
      <c r="DQ31" s="53" t="n"/>
      <c r="DR31" s="53" t="n"/>
      <c r="DS31" s="53" t="n"/>
      <c r="DT31" s="53" t="n"/>
      <c r="DU31" s="53" t="n"/>
      <c r="DV31" s="53" t="n"/>
      <c r="DW31" s="53" t="n"/>
      <c r="DX31" s="53" t="n"/>
      <c r="DY31" s="53" t="n"/>
      <c r="DZ31" s="53" t="n"/>
      <c r="EA31" s="53" t="n"/>
      <c r="EB31" s="53" t="n"/>
      <c r="EC31" s="53" t="n"/>
      <c r="ED31" s="53" t="n"/>
      <c r="EE31" s="53" t="n"/>
      <c r="EF31" s="53" t="n"/>
      <c r="EG31" s="53" t="n"/>
      <c r="EH31" s="53" t="n"/>
      <c r="EI31" s="53" t="n"/>
      <c r="EJ31" s="53" t="n"/>
      <c r="EK31" s="53" t="n"/>
      <c r="EL31" s="53" t="n"/>
      <c r="EM31" s="53" t="n"/>
      <c r="EN31" s="53" t="n"/>
      <c r="EO31" s="53" t="n"/>
      <c r="EP31" s="53" t="n"/>
      <c r="EQ31" s="53" t="n"/>
      <c r="ER31" s="53" t="n"/>
      <c r="ES31" s="53" t="n"/>
      <c r="ET31" s="53" t="n"/>
      <c r="EU31" s="53" t="n"/>
      <c r="EV31" s="53" t="n"/>
      <c r="EW31" s="52" t="n"/>
      <c r="EX31" s="53" t="inlineStr">
        <is>
          <t>• Role / sub-team: Shift lead, XBRL tagging, Quality check, Validation, R&amp;D for US team.</t>
        </is>
      </c>
      <c r="EY31" s="53" t="inlineStr">
        <is>
          <t>• Key responsibilities include: Shift lead, XBRL tagging, Quality check, R&amp;D Analyzes annual SEC/FASB taxonomy updates, regulatory mandates · like new disclosure rules.
• Reported deliverables and outcomes include: Completed output is delivered directly to the client; unfinished tasks are handed over to the Shift Lead for reassignment.</t>
        </is>
      </c>
      <c r="EZ31" s="53" t="inlineStr">
        <is>
          <t>• Current capabilities: Patience; Tools / software used: Both.</t>
        </is>
      </c>
      <c r="FA31" s="53" t="inlineStr">
        <is>
          <t>• Development priorities: No input received.
• Learning and Development Need: Patience.</t>
        </is>
      </c>
      <c r="FB31" s="53" t="inlineStr">
        <is>
          <t>• Key challenges: RDP issue.
• Support required: No input received.</t>
        </is>
      </c>
      <c r="FC31" s="53" t="n"/>
      <c r="FD31" s="53" t="n"/>
      <c r="FE31"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FF31" s="56" t="n"/>
      <c r="FG31" s="56" t="n"/>
      <c r="FH31" s="56" t="n"/>
      <c r="FI31" s="56" t="n"/>
      <c r="FJ31" s="56" t="inlineStr">
        <is>
          <t>Received · manager annual</t>
        </is>
      </c>
      <c r="FK31" s="56" t="inlineStr">
        <is>
          <t>CARBON Mapping Master</t>
        </is>
      </c>
      <c r="FL31" s="56" t="n">
        <v>20</v>
      </c>
      <c r="FM31" s="56" t="inlineStr">
        <is>
          <t>• Role / sub-team: Shift lead, XBRL tagging, Quality check, Validation, R&amp;D for US team.</t>
        </is>
      </c>
      <c r="FN31" s="56" t="inlineStr">
        <is>
          <t>• Key responsibilities include: Shift lead, XBRL tagging, Quality check, R&amp;D Analyzes annual SEC/FASB taxonomy updates, regulatory mandates · like new disclosure rules.
• Reported deliverables and outcomes include: Completed output is delivered directly to the client; unfinished tasks are handed over to the Shift Lead for reassignment.</t>
        </is>
      </c>
      <c r="FO31" s="56" t="inlineStr">
        <is>
          <t>• Current capabilities: Patience; Tools / software used: Both.</t>
        </is>
      </c>
      <c r="FP31" s="56" t="inlineStr">
        <is>
          <t>• Development priorities: No input received.
• Learning and Development Need: Patience.</t>
        </is>
      </c>
      <c r="FQ31" s="56" t="inlineStr">
        <is>
          <t>• Key challenges: RDP issue.
• Support required: No input received.</t>
        </is>
      </c>
      <c r="FR31" s="56" t="inlineStr">
        <is>
          <t>Complexity: Evidence reads like B1: US GAAP/SEC tagging, QC, filings; resolves filing issues; R&amp;D on SEC/FASB taxonomy updates → moved up 0.5
Autonomy: Evidence reads like B1: Assigns and reprioritises work in the shift, resolves routine issues, escalates critical matters → moved up 0.5
Accountability: Evidence reads like A3: Own tagging, reviews and SEC filings plus shift work allocation → matches the start
Leadership: Evidence reads like B1: Shift lead: assigns work and guides team members daily; no formal reports → moved up 1
Business Impact: Moved +0.5: the survey / manager mapping marks it business-critical.</t>
        </is>
      </c>
      <c r="FS31" s="56" t="inlineStr">
        <is>
          <t>Common themes in role-holders' answers: reporting · financial · mandate · timely · while · us
Common themes in role-holders' answers: tagging · validation · quality · mapping · management · filing
Common themes in role-holders' answers: documents · xbrl · quality · timely · overall · filings
Common themes in role-holders' answers: quality · validation · timely · am · tagging · delivery
Common themes in role-holders' answers: resolving · independently · issues · routine · file · analysis
If the work is missed · role-holders' themes: rework · quality · delays · filing.</t>
        </is>
      </c>
      <c r="FT31" s="56" t="inlineStr">
        <is>
          <t>Self-identified: Leadership &amp; people management · Domain, regulatory &amp; XBRL · Client, sales &amp; stakeholders · Communication &amp; presentation · Broader exposure &amp; ownership
For the next role: AI / automation · Leadership &amp; people management · Project / programme management · Data, SQL &amp; analytics · Domain, regulatory &amp; XBRL · Client, sales &amp; stakeholders · Communication &amp; presentation · Strategy &amp; business acumen · Broader exposure &amp; ownership</t>
        </is>
      </c>
      <c r="FU31" s="56" t="inlineStr">
        <is>
          <t>Per-person summary · CARBON Mapping Master</t>
        </is>
      </c>
    </row>
    <row r="32" ht="90" customHeight="1">
      <c r="A32" s="51" t="inlineStr">
        <is>
          <t>◂ Back</t>
        </is>
      </c>
      <c r="B32" s="29" t="inlineStr">
        <is>
          <t>Mapped</t>
        </is>
      </c>
      <c r="C32" s="28" t="inlineStr">
        <is>
          <t>CARBON</t>
        </is>
      </c>
      <c r="D32" s="29" t="inlineStr">
        <is>
          <t>IRIS0027</t>
        </is>
      </c>
      <c r="E32" s="29" t="inlineStr">
        <is>
          <t>Haresh Misal</t>
        </is>
      </c>
      <c r="F32" s="29" t="inlineStr">
        <is>
          <t>Services</t>
        </is>
      </c>
      <c r="G32" s="29" t="inlineStr">
        <is>
          <t>Senior Financial Analyst</t>
        </is>
      </c>
      <c r="H32" s="29" t="inlineStr">
        <is>
          <t>Senior Financial Analyst</t>
        </is>
      </c>
      <c r="I32" s="29" t="inlineStr">
        <is>
          <t>L4 – Senior</t>
        </is>
      </c>
      <c r="J32" s="29" t="inlineStr">
        <is>
          <t>A3</t>
        </is>
      </c>
      <c r="K32" s="29" t="inlineStr">
        <is>
          <t>• Same level</t>
        </is>
      </c>
      <c r="L32" s="29" t="inlineStr">
        <is>
          <t>Consulting &amp; Professional Services</t>
        </is>
      </c>
      <c r="M32" s="29" t="inlineStr">
        <is>
          <t>XBRL Tagging, Conversion &amp; Filing</t>
        </is>
      </c>
      <c r="N32" s="29" t="n"/>
      <c r="O32" s="29" t="n">
        <v>20</v>
      </c>
      <c r="P32" s="28" t="inlineStr">
        <is>
          <t>P2</t>
        </is>
      </c>
      <c r="Q32" s="29" t="inlineStr">
        <is>
          <t>Developing</t>
        </is>
      </c>
      <c r="R32" s="29" t="inlineStr">
        <is>
          <t>3 Apply</t>
        </is>
      </c>
      <c r="S32" s="29" t="inlineStr">
        <is>
          <t>2–4 yrs</t>
        </is>
      </c>
      <c r="T32" s="29" t="inlineStr">
        <is>
          <t>3–5 · 2–5</t>
        </is>
      </c>
      <c r="U32" s="29" t="inlineStr">
        <is>
          <t>Senior Analyst / Associate</t>
        </is>
      </c>
      <c r="V32" s="29" t="inlineStr">
        <is>
          <t>DataTracks: Senior Associate · 2–5 yrs · Big Four: Consultant · IRIS Vs Market Benchmark — XBRL US credential pathway: XBRL US GAAP Certificate</t>
        </is>
      </c>
      <c r="W32" s="29" t="inlineStr">
        <is>
          <t>XBRL US GAAP Certificate · AICPA &amp; XBRL US; XBRL International specifications; IFRS / US GAAP / Ind AS</t>
        </is>
      </c>
      <c r="X32" s="29" t="inlineStr">
        <is>
          <t>Core 2 · Future 2 · Functional 3 · Leadership not scored</t>
        </is>
      </c>
      <c r="Y32" s="52" t="n">
        <v>13</v>
      </c>
      <c r="Z32" s="53" t="inlineStr">
        <is>
          <t>IRIS0027</t>
        </is>
      </c>
      <c r="AA32" s="53" t="inlineStr">
        <is>
          <t>Employee</t>
        </is>
      </c>
      <c r="AB32" s="53" t="inlineStr">
        <is>
          <t>Active</t>
        </is>
      </c>
      <c r="AC32" s="53" t="inlineStr">
        <is>
          <t>Haresh Misal</t>
        </is>
      </c>
      <c r="AD32" s="54" t="n">
        <v>38558</v>
      </c>
      <c r="AE32" s="53" t="inlineStr">
        <is>
          <t>Senior Financial Analyst</t>
        </is>
      </c>
      <c r="AF32" s="53" t="inlineStr">
        <is>
          <t>B.Com</t>
        </is>
      </c>
      <c r="AG32" s="53" t="inlineStr">
        <is>
          <t>Mohammed Dholkawala</t>
        </is>
      </c>
      <c r="AH32" s="53" t="inlineStr">
        <is>
          <t>N-7</t>
        </is>
      </c>
      <c r="AI32" s="53" t="inlineStr">
        <is>
          <t>Individual Contributor</t>
        </is>
      </c>
      <c r="AJ32" s="53" t="inlineStr">
        <is>
          <t>0 years, 0 months, 0 days</t>
        </is>
      </c>
      <c r="AK32" s="53" t="inlineStr">
        <is>
          <t>21 years, 1 months, 0 days</t>
        </is>
      </c>
      <c r="AL32" s="53" t="inlineStr">
        <is>
          <t>Regtech</t>
        </is>
      </c>
      <c r="AM32" s="53" t="inlineStr">
        <is>
          <t>CARBON</t>
        </is>
      </c>
      <c r="AN32" s="53" t="inlineStr">
        <is>
          <t>Services</t>
        </is>
      </c>
      <c r="AO32" s="53" t="inlineStr">
        <is>
          <t>Expert Assisted services</t>
        </is>
      </c>
      <c r="AP32" s="53" t="inlineStr">
        <is>
          <t>No</t>
        </is>
      </c>
      <c r="AQ32" s="53" t="inlineStr">
        <is>
          <t>Professional Services</t>
        </is>
      </c>
      <c r="AR32" s="53" t="inlineStr">
        <is>
          <t>XBRL Domain</t>
        </is>
      </c>
      <c r="AS32" s="53" t="inlineStr">
        <is>
          <t>Non-technical</t>
        </is>
      </c>
      <c r="AT32" s="53" t="n">
        <v>20</v>
      </c>
      <c r="AU32" s="53" t="inlineStr">
        <is>
          <t>Covered</t>
        </is>
      </c>
      <c r="AV32" s="53" t="inlineStr">
        <is>
          <t>IRIS0027</t>
        </is>
      </c>
      <c r="AW32" s="53" t="inlineStr">
        <is>
          <t>Haresh Misal</t>
        </is>
      </c>
      <c r="AX32" s="53" t="inlineStr">
        <is>
          <t>Services</t>
        </is>
      </c>
      <c r="AY32" s="53" t="inlineStr">
        <is>
          <t>Professional Services</t>
        </is>
      </c>
      <c r="AZ32" s="53" t="inlineStr">
        <is>
          <t>XBRL / Regulatory Reporting</t>
        </is>
      </c>
      <c r="BA32" s="53" t="n"/>
      <c r="BB32" s="53" t="n"/>
      <c r="BC32" s="53" t="inlineStr">
        <is>
          <t>Employee</t>
        </is>
      </c>
      <c r="BD32" s="53" t="inlineStr">
        <is>
          <t>Mohammed Dholkawala</t>
        </is>
      </c>
      <c r="BE32" s="53" t="inlineStr">
        <is>
          <t>Mohammed Dholkawala</t>
        </is>
      </c>
      <c r="BF32" s="53" t="inlineStr">
        <is>
          <t>No</t>
        </is>
      </c>
      <c r="BG32" s="53" t="inlineStr">
        <is>
          <t>Senior Financial Analyst</t>
        </is>
      </c>
      <c r="BH32" s="53" t="inlineStr">
        <is>
          <t>Senior Services Specialist</t>
        </is>
      </c>
      <c r="BI32" s="53" t="inlineStr">
        <is>
          <t>Yes</t>
        </is>
      </c>
      <c r="BJ32" s="53" t="inlineStr">
        <is>
          <t>—</t>
        </is>
      </c>
      <c r="BK32" s="53" t="inlineStr">
        <is>
          <t>—</t>
        </is>
      </c>
      <c r="BL32" s="53" t="inlineStr">
        <is>
          <t>—</t>
        </is>
      </c>
      <c r="BM32" s="53" t="inlineStr">
        <is>
          <t>Not a manager</t>
        </is>
      </c>
      <c r="BN32" s="53" t="inlineStr">
        <is>
          <t>—</t>
        </is>
      </c>
      <c r="BO32" s="53" t="inlineStr">
        <is>
          <t>—</t>
        </is>
      </c>
      <c r="BP32" s="53" t="inlineStr">
        <is>
          <t>—</t>
        </is>
      </c>
      <c r="BQ32" s="53" t="inlineStr">
        <is>
          <t>Not a manager</t>
        </is>
      </c>
      <c r="BR32" s="53" t="inlineStr">
        <is>
          <t>—</t>
        </is>
      </c>
      <c r="BS32" s="53" t="inlineStr">
        <is>
          <t>L4 – Senior</t>
        </is>
      </c>
      <c r="BT32" s="53" t="inlineStr">
        <is>
          <t>L4 – Senior</t>
        </is>
      </c>
      <c r="BU32" s="53" t="inlineStr">
        <is>
          <t>Designation refined from Raw tab Comments column · this update</t>
        </is>
      </c>
      <c r="BV32"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W32" s="53" t="n"/>
      <c r="BX32" s="53" t="inlineStr">
        <is>
          <t>USA - SEC.</t>
        </is>
      </c>
      <c r="BY32" s="53" t="n"/>
      <c r="BZ32" s="53" t="inlineStr">
        <is>
          <t>IRIS0027</t>
        </is>
      </c>
      <c r="CA32" s="53" t="inlineStr">
        <is>
          <t>Employee</t>
        </is>
      </c>
      <c r="CB32" s="53" t="inlineStr">
        <is>
          <t>Active</t>
        </is>
      </c>
      <c r="CC32" s="53" t="inlineStr">
        <is>
          <t>Haresh Misal</t>
        </is>
      </c>
      <c r="CD32" s="54" t="n">
        <v>38558</v>
      </c>
      <c r="CE32" s="53" t="inlineStr">
        <is>
          <t>Senior Financial Analyst</t>
        </is>
      </c>
      <c r="CF32" s="53" t="n"/>
      <c r="CG32" s="53" t="inlineStr">
        <is>
          <t>Professional Services</t>
        </is>
      </c>
      <c r="CH32" s="53" t="inlineStr">
        <is>
          <t>XBRL / Regulatory Reporting</t>
        </is>
      </c>
      <c r="CI32" s="53" t="inlineStr">
        <is>
          <t>Senior Financial Analyst</t>
        </is>
      </c>
      <c r="CJ32" s="53" t="inlineStr">
        <is>
          <t>L4 – Senior</t>
        </is>
      </c>
      <c r="CK32" s="53" t="inlineStr">
        <is>
          <t>Mohammed Dholkawala</t>
        </is>
      </c>
      <c r="CL32" s="53" t="inlineStr">
        <is>
          <t>N-7</t>
        </is>
      </c>
      <c r="CM32" s="53" t="inlineStr">
        <is>
          <t>Individual Contributor</t>
        </is>
      </c>
      <c r="CN32" s="53" t="inlineStr">
        <is>
          <t>Regtech</t>
        </is>
      </c>
      <c r="CO32" s="53" t="inlineStr">
        <is>
          <t>Services</t>
        </is>
      </c>
      <c r="CP32" s="53" t="inlineStr">
        <is>
          <t>20 years, 10 months, 26 days</t>
        </is>
      </c>
      <c r="CQ32" s="53" t="inlineStr">
        <is>
          <t>Senior Services Specialst</t>
        </is>
      </c>
      <c r="CR32" s="53" t="n"/>
      <c r="CS32" s="53" t="n">
        <v>2</v>
      </c>
      <c r="CT32" s="53" t="inlineStr">
        <is>
          <t>Low</t>
        </is>
      </c>
      <c r="CU32" s="53" t="inlineStr">
        <is>
          <t>Reliable Specialist</t>
        </is>
      </c>
      <c r="CV32" s="53" t="inlineStr">
        <is>
          <t>No</t>
        </is>
      </c>
      <c r="CW32" s="53" t="inlineStr">
        <is>
          <t>No</t>
        </is>
      </c>
      <c r="CX32" s="53" t="inlineStr">
        <is>
          <t>Yes</t>
        </is>
      </c>
      <c r="CY32" s="53" t="n"/>
      <c r="CZ32" s="53" t="n"/>
      <c r="DA32" s="53" t="n"/>
      <c r="DB32" s="53" t="inlineStr">
        <is>
          <t>Title to be standardized to: Senior Services Specialist</t>
        </is>
      </c>
      <c r="DC32" s="53" t="n"/>
      <c r="DD32" s="53" t="n"/>
      <c r="DE32" s="53" t="n"/>
      <c r="DF32" s="53" t="n"/>
      <c r="DG32" s="53" t="n"/>
      <c r="DH32" s="53" t="n"/>
      <c r="DI32" s="53" t="n"/>
      <c r="DJ32" s="53" t="n"/>
      <c r="DK32" s="53" t="n"/>
      <c r="DL32" s="53" t="n"/>
      <c r="DM32" s="53" t="n"/>
      <c r="DN32" s="53" t="n"/>
      <c r="DO32" s="53" t="n"/>
      <c r="DP32" s="53" t="n"/>
      <c r="DQ32" s="53" t="n"/>
      <c r="DR32" s="53" t="n"/>
      <c r="DS32" s="53" t="n"/>
      <c r="DT32" s="53" t="n"/>
      <c r="DU32" s="53" t="n"/>
      <c r="DV32" s="53" t="n"/>
      <c r="DW32" s="53" t="n"/>
      <c r="DX32" s="53" t="n"/>
      <c r="DY32" s="53" t="n"/>
      <c r="DZ32" s="53" t="n"/>
      <c r="EA32" s="53" t="n"/>
      <c r="EB32" s="53" t="n"/>
      <c r="EC32" s="53" t="n"/>
      <c r="ED32" s="53" t="n"/>
      <c r="EE32" s="53" t="n"/>
      <c r="EF32" s="53" t="n"/>
      <c r="EG32" s="53" t="n"/>
      <c r="EH32" s="53" t="n"/>
      <c r="EI32" s="53" t="n"/>
      <c r="EJ32" s="53" t="n"/>
      <c r="EK32" s="53" t="n"/>
      <c r="EL32" s="53" t="n"/>
      <c r="EM32" s="53" t="n"/>
      <c r="EN32" s="53" t="n"/>
      <c r="EO32" s="53" t="n"/>
      <c r="EP32" s="53" t="n"/>
      <c r="EQ32" s="53" t="n"/>
      <c r="ER32" s="53" t="n"/>
      <c r="ES32" s="53" t="n"/>
      <c r="ET32" s="53" t="n"/>
      <c r="EU32" s="53" t="n"/>
      <c r="EV32" s="53" t="n"/>
      <c r="EW32" s="52" t="inlineStr">
        <is>
          <t>Survey response was originally anonymous; manually identified as Haresh Misal · Emp ID IRIS0027 and mapped here on that basis.</t>
        </is>
      </c>
      <c r="EX32" s="53" t="inlineStr">
        <is>
          <t>• Role / sub-team: XBRL Tagging - US Service Team.</t>
        </is>
      </c>
      <c r="EY32" s="53" t="inlineStr">
        <is>
          <t>• Key responsibilities include: XBRL tagging, QC, validation, training, practice.
• Reported deliverables and outcomes include: Informed to shift lead and give hand over to next shift person.</t>
        </is>
      </c>
      <c r="EZ32" s="53" t="inlineStr">
        <is>
          <t>• Current capabilities: Time management; Tools / software used: Both.</t>
        </is>
      </c>
      <c r="FA32" s="53" t="inlineStr">
        <is>
          <t>• Development priorities: No input received.
• Learning and Development Need: Time management.</t>
        </is>
      </c>
      <c r="FB32" s="53" t="inlineStr">
        <is>
          <t>• Key challenges: Remote desktop.
• Support required: No input received.</t>
        </is>
      </c>
      <c r="FC32" s="53" t="n"/>
      <c r="FD32" s="53" t="n"/>
      <c r="FE32"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FF32" s="56" t="n"/>
      <c r="FG32" s="56" t="n"/>
      <c r="FH32" s="56" t="n"/>
      <c r="FI32" s="56" t="n"/>
      <c r="FJ32" s="56" t="inlineStr">
        <is>
          <t>Received · manager annual</t>
        </is>
      </c>
      <c r="FK32" s="56" t="inlineStr">
        <is>
          <t>CARBON Mapping Master</t>
        </is>
      </c>
      <c r="FL32" s="56" t="n">
        <v>20</v>
      </c>
      <c r="FM32" s="56" t="inlineStr">
        <is>
          <t>• Role / sub-team: XBRL Tagging - US Service Team.</t>
        </is>
      </c>
      <c r="FN32" s="56" t="inlineStr">
        <is>
          <t>• Key responsibilities include: XBRL tagging, QC, validation, training, practice.
• Reported deliverables and outcomes include: Informed to shift lead and give hand over to next shift person.</t>
        </is>
      </c>
      <c r="FO32" s="56" t="inlineStr">
        <is>
          <t>• Current capabilities: Time management; Tools / software used: Both.</t>
        </is>
      </c>
      <c r="FP32" s="56" t="inlineStr">
        <is>
          <t>• Development priorities: No input received.
• Learning and Development Need: Time management.</t>
        </is>
      </c>
      <c r="FQ32" s="56" t="inlineStr">
        <is>
          <t>• Key challenges: Remote desktop.
• Support required: No input received.</t>
        </is>
      </c>
      <c r="FR32" s="56" t="inlineStr">
        <is>
          <t>Complexity: Evidence reads like A2: Tagging, QC analysis, client demo preparation and portal filing; text very thin → moved down 0.5
Autonomy: Evidence reads like A2: Only named decision is raising issues to support → moved down 0.5
Accountability: Evidence reads like A2: Error-free completion of own tagging and QC tasks → moved down 0.5
Leadership: Evidence reads like A1: No guiding or leading of others described → moved down 0.5
Business Impact: Moved +0.5: the survey / manager mapping marks it business-critical.</t>
        </is>
      </c>
      <c r="FS32" s="56"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FT32" s="56" t="inlineStr">
        <is>
          <t>Self-identified: Testing &amp; quality · Domain, regulatory &amp; XBRL · Client, sales &amp; stakeholders · Broader exposure &amp; ownership
For the next role: Testing &amp; quality · Domain, regulatory &amp; XBRL · Client, sales &amp; stakeholders · Communication &amp; presentation · Broader exposure &amp; ownership</t>
        </is>
      </c>
      <c r="FU32" s="56" t="inlineStr">
        <is>
          <t>Per-person summary · CARBON Mapping Master</t>
        </is>
      </c>
    </row>
    <row r="33" ht="90" customHeight="1">
      <c r="A33" s="51" t="inlineStr">
        <is>
          <t>◂ Back</t>
        </is>
      </c>
      <c r="B33" s="29" t="inlineStr">
        <is>
          <t>Mapped</t>
        </is>
      </c>
      <c r="C33" s="28" t="inlineStr">
        <is>
          <t>CARBON</t>
        </is>
      </c>
      <c r="D33" s="29" t="inlineStr">
        <is>
          <t>IRIS2056</t>
        </is>
      </c>
      <c r="E33" s="29" t="inlineStr">
        <is>
          <t>Monica Patel</t>
        </is>
      </c>
      <c r="F33" s="29" t="inlineStr">
        <is>
          <t>Services</t>
        </is>
      </c>
      <c r="G33" s="29" t="inlineStr">
        <is>
          <t>Senior Financial Analyst</t>
        </is>
      </c>
      <c r="H33" s="29" t="inlineStr">
        <is>
          <t>Senior Financial Analyst</t>
        </is>
      </c>
      <c r="I33" s="29" t="inlineStr">
        <is>
          <t>L4 – Senior</t>
        </is>
      </c>
      <c r="J33" s="29" t="inlineStr">
        <is>
          <t>A3</t>
        </is>
      </c>
      <c r="K33" s="29" t="inlineStr">
        <is>
          <t>• Same level</t>
        </is>
      </c>
      <c r="L33" s="29" t="inlineStr">
        <is>
          <t>Consulting &amp; Professional Services</t>
        </is>
      </c>
      <c r="M33" s="29" t="inlineStr">
        <is>
          <t>XBRL Tagging, Conversion &amp; Filing</t>
        </is>
      </c>
      <c r="N33" s="29" t="inlineStr">
        <is>
          <t>• Confirm the reporting line — Manager</t>
        </is>
      </c>
      <c r="O33" s="29" t="n">
        <v>20</v>
      </c>
      <c r="P33" s="28" t="inlineStr">
        <is>
          <t>P2</t>
        </is>
      </c>
      <c r="Q33" s="29" t="inlineStr">
        <is>
          <t>Developing</t>
        </is>
      </c>
      <c r="R33" s="29" t="inlineStr">
        <is>
          <t>3 Apply</t>
        </is>
      </c>
      <c r="S33" s="29" t="inlineStr">
        <is>
          <t>2–4 yrs</t>
        </is>
      </c>
      <c r="T33" s="29" t="inlineStr">
        <is>
          <t>3–5 · 2–5</t>
        </is>
      </c>
      <c r="U33" s="29" t="inlineStr">
        <is>
          <t>Senior Analyst / Associate</t>
        </is>
      </c>
      <c r="V33" s="29" t="inlineStr">
        <is>
          <t>DataTracks: Senior Associate · 2–5 yrs · Big Four: Consultant · IRIS Vs Market Benchmark — XBRL US credential pathway: XBRL US GAAP Certificate</t>
        </is>
      </c>
      <c r="W33" s="29" t="inlineStr">
        <is>
          <t>XBRL US GAAP Certificate · AICPA &amp; XBRL US; XBRL International specifications; IFRS / US GAAP / Ind AS</t>
        </is>
      </c>
      <c r="X33" s="29" t="inlineStr">
        <is>
          <t>Core 2 · Future 2 · Functional 3 · Leadership not scored</t>
        </is>
      </c>
      <c r="Y33" s="52" t="n">
        <v>238</v>
      </c>
      <c r="Z33" s="53" t="inlineStr">
        <is>
          <t>IRIS2056</t>
        </is>
      </c>
      <c r="AA33" s="53" t="inlineStr">
        <is>
          <t>Employee</t>
        </is>
      </c>
      <c r="AB33" s="53" t="inlineStr">
        <is>
          <t>Active</t>
        </is>
      </c>
      <c r="AC33" s="53" t="inlineStr">
        <is>
          <t>Monica Patel</t>
        </is>
      </c>
      <c r="AD33" s="54" t="n">
        <v>44785</v>
      </c>
      <c r="AE33" s="53" t="inlineStr">
        <is>
          <t>Senior Financial Analyst</t>
        </is>
      </c>
      <c r="AF33" s="53" t="inlineStr">
        <is>
          <t>BMS</t>
        </is>
      </c>
      <c r="AG33" s="53" t="inlineStr">
        <is>
          <t>Mohammed Dholkawala</t>
        </is>
      </c>
      <c r="AH33" s="53" t="inlineStr">
        <is>
          <t>N-7</t>
        </is>
      </c>
      <c r="AI33" s="53" t="inlineStr">
        <is>
          <t>Individual Contributor</t>
        </is>
      </c>
      <c r="AJ33" s="53" t="inlineStr">
        <is>
          <t>7 years, 2 months, 0 days</t>
        </is>
      </c>
      <c r="AK33" s="53" t="inlineStr">
        <is>
          <t>4 years, 0 months, 13 days</t>
        </is>
      </c>
      <c r="AL33" s="53" t="inlineStr">
        <is>
          <t>Regtech</t>
        </is>
      </c>
      <c r="AM33" s="53" t="inlineStr">
        <is>
          <t>CARBON</t>
        </is>
      </c>
      <c r="AN33" s="53" t="inlineStr">
        <is>
          <t>Services</t>
        </is>
      </c>
      <c r="AO33" s="53" t="inlineStr">
        <is>
          <t>Expert Assisted services</t>
        </is>
      </c>
      <c r="AP33" s="53" t="inlineStr">
        <is>
          <t>No</t>
        </is>
      </c>
      <c r="AQ33" s="53" t="inlineStr">
        <is>
          <t>Professional Services</t>
        </is>
      </c>
      <c r="AR33" s="53" t="inlineStr">
        <is>
          <t>XBRL Domain</t>
        </is>
      </c>
      <c r="AS33" s="53" t="inlineStr">
        <is>
          <t>Non-technical</t>
        </is>
      </c>
      <c r="AT33" s="53" t="n">
        <v>20</v>
      </c>
      <c r="AU33" s="53" t="inlineStr">
        <is>
          <t>Covered</t>
        </is>
      </c>
      <c r="AV33" s="53" t="inlineStr">
        <is>
          <t>IRIS2056</t>
        </is>
      </c>
      <c r="AW33" s="53" t="inlineStr">
        <is>
          <t>Monica Patel</t>
        </is>
      </c>
      <c r="AX33" s="53" t="inlineStr">
        <is>
          <t>Services</t>
        </is>
      </c>
      <c r="AY33" s="53" t="inlineStr">
        <is>
          <t>Professional Services</t>
        </is>
      </c>
      <c r="AZ33" s="53" t="inlineStr">
        <is>
          <t>XBRL / Regulatory Reporting</t>
        </is>
      </c>
      <c r="BA33" s="53" t="n"/>
      <c r="BB33" s="53" t="n"/>
      <c r="BC33" s="53" t="inlineStr">
        <is>
          <t>Employee</t>
        </is>
      </c>
      <c r="BD33" s="53" t="inlineStr">
        <is>
          <t>Mohammed Dholkawala</t>
        </is>
      </c>
      <c r="BE33" s="53" t="inlineStr">
        <is>
          <t>Mohammed Dholkawala</t>
        </is>
      </c>
      <c r="BF33" s="53" t="inlineStr">
        <is>
          <t>No</t>
        </is>
      </c>
      <c r="BG33" s="53" t="inlineStr">
        <is>
          <t>Senior Financial Analyst</t>
        </is>
      </c>
      <c r="BH33" s="53" t="inlineStr">
        <is>
          <t>Senior Services Specialist</t>
        </is>
      </c>
      <c r="BI33" s="53" t="inlineStr">
        <is>
          <t>Yes</t>
        </is>
      </c>
      <c r="BJ33" s="53" t="inlineStr">
        <is>
          <t>—</t>
        </is>
      </c>
      <c r="BK33" s="53" t="inlineStr">
        <is>
          <t>—</t>
        </is>
      </c>
      <c r="BL33" s="53" t="inlineStr">
        <is>
          <t>—</t>
        </is>
      </c>
      <c r="BM33" s="53" t="inlineStr">
        <is>
          <t>Not a manager</t>
        </is>
      </c>
      <c r="BN33" s="53" t="inlineStr">
        <is>
          <t>—</t>
        </is>
      </c>
      <c r="BO33" s="53" t="inlineStr">
        <is>
          <t>—</t>
        </is>
      </c>
      <c r="BP33" s="53" t="inlineStr">
        <is>
          <t>—</t>
        </is>
      </c>
      <c r="BQ33" s="53" t="inlineStr">
        <is>
          <t>Not a manager</t>
        </is>
      </c>
      <c r="BR33" s="53" t="inlineStr">
        <is>
          <t>—</t>
        </is>
      </c>
      <c r="BS33" s="53" t="inlineStr">
        <is>
          <t>L4 – Senior</t>
        </is>
      </c>
      <c r="BT33" s="53" t="inlineStr">
        <is>
          <t>L4 – Senior</t>
        </is>
      </c>
      <c r="BU33" s="53" t="inlineStr">
        <is>
          <t>Designation refined from Raw tab Comments column · this update</t>
        </is>
      </c>
      <c r="BV33"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W33" s="53" t="n"/>
      <c r="BX33" s="53" t="inlineStr">
        <is>
          <t>USA - SEC.</t>
        </is>
      </c>
      <c r="BY33" s="53" t="n"/>
      <c r="BZ33" s="53" t="inlineStr">
        <is>
          <t>IRIS2056</t>
        </is>
      </c>
      <c r="CA33" s="53" t="inlineStr">
        <is>
          <t>Employee</t>
        </is>
      </c>
      <c r="CB33" s="53" t="inlineStr">
        <is>
          <t>Active</t>
        </is>
      </c>
      <c r="CC33" s="53" t="inlineStr">
        <is>
          <t>Monica Patel</t>
        </is>
      </c>
      <c r="CD33" s="54" t="n">
        <v>44785</v>
      </c>
      <c r="CE33" s="53" t="inlineStr">
        <is>
          <t>Senior Financial Analyst</t>
        </is>
      </c>
      <c r="CF33" s="53" t="n"/>
      <c r="CG33" s="53" t="inlineStr">
        <is>
          <t>Professional Services</t>
        </is>
      </c>
      <c r="CH33" s="53" t="inlineStr">
        <is>
          <t>XBRL / Regulatory Reporting</t>
        </is>
      </c>
      <c r="CI33" s="53" t="inlineStr">
        <is>
          <t>Senior Financial Analyst</t>
        </is>
      </c>
      <c r="CJ33" s="53" t="inlineStr">
        <is>
          <t>L4 – Senior</t>
        </is>
      </c>
      <c r="CK33" s="53" t="inlineStr">
        <is>
          <t>Mohammed Dholkawala</t>
        </is>
      </c>
      <c r="CL33" s="53" t="inlineStr">
        <is>
          <t>N-7</t>
        </is>
      </c>
      <c r="CM33" s="53" t="inlineStr">
        <is>
          <t>Individual Contributor</t>
        </is>
      </c>
      <c r="CN33" s="53" t="inlineStr">
        <is>
          <t>Regtech</t>
        </is>
      </c>
      <c r="CO33" s="53" t="inlineStr">
        <is>
          <t>Services</t>
        </is>
      </c>
      <c r="CP33" s="53" t="inlineStr">
        <is>
          <t>11 years, 0 months, 8 days</t>
        </is>
      </c>
      <c r="CQ33" s="53" t="inlineStr">
        <is>
          <t>Senior Services Specialst</t>
        </is>
      </c>
      <c r="CR33" s="53" t="n"/>
      <c r="CS33" s="53" t="n">
        <v>3</v>
      </c>
      <c r="CT33" s="53" t="inlineStr">
        <is>
          <t>High</t>
        </is>
      </c>
      <c r="CU33" s="53" t="inlineStr">
        <is>
          <t>Core Contributor</t>
        </is>
      </c>
      <c r="CV33" s="53" t="inlineStr">
        <is>
          <t>Yes</t>
        </is>
      </c>
      <c r="CW33" s="53" t="inlineStr">
        <is>
          <t>No</t>
        </is>
      </c>
      <c r="CX33" s="53" t="inlineStr">
        <is>
          <t>Yes</t>
        </is>
      </c>
      <c r="CY33" s="53" t="n"/>
      <c r="CZ33" s="53" t="n"/>
      <c r="DA33" s="53" t="n"/>
      <c r="DB33" s="53" t="inlineStr">
        <is>
          <t>Title to be standardized to: Senior Services Specialist</t>
        </is>
      </c>
      <c r="DC33" s="53" t="n"/>
      <c r="DD33" s="53" t="n"/>
      <c r="DE33" s="53" t="n"/>
      <c r="DF33" s="53" t="n"/>
      <c r="DG33" s="53" t="n"/>
      <c r="DH33" s="53" t="n"/>
      <c r="DI33" s="53" t="n"/>
      <c r="DJ33" s="53" t="n"/>
      <c r="DK33" s="53" t="n"/>
      <c r="DL33" s="53" t="n"/>
      <c r="DM33" s="53" t="n"/>
      <c r="DN33" s="53" t="n"/>
      <c r="DO33" s="53" t="n"/>
      <c r="DP33" s="53" t="n"/>
      <c r="DQ33" s="53" t="n"/>
      <c r="DR33" s="53" t="n"/>
      <c r="DS33" s="53" t="n"/>
      <c r="DT33" s="53" t="n"/>
      <c r="DU33" s="53" t="n"/>
      <c r="DV33" s="53" t="n"/>
      <c r="DW33" s="53" t="n"/>
      <c r="DX33" s="53" t="n"/>
      <c r="DY33" s="53" t="n"/>
      <c r="DZ33" s="53" t="n"/>
      <c r="EA33" s="53" t="n"/>
      <c r="EB33" s="53" t="n"/>
      <c r="EC33" s="53" t="n"/>
      <c r="ED33" s="53" t="n"/>
      <c r="EE33" s="53" t="n"/>
      <c r="EF33" s="53" t="n"/>
      <c r="EG33" s="53" t="n"/>
      <c r="EH33" s="53" t="n"/>
      <c r="EI33" s="53" t="n"/>
      <c r="EJ33" s="53" t="n"/>
      <c r="EK33" s="53" t="n"/>
      <c r="EL33" s="53" t="n"/>
      <c r="EM33" s="53" t="n"/>
      <c r="EN33" s="53" t="n"/>
      <c r="EO33" s="53" t="n"/>
      <c r="EP33" s="53" t="n"/>
      <c r="EQ33" s="53" t="n"/>
      <c r="ER33" s="53" t="n"/>
      <c r="ES33" s="53" t="n"/>
      <c r="ET33" s="53" t="n"/>
      <c r="EU33" s="53" t="n"/>
      <c r="EV33" s="53" t="n"/>
      <c r="EW33" s="52" t="inlineStr">
        <is>
          <t>Survey response was filed but the exported file came back blank — profile data still needs to be collected.</t>
        </is>
      </c>
      <c r="EX33" s="53" t="inlineStr">
        <is>
          <t>• Role / sub-team: XBRL tagging in Us service team; US XBRL tagging.</t>
        </is>
      </c>
      <c r="EY33" s="53" t="inlineStr">
        <is>
          <t>• Key responsibilities include: Tagging, and QC.
• Reported deliverables and outcomes include: Handed over to the next process, depending on the work allocated.</t>
        </is>
      </c>
      <c r="EZ33" s="53" t="inlineStr">
        <is>
          <t>• Current capabilities: Input not given by Participant; Tools / software used: Ifile.</t>
        </is>
      </c>
      <c r="FA33" s="53" t="inlineStr">
        <is>
          <t>• Development priorities: No input received.
• Learning and Development Need: No input received.</t>
        </is>
      </c>
      <c r="FB33" s="53" t="inlineStr">
        <is>
          <t>• Key challenges: No input received.
• Support required: No input received.</t>
        </is>
      </c>
      <c r="FC33" s="53" t="n"/>
      <c r="FD33" s="53" t="n"/>
      <c r="FE33"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FF33" s="56" t="n"/>
      <c r="FG33" s="56" t="n"/>
      <c r="FH33" s="56" t="n"/>
      <c r="FI33" s="56" t="n"/>
      <c r="FJ33" s="56" t="inlineStr">
        <is>
          <t>Received · manager annual</t>
        </is>
      </c>
      <c r="FK33" s="56" t="inlineStr">
        <is>
          <t>CARBON Mapping Master</t>
        </is>
      </c>
      <c r="FL33" s="56" t="n">
        <v>20</v>
      </c>
      <c r="FM33" s="56" t="inlineStr">
        <is>
          <t>• Role / sub-team: XBRL tagging in Us service team; US XBRL tagging.</t>
        </is>
      </c>
      <c r="FN33" s="56" t="inlineStr">
        <is>
          <t>• Key responsibilities include: Tagging, and QC.
• Reported deliverables and outcomes include: Handed over to the next process, depending on the work allocated.</t>
        </is>
      </c>
      <c r="FO33" s="56" t="inlineStr">
        <is>
          <t>• Current capabilities: Input not given by Participant; Tools / software used: Ifile.</t>
        </is>
      </c>
      <c r="FP33" s="56" t="inlineStr">
        <is>
          <t>• Development priorities: No input received.
• Learning and Development Need: No input received.</t>
        </is>
      </c>
      <c r="FQ33" s="56" t="inlineStr">
        <is>
          <t>• Key challenges: No input received.
• Support required: No input received.</t>
        </is>
      </c>
      <c r="FR33" s="56" t="inlineStr">
        <is>
          <t>Business Impact: Moved +0.5: the survey / manager mapping marks it business-critical.</t>
        </is>
      </c>
      <c r="FS33" s="56"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FT33" s="56" t="inlineStr">
        <is>
          <t>Self-identified: Leadership &amp; people management · Data, SQL &amp; analytics · Domain, regulatory &amp; XBRL · Client, sales &amp; stakeholders
For the next role: AI / automation · Leadership &amp; people management · Project / programme management · Data, SQL &amp; analytics · Domain, regulatory &amp; XBRL · Client, sales &amp; stakeholders · Strategy &amp; business acumen · Broader exposure &amp; ownership</t>
        </is>
      </c>
      <c r="FU33" s="56" t="inlineStr">
        <is>
          <t>Per-person summary · CARBON Mapping Master</t>
        </is>
      </c>
    </row>
    <row r="34" ht="90" customHeight="1">
      <c r="A34" s="51" t="inlineStr">
        <is>
          <t>◂ Back</t>
        </is>
      </c>
      <c r="B34" s="29" t="inlineStr">
        <is>
          <t>Mapped</t>
        </is>
      </c>
      <c r="C34" s="28" t="inlineStr">
        <is>
          <t>CARBON</t>
        </is>
      </c>
      <c r="D34" s="29" t="inlineStr">
        <is>
          <t>IRIS2120</t>
        </is>
      </c>
      <c r="E34" s="29" t="inlineStr">
        <is>
          <t>Rohit Sawant</t>
        </is>
      </c>
      <c r="F34" s="29" t="inlineStr">
        <is>
          <t>Services</t>
        </is>
      </c>
      <c r="G34" s="29" t="inlineStr">
        <is>
          <t>Financial Analyst</t>
        </is>
      </c>
      <c r="H34" s="29" t="inlineStr">
        <is>
          <t>Senior Financial Analyst</t>
        </is>
      </c>
      <c r="I34" s="29" t="inlineStr">
        <is>
          <t>L3 – Professional / Associate</t>
        </is>
      </c>
      <c r="J34" s="29" t="inlineStr">
        <is>
          <t>A3</t>
        </is>
      </c>
      <c r="K34" s="29" t="inlineStr">
        <is>
          <t>▲ Up</t>
        </is>
      </c>
      <c r="L34" s="29" t="inlineStr">
        <is>
          <t>Consulting &amp; Professional Services</t>
        </is>
      </c>
      <c r="M34" s="29" t="inlineStr">
        <is>
          <t>XBRL Tagging, Conversion &amp; Filing</t>
        </is>
      </c>
      <c r="N34" s="29" t="n"/>
      <c r="O34" s="29" t="n">
        <v>19</v>
      </c>
      <c r="P34" s="28" t="inlineStr">
        <is>
          <t>P2</t>
        </is>
      </c>
      <c r="Q34" s="29" t="inlineStr">
        <is>
          <t>Developing</t>
        </is>
      </c>
      <c r="R34" s="29" t="inlineStr">
        <is>
          <t>3 Apply</t>
        </is>
      </c>
      <c r="S34" s="29" t="inlineStr">
        <is>
          <t>2–4 yrs</t>
        </is>
      </c>
      <c r="T34" s="29" t="inlineStr">
        <is>
          <t>3–5 · 2–5</t>
        </is>
      </c>
      <c r="U34" s="29" t="inlineStr">
        <is>
          <t>Senior Analyst / Associate</t>
        </is>
      </c>
      <c r="V34" s="29" t="inlineStr">
        <is>
          <t>DataTracks: Senior Associate · 2–5 yrs · Big Four: Consultant · IRIS Vs Market Benchmark — XBRL US credential pathway: XBRL US GAAP Certificate</t>
        </is>
      </c>
      <c r="W34" s="29" t="inlineStr">
        <is>
          <t>XBRL US GAAP Certificate · AICPA &amp; XBRL US; XBRL International specifications; IFRS / US GAAP / Ind AS</t>
        </is>
      </c>
      <c r="X34" s="29" t="inlineStr">
        <is>
          <t>Core 2 · Future 2 · Functional 3 · Leadership not scored</t>
        </is>
      </c>
      <c r="Y34" s="52" t="n">
        <v>270</v>
      </c>
      <c r="Z34" s="53" t="inlineStr">
        <is>
          <t>IRIS2120</t>
        </is>
      </c>
      <c r="AA34" s="53" t="inlineStr">
        <is>
          <t>Employee</t>
        </is>
      </c>
      <c r="AB34" s="53" t="inlineStr">
        <is>
          <t>Active</t>
        </is>
      </c>
      <c r="AC34" s="53" t="inlineStr">
        <is>
          <t>Rohit Sawant</t>
        </is>
      </c>
      <c r="AD34" s="54" t="n">
        <v>45033</v>
      </c>
      <c r="AE34" s="53" t="inlineStr">
        <is>
          <t>Financial Analyst</t>
        </is>
      </c>
      <c r="AF34" s="53" t="inlineStr">
        <is>
          <t>B.Com</t>
        </is>
      </c>
      <c r="AG34" s="53" t="inlineStr">
        <is>
          <t>Mohammed Dholkawala</t>
        </is>
      </c>
      <c r="AH34" s="53" t="inlineStr">
        <is>
          <t>N-7</t>
        </is>
      </c>
      <c r="AI34" s="53" t="inlineStr">
        <is>
          <t>Individual Contributor</t>
        </is>
      </c>
      <c r="AJ34" s="53" t="inlineStr">
        <is>
          <t>4 years, 0 months, 0 days</t>
        </is>
      </c>
      <c r="AK34" s="53" t="inlineStr">
        <is>
          <t>3 years, 4 months, 8 days</t>
        </is>
      </c>
      <c r="AL34" s="53" t="inlineStr">
        <is>
          <t>Regtech</t>
        </is>
      </c>
      <c r="AM34" s="53" t="inlineStr">
        <is>
          <t>CARBON</t>
        </is>
      </c>
      <c r="AN34" s="53" t="inlineStr">
        <is>
          <t>Services</t>
        </is>
      </c>
      <c r="AO34" s="53" t="inlineStr">
        <is>
          <t>Expert Assisted services</t>
        </is>
      </c>
      <c r="AP34" s="53" t="inlineStr">
        <is>
          <t>No</t>
        </is>
      </c>
      <c r="AQ34" s="53" t="inlineStr">
        <is>
          <t>Professional Services</t>
        </is>
      </c>
      <c r="AR34" s="53" t="inlineStr">
        <is>
          <t>XBRL Domain</t>
        </is>
      </c>
      <c r="AS34" s="53" t="inlineStr">
        <is>
          <t>Non-technical</t>
        </is>
      </c>
      <c r="AT34" s="53" t="n">
        <v>20</v>
      </c>
      <c r="AU34" s="53" t="inlineStr">
        <is>
          <t>Covered</t>
        </is>
      </c>
      <c r="AV34" s="53" t="inlineStr">
        <is>
          <t>IRIS2120</t>
        </is>
      </c>
      <c r="AW34" s="53" t="inlineStr">
        <is>
          <t>Rohit Sawant</t>
        </is>
      </c>
      <c r="AX34" s="53" t="inlineStr">
        <is>
          <t>Services</t>
        </is>
      </c>
      <c r="AY34" s="53" t="inlineStr">
        <is>
          <t>Professional Services</t>
        </is>
      </c>
      <c r="AZ34" s="53" t="inlineStr">
        <is>
          <t>XBRL / Regulatory Reporting</t>
        </is>
      </c>
      <c r="BA34" s="53" t="n"/>
      <c r="BB34" s="53" t="n"/>
      <c r="BC34" s="53" t="inlineStr">
        <is>
          <t>Employee</t>
        </is>
      </c>
      <c r="BD34" s="53" t="inlineStr">
        <is>
          <t>Mohammed Dholkawala</t>
        </is>
      </c>
      <c r="BE34" s="53" t="inlineStr">
        <is>
          <t>Mohammed Dholkawala</t>
        </is>
      </c>
      <c r="BF34" s="53" t="inlineStr">
        <is>
          <t>No</t>
        </is>
      </c>
      <c r="BG34" s="53" t="inlineStr">
        <is>
          <t>Financial Analyst</t>
        </is>
      </c>
      <c r="BH34" s="53" t="inlineStr">
        <is>
          <t>Services Specialist</t>
        </is>
      </c>
      <c r="BI34" s="53" t="inlineStr">
        <is>
          <t>Yes</t>
        </is>
      </c>
      <c r="BJ34" s="53" t="inlineStr">
        <is>
          <t>—</t>
        </is>
      </c>
      <c r="BK34" s="53" t="inlineStr">
        <is>
          <t>—</t>
        </is>
      </c>
      <c r="BL34" s="53" t="inlineStr">
        <is>
          <t>—</t>
        </is>
      </c>
      <c r="BM34" s="53" t="inlineStr">
        <is>
          <t>Not a manager</t>
        </is>
      </c>
      <c r="BN34" s="53" t="inlineStr">
        <is>
          <t>—</t>
        </is>
      </c>
      <c r="BO34" s="53" t="inlineStr">
        <is>
          <t>—</t>
        </is>
      </c>
      <c r="BP34" s="53" t="inlineStr">
        <is>
          <t>—</t>
        </is>
      </c>
      <c r="BQ34" s="53" t="inlineStr">
        <is>
          <t>Not a manager</t>
        </is>
      </c>
      <c r="BR34" s="53" t="inlineStr">
        <is>
          <t>—</t>
        </is>
      </c>
      <c r="BS34" s="53" t="inlineStr">
        <is>
          <t>L3 – Professional / Associate</t>
        </is>
      </c>
      <c r="BT34" s="53" t="inlineStr">
        <is>
          <t>L2</t>
        </is>
      </c>
      <c r="BU34" s="53" t="inlineStr">
        <is>
          <t>Matched from Title Hierarchy · new designation</t>
        </is>
      </c>
      <c r="BV34"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W34" s="53" t="n"/>
      <c r="BX34" s="53" t="inlineStr">
        <is>
          <t>USA - SEC.</t>
        </is>
      </c>
      <c r="BY34" s="53" t="n"/>
      <c r="BZ34" s="53" t="inlineStr">
        <is>
          <t>IRIS2120</t>
        </is>
      </c>
      <c r="CA34" s="53" t="inlineStr">
        <is>
          <t>Employee</t>
        </is>
      </c>
      <c r="CB34" s="53" t="inlineStr">
        <is>
          <t>Active</t>
        </is>
      </c>
      <c r="CC34" s="53" t="inlineStr">
        <is>
          <t>Rohit Sawant</t>
        </is>
      </c>
      <c r="CD34" s="54" t="n">
        <v>45033</v>
      </c>
      <c r="CE34" s="53" t="inlineStr">
        <is>
          <t>Financial Analyst</t>
        </is>
      </c>
      <c r="CF34" s="53" t="n"/>
      <c r="CG34" s="53" t="inlineStr">
        <is>
          <t>Professional Services</t>
        </is>
      </c>
      <c r="CH34" s="53" t="inlineStr">
        <is>
          <t>XBRL / Regulatory Reporting</t>
        </is>
      </c>
      <c r="CI34" s="53" t="inlineStr">
        <is>
          <t>Financial Analyst</t>
        </is>
      </c>
      <c r="CJ34" s="53" t="inlineStr">
        <is>
          <t>L3 – Professional / Associate</t>
        </is>
      </c>
      <c r="CK34" s="53" t="inlineStr">
        <is>
          <t>Mohammed Dholkawala</t>
        </is>
      </c>
      <c r="CL34" s="53" t="inlineStr">
        <is>
          <t>N-7</t>
        </is>
      </c>
      <c r="CM34" s="53" t="inlineStr">
        <is>
          <t>Individual Contributor</t>
        </is>
      </c>
      <c r="CN34" s="53" t="inlineStr">
        <is>
          <t>Regtech</t>
        </is>
      </c>
      <c r="CO34" s="53" t="inlineStr">
        <is>
          <t>Services</t>
        </is>
      </c>
      <c r="CP34" s="53" t="inlineStr">
        <is>
          <t>7 years, 2 months, 3 days</t>
        </is>
      </c>
      <c r="CQ34" s="53" t="inlineStr">
        <is>
          <t>Services Specialist</t>
        </is>
      </c>
      <c r="CR34" s="53" t="n"/>
      <c r="CS34" s="53" t="n">
        <v>2</v>
      </c>
      <c r="CT34" s="53" t="inlineStr">
        <is>
          <t>Low</t>
        </is>
      </c>
      <c r="CU34" s="53" t="inlineStr">
        <is>
          <t>Reliable Specialist</t>
        </is>
      </c>
      <c r="CV34" s="53" t="inlineStr">
        <is>
          <t>No</t>
        </is>
      </c>
      <c r="CW34" s="53" t="inlineStr">
        <is>
          <t>No</t>
        </is>
      </c>
      <c r="CX34" s="53" t="inlineStr">
        <is>
          <t>Yes</t>
        </is>
      </c>
      <c r="CY34" s="53" t="n"/>
      <c r="CZ34" s="53" t="n"/>
      <c r="DA34" s="53" t="n"/>
      <c r="DB34" s="53" t="inlineStr">
        <is>
          <t>Title to be standardized to : Services Specialist</t>
        </is>
      </c>
      <c r="DC34" s="53" t="n"/>
      <c r="DD34" s="53" t="n"/>
      <c r="DE34" s="53" t="n"/>
      <c r="DF34" s="53" t="n"/>
      <c r="DG34" s="53" t="n"/>
      <c r="DH34" s="53" t="n"/>
      <c r="DI34" s="53" t="n"/>
      <c r="DJ34" s="53" t="n"/>
      <c r="DK34" s="53" t="n"/>
      <c r="DL34" s="53" t="n"/>
      <c r="DM34" s="53" t="n"/>
      <c r="DN34" s="53" t="n"/>
      <c r="DO34" s="53" t="n"/>
      <c r="DP34" s="53" t="n"/>
      <c r="DQ34" s="53" t="n"/>
      <c r="DR34" s="53" t="n"/>
      <c r="DS34" s="53" t="n"/>
      <c r="DT34" s="53" t="n"/>
      <c r="DU34" s="53" t="n"/>
      <c r="DV34" s="53" t="n"/>
      <c r="DW34" s="53" t="n"/>
      <c r="DX34" s="53" t="n"/>
      <c r="DY34" s="53" t="n"/>
      <c r="DZ34" s="53" t="n"/>
      <c r="EA34" s="53" t="n"/>
      <c r="EB34" s="53" t="n"/>
      <c r="EC34" s="53" t="n"/>
      <c r="ED34" s="53" t="n"/>
      <c r="EE34" s="53" t="n"/>
      <c r="EF34" s="53" t="n"/>
      <c r="EG34" s="53" t="n"/>
      <c r="EH34" s="53" t="n"/>
      <c r="EI34" s="53" t="n"/>
      <c r="EJ34" s="53" t="n"/>
      <c r="EK34" s="53" t="n"/>
      <c r="EL34" s="53" t="n"/>
      <c r="EM34" s="53" t="n"/>
      <c r="EN34" s="53" t="n"/>
      <c r="EO34" s="53" t="n"/>
      <c r="EP34" s="53" t="n"/>
      <c r="EQ34" s="53" t="n"/>
      <c r="ER34" s="53" t="n"/>
      <c r="ES34" s="53" t="n"/>
      <c r="ET34" s="53" t="n"/>
      <c r="EU34" s="53" t="n"/>
      <c r="EV34" s="53" t="n"/>
      <c r="EW34" s="52" t="inlineStr">
        <is>
          <t>Survey response was filed but the exported file came back blank — profile data still needs to be collected.</t>
        </is>
      </c>
      <c r="EX34" s="53" t="inlineStr">
        <is>
          <t>• Role / sub-team: XBRL tagging in Us service team; US XBRL tagging.</t>
        </is>
      </c>
      <c r="EY34" s="53" t="inlineStr">
        <is>
          <t>• Key responsibilities include: Tagging, and QC.
• Reported deliverables and outcomes include: Handed over to the next process, depending on the work allocated.</t>
        </is>
      </c>
      <c r="EZ34" s="53" t="inlineStr">
        <is>
          <t>• Current capabilities: Input not given by Participant.</t>
        </is>
      </c>
      <c r="FA34" s="53" t="inlineStr">
        <is>
          <t>• Development priorities: Input not given by Participant.
• Learning and Development Need: Input not given by Participant.</t>
        </is>
      </c>
      <c r="FB34" s="53" t="inlineStr">
        <is>
          <t>• Key challenges: Input not given by Participant.
• Support required: Input not given by Participant.</t>
        </is>
      </c>
      <c r="FC34" s="53" t="n"/>
      <c r="FD34" s="53" t="n"/>
      <c r="FE34"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FF34" s="56" t="n"/>
      <c r="FG34" s="56" t="n"/>
      <c r="FH34" s="56" t="n"/>
      <c r="FI34" s="56" t="n"/>
      <c r="FJ34" s="56" t="inlineStr">
        <is>
          <t>Received · manager annual</t>
        </is>
      </c>
      <c r="FK34" s="56" t="inlineStr">
        <is>
          <t>CARBON Mapping Master</t>
        </is>
      </c>
      <c r="FL34" s="56" t="n">
        <v>19</v>
      </c>
      <c r="FM34" s="56" t="inlineStr">
        <is>
          <t>• Role / sub-team: XBRL tagging in Us service team; US XBRL tagging.</t>
        </is>
      </c>
      <c r="FN34" s="56" t="inlineStr">
        <is>
          <t>• Key responsibilities include: Tagging, and QC.
• Reported deliverables and outcomes include: Handed over to the next process, depending on the work allocated.</t>
        </is>
      </c>
      <c r="FO34" s="56" t="inlineStr">
        <is>
          <t>• Current capabilities: Input not given by Participant.</t>
        </is>
      </c>
      <c r="FP34" s="56" t="inlineStr">
        <is>
          <t>• Development priorities: Input not given by Participant.
• Learning and Development Need: Input not given by Participant.</t>
        </is>
      </c>
      <c r="FQ34" s="56" t="inlineStr">
        <is>
          <t>• Key challenges: Input not given by Participant.
• Support required: Input not given by Participant.</t>
        </is>
      </c>
      <c r="FR34" s="56" t="inlineStr">
        <is>
          <t>Complexity: Evidence reads like A2: Mapping, QC and formatting of US XBRL files in DM; very little detail → matches the start
Autonomy: Evidence reads like A2: Names only tagging and QC as own decisions; issues escalate to manager → matches the start
Accountability: Evidence reads like A2: Accurate delivery of own XBRL output, handed to the next process → matches the start
Leadership: Evidence reads like A1: No guidance or leadership of others described → matches the start
Business Impact: Moved +0.5: the survey / manager mapping marks it business-critical.</t>
        </is>
      </c>
      <c r="FS34" s="56"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FT34" s="56" t="inlineStr">
        <is>
          <t>Self-identified: Answered · no common topic
For the next role: Answered · no common topic</t>
        </is>
      </c>
      <c r="FU34" s="56" t="inlineStr">
        <is>
          <t>Per-person summary · CARBON Mapping Master</t>
        </is>
      </c>
    </row>
    <row r="35" ht="90" customHeight="1">
      <c r="A35" s="51" t="inlineStr">
        <is>
          <t>◂ Back</t>
        </is>
      </c>
      <c r="B35" s="29" t="inlineStr">
        <is>
          <t>Mapped</t>
        </is>
      </c>
      <c r="C35" s="28" t="inlineStr">
        <is>
          <t>CARBON</t>
        </is>
      </c>
      <c r="D35" s="29" t="inlineStr">
        <is>
          <t>IRIS1934</t>
        </is>
      </c>
      <c r="E35" s="29" t="inlineStr">
        <is>
          <t>Sagar Barbade</t>
        </is>
      </c>
      <c r="F35" s="29" t="inlineStr">
        <is>
          <t>Services</t>
        </is>
      </c>
      <c r="G35" s="29" t="inlineStr">
        <is>
          <t>Senior Financial Analyst</t>
        </is>
      </c>
      <c r="H35" s="29" t="inlineStr">
        <is>
          <t>XBRL Specialist</t>
        </is>
      </c>
      <c r="I35" s="29" t="inlineStr">
        <is>
          <t>L4 – Senior</t>
        </is>
      </c>
      <c r="J35" s="29" t="inlineStr">
        <is>
          <t>A3</t>
        </is>
      </c>
      <c r="K35" s="29" t="inlineStr">
        <is>
          <t>▲ Up</t>
        </is>
      </c>
      <c r="L35" s="29" t="inlineStr">
        <is>
          <t>Consulting &amp; Professional Services</t>
        </is>
      </c>
      <c r="M35" s="29" t="inlineStr">
        <is>
          <t>XBRL Tagging, Conversion &amp; Filing</t>
        </is>
      </c>
      <c r="N35" s="29" t="inlineStr">
        <is>
          <t>• Confirm the reporting line — Manager</t>
        </is>
      </c>
      <c r="O35" s="29" t="n">
        <v>20</v>
      </c>
      <c r="P35" s="28" t="inlineStr">
        <is>
          <t>P2</t>
        </is>
      </c>
      <c r="Q35" s="29" t="inlineStr">
        <is>
          <t>Developing</t>
        </is>
      </c>
      <c r="R35" s="29" t="inlineStr">
        <is>
          <t>3 Apply</t>
        </is>
      </c>
      <c r="S35" s="29" t="inlineStr">
        <is>
          <t>2–4 yrs</t>
        </is>
      </c>
      <c r="T35" s="29" t="inlineStr">
        <is>
          <t>3–5 · 2–5</t>
        </is>
      </c>
      <c r="U35" s="29" t="inlineStr">
        <is>
          <t>Consultant / Senior Associate</t>
        </is>
      </c>
      <c r="V35" s="29" t="inlineStr">
        <is>
          <t>DataTracks: Senior Associate · 2–5 yrs · Big Four: Consultant · IRIS Vs Market Benchmark — XBRL US credential pathway: XBRL US GAAP Certificate</t>
        </is>
      </c>
      <c r="W35" s="29" t="inlineStr">
        <is>
          <t>XBRL US GAAP Certificate · AICPA &amp; XBRL US; XBRL International specifications; IFRS / US GAAP / Ind AS</t>
        </is>
      </c>
      <c r="X35" s="29" t="inlineStr">
        <is>
          <t>Core 2 · Future 2 · Functional 3 · Leadership not scored</t>
        </is>
      </c>
      <c r="Y35" s="52" t="n">
        <v>190</v>
      </c>
      <c r="Z35" s="53" t="inlineStr">
        <is>
          <t>IRIS1934</t>
        </is>
      </c>
      <c r="AA35" s="53" t="inlineStr">
        <is>
          <t>Employee</t>
        </is>
      </c>
      <c r="AB35" s="53" t="inlineStr">
        <is>
          <t>Active</t>
        </is>
      </c>
      <c r="AC35" s="53" t="inlineStr">
        <is>
          <t>Sagar Barbade</t>
        </is>
      </c>
      <c r="AD35" s="54" t="n">
        <v>44403</v>
      </c>
      <c r="AE35" s="53" t="inlineStr">
        <is>
          <t>Senior Financial Analyst</t>
        </is>
      </c>
      <c r="AF35" s="53" t="inlineStr">
        <is>
          <t>MBA</t>
        </is>
      </c>
      <c r="AG35" s="53" t="inlineStr">
        <is>
          <t>Mohammed Dholkawala</t>
        </is>
      </c>
      <c r="AH35" s="53" t="inlineStr">
        <is>
          <t>N-7</t>
        </is>
      </c>
      <c r="AI35" s="53" t="inlineStr">
        <is>
          <t>Individual Contributor</t>
        </is>
      </c>
      <c r="AJ35" s="53" t="inlineStr">
        <is>
          <t>4 years, 0 months, 0 days</t>
        </is>
      </c>
      <c r="AK35" s="53" t="inlineStr">
        <is>
          <t>5 years, 0 months, 30 days</t>
        </is>
      </c>
      <c r="AL35" s="53" t="inlineStr">
        <is>
          <t>Regtech</t>
        </is>
      </c>
      <c r="AM35" s="53" t="inlineStr">
        <is>
          <t>CARBON</t>
        </is>
      </c>
      <c r="AN35" s="53" t="inlineStr">
        <is>
          <t>Services</t>
        </is>
      </c>
      <c r="AO35" s="53" t="inlineStr">
        <is>
          <t>Expert Assisted services</t>
        </is>
      </c>
      <c r="AP35" s="53" t="inlineStr">
        <is>
          <t>No</t>
        </is>
      </c>
      <c r="AQ35" s="53" t="inlineStr">
        <is>
          <t>Professional Services</t>
        </is>
      </c>
      <c r="AR35" s="53" t="inlineStr">
        <is>
          <t>XBRL Domain</t>
        </is>
      </c>
      <c r="AS35" s="53" t="inlineStr">
        <is>
          <t>Non-technical</t>
        </is>
      </c>
      <c r="AT35" s="53" t="n">
        <v>20</v>
      </c>
      <c r="AU35" s="53" t="inlineStr">
        <is>
          <t>Covered</t>
        </is>
      </c>
      <c r="AV35" s="53" t="inlineStr">
        <is>
          <t>IRIS1934</t>
        </is>
      </c>
      <c r="AW35" s="53" t="inlineStr">
        <is>
          <t>Sagar Barbade</t>
        </is>
      </c>
      <c r="AX35" s="53" t="inlineStr">
        <is>
          <t>Services</t>
        </is>
      </c>
      <c r="AY35" s="53" t="inlineStr">
        <is>
          <t>Professional Services</t>
        </is>
      </c>
      <c r="AZ35" s="53" t="inlineStr">
        <is>
          <t>XBRL / Regulatory Reporting</t>
        </is>
      </c>
      <c r="BA35" s="53" t="n"/>
      <c r="BB35" s="53" t="n"/>
      <c r="BC35" s="53" t="inlineStr">
        <is>
          <t>Employee</t>
        </is>
      </c>
      <c r="BD35" s="53" t="inlineStr">
        <is>
          <t>Mohammed Dholkawala</t>
        </is>
      </c>
      <c r="BE35" s="53" t="inlineStr">
        <is>
          <t>Mohammed Dholkawala</t>
        </is>
      </c>
      <c r="BF35" s="53" t="inlineStr">
        <is>
          <t>No</t>
        </is>
      </c>
      <c r="BG35" s="53" t="inlineStr">
        <is>
          <t>Senior Financial Analyst</t>
        </is>
      </c>
      <c r="BH35" s="53" t="inlineStr">
        <is>
          <t>Senior Services Specialist</t>
        </is>
      </c>
      <c r="BI35" s="53" t="inlineStr">
        <is>
          <t>Yes</t>
        </is>
      </c>
      <c r="BJ35" s="53" t="inlineStr">
        <is>
          <t>—</t>
        </is>
      </c>
      <c r="BK35" s="53" t="inlineStr">
        <is>
          <t>—</t>
        </is>
      </c>
      <c r="BL35" s="53" t="inlineStr">
        <is>
          <t>—</t>
        </is>
      </c>
      <c r="BM35" s="53" t="inlineStr">
        <is>
          <t>Not a manager</t>
        </is>
      </c>
      <c r="BN35" s="53" t="inlineStr">
        <is>
          <t>—</t>
        </is>
      </c>
      <c r="BO35" s="53" t="inlineStr">
        <is>
          <t>—</t>
        </is>
      </c>
      <c r="BP35" s="53" t="inlineStr">
        <is>
          <t>—</t>
        </is>
      </c>
      <c r="BQ35" s="53" t="inlineStr">
        <is>
          <t>Not a manager</t>
        </is>
      </c>
      <c r="BR35" s="53" t="inlineStr">
        <is>
          <t>—</t>
        </is>
      </c>
      <c r="BS35" s="53" t="inlineStr">
        <is>
          <t>L4 – Senior</t>
        </is>
      </c>
      <c r="BT35" s="53" t="inlineStr">
        <is>
          <t>L4 – Senior</t>
        </is>
      </c>
      <c r="BU35" s="53" t="inlineStr">
        <is>
          <t>Designation refined from Raw tab Comments column · this update</t>
        </is>
      </c>
      <c r="BV35"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W35" s="53" t="n"/>
      <c r="BX35" s="53" t="inlineStr">
        <is>
          <t>USA - SEC.</t>
        </is>
      </c>
      <c r="BY35" s="53" t="n"/>
      <c r="BZ35" s="53" t="inlineStr">
        <is>
          <t>IRIS1934</t>
        </is>
      </c>
      <c r="CA35" s="53" t="inlineStr">
        <is>
          <t>Employee</t>
        </is>
      </c>
      <c r="CB35" s="53" t="inlineStr">
        <is>
          <t>Active</t>
        </is>
      </c>
      <c r="CC35" s="53" t="inlineStr">
        <is>
          <t>Sagar Barbade</t>
        </is>
      </c>
      <c r="CD35" s="54" t="n">
        <v>44403</v>
      </c>
      <c r="CE35" s="53" t="inlineStr">
        <is>
          <t>Senior Financial Analyst</t>
        </is>
      </c>
      <c r="CF35" s="53" t="n"/>
      <c r="CG35" s="53" t="inlineStr">
        <is>
          <t>Professional Services</t>
        </is>
      </c>
      <c r="CH35" s="53" t="inlineStr">
        <is>
          <t>XBRL / Regulatory Reporting</t>
        </is>
      </c>
      <c r="CI35" s="53" t="inlineStr">
        <is>
          <t>Senior Financial Analyst</t>
        </is>
      </c>
      <c r="CJ35" s="53" t="inlineStr">
        <is>
          <t>L4 – Senior</t>
        </is>
      </c>
      <c r="CK35" s="53" t="inlineStr">
        <is>
          <t>Mohammed Dholkawala</t>
        </is>
      </c>
      <c r="CL35" s="53" t="inlineStr">
        <is>
          <t>N-7</t>
        </is>
      </c>
      <c r="CM35" s="53" t="inlineStr">
        <is>
          <t>Individual Contributor</t>
        </is>
      </c>
      <c r="CN35" s="53" t="inlineStr">
        <is>
          <t>Regtech</t>
        </is>
      </c>
      <c r="CO35" s="53" t="inlineStr">
        <is>
          <t>Services</t>
        </is>
      </c>
      <c r="CP35" s="53" t="inlineStr">
        <is>
          <t>8 years, 10 months, 25 days</t>
        </is>
      </c>
      <c r="CQ35" s="53" t="inlineStr">
        <is>
          <t>Senior Services Specialst</t>
        </is>
      </c>
      <c r="CR35" s="53" t="n"/>
      <c r="CS35" s="53" t="n">
        <v>4</v>
      </c>
      <c r="CT35" s="53" t="inlineStr">
        <is>
          <t>High</t>
        </is>
      </c>
      <c r="CU35" s="53" t="inlineStr">
        <is>
          <t>Core Contributor</t>
        </is>
      </c>
      <c r="CV35" s="53" t="inlineStr">
        <is>
          <t>Yes</t>
        </is>
      </c>
      <c r="CW35" s="53" t="inlineStr">
        <is>
          <t>No</t>
        </is>
      </c>
      <c r="CX35" s="53" t="inlineStr">
        <is>
          <t>Yes</t>
        </is>
      </c>
      <c r="CY35" s="53" t="n"/>
      <c r="CZ35" s="53" t="n"/>
      <c r="DA35" s="53" t="n"/>
      <c r="DB35" s="53" t="inlineStr">
        <is>
          <t>Title to be standardized to: Senior Services Specialist</t>
        </is>
      </c>
      <c r="DC35" s="53" t="n"/>
      <c r="DD35" s="53" t="n"/>
      <c r="DE35" s="53" t="n"/>
      <c r="DF35" s="53" t="n"/>
      <c r="DG35" s="53" t="n"/>
      <c r="DH35" s="53" t="n"/>
      <c r="DI35" s="53" t="n"/>
      <c r="DJ35" s="53" t="n"/>
      <c r="DK35" s="53" t="n"/>
      <c r="DL35" s="53" t="n"/>
      <c r="DM35" s="53" t="n"/>
      <c r="DN35" s="53" t="n"/>
      <c r="DO35" s="53" t="n"/>
      <c r="DP35" s="53" t="n"/>
      <c r="DQ35" s="53" t="n"/>
      <c r="DR35" s="53" t="n"/>
      <c r="DS35" s="53" t="n"/>
      <c r="DT35" s="53" t="n"/>
      <c r="DU35" s="53" t="n"/>
      <c r="DV35" s="53" t="n"/>
      <c r="DW35" s="53" t="n"/>
      <c r="DX35" s="53" t="n"/>
      <c r="DY35" s="53" t="n"/>
      <c r="DZ35" s="53" t="n"/>
      <c r="EA35" s="53" t="n"/>
      <c r="EB35" s="53" t="n"/>
      <c r="EC35" s="53" t="n"/>
      <c r="ED35" s="53" t="n"/>
      <c r="EE35" s="53" t="n"/>
      <c r="EF35" s="53" t="n"/>
      <c r="EG35" s="53" t="n"/>
      <c r="EH35" s="53" t="n"/>
      <c r="EI35" s="53" t="n"/>
      <c r="EJ35" s="53" t="n"/>
      <c r="EK35" s="53" t="n"/>
      <c r="EL35" s="53" t="n"/>
      <c r="EM35" s="53" t="n"/>
      <c r="EN35" s="53" t="n"/>
      <c r="EO35" s="53" t="n"/>
      <c r="EP35" s="53" t="n"/>
      <c r="EQ35" s="53" t="n"/>
      <c r="ER35" s="53" t="n"/>
      <c r="ES35" s="53" t="n"/>
      <c r="ET35" s="53" t="n"/>
      <c r="EU35" s="53" t="n"/>
      <c r="EV35" s="53" t="n"/>
      <c r="EW35" s="52" t="n"/>
      <c r="EX35" s="53" t="inlineStr">
        <is>
          <t>• Role / sub-team: XBRL tagging in Us service team; US XBRL tagging.</t>
        </is>
      </c>
      <c r="EY35" s="53" t="inlineStr">
        <is>
          <t>• Key responsibilities include: Takes handover from the outgoing shift lead, checks the project status sheet, and allocates mail and work to the shift team.
• Reported deliverables and outcomes include: Pending files are handed over to the next shift's team lead; completed files are marked done on the live status sheet.
• Additional duties outside usual job: Product testing.</t>
        </is>
      </c>
      <c r="EZ35" s="53" t="inlineStr">
        <is>
          <t>• Current capabilities: Time management; Team work; Problem solving; Decision making; Attention to details; Tools / software used: Both.</t>
        </is>
      </c>
      <c r="FA35" s="53" t="inlineStr">
        <is>
          <t>• Development priorities: No input received.
• Learning and Development Need: No input received.</t>
        </is>
      </c>
      <c r="FB35" s="53" t="inlineStr">
        <is>
          <t>• Key challenges: Tool issue; Too many meeting; Wait for other teams.
• Support required: No input received.</t>
        </is>
      </c>
      <c r="FC35" s="53" t="n"/>
      <c r="FD35" s="53" t="n"/>
      <c r="FE35"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FF35" s="56" t="n"/>
      <c r="FG35" s="56" t="n"/>
      <c r="FH35" s="56" t="n"/>
      <c r="FI35" s="56" t="n"/>
      <c r="FJ35" s="56" t="inlineStr">
        <is>
          <t>Received · manager annual</t>
        </is>
      </c>
      <c r="FK35" s="56" t="inlineStr">
        <is>
          <t>CARBON Mapping Master</t>
        </is>
      </c>
      <c r="FL35" s="56" t="n">
        <v>20</v>
      </c>
      <c r="FM35" s="56" t="inlineStr">
        <is>
          <t>• Role / sub-team: XBRL tagging in Us service team; US XBRL tagging.</t>
        </is>
      </c>
      <c r="FN35" s="56" t="inlineStr">
        <is>
          <t>• Key responsibilities include: Takes handover from the outgoing shift lead, checks the project status sheet, and allocates mail and work to the shift team.
• Reported deliverables and outcomes include: Pending files are handed over to the next shift's team lead; completed files are marked done on the live status sheet.
• Additional duties outside usual job: Product testing.</t>
        </is>
      </c>
      <c r="FO35" s="56" t="inlineStr">
        <is>
          <t>• Current capabilities: Time management; Team work; Problem solving; Decision making; Attention to details; Tools / software used: Both.</t>
        </is>
      </c>
      <c r="FP35" s="56" t="inlineStr">
        <is>
          <t>• Development priorities: No input received.
• Learning and Development Need: No input received.</t>
        </is>
      </c>
      <c r="FQ35" s="56" t="inlineStr">
        <is>
          <t>• Key challenges: Tool issue; Too many meeting; Wait for other teams.
• Support required: No input received.</t>
        </is>
      </c>
      <c r="FR35" s="56" t="inlineStr">
        <is>
          <t>Complexity: Evidence reads like A3: Tagging, QC, validation, filings across US mandate stages; resolves routine process issues → matches the start
Autonomy: Evidence reads like B1: Allocates and rebalances shift work by priority and resources; escalates critical issues → moved up 0.5
Accountability: Evidence reads like A3: Own tagging, QC and filing work plus effective shift/work allocation → matches the start
Leadership: Evidence reads like B1: Shift lead: allocates work to the shift team and gives guidance; no formal reports → moved up 1
Business Impact: Moved +0.5: the survey / manager mapping marks it business-critical.</t>
        </is>
      </c>
      <c r="FS35" s="56"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FT35" s="56" t="inlineStr">
        <is>
          <t>Self-identified: Project / programme management · Data, SQL &amp; analytics · Domain, regulatory &amp; XBRL · Client, sales &amp; stakeholders · Broader exposure &amp; ownership
For the next role: AI / automation · Project / programme management · Data, SQL &amp; analytics · Domain, regulatory &amp; XBRL · Client, sales &amp; stakeholders · Broader exposure &amp; ownership</t>
        </is>
      </c>
      <c r="FU35" s="56" t="inlineStr">
        <is>
          <t>Per-person summary · CARBON Mapping Master</t>
        </is>
      </c>
    </row>
    <row r="36" ht="90" customHeight="1">
      <c r="A36" s="51" t="inlineStr">
        <is>
          <t>◂ Back</t>
        </is>
      </c>
      <c r="B36" s="29" t="inlineStr">
        <is>
          <t>Mapped</t>
        </is>
      </c>
      <c r="C36" s="28" t="inlineStr">
        <is>
          <t>CARBON</t>
        </is>
      </c>
      <c r="D36" s="29" t="inlineStr">
        <is>
          <t>IRIS0589</t>
        </is>
      </c>
      <c r="E36" s="29" t="inlineStr">
        <is>
          <t>Mohammed Sameer Shamsudin</t>
        </is>
      </c>
      <c r="F36" s="29" t="inlineStr">
        <is>
          <t>Services</t>
        </is>
      </c>
      <c r="G36" s="29" t="inlineStr">
        <is>
          <t>Lead - Assisted Services</t>
        </is>
      </c>
      <c r="H36" s="29" t="inlineStr">
        <is>
          <t>Senior QA Specialist – POD Lead</t>
        </is>
      </c>
      <c r="I36" s="29" t="inlineStr">
        <is>
          <t>L5 – Lead · IC</t>
        </is>
      </c>
      <c r="J36" s="29" t="inlineStr">
        <is>
          <t>B2</t>
        </is>
      </c>
      <c r="K36" s="29" t="inlineStr">
        <is>
          <t>▼ Down · protected</t>
        </is>
      </c>
      <c r="L36" s="29" t="inlineStr">
        <is>
          <t>Quality Assurance</t>
        </is>
      </c>
      <c r="M36" s="29" t="inlineStr">
        <is>
          <t>Functional &amp; Domain Testing</t>
        </is>
      </c>
      <c r="N36" s="29" t="n"/>
      <c r="O36" s="29" t="n">
        <v>20</v>
      </c>
      <c r="P36" s="28" t="inlineStr">
        <is>
          <t>P4 / M3</t>
        </is>
      </c>
      <c r="Q36" s="29" t="inlineStr">
        <is>
          <t>Senior / Manager</t>
        </is>
      </c>
      <c r="R36" s="29" t="inlineStr">
        <is>
          <t>4–5</t>
        </is>
      </c>
      <c r="S36" s="29" t="inlineStr">
        <is>
          <t>6–9 yrs</t>
        </is>
      </c>
      <c r="T36" s="29" t="inlineStr">
        <is>
          <t>7–10 · 6–11</t>
        </is>
      </c>
      <c r="U36" s="29" t="inlineStr">
        <is>
          <t>QA Lead / Senior SDET</t>
        </is>
      </c>
      <c r="V36" s="29" t="inlineStr">
        <is>
          <t>Workiva: Senior SE · Broadridge India: Lead SE · Nasdaq / AxiomSL: Senior SE · IRIS Vs Market Benchmark — ISTQB certification pathway: Advanced · Test Manager / TAE · IRIS Vs Competitor Benchmark — testing managers: QA Manager</t>
        </is>
      </c>
      <c r="W36" s="29" t="inlineStr">
        <is>
          <t>ISTQB Foundation → Advanced → Expert; SFIA testing</t>
        </is>
      </c>
      <c r="X36" s="29" t="inlineStr">
        <is>
          <t>Core 3 · Future 3 · Functional 4 · Leadership 3</t>
        </is>
      </c>
      <c r="Y36" s="52" t="n">
        <v>78</v>
      </c>
      <c r="Z36" s="53" t="inlineStr">
        <is>
          <t>IRIS0589</t>
        </is>
      </c>
      <c r="AA36" s="53" t="inlineStr">
        <is>
          <t>Employee</t>
        </is>
      </c>
      <c r="AB36" s="53" t="inlineStr">
        <is>
          <t>Active</t>
        </is>
      </c>
      <c r="AC36" s="53" t="inlineStr">
        <is>
          <t>Mohammed Sameer Shamsudin</t>
        </is>
      </c>
      <c r="AD36" s="54" t="n">
        <v>40644</v>
      </c>
      <c r="AE36" s="53" t="inlineStr">
        <is>
          <t>Lead - Assisted Services</t>
        </is>
      </c>
      <c r="AF36" s="53" t="inlineStr">
        <is>
          <t>B.Com</t>
        </is>
      </c>
      <c r="AG36" s="53" t="inlineStr">
        <is>
          <t>Shashikant Mudaliar</t>
        </is>
      </c>
      <c r="AH36" s="53" t="inlineStr">
        <is>
          <t>N-6</t>
        </is>
      </c>
      <c r="AI36" s="53" t="inlineStr">
        <is>
          <t>Manager</t>
        </is>
      </c>
      <c r="AJ36" s="53" t="inlineStr">
        <is>
          <t>0 years, 0 months, 0 days</t>
        </is>
      </c>
      <c r="AK36" s="53" t="inlineStr">
        <is>
          <t>15 years, 4 months, 14 days</t>
        </is>
      </c>
      <c r="AL36" s="53" t="inlineStr">
        <is>
          <t>Regtech</t>
        </is>
      </c>
      <c r="AM36" s="53" t="inlineStr">
        <is>
          <t>CARBON</t>
        </is>
      </c>
      <c r="AN36" s="53" t="inlineStr">
        <is>
          <t>Services</t>
        </is>
      </c>
      <c r="AO36" s="53" t="inlineStr">
        <is>
          <t>Expert Assisted services</t>
        </is>
      </c>
      <c r="AP36" s="53" t="inlineStr">
        <is>
          <t>No</t>
        </is>
      </c>
      <c r="AQ36" s="53" t="inlineStr">
        <is>
          <t>Professional Services</t>
        </is>
      </c>
      <c r="AR36" s="53" t="inlineStr">
        <is>
          <t>XBRL Domain</t>
        </is>
      </c>
      <c r="AS36" s="53" t="inlineStr">
        <is>
          <t>Non-technical</t>
        </is>
      </c>
      <c r="AT36" s="53" t="n">
        <v>20</v>
      </c>
      <c r="AU36" s="53" t="inlineStr">
        <is>
          <t>Covered</t>
        </is>
      </c>
      <c r="AV36" s="53" t="inlineStr">
        <is>
          <t>IRIS0589</t>
        </is>
      </c>
      <c r="AW36" s="53" t="inlineStr">
        <is>
          <t>Mohammed Sameer Shamsudin</t>
        </is>
      </c>
      <c r="AX36" s="53" t="inlineStr">
        <is>
          <t>Services</t>
        </is>
      </c>
      <c r="AY36" s="53" t="inlineStr">
        <is>
          <t>Professional Services</t>
        </is>
      </c>
      <c r="AZ36" s="53" t="inlineStr">
        <is>
          <t>AI /Domain Testing</t>
        </is>
      </c>
      <c r="BA36" s="53" t="n"/>
      <c r="BB36" s="53" t="n"/>
      <c r="BC36" s="53" t="inlineStr">
        <is>
          <t>Employee</t>
        </is>
      </c>
      <c r="BD36" s="53" t="inlineStr">
        <is>
          <t>Shashikant Mudaliar</t>
        </is>
      </c>
      <c r="BE36" s="53" t="inlineStr">
        <is>
          <t>Shashikant Mudaliar</t>
        </is>
      </c>
      <c r="BF36" s="53" t="inlineStr">
        <is>
          <t>No</t>
        </is>
      </c>
      <c r="BG36" s="53" t="inlineStr">
        <is>
          <t>Lead - Assisted Services</t>
        </is>
      </c>
      <c r="BH36" s="53" t="inlineStr">
        <is>
          <t>Lead - Assisted Services</t>
        </is>
      </c>
      <c r="BI36" s="53" t="inlineStr">
        <is>
          <t>No</t>
        </is>
      </c>
      <c r="BJ36" s="53" t="n">
        <v>3</v>
      </c>
      <c r="BK36" s="53" t="n">
        <v>3</v>
      </c>
      <c r="BL36" s="53" t="n">
        <v>0</v>
      </c>
      <c r="BM36" s="53" t="inlineStr">
        <is>
          <t>Review</t>
        </is>
      </c>
      <c r="BN36" s="53" t="n">
        <v>3</v>
      </c>
      <c r="BO36" s="53" t="n">
        <v>3</v>
      </c>
      <c r="BP36" s="53" t="n">
        <v>0</v>
      </c>
      <c r="BQ36" s="53" t="inlineStr">
        <is>
          <t>Review</t>
        </is>
      </c>
      <c r="BR36" s="53" t="inlineStr">
        <is>
          <t>No</t>
        </is>
      </c>
      <c r="BS36" s="53" t="inlineStr">
        <is>
          <t>L5 – Lead · IC</t>
        </is>
      </c>
      <c r="BT36" s="53" t="inlineStr">
        <is>
          <t>L5 – Lead · IC</t>
        </is>
      </c>
      <c r="BU36" s="53" t="inlineStr">
        <is>
          <t>No designation change — current record value carried forward</t>
        </is>
      </c>
      <c r="BV36" s="53" t="inlineStr">
        <is>
          <t>1. Ensure files processed by team with &gt;=99% accuracy · zero critical errors.
2. Meet 100% of regulatory / client filing deadlines · no SLA breaches
3. Ensure 0% regulatory rejections across all submitted filings · Excluding issues not highlighted by our validator.
4. Cross-train team on at least 2 filing Mandate/Product.
5. Deliver zero escalations from key clients.</t>
        </is>
      </c>
      <c r="BW36" s="53" t="n"/>
      <c r="BX36" s="53" t="inlineStr">
        <is>
          <t>Netherland - KVK; USA - SEC; Europe - ESEF; India - MCA.</t>
        </is>
      </c>
      <c r="BY36" s="53" t="n"/>
      <c r="BZ36" s="53" t="inlineStr">
        <is>
          <t>IRIS0589</t>
        </is>
      </c>
      <c r="CA36" s="53" t="inlineStr">
        <is>
          <t>Employee</t>
        </is>
      </c>
      <c r="CB36" s="53" t="inlineStr">
        <is>
          <t>Active</t>
        </is>
      </c>
      <c r="CC36" s="53" t="inlineStr">
        <is>
          <t>Mohammed Sameer Shamsudin</t>
        </is>
      </c>
      <c r="CD36" s="54" t="n">
        <v>40644</v>
      </c>
      <c r="CE36" s="53" t="inlineStr">
        <is>
          <t>Lead - Assisted Services</t>
        </is>
      </c>
      <c r="CF36" s="53" t="n"/>
      <c r="CG36" s="53" t="inlineStr">
        <is>
          <t>Professional Services</t>
        </is>
      </c>
      <c r="CH36" s="53" t="inlineStr">
        <is>
          <t>XBRL / Regulatory Reporting</t>
        </is>
      </c>
      <c r="CI36" s="53" t="inlineStr">
        <is>
          <t>Lead - Assisted Services</t>
        </is>
      </c>
      <c r="CJ36" s="53" t="inlineStr">
        <is>
          <t>L5 – Lead · IC</t>
        </is>
      </c>
      <c r="CK36" s="53" t="inlineStr">
        <is>
          <t>Shashikant Mudaliar</t>
        </is>
      </c>
      <c r="CL36" s="53" t="inlineStr">
        <is>
          <t>N-6</t>
        </is>
      </c>
      <c r="CM36" s="53" t="inlineStr">
        <is>
          <t>Player Cum Coach</t>
        </is>
      </c>
      <c r="CN36" s="53" t="inlineStr">
        <is>
          <t>Regtech</t>
        </is>
      </c>
      <c r="CO36" s="53" t="inlineStr">
        <is>
          <t>Services</t>
        </is>
      </c>
      <c r="CP36" s="53" t="inlineStr">
        <is>
          <t>15 years, 2 months, 9 days</t>
        </is>
      </c>
      <c r="CQ36" s="53" t="n"/>
      <c r="CR36" s="53" t="n"/>
      <c r="CS36" s="53" t="n">
        <v>3</v>
      </c>
      <c r="CT36" s="53" t="inlineStr">
        <is>
          <t>Medium</t>
        </is>
      </c>
      <c r="CU36" s="53" t="inlineStr">
        <is>
          <t>Core Contributor</t>
        </is>
      </c>
      <c r="CV36" s="53" t="inlineStr">
        <is>
          <t>No</t>
        </is>
      </c>
      <c r="CW36" s="53" t="inlineStr">
        <is>
          <t>No</t>
        </is>
      </c>
      <c r="CX36" s="53" t="inlineStr">
        <is>
          <t>Yes</t>
        </is>
      </c>
      <c r="CY36" s="53" t="n"/>
      <c r="CZ36" s="53" t="n"/>
      <c r="DA36" s="53" t="n"/>
      <c r="DB36" s="53" t="n"/>
      <c r="DC36" s="53" t="n"/>
      <c r="DD36" s="53" t="n"/>
      <c r="DE36" s="53" t="n"/>
      <c r="DF36" s="53" t="n"/>
      <c r="DG36" s="53" t="n"/>
      <c r="DH36" s="53" t="n"/>
      <c r="DI36" s="53" t="n"/>
      <c r="DJ36" s="53" t="n"/>
      <c r="DK36" s="53" t="n"/>
      <c r="DL36" s="53" t="n"/>
      <c r="DM36" s="53" t="n"/>
      <c r="DN36" s="53" t="n"/>
      <c r="DO36" s="53" t="n"/>
      <c r="DP36" s="53" t="n"/>
      <c r="DQ36" s="53" t="n"/>
      <c r="DR36" s="53" t="n"/>
      <c r="DS36" s="53" t="n"/>
      <c r="DT36" s="53" t="n"/>
      <c r="DU36" s="53" t="n"/>
      <c r="DV36" s="53" t="n"/>
      <c r="DW36" s="53" t="n"/>
      <c r="DX36" s="53" t="n"/>
      <c r="DY36" s="53" t="n"/>
      <c r="DZ36" s="53" t="n"/>
      <c r="EA36" s="53" t="n"/>
      <c r="EB36" s="53" t="n"/>
      <c r="EC36" s="53" t="n"/>
      <c r="ED36" s="53" t="n"/>
      <c r="EE36" s="53" t="n"/>
      <c r="EF36" s="53" t="n"/>
      <c r="EG36" s="53" t="n"/>
      <c r="EH36" s="53" t="n"/>
      <c r="EI36" s="53" t="n"/>
      <c r="EJ36" s="53" t="n"/>
      <c r="EK36" s="53" t="n"/>
      <c r="EL36" s="53" t="n"/>
      <c r="EM36" s="53" t="n"/>
      <c r="EN36" s="53" t="n"/>
      <c r="EO36" s="53" t="n"/>
      <c r="EP36" s="53" t="n"/>
      <c r="EQ36" s="53" t="n"/>
      <c r="ER36" s="53" t="n"/>
      <c r="ES36" s="53" t="n"/>
      <c r="ET36" s="53" t="n"/>
      <c r="EU36" s="53" t="n"/>
      <c r="EV36" s="53" t="n"/>
      <c r="EW36" s="52" t="n"/>
      <c r="EX36" s="53" t="inlineStr">
        <is>
          <t>• Role / sub-team: AI Testing.</t>
        </is>
      </c>
      <c r="EY36" s="53" t="inlineStr">
        <is>
          <t>• Key responsibilities include: Testing Activity for ACRA, REG AI, and Anomaly. MCA files. Guiding teammates for GRI files validation.
• Reported deliverables and outcomes include: Complete Testing and provide feedback to DEV team.
• Additional duties outside usual job: Yes · no further details given.</t>
        </is>
      </c>
      <c r="EZ36" s="53" t="inlineStr">
        <is>
          <t>• Current capabilities: Teamwork Collaboration; Problem-Solving; Analytical Thinking; Time Management; Adaptability; Tools / software used: Both.</t>
        </is>
      </c>
      <c r="FA36" s="53" t="inlineStr">
        <is>
          <t>• Development priorities: No input received.
• Learning and Development Need: Team work and time manage; technical development.
• AI Enablement Need: AI prompt engineering and using AI to increase efficiency, given their reported use of AI.</t>
        </is>
      </c>
      <c r="FB36" s="53" t="inlineStr">
        <is>
          <t>• Key challenges: Turbhe office travelling.
• Support required: No input received.</t>
        </is>
      </c>
      <c r="FC36" s="53" t="n"/>
      <c r="FD36" s="53" t="n"/>
      <c r="FE36" s="57" t="inlineStr">
        <is>
          <t>1. Ensure files processed by team with &gt;=99% accuracy · zero critical errors.
2. Meet 100% of regulatory / client filing deadlines · no SLA breaches
3. Ensure 0% regulatory rejections across all submitted filings · Excluding issues not highlighted by our validator.
4. Cross-train team on at least 2 filing Mandate/Product.
5. Deliver zero escalations from key clients.</t>
        </is>
      </c>
      <c r="FF36" s="56" t="n"/>
      <c r="FG36" s="56" t="n"/>
      <c r="FH36" s="56" t="n"/>
      <c r="FI36" s="56" t="n"/>
      <c r="FJ36" s="56" t="inlineStr">
        <is>
          <t>Received · manager annual</t>
        </is>
      </c>
      <c r="FK36" s="56" t="inlineStr">
        <is>
          <t>CARBON Mapping Master</t>
        </is>
      </c>
      <c r="FL36" s="56" t="n">
        <v>20</v>
      </c>
      <c r="FM36" s="56" t="inlineStr">
        <is>
          <t>• Role / sub-team: AI Testing.</t>
        </is>
      </c>
      <c r="FN36" s="56" t="inlineStr">
        <is>
          <t>• Key responsibilities include: Testing Activity for ACRA, REG AI, and Anomaly. MCA files. Guiding teammates for GRI files validation.
• Reported deliverables and outcomes include: Complete Testing and provide feedback to DEV team.
• Additional duties outside usual job: Yes · no further details given.</t>
        </is>
      </c>
      <c r="FO36" s="56" t="inlineStr">
        <is>
          <t>• Current capabilities: Teamwork Collaboration; Problem-Solving; Analytical Thinking; Time Management; Adaptability; Tools / software used: Both.</t>
        </is>
      </c>
      <c r="FP36" s="56" t="inlineStr">
        <is>
          <t>• Development priorities: No input received.
• Learning and Development Need: Team work and time manage; technical development.
• AI Enablement Need: AI prompt engineering and using AI to increase efficiency, given their reported use of AI.</t>
        </is>
      </c>
      <c r="FQ36" s="56" t="inlineStr">
        <is>
          <t>• Key challenges: Turbhe office travelling.
• Support required: No input received.</t>
        </is>
      </c>
      <c r="FR36" s="56" t="inlineStr">
        <is>
          <t>Business Impact: Moved +0.5: the survey / manager mapping marks it business-critical.</t>
        </is>
      </c>
      <c r="FS36" s="56" t="inlineStr">
        <is>
          <t>Common themes in sub-family holders, all levels' answers: software · quality · product · requirements · user · before
Common themes in sub-family holders, all levels' answers: test · defect · reporting · regression · case · execution
Common themes in sub-family holders, all levels' answers: test · quality · reports · bug · cases · defect
Common themes in sub-family holders, all levels' answers: quality · test · accountable · am · release · reporting
Common themes in sub-family holders, all levels' answers: test · prioritize · independently · scenarios · identify · issues
If the work is missed · role-holders' themes: rework · production · issues · client.</t>
        </is>
      </c>
      <c r="FT36" s="56" t="inlineStr">
        <is>
          <t>Self-identified: AI / automation · Testing &amp; quality · Data, SQL &amp; analytics · Strategy &amp; business acumen · Broader exposure &amp; ownership
For the next role: AI / automation · Project / programme management · Testing &amp; quality · Data, SQL &amp; analytics · Strategy &amp; business acumen · Broader exposure &amp; ownership</t>
        </is>
      </c>
      <c r="FU36" s="56" t="inlineStr">
        <is>
          <t>Per-person summary · CARBON Mapping Master</t>
        </is>
      </c>
    </row>
    <row r="37" ht="90" customHeight="1">
      <c r="A37" s="51" t="inlineStr">
        <is>
          <t>◂ Back</t>
        </is>
      </c>
      <c r="B37" s="29" t="inlineStr">
        <is>
          <t>Mapped</t>
        </is>
      </c>
      <c r="C37" s="28" t="inlineStr">
        <is>
          <t>CARBON</t>
        </is>
      </c>
      <c r="D37" s="29" t="inlineStr">
        <is>
          <t>IRIS0621</t>
        </is>
      </c>
      <c r="E37" s="29" t="inlineStr">
        <is>
          <t>Anjum Shaikh</t>
        </is>
      </c>
      <c r="F37" s="29" t="inlineStr">
        <is>
          <t>Services</t>
        </is>
      </c>
      <c r="G37" s="29" t="inlineStr">
        <is>
          <t>Senior Financial Analyst</t>
        </is>
      </c>
      <c r="H37" s="29" t="inlineStr">
        <is>
          <t>Senior Financial Analyst</t>
        </is>
      </c>
      <c r="I37" s="29" t="inlineStr">
        <is>
          <t>L4 – Senior</t>
        </is>
      </c>
      <c r="J37" s="29" t="inlineStr">
        <is>
          <t>A3</t>
        </is>
      </c>
      <c r="K37" s="29" t="inlineStr">
        <is>
          <t>• Same level</t>
        </is>
      </c>
      <c r="L37" s="29" t="inlineStr">
        <is>
          <t>Consulting &amp; Professional Services</t>
        </is>
      </c>
      <c r="M37" s="29" t="inlineStr">
        <is>
          <t>XBRL Tagging, Conversion &amp; Filing</t>
        </is>
      </c>
      <c r="N37" s="29" t="n"/>
      <c r="O37" s="29" t="n">
        <v>20</v>
      </c>
      <c r="P37" s="28" t="inlineStr">
        <is>
          <t>P2</t>
        </is>
      </c>
      <c r="Q37" s="29" t="inlineStr">
        <is>
          <t>Developing</t>
        </is>
      </c>
      <c r="R37" s="29" t="inlineStr">
        <is>
          <t>3 Apply</t>
        </is>
      </c>
      <c r="S37" s="29" t="inlineStr">
        <is>
          <t>2–4 yrs</t>
        </is>
      </c>
      <c r="T37" s="29" t="inlineStr">
        <is>
          <t>3–5 · 2–5</t>
        </is>
      </c>
      <c r="U37" s="29" t="inlineStr">
        <is>
          <t>Senior Analyst / Associate</t>
        </is>
      </c>
      <c r="V37" s="29" t="inlineStr">
        <is>
          <t>DataTracks: Senior Associate · 2–5 yrs · Big Four: Consultant · IRIS Vs Market Benchmark — XBRL US credential pathway: XBRL US GAAP Certificate</t>
        </is>
      </c>
      <c r="W37" s="29" t="inlineStr">
        <is>
          <t>XBRL US GAAP Certificate · AICPA &amp; XBRL US; XBRL International specifications; IFRS / US GAAP / Ind AS</t>
        </is>
      </c>
      <c r="X37" s="29" t="inlineStr">
        <is>
          <t>Core 2 · Future 2 · Functional 3 · Leadership not scored</t>
        </is>
      </c>
      <c r="Y37" s="52" t="n">
        <v>82</v>
      </c>
      <c r="Z37" s="53" t="inlineStr">
        <is>
          <t>IRIS0621</t>
        </is>
      </c>
      <c r="AA37" s="53" t="inlineStr">
        <is>
          <t>Employee</t>
        </is>
      </c>
      <c r="AB37" s="53" t="inlineStr">
        <is>
          <t>Active</t>
        </is>
      </c>
      <c r="AC37" s="53" t="inlineStr">
        <is>
          <t>Anjum Ali</t>
        </is>
      </c>
      <c r="AD37" s="54" t="n">
        <v>40669</v>
      </c>
      <c r="AE37" s="53" t="inlineStr">
        <is>
          <t>Senior Financial Analyst</t>
        </is>
      </c>
      <c r="AF37" s="53" t="inlineStr">
        <is>
          <t>B.Com</t>
        </is>
      </c>
      <c r="AG37" s="53" t="inlineStr">
        <is>
          <t>Mohammed Sameer Shamsudin</t>
        </is>
      </c>
      <c r="AH37" s="53" t="inlineStr">
        <is>
          <t>N-7</t>
        </is>
      </c>
      <c r="AI37" s="53" t="inlineStr">
        <is>
          <t>Individual Contributor</t>
        </is>
      </c>
      <c r="AJ37" s="53" t="inlineStr">
        <is>
          <t>1 years, 7 months, 0 days</t>
        </is>
      </c>
      <c r="AK37" s="53" t="inlineStr">
        <is>
          <t>15 years, 3 months, 19 days</t>
        </is>
      </c>
      <c r="AL37" s="53" t="inlineStr">
        <is>
          <t>Regtech</t>
        </is>
      </c>
      <c r="AM37" s="53" t="inlineStr">
        <is>
          <t>CARBON</t>
        </is>
      </c>
      <c r="AN37" s="53" t="inlineStr">
        <is>
          <t>Services</t>
        </is>
      </c>
      <c r="AO37" s="53" t="inlineStr">
        <is>
          <t>Expert Assisted services</t>
        </is>
      </c>
      <c r="AP37" s="53" t="inlineStr">
        <is>
          <t>No</t>
        </is>
      </c>
      <c r="AQ37" s="53" t="inlineStr">
        <is>
          <t>Professional Services</t>
        </is>
      </c>
      <c r="AR37" s="53" t="inlineStr">
        <is>
          <t>XBRL Domain</t>
        </is>
      </c>
      <c r="AS37" s="53" t="inlineStr">
        <is>
          <t>Non-technical</t>
        </is>
      </c>
      <c r="AT37" s="53" t="n">
        <v>20</v>
      </c>
      <c r="AU37" s="53" t="inlineStr">
        <is>
          <t>Covered</t>
        </is>
      </c>
      <c r="AV37" s="53" t="inlineStr">
        <is>
          <t>IRIS0621</t>
        </is>
      </c>
      <c r="AW37" s="53" t="inlineStr">
        <is>
          <t>Anjum Ali</t>
        </is>
      </c>
      <c r="AX37" s="53" t="inlineStr">
        <is>
          <t>Services</t>
        </is>
      </c>
      <c r="AY37" s="53" t="inlineStr">
        <is>
          <t>Professional Services</t>
        </is>
      </c>
      <c r="AZ37" s="53" t="inlineStr">
        <is>
          <t>XBRL / Regulatory Reporting</t>
        </is>
      </c>
      <c r="BA37" s="53" t="n"/>
      <c r="BB37" s="53" t="n"/>
      <c r="BC37" s="53" t="inlineStr">
        <is>
          <t>Employee</t>
        </is>
      </c>
      <c r="BD37" s="53" t="inlineStr">
        <is>
          <t>Mohammed Sameer Shamsudin</t>
        </is>
      </c>
      <c r="BE37" s="53" t="inlineStr">
        <is>
          <t>Mohammed Sameer Shamsudin</t>
        </is>
      </c>
      <c r="BF37" s="53" t="inlineStr">
        <is>
          <t>No</t>
        </is>
      </c>
      <c r="BG37" s="53" t="inlineStr">
        <is>
          <t>Senior Financial Analyst</t>
        </is>
      </c>
      <c r="BH37" s="53" t="inlineStr">
        <is>
          <t>Senior Services Specialist</t>
        </is>
      </c>
      <c r="BI37" s="53" t="inlineStr">
        <is>
          <t>Yes</t>
        </is>
      </c>
      <c r="BJ37" s="53" t="inlineStr">
        <is>
          <t>—</t>
        </is>
      </c>
      <c r="BK37" s="53" t="inlineStr">
        <is>
          <t>—</t>
        </is>
      </c>
      <c r="BL37" s="53" t="inlineStr">
        <is>
          <t>—</t>
        </is>
      </c>
      <c r="BM37" s="53" t="inlineStr">
        <is>
          <t>Not a manager</t>
        </is>
      </c>
      <c r="BN37" s="53" t="inlineStr">
        <is>
          <t>—</t>
        </is>
      </c>
      <c r="BO37" s="53" t="inlineStr">
        <is>
          <t>—</t>
        </is>
      </c>
      <c r="BP37" s="53" t="inlineStr">
        <is>
          <t>—</t>
        </is>
      </c>
      <c r="BQ37" s="53" t="inlineStr">
        <is>
          <t>Not a manager</t>
        </is>
      </c>
      <c r="BR37" s="53" t="inlineStr">
        <is>
          <t>—</t>
        </is>
      </c>
      <c r="BS37" s="53" t="inlineStr">
        <is>
          <t>L4 – Senior</t>
        </is>
      </c>
      <c r="BT37" s="53" t="inlineStr">
        <is>
          <t>L4 – Senior</t>
        </is>
      </c>
      <c r="BU37" s="53" t="inlineStr">
        <is>
          <t>Designation refined from Raw tab Comments column · this update</t>
        </is>
      </c>
      <c r="BV37"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W37" s="53" t="n"/>
      <c r="BX37" s="53" t="inlineStr">
        <is>
          <t>UK - HMRC; Netherland - KVK; Europe - ESEF.</t>
        </is>
      </c>
      <c r="BY37" s="53" t="n"/>
      <c r="BZ37" s="53" t="inlineStr">
        <is>
          <t>IRIS0621</t>
        </is>
      </c>
      <c r="CA37" s="53" t="inlineStr">
        <is>
          <t>Employee</t>
        </is>
      </c>
      <c r="CB37" s="53" t="inlineStr">
        <is>
          <t>Active</t>
        </is>
      </c>
      <c r="CC37" s="53" t="inlineStr">
        <is>
          <t>Anjum Ali</t>
        </is>
      </c>
      <c r="CD37" s="54" t="n">
        <v>40669</v>
      </c>
      <c r="CE37" s="53" t="inlineStr">
        <is>
          <t>Senior Financial Analyst</t>
        </is>
      </c>
      <c r="CF37" s="53" t="n"/>
      <c r="CG37" s="53" t="inlineStr">
        <is>
          <t>Professional Services</t>
        </is>
      </c>
      <c r="CH37" s="53" t="inlineStr">
        <is>
          <t>XBRL / Regulatory Reporting</t>
        </is>
      </c>
      <c r="CI37" s="53" t="inlineStr">
        <is>
          <t>Senior Financial Analyst</t>
        </is>
      </c>
      <c r="CJ37" s="53" t="inlineStr">
        <is>
          <t>L4 – Senior</t>
        </is>
      </c>
      <c r="CK37" s="53" t="inlineStr">
        <is>
          <t>Mohammed Sameer Shamsudin</t>
        </is>
      </c>
      <c r="CL37" s="53" t="inlineStr">
        <is>
          <t>N-7</t>
        </is>
      </c>
      <c r="CM37" s="53" t="inlineStr">
        <is>
          <t>Individual Contributor</t>
        </is>
      </c>
      <c r="CN37" s="53" t="inlineStr">
        <is>
          <t>Regtech</t>
        </is>
      </c>
      <c r="CO37" s="53" t="inlineStr">
        <is>
          <t>Services</t>
        </is>
      </c>
      <c r="CP37" s="53" t="inlineStr">
        <is>
          <t>16 years, 8 months, 14 days</t>
        </is>
      </c>
      <c r="CQ37" s="53" t="inlineStr">
        <is>
          <t>Senior Services Specialst</t>
        </is>
      </c>
      <c r="CR37" s="53" t="n"/>
      <c r="CS37" s="53" t="n">
        <v>3</v>
      </c>
      <c r="CT37" s="53" t="inlineStr">
        <is>
          <t>Medium</t>
        </is>
      </c>
      <c r="CU37" s="53" t="inlineStr">
        <is>
          <t>Core Contributor</t>
        </is>
      </c>
      <c r="CV37" s="53" t="inlineStr">
        <is>
          <t>No</t>
        </is>
      </c>
      <c r="CW37" s="53" t="inlineStr">
        <is>
          <t>No</t>
        </is>
      </c>
      <c r="CX37" s="53" t="inlineStr">
        <is>
          <t>Yes</t>
        </is>
      </c>
      <c r="CY37" s="53" t="n"/>
      <c r="CZ37" s="53" t="n"/>
      <c r="DA37" s="53" t="n"/>
      <c r="DB37" s="53" t="inlineStr">
        <is>
          <t>Title to be standardized to: Senior Services Specialist</t>
        </is>
      </c>
      <c r="DC37" s="53" t="n"/>
      <c r="DD37" s="53" t="n"/>
      <c r="DE37" s="53" t="n"/>
      <c r="DF37" s="53" t="n"/>
      <c r="DG37" s="53" t="n"/>
      <c r="DH37" s="53" t="n"/>
      <c r="DI37" s="53" t="n"/>
      <c r="DJ37" s="53" t="n"/>
      <c r="DK37" s="53" t="n"/>
      <c r="DL37" s="53" t="n"/>
      <c r="DM37" s="53" t="n"/>
      <c r="DN37" s="53" t="n"/>
      <c r="DO37" s="53" t="n"/>
      <c r="DP37" s="53" t="n"/>
      <c r="DQ37" s="53" t="n"/>
      <c r="DR37" s="53" t="n"/>
      <c r="DS37" s="53" t="n"/>
      <c r="DT37" s="53" t="n"/>
      <c r="DU37" s="53" t="n"/>
      <c r="DV37" s="53" t="n"/>
      <c r="DW37" s="53" t="n"/>
      <c r="DX37" s="53" t="n"/>
      <c r="DY37" s="53" t="n"/>
      <c r="DZ37" s="53" t="n"/>
      <c r="EA37" s="53" t="n"/>
      <c r="EB37" s="53" t="n"/>
      <c r="EC37" s="53" t="n"/>
      <c r="ED37" s="53" t="n"/>
      <c r="EE37" s="53" t="n"/>
      <c r="EF37" s="53" t="n"/>
      <c r="EG37" s="53" t="n"/>
      <c r="EH37" s="53" t="n"/>
      <c r="EI37" s="53" t="n"/>
      <c r="EJ37" s="53" t="n"/>
      <c r="EK37" s="53" t="n"/>
      <c r="EL37" s="53" t="n"/>
      <c r="EM37" s="53" t="n"/>
      <c r="EN37" s="53" t="n"/>
      <c r="EO37" s="53" t="n"/>
      <c r="EP37" s="53" t="n"/>
      <c r="EQ37" s="53" t="n"/>
      <c r="ER37" s="53" t="n"/>
      <c r="ES37" s="53" t="n"/>
      <c r="ET37" s="53" t="n"/>
      <c r="EU37" s="53" t="n"/>
      <c r="EV37" s="53" t="n"/>
      <c r="EW37" s="52" t="n"/>
      <c r="EX37" s="53" t="inlineStr">
        <is>
          <t>• Role / sub-team: XBRL Conversion Service.</t>
        </is>
      </c>
      <c r="EY37" s="53" t="inlineStr">
        <is>
          <t>• Key responsibilities include: Tagging; Tagging and QC of ESMA, KVK and ESG.
• Reported deliverables and outcomes include: CEM · Customer engagement manager.</t>
        </is>
      </c>
      <c r="EZ37" s="53" t="inlineStr">
        <is>
          <t>• Current capabilities: Communication; Tools / software used: HTML - Editor.</t>
        </is>
      </c>
      <c r="FA37" s="53" t="inlineStr">
        <is>
          <t>• Development priorities: No input received.
• Learning and Development Need: Time management.</t>
        </is>
      </c>
      <c r="FB37" s="53" t="inlineStr">
        <is>
          <t>• Key challenges: While using VPN.
• Support required: No input received.</t>
        </is>
      </c>
      <c r="FC37" s="53" t="n"/>
      <c r="FD37" s="53" t="n"/>
      <c r="FE37"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FF37" s="56" t="n"/>
      <c r="FG37" s="56" t="n"/>
      <c r="FH37" s="56" t="n"/>
      <c r="FI37" s="56" t="n"/>
      <c r="FJ37" s="56" t="inlineStr">
        <is>
          <t>Received · manager annual</t>
        </is>
      </c>
      <c r="FK37" s="56" t="inlineStr">
        <is>
          <t>CARBON Mapping Master</t>
        </is>
      </c>
      <c r="FL37" s="56" t="n">
        <v>20</v>
      </c>
      <c r="FM37" s="56" t="inlineStr">
        <is>
          <t>• Role / sub-team: XBRL Conversion Service.</t>
        </is>
      </c>
      <c r="FN37" s="56" t="inlineStr">
        <is>
          <t>• Key responsibilities include: Tagging; Tagging and QC of ESMA, KVK and ESG.
• Reported deliverables and outcomes include: CEM · Customer engagement manager.</t>
        </is>
      </c>
      <c r="FO37" s="56" t="inlineStr">
        <is>
          <t>• Current capabilities: Communication; Tools / software used: HTML - Editor.</t>
        </is>
      </c>
      <c r="FP37" s="56" t="inlineStr">
        <is>
          <t>• Development priorities: No input received.
• Learning and Development Need: Time management.</t>
        </is>
      </c>
      <c r="FQ37" s="56" t="inlineStr">
        <is>
          <t>• Key challenges: While using VPN.
• Support required: No input received.</t>
        </is>
      </c>
      <c r="FR37" s="56" t="inlineStr">
        <is>
          <t>Complexity: Evidence reads like A3: ESEF/IFRS tagging across markets plus ESG taxonomies, validation and quality assurance → matches the start
Autonomy: Evidence reads like A2: Only validation issues named as independent decisions → moved down 0.5
Accountability: Evidence reads like A2: Accuracy and completeness of own tagging and validation; output goes to the CEM → moved down 0.5
Leadership: Evidence reads like A1: No guiding or leading of others described → moved down 0.5
Business Impact: Moved +0.5: the survey / manager mapping marks it business-critical.</t>
        </is>
      </c>
      <c r="FS37" s="56"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FT37" s="56" t="inlineStr">
        <is>
          <t>Self-identified: Answered · no common topic
For the next role: Answered · no common topic</t>
        </is>
      </c>
      <c r="FU37" s="56" t="inlineStr">
        <is>
          <t>Per-person summary · CARBON Mapping Master</t>
        </is>
      </c>
    </row>
    <row r="38" ht="90" customHeight="1">
      <c r="A38" s="51" t="inlineStr">
        <is>
          <t>◂ Back</t>
        </is>
      </c>
      <c r="B38" s="29" t="inlineStr">
        <is>
          <t>Mapped</t>
        </is>
      </c>
      <c r="C38" s="28" t="inlineStr">
        <is>
          <t>CARBON</t>
        </is>
      </c>
      <c r="D38" s="29" t="inlineStr">
        <is>
          <t>IRIS0508</t>
        </is>
      </c>
      <c r="E38" s="29" t="inlineStr">
        <is>
          <t>Dhananjay Bavkar</t>
        </is>
      </c>
      <c r="F38" s="29" t="inlineStr">
        <is>
          <t>Services</t>
        </is>
      </c>
      <c r="G38" s="29" t="inlineStr">
        <is>
          <t>Senior Financial Analyst</t>
        </is>
      </c>
      <c r="H38" s="29" t="inlineStr">
        <is>
          <t>Senior Financial Analyst</t>
        </is>
      </c>
      <c r="I38" s="29" t="inlineStr">
        <is>
          <t>L4 – Senior</t>
        </is>
      </c>
      <c r="J38" s="29" t="inlineStr">
        <is>
          <t>A3</t>
        </is>
      </c>
      <c r="K38" s="29" t="inlineStr">
        <is>
          <t>• Same level</t>
        </is>
      </c>
      <c r="L38" s="29" t="inlineStr">
        <is>
          <t>Consulting &amp; Professional Services</t>
        </is>
      </c>
      <c r="M38" s="29" t="inlineStr">
        <is>
          <t>XBRL Tagging, Conversion &amp; Filing</t>
        </is>
      </c>
      <c r="N38" s="29" t="n"/>
      <c r="O38" s="29" t="n">
        <v>18</v>
      </c>
      <c r="P38" s="28" t="inlineStr">
        <is>
          <t>P2</t>
        </is>
      </c>
      <c r="Q38" s="29" t="inlineStr">
        <is>
          <t>Developing</t>
        </is>
      </c>
      <c r="R38" s="29" t="inlineStr">
        <is>
          <t>3 Apply</t>
        </is>
      </c>
      <c r="S38" s="29" t="inlineStr">
        <is>
          <t>2–4 yrs</t>
        </is>
      </c>
      <c r="T38" s="29" t="inlineStr">
        <is>
          <t>3–5 · 2–5</t>
        </is>
      </c>
      <c r="U38" s="29" t="inlineStr">
        <is>
          <t>Senior Analyst / Associate</t>
        </is>
      </c>
      <c r="V38" s="29" t="inlineStr">
        <is>
          <t>DataTracks: Senior Associate · 2–5 yrs · Big Four: Consultant · IRIS Vs Market Benchmark — XBRL US credential pathway: XBRL US GAAP Certificate</t>
        </is>
      </c>
      <c r="W38" s="29" t="inlineStr">
        <is>
          <t>XBRL US GAAP Certificate · AICPA &amp; XBRL US; XBRL International specifications; IFRS / US GAAP / Ind AS</t>
        </is>
      </c>
      <c r="X38" s="29" t="inlineStr">
        <is>
          <t>Core 2 · Future 2 · Functional 3 · Leadership not scored</t>
        </is>
      </c>
      <c r="Y38" s="52" t="n">
        <v>67</v>
      </c>
      <c r="Z38" s="53" t="inlineStr">
        <is>
          <t>IRIS0508</t>
        </is>
      </c>
      <c r="AA38" s="53" t="inlineStr">
        <is>
          <t>Employee</t>
        </is>
      </c>
      <c r="AB38" s="53" t="inlineStr">
        <is>
          <t>Active</t>
        </is>
      </c>
      <c r="AC38" s="53" t="inlineStr">
        <is>
          <t>Dhananjay Bavkar</t>
        </is>
      </c>
      <c r="AD38" s="54" t="n">
        <v>40553</v>
      </c>
      <c r="AE38" s="53" t="inlineStr">
        <is>
          <t>Senior Financial Analyst</t>
        </is>
      </c>
      <c r="AF38" s="53" t="inlineStr">
        <is>
          <t>B.Com</t>
        </is>
      </c>
      <c r="AG38" s="53" t="inlineStr">
        <is>
          <t>Mohammed Sameer Shamsudin</t>
        </is>
      </c>
      <c r="AH38" s="53" t="inlineStr">
        <is>
          <t>N-7</t>
        </is>
      </c>
      <c r="AI38" s="53" t="inlineStr">
        <is>
          <t>Individual Contributor</t>
        </is>
      </c>
      <c r="AJ38" s="53" t="inlineStr">
        <is>
          <t>0 years, 0 months, 0 days</t>
        </is>
      </c>
      <c r="AK38" s="53" t="inlineStr">
        <is>
          <t>15 years, 7 months, 15 days</t>
        </is>
      </c>
      <c r="AL38" s="53" t="inlineStr">
        <is>
          <t>Regtech</t>
        </is>
      </c>
      <c r="AM38" s="53" t="inlineStr">
        <is>
          <t>CARBON</t>
        </is>
      </c>
      <c r="AN38" s="53" t="inlineStr">
        <is>
          <t>Services</t>
        </is>
      </c>
      <c r="AO38" s="53" t="inlineStr">
        <is>
          <t>Expert Assisted services</t>
        </is>
      </c>
      <c r="AP38" s="53" t="inlineStr">
        <is>
          <t>No</t>
        </is>
      </c>
      <c r="AQ38" s="53" t="inlineStr">
        <is>
          <t>Professional Services</t>
        </is>
      </c>
      <c r="AR38" s="53" t="inlineStr">
        <is>
          <t>XBRL Domain</t>
        </is>
      </c>
      <c r="AS38" s="53" t="inlineStr">
        <is>
          <t>Non-technical</t>
        </is>
      </c>
      <c r="AT38" s="53" t="n">
        <v>20</v>
      </c>
      <c r="AU38" s="53" t="inlineStr">
        <is>
          <t>Covered</t>
        </is>
      </c>
      <c r="AV38" s="53" t="inlineStr">
        <is>
          <t>IRIS0508</t>
        </is>
      </c>
      <c r="AW38" s="53" t="inlineStr">
        <is>
          <t>Dhananjay Bavkar</t>
        </is>
      </c>
      <c r="AX38" s="53" t="inlineStr">
        <is>
          <t>Services</t>
        </is>
      </c>
      <c r="AY38" s="53" t="inlineStr">
        <is>
          <t>Professional Services</t>
        </is>
      </c>
      <c r="AZ38" s="53" t="inlineStr">
        <is>
          <t>XBRL / Regulatory Reporting</t>
        </is>
      </c>
      <c r="BA38" s="53" t="n"/>
      <c r="BB38" s="53" t="n"/>
      <c r="BC38" s="53" t="inlineStr">
        <is>
          <t>Employee</t>
        </is>
      </c>
      <c r="BD38" s="53" t="inlineStr">
        <is>
          <t>Mohammed Sameer Shamsudin</t>
        </is>
      </c>
      <c r="BE38" s="53" t="inlineStr">
        <is>
          <t>Mohammed Sameer Shamsudin</t>
        </is>
      </c>
      <c r="BF38" s="53" t="inlineStr">
        <is>
          <t>No</t>
        </is>
      </c>
      <c r="BG38" s="53" t="inlineStr">
        <is>
          <t>Senior Financial Analyst</t>
        </is>
      </c>
      <c r="BH38" s="53" t="inlineStr">
        <is>
          <t>Senior Services Specialist</t>
        </is>
      </c>
      <c r="BI38" s="53" t="inlineStr">
        <is>
          <t>Yes</t>
        </is>
      </c>
      <c r="BJ38" s="53" t="inlineStr">
        <is>
          <t>—</t>
        </is>
      </c>
      <c r="BK38" s="53" t="inlineStr">
        <is>
          <t>—</t>
        </is>
      </c>
      <c r="BL38" s="53" t="inlineStr">
        <is>
          <t>—</t>
        </is>
      </c>
      <c r="BM38" s="53" t="inlineStr">
        <is>
          <t>Not a manager</t>
        </is>
      </c>
      <c r="BN38" s="53" t="inlineStr">
        <is>
          <t>—</t>
        </is>
      </c>
      <c r="BO38" s="53" t="inlineStr">
        <is>
          <t>—</t>
        </is>
      </c>
      <c r="BP38" s="53" t="inlineStr">
        <is>
          <t>—</t>
        </is>
      </c>
      <c r="BQ38" s="53" t="inlineStr">
        <is>
          <t>Not a manager</t>
        </is>
      </c>
      <c r="BR38" s="53" t="inlineStr">
        <is>
          <t>—</t>
        </is>
      </c>
      <c r="BS38" s="53" t="inlineStr">
        <is>
          <t>L4 – Senior</t>
        </is>
      </c>
      <c r="BT38" s="53" t="inlineStr">
        <is>
          <t>L4 – Senior</t>
        </is>
      </c>
      <c r="BU38" s="53" t="inlineStr">
        <is>
          <t>Designation refined from Raw tab Comments column · this update</t>
        </is>
      </c>
      <c r="BV38"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W38" s="53" t="n"/>
      <c r="BX38" s="53" t="inlineStr">
        <is>
          <t>Europe - ESEF; Netherland - KVK; UK - HMRC; Italy - Infocamere.</t>
        </is>
      </c>
      <c r="BY38" s="53" t="n"/>
      <c r="BZ38" s="53" t="inlineStr">
        <is>
          <t>IRIS0508</t>
        </is>
      </c>
      <c r="CA38" s="53" t="inlineStr">
        <is>
          <t>Employee</t>
        </is>
      </c>
      <c r="CB38" s="53" t="inlineStr">
        <is>
          <t>Active</t>
        </is>
      </c>
      <c r="CC38" s="53" t="inlineStr">
        <is>
          <t>Dhananjay Bavkar</t>
        </is>
      </c>
      <c r="CD38" s="54" t="n">
        <v>40553</v>
      </c>
      <c r="CE38" s="53" t="inlineStr">
        <is>
          <t>Senior Financial Analyst</t>
        </is>
      </c>
      <c r="CF38" s="53" t="n"/>
      <c r="CG38" s="53" t="inlineStr">
        <is>
          <t>Professional Services</t>
        </is>
      </c>
      <c r="CH38" s="53" t="inlineStr">
        <is>
          <t>XBRL / Regulatory Reporting</t>
        </is>
      </c>
      <c r="CI38" s="53" t="inlineStr">
        <is>
          <t>Senior Financial Analyst</t>
        </is>
      </c>
      <c r="CJ38" s="53" t="inlineStr">
        <is>
          <t>L4 – Senior</t>
        </is>
      </c>
      <c r="CK38" s="53" t="inlineStr">
        <is>
          <t>Mohammed Sameer Shamsudin</t>
        </is>
      </c>
      <c r="CL38" s="53" t="inlineStr">
        <is>
          <t>N-7</t>
        </is>
      </c>
      <c r="CM38" s="53" t="inlineStr">
        <is>
          <t>Individual Contributor</t>
        </is>
      </c>
      <c r="CN38" s="53" t="inlineStr">
        <is>
          <t>Regtech</t>
        </is>
      </c>
      <c r="CO38" s="53" t="inlineStr">
        <is>
          <t>Services</t>
        </is>
      </c>
      <c r="CP38" s="53" t="inlineStr">
        <is>
          <t>15 years, 5 months, 10 days</t>
        </is>
      </c>
      <c r="CQ38" s="53" t="inlineStr">
        <is>
          <t>Senior Services Specialst</t>
        </is>
      </c>
      <c r="CR38" s="53" t="n"/>
      <c r="CS38" s="53" t="n">
        <v>3</v>
      </c>
      <c r="CT38" s="53" t="inlineStr">
        <is>
          <t>Medium</t>
        </is>
      </c>
      <c r="CU38" s="53" t="inlineStr">
        <is>
          <t>Core Contributor</t>
        </is>
      </c>
      <c r="CV38" s="53" t="inlineStr">
        <is>
          <t>No</t>
        </is>
      </c>
      <c r="CW38" s="53" t="inlineStr">
        <is>
          <t>No</t>
        </is>
      </c>
      <c r="CX38" s="53" t="inlineStr">
        <is>
          <t>Yes</t>
        </is>
      </c>
      <c r="CY38" s="53" t="n"/>
      <c r="CZ38" s="53" t="n"/>
      <c r="DA38" s="53" t="n"/>
      <c r="DB38" s="53" t="inlineStr">
        <is>
          <t>Title to be standardized to: Senior Services Specialist</t>
        </is>
      </c>
      <c r="DC38" s="53" t="n"/>
      <c r="DD38" s="53" t="n"/>
      <c r="DE38" s="53" t="n"/>
      <c r="DF38" s="53" t="n"/>
      <c r="DG38" s="53" t="n"/>
      <c r="DH38" s="53" t="n"/>
      <c r="DI38" s="53" t="n"/>
      <c r="DJ38" s="53" t="n"/>
      <c r="DK38" s="53" t="n"/>
      <c r="DL38" s="53" t="n"/>
      <c r="DM38" s="53" t="n"/>
      <c r="DN38" s="53" t="n"/>
      <c r="DO38" s="53" t="n"/>
      <c r="DP38" s="53" t="n"/>
      <c r="DQ38" s="53" t="n"/>
      <c r="DR38" s="53" t="n"/>
      <c r="DS38" s="53" t="n"/>
      <c r="DT38" s="53" t="n"/>
      <c r="DU38" s="53" t="n"/>
      <c r="DV38" s="53" t="n"/>
      <c r="DW38" s="53" t="n"/>
      <c r="DX38" s="53" t="n"/>
      <c r="DY38" s="53" t="n"/>
      <c r="DZ38" s="53" t="n"/>
      <c r="EA38" s="53" t="n"/>
      <c r="EB38" s="53" t="n"/>
      <c r="EC38" s="53" t="n"/>
      <c r="ED38" s="53" t="n"/>
      <c r="EE38" s="53" t="n"/>
      <c r="EF38" s="53" t="n"/>
      <c r="EG38" s="53" t="n"/>
      <c r="EH38" s="53" t="n"/>
      <c r="EI38" s="53" t="n"/>
      <c r="EJ38" s="53" t="n"/>
      <c r="EK38" s="53" t="n"/>
      <c r="EL38" s="53" t="n"/>
      <c r="EM38" s="53" t="n"/>
      <c r="EN38" s="53" t="n"/>
      <c r="EO38" s="53" t="n"/>
      <c r="EP38" s="53" t="n"/>
      <c r="EQ38" s="53" t="n"/>
      <c r="ER38" s="53" t="n"/>
      <c r="ES38" s="53" t="n"/>
      <c r="ET38" s="53" t="n"/>
      <c r="EU38" s="53" t="n"/>
      <c r="EV38" s="53" t="n"/>
      <c r="EW38" s="52" t="inlineStr">
        <is>
          <t>Also works on the EU-DM · EU Disclosure Management project — not currently reflected in product/role mapping.</t>
        </is>
      </c>
      <c r="EX38" s="53" t="inlineStr">
        <is>
          <t>• Role / sub-team: Quality check Analyst And disclosure management processing.</t>
        </is>
      </c>
      <c r="EY38" s="53" t="inlineStr">
        <is>
          <t>• Key responsibilities include: Esma file Tagging and Quality check, DM File Process, Mail monitor, Infocamere, ESG and KVK Tagging, Product testing.
• Reported deliverables and outcomes include: DM and xrbl file send to CEM.</t>
        </is>
      </c>
      <c r="EZ38" s="53" t="inlineStr">
        <is>
          <t>• Current capabilities: Team work; Tools / software used: Both.</t>
        </is>
      </c>
      <c r="FA38" s="53" t="inlineStr">
        <is>
          <t>• Development priorities: No input received.
• Learning and Development Need: Time management.</t>
        </is>
      </c>
      <c r="FB38" s="53" t="inlineStr">
        <is>
          <t>• Key challenges: Remote desktop issue.
• Support required: No input received.</t>
        </is>
      </c>
      <c r="FC38" s="53" t="n"/>
      <c r="FD38" s="53" t="n"/>
      <c r="FE38"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FF38" s="56" t="n"/>
      <c r="FG38" s="56" t="n"/>
      <c r="FH38" s="56" t="n"/>
      <c r="FI38" s="56" t="n"/>
      <c r="FJ38" s="56" t="inlineStr">
        <is>
          <t>Received · manager annual</t>
        </is>
      </c>
      <c r="FK38" s="56" t="inlineStr">
        <is>
          <t>CARBON Mapping Master</t>
        </is>
      </c>
      <c r="FL38" s="56" t="n">
        <v>18</v>
      </c>
      <c r="FM38" s="56" t="inlineStr">
        <is>
          <t>• Role / sub-team: Quality check Analyst And disclosure management processing.</t>
        </is>
      </c>
      <c r="FN38" s="56" t="inlineStr">
        <is>
          <t>• Key responsibilities include: Esma file Tagging and Quality check, DM File Process, Mail monitor, Infocamere, ESG and KVK Tagging, Product testing.
• Reported deliverables and outcomes include: DM and xrbl file send to CEM.</t>
        </is>
      </c>
      <c r="FO38" s="56" t="inlineStr">
        <is>
          <t>• Current capabilities: Team work; Tools / software used: Both.</t>
        </is>
      </c>
      <c r="FP38" s="56" t="inlineStr">
        <is>
          <t>• Development priorities: No input received.
• Learning and Development Need: Time management.</t>
        </is>
      </c>
      <c r="FQ38" s="56" t="inlineStr">
        <is>
          <t>• Key challenges: Remote desktop issue.
• Support required: No input received.</t>
        </is>
      </c>
      <c r="FR38" s="56" t="inlineStr">
        <is>
          <t>Complexity: Evidence reads like A3: Disclosure management, ESMA tagging and QA, taxonomy mapping, validation, software-update testing → matches the start
Autonomy: Evidence reads like A3: Independently investigates validation errors, decides taxonomy mapping and makes corrections → matches the start
Accountability: Evidence reads like A2: Accuracy of own tagging, validation and disclosure updates; files go to CEM → moved down 0.5
Leadership: Evidence reads like A1: No guiding or leading of others described → moved down 0.5
Business Impact: Moved +0.5: the survey / manager mapping marks it business-critical.</t>
        </is>
      </c>
      <c r="FS38" s="56"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FT38" s="56" t="inlineStr">
        <is>
          <t>Self-identified: Project / programme management · Domain, regulatory &amp; XBRL · Broader exposure &amp; ownership
For the next role: Project / programme management · Domain, regulatory &amp; XBRL · Broader exposure &amp; ownership</t>
        </is>
      </c>
      <c r="FU38" s="56" t="inlineStr">
        <is>
          <t>Per-person summary · CARBON Mapping Master</t>
        </is>
      </c>
    </row>
    <row r="39" ht="90" customHeight="1">
      <c r="A39" s="51" t="inlineStr">
        <is>
          <t>◂ Back</t>
        </is>
      </c>
      <c r="B39" s="29" t="inlineStr">
        <is>
          <t>Mapped</t>
        </is>
      </c>
      <c r="C39" s="28" t="inlineStr">
        <is>
          <t>CARBON</t>
        </is>
      </c>
      <c r="D39" s="29" t="inlineStr">
        <is>
          <t>IRIS0616</t>
        </is>
      </c>
      <c r="E39" s="29" t="inlineStr">
        <is>
          <t>Priyanka Jadhav</t>
        </is>
      </c>
      <c r="F39" s="29" t="inlineStr">
        <is>
          <t>Services</t>
        </is>
      </c>
      <c r="G39" s="29" t="inlineStr">
        <is>
          <t>Lead - Assisted Services</t>
        </is>
      </c>
      <c r="H39" s="29" t="inlineStr">
        <is>
          <t>Manager – Assisted Services</t>
        </is>
      </c>
      <c r="I39" s="29" t="inlineStr">
        <is>
          <t>L5 – Lead · IC</t>
        </is>
      </c>
      <c r="J39" s="29" t="inlineStr">
        <is>
          <t>B2</t>
        </is>
      </c>
      <c r="K39" s="29" t="inlineStr">
        <is>
          <t>▼ Down · protected</t>
        </is>
      </c>
      <c r="L39" s="29" t="inlineStr">
        <is>
          <t>Consulting &amp; Professional Services</t>
        </is>
      </c>
      <c r="M39" s="29" t="inlineStr">
        <is>
          <t>XBRL Tagging, Conversion &amp; Filing</t>
        </is>
      </c>
      <c r="N39" s="29" t="n"/>
      <c r="O39" s="29" t="n">
        <v>20</v>
      </c>
      <c r="P39" s="28" t="inlineStr">
        <is>
          <t>P4 / M3</t>
        </is>
      </c>
      <c r="Q39" s="29" t="inlineStr">
        <is>
          <t>Senior / Manager</t>
        </is>
      </c>
      <c r="R39" s="29" t="inlineStr">
        <is>
          <t>4–5</t>
        </is>
      </c>
      <c r="S39" s="29" t="inlineStr">
        <is>
          <t>6–9 yrs</t>
        </is>
      </c>
      <c r="T39" s="29" t="inlineStr">
        <is>
          <t>7–10 · 6–11</t>
        </is>
      </c>
      <c r="U39" s="29" t="inlineStr">
        <is>
          <t>Manager</t>
        </is>
      </c>
      <c r="V39" s="29" t="inlineStr">
        <is>
          <t>Big Four: Manager · IRIS Vs Market Benchmark — XBRL US credential pathway: Certificate + review authority</t>
        </is>
      </c>
      <c r="W39" s="29" t="inlineStr">
        <is>
          <t>XBRL US GAAP Certificate · AICPA &amp; XBRL US; XBRL International specifications; IFRS / US GAAP / Ind AS</t>
        </is>
      </c>
      <c r="X39" s="29" t="inlineStr">
        <is>
          <t>Core 3 · Future 3 · Functional 4 · Leadership 3</t>
        </is>
      </c>
      <c r="Y39" s="52" t="n">
        <v>80</v>
      </c>
      <c r="Z39" s="53" t="inlineStr">
        <is>
          <t>IRIS0616</t>
        </is>
      </c>
      <c r="AA39" s="53" t="inlineStr">
        <is>
          <t>Employee</t>
        </is>
      </c>
      <c r="AB39" s="53" t="inlineStr">
        <is>
          <t>Active</t>
        </is>
      </c>
      <c r="AC39" s="53" t="inlineStr">
        <is>
          <t>Priyanka Jadhav</t>
        </is>
      </c>
      <c r="AD39" s="54" t="n">
        <v>40665</v>
      </c>
      <c r="AE39" s="53" t="inlineStr">
        <is>
          <t>Lead - Assisted Services</t>
        </is>
      </c>
      <c r="AF39" s="53" t="inlineStr">
        <is>
          <t>BCAF</t>
        </is>
      </c>
      <c r="AG39" s="53" t="inlineStr">
        <is>
          <t>Shashikant Mudaliar</t>
        </is>
      </c>
      <c r="AH39" s="53" t="inlineStr">
        <is>
          <t>N-6</t>
        </is>
      </c>
      <c r="AI39" s="53" t="inlineStr">
        <is>
          <t>Manager</t>
        </is>
      </c>
      <c r="AJ39" s="53" t="inlineStr">
        <is>
          <t>0 years, 0 months, 0 days</t>
        </is>
      </c>
      <c r="AK39" s="53" t="inlineStr">
        <is>
          <t>15 years, 3 months, 23 days</t>
        </is>
      </c>
      <c r="AL39" s="53" t="inlineStr">
        <is>
          <t>Regtech</t>
        </is>
      </c>
      <c r="AM39" s="53" t="inlineStr">
        <is>
          <t>CARBON</t>
        </is>
      </c>
      <c r="AN39" s="53" t="inlineStr">
        <is>
          <t>Services</t>
        </is>
      </c>
      <c r="AO39" s="53" t="inlineStr">
        <is>
          <t>Expert Assisted services</t>
        </is>
      </c>
      <c r="AP39" s="53" t="inlineStr">
        <is>
          <t>No</t>
        </is>
      </c>
      <c r="AQ39" s="53" t="inlineStr">
        <is>
          <t>Professional Services</t>
        </is>
      </c>
      <c r="AR39" s="53" t="inlineStr">
        <is>
          <t>XBRL Domain</t>
        </is>
      </c>
      <c r="AS39" s="53" t="inlineStr">
        <is>
          <t>Non-technical</t>
        </is>
      </c>
      <c r="AT39" s="53" t="n">
        <v>20</v>
      </c>
      <c r="AU39" s="53" t="inlineStr">
        <is>
          <t>Covered</t>
        </is>
      </c>
      <c r="AV39" s="53" t="inlineStr">
        <is>
          <t>IRIS0616</t>
        </is>
      </c>
      <c r="AW39" s="53" t="inlineStr">
        <is>
          <t>Priyanka Jadhav</t>
        </is>
      </c>
      <c r="AX39" s="53" t="inlineStr">
        <is>
          <t>Services</t>
        </is>
      </c>
      <c r="AY39" s="53" t="inlineStr">
        <is>
          <t>Professional Services</t>
        </is>
      </c>
      <c r="AZ39" s="53" t="inlineStr">
        <is>
          <t>XBRL / Regulatory Reporting</t>
        </is>
      </c>
      <c r="BA39" s="53" t="n"/>
      <c r="BB39" s="53" t="n"/>
      <c r="BC39" s="53" t="inlineStr">
        <is>
          <t>Employee</t>
        </is>
      </c>
      <c r="BD39" s="53" t="inlineStr">
        <is>
          <t>Shashikant Mudaliar</t>
        </is>
      </c>
      <c r="BE39" s="53" t="inlineStr">
        <is>
          <t>Shashikant Mudaliar</t>
        </is>
      </c>
      <c r="BF39" s="53" t="inlineStr">
        <is>
          <t>No</t>
        </is>
      </c>
      <c r="BG39" s="53" t="inlineStr">
        <is>
          <t>Lead - Assisted Services</t>
        </is>
      </c>
      <c r="BH39" s="53" t="inlineStr">
        <is>
          <t>Manager Services</t>
        </is>
      </c>
      <c r="BI39" s="53" t="inlineStr">
        <is>
          <t>Yes</t>
        </is>
      </c>
      <c r="BJ39" s="53" t="n">
        <v>7</v>
      </c>
      <c r="BK39" s="53" t="n">
        <v>7</v>
      </c>
      <c r="BL39" s="53" t="n">
        <v>0</v>
      </c>
      <c r="BM39" s="53" t="inlineStr">
        <is>
          <t>Healthy</t>
        </is>
      </c>
      <c r="BN39" s="53" t="n">
        <v>7</v>
      </c>
      <c r="BO39" s="53" t="n">
        <v>7</v>
      </c>
      <c r="BP39" s="53" t="n">
        <v>0</v>
      </c>
      <c r="BQ39" s="53" t="inlineStr">
        <is>
          <t>Healthy</t>
        </is>
      </c>
      <c r="BR39" s="53" t="inlineStr">
        <is>
          <t>No</t>
        </is>
      </c>
      <c r="BS39" s="53" t="inlineStr">
        <is>
          <t>L5 – Lead · IC</t>
        </is>
      </c>
      <c r="BT39" s="53" t="inlineStr">
        <is>
          <t>L5</t>
        </is>
      </c>
      <c r="BU39" s="53" t="inlineStr">
        <is>
          <t>Designation refined from Raw tab Comments column · this update</t>
        </is>
      </c>
      <c r="BV39" s="53" t="inlineStr">
        <is>
          <t>1. Ensure files processed by team with &gt;=99% accuracy · zero critical errors.
2. Meet 100% of regulatory / client filing deadlines · no SLA breaches
3. Ensure 0% regulatory rejections across all submitted filings · Excluding issues not highlighted by our validator.
4. Cross-train team on at least 2 filing Mandate/Product.
5. Deliver zero escalations from key clients.</t>
        </is>
      </c>
      <c r="BW39" s="53" t="n"/>
      <c r="BX39" s="53" t="inlineStr">
        <is>
          <t>India - MCA; Netherland - KVK; Italy - Infocamere; Europe - ESEF.</t>
        </is>
      </c>
      <c r="BY39" s="53" t="n"/>
      <c r="BZ39" s="53" t="inlineStr">
        <is>
          <t>IRIS0616</t>
        </is>
      </c>
      <c r="CA39" s="53" t="inlineStr">
        <is>
          <t>Employee</t>
        </is>
      </c>
      <c r="CB39" s="53" t="inlineStr">
        <is>
          <t>Active</t>
        </is>
      </c>
      <c r="CC39" s="53" t="inlineStr">
        <is>
          <t>Priyanka Jadhav</t>
        </is>
      </c>
      <c r="CD39" s="54" t="n">
        <v>40665</v>
      </c>
      <c r="CE39" s="53" t="inlineStr">
        <is>
          <t>Lead - Assisted Services</t>
        </is>
      </c>
      <c r="CF39" s="53" t="n"/>
      <c r="CG39" s="53" t="inlineStr">
        <is>
          <t>Professional Services</t>
        </is>
      </c>
      <c r="CH39" s="53" t="inlineStr">
        <is>
          <t>XBRL / Regulatory Reporting</t>
        </is>
      </c>
      <c r="CI39" s="53" t="inlineStr">
        <is>
          <t>Lead - Assisted Services</t>
        </is>
      </c>
      <c r="CJ39" s="53" t="inlineStr">
        <is>
          <t>L5 – Lead · IC</t>
        </is>
      </c>
      <c r="CK39" s="53" t="inlineStr">
        <is>
          <t>Shashikant Mudaliar</t>
        </is>
      </c>
      <c r="CL39" s="53" t="inlineStr">
        <is>
          <t>N-6</t>
        </is>
      </c>
      <c r="CM39" s="53" t="inlineStr">
        <is>
          <t>Manager</t>
        </is>
      </c>
      <c r="CN39" s="53" t="inlineStr">
        <is>
          <t>Regtech</t>
        </is>
      </c>
      <c r="CO39" s="53" t="inlineStr">
        <is>
          <t>Services</t>
        </is>
      </c>
      <c r="CP39" s="53" t="inlineStr">
        <is>
          <t>15 years, 1 months, 18 days</t>
        </is>
      </c>
      <c r="CQ39" s="53" t="inlineStr">
        <is>
          <t>Manager - Services</t>
        </is>
      </c>
      <c r="CR39" s="53" t="n"/>
      <c r="CS39" s="53" t="n">
        <v>4</v>
      </c>
      <c r="CT39" s="53" t="inlineStr">
        <is>
          <t>High</t>
        </is>
      </c>
      <c r="CU39" s="53" t="inlineStr">
        <is>
          <t>Emerging Talent</t>
        </is>
      </c>
      <c r="CV39" s="53" t="inlineStr">
        <is>
          <t>Yes</t>
        </is>
      </c>
      <c r="CW39" s="53" t="inlineStr">
        <is>
          <t>No</t>
        </is>
      </c>
      <c r="CX39" s="53" t="inlineStr">
        <is>
          <t>Yes</t>
        </is>
      </c>
      <c r="CY39" s="53" t="n"/>
      <c r="CZ39" s="53" t="n"/>
      <c r="DA39" s="53" t="n"/>
      <c r="DB39" s="53" t="inlineStr">
        <is>
          <t>Title to be changed to Manager Services</t>
        </is>
      </c>
      <c r="DC39" s="53" t="n"/>
      <c r="DD39" s="53" t="n"/>
      <c r="DE39" s="53" t="n"/>
      <c r="DF39" s="53" t="n"/>
      <c r="DG39" s="53" t="n"/>
      <c r="DH39" s="53" t="n"/>
      <c r="DI39" s="53" t="n"/>
      <c r="DJ39" s="53" t="n"/>
      <c r="DK39" s="53" t="n"/>
      <c r="DL39" s="53" t="n"/>
      <c r="DM39" s="53" t="n"/>
      <c r="DN39" s="53" t="n"/>
      <c r="DO39" s="53" t="n"/>
      <c r="DP39" s="53" t="n"/>
      <c r="DQ39" s="53" t="n"/>
      <c r="DR39" s="53" t="n"/>
      <c r="DS39" s="53" t="n"/>
      <c r="DT39" s="53" t="n"/>
      <c r="DU39" s="53" t="n"/>
      <c r="DV39" s="53" t="n"/>
      <c r="DW39" s="53" t="n"/>
      <c r="DX39" s="53" t="n"/>
      <c r="DY39" s="53" t="n"/>
      <c r="DZ39" s="53" t="n"/>
      <c r="EA39" s="53" t="n"/>
      <c r="EB39" s="53" t="n"/>
      <c r="EC39" s="53" t="n"/>
      <c r="ED39" s="53" t="n"/>
      <c r="EE39" s="53" t="n"/>
      <c r="EF39" s="53" t="n"/>
      <c r="EG39" s="53" t="n"/>
      <c r="EH39" s="53" t="n"/>
      <c r="EI39" s="53" t="n"/>
      <c r="EJ39" s="53" t="n"/>
      <c r="EK39" s="53" t="n"/>
      <c r="EL39" s="53" t="n"/>
      <c r="EM39" s="53" t="n"/>
      <c r="EN39" s="53" t="n"/>
      <c r="EO39" s="53" t="n"/>
      <c r="EP39" s="53" t="n"/>
      <c r="EQ39" s="53" t="n"/>
      <c r="ER39" s="53" t="n"/>
      <c r="ES39" s="53" t="n"/>
      <c r="ET39" s="53" t="n"/>
      <c r="EU39" s="53" t="n"/>
      <c r="EV39" s="53" t="n"/>
      <c r="EW39" s="52" t="n"/>
      <c r="EX39" s="53" t="inlineStr">
        <is>
          <t>• Role / sub-team: EU Assisted Services · ixbl Filing.</t>
        </is>
      </c>
      <c r="EY39" s="53" t="inlineStr">
        <is>
          <t>• Key responsibilities include: Team lead activities, meetings, cross - functional team coordination including queries solving, providing enhancement &amp; bug fixing inputs to product team.
• Reported deliverables and outcomes include: Completed file setup is emailed to the respective CEM/functional team; any pending part is handed over internally depending on shift availability.
• Additional duties outside usual job: Deloitte billing task, R&amp;D work for new mandates.</t>
        </is>
      </c>
      <c r="EZ39" s="53" t="inlineStr">
        <is>
          <t>• Current capabilities: Smart work; Tools / software used: Both.</t>
        </is>
      </c>
      <c r="FA39" s="53" t="inlineStr">
        <is>
          <t>• Development priorities: No input received.
• Learning and Development Need: Prioritization task.</t>
        </is>
      </c>
      <c r="FB39" s="53" t="inlineStr">
        <is>
          <t>• Key challenges: No input received.
• Support required: No input received.</t>
        </is>
      </c>
      <c r="FC39" s="53" t="n"/>
      <c r="FD39" s="53" t="n"/>
      <c r="FE39" s="57" t="inlineStr">
        <is>
          <t>1. Ensure files processed by team with &gt;=99% accuracy · zero critical errors.
2. Meet 100% of regulatory / client filing deadlines · no SLA breaches
3. Ensure 0% regulatory rejections across all submitted filings · Excluding issues not highlighted by our validator.
4. Cross-train team on at least 2 filing Mandate/Product.
5. Deliver zero escalations from key clients.</t>
        </is>
      </c>
      <c r="FF39" s="56" t="n"/>
      <c r="FG39" s="56" t="n"/>
      <c r="FH39" s="56" t="n"/>
      <c r="FI39" s="56" t="n"/>
      <c r="FJ39" s="56" t="inlineStr">
        <is>
          <t>Received · manager annual</t>
        </is>
      </c>
      <c r="FK39" s="56" t="inlineStr">
        <is>
          <t>CARBON Mapping Master</t>
        </is>
      </c>
      <c r="FL39" s="56" t="n">
        <v>20</v>
      </c>
      <c r="FM39" s="56" t="inlineStr">
        <is>
          <t>• Role / sub-team: EU Assisted Services · ixbl Filing.</t>
        </is>
      </c>
      <c r="FN39" s="56" t="inlineStr">
        <is>
          <t>• Key responsibilities include: Team lead activities, meetings, cross - functional team coordination including queries solving, providing enhancement &amp; bug fixing inputs to product team.
• Reported deliverables and outcomes include: Completed file setup is emailed to the respective CEM/functional team; any pending part is handed over internally depending on shift availability.
• Additional duties outside usual job: Deloitte billing task, R&amp;D work for new mandates.</t>
        </is>
      </c>
      <c r="FO39" s="56" t="inlineStr">
        <is>
          <t>• Current capabilities: Smart work; Tools / software used: Both.</t>
        </is>
      </c>
      <c r="FP39" s="56" t="inlineStr">
        <is>
          <t>• Development priorities: No input received.
• Learning and Development Need: Prioritization task.</t>
        </is>
      </c>
      <c r="FQ39" s="56" t="inlineStr">
        <is>
          <t>• Key challenges: No input received.
• Support required: No input received.</t>
        </is>
      </c>
      <c r="FR39" s="56" t="inlineStr">
        <is>
          <t>Complexity: Evidence reads like B2: Covers ESEF, KVK, InfoCamere, EU DM and ESG mandates; resolves process/tool issues; R&amp;D for new mandates → moved up 0.5
Autonomy: Evidence reads like B2: Sets priorities, allocates work and resources, changes ways of working without approval → moved up 0.5
Accountability: Evidence reads like B2: own survey / KRA answers · summarised by the rater; not quoted → matches the start
Leadership: Evidence reads like B2: Seven direct reports; manages team performance, trains and guides team on new mandates → matches the start
Business Impact: Moved +0.5: the survey / manager mapping marks it business-critical.</t>
        </is>
      </c>
      <c r="FS39" s="56" t="inlineStr">
        <is>
          <t>Common themes in role-holders' answers: manage · carbon · quality · deadlines · maintaining · smooth
Common themes in role-holders' answers: delivery · allocation · testing · quality · management · product
Common themes in role-holders' answers: xbrl · reports · word · files · deliver · pdf
Common themes in role-holders' answers: am · personally accountable · quality · delivery · timelines · allocation
Common themes in role-holders' answers: corrective · take · day-to-day · issues · allocate · quality
If the work is missed · role-holders' themes: client · escalation · effort · lead.</t>
        </is>
      </c>
      <c r="FT39" s="56" t="inlineStr">
        <is>
          <t>Self-identified: Answered · no common topic
For the next role: Answered · no common topic</t>
        </is>
      </c>
      <c r="FU39" s="56" t="inlineStr">
        <is>
          <t>Per-person summary · CARBON Mapping Master</t>
        </is>
      </c>
    </row>
    <row r="40" ht="90" customHeight="1">
      <c r="A40" s="51" t="inlineStr">
        <is>
          <t>◂ Back</t>
        </is>
      </c>
      <c r="B40" s="29" t="inlineStr">
        <is>
          <t>Mapped</t>
        </is>
      </c>
      <c r="C40" s="28" t="inlineStr">
        <is>
          <t>CARBON</t>
        </is>
      </c>
      <c r="D40" s="29" t="inlineStr">
        <is>
          <t>IRIS0567</t>
        </is>
      </c>
      <c r="E40" s="29" t="inlineStr">
        <is>
          <t>Amruta Mirashi</t>
        </is>
      </c>
      <c r="F40" s="29" t="inlineStr">
        <is>
          <t>Services</t>
        </is>
      </c>
      <c r="G40" s="29" t="inlineStr">
        <is>
          <t>Financial Analyst</t>
        </is>
      </c>
      <c r="H40" s="29" t="inlineStr">
        <is>
          <t>XBRL Specialist</t>
        </is>
      </c>
      <c r="I40" s="29" t="inlineStr">
        <is>
          <t>L3 – Professional / Associate</t>
        </is>
      </c>
      <c r="J40" s="29" t="inlineStr">
        <is>
          <t>B1</t>
        </is>
      </c>
      <c r="K40" s="29" t="inlineStr">
        <is>
          <t>▲ Up</t>
        </is>
      </c>
      <c r="L40" s="29" t="inlineStr">
        <is>
          <t>Consulting &amp; Professional Services</t>
        </is>
      </c>
      <c r="M40" s="29" t="inlineStr">
        <is>
          <t>XBRL Tagging, Conversion &amp; Filing</t>
        </is>
      </c>
      <c r="N40" s="29" t="inlineStr">
        <is>
          <t>• Confirm the reporting line — Manager</t>
        </is>
      </c>
      <c r="O40" s="29" t="n">
        <v>20</v>
      </c>
      <c r="P40" s="28" t="inlineStr">
        <is>
          <t>P3 / M2</t>
        </is>
      </c>
      <c r="Q40" s="29" t="inlineStr">
        <is>
          <t>Career / · Team Lead</t>
        </is>
      </c>
      <c r="R40" s="29" t="inlineStr">
        <is>
          <t>4 Enable</t>
        </is>
      </c>
      <c r="S40" s="29" t="inlineStr">
        <is>
          <t>4–7 yrs</t>
        </is>
      </c>
      <c r="T40" s="29" t="inlineStr">
        <is>
          <t>5–8 · 4–8</t>
        </is>
      </c>
      <c r="U40" s="29" t="inlineStr">
        <is>
          <t>Consultant / Senior Associate</t>
        </is>
      </c>
      <c r="V40" s="29" t="inlineStr">
        <is>
          <t>Big Four: Senior Consultant · IRIS Vs Market Benchmark — XBRL US credential pathway: Certificate + specialist taxonomy</t>
        </is>
      </c>
      <c r="W40" s="29" t="inlineStr">
        <is>
          <t>XBRL US GAAP Certificate · AICPA &amp; XBRL US; XBRL International specifications; IFRS / US GAAP / Ind AS</t>
        </is>
      </c>
      <c r="X40" s="29" t="inlineStr">
        <is>
          <t>Core 3 · Future 3 · Functional 3 · Leadership 1</t>
        </is>
      </c>
      <c r="Y40" s="52" t="n">
        <v>76</v>
      </c>
      <c r="Z40" s="53" t="inlineStr">
        <is>
          <t>IRIS0567</t>
        </is>
      </c>
      <c r="AA40" s="53" t="inlineStr">
        <is>
          <t>Employee</t>
        </is>
      </c>
      <c r="AB40" s="53" t="inlineStr">
        <is>
          <t>Active</t>
        </is>
      </c>
      <c r="AC40" s="53" t="inlineStr">
        <is>
          <t>Amruta Mirashi</t>
        </is>
      </c>
      <c r="AD40" s="54" t="n">
        <v>40630</v>
      </c>
      <c r="AE40" s="53" t="inlineStr">
        <is>
          <t>Financial Analyst</t>
        </is>
      </c>
      <c r="AF40" s="53" t="inlineStr">
        <is>
          <t>M.Com</t>
        </is>
      </c>
      <c r="AG40" s="53" t="inlineStr">
        <is>
          <t>Priyanka Jadhav</t>
        </is>
      </c>
      <c r="AH40" s="53" t="inlineStr">
        <is>
          <t>N-7</t>
        </is>
      </c>
      <c r="AI40" s="53" t="inlineStr">
        <is>
          <t>Individual Contributor</t>
        </is>
      </c>
      <c r="AJ40" s="53" t="inlineStr">
        <is>
          <t>0 years, 0 months, 0 days</t>
        </is>
      </c>
      <c r="AK40" s="53" t="inlineStr">
        <is>
          <t>15 years, 4 months, 28 days</t>
        </is>
      </c>
      <c r="AL40" s="53" t="inlineStr">
        <is>
          <t>Regtech</t>
        </is>
      </c>
      <c r="AM40" s="53" t="inlineStr">
        <is>
          <t>CARBON</t>
        </is>
      </c>
      <c r="AN40" s="53" t="inlineStr">
        <is>
          <t>Services</t>
        </is>
      </c>
      <c r="AO40" s="53" t="inlineStr">
        <is>
          <t>Expert Assisted services</t>
        </is>
      </c>
      <c r="AP40" s="53" t="inlineStr">
        <is>
          <t>No</t>
        </is>
      </c>
      <c r="AQ40" s="53" t="inlineStr">
        <is>
          <t>Professional Services</t>
        </is>
      </c>
      <c r="AR40" s="53" t="inlineStr">
        <is>
          <t>XBRL Domain</t>
        </is>
      </c>
      <c r="AS40" s="53" t="inlineStr">
        <is>
          <t>Non-technical</t>
        </is>
      </c>
      <c r="AT40" s="53" t="n">
        <v>20</v>
      </c>
      <c r="AU40" s="53" t="inlineStr">
        <is>
          <t>Covered</t>
        </is>
      </c>
      <c r="AV40" s="53" t="inlineStr">
        <is>
          <t>IRIS0567</t>
        </is>
      </c>
      <c r="AW40" s="53" t="inlineStr">
        <is>
          <t>Amruta Mirashi</t>
        </is>
      </c>
      <c r="AX40" s="53" t="inlineStr">
        <is>
          <t>Services</t>
        </is>
      </c>
      <c r="AY40" s="53" t="inlineStr">
        <is>
          <t>Professional Services</t>
        </is>
      </c>
      <c r="AZ40" s="53" t="inlineStr">
        <is>
          <t>XBRL / Regulatory Reporting</t>
        </is>
      </c>
      <c r="BA40" s="53" t="n"/>
      <c r="BB40" s="53" t="n"/>
      <c r="BC40" s="53" t="inlineStr">
        <is>
          <t>Employee</t>
        </is>
      </c>
      <c r="BD40" s="53" t="inlineStr">
        <is>
          <t>Priyanka Jadhav</t>
        </is>
      </c>
      <c r="BE40" s="53" t="inlineStr">
        <is>
          <t>Priyanka Jadhav</t>
        </is>
      </c>
      <c r="BF40" s="53" t="inlineStr">
        <is>
          <t>No</t>
        </is>
      </c>
      <c r="BG40" s="53" t="inlineStr">
        <is>
          <t>Financial Analyst</t>
        </is>
      </c>
      <c r="BH40" s="53" t="inlineStr">
        <is>
          <t>Senior Services Specialist</t>
        </is>
      </c>
      <c r="BI40" s="53" t="inlineStr">
        <is>
          <t>Yes</t>
        </is>
      </c>
      <c r="BJ40" s="53" t="inlineStr">
        <is>
          <t>—</t>
        </is>
      </c>
      <c r="BK40" s="53" t="inlineStr">
        <is>
          <t>—</t>
        </is>
      </c>
      <c r="BL40" s="53" t="inlineStr">
        <is>
          <t>—</t>
        </is>
      </c>
      <c r="BM40" s="53" t="inlineStr">
        <is>
          <t>Not a manager</t>
        </is>
      </c>
      <c r="BN40" s="53" t="inlineStr">
        <is>
          <t>—</t>
        </is>
      </c>
      <c r="BO40" s="53" t="inlineStr">
        <is>
          <t>—</t>
        </is>
      </c>
      <c r="BP40" s="53" t="inlineStr">
        <is>
          <t>—</t>
        </is>
      </c>
      <c r="BQ40" s="53" t="inlineStr">
        <is>
          <t>Not a manager</t>
        </is>
      </c>
      <c r="BR40" s="53" t="inlineStr">
        <is>
          <t>—</t>
        </is>
      </c>
      <c r="BS40" s="53" t="inlineStr">
        <is>
          <t>L3 – Professional / Associate</t>
        </is>
      </c>
      <c r="BT40" s="53" t="inlineStr">
        <is>
          <t>L2</t>
        </is>
      </c>
      <c r="BU40" s="53" t="inlineStr">
        <is>
          <t>Designation refined from Raw tab Comments column · this update</t>
        </is>
      </c>
      <c r="BV40"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W40" s="53" t="n"/>
      <c r="BX40" s="53" t="inlineStr">
        <is>
          <t>India - MCA; Europe - ESEF; Italy - Infocamere.</t>
        </is>
      </c>
      <c r="BY40" s="53" t="n"/>
      <c r="BZ40" s="53" t="inlineStr">
        <is>
          <t>IRIS0567</t>
        </is>
      </c>
      <c r="CA40" s="53" t="inlineStr">
        <is>
          <t>Employee</t>
        </is>
      </c>
      <c r="CB40" s="53" t="inlineStr">
        <is>
          <t>Active</t>
        </is>
      </c>
      <c r="CC40" s="53" t="inlineStr">
        <is>
          <t>Amruta Mirashi</t>
        </is>
      </c>
      <c r="CD40" s="54" t="n">
        <v>40630</v>
      </c>
      <c r="CE40" s="53" t="inlineStr">
        <is>
          <t>Financial Analyst</t>
        </is>
      </c>
      <c r="CF40" s="53" t="n"/>
      <c r="CG40" s="53" t="inlineStr">
        <is>
          <t>Professional Services</t>
        </is>
      </c>
      <c r="CH40" s="53" t="inlineStr">
        <is>
          <t>XBRL / Regulatory Reporting</t>
        </is>
      </c>
      <c r="CI40" s="53" t="inlineStr">
        <is>
          <t>Financial Analyst</t>
        </is>
      </c>
      <c r="CJ40" s="53" t="inlineStr">
        <is>
          <t>L3 – Professional / Associate</t>
        </is>
      </c>
      <c r="CK40" s="53" t="inlineStr">
        <is>
          <t>Priyanka Jadhav</t>
        </is>
      </c>
      <c r="CL40" s="53" t="inlineStr">
        <is>
          <t>N-7</t>
        </is>
      </c>
      <c r="CM40" s="53" t="inlineStr">
        <is>
          <t>Individual Contributor</t>
        </is>
      </c>
      <c r="CN40" s="53" t="inlineStr">
        <is>
          <t>Regtech</t>
        </is>
      </c>
      <c r="CO40" s="53" t="inlineStr">
        <is>
          <t>Services</t>
        </is>
      </c>
      <c r="CP40" s="53" t="inlineStr">
        <is>
          <t>15 years, 2 months, 23 days</t>
        </is>
      </c>
      <c r="CQ40" s="53" t="inlineStr">
        <is>
          <t>Services Specialist</t>
        </is>
      </c>
      <c r="CR40" s="53" t="n"/>
      <c r="CS40" s="53" t="n">
        <v>4</v>
      </c>
      <c r="CT40" s="53" t="inlineStr">
        <is>
          <t>High</t>
        </is>
      </c>
      <c r="CU40" s="53" t="inlineStr">
        <is>
          <t>Core Contributor</t>
        </is>
      </c>
      <c r="CV40" s="53" t="inlineStr">
        <is>
          <t>Yes</t>
        </is>
      </c>
      <c r="CW40" s="53" t="inlineStr">
        <is>
          <t>No</t>
        </is>
      </c>
      <c r="CX40" s="53" t="inlineStr">
        <is>
          <t>Yes</t>
        </is>
      </c>
      <c r="CY40" s="53" t="n"/>
      <c r="CZ40" s="53" t="n"/>
      <c r="DA40" s="53" t="n"/>
      <c r="DB40" s="53" t="inlineStr">
        <is>
          <t>Title to be standardized to : Senior Services Specialist</t>
        </is>
      </c>
      <c r="DC40" s="53" t="n"/>
      <c r="DD40" s="53" t="n"/>
      <c r="DE40" s="53" t="n"/>
      <c r="DF40" s="53" t="n"/>
      <c r="DG40" s="53" t="n"/>
      <c r="DH40" s="53" t="n"/>
      <c r="DI40" s="53" t="n"/>
      <c r="DJ40" s="53" t="n"/>
      <c r="DK40" s="53" t="n"/>
      <c r="DL40" s="53" t="n"/>
      <c r="DM40" s="53" t="n"/>
      <c r="DN40" s="53" t="n"/>
      <c r="DO40" s="53" t="n"/>
      <c r="DP40" s="53" t="n"/>
      <c r="DQ40" s="53" t="n"/>
      <c r="DR40" s="53" t="n"/>
      <c r="DS40" s="53" t="n"/>
      <c r="DT40" s="53" t="n"/>
      <c r="DU40" s="53" t="n"/>
      <c r="DV40" s="53" t="n"/>
      <c r="DW40" s="53" t="n"/>
      <c r="DX40" s="53" t="n"/>
      <c r="DY40" s="53" t="n"/>
      <c r="DZ40" s="53" t="n"/>
      <c r="EA40" s="53" t="n"/>
      <c r="EB40" s="53" t="n"/>
      <c r="EC40" s="53" t="n"/>
      <c r="ED40" s="53" t="n"/>
      <c r="EE40" s="53" t="n"/>
      <c r="EF40" s="53" t="n"/>
      <c r="EG40" s="53" t="n"/>
      <c r="EH40" s="53" t="n"/>
      <c r="EI40" s="53" t="n"/>
      <c r="EJ40" s="53" t="n"/>
      <c r="EK40" s="53" t="n"/>
      <c r="EL40" s="53" t="n"/>
      <c r="EM40" s="53" t="n"/>
      <c r="EN40" s="53" t="n"/>
      <c r="EO40" s="53" t="n"/>
      <c r="EP40" s="53" t="n"/>
      <c r="EQ40" s="53" t="n"/>
      <c r="ER40" s="53" t="n"/>
      <c r="ES40" s="53" t="n"/>
      <c r="ET40" s="53" t="n"/>
      <c r="EU40" s="53" t="n"/>
      <c r="EV40" s="53" t="n"/>
      <c r="EW40" s="52" t="inlineStr">
        <is>
          <t>Also works on the EU-DM · EU Disclosure Management project — not currently reflected in product/role mapping.</t>
        </is>
      </c>
      <c r="EX40" s="53" t="inlineStr">
        <is>
          <t>• Role / sub-team: Service - Tagging and shift leading.</t>
        </is>
      </c>
      <c r="EY40" s="53" t="inlineStr">
        <is>
          <t>• Key responsibilities include: Tagging and QC Shift leading - includes, keeping records of all the requsts, Doubt solving of team members, Product Testing activity, co ordinating with CEM.
• Reported deliverables and outcomes include: Once the request is completed, it is transferred to the CEM.</t>
        </is>
      </c>
      <c r="EZ40" s="53" t="inlineStr">
        <is>
          <t>• Current capabilities: Time managment; Product or tool issues; Tools / software used: Both.</t>
        </is>
      </c>
      <c r="FA40" s="53" t="inlineStr">
        <is>
          <t>• Development priorities: No input received.
• Learning and Development Need: Clear information to all.</t>
        </is>
      </c>
      <c r="FB40" s="53" t="inlineStr">
        <is>
          <t>• Key challenges: No input received.
• Support required: No input received.</t>
        </is>
      </c>
      <c r="FC40" s="53" t="n"/>
      <c r="FD40" s="53" t="n"/>
      <c r="FE40"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FF40" s="56" t="n"/>
      <c r="FG40" s="56" t="n"/>
      <c r="FH40" s="56" t="n"/>
      <c r="FI40" s="56" t="n"/>
      <c r="FJ40" s="56" t="inlineStr">
        <is>
          <t>Received · manager annual</t>
        </is>
      </c>
      <c r="FK40" s="56" t="inlineStr">
        <is>
          <t>CARBON Mapping Master</t>
        </is>
      </c>
      <c r="FL40" s="56" t="n">
        <v>20</v>
      </c>
      <c r="FM40" s="56" t="inlineStr">
        <is>
          <t>• Role / sub-team: Service - Tagging and shift leading.</t>
        </is>
      </c>
      <c r="FN40" s="56" t="inlineStr">
        <is>
          <t>• Key responsibilities include: Tagging and QC Shift leading - includes, keeping records of all the requsts, Doubt solving of team members, Product Testing activity, co ordinating with CEM.
• Reported deliverables and outcomes include: Once the request is completed, it is transferred to the CEM.</t>
        </is>
      </c>
      <c r="FO40" s="56" t="inlineStr">
        <is>
          <t>• Current capabilities: Time managment; Product or tool issues; Tools / software used: Both.</t>
        </is>
      </c>
      <c r="FP40" s="56" t="inlineStr">
        <is>
          <t>• Development priorities: No input received.
• Learning and Development Need: Clear information to all.</t>
        </is>
      </c>
      <c r="FQ40" s="56" t="inlineStr">
        <is>
          <t>• Key challenges: No input received.
• Support required: No input received.</t>
        </is>
      </c>
      <c r="FR40" s="56" t="inlineStr">
        <is>
          <t>Complexity: Evidence reads like B1: Tags and reviews ESEF, KVK, MCA, Infocamere and DM files; product testing; solves team doubts → moved up 1
Autonomy: Evidence reads like B1: Decides file allocation for the shift and keeps records of all requests → moved up 1
Accountability: Evidence reads like B1: Shift's allocation and timely delivery of files, plus own tagging and review → moved up 1
Leadership: Evidence reads like B1: Shift lead: allocates files, solves doubts, trains team on new updates → moved up 1
Business Impact: Moved +0.5: the survey / manager mapping marks it business-critical.</t>
        </is>
      </c>
      <c r="FS40" s="56" t="inlineStr">
        <is>
          <t>Common themes in role-holders' answers: reporting · financial · mandate · timely · while · us
Common themes in role-holders' answers: tagging · validation · quality · mapping · management · filing
Common themes in role-holders' answers: documents · xbrl · quality · timely · overall · filings
Common themes in role-holders' answers: quality · validation · timely · am · tagging · delivery
Common themes in role-holders' answers: resolving · independently · issues · routine · file · analysis
If the work is missed · role-holders' themes: rework · quality · delays · filing.</t>
        </is>
      </c>
      <c r="FT40" s="56" t="inlineStr">
        <is>
          <t>Self-identified: AI / automation · Project / programme management · Product &amp; tool knowledge · Certification / formal course
For the next role: AI / automation · Project / programme management · Product &amp; tool knowledge · Certification / formal course</t>
        </is>
      </c>
      <c r="FU40" s="56" t="inlineStr">
        <is>
          <t>Per-person summary · CARBON Mapping Master</t>
        </is>
      </c>
    </row>
    <row r="41" ht="90" customHeight="1">
      <c r="A41" s="51" t="inlineStr">
        <is>
          <t>◂ Back</t>
        </is>
      </c>
      <c r="B41" s="29" t="inlineStr">
        <is>
          <t>Mapped</t>
        </is>
      </c>
      <c r="C41" s="28" t="inlineStr">
        <is>
          <t>CARBON</t>
        </is>
      </c>
      <c r="D41" s="29" t="inlineStr">
        <is>
          <t>IRIS0547</t>
        </is>
      </c>
      <c r="E41" s="29" t="inlineStr">
        <is>
          <t>Pradul Meshram</t>
        </is>
      </c>
      <c r="F41" s="29" t="inlineStr">
        <is>
          <t>Services</t>
        </is>
      </c>
      <c r="G41" s="29" t="inlineStr">
        <is>
          <t>Senior Financial Analyst</t>
        </is>
      </c>
      <c r="H41" s="29" t="inlineStr">
        <is>
          <t>XBRL Specialist</t>
        </is>
      </c>
      <c r="I41" s="29" t="inlineStr">
        <is>
          <t>L4 – Senior</t>
        </is>
      </c>
      <c r="J41" s="29" t="inlineStr">
        <is>
          <t>B1</t>
        </is>
      </c>
      <c r="K41" s="29" t="inlineStr">
        <is>
          <t>▲ Up</t>
        </is>
      </c>
      <c r="L41" s="29" t="inlineStr">
        <is>
          <t>Consulting &amp; Professional Services</t>
        </is>
      </c>
      <c r="M41" s="29" t="inlineStr">
        <is>
          <t>XBRL Tagging, Conversion &amp; Filing</t>
        </is>
      </c>
      <c r="N41" s="29" t="n"/>
      <c r="O41" s="29" t="n">
        <v>20</v>
      </c>
      <c r="P41" s="28" t="inlineStr">
        <is>
          <t>P3 / M2</t>
        </is>
      </c>
      <c r="Q41" s="29" t="inlineStr">
        <is>
          <t>Career / · Team Lead</t>
        </is>
      </c>
      <c r="R41" s="29" t="inlineStr">
        <is>
          <t>4 Enable</t>
        </is>
      </c>
      <c r="S41" s="29" t="inlineStr">
        <is>
          <t>4–7 yrs</t>
        </is>
      </c>
      <c r="T41" s="29" t="inlineStr">
        <is>
          <t>5–8 · 4–8</t>
        </is>
      </c>
      <c r="U41" s="29" t="inlineStr">
        <is>
          <t>Consultant / Senior Associate</t>
        </is>
      </c>
      <c r="V41" s="29" t="inlineStr">
        <is>
          <t>Big Four: Senior Consultant · IRIS Vs Market Benchmark — XBRL US credential pathway: Certificate + specialist taxonomy</t>
        </is>
      </c>
      <c r="W41" s="29" t="inlineStr">
        <is>
          <t>XBRL US GAAP Certificate · AICPA &amp; XBRL US; XBRL International specifications; IFRS / US GAAP / Ind AS</t>
        </is>
      </c>
      <c r="X41" s="29" t="inlineStr">
        <is>
          <t>Core 3 · Future 3 · Functional 3 · Leadership 1</t>
        </is>
      </c>
      <c r="Y41" s="52" t="n">
        <v>72</v>
      </c>
      <c r="Z41" s="53" t="inlineStr">
        <is>
          <t>IRIS0547</t>
        </is>
      </c>
      <c r="AA41" s="53" t="inlineStr">
        <is>
          <t>Employee</t>
        </is>
      </c>
      <c r="AB41" s="53" t="inlineStr">
        <is>
          <t>Active</t>
        </is>
      </c>
      <c r="AC41" s="53" t="inlineStr">
        <is>
          <t>Pradul Meshram</t>
        </is>
      </c>
      <c r="AD41" s="54" t="n">
        <v>40603</v>
      </c>
      <c r="AE41" s="53" t="inlineStr">
        <is>
          <t>Senior Financial Analyst</t>
        </is>
      </c>
      <c r="AF41" s="53" t="inlineStr">
        <is>
          <t>M.Com</t>
        </is>
      </c>
      <c r="AG41" s="53" t="inlineStr">
        <is>
          <t>Priyanka Jadhav</t>
        </is>
      </c>
      <c r="AH41" s="53" t="inlineStr">
        <is>
          <t>N-7</t>
        </is>
      </c>
      <c r="AI41" s="53" t="inlineStr">
        <is>
          <t>Individual Contributor</t>
        </is>
      </c>
      <c r="AJ41" s="53" t="inlineStr">
        <is>
          <t>0 years, 0 months, 0 days</t>
        </is>
      </c>
      <c r="AK41" s="53" t="inlineStr">
        <is>
          <t>15 years, 5 months, 24 days</t>
        </is>
      </c>
      <c r="AL41" s="53" t="inlineStr">
        <is>
          <t>Regtech</t>
        </is>
      </c>
      <c r="AM41" s="53" t="inlineStr">
        <is>
          <t>CARBON</t>
        </is>
      </c>
      <c r="AN41" s="53" t="inlineStr">
        <is>
          <t>Services</t>
        </is>
      </c>
      <c r="AO41" s="53" t="inlineStr">
        <is>
          <t>Expert Assisted services</t>
        </is>
      </c>
      <c r="AP41" s="53" t="inlineStr">
        <is>
          <t>No</t>
        </is>
      </c>
      <c r="AQ41" s="53" t="inlineStr">
        <is>
          <t>Professional Services</t>
        </is>
      </c>
      <c r="AR41" s="53" t="inlineStr">
        <is>
          <t>XBRL Domain</t>
        </is>
      </c>
      <c r="AS41" s="53" t="inlineStr">
        <is>
          <t>Non-technical</t>
        </is>
      </c>
      <c r="AT41" s="53" t="n">
        <v>20</v>
      </c>
      <c r="AU41" s="53" t="inlineStr">
        <is>
          <t>Covered</t>
        </is>
      </c>
      <c r="AV41" s="53" t="inlineStr">
        <is>
          <t>IRIS0547</t>
        </is>
      </c>
      <c r="AW41" s="53" t="inlineStr">
        <is>
          <t>Pradul Meshram</t>
        </is>
      </c>
      <c r="AX41" s="53" t="inlineStr">
        <is>
          <t>Services</t>
        </is>
      </c>
      <c r="AY41" s="53" t="inlineStr">
        <is>
          <t>Professional Services</t>
        </is>
      </c>
      <c r="AZ41" s="53" t="inlineStr">
        <is>
          <t>XBRL / Regulatory Reporting</t>
        </is>
      </c>
      <c r="BA41" s="53" t="n"/>
      <c r="BB41" s="53" t="n"/>
      <c r="BC41" s="53" t="inlineStr">
        <is>
          <t>Employee</t>
        </is>
      </c>
      <c r="BD41" s="53" t="inlineStr">
        <is>
          <t>Priyanka Jadhav</t>
        </is>
      </c>
      <c r="BE41" s="53" t="inlineStr">
        <is>
          <t>Priyanka Jadhav</t>
        </is>
      </c>
      <c r="BF41" s="53" t="inlineStr">
        <is>
          <t>No</t>
        </is>
      </c>
      <c r="BG41" s="53" t="inlineStr">
        <is>
          <t>Senior Financial Analyst</t>
        </is>
      </c>
      <c r="BH41" s="53" t="inlineStr">
        <is>
          <t>Senior Services Specialist</t>
        </is>
      </c>
      <c r="BI41" s="53" t="inlineStr">
        <is>
          <t>Yes</t>
        </is>
      </c>
      <c r="BJ41" s="53" t="inlineStr">
        <is>
          <t>—</t>
        </is>
      </c>
      <c r="BK41" s="53" t="inlineStr">
        <is>
          <t>—</t>
        </is>
      </c>
      <c r="BL41" s="53" t="inlineStr">
        <is>
          <t>—</t>
        </is>
      </c>
      <c r="BM41" s="53" t="inlineStr">
        <is>
          <t>Not a manager</t>
        </is>
      </c>
      <c r="BN41" s="53" t="inlineStr">
        <is>
          <t>—</t>
        </is>
      </c>
      <c r="BO41" s="53" t="inlineStr">
        <is>
          <t>—</t>
        </is>
      </c>
      <c r="BP41" s="53" t="inlineStr">
        <is>
          <t>—</t>
        </is>
      </c>
      <c r="BQ41" s="53" t="inlineStr">
        <is>
          <t>Not a manager</t>
        </is>
      </c>
      <c r="BR41" s="53" t="inlineStr">
        <is>
          <t>—</t>
        </is>
      </c>
      <c r="BS41" s="53" t="inlineStr">
        <is>
          <t>L4 – Senior</t>
        </is>
      </c>
      <c r="BT41" s="53" t="inlineStr">
        <is>
          <t>L4 – Senior</t>
        </is>
      </c>
      <c r="BU41" s="53" t="inlineStr">
        <is>
          <t>Designation refined from Raw tab Comments column · this update</t>
        </is>
      </c>
      <c r="BV41"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W41" s="53" t="n"/>
      <c r="BX41" s="53" t="inlineStr">
        <is>
          <t>Europe - ESEF; UK - HMRC.</t>
        </is>
      </c>
      <c r="BY41" s="53" t="n"/>
      <c r="BZ41" s="53" t="inlineStr">
        <is>
          <t>IRIS0547</t>
        </is>
      </c>
      <c r="CA41" s="53" t="inlineStr">
        <is>
          <t>Employee</t>
        </is>
      </c>
      <c r="CB41" s="53" t="inlineStr">
        <is>
          <t>Active</t>
        </is>
      </c>
      <c r="CC41" s="53" t="inlineStr">
        <is>
          <t>Pradul Meshram</t>
        </is>
      </c>
      <c r="CD41" s="54" t="n">
        <v>40603</v>
      </c>
      <c r="CE41" s="53" t="inlineStr">
        <is>
          <t>Senior Financial Analyst</t>
        </is>
      </c>
      <c r="CF41" s="53" t="n"/>
      <c r="CG41" s="53" t="inlineStr">
        <is>
          <t>Professional Services</t>
        </is>
      </c>
      <c r="CH41" s="53" t="inlineStr">
        <is>
          <t>XBRL / Regulatory Reporting</t>
        </is>
      </c>
      <c r="CI41" s="53" t="inlineStr">
        <is>
          <t>Senior Financial Analyst</t>
        </is>
      </c>
      <c r="CJ41" s="53" t="inlineStr">
        <is>
          <t>L4 – Senior</t>
        </is>
      </c>
      <c r="CK41" s="53" t="inlineStr">
        <is>
          <t>Priyanka Jadhav</t>
        </is>
      </c>
      <c r="CL41" s="53" t="inlineStr">
        <is>
          <t>N-7</t>
        </is>
      </c>
      <c r="CM41" s="53" t="inlineStr">
        <is>
          <t>Individual Contributor</t>
        </is>
      </c>
      <c r="CN41" s="53" t="inlineStr">
        <is>
          <t>Regtech</t>
        </is>
      </c>
      <c r="CO41" s="53" t="inlineStr">
        <is>
          <t>Services</t>
        </is>
      </c>
      <c r="CP41" s="53" t="inlineStr">
        <is>
          <t>15 years, 3 months, 19 days</t>
        </is>
      </c>
      <c r="CQ41" s="53" t="inlineStr">
        <is>
          <t>Senior Services Specialst</t>
        </is>
      </c>
      <c r="CR41" s="53" t="n"/>
      <c r="CS41" s="53" t="n">
        <v>4</v>
      </c>
      <c r="CT41" s="53" t="inlineStr">
        <is>
          <t>High</t>
        </is>
      </c>
      <c r="CU41" s="53" t="inlineStr">
        <is>
          <t>Core Contributor</t>
        </is>
      </c>
      <c r="CV41" s="53" t="inlineStr">
        <is>
          <t>Yes</t>
        </is>
      </c>
      <c r="CW41" s="53" t="inlineStr">
        <is>
          <t>No</t>
        </is>
      </c>
      <c r="CX41" s="53" t="inlineStr">
        <is>
          <t>Yes</t>
        </is>
      </c>
      <c r="CY41" s="53" t="n"/>
      <c r="CZ41" s="53" t="n"/>
      <c r="DA41" s="53" t="n"/>
      <c r="DB41" s="53" t="inlineStr">
        <is>
          <t>Title to be standardized to: Senior Services Specialist</t>
        </is>
      </c>
      <c r="DC41" s="53" t="n"/>
      <c r="DD41" s="53" t="n"/>
      <c r="DE41" s="53" t="n"/>
      <c r="DF41" s="53" t="n"/>
      <c r="DG41" s="53" t="n"/>
      <c r="DH41" s="53" t="n"/>
      <c r="DI41" s="53" t="n"/>
      <c r="DJ41" s="53" t="n"/>
      <c r="DK41" s="53" t="n"/>
      <c r="DL41" s="53" t="n"/>
      <c r="DM41" s="53" t="n"/>
      <c r="DN41" s="53" t="n"/>
      <c r="DO41" s="53" t="n"/>
      <c r="DP41" s="53" t="n"/>
      <c r="DQ41" s="53" t="n"/>
      <c r="DR41" s="53" t="n"/>
      <c r="DS41" s="53" t="n"/>
      <c r="DT41" s="53" t="n"/>
      <c r="DU41" s="53" t="n"/>
      <c r="DV41" s="53" t="n"/>
      <c r="DW41" s="53" t="n"/>
      <c r="DX41" s="53" t="n"/>
      <c r="DY41" s="53" t="n"/>
      <c r="DZ41" s="53" t="n"/>
      <c r="EA41" s="53" t="n"/>
      <c r="EB41" s="53" t="n"/>
      <c r="EC41" s="53" t="n"/>
      <c r="ED41" s="53" t="n"/>
      <c r="EE41" s="53" t="n"/>
      <c r="EF41" s="53" t="n"/>
      <c r="EG41" s="53" t="n"/>
      <c r="EH41" s="53" t="n"/>
      <c r="EI41" s="53" t="n"/>
      <c r="EJ41" s="53" t="n"/>
      <c r="EK41" s="53" t="n"/>
      <c r="EL41" s="53" t="n"/>
      <c r="EM41" s="53" t="n"/>
      <c r="EN41" s="53" t="n"/>
      <c r="EO41" s="53" t="n"/>
      <c r="EP41" s="53" t="n"/>
      <c r="EQ41" s="53" t="n"/>
      <c r="ER41" s="53" t="n"/>
      <c r="ES41" s="53" t="n"/>
      <c r="ET41" s="53" t="n"/>
      <c r="EU41" s="53" t="n"/>
      <c r="EV41" s="53" t="n"/>
      <c r="EW41" s="52" t="inlineStr">
        <is>
          <t>Also works on the EU-DM · EU Disclosure Management project — not currently reflected in product/role mapping.</t>
        </is>
      </c>
      <c r="EX41" s="53" t="inlineStr">
        <is>
          <t>• Role / sub-team: Services team Disclosure Manageme for Europe countries.</t>
        </is>
      </c>
      <c r="EY41" s="53" t="inlineStr">
        <is>
          <t>• Key responsibilities include: XBRL Tagging and Quality check. Product esting for enhancement, doubt solving of team members. Training.
• Reported deliverables and outcomes include: Drops an email to CEM who has requested on behalf of clients, Sign off for UAT testing.
• Additional duties outside usual job: Yes · no further details given.</t>
        </is>
      </c>
      <c r="EZ41" s="53" t="inlineStr">
        <is>
          <t>• Current capabilities: Communication skills and; Tools / software used: Both.</t>
        </is>
      </c>
      <c r="FA41" s="53" t="inlineStr">
        <is>
          <t>• Development priorities: No input received.
• Learning and Development Need: Highlight main points.</t>
        </is>
      </c>
      <c r="FB41" s="53" t="inlineStr">
        <is>
          <t>• Key challenges: Product related queries.
• Support required: No input received.</t>
        </is>
      </c>
      <c r="FC41" s="53" t="n"/>
      <c r="FD41" s="53" t="n"/>
      <c r="FE41"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FF41" s="56" t="n"/>
      <c r="FG41" s="56" t="n"/>
      <c r="FH41" s="56" t="n"/>
      <c r="FI41" s="56" t="n"/>
      <c r="FJ41" s="56" t="inlineStr">
        <is>
          <t>Received · manager annual</t>
        </is>
      </c>
      <c r="FK41" s="56" t="inlineStr">
        <is>
          <t>CARBON Mapping Master</t>
        </is>
      </c>
      <c r="FL41" s="56" t="n">
        <v>20</v>
      </c>
      <c r="FM41" s="56" t="inlineStr">
        <is>
          <t>• Role / sub-team: Services team Disclosure Manageme for Europe countries.</t>
        </is>
      </c>
      <c r="FN41" s="56" t="inlineStr">
        <is>
          <t>• Key responsibilities include: XBRL Tagging and Quality check. Product esting for enhancement, doubt solving of team members. Training.
• Reported deliverables and outcomes include: Drops an email to CEM who has requested on behalf of clients, Sign off for UAT testing.
• Additional duties outside usual job: Yes · no further details given.</t>
        </is>
      </c>
      <c r="FO41" s="56" t="inlineStr">
        <is>
          <t>• Current capabilities: Communication skills and; Tools / software used: Both.</t>
        </is>
      </c>
      <c r="FP41" s="56" t="inlineStr">
        <is>
          <t>• Development priorities: No input received.
• Learning and Development Need: Highlight main points.</t>
        </is>
      </c>
      <c r="FQ41" s="56" t="inlineStr">
        <is>
          <t>• Key challenges: Product related queries.
• Support required: No input received.</t>
        </is>
      </c>
      <c r="FR41" s="56" t="inlineStr">
        <is>
          <t>Complexity: Evidence reads like A3: Processes DM and ESMA files/edits, tests releases on Dev/Stage/Live, suggests automations → matches the start
Autonomy: Evidence reads like A3: Gives release sign-off to Carbon/DM team from own testing; analyses documents independently → matches the start
Accountability: Evidence reads like A3: Own processed files and edits, plus sign-off of new product versions before release → matches the start
Leadership: Evidence reads like A2: Manager note mentions doubt-solving and training of teammates; survey shows none → matches the start
Business Impact: Moved +1: the survey / manager mapping marks it business-critical and it does work no one else does.</t>
        </is>
      </c>
      <c r="FS41" s="56" t="inlineStr">
        <is>
          <t>Common themes in role-holders' answers: reporting · financial · mandate · timely · while · us
Common themes in role-holders' answers: tagging · validation · quality · mapping · management · filing
Common themes in role-holders' answers: documents · xbrl · quality · timely · overall · filings
Common themes in role-holders' answers: quality · validation · timely · am · tagging · delivery
Common themes in role-holders' answers: resolving · independently · issues · routine · file · analysis
If the work is missed · role-holders' themes: rework · quality · delays · filing.</t>
        </is>
      </c>
      <c r="FT41" s="56" t="inlineStr">
        <is>
          <t>Self-identified: Product &amp; tool knowledge · Broader exposure &amp; ownership
For the next role: Product &amp; tool knowledge · Broader exposure &amp; ownership</t>
        </is>
      </c>
      <c r="FU41" s="56" t="inlineStr">
        <is>
          <t>Per-person summary · CARBON Mapping Master</t>
        </is>
      </c>
    </row>
    <row r="42" ht="90" customHeight="1">
      <c r="A42" s="51" t="inlineStr">
        <is>
          <t>◂ Back</t>
        </is>
      </c>
      <c r="B42" s="29" t="inlineStr">
        <is>
          <t>Mapped</t>
        </is>
      </c>
      <c r="C42" s="28" t="inlineStr">
        <is>
          <t>CARBON</t>
        </is>
      </c>
      <c r="D42" s="29" t="inlineStr">
        <is>
          <t>IRIS0812</t>
        </is>
      </c>
      <c r="E42" s="29" t="inlineStr">
        <is>
          <t>Purva Shrivastava</t>
        </is>
      </c>
      <c r="F42" s="29" t="inlineStr">
        <is>
          <t>Services</t>
        </is>
      </c>
      <c r="G42" s="29" t="inlineStr">
        <is>
          <t>Senior Financial Analyst</t>
        </is>
      </c>
      <c r="H42" s="29" t="inlineStr">
        <is>
          <t>XBRL Specialist</t>
        </is>
      </c>
      <c r="I42" s="29" t="inlineStr">
        <is>
          <t>L4 – Senior</t>
        </is>
      </c>
      <c r="J42" s="29" t="inlineStr">
        <is>
          <t>B1</t>
        </is>
      </c>
      <c r="K42" s="29" t="inlineStr">
        <is>
          <t>▲ Up</t>
        </is>
      </c>
      <c r="L42" s="29" t="inlineStr">
        <is>
          <t>Consulting &amp; Professional Services</t>
        </is>
      </c>
      <c r="M42" s="29" t="inlineStr">
        <is>
          <t>XBRL Tagging, Conversion &amp; Filing</t>
        </is>
      </c>
      <c r="N42" s="29" t="n"/>
      <c r="O42" s="29" t="n">
        <v>19</v>
      </c>
      <c r="P42" s="28" t="inlineStr">
        <is>
          <t>P3 / M2</t>
        </is>
      </c>
      <c r="Q42" s="29" t="inlineStr">
        <is>
          <t>Career / · Team Lead</t>
        </is>
      </c>
      <c r="R42" s="29" t="inlineStr">
        <is>
          <t>4 Enable</t>
        </is>
      </c>
      <c r="S42" s="29" t="inlineStr">
        <is>
          <t>4–7 yrs</t>
        </is>
      </c>
      <c r="T42" s="29" t="inlineStr">
        <is>
          <t>5–8 · 4–8</t>
        </is>
      </c>
      <c r="U42" s="29" t="inlineStr">
        <is>
          <t>Consultant / Senior Associate</t>
        </is>
      </c>
      <c r="V42" s="29" t="inlineStr">
        <is>
          <t>Big Four: Senior Consultant · IRIS Vs Market Benchmark — XBRL US credential pathway: Certificate + specialist taxonomy</t>
        </is>
      </c>
      <c r="W42" s="29" t="inlineStr">
        <is>
          <t>XBRL US GAAP Certificate · AICPA &amp; XBRL US; XBRL International specifications; IFRS / US GAAP / Ind AS</t>
        </is>
      </c>
      <c r="X42" s="29" t="inlineStr">
        <is>
          <t>Core 3 · Future 3 · Functional 3 · Leadership 1</t>
        </is>
      </c>
      <c r="Y42" s="52" t="n">
        <v>92</v>
      </c>
      <c r="Z42" s="53" t="inlineStr">
        <is>
          <t>IRIS0812</t>
        </is>
      </c>
      <c r="AA42" s="53" t="inlineStr">
        <is>
          <t>Employee</t>
        </is>
      </c>
      <c r="AB42" s="53" t="inlineStr">
        <is>
          <t>Active</t>
        </is>
      </c>
      <c r="AC42" s="53" t="inlineStr">
        <is>
          <t>Purva Shrivastava</t>
        </is>
      </c>
      <c r="AD42" s="54" t="n">
        <v>40756</v>
      </c>
      <c r="AE42" s="53" t="inlineStr">
        <is>
          <t>Senior Financial Analyst</t>
        </is>
      </c>
      <c r="AF42" s="53" t="inlineStr">
        <is>
          <t>MBA</t>
        </is>
      </c>
      <c r="AG42" s="53" t="inlineStr">
        <is>
          <t>Priyanka Jadhav</t>
        </is>
      </c>
      <c r="AH42" s="53" t="inlineStr">
        <is>
          <t>N-7</t>
        </is>
      </c>
      <c r="AI42" s="53" t="inlineStr">
        <is>
          <t>Individual Contributor</t>
        </is>
      </c>
      <c r="AJ42" s="53" t="inlineStr">
        <is>
          <t>1 years, 0 months, 0 days</t>
        </is>
      </c>
      <c r="AK42" s="53" t="inlineStr">
        <is>
          <t>15 years, 0 months, 24 days</t>
        </is>
      </c>
      <c r="AL42" s="53" t="inlineStr">
        <is>
          <t>Regtech</t>
        </is>
      </c>
      <c r="AM42" s="53" t="inlineStr">
        <is>
          <t>CARBON</t>
        </is>
      </c>
      <c r="AN42" s="53" t="inlineStr">
        <is>
          <t>Services</t>
        </is>
      </c>
      <c r="AO42" s="53" t="inlineStr">
        <is>
          <t>Expert Assisted services</t>
        </is>
      </c>
      <c r="AP42" s="53" t="inlineStr">
        <is>
          <t>No</t>
        </is>
      </c>
      <c r="AQ42" s="53" t="inlineStr">
        <is>
          <t>Professional Services</t>
        </is>
      </c>
      <c r="AR42" s="53" t="inlineStr">
        <is>
          <t>XBRL Domain</t>
        </is>
      </c>
      <c r="AS42" s="53" t="inlineStr">
        <is>
          <t>Non-technical</t>
        </is>
      </c>
      <c r="AT42" s="53" t="n">
        <v>20</v>
      </c>
      <c r="AU42" s="53" t="inlineStr">
        <is>
          <t>Covered</t>
        </is>
      </c>
      <c r="AV42" s="53" t="inlineStr">
        <is>
          <t>IRIS0812</t>
        </is>
      </c>
      <c r="AW42" s="53" t="inlineStr">
        <is>
          <t>Purva Shrivastava</t>
        </is>
      </c>
      <c r="AX42" s="53" t="inlineStr">
        <is>
          <t>Services</t>
        </is>
      </c>
      <c r="AY42" s="53" t="inlineStr">
        <is>
          <t>Professional Services</t>
        </is>
      </c>
      <c r="AZ42" s="53" t="inlineStr">
        <is>
          <t>XBRL / Regulatory Reporting</t>
        </is>
      </c>
      <c r="BA42" s="53" t="n"/>
      <c r="BB42" s="53" t="n"/>
      <c r="BC42" s="53" t="inlineStr">
        <is>
          <t>Employee</t>
        </is>
      </c>
      <c r="BD42" s="53" t="inlineStr">
        <is>
          <t>Priyanka Jadhav</t>
        </is>
      </c>
      <c r="BE42" s="53" t="inlineStr">
        <is>
          <t>Priyanka Jadhav</t>
        </is>
      </c>
      <c r="BF42" s="53" t="inlineStr">
        <is>
          <t>No</t>
        </is>
      </c>
      <c r="BG42" s="53" t="inlineStr">
        <is>
          <t>Senior Financial Analyst</t>
        </is>
      </c>
      <c r="BH42" s="53" t="inlineStr">
        <is>
          <t>Senior Services Specialist</t>
        </is>
      </c>
      <c r="BI42" s="53" t="inlineStr">
        <is>
          <t>Yes</t>
        </is>
      </c>
      <c r="BJ42" s="53" t="inlineStr">
        <is>
          <t>—</t>
        </is>
      </c>
      <c r="BK42" s="53" t="inlineStr">
        <is>
          <t>—</t>
        </is>
      </c>
      <c r="BL42" s="53" t="inlineStr">
        <is>
          <t>—</t>
        </is>
      </c>
      <c r="BM42" s="53" t="inlineStr">
        <is>
          <t>Not a manager</t>
        </is>
      </c>
      <c r="BN42" s="53" t="inlineStr">
        <is>
          <t>—</t>
        </is>
      </c>
      <c r="BO42" s="53" t="inlineStr">
        <is>
          <t>—</t>
        </is>
      </c>
      <c r="BP42" s="53" t="inlineStr">
        <is>
          <t>—</t>
        </is>
      </c>
      <c r="BQ42" s="53" t="inlineStr">
        <is>
          <t>Not a manager</t>
        </is>
      </c>
      <c r="BR42" s="53" t="inlineStr">
        <is>
          <t>—</t>
        </is>
      </c>
      <c r="BS42" s="53" t="inlineStr">
        <is>
          <t>L4 – Senior</t>
        </is>
      </c>
      <c r="BT42" s="53" t="inlineStr">
        <is>
          <t>L4 – Senior</t>
        </is>
      </c>
      <c r="BU42" s="53" t="inlineStr">
        <is>
          <t>Designation refined from Raw tab Comments column · this update</t>
        </is>
      </c>
      <c r="BV42"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W42" s="53" t="n"/>
      <c r="BX42" s="53" t="inlineStr">
        <is>
          <t>Netherland - KVK; Europe - ESEF; Italy - Infocamere.</t>
        </is>
      </c>
      <c r="BY42" s="53" t="n"/>
      <c r="BZ42" s="53" t="inlineStr">
        <is>
          <t>IRIS0812</t>
        </is>
      </c>
      <c r="CA42" s="53" t="inlineStr">
        <is>
          <t>Employee</t>
        </is>
      </c>
      <c r="CB42" s="53" t="inlineStr">
        <is>
          <t>Active</t>
        </is>
      </c>
      <c r="CC42" s="53" t="inlineStr">
        <is>
          <t>Purva Shrivastava</t>
        </is>
      </c>
      <c r="CD42" s="54" t="n">
        <v>40756</v>
      </c>
      <c r="CE42" s="53" t="inlineStr">
        <is>
          <t>Senior Financial Analyst</t>
        </is>
      </c>
      <c r="CF42" s="53" t="n"/>
      <c r="CG42" s="53" t="inlineStr">
        <is>
          <t>Professional Services</t>
        </is>
      </c>
      <c r="CH42" s="53" t="inlineStr">
        <is>
          <t>XBRL / Regulatory Reporting</t>
        </is>
      </c>
      <c r="CI42" s="53" t="inlineStr">
        <is>
          <t>Senior Financial Analyst</t>
        </is>
      </c>
      <c r="CJ42" s="53" t="inlineStr">
        <is>
          <t>L4 – Senior</t>
        </is>
      </c>
      <c r="CK42" s="53" t="inlineStr">
        <is>
          <t>Priyanka Jadhav</t>
        </is>
      </c>
      <c r="CL42" s="53" t="inlineStr">
        <is>
          <t>N-7</t>
        </is>
      </c>
      <c r="CM42" s="53" t="inlineStr">
        <is>
          <t>Individual Contributor</t>
        </is>
      </c>
      <c r="CN42" s="53" t="inlineStr">
        <is>
          <t>Regtech</t>
        </is>
      </c>
      <c r="CO42" s="53" t="inlineStr">
        <is>
          <t>Services</t>
        </is>
      </c>
      <c r="CP42" s="53" t="inlineStr">
        <is>
          <t>15 years, 10 months, 19 days</t>
        </is>
      </c>
      <c r="CQ42" s="53" t="inlineStr">
        <is>
          <t>Senior Services Specialst</t>
        </is>
      </c>
      <c r="CR42" s="53" t="n"/>
      <c r="CS42" s="53" t="n">
        <v>3</v>
      </c>
      <c r="CT42" s="53" t="inlineStr">
        <is>
          <t>Medium</t>
        </is>
      </c>
      <c r="CU42" s="53" t="inlineStr">
        <is>
          <t>Core Contributor</t>
        </is>
      </c>
      <c r="CV42" s="53" t="inlineStr">
        <is>
          <t>No</t>
        </is>
      </c>
      <c r="CW42" s="53" t="inlineStr">
        <is>
          <t>No</t>
        </is>
      </c>
      <c r="CX42" s="53" t="inlineStr">
        <is>
          <t>Yes</t>
        </is>
      </c>
      <c r="CY42" s="53" t="n"/>
      <c r="CZ42" s="53" t="n"/>
      <c r="DA42" s="53" t="n"/>
      <c r="DB42" s="53" t="inlineStr">
        <is>
          <t>Title to be standardized to: Senior Services Specialist</t>
        </is>
      </c>
      <c r="DC42" s="53" t="n"/>
      <c r="DD42" s="53" t="n"/>
      <c r="DE42" s="53" t="n"/>
      <c r="DF42" s="53" t="n"/>
      <c r="DG42" s="53" t="n"/>
      <c r="DH42" s="53" t="n"/>
      <c r="DI42" s="53" t="n"/>
      <c r="DJ42" s="53" t="n"/>
      <c r="DK42" s="53" t="n"/>
      <c r="DL42" s="53" t="n"/>
      <c r="DM42" s="53" t="n"/>
      <c r="DN42" s="53" t="n"/>
      <c r="DO42" s="53" t="n"/>
      <c r="DP42" s="53" t="n"/>
      <c r="DQ42" s="53" t="n"/>
      <c r="DR42" s="53" t="n"/>
      <c r="DS42" s="53" t="n"/>
      <c r="DT42" s="53" t="n"/>
      <c r="DU42" s="53" t="n"/>
      <c r="DV42" s="53" t="n"/>
      <c r="DW42" s="53" t="n"/>
      <c r="DX42" s="53" t="n"/>
      <c r="DY42" s="53" t="n"/>
      <c r="DZ42" s="53" t="n"/>
      <c r="EA42" s="53" t="n"/>
      <c r="EB42" s="53" t="n"/>
      <c r="EC42" s="53" t="n"/>
      <c r="ED42" s="53" t="n"/>
      <c r="EE42" s="53" t="n"/>
      <c r="EF42" s="53" t="n"/>
      <c r="EG42" s="53" t="n"/>
      <c r="EH42" s="53" t="n"/>
      <c r="EI42" s="53" t="n"/>
      <c r="EJ42" s="53" t="n"/>
      <c r="EK42" s="53" t="n"/>
      <c r="EL42" s="53" t="n"/>
      <c r="EM42" s="53" t="n"/>
      <c r="EN42" s="53" t="n"/>
      <c r="EO42" s="53" t="n"/>
      <c r="EP42" s="53" t="n"/>
      <c r="EQ42" s="53" t="n"/>
      <c r="ER42" s="53" t="n"/>
      <c r="ES42" s="53" t="n"/>
      <c r="ET42" s="53" t="n"/>
      <c r="EU42" s="53" t="n"/>
      <c r="EV42" s="53" t="n"/>
      <c r="EW42" s="52" t="inlineStr">
        <is>
          <t>Also works on the EU-DM · EU Disclosure Management project — not currently reflected in product/role mapping.</t>
        </is>
      </c>
      <c r="EX42" s="53" t="inlineStr">
        <is>
          <t>• Role / sub-team: Quality check analyst, Disclosure management, Infocamere, KVK, ESG documents processing.</t>
        </is>
      </c>
      <c r="EY42" s="53" t="inlineStr">
        <is>
          <t>• Key responsibilities include: 1. Tagging and Quality check of ESMA docs on HTML editor and Disclosure management platform. 2. Infocamere, KVK and ESG tagging. 3. Carbon release UAT testing on stage links and live links. 4Deloitte billing.
• Reported deliverables and outcomes include: Completed files go to the Customer Engagement Manager for each market; UAT testing sign-off goes to the testing team manager.
• Additional duties outside usual job: Deloitte billing process and UAT testing.</t>
        </is>
      </c>
      <c r="EZ42" s="53" t="inlineStr">
        <is>
          <t>• Current capabilities: Work under pressure; Communication skills; time management; Tools / software used: Both.</t>
        </is>
      </c>
      <c r="FA42" s="53" t="inlineStr">
        <is>
          <t>• Development priorities: No input received.
• Learning and Development Need: Timemanagement flexibilty; Multiple Process knowlge.</t>
        </is>
      </c>
      <c r="FB42" s="53" t="inlineStr">
        <is>
          <t>• Key challenges: Tool issue; Query raised to CEM; Remote desktop issue; System issues.
• Support required: No input received.</t>
        </is>
      </c>
      <c r="FC42" s="53" t="n"/>
      <c r="FD42" s="53" t="n"/>
      <c r="FE42"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FF42" s="56" t="n"/>
      <c r="FG42" s="56" t="n"/>
      <c r="FH42" s="56" t="n"/>
      <c r="FI42" s="56" t="n"/>
      <c r="FJ42" s="56" t="inlineStr">
        <is>
          <t>Received · manager annual</t>
        </is>
      </c>
      <c r="FK42" s="56" t="inlineStr">
        <is>
          <t>CARBON Mapping Master</t>
        </is>
      </c>
      <c r="FL42" s="56" t="n">
        <v>19</v>
      </c>
      <c r="FM42" s="56" t="inlineStr">
        <is>
          <t>• Role / sub-team: Quality check analyst, Disclosure management, Infocamere, KVK, ESG documents processing.</t>
        </is>
      </c>
      <c r="FN42" s="56" t="inlineStr">
        <is>
          <t>• Key responsibilities include: 1. Tagging and Quality check of ESMA docs on HTML editor and Disclosure management platform. 2. Infocamere, KVK and ESG tagging. 3. Carbon release UAT testing on stage links and live links. 4Deloitte billing.
• Reported deliverables and outcomes include: Completed files go to the Customer Engagement Manager for each market; UAT testing sign-off goes to the testing team manager.
• Additional duties outside usual job: Deloitte billing process and UAT testing.</t>
        </is>
      </c>
      <c r="FO42" s="56" t="inlineStr">
        <is>
          <t>• Current capabilities: Work under pressure; Communication skills; time management; Tools / software used: Both.</t>
        </is>
      </c>
      <c r="FP42" s="56" t="inlineStr">
        <is>
          <t>• Development priorities: No input received.
• Learning and Development Need: Timemanagement flexibilty; Multiple Process knowlge.</t>
        </is>
      </c>
      <c r="FQ42" s="56" t="inlineStr">
        <is>
          <t>• Key challenges: Tool issue; Query raised to CEM; Remote desktop issue; System issues.
• Support required: No input received.</t>
        </is>
      </c>
      <c r="FR42" s="56" t="inlineStr">
        <is>
          <t>Complexity: Evidence reads like A3: iXBRL conversion for KVK, ESG, ESEF, Infocamere; DM templates with Word-Excel linking; Deloitte billing; UAT → matches the start
Autonomy: Evidence reads like A2: States no independent decisions; runs billing and conversion steps to a set process → moved down 0.5
Accountability: Evidence reads like A3: Document quality; monthly Deloitte Italy billing counts that drive invoices; UAT sign-off → matches the start
Leadership: Evidence reads like A3: Trains team members on Infocamere processing and solves their doubts → moved up 0.5
Business Impact: Moved +0.5: the survey / manager mapping marks it business-critical.</t>
        </is>
      </c>
      <c r="FS42" s="56" t="inlineStr">
        <is>
          <t>Common themes in role-holders' answers: reporting · financial · mandate · timely · while · us
Common themes in role-holders' answers: tagging · validation · quality · mapping · management · filing
Common themes in role-holders' answers: documents · xbrl · quality · timely · overall · filings
Common themes in role-holders' answers: quality · validation · timely · am · tagging · delivery
Common themes in role-holders' answers: resolving · independently · issues · routine · file · analysis
If the work is missed · role-holders' themes: rework · quality · delays · filing.</t>
        </is>
      </c>
      <c r="FT42" s="56" t="inlineStr">
        <is>
          <t>Self-identified: AI / automation · Testing &amp; quality · Communication &amp; presentation · Certification / formal course · Broader exposure &amp; ownership
For the next role: AI / automation · Testing &amp; quality · Communication &amp; presentation · Certification / formal course · Broader exposure &amp; ownership</t>
        </is>
      </c>
      <c r="FU42" s="56" t="inlineStr">
        <is>
          <t>Per-person summary · CARBON Mapping Master</t>
        </is>
      </c>
    </row>
    <row r="43" ht="90" customHeight="1">
      <c r="A43" s="51" t="inlineStr">
        <is>
          <t>◂ Back</t>
        </is>
      </c>
      <c r="B43" s="29" t="inlineStr">
        <is>
          <t>Mapped</t>
        </is>
      </c>
      <c r="C43" s="28" t="inlineStr">
        <is>
          <t>CARBON</t>
        </is>
      </c>
      <c r="D43" s="29" t="inlineStr">
        <is>
          <t>IRIS0882</t>
        </is>
      </c>
      <c r="E43" s="29" t="inlineStr">
        <is>
          <t>Rupesh Gaikwad</t>
        </is>
      </c>
      <c r="F43" s="29" t="inlineStr">
        <is>
          <t>Services</t>
        </is>
      </c>
      <c r="G43" s="29" t="inlineStr">
        <is>
          <t>Senior Financial Analyst</t>
        </is>
      </c>
      <c r="H43" s="29" t="inlineStr">
        <is>
          <t>Service Delivery Specialist</t>
        </is>
      </c>
      <c r="I43" s="29" t="inlineStr">
        <is>
          <t>L4 – Senior</t>
        </is>
      </c>
      <c r="J43" s="29" t="inlineStr">
        <is>
          <t>B1</t>
        </is>
      </c>
      <c r="K43" s="29" t="inlineStr">
        <is>
          <t>▲ Up</t>
        </is>
      </c>
      <c r="L43" s="29" t="inlineStr">
        <is>
          <t>Consulting &amp; Professional Services</t>
        </is>
      </c>
      <c r="M43" s="29" t="inlineStr">
        <is>
          <t>Service Delivery Operations</t>
        </is>
      </c>
      <c r="N43" s="29" t="inlineStr">
        <is>
          <t>• Confirm the reporting line — Manager</t>
        </is>
      </c>
      <c r="O43" s="29" t="n">
        <v>18</v>
      </c>
      <c r="P43" s="28" t="inlineStr">
        <is>
          <t>P3 / M2</t>
        </is>
      </c>
      <c r="Q43" s="29" t="inlineStr">
        <is>
          <t>Career / · Team Lead</t>
        </is>
      </c>
      <c r="R43" s="29" t="inlineStr">
        <is>
          <t>4 Enable</t>
        </is>
      </c>
      <c r="S43" s="29" t="inlineStr">
        <is>
          <t>4–7 yrs</t>
        </is>
      </c>
      <c r="T43" s="29" t="inlineStr">
        <is>
          <t>5–8 · 4–8</t>
        </is>
      </c>
      <c r="U43" s="29" t="inlineStr">
        <is>
          <t>Consultant / Senior Associate</t>
        </is>
      </c>
      <c r="V43" s="29" t="inlineStr">
        <is>
          <t>Big Four: Senior Consultant · IRIS Vs Market Benchmark — XBRL US credential pathway: Certificate + specialist taxonomy</t>
        </is>
      </c>
      <c r="W43" s="29" t="inlineStr">
        <is>
          <t>XBRL US GAAP Certificate · AICPA &amp; XBRL US; XBRL International specifications; IFRS / US GAAP / Ind AS</t>
        </is>
      </c>
      <c r="X43" s="29" t="inlineStr">
        <is>
          <t>Core 3 · Future 3 · Functional 3 · Leadership 1</t>
        </is>
      </c>
      <c r="Y43" s="52" t="n">
        <v>97</v>
      </c>
      <c r="Z43" s="53" t="inlineStr">
        <is>
          <t>IRIS0882</t>
        </is>
      </c>
      <c r="AA43" s="53" t="inlineStr">
        <is>
          <t>Employee</t>
        </is>
      </c>
      <c r="AB43" s="53" t="inlineStr">
        <is>
          <t>Active</t>
        </is>
      </c>
      <c r="AC43" s="53" t="inlineStr">
        <is>
          <t>Rupesh Gaikwad</t>
        </is>
      </c>
      <c r="AD43" s="54" t="n">
        <v>40791</v>
      </c>
      <c r="AE43" s="53" t="inlineStr">
        <is>
          <t>Senior Financial Analyst</t>
        </is>
      </c>
      <c r="AF43" s="53" t="inlineStr">
        <is>
          <t>B.Com</t>
        </is>
      </c>
      <c r="AG43" s="53" t="inlineStr">
        <is>
          <t>Priyanka Jadhav</t>
        </is>
      </c>
      <c r="AH43" s="53" t="inlineStr">
        <is>
          <t>N-7</t>
        </is>
      </c>
      <c r="AI43" s="53" t="inlineStr">
        <is>
          <t>Individual Contributor</t>
        </is>
      </c>
      <c r="AJ43" s="53" t="inlineStr">
        <is>
          <t>0 years, 0 months, 0 days</t>
        </is>
      </c>
      <c r="AK43" s="53" t="inlineStr">
        <is>
          <t>14 years, 11 months, 20 days</t>
        </is>
      </c>
      <c r="AL43" s="53" t="inlineStr">
        <is>
          <t>Regtech</t>
        </is>
      </c>
      <c r="AM43" s="53" t="inlineStr">
        <is>
          <t>CARBON</t>
        </is>
      </c>
      <c r="AN43" s="53" t="inlineStr">
        <is>
          <t>Services</t>
        </is>
      </c>
      <c r="AO43" s="53" t="inlineStr">
        <is>
          <t>Expert Assisted services</t>
        </is>
      </c>
      <c r="AP43" s="53" t="inlineStr">
        <is>
          <t>No</t>
        </is>
      </c>
      <c r="AQ43" s="53" t="inlineStr">
        <is>
          <t>Professional Services</t>
        </is>
      </c>
      <c r="AR43" s="53" t="inlineStr">
        <is>
          <t>XBRL Domain</t>
        </is>
      </c>
      <c r="AS43" s="53" t="inlineStr">
        <is>
          <t>Non-technical</t>
        </is>
      </c>
      <c r="AT43" s="53" t="n">
        <v>20</v>
      </c>
      <c r="AU43" s="53" t="inlineStr">
        <is>
          <t>Covered</t>
        </is>
      </c>
      <c r="AV43" s="53" t="inlineStr">
        <is>
          <t>IRIS0882</t>
        </is>
      </c>
      <c r="AW43" s="53" t="inlineStr">
        <is>
          <t>Rupesh Gaikwad</t>
        </is>
      </c>
      <c r="AX43" s="53" t="inlineStr">
        <is>
          <t>Services</t>
        </is>
      </c>
      <c r="AY43" s="53" t="inlineStr">
        <is>
          <t>Professional Services</t>
        </is>
      </c>
      <c r="AZ43" s="53" t="inlineStr">
        <is>
          <t>XBRL / Regulatory Reporting</t>
        </is>
      </c>
      <c r="BA43" s="53" t="n"/>
      <c r="BB43" s="53" t="n"/>
      <c r="BC43" s="53" t="inlineStr">
        <is>
          <t>Employee</t>
        </is>
      </c>
      <c r="BD43" s="53" t="inlineStr">
        <is>
          <t>Priyanka Jadhav</t>
        </is>
      </c>
      <c r="BE43" s="53" t="inlineStr">
        <is>
          <t>Priyanka Jadhav</t>
        </is>
      </c>
      <c r="BF43" s="53" t="inlineStr">
        <is>
          <t>No</t>
        </is>
      </c>
      <c r="BG43" s="53" t="inlineStr">
        <is>
          <t>Senior Financial Analyst</t>
        </is>
      </c>
      <c r="BH43" s="53" t="inlineStr">
        <is>
          <t>Senior Services Specialist</t>
        </is>
      </c>
      <c r="BI43" s="53" t="inlineStr">
        <is>
          <t>Yes</t>
        </is>
      </c>
      <c r="BJ43" s="53" t="inlineStr">
        <is>
          <t>—</t>
        </is>
      </c>
      <c r="BK43" s="53" t="inlineStr">
        <is>
          <t>—</t>
        </is>
      </c>
      <c r="BL43" s="53" t="inlineStr">
        <is>
          <t>—</t>
        </is>
      </c>
      <c r="BM43" s="53" t="inlineStr">
        <is>
          <t>Not a manager</t>
        </is>
      </c>
      <c r="BN43" s="53" t="inlineStr">
        <is>
          <t>—</t>
        </is>
      </c>
      <c r="BO43" s="53" t="inlineStr">
        <is>
          <t>—</t>
        </is>
      </c>
      <c r="BP43" s="53" t="inlineStr">
        <is>
          <t>—</t>
        </is>
      </c>
      <c r="BQ43" s="53" t="inlineStr">
        <is>
          <t>Not a manager</t>
        </is>
      </c>
      <c r="BR43" s="53" t="inlineStr">
        <is>
          <t>—</t>
        </is>
      </c>
      <c r="BS43" s="53" t="inlineStr">
        <is>
          <t>L4 – Senior</t>
        </is>
      </c>
      <c r="BT43" s="53" t="inlineStr">
        <is>
          <t>L4 – Senior</t>
        </is>
      </c>
      <c r="BU43" s="53" t="inlineStr">
        <is>
          <t>Designation refined from Raw tab Comments column · this update</t>
        </is>
      </c>
      <c r="BV43"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W43" s="53" t="n"/>
      <c r="BX43" s="53" t="inlineStr">
        <is>
          <t>Netherland - KVK; Europe - ESEF; India - MCA; Italy - Infocamere.</t>
        </is>
      </c>
      <c r="BY43" s="53" t="n"/>
      <c r="BZ43" s="53" t="inlineStr">
        <is>
          <t>IRIS0882</t>
        </is>
      </c>
      <c r="CA43" s="53" t="inlineStr">
        <is>
          <t>Employee</t>
        </is>
      </c>
      <c r="CB43" s="53" t="inlineStr">
        <is>
          <t>Active</t>
        </is>
      </c>
      <c r="CC43" s="53" t="inlineStr">
        <is>
          <t>Rupesh Gaikwad</t>
        </is>
      </c>
      <c r="CD43" s="54" t="n">
        <v>40791</v>
      </c>
      <c r="CE43" s="53" t="inlineStr">
        <is>
          <t>Senior Financial Analyst</t>
        </is>
      </c>
      <c r="CF43" s="53" t="n"/>
      <c r="CG43" s="53" t="inlineStr">
        <is>
          <t>Professional Services</t>
        </is>
      </c>
      <c r="CH43" s="53" t="inlineStr">
        <is>
          <t>XBRL / Regulatory Reporting</t>
        </is>
      </c>
      <c r="CI43" s="53" t="inlineStr">
        <is>
          <t>Senior Financial Analyst</t>
        </is>
      </c>
      <c r="CJ43" s="53" t="inlineStr">
        <is>
          <t>L4 – Senior</t>
        </is>
      </c>
      <c r="CK43" s="53" t="inlineStr">
        <is>
          <t>Priyanka Jadhav</t>
        </is>
      </c>
      <c r="CL43" s="53" t="inlineStr">
        <is>
          <t>N-7</t>
        </is>
      </c>
      <c r="CM43" s="53" t="inlineStr">
        <is>
          <t>Individual Contributor</t>
        </is>
      </c>
      <c r="CN43" s="53" t="inlineStr">
        <is>
          <t>Regtech</t>
        </is>
      </c>
      <c r="CO43" s="53" t="inlineStr">
        <is>
          <t>Services</t>
        </is>
      </c>
      <c r="CP43" s="53" t="inlineStr">
        <is>
          <t>14 years, 9 months, 15 days</t>
        </is>
      </c>
      <c r="CQ43" s="53" t="inlineStr">
        <is>
          <t>Senior Services Specialst</t>
        </is>
      </c>
      <c r="CR43" s="53" t="n"/>
      <c r="CS43" s="53" t="n">
        <v>4</v>
      </c>
      <c r="CT43" s="53" t="inlineStr">
        <is>
          <t>High</t>
        </is>
      </c>
      <c r="CU43" s="53" t="inlineStr">
        <is>
          <t>Core Contributor</t>
        </is>
      </c>
      <c r="CV43" s="53" t="inlineStr">
        <is>
          <t>Yes</t>
        </is>
      </c>
      <c r="CW43" s="53" t="inlineStr">
        <is>
          <t>No</t>
        </is>
      </c>
      <c r="CX43" s="53" t="inlineStr">
        <is>
          <t>Yes</t>
        </is>
      </c>
      <c r="CY43" s="53" t="n"/>
      <c r="CZ43" s="53" t="n"/>
      <c r="DA43" s="53" t="n"/>
      <c r="DB43" s="53" t="inlineStr">
        <is>
          <t>Title to be standardized to: Senior Services Specialist</t>
        </is>
      </c>
      <c r="DC43" s="53" t="n"/>
      <c r="DD43" s="53" t="n"/>
      <c r="DE43" s="53" t="n"/>
      <c r="DF43" s="53" t="n"/>
      <c r="DG43" s="53" t="n"/>
      <c r="DH43" s="53" t="n"/>
      <c r="DI43" s="53" t="n"/>
      <c r="DJ43" s="53" t="n"/>
      <c r="DK43" s="53" t="n"/>
      <c r="DL43" s="53" t="n"/>
      <c r="DM43" s="53" t="n"/>
      <c r="DN43" s="53" t="n"/>
      <c r="DO43" s="53" t="n"/>
      <c r="DP43" s="53" t="n"/>
      <c r="DQ43" s="53" t="n"/>
      <c r="DR43" s="53" t="n"/>
      <c r="DS43" s="53" t="n"/>
      <c r="DT43" s="53" t="n"/>
      <c r="DU43" s="53" t="n"/>
      <c r="DV43" s="53" t="n"/>
      <c r="DW43" s="53" t="n"/>
      <c r="DX43" s="53" t="n"/>
      <c r="DY43" s="53" t="n"/>
      <c r="DZ43" s="53" t="n"/>
      <c r="EA43" s="53" t="n"/>
      <c r="EB43" s="53" t="n"/>
      <c r="EC43" s="53" t="n"/>
      <c r="ED43" s="53" t="n"/>
      <c r="EE43" s="53" t="n"/>
      <c r="EF43" s="53" t="n"/>
      <c r="EG43" s="53" t="n"/>
      <c r="EH43" s="53" t="n"/>
      <c r="EI43" s="53" t="n"/>
      <c r="EJ43" s="53" t="n"/>
      <c r="EK43" s="53" t="n"/>
      <c r="EL43" s="53" t="n"/>
      <c r="EM43" s="53" t="n"/>
      <c r="EN43" s="53" t="n"/>
      <c r="EO43" s="53" t="n"/>
      <c r="EP43" s="53" t="n"/>
      <c r="EQ43" s="53" t="n"/>
      <c r="ER43" s="53" t="n"/>
      <c r="ES43" s="53" t="n"/>
      <c r="ET43" s="53" t="n"/>
      <c r="EU43" s="53" t="n"/>
      <c r="EV43" s="53" t="n"/>
      <c r="EW43" s="52" t="inlineStr">
        <is>
          <t>Also works on the EU-DM · EU Disclosure Management project — not currently reflected in product/role mapping.</t>
        </is>
      </c>
      <c r="EX43" s="53" t="inlineStr">
        <is>
          <t>• Role / sub-team: Shift handling and XBRL tagging for EU, Mauritius and MCA market.</t>
        </is>
      </c>
      <c r="EY43" s="53" t="inlineStr">
        <is>
          <t>• Key responsibilities include: As Shift Lead for XBRL tagging, manages end-to-end conversion workflows and leads a shift team to ensure accurate, compliant and timely delivery.
• Reported deliverables and outcomes include: Review notes and status logs · pending filings, flagged validation errors, urgent client queries are handed over to the next shift.</t>
        </is>
      </c>
      <c r="EZ43" s="53" t="inlineStr">
        <is>
          <t>• Current capabilities: Good communication; Tools / software used: Both.</t>
        </is>
      </c>
      <c r="FA43" s="53" t="inlineStr">
        <is>
          <t>• Development priorities: No input received.
• Learning and Development Need: Flexibility and time mana.</t>
        </is>
      </c>
      <c r="FB43" s="53" t="inlineStr">
        <is>
          <t>• Key challenges: Large documents size Netw.
• Support required: No input received.</t>
        </is>
      </c>
      <c r="FC43" s="53" t="n"/>
      <c r="FD43" s="53" t="n"/>
      <c r="FE43"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FF43" s="56" t="n"/>
      <c r="FG43" s="56" t="n"/>
      <c r="FH43" s="56" t="n"/>
      <c r="FI43" s="56" t="n"/>
      <c r="FJ43" s="56" t="inlineStr">
        <is>
          <t>Received · manager annual</t>
        </is>
      </c>
      <c r="FK43" s="56" t="inlineStr">
        <is>
          <t>CARBON Mapping Master</t>
        </is>
      </c>
      <c r="FL43" s="56" t="n">
        <v>18</v>
      </c>
      <c r="FM43" s="56" t="inlineStr">
        <is>
          <t>• Role / sub-team: Shift handling and XBRL tagging for EU, Mauritius and MCA market.</t>
        </is>
      </c>
      <c r="FN43" s="56" t="inlineStr">
        <is>
          <t>• Key responsibilities include: As Shift Lead for XBRL tagging, manages end-to-end conversion workflows and leads a shift team to ensure accurate, compliant and timely delivery.
• Reported deliverables and outcomes include: Review notes and status logs · pending filings, flagged validation errors, urgent client queries are handed over to the next shift.</t>
        </is>
      </c>
      <c r="FO43" s="56" t="inlineStr">
        <is>
          <t>• Current capabilities: Good communication; Tools / software used: Both.</t>
        </is>
      </c>
      <c r="FP43" s="56" t="inlineStr">
        <is>
          <t>• Development priorities: No input received.
• Learning and Development Need: Flexibility and time mana.</t>
        </is>
      </c>
      <c r="FQ43" s="56" t="inlineStr">
        <is>
          <t>• Key challenges: Large documents size Netw.
• Support required: No input received.</t>
        </is>
      </c>
      <c r="FR43" s="56" t="inlineStr">
        <is>
          <t>Complexity: Evidence reads like A3: own survey / KRA answers · summarised by the rater; not quoted → matches the start
Autonomy: Evidence reads like B1: Assigns and reassigns work among shift team members → moved up 0.5
Accountability: Evidence reads like B1: own survey / KRA answers · summarised by the rater; not quoted → moved up 0.5
Leadership: Evidence reads like B1: Shift lead: allocates tasks, manages handovers, leave and backup planning; no formal reports → moved up 1
Business Impact: Moved +0.5: the survey / manager mapping marks it business-critical.</t>
        </is>
      </c>
      <c r="FS43" s="56" t="inlineStr">
        <is>
          <t>Common themes in sub-family holders, all levels' answers: timely
Common themes in sub-family holders, all levels' answers: monitoring · management · project · handling
Common themes in sub-family holders, all levels' answers: delivery · performance
Common themes in sub-family holders, all levels' answers: project
If the work is missed · role-holders' themes: client · delays.</t>
        </is>
      </c>
      <c r="FT43" s="56" t="inlineStr">
        <is>
          <t>Self-identified: Leadership &amp; people management · Project / programme management · Strategy &amp; business acumen · Broader exposure &amp; ownership
For the next role: Leadership &amp; people management · Project / programme management · Strategy &amp; business acumen · Broader exposure &amp; ownership</t>
        </is>
      </c>
      <c r="FU43" s="56" t="inlineStr">
        <is>
          <t>Per-person summary · CARBON Mapping Master</t>
        </is>
      </c>
    </row>
    <row r="44" ht="90" customHeight="1">
      <c r="A44" s="51" t="inlineStr">
        <is>
          <t>◂ Back</t>
        </is>
      </c>
      <c r="B44" s="29" t="inlineStr">
        <is>
          <t>Mapped</t>
        </is>
      </c>
      <c r="C44" s="28" t="inlineStr">
        <is>
          <t>CARBON</t>
        </is>
      </c>
      <c r="D44" s="29" t="inlineStr">
        <is>
          <t>IRIS0145</t>
        </is>
      </c>
      <c r="E44" s="29" t="inlineStr">
        <is>
          <t>Sunita Ram Singh</t>
        </is>
      </c>
      <c r="F44" s="29" t="inlineStr">
        <is>
          <t>Services</t>
        </is>
      </c>
      <c r="G44" s="29" t="inlineStr">
        <is>
          <t>Senior Financial Analyst</t>
        </is>
      </c>
      <c r="H44" s="29" t="inlineStr">
        <is>
          <t>Senior Financial Analyst</t>
        </is>
      </c>
      <c r="I44" s="29" t="inlineStr">
        <is>
          <t>L4 – Senior</t>
        </is>
      </c>
      <c r="J44" s="29" t="inlineStr">
        <is>
          <t>A3</t>
        </is>
      </c>
      <c r="K44" s="29" t="inlineStr">
        <is>
          <t>• Same level</t>
        </is>
      </c>
      <c r="L44" s="29" t="inlineStr">
        <is>
          <t>Consulting &amp; Professional Services</t>
        </is>
      </c>
      <c r="M44" s="29" t="inlineStr">
        <is>
          <t>XBRL Tagging, Conversion &amp; Filing</t>
        </is>
      </c>
      <c r="N44" s="29" t="n"/>
      <c r="O44" s="29" t="n">
        <v>20</v>
      </c>
      <c r="P44" s="28" t="inlineStr">
        <is>
          <t>P2</t>
        </is>
      </c>
      <c r="Q44" s="29" t="inlineStr">
        <is>
          <t>Developing</t>
        </is>
      </c>
      <c r="R44" s="29" t="inlineStr">
        <is>
          <t>3 Apply</t>
        </is>
      </c>
      <c r="S44" s="29" t="inlineStr">
        <is>
          <t>2–4 yrs</t>
        </is>
      </c>
      <c r="T44" s="29" t="inlineStr">
        <is>
          <t>3–5 · 2–5</t>
        </is>
      </c>
      <c r="U44" s="29" t="inlineStr">
        <is>
          <t>Senior Analyst / Associate</t>
        </is>
      </c>
      <c r="V44" s="29" t="inlineStr">
        <is>
          <t>DataTracks: Senior Associate · 2–5 yrs · Big Four: Consultant · IRIS Vs Market Benchmark — XBRL US credential pathway: XBRL US GAAP Certificate</t>
        </is>
      </c>
      <c r="W44" s="29" t="inlineStr">
        <is>
          <t>XBRL US GAAP Certificate · AICPA &amp; XBRL US; XBRL International specifications; IFRS / US GAAP / Ind AS</t>
        </is>
      </c>
      <c r="X44" s="29" t="inlineStr">
        <is>
          <t>Core 2 · Future 2 · Functional 3 · Leadership not scored</t>
        </is>
      </c>
      <c r="Y44" s="52" t="n">
        <v>32</v>
      </c>
      <c r="Z44" s="53" t="inlineStr">
        <is>
          <t>IRIS0145</t>
        </is>
      </c>
      <c r="AA44" s="53" t="inlineStr">
        <is>
          <t>Employee</t>
        </is>
      </c>
      <c r="AB44" s="53" t="inlineStr">
        <is>
          <t>Active</t>
        </is>
      </c>
      <c r="AC44" s="53" t="inlineStr">
        <is>
          <t>Sunita Ram Singh</t>
        </is>
      </c>
      <c r="AD44" s="54" t="n">
        <v>39419</v>
      </c>
      <c r="AE44" s="53" t="inlineStr">
        <is>
          <t>Senior Financial Analyst</t>
        </is>
      </c>
      <c r="AF44" s="53" t="inlineStr">
        <is>
          <t>B.Com</t>
        </is>
      </c>
      <c r="AG44" s="53" t="inlineStr">
        <is>
          <t>Priyanka Jadhav</t>
        </is>
      </c>
      <c r="AH44" s="53" t="inlineStr">
        <is>
          <t>N-7</t>
        </is>
      </c>
      <c r="AI44" s="53" t="inlineStr">
        <is>
          <t>Individual Contributor</t>
        </is>
      </c>
      <c r="AJ44" s="53" t="inlineStr">
        <is>
          <t>0 years, 0 months, 0 days</t>
        </is>
      </c>
      <c r="AK44" s="53" t="inlineStr">
        <is>
          <t>18 years, 8 months, 22 days</t>
        </is>
      </c>
      <c r="AL44" s="53" t="inlineStr">
        <is>
          <t>Regtech</t>
        </is>
      </c>
      <c r="AM44" s="53" t="inlineStr">
        <is>
          <t>CARBON</t>
        </is>
      </c>
      <c r="AN44" s="53" t="inlineStr">
        <is>
          <t>Services</t>
        </is>
      </c>
      <c r="AO44" s="53" t="inlineStr">
        <is>
          <t>Expert Assisted services</t>
        </is>
      </c>
      <c r="AP44" s="53" t="inlineStr">
        <is>
          <t>No</t>
        </is>
      </c>
      <c r="AQ44" s="53" t="inlineStr">
        <is>
          <t>Professional Services</t>
        </is>
      </c>
      <c r="AR44" s="53" t="inlineStr">
        <is>
          <t>XBRL Domain</t>
        </is>
      </c>
      <c r="AS44" s="53" t="inlineStr">
        <is>
          <t>Non-technical</t>
        </is>
      </c>
      <c r="AT44" s="53" t="n">
        <v>20</v>
      </c>
      <c r="AU44" s="53" t="inlineStr">
        <is>
          <t>Covered</t>
        </is>
      </c>
      <c r="AV44" s="53" t="inlineStr">
        <is>
          <t>IRIS0145</t>
        </is>
      </c>
      <c r="AW44" s="53" t="inlineStr">
        <is>
          <t>Sunita Ram Singh</t>
        </is>
      </c>
      <c r="AX44" s="53" t="inlineStr">
        <is>
          <t>Services</t>
        </is>
      </c>
      <c r="AY44" s="53" t="inlineStr">
        <is>
          <t>Professional Services</t>
        </is>
      </c>
      <c r="AZ44" s="53" t="inlineStr">
        <is>
          <t>XBRL / Regulatory Reporting</t>
        </is>
      </c>
      <c r="BA44" s="53" t="n"/>
      <c r="BB44" s="53" t="n"/>
      <c r="BC44" s="53" t="inlineStr">
        <is>
          <t>Employee</t>
        </is>
      </c>
      <c r="BD44" s="53" t="inlineStr">
        <is>
          <t>Priyanka Jadhav</t>
        </is>
      </c>
      <c r="BE44" s="53" t="inlineStr">
        <is>
          <t>Priyanka Jadhav</t>
        </is>
      </c>
      <c r="BF44" s="53" t="inlineStr">
        <is>
          <t>No</t>
        </is>
      </c>
      <c r="BG44" s="53" t="inlineStr">
        <is>
          <t>Senior Financial Analyst</t>
        </is>
      </c>
      <c r="BH44" s="53" t="inlineStr">
        <is>
          <t>Senior Services Specialist</t>
        </is>
      </c>
      <c r="BI44" s="53" t="inlineStr">
        <is>
          <t>Yes</t>
        </is>
      </c>
      <c r="BJ44" s="53" t="inlineStr">
        <is>
          <t>—</t>
        </is>
      </c>
      <c r="BK44" s="53" t="inlineStr">
        <is>
          <t>—</t>
        </is>
      </c>
      <c r="BL44" s="53" t="inlineStr">
        <is>
          <t>—</t>
        </is>
      </c>
      <c r="BM44" s="53" t="inlineStr">
        <is>
          <t>Not a manager</t>
        </is>
      </c>
      <c r="BN44" s="53" t="inlineStr">
        <is>
          <t>—</t>
        </is>
      </c>
      <c r="BO44" s="53" t="inlineStr">
        <is>
          <t>—</t>
        </is>
      </c>
      <c r="BP44" s="53" t="inlineStr">
        <is>
          <t>—</t>
        </is>
      </c>
      <c r="BQ44" s="53" t="inlineStr">
        <is>
          <t>Not a manager</t>
        </is>
      </c>
      <c r="BR44" s="53" t="inlineStr">
        <is>
          <t>—</t>
        </is>
      </c>
      <c r="BS44" s="53" t="inlineStr">
        <is>
          <t>L4 – Senior</t>
        </is>
      </c>
      <c r="BT44" s="53" t="inlineStr">
        <is>
          <t>L4 – Senior</t>
        </is>
      </c>
      <c r="BU44" s="53" t="inlineStr">
        <is>
          <t>Designation refined from Raw tab Comments column · this update</t>
        </is>
      </c>
      <c r="BV44"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W44" s="53" t="n"/>
      <c r="BX44" s="53" t="inlineStr">
        <is>
          <t>Europe - ESEF.</t>
        </is>
      </c>
      <c r="BY44" s="53" t="n"/>
      <c r="BZ44" s="53" t="inlineStr">
        <is>
          <t>IRIS0145</t>
        </is>
      </c>
      <c r="CA44" s="53" t="inlineStr">
        <is>
          <t>Employee</t>
        </is>
      </c>
      <c r="CB44" s="53" t="inlineStr">
        <is>
          <t>Active</t>
        </is>
      </c>
      <c r="CC44" s="53" t="inlineStr">
        <is>
          <t>Sunita Ram Singh</t>
        </is>
      </c>
      <c r="CD44" s="54" t="n">
        <v>39419</v>
      </c>
      <c r="CE44" s="53" t="inlineStr">
        <is>
          <t>Senior Financial Analyst</t>
        </is>
      </c>
      <c r="CF44" s="53" t="n"/>
      <c r="CG44" s="53" t="inlineStr">
        <is>
          <t>Professional Services</t>
        </is>
      </c>
      <c r="CH44" s="53" t="inlineStr">
        <is>
          <t>XBRL / Regulatory Reporting</t>
        </is>
      </c>
      <c r="CI44" s="53" t="inlineStr">
        <is>
          <t>Senior Financial Analyst</t>
        </is>
      </c>
      <c r="CJ44" s="53" t="inlineStr">
        <is>
          <t>L4 – Senior</t>
        </is>
      </c>
      <c r="CK44" s="53" t="inlineStr">
        <is>
          <t>Priyanka Jadhav</t>
        </is>
      </c>
      <c r="CL44" s="53" t="inlineStr">
        <is>
          <t>N-7</t>
        </is>
      </c>
      <c r="CM44" s="53" t="inlineStr">
        <is>
          <t>Individual Contributor</t>
        </is>
      </c>
      <c r="CN44" s="53" t="inlineStr">
        <is>
          <t>Regtech</t>
        </is>
      </c>
      <c r="CO44" s="53" t="inlineStr">
        <is>
          <t>Services</t>
        </is>
      </c>
      <c r="CP44" s="53" t="inlineStr">
        <is>
          <t>18 years, 6 months, 17 days</t>
        </is>
      </c>
      <c r="CQ44" s="53" t="inlineStr">
        <is>
          <t>Senior Services Specialst</t>
        </is>
      </c>
      <c r="CR44" s="53" t="n"/>
      <c r="CS44" s="53" t="n">
        <v>3</v>
      </c>
      <c r="CT44" s="53" t="inlineStr">
        <is>
          <t>Medium</t>
        </is>
      </c>
      <c r="CU44" s="53" t="inlineStr">
        <is>
          <t>Core Contributor</t>
        </is>
      </c>
      <c r="CV44" s="53" t="inlineStr">
        <is>
          <t>No</t>
        </is>
      </c>
      <c r="CW44" s="53" t="inlineStr">
        <is>
          <t>No</t>
        </is>
      </c>
      <c r="CX44" s="53" t="inlineStr">
        <is>
          <t>Yes</t>
        </is>
      </c>
      <c r="CY44" s="53" t="n"/>
      <c r="CZ44" s="53" t="n"/>
      <c r="DA44" s="53" t="n"/>
      <c r="DB44" s="53" t="inlineStr">
        <is>
          <t>Title to be standardized to: Senior Services Specialist</t>
        </is>
      </c>
      <c r="DC44" s="53" t="n"/>
      <c r="DD44" s="53" t="n"/>
      <c r="DE44" s="53" t="n"/>
      <c r="DF44" s="53" t="n"/>
      <c r="DG44" s="53" t="n"/>
      <c r="DH44" s="53" t="n"/>
      <c r="DI44" s="53" t="n"/>
      <c r="DJ44" s="53" t="n"/>
      <c r="DK44" s="53" t="n"/>
      <c r="DL44" s="53" t="n"/>
      <c r="DM44" s="53" t="n"/>
      <c r="DN44" s="53" t="n"/>
      <c r="DO44" s="53" t="n"/>
      <c r="DP44" s="53" t="n"/>
      <c r="DQ44" s="53" t="n"/>
      <c r="DR44" s="53" t="n"/>
      <c r="DS44" s="53" t="n"/>
      <c r="DT44" s="53" t="n"/>
      <c r="DU44" s="53" t="n"/>
      <c r="DV44" s="53" t="n"/>
      <c r="DW44" s="53" t="n"/>
      <c r="DX44" s="53" t="n"/>
      <c r="DY44" s="53" t="n"/>
      <c r="DZ44" s="53" t="n"/>
      <c r="EA44" s="53" t="n"/>
      <c r="EB44" s="53" t="n"/>
      <c r="EC44" s="53" t="n"/>
      <c r="ED44" s="53" t="n"/>
      <c r="EE44" s="53" t="n"/>
      <c r="EF44" s="53" t="n"/>
      <c r="EG44" s="53" t="n"/>
      <c r="EH44" s="53" t="n"/>
      <c r="EI44" s="53" t="n"/>
      <c r="EJ44" s="53" t="n"/>
      <c r="EK44" s="53" t="n"/>
      <c r="EL44" s="53" t="n"/>
      <c r="EM44" s="53" t="n"/>
      <c r="EN44" s="53" t="n"/>
      <c r="EO44" s="53" t="n"/>
      <c r="EP44" s="53" t="n"/>
      <c r="EQ44" s="53" t="n"/>
      <c r="ER44" s="53" t="n"/>
      <c r="ES44" s="53" t="n"/>
      <c r="ET44" s="53" t="n"/>
      <c r="EU44" s="53" t="n"/>
      <c r="EV44" s="53" t="n"/>
      <c r="EW44" s="52" t="inlineStr">
        <is>
          <t>Survey response was originally anonymous; manually identified as Sunita Ram Singh · Emp ID IRIS0145 and mapped here on that basis. Also works on the EU-DM · EU Disclosure Management project — not currently reflected in product/role mapping.</t>
        </is>
      </c>
      <c r="EX44" s="53" t="inlineStr">
        <is>
          <t>• No input received.</t>
        </is>
      </c>
      <c r="EY44" s="53" t="inlineStr">
        <is>
          <t>• Key responsibilities include: Works on the DM project using Carbon Hive; completes DM files in Word and Excel per client requirements.
• Reported deliverables and outcomes include: On completion, the file is mailed back to the customer engagement contact who assigned the task.
• Additional duties outside usual job: Yes · no further details given.</t>
        </is>
      </c>
      <c r="EZ44" s="53" t="inlineStr">
        <is>
          <t>• Current capabilities: Accuracy of work time; Tools / software used: Disclosure Management - DM - Word editor.</t>
        </is>
      </c>
      <c r="FA44" s="53" t="inlineStr">
        <is>
          <t>• Development priorities: No input received.
• Learning and Development Need: No input received.</t>
        </is>
      </c>
      <c r="FB44" s="53" t="inlineStr">
        <is>
          <t>• Key challenges: No input received.
• Support required: No input received.</t>
        </is>
      </c>
      <c r="FC44" s="53" t="n"/>
      <c r="FD44" s="53" t="n"/>
      <c r="FE44"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FF44" s="56" t="n"/>
      <c r="FG44" s="56" t="n"/>
      <c r="FH44" s="56" t="n"/>
      <c r="FI44" s="56" t="n"/>
      <c r="FJ44" s="56" t="inlineStr">
        <is>
          <t>Received · manager annual</t>
        </is>
      </c>
      <c r="FK44" s="56" t="inlineStr">
        <is>
          <t>CARBON Mapping Master</t>
        </is>
      </c>
      <c r="FL44" s="56" t="n">
        <v>20</v>
      </c>
      <c r="FM44" s="56" t="inlineStr">
        <is>
          <t>• No input received.</t>
        </is>
      </c>
      <c r="FN44" s="56" t="inlineStr">
        <is>
          <t>• Key responsibilities include: Works on the DM project using Carbon Hive; completes DM files in Word and Excel per client requirements.
• Reported deliverables and outcomes include: On completion, the file is mailed back to the customer engagement contact who assigned the task.
• Additional duties outside usual job: Yes · no further details given.</t>
        </is>
      </c>
      <c r="FO44" s="56" t="inlineStr">
        <is>
          <t>• Current capabilities: Accuracy of work time; Tools / software used: Disclosure Management - DM - Word editor.</t>
        </is>
      </c>
      <c r="FP44" s="56" t="inlineStr">
        <is>
          <t>• Development priorities: No input received.
• Learning and Development Need: No input received.</t>
        </is>
      </c>
      <c r="FQ44" s="56" t="inlineStr">
        <is>
          <t>• Key challenges: No input received.
• Support required: No input received.</t>
        </is>
      </c>
      <c r="FR44" s="56" t="inlineStr">
        <is>
          <t>Complexity: Evidence reads like A3: Prepares and checks DM annual reports · Word/Excel, validates KVK, ESMA, Infocamere XBRL files → matches the start
Autonomy: Evidence reads like A2: Routine checking, formatting and minor corrections; major or client changes need CM approval → moved down 0.5
Accountability: Evidence reads like A2: Correctness of data checks and final report review; file goes to CM → moved down 0.5
Leadership: Evidence reads like A1: No guiding or leading of others described → moved down 0.5
Business Impact: Moved +0.5: the survey / manager mapping marks it business-critical.</t>
        </is>
      </c>
      <c r="FS44" s="56"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FT44" s="56" t="inlineStr">
        <is>
          <t>Self-identified: Testing &amp; quality · Domain, regulatory &amp; XBRL · Communication &amp; presentation · Broader exposure &amp; ownership
For the next role: Testing &amp; quality · Domain, regulatory &amp; XBRL · Communication &amp; presentation · Strategy &amp; business acumen · Broader exposure &amp; ownership</t>
        </is>
      </c>
      <c r="FU44" s="56" t="inlineStr">
        <is>
          <t>Per-person summary · CARBON Mapping Master</t>
        </is>
      </c>
    </row>
    <row r="45" ht="90" customHeight="1">
      <c r="A45" s="51" t="inlineStr">
        <is>
          <t>◂ Back</t>
        </is>
      </c>
      <c r="B45" s="29" t="inlineStr">
        <is>
          <t>Mapped</t>
        </is>
      </c>
      <c r="C45" s="28" t="inlineStr">
        <is>
          <t>CARBON</t>
        </is>
      </c>
      <c r="D45" s="29" t="inlineStr">
        <is>
          <t>IRIS0128</t>
        </is>
      </c>
      <c r="E45" s="29" t="inlineStr">
        <is>
          <t>Supriya Thakur</t>
        </is>
      </c>
      <c r="F45" s="29" t="inlineStr">
        <is>
          <t>Services</t>
        </is>
      </c>
      <c r="G45" s="29" t="inlineStr">
        <is>
          <t>Financial Analyst</t>
        </is>
      </c>
      <c r="H45" s="29" t="inlineStr">
        <is>
          <t>Senior Financial Analyst</t>
        </is>
      </c>
      <c r="I45" s="29" t="inlineStr">
        <is>
          <t>L3 – Professional / Associate</t>
        </is>
      </c>
      <c r="J45" s="29" t="inlineStr">
        <is>
          <t>A3</t>
        </is>
      </c>
      <c r="K45" s="29" t="inlineStr">
        <is>
          <t>▲ Up</t>
        </is>
      </c>
      <c r="L45" s="29" t="inlineStr">
        <is>
          <t>Consulting &amp; Professional Services</t>
        </is>
      </c>
      <c r="M45" s="29" t="inlineStr">
        <is>
          <t>XBRL Tagging, Conversion &amp; Filing</t>
        </is>
      </c>
      <c r="N45" s="29" t="n"/>
      <c r="O45" s="29" t="n">
        <v>19</v>
      </c>
      <c r="P45" s="28" t="inlineStr">
        <is>
          <t>P2</t>
        </is>
      </c>
      <c r="Q45" s="29" t="inlineStr">
        <is>
          <t>Developing</t>
        </is>
      </c>
      <c r="R45" s="29" t="inlineStr">
        <is>
          <t>3 Apply</t>
        </is>
      </c>
      <c r="S45" s="29" t="inlineStr">
        <is>
          <t>2–4 yrs</t>
        </is>
      </c>
      <c r="T45" s="29" t="inlineStr">
        <is>
          <t>3–5 · 2–5</t>
        </is>
      </c>
      <c r="U45" s="29" t="inlineStr">
        <is>
          <t>Senior Analyst / Associate</t>
        </is>
      </c>
      <c r="V45" s="29" t="inlineStr">
        <is>
          <t>DataTracks: Senior Associate · 2–5 yrs · Big Four: Consultant · IRIS Vs Market Benchmark — XBRL US credential pathway: XBRL US GAAP Certificate</t>
        </is>
      </c>
      <c r="W45" s="29" t="inlineStr">
        <is>
          <t>XBRL US GAAP Certificate · AICPA &amp; XBRL US; XBRL International specifications; IFRS / US GAAP / Ind AS</t>
        </is>
      </c>
      <c r="X45" s="29" t="inlineStr">
        <is>
          <t>Core 2 · Future 2 · Functional 3 · Leadership not scored</t>
        </is>
      </c>
      <c r="Y45" s="52" t="n">
        <v>29</v>
      </c>
      <c r="Z45" s="53" t="inlineStr">
        <is>
          <t>IRIS0128</t>
        </is>
      </c>
      <c r="AA45" s="53" t="inlineStr">
        <is>
          <t>Employee</t>
        </is>
      </c>
      <c r="AB45" s="53" t="inlineStr">
        <is>
          <t>Active</t>
        </is>
      </c>
      <c r="AC45" s="53" t="inlineStr">
        <is>
          <t>Supriya Thakur</t>
        </is>
      </c>
      <c r="AD45" s="54" t="n">
        <v>39377</v>
      </c>
      <c r="AE45" s="53" t="inlineStr">
        <is>
          <t>Financial Analyst</t>
        </is>
      </c>
      <c r="AF45" s="53" t="inlineStr">
        <is>
          <t>B.Com</t>
        </is>
      </c>
      <c r="AG45" s="53" t="inlineStr">
        <is>
          <t>Priyanka Jadhav</t>
        </is>
      </c>
      <c r="AH45" s="53" t="inlineStr">
        <is>
          <t>N-7</t>
        </is>
      </c>
      <c r="AI45" s="53" t="inlineStr">
        <is>
          <t>Individual Contributor</t>
        </is>
      </c>
      <c r="AJ45" s="53" t="inlineStr">
        <is>
          <t>0 years, 0 months, 0 days</t>
        </is>
      </c>
      <c r="AK45" s="53" t="inlineStr">
        <is>
          <t>18 years, 10 months, 3 days</t>
        </is>
      </c>
      <c r="AL45" s="53" t="inlineStr">
        <is>
          <t>Regtech</t>
        </is>
      </c>
      <c r="AM45" s="53" t="inlineStr">
        <is>
          <t>CARBON</t>
        </is>
      </c>
      <c r="AN45" s="53" t="inlineStr">
        <is>
          <t>Services</t>
        </is>
      </c>
      <c r="AO45" s="53" t="inlineStr">
        <is>
          <t>Expert Assisted services</t>
        </is>
      </c>
      <c r="AP45" s="53" t="inlineStr">
        <is>
          <t>No</t>
        </is>
      </c>
      <c r="AQ45" s="53" t="inlineStr">
        <is>
          <t>Professional Services</t>
        </is>
      </c>
      <c r="AR45" s="53" t="inlineStr">
        <is>
          <t>XBRL Domain</t>
        </is>
      </c>
      <c r="AS45" s="53" t="inlineStr">
        <is>
          <t>Non-technical</t>
        </is>
      </c>
      <c r="AT45" s="53" t="n">
        <v>20</v>
      </c>
      <c r="AU45" s="53" t="inlineStr">
        <is>
          <t>Covered</t>
        </is>
      </c>
      <c r="AV45" s="53" t="inlineStr">
        <is>
          <t>IRIS0128</t>
        </is>
      </c>
      <c r="AW45" s="53" t="inlineStr">
        <is>
          <t>Supriya Thakur</t>
        </is>
      </c>
      <c r="AX45" s="53" t="inlineStr">
        <is>
          <t>Services</t>
        </is>
      </c>
      <c r="AY45" s="53" t="inlineStr">
        <is>
          <t>Professional Services</t>
        </is>
      </c>
      <c r="AZ45" s="53" t="inlineStr">
        <is>
          <t>XBRL / Regulatory Reporting</t>
        </is>
      </c>
      <c r="BA45" s="53" t="n"/>
      <c r="BB45" s="53" t="n"/>
      <c r="BC45" s="53" t="inlineStr">
        <is>
          <t>Employee</t>
        </is>
      </c>
      <c r="BD45" s="53" t="inlineStr">
        <is>
          <t>Priyanka Jadhav</t>
        </is>
      </c>
      <c r="BE45" s="53" t="inlineStr">
        <is>
          <t>Priyanka Jadhav</t>
        </is>
      </c>
      <c r="BF45" s="53" t="inlineStr">
        <is>
          <t>No</t>
        </is>
      </c>
      <c r="BG45" s="53" t="inlineStr">
        <is>
          <t>Financial Analyst</t>
        </is>
      </c>
      <c r="BH45" s="53" t="inlineStr">
        <is>
          <t>Services Specialist</t>
        </is>
      </c>
      <c r="BI45" s="53" t="inlineStr">
        <is>
          <t>Yes</t>
        </is>
      </c>
      <c r="BJ45" s="53" t="inlineStr">
        <is>
          <t>—</t>
        </is>
      </c>
      <c r="BK45" s="53" t="inlineStr">
        <is>
          <t>—</t>
        </is>
      </c>
      <c r="BL45" s="53" t="inlineStr">
        <is>
          <t>—</t>
        </is>
      </c>
      <c r="BM45" s="53" t="inlineStr">
        <is>
          <t>Not a manager</t>
        </is>
      </c>
      <c r="BN45" s="53" t="inlineStr">
        <is>
          <t>—</t>
        </is>
      </c>
      <c r="BO45" s="53" t="inlineStr">
        <is>
          <t>—</t>
        </is>
      </c>
      <c r="BP45" s="53" t="inlineStr">
        <is>
          <t>—</t>
        </is>
      </c>
      <c r="BQ45" s="53" t="inlineStr">
        <is>
          <t>Not a manager</t>
        </is>
      </c>
      <c r="BR45" s="53" t="inlineStr">
        <is>
          <t>—</t>
        </is>
      </c>
      <c r="BS45" s="53" t="inlineStr">
        <is>
          <t>L3 – Professional / Associate</t>
        </is>
      </c>
      <c r="BT45" s="53" t="inlineStr">
        <is>
          <t>L2</t>
        </is>
      </c>
      <c r="BU45" s="53" t="inlineStr">
        <is>
          <t>Matched from Title Hierarchy · new designation</t>
        </is>
      </c>
      <c r="BV45"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W45" s="53" t="n"/>
      <c r="BX45" s="53" t="inlineStr">
        <is>
          <t>Europe - ESEF; Netherland - KVK; India - MCA.</t>
        </is>
      </c>
      <c r="BY45" s="53" t="n"/>
      <c r="BZ45" s="53" t="inlineStr">
        <is>
          <t>IRIS0128</t>
        </is>
      </c>
      <c r="CA45" s="53" t="inlineStr">
        <is>
          <t>Employee</t>
        </is>
      </c>
      <c r="CB45" s="53" t="inlineStr">
        <is>
          <t>Active</t>
        </is>
      </c>
      <c r="CC45" s="53" t="inlineStr">
        <is>
          <t>Supriya Thakur</t>
        </is>
      </c>
      <c r="CD45" s="54" t="n">
        <v>39377</v>
      </c>
      <c r="CE45" s="53" t="inlineStr">
        <is>
          <t>Financial Analyst</t>
        </is>
      </c>
      <c r="CF45" s="53" t="n"/>
      <c r="CG45" s="53" t="inlineStr">
        <is>
          <t>Professional Services</t>
        </is>
      </c>
      <c r="CH45" s="53" t="inlineStr">
        <is>
          <t>XBRL / Regulatory Reporting</t>
        </is>
      </c>
      <c r="CI45" s="53" t="inlineStr">
        <is>
          <t>Financial Analyst</t>
        </is>
      </c>
      <c r="CJ45" s="53" t="inlineStr">
        <is>
          <t>L3 – Professional / Associate</t>
        </is>
      </c>
      <c r="CK45" s="53" t="inlineStr">
        <is>
          <t>Priyanka Jadhav</t>
        </is>
      </c>
      <c r="CL45" s="53" t="inlineStr">
        <is>
          <t>N-7</t>
        </is>
      </c>
      <c r="CM45" s="53" t="inlineStr">
        <is>
          <t>Individual Contributor</t>
        </is>
      </c>
      <c r="CN45" s="53" t="inlineStr">
        <is>
          <t>Regtech</t>
        </is>
      </c>
      <c r="CO45" s="53" t="inlineStr">
        <is>
          <t>Services</t>
        </is>
      </c>
      <c r="CP45" s="53" t="inlineStr">
        <is>
          <t>18 years, 7 months, 29 days</t>
        </is>
      </c>
      <c r="CQ45" s="53" t="inlineStr">
        <is>
          <t>Services Specialist</t>
        </is>
      </c>
      <c r="CR45" s="53" t="n"/>
      <c r="CS45" s="53" t="n">
        <v>3</v>
      </c>
      <c r="CT45" s="53" t="inlineStr">
        <is>
          <t>Medium</t>
        </is>
      </c>
      <c r="CU45" s="53" t="inlineStr">
        <is>
          <t>Core Contributor</t>
        </is>
      </c>
      <c r="CV45" s="53" t="inlineStr">
        <is>
          <t>No</t>
        </is>
      </c>
      <c r="CW45" s="53" t="inlineStr">
        <is>
          <t>No</t>
        </is>
      </c>
      <c r="CX45" s="53" t="inlineStr">
        <is>
          <t>Yes</t>
        </is>
      </c>
      <c r="CY45" s="53" t="n"/>
      <c r="CZ45" s="53" t="n"/>
      <c r="DA45" s="53" t="n"/>
      <c r="DB45" s="53" t="inlineStr">
        <is>
          <t>Title to be standardized to : Services Specialist</t>
        </is>
      </c>
      <c r="DC45" s="53" t="n"/>
      <c r="DD45" s="53" t="n"/>
      <c r="DE45" s="53" t="n"/>
      <c r="DF45" s="53" t="n"/>
      <c r="DG45" s="53" t="n"/>
      <c r="DH45" s="53" t="n"/>
      <c r="DI45" s="53" t="n"/>
      <c r="DJ45" s="53" t="n"/>
      <c r="DK45" s="53" t="n"/>
      <c r="DL45" s="53" t="n"/>
      <c r="DM45" s="53" t="n"/>
      <c r="DN45" s="53" t="n"/>
      <c r="DO45" s="53" t="n"/>
      <c r="DP45" s="53" t="n"/>
      <c r="DQ45" s="53" t="n"/>
      <c r="DR45" s="53" t="n"/>
      <c r="DS45" s="53" t="n"/>
      <c r="DT45" s="53" t="n"/>
      <c r="DU45" s="53" t="n"/>
      <c r="DV45" s="53" t="n"/>
      <c r="DW45" s="53" t="n"/>
      <c r="DX45" s="53" t="n"/>
      <c r="DY45" s="53" t="n"/>
      <c r="DZ45" s="53" t="n"/>
      <c r="EA45" s="53" t="n"/>
      <c r="EB45" s="53" t="n"/>
      <c r="EC45" s="53" t="n"/>
      <c r="ED45" s="53" t="n"/>
      <c r="EE45" s="53" t="n"/>
      <c r="EF45" s="53" t="n"/>
      <c r="EG45" s="53" t="n"/>
      <c r="EH45" s="53" t="n"/>
      <c r="EI45" s="53" t="n"/>
      <c r="EJ45" s="53" t="n"/>
      <c r="EK45" s="53" t="n"/>
      <c r="EL45" s="53" t="n"/>
      <c r="EM45" s="53" t="n"/>
      <c r="EN45" s="53" t="n"/>
      <c r="EO45" s="53" t="n"/>
      <c r="EP45" s="53" t="n"/>
      <c r="EQ45" s="53" t="n"/>
      <c r="ER45" s="53" t="n"/>
      <c r="ES45" s="53" t="n"/>
      <c r="ET45" s="53" t="n"/>
      <c r="EU45" s="53" t="n"/>
      <c r="EV45" s="53" t="n"/>
      <c r="EW45" s="52" t="n"/>
      <c r="EX45" s="53" t="inlineStr">
        <is>
          <t>• Role / sub-team: XBRL Conversion Service.</t>
        </is>
      </c>
      <c r="EY45" s="53" t="inlineStr">
        <is>
          <t>• Key responsibilities include: Tagging and QC of ESMA, KVK and MCA.
• Reported deliverables and outcomes include: Share with client.</t>
        </is>
      </c>
      <c r="EZ45" s="53" t="inlineStr">
        <is>
          <t>• Current capabilities: Time management; Tools / software used: Carbon [Teams chat].</t>
        </is>
      </c>
      <c r="FA45" s="53" t="inlineStr">
        <is>
          <t>• Development priorities: No input received.
• Learning and Development Need: Time and work management.</t>
        </is>
      </c>
      <c r="FB45" s="53" t="inlineStr">
        <is>
          <t>• Key challenges: Tool issue.
• Support required: No input received.</t>
        </is>
      </c>
      <c r="FC45" s="53" t="n"/>
      <c r="FD45" s="53" t="n"/>
      <c r="FE45"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FF45" s="56" t="n"/>
      <c r="FG45" s="56" t="n"/>
      <c r="FH45" s="56" t="n"/>
      <c r="FI45" s="56" t="n"/>
      <c r="FJ45" s="56" t="inlineStr">
        <is>
          <t>Received · manager annual</t>
        </is>
      </c>
      <c r="FK45" s="56" t="inlineStr">
        <is>
          <t>CARBON Mapping Master</t>
        </is>
      </c>
      <c r="FL45" s="56" t="n">
        <v>19</v>
      </c>
      <c r="FM45" s="56" t="inlineStr">
        <is>
          <t>• Role / sub-team: XBRL Conversion Service.</t>
        </is>
      </c>
      <c r="FN45" s="56" t="inlineStr">
        <is>
          <t>• Key responsibilities include: Tagging and QC of ESMA, KVK and MCA.
• Reported deliverables and outcomes include: Share with client.</t>
        </is>
      </c>
      <c r="FO45" s="56" t="inlineStr">
        <is>
          <t>• Current capabilities: Time management; Tools / software used: Carbon [Teams chat].</t>
        </is>
      </c>
      <c r="FP45" s="56" t="inlineStr">
        <is>
          <t>• Development priorities: No input received.
• Learning and Development Need: Time and work management.</t>
        </is>
      </c>
      <c r="FQ45" s="56" t="inlineStr">
        <is>
          <t>• Key challenges: Tool issue.
• Support required: No input received.</t>
        </is>
      </c>
      <c r="FR45" s="56" t="inlineStr">
        <is>
          <t>Complexity: Evidence reads like A3: Runs MCA, ESMA and KVK filings start to finish: tagging, QC, validations, client queries → moved up 0.5
Autonomy: Evidence reads like A2: No decisions stated; works to the defined filing process with QC and validation steps → matches the start
Accountability: Evidence reads like A3: Timely, accurate HTML/XML deliverables shared with the client; resolves client queries on MCA → moved up 0.5
Leadership: Evidence reads like A1: No guiding or leading of others described → matches the start
Business Impact: Moved +0.5: the survey / manager mapping marks it business-critical.</t>
        </is>
      </c>
      <c r="FS45" s="56"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FT45" s="56" t="inlineStr">
        <is>
          <t>Self-identified: Answered · no common topic
For the next role: Answered · no common topic</t>
        </is>
      </c>
      <c r="FU45" s="56" t="inlineStr">
        <is>
          <t>Per-person summary · CARBON Mapping Master</t>
        </is>
      </c>
    </row>
    <row r="46" ht="90" customHeight="1">
      <c r="A46" s="51" t="inlineStr">
        <is>
          <t>◂ Back</t>
        </is>
      </c>
      <c r="B46" s="29" t="inlineStr">
        <is>
          <t>Mapped</t>
        </is>
      </c>
      <c r="C46" s="28" t="inlineStr">
        <is>
          <t>CARBON</t>
        </is>
      </c>
      <c r="D46" s="29" t="inlineStr">
        <is>
          <t>IRIS0819</t>
        </is>
      </c>
      <c r="E46" s="29" t="inlineStr">
        <is>
          <t>Vikram Bangera</t>
        </is>
      </c>
      <c r="F46" s="29" t="inlineStr">
        <is>
          <t>Services</t>
        </is>
      </c>
      <c r="G46" s="29" t="inlineStr">
        <is>
          <t>Senior Financial Analyst</t>
        </is>
      </c>
      <c r="H46" s="29" t="inlineStr">
        <is>
          <t>Senior Financial Analyst</t>
        </is>
      </c>
      <c r="I46" s="29" t="inlineStr">
        <is>
          <t>L4 – Senior</t>
        </is>
      </c>
      <c r="J46" s="29" t="inlineStr">
        <is>
          <t>A3</t>
        </is>
      </c>
      <c r="K46" s="29" t="inlineStr">
        <is>
          <t>• Same level</t>
        </is>
      </c>
      <c r="L46" s="29" t="inlineStr">
        <is>
          <t>Consulting &amp; Professional Services</t>
        </is>
      </c>
      <c r="M46" s="29" t="inlineStr">
        <is>
          <t>XBRL Tagging, Conversion &amp; Filing</t>
        </is>
      </c>
      <c r="N46" s="29" t="inlineStr">
        <is>
          <t>• Confirm the reporting line — Manager</t>
        </is>
      </c>
      <c r="O46" s="29" t="n">
        <v>18</v>
      </c>
      <c r="P46" s="28" t="inlineStr">
        <is>
          <t>P2</t>
        </is>
      </c>
      <c r="Q46" s="29" t="inlineStr">
        <is>
          <t>Developing</t>
        </is>
      </c>
      <c r="R46" s="29" t="inlineStr">
        <is>
          <t>3 Apply</t>
        </is>
      </c>
      <c r="S46" s="29" t="inlineStr">
        <is>
          <t>2–4 yrs</t>
        </is>
      </c>
      <c r="T46" s="29" t="inlineStr">
        <is>
          <t>3–5 · 2–5</t>
        </is>
      </c>
      <c r="U46" s="29" t="inlineStr">
        <is>
          <t>Senior Analyst / Associate</t>
        </is>
      </c>
      <c r="V46" s="29" t="inlineStr">
        <is>
          <t>DataTracks: Senior Associate · 2–5 yrs · Big Four: Consultant · IRIS Vs Market Benchmark — XBRL US credential pathway: XBRL US GAAP Certificate</t>
        </is>
      </c>
      <c r="W46" s="29" t="inlineStr">
        <is>
          <t>XBRL US GAAP Certificate · AICPA &amp; XBRL US; XBRL International specifications; IFRS / US GAAP / Ind AS</t>
        </is>
      </c>
      <c r="X46" s="29" t="inlineStr">
        <is>
          <t>Core 2 · Future 2 · Functional 3 · Leadership not scored</t>
        </is>
      </c>
      <c r="Y46" s="52" t="n">
        <v>93</v>
      </c>
      <c r="Z46" s="53" t="inlineStr">
        <is>
          <t>IRIS0819</t>
        </is>
      </c>
      <c r="AA46" s="53" t="inlineStr">
        <is>
          <t>Employee</t>
        </is>
      </c>
      <c r="AB46" s="53" t="inlineStr">
        <is>
          <t>Active</t>
        </is>
      </c>
      <c r="AC46" s="53" t="inlineStr">
        <is>
          <t>Vikram Bangera</t>
        </is>
      </c>
      <c r="AD46" s="54" t="n">
        <v>40771</v>
      </c>
      <c r="AE46" s="53" t="inlineStr">
        <is>
          <t>Senior Financial Analyst</t>
        </is>
      </c>
      <c r="AF46" s="53" t="inlineStr">
        <is>
          <t>B.Com</t>
        </is>
      </c>
      <c r="AG46" s="53" t="inlineStr">
        <is>
          <t>Priyanka Jadhav</t>
        </is>
      </c>
      <c r="AH46" s="53" t="inlineStr">
        <is>
          <t>N-7</t>
        </is>
      </c>
      <c r="AI46" s="53" t="inlineStr">
        <is>
          <t>Individual Contributor</t>
        </is>
      </c>
      <c r="AJ46" s="53" t="inlineStr">
        <is>
          <t>0 years, 6 months, 0 days</t>
        </is>
      </c>
      <c r="AK46" s="53" t="inlineStr">
        <is>
          <t>15 years, 0 months, 9 days</t>
        </is>
      </c>
      <c r="AL46" s="53" t="inlineStr">
        <is>
          <t>Regtech</t>
        </is>
      </c>
      <c r="AM46" s="53" t="inlineStr">
        <is>
          <t>CARBON</t>
        </is>
      </c>
      <c r="AN46" s="53" t="inlineStr">
        <is>
          <t>Services</t>
        </is>
      </c>
      <c r="AO46" s="53" t="inlineStr">
        <is>
          <t>Expert Assisted services</t>
        </is>
      </c>
      <c r="AP46" s="53" t="inlineStr">
        <is>
          <t>No</t>
        </is>
      </c>
      <c r="AQ46" s="53" t="inlineStr">
        <is>
          <t>Professional Services</t>
        </is>
      </c>
      <c r="AR46" s="53" t="inlineStr">
        <is>
          <t>XBRL Domain</t>
        </is>
      </c>
      <c r="AS46" s="53" t="inlineStr">
        <is>
          <t>Non-technical</t>
        </is>
      </c>
      <c r="AT46" s="53" t="n">
        <v>20</v>
      </c>
      <c r="AU46" s="53" t="inlineStr">
        <is>
          <t>Covered</t>
        </is>
      </c>
      <c r="AV46" s="53" t="inlineStr">
        <is>
          <t>IRIS0819</t>
        </is>
      </c>
      <c r="AW46" s="53" t="inlineStr">
        <is>
          <t>Vikram Bangera</t>
        </is>
      </c>
      <c r="AX46" s="53" t="inlineStr">
        <is>
          <t>Services</t>
        </is>
      </c>
      <c r="AY46" s="53" t="inlineStr">
        <is>
          <t>Professional Services</t>
        </is>
      </c>
      <c r="AZ46" s="53" t="inlineStr">
        <is>
          <t>XBRL / Regulatory Reporting</t>
        </is>
      </c>
      <c r="BA46" s="53" t="n"/>
      <c r="BB46" s="53" t="n"/>
      <c r="BC46" s="53" t="inlineStr">
        <is>
          <t>Employee</t>
        </is>
      </c>
      <c r="BD46" s="53" t="inlineStr">
        <is>
          <t>Priyanka Jadhav</t>
        </is>
      </c>
      <c r="BE46" s="53" t="inlineStr">
        <is>
          <t>Priyanka Jadhav</t>
        </is>
      </c>
      <c r="BF46" s="53" t="inlineStr">
        <is>
          <t>No</t>
        </is>
      </c>
      <c r="BG46" s="53" t="inlineStr">
        <is>
          <t>Senior Financial Analyst</t>
        </is>
      </c>
      <c r="BH46" s="53" t="inlineStr">
        <is>
          <t>Senior Services Specialist</t>
        </is>
      </c>
      <c r="BI46" s="53" t="inlineStr">
        <is>
          <t>Yes</t>
        </is>
      </c>
      <c r="BJ46" s="53" t="inlineStr">
        <is>
          <t>—</t>
        </is>
      </c>
      <c r="BK46" s="53" t="inlineStr">
        <is>
          <t>—</t>
        </is>
      </c>
      <c r="BL46" s="53" t="inlineStr">
        <is>
          <t>—</t>
        </is>
      </c>
      <c r="BM46" s="53" t="inlineStr">
        <is>
          <t>Not a manager</t>
        </is>
      </c>
      <c r="BN46" s="53" t="inlineStr">
        <is>
          <t>—</t>
        </is>
      </c>
      <c r="BO46" s="53" t="inlineStr">
        <is>
          <t>—</t>
        </is>
      </c>
      <c r="BP46" s="53" t="inlineStr">
        <is>
          <t>—</t>
        </is>
      </c>
      <c r="BQ46" s="53" t="inlineStr">
        <is>
          <t>Not a manager</t>
        </is>
      </c>
      <c r="BR46" s="53" t="inlineStr">
        <is>
          <t>—</t>
        </is>
      </c>
      <c r="BS46" s="53" t="inlineStr">
        <is>
          <t>L4 – Senior</t>
        </is>
      </c>
      <c r="BT46" s="53" t="inlineStr">
        <is>
          <t>L4 – Senior</t>
        </is>
      </c>
      <c r="BU46" s="53" t="inlineStr">
        <is>
          <t>Designation refined from Raw tab Comments column · this update</t>
        </is>
      </c>
      <c r="BV46"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W46" s="53" t="n"/>
      <c r="BX46" s="53" t="inlineStr">
        <is>
          <t>Europe - ESEF; UK - HMRC; Netherland - KVK.</t>
        </is>
      </c>
      <c r="BY46" s="53" t="n"/>
      <c r="BZ46" s="53" t="inlineStr">
        <is>
          <t>IRIS0819</t>
        </is>
      </c>
      <c r="CA46" s="53" t="inlineStr">
        <is>
          <t>Employee</t>
        </is>
      </c>
      <c r="CB46" s="53" t="inlineStr">
        <is>
          <t>Active</t>
        </is>
      </c>
      <c r="CC46" s="53" t="inlineStr">
        <is>
          <t>Vikram Bangera</t>
        </is>
      </c>
      <c r="CD46" s="54" t="n">
        <v>40771</v>
      </c>
      <c r="CE46" s="53" t="inlineStr">
        <is>
          <t>Senior Financial Analyst</t>
        </is>
      </c>
      <c r="CF46" s="53" t="n"/>
      <c r="CG46" s="53" t="inlineStr">
        <is>
          <t>Professional Services</t>
        </is>
      </c>
      <c r="CH46" s="53" t="inlineStr">
        <is>
          <t>XBRL / Regulatory Reporting</t>
        </is>
      </c>
      <c r="CI46" s="53" t="inlineStr">
        <is>
          <t>Senior Financial Analyst</t>
        </is>
      </c>
      <c r="CJ46" s="53" t="inlineStr">
        <is>
          <t>L4 – Senior</t>
        </is>
      </c>
      <c r="CK46" s="53" t="inlineStr">
        <is>
          <t>Priyanka Jadhav</t>
        </is>
      </c>
      <c r="CL46" s="53" t="inlineStr">
        <is>
          <t>N-7</t>
        </is>
      </c>
      <c r="CM46" s="53" t="inlineStr">
        <is>
          <t>Individual Contributor</t>
        </is>
      </c>
      <c r="CN46" s="53" t="inlineStr">
        <is>
          <t>Regtech</t>
        </is>
      </c>
      <c r="CO46" s="53" t="inlineStr">
        <is>
          <t>Services</t>
        </is>
      </c>
      <c r="CP46" s="53" t="inlineStr">
        <is>
          <t>15 years, 4 months, 4 days</t>
        </is>
      </c>
      <c r="CQ46" s="53" t="inlineStr">
        <is>
          <t>Senior Services Specialst</t>
        </is>
      </c>
      <c r="CR46" s="53" t="n"/>
      <c r="CS46" s="53" t="n">
        <v>3</v>
      </c>
      <c r="CT46" s="53" t="inlineStr">
        <is>
          <t>High</t>
        </is>
      </c>
      <c r="CU46" s="53" t="inlineStr">
        <is>
          <t>Core Contributor</t>
        </is>
      </c>
      <c r="CV46" s="53" t="inlineStr">
        <is>
          <t>Yes</t>
        </is>
      </c>
      <c r="CW46" s="53" t="inlineStr">
        <is>
          <t>No</t>
        </is>
      </c>
      <c r="CX46" s="53" t="inlineStr">
        <is>
          <t>Yes</t>
        </is>
      </c>
      <c r="CY46" s="53" t="n"/>
      <c r="CZ46" s="53" t="n"/>
      <c r="DA46" s="53" t="n"/>
      <c r="DB46" s="53" t="inlineStr">
        <is>
          <t>Title to be standardized to: Senior Services Specialist</t>
        </is>
      </c>
      <c r="DC46" s="53" t="n"/>
      <c r="DD46" s="53" t="n"/>
      <c r="DE46" s="53" t="n"/>
      <c r="DF46" s="53" t="n"/>
      <c r="DG46" s="53" t="n"/>
      <c r="DH46" s="53" t="n"/>
      <c r="DI46" s="53" t="n"/>
      <c r="DJ46" s="53" t="n"/>
      <c r="DK46" s="53" t="n"/>
      <c r="DL46" s="53" t="n"/>
      <c r="DM46" s="53" t="n"/>
      <c r="DN46" s="53" t="n"/>
      <c r="DO46" s="53" t="n"/>
      <c r="DP46" s="53" t="n"/>
      <c r="DQ46" s="53" t="n"/>
      <c r="DR46" s="53" t="n"/>
      <c r="DS46" s="53" t="n"/>
      <c r="DT46" s="53" t="n"/>
      <c r="DU46" s="53" t="n"/>
      <c r="DV46" s="53" t="n"/>
      <c r="DW46" s="53" t="n"/>
      <c r="DX46" s="53" t="n"/>
      <c r="DY46" s="53" t="n"/>
      <c r="DZ46" s="53" t="n"/>
      <c r="EA46" s="53" t="n"/>
      <c r="EB46" s="53" t="n"/>
      <c r="EC46" s="53" t="n"/>
      <c r="ED46" s="53" t="n"/>
      <c r="EE46" s="53" t="n"/>
      <c r="EF46" s="53" t="n"/>
      <c r="EG46" s="53" t="n"/>
      <c r="EH46" s="53" t="n"/>
      <c r="EI46" s="53" t="n"/>
      <c r="EJ46" s="53" t="n"/>
      <c r="EK46" s="53" t="n"/>
      <c r="EL46" s="53" t="n"/>
      <c r="EM46" s="53" t="n"/>
      <c r="EN46" s="53" t="n"/>
      <c r="EO46" s="53" t="n"/>
      <c r="EP46" s="53" t="n"/>
      <c r="EQ46" s="53" t="n"/>
      <c r="ER46" s="53" t="n"/>
      <c r="ES46" s="53" t="n"/>
      <c r="ET46" s="53" t="n"/>
      <c r="EU46" s="53" t="n"/>
      <c r="EV46" s="53" t="n"/>
      <c r="EW46" s="52" t="inlineStr">
        <is>
          <t>Also works on the EU-DM · EU Disclosure Management project — not currently reflected in product/role mapping.</t>
        </is>
      </c>
      <c r="EX46" s="53" t="inlineStr">
        <is>
          <t>• Role / sub-team: Tagging Analyst, Disclosure management.</t>
        </is>
      </c>
      <c r="EY46" s="53" t="inlineStr">
        <is>
          <t>• Key responsibilities include: DM file process, Tagging, Mail Monitoring, Testing Activity.
• Reported deliverables and outcomes include: DM file or Xbrl file to Customer Engagement team.</t>
        </is>
      </c>
      <c r="EZ46" s="53" t="inlineStr">
        <is>
          <t>• Current capabilities: Team Work; Tools / software used: Both.</t>
        </is>
      </c>
      <c r="FA46" s="53" t="inlineStr">
        <is>
          <t>• Development priorities: No input received.
• Learning and Development Need: Time Management skills.</t>
        </is>
      </c>
      <c r="FB46" s="53" t="inlineStr">
        <is>
          <t>• Key challenges: Remote desktop applicatio.
• Support required: No input received.</t>
        </is>
      </c>
      <c r="FC46" s="53" t="n"/>
      <c r="FD46" s="53" t="n"/>
      <c r="FE46"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FF46" s="56" t="n"/>
      <c r="FG46" s="56" t="n"/>
      <c r="FH46" s="56" t="n"/>
      <c r="FI46" s="56" t="n"/>
      <c r="FJ46" s="56" t="inlineStr">
        <is>
          <t>Received · manager annual</t>
        </is>
      </c>
      <c r="FK46" s="56" t="inlineStr">
        <is>
          <t>CARBON Mapping Master</t>
        </is>
      </c>
      <c r="FL46" s="56" t="n">
        <v>18</v>
      </c>
      <c r="FM46" s="56" t="inlineStr">
        <is>
          <t>• Role / sub-team: Tagging Analyst, Disclosure management.</t>
        </is>
      </c>
      <c r="FN46" s="56" t="inlineStr">
        <is>
          <t>• Key responsibilities include: DM file process, Tagging, Mail Monitoring, Testing Activity.
• Reported deliverables and outcomes include: DM file or Xbrl file to Customer Engagement team.</t>
        </is>
      </c>
      <c r="FO46" s="56" t="inlineStr">
        <is>
          <t>• Current capabilities: Team Work; Tools / software used: Both.</t>
        </is>
      </c>
      <c r="FP46" s="56" t="inlineStr">
        <is>
          <t>• Development priorities: No input received.
• Learning and Development Need: Time Management skills.</t>
        </is>
      </c>
      <c r="FQ46" s="56" t="inlineStr">
        <is>
          <t>• Key challenges: Remote desktop applicatio.
• Support required: No input received.</t>
        </is>
      </c>
      <c r="FR46" s="56" t="inlineStr">
        <is>
          <t>Complexity: Evidence reads like A3: DM report processing, XBRL tagging and analysis, validation, testing; shift-lead duty named → matches the start
Autonomy: Evidence reads like A3: Resolves routine tagging/disclosure issues, makes corrections, prioritises testing; raises other issues → matches the start
Accountability: Evidence reads like A2: Accuracy of own tagging, disclosure updates and testing results; output to Customer Engagement team → moved down 0.5
Leadership: Evidence reads like A3: Lists shift-lead responsibility without detail; no formal reports → moved up 0.5
Business Impact: Moved +0.5: the survey / manager mapping marks it business-critical.</t>
        </is>
      </c>
      <c r="FS46" s="56"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FT46" s="56" t="inlineStr">
        <is>
          <t>Self-identified: Client, sales &amp; stakeholders · Communication &amp; presentation
For the next role: Client, sales &amp; stakeholders · Communication &amp; presentation</t>
        </is>
      </c>
      <c r="FU46" s="56" t="inlineStr">
        <is>
          <t>Per-person summary · CARBON Mapping Master</t>
        </is>
      </c>
    </row>
    <row r="47" ht="90" customHeight="1">
      <c r="A47" s="51" t="inlineStr">
        <is>
          <t>◂ Back</t>
        </is>
      </c>
      <c r="B47" s="29" t="inlineStr">
        <is>
          <t>Mapped</t>
        </is>
      </c>
      <c r="C47" s="28" t="inlineStr">
        <is>
          <t>CARBON</t>
        </is>
      </c>
      <c r="D47" s="29" t="inlineStr">
        <is>
          <t>IRIS0506</t>
        </is>
      </c>
      <c r="E47" s="29" t="inlineStr">
        <is>
          <t>Shailesh Kumar Sharma</t>
        </is>
      </c>
      <c r="F47" s="29" t="inlineStr">
        <is>
          <t>Services</t>
        </is>
      </c>
      <c r="G47" s="29" t="inlineStr">
        <is>
          <t>Process Manager</t>
        </is>
      </c>
      <c r="H47" s="29" t="inlineStr">
        <is>
          <t>Senior Manager – Service Delivery</t>
        </is>
      </c>
      <c r="I47" s="29" t="inlineStr">
        <is>
          <t>L5 – Manager</t>
        </is>
      </c>
      <c r="J47" s="29" t="inlineStr">
        <is>
          <t>B2</t>
        </is>
      </c>
      <c r="K47" s="29" t="inlineStr">
        <is>
          <t>▲ Up</t>
        </is>
      </c>
      <c r="L47" s="29" t="inlineStr">
        <is>
          <t>Consulting &amp; Professional Services</t>
        </is>
      </c>
      <c r="M47" s="29" t="inlineStr">
        <is>
          <t>Service Delivery Operations</t>
        </is>
      </c>
      <c r="N47" s="29" t="n"/>
      <c r="O47" s="29" t="n">
        <v>20</v>
      </c>
      <c r="P47" s="28" t="inlineStr">
        <is>
          <t>P4 / M3</t>
        </is>
      </c>
      <c r="Q47" s="29" t="inlineStr">
        <is>
          <t>Senior / Manager</t>
        </is>
      </c>
      <c r="R47" s="29" t="inlineStr">
        <is>
          <t>4–5</t>
        </is>
      </c>
      <c r="S47" s="29" t="inlineStr">
        <is>
          <t>6–9 yrs</t>
        </is>
      </c>
      <c r="T47" s="29" t="inlineStr">
        <is>
          <t>7–10 · 6–11</t>
        </is>
      </c>
      <c r="U47" s="29" t="inlineStr">
        <is>
          <t>Senior Manager</t>
        </is>
      </c>
      <c r="V47" s="29" t="inlineStr">
        <is>
          <t>Big Four: Manager · IRIS Vs Market Benchmark — XBRL US credential pathway: Certificate + review authority</t>
        </is>
      </c>
      <c r="W47" s="29" t="inlineStr">
        <is>
          <t>XBRL US GAAP Certificate · AICPA &amp; XBRL US; XBRL International specifications; IFRS / US GAAP / Ind AS</t>
        </is>
      </c>
      <c r="X47" s="29" t="inlineStr">
        <is>
          <t>Core 3 · Future 3 · Functional 4 · Leadership 3</t>
        </is>
      </c>
      <c r="Y47" s="52" t="n">
        <v>66</v>
      </c>
      <c r="Z47" s="53" t="inlineStr">
        <is>
          <t>IRIS0506</t>
        </is>
      </c>
      <c r="AA47" s="53" t="inlineStr">
        <is>
          <t>Employee</t>
        </is>
      </c>
      <c r="AB47" s="53" t="inlineStr">
        <is>
          <t>Active</t>
        </is>
      </c>
      <c r="AC47" s="53" t="inlineStr">
        <is>
          <t>Shailesh Kumar Sharma</t>
        </is>
      </c>
      <c r="AD47" s="54" t="n">
        <v>40553</v>
      </c>
      <c r="AE47" s="53" t="inlineStr">
        <is>
          <t>Process Manager</t>
        </is>
      </c>
      <c r="AF47" s="53" t="inlineStr">
        <is>
          <t>B.Com</t>
        </is>
      </c>
      <c r="AG47" s="53" t="inlineStr">
        <is>
          <t>Shashikant Mudaliar</t>
        </is>
      </c>
      <c r="AH47" s="53" t="inlineStr">
        <is>
          <t>N-6</t>
        </is>
      </c>
      <c r="AI47" s="53" t="inlineStr">
        <is>
          <t>Manager</t>
        </is>
      </c>
      <c r="AJ47" s="53" t="inlineStr">
        <is>
          <t>0 years, 4 months, 0 days</t>
        </is>
      </c>
      <c r="AK47" s="53" t="inlineStr">
        <is>
          <t>15 years, 7 months, 15 days</t>
        </is>
      </c>
      <c r="AL47" s="53" t="inlineStr">
        <is>
          <t>Regtech</t>
        </is>
      </c>
      <c r="AM47" s="53" t="inlineStr">
        <is>
          <t>CARBON</t>
        </is>
      </c>
      <c r="AN47" s="53" t="inlineStr">
        <is>
          <t>Services</t>
        </is>
      </c>
      <c r="AO47" s="53" t="inlineStr">
        <is>
          <t>Expert Assisted services</t>
        </is>
      </c>
      <c r="AP47" s="53" t="inlineStr">
        <is>
          <t>No</t>
        </is>
      </c>
      <c r="AQ47" s="53" t="inlineStr">
        <is>
          <t>Professional Services</t>
        </is>
      </c>
      <c r="AR47" s="53" t="inlineStr">
        <is>
          <t>XBRL Domain</t>
        </is>
      </c>
      <c r="AS47" s="53" t="inlineStr">
        <is>
          <t>Non-technical</t>
        </is>
      </c>
      <c r="AT47" s="53" t="n">
        <v>20</v>
      </c>
      <c r="AU47" s="53" t="inlineStr">
        <is>
          <t>Covered</t>
        </is>
      </c>
      <c r="AV47" s="53" t="inlineStr">
        <is>
          <t>IRIS0506</t>
        </is>
      </c>
      <c r="AW47" s="53" t="inlineStr">
        <is>
          <t>Shailesh Kumar Sharma</t>
        </is>
      </c>
      <c r="AX47" s="53" t="inlineStr">
        <is>
          <t>Services</t>
        </is>
      </c>
      <c r="AY47" s="53" t="inlineStr">
        <is>
          <t>Professional Services</t>
        </is>
      </c>
      <c r="AZ47" s="53" t="inlineStr">
        <is>
          <t>XBRL / Regulatory Reporting</t>
        </is>
      </c>
      <c r="BA47" s="53" t="n"/>
      <c r="BB47" s="53" t="n"/>
      <c r="BC47" s="53" t="inlineStr">
        <is>
          <t>Employee</t>
        </is>
      </c>
      <c r="BD47" s="53" t="inlineStr">
        <is>
          <t>Shashikant Mudaliar</t>
        </is>
      </c>
      <c r="BE47" s="53" t="inlineStr">
        <is>
          <t>Shashikant Mudaliar</t>
        </is>
      </c>
      <c r="BF47" s="53" t="inlineStr">
        <is>
          <t>No</t>
        </is>
      </c>
      <c r="BG47" s="53" t="inlineStr">
        <is>
          <t>Process Manager</t>
        </is>
      </c>
      <c r="BH47" s="53" t="inlineStr">
        <is>
          <t>Manager Services</t>
        </is>
      </c>
      <c r="BI47" s="53" t="inlineStr">
        <is>
          <t>Yes</t>
        </is>
      </c>
      <c r="BJ47" s="53" t="n">
        <v>5</v>
      </c>
      <c r="BK47" s="53" t="n">
        <v>5</v>
      </c>
      <c r="BL47" s="53" t="n">
        <v>0</v>
      </c>
      <c r="BM47" s="53" t="inlineStr">
        <is>
          <t>Healthy</t>
        </is>
      </c>
      <c r="BN47" s="53" t="n">
        <v>5</v>
      </c>
      <c r="BO47" s="53" t="n">
        <v>5</v>
      </c>
      <c r="BP47" s="53" t="n">
        <v>0</v>
      </c>
      <c r="BQ47" s="53" t="inlineStr">
        <is>
          <t>Healthy</t>
        </is>
      </c>
      <c r="BR47" s="53" t="inlineStr">
        <is>
          <t>No</t>
        </is>
      </c>
      <c r="BS47" s="53" t="inlineStr">
        <is>
          <t>L5 – Manager</t>
        </is>
      </c>
      <c r="BT47" s="53" t="inlineStr">
        <is>
          <t>L4</t>
        </is>
      </c>
      <c r="BU47" s="53" t="inlineStr">
        <is>
          <t>Matched from Title Hierarchy · new designation</t>
        </is>
      </c>
      <c r="BV47" s="53" t="inlineStr">
        <is>
          <t>1. Ensure files processed by team with &gt;=99% accuracy · zero critical errors.
2. Meet 100% of regulatory / client filing deadlines · no SLA breaches
3. Maintain average turnaround per assignment within agreed TAT
4. Ensure 0% regulatory rejections across all submitted filings · Excluding issues not highlighted by our validator.
5. Deliver/Resolve client queries within agreed TAT with client.
6. Process monthly billing ASAP after month closure.</t>
        </is>
      </c>
      <c r="BW47" s="53" t="inlineStr">
        <is>
          <t>allocation of files,</t>
        </is>
      </c>
      <c r="BX47" s="53" t="inlineStr">
        <is>
          <t>UK - HMRC; Europe - ESEF.</t>
        </is>
      </c>
      <c r="BY47" s="53" t="n"/>
      <c r="BZ47" s="53" t="inlineStr">
        <is>
          <t>IRIS0506</t>
        </is>
      </c>
      <c r="CA47" s="53" t="inlineStr">
        <is>
          <t>Employee</t>
        </is>
      </c>
      <c r="CB47" s="53" t="inlineStr">
        <is>
          <t>Active</t>
        </is>
      </c>
      <c r="CC47" s="53" t="inlineStr">
        <is>
          <t>Shailesh Kumar Sharma</t>
        </is>
      </c>
      <c r="CD47" s="54" t="n">
        <v>40553</v>
      </c>
      <c r="CE47" s="53" t="inlineStr">
        <is>
          <t>Process Manager</t>
        </is>
      </c>
      <c r="CF47" s="53" t="n"/>
      <c r="CG47" s="53" t="inlineStr">
        <is>
          <t>Professional Services</t>
        </is>
      </c>
      <c r="CH47" s="53" t="inlineStr">
        <is>
          <t>XBRL / Regulatory Reporting</t>
        </is>
      </c>
      <c r="CI47" s="53" t="inlineStr">
        <is>
          <t>Process Manager</t>
        </is>
      </c>
      <c r="CJ47" s="53" t="inlineStr">
        <is>
          <t>L5 – Manager</t>
        </is>
      </c>
      <c r="CK47" s="53" t="inlineStr">
        <is>
          <t>Shashikant Mudaliar</t>
        </is>
      </c>
      <c r="CL47" s="53" t="inlineStr">
        <is>
          <t>N-6</t>
        </is>
      </c>
      <c r="CM47" s="53" t="inlineStr">
        <is>
          <t>Manager</t>
        </is>
      </c>
      <c r="CN47" s="53" t="inlineStr">
        <is>
          <t>Regtech</t>
        </is>
      </c>
      <c r="CO47" s="53" t="inlineStr">
        <is>
          <t>Services</t>
        </is>
      </c>
      <c r="CP47" s="53" t="inlineStr">
        <is>
          <t>15 years, 9 months, 10 days</t>
        </is>
      </c>
      <c r="CQ47" s="53" t="inlineStr">
        <is>
          <t>Manager Services</t>
        </is>
      </c>
      <c r="CR47" s="53" t="n"/>
      <c r="CS47" s="53" t="n">
        <v>3</v>
      </c>
      <c r="CT47" s="53" t="inlineStr">
        <is>
          <t>Medium</t>
        </is>
      </c>
      <c r="CU47" s="53" t="inlineStr">
        <is>
          <t>Core Contributor</t>
        </is>
      </c>
      <c r="CV47" s="53" t="inlineStr">
        <is>
          <t>No</t>
        </is>
      </c>
      <c r="CW47" s="53" t="inlineStr">
        <is>
          <t>No</t>
        </is>
      </c>
      <c r="CX47" s="53" t="inlineStr">
        <is>
          <t>Yes</t>
        </is>
      </c>
      <c r="CY47" s="53" t="n"/>
      <c r="CZ47" s="53" t="n"/>
      <c r="DA47" s="53" t="n"/>
      <c r="DB47" s="53" t="inlineStr">
        <is>
          <t>Title to be standardized to Manager Services</t>
        </is>
      </c>
      <c r="DC47" s="53" t="n"/>
      <c r="DD47" s="53" t="n"/>
      <c r="DE47" s="53" t="n"/>
      <c r="DF47" s="53" t="n"/>
      <c r="DG47" s="53" t="n"/>
      <c r="DH47" s="53" t="n"/>
      <c r="DI47" s="53" t="n"/>
      <c r="DJ47" s="53" t="n"/>
      <c r="DK47" s="53" t="n"/>
      <c r="DL47" s="53" t="n"/>
      <c r="DM47" s="53" t="n"/>
      <c r="DN47" s="53" t="n"/>
      <c r="DO47" s="53" t="n"/>
      <c r="DP47" s="53" t="n"/>
      <c r="DQ47" s="53" t="n"/>
      <c r="DR47" s="53" t="n"/>
      <c r="DS47" s="53" t="n"/>
      <c r="DT47" s="53" t="n"/>
      <c r="DU47" s="53" t="n"/>
      <c r="DV47" s="53" t="n"/>
      <c r="DW47" s="53" t="n"/>
      <c r="DX47" s="53" t="n"/>
      <c r="DY47" s="53" t="n"/>
      <c r="DZ47" s="53" t="n"/>
      <c r="EA47" s="53" t="n"/>
      <c r="EB47" s="53" t="n"/>
      <c r="EC47" s="53" t="n"/>
      <c r="ED47" s="53" t="n"/>
      <c r="EE47" s="53" t="n"/>
      <c r="EF47" s="53" t="n"/>
      <c r="EG47" s="53" t="n"/>
      <c r="EH47" s="53" t="n"/>
      <c r="EI47" s="53" t="n"/>
      <c r="EJ47" s="53" t="n"/>
      <c r="EK47" s="53" t="n"/>
      <c r="EL47" s="53" t="n"/>
      <c r="EM47" s="53" t="n"/>
      <c r="EN47" s="53" t="n"/>
      <c r="EO47" s="53" t="n"/>
      <c r="EP47" s="53" t="n"/>
      <c r="EQ47" s="53" t="n"/>
      <c r="ER47" s="53" t="n"/>
      <c r="ES47" s="53" t="n"/>
      <c r="ET47" s="53" t="n"/>
      <c r="EU47" s="53" t="n"/>
      <c r="EV47" s="53" t="n"/>
      <c r="EW47" s="52" t="n"/>
      <c r="EX47" s="53" t="inlineStr">
        <is>
          <t>• Role / sub-team: XBRL Service as Pmo.</t>
        </is>
      </c>
      <c r="EY47" s="53" t="inlineStr">
        <is>
          <t>• Key responsibilities include: Team handling, client interaction, file delivery and data updates; as PMO, tracks project progress, prepares status reports, monitors risks and action items, and ensures deliverables are completed on time.
• Reported deliverables and outcomes include: Shared with client.</t>
        </is>
      </c>
      <c r="EZ47" s="53" t="inlineStr">
        <is>
          <t>• Current capabilities: Han; Time management; Tools / software used: Carbon.</t>
        </is>
      </c>
      <c r="FA47" s="53" t="inlineStr">
        <is>
          <t>• Development priorities: No input received.
• Learning and Development Need: Managing Multiple tasks.</t>
        </is>
      </c>
      <c r="FB47" s="53" t="inlineStr">
        <is>
          <t>• Key challenges: No input received.
• Support required: No input received.</t>
        </is>
      </c>
      <c r="FC47" s="53" t="n"/>
      <c r="FD47" s="53" t="n"/>
      <c r="FE47" s="57" t="inlineStr">
        <is>
          <t>1.  Ensure files processed by team  with &gt;=99% accuracy · zero critical errors.
2. Meet 100% of regulatory / client filing deadlines · no SLA breaches
3. Maintain average turnaround per assignment within agreed TAT
4. Ensure 0% regulatory rejections across all submitted filings · Excluding issues not highlighted by our validator.
5. Deliver/Resolve client queries within agreed TAT with client.
6. Process monthly billing ASAP after month closure.</t>
        </is>
      </c>
      <c r="FF47" s="56" t="n"/>
      <c r="FG47" s="56" t="n"/>
      <c r="FH47" s="56" t="n"/>
      <c r="FI47" s="56" t="n"/>
      <c r="FJ47" s="56" t="inlineStr">
        <is>
          <t>Received · manager annual</t>
        </is>
      </c>
      <c r="FK47" s="56" t="inlineStr">
        <is>
          <t>CARBON Mapping Master</t>
        </is>
      </c>
      <c r="FL47" s="56" t="n">
        <v>20</v>
      </c>
      <c r="FM47" s="56" t="inlineStr">
        <is>
          <t>• Role / sub-team: XBRL Service as Pmo.</t>
        </is>
      </c>
      <c r="FN47" s="56" t="inlineStr">
        <is>
          <t>• Key responsibilities include: Team handling, client interaction, file delivery and data updates; as PMO, tracks project progress, prepares status reports, monitors risks and action items, and ensures deliverables are completed on time.
• Reported deliverables and outcomes include: Shared with client.</t>
        </is>
      </c>
      <c r="FO47" s="56" t="inlineStr">
        <is>
          <t>• Current capabilities: Han; Time management; Tools / software used: Carbon.</t>
        </is>
      </c>
      <c r="FP47" s="56" t="inlineStr">
        <is>
          <t>• Development priorities: No input received.
• Learning and Development Need: Managing Multiple tasks.</t>
        </is>
      </c>
      <c r="FQ47" s="56" t="inlineStr">
        <is>
          <t>• Key challenges: No input received.
• Support required: No input received.</t>
        </is>
      </c>
      <c r="FR47" s="56" t="inlineStr">
        <is>
          <t>Complexity: Evidence reads like A3: PMO coordination: tracks project status, handles amendments, client coordination, billing; no technical problem-solving described → moved down 1
Autonomy: Evidence reads like B2: Allocates team work, tracks projects and coordinates delivery with clients independently → matches the start
Accountability: Evidence reads like B2: own survey / KRA answers · summarised by the rater; not quoted → moved down 0.5
Leadership: Evidence reads like B1: Five direct reports; team management and work monitoring → moved down 1
Business Impact: Moved +0.5: the survey / manager mapping marks it business-critical.</t>
        </is>
      </c>
      <c r="FS47" s="56" t="inlineStr">
        <is>
          <t>Common themes in sub-family holders, all levels' answers: timely
Common themes in sub-family holders, all levels' answers: monitoring · management · project · handling
Common themes in sub-family holders, all levels' answers: delivery · performance
Common themes in sub-family holders, all levels' answers: project
If the work is missed · role-holders' themes: client · delays.</t>
        </is>
      </c>
      <c r="FT47" s="56" t="inlineStr">
        <is>
          <t>Self-identified: Leadership &amp; people management · Project / programme management · Client, sales &amp; stakeholders · Broader exposure &amp; ownership
For the next role: Leadership &amp; people management · Project / programme management · Client, sales &amp; stakeholders · Broader exposure &amp; ownership</t>
        </is>
      </c>
      <c r="FU47" s="56" t="inlineStr">
        <is>
          <t>Per-person summary · CARBON Mapping Master</t>
        </is>
      </c>
    </row>
    <row r="48" ht="90" customHeight="1">
      <c r="A48" s="51" t="inlineStr">
        <is>
          <t>◂ Back</t>
        </is>
      </c>
      <c r="B48" s="29" t="inlineStr">
        <is>
          <t>Mapped</t>
        </is>
      </c>
      <c r="C48" s="28" t="inlineStr">
        <is>
          <t>CARBON</t>
        </is>
      </c>
      <c r="D48" s="29" t="inlineStr">
        <is>
          <t>IRIS0530</t>
        </is>
      </c>
      <c r="E48" s="29" t="inlineStr">
        <is>
          <t>Vipul Kurhade</t>
        </is>
      </c>
      <c r="F48" s="29" t="inlineStr">
        <is>
          <t>Services</t>
        </is>
      </c>
      <c r="G48" s="29" t="inlineStr">
        <is>
          <t>Senior Financial Analyst</t>
        </is>
      </c>
      <c r="H48" s="29" t="inlineStr">
        <is>
          <t>Team Lead – Assisted Services</t>
        </is>
      </c>
      <c r="I48" s="29" t="inlineStr">
        <is>
          <t>L4 – Senior</t>
        </is>
      </c>
      <c r="J48" s="29" t="inlineStr">
        <is>
          <t>B1</t>
        </is>
      </c>
      <c r="K48" s="29" t="inlineStr">
        <is>
          <t>▲ Up</t>
        </is>
      </c>
      <c r="L48" s="29" t="inlineStr">
        <is>
          <t>Consulting &amp; Professional Services</t>
        </is>
      </c>
      <c r="M48" s="29" t="inlineStr">
        <is>
          <t>XBRL Tagging, Conversion &amp; Filing</t>
        </is>
      </c>
      <c r="N48" s="29" t="n"/>
      <c r="O48" s="29" t="n">
        <v>20</v>
      </c>
      <c r="P48" s="28" t="inlineStr">
        <is>
          <t>P3 / M2</t>
        </is>
      </c>
      <c r="Q48" s="29" t="inlineStr">
        <is>
          <t>Career / · Team Lead</t>
        </is>
      </c>
      <c r="R48" s="29" t="inlineStr">
        <is>
          <t>4 Enable</t>
        </is>
      </c>
      <c r="S48" s="29" t="inlineStr">
        <is>
          <t>4–7 yrs</t>
        </is>
      </c>
      <c r="T48" s="29" t="inlineStr">
        <is>
          <t>5–8 · 4–8</t>
        </is>
      </c>
      <c r="U48" s="29" t="inlineStr">
        <is>
          <t>Team Lead / Assistant Manager</t>
        </is>
      </c>
      <c r="V48" s="29" t="inlineStr">
        <is>
          <t>Big Four: Senior Consultant · IRIS Vs Market Benchmark — XBRL US credential pathway: Certificate + specialist taxonomy</t>
        </is>
      </c>
      <c r="W48" s="29" t="inlineStr">
        <is>
          <t>XBRL US GAAP Certificate · AICPA &amp; XBRL US; XBRL International specifications; IFRS / US GAAP / Ind AS</t>
        </is>
      </c>
      <c r="X48" s="29" t="inlineStr">
        <is>
          <t>Core 3 · Future 3 · Functional 3 · Leadership 2</t>
        </is>
      </c>
      <c r="Y48" s="52" t="n">
        <v>70</v>
      </c>
      <c r="Z48" s="53" t="inlineStr">
        <is>
          <t>IRIS0530</t>
        </is>
      </c>
      <c r="AA48" s="53" t="inlineStr">
        <is>
          <t>Employee</t>
        </is>
      </c>
      <c r="AB48" s="53" t="inlineStr">
        <is>
          <t>Active</t>
        </is>
      </c>
      <c r="AC48" s="53" t="inlineStr">
        <is>
          <t>Vipul Kurhade</t>
        </is>
      </c>
      <c r="AD48" s="54" t="n">
        <v>40575</v>
      </c>
      <c r="AE48" s="53" t="inlineStr">
        <is>
          <t>Senior Financial Analyst</t>
        </is>
      </c>
      <c r="AF48" s="53" t="inlineStr">
        <is>
          <t>B.Com</t>
        </is>
      </c>
      <c r="AG48" s="53" t="inlineStr">
        <is>
          <t>Shailesh Kumar Sharma</t>
        </is>
      </c>
      <c r="AH48" s="53" t="inlineStr">
        <is>
          <t>N-7</t>
        </is>
      </c>
      <c r="AI48" s="53" t="inlineStr">
        <is>
          <t>Manager</t>
        </is>
      </c>
      <c r="AJ48" s="53" t="inlineStr">
        <is>
          <t>1 years, 0 months, 0 days</t>
        </is>
      </c>
      <c r="AK48" s="53" t="inlineStr">
        <is>
          <t>15 years, 6 months, 24 days</t>
        </is>
      </c>
      <c r="AL48" s="53" t="inlineStr">
        <is>
          <t>Regtech</t>
        </is>
      </c>
      <c r="AM48" s="53" t="inlineStr">
        <is>
          <t>CARBON</t>
        </is>
      </c>
      <c r="AN48" s="53" t="inlineStr">
        <is>
          <t>Services</t>
        </is>
      </c>
      <c r="AO48" s="53" t="inlineStr">
        <is>
          <t>Expert Assisted services</t>
        </is>
      </c>
      <c r="AP48" s="53" t="inlineStr">
        <is>
          <t>No</t>
        </is>
      </c>
      <c r="AQ48" s="53" t="inlineStr">
        <is>
          <t>Professional Services</t>
        </is>
      </c>
      <c r="AR48" s="53" t="inlineStr">
        <is>
          <t>XBRL Domain</t>
        </is>
      </c>
      <c r="AS48" s="53" t="inlineStr">
        <is>
          <t>Non-technical</t>
        </is>
      </c>
      <c r="AT48" s="53" t="n">
        <v>20</v>
      </c>
      <c r="AU48" s="53" t="inlineStr">
        <is>
          <t>Covered</t>
        </is>
      </c>
      <c r="AV48" s="53" t="inlineStr">
        <is>
          <t>IRIS0530</t>
        </is>
      </c>
      <c r="AW48" s="53" t="inlineStr">
        <is>
          <t>Vipul Kurhade</t>
        </is>
      </c>
      <c r="AX48" s="53" t="inlineStr">
        <is>
          <t>Services</t>
        </is>
      </c>
      <c r="AY48" s="53" t="inlineStr">
        <is>
          <t>Professional Services</t>
        </is>
      </c>
      <c r="AZ48" s="53" t="inlineStr">
        <is>
          <t>XBRL / Regulatory Reporting</t>
        </is>
      </c>
      <c r="BA48" s="53" t="n"/>
      <c r="BB48" s="53" t="n"/>
      <c r="BC48" s="53" t="inlineStr">
        <is>
          <t>Employee</t>
        </is>
      </c>
      <c r="BD48" s="53" t="inlineStr">
        <is>
          <t>Shailesh Kumar Sharma</t>
        </is>
      </c>
      <c r="BE48" s="53" t="inlineStr">
        <is>
          <t>Shailesh Kumar Sharma</t>
        </is>
      </c>
      <c r="BF48" s="53" t="inlineStr">
        <is>
          <t>No</t>
        </is>
      </c>
      <c r="BG48" s="53" t="inlineStr">
        <is>
          <t>Senior Financial Analyst</t>
        </is>
      </c>
      <c r="BH48" s="53" t="inlineStr">
        <is>
          <t>Professional Service Lead</t>
        </is>
      </c>
      <c r="BI48" s="53" t="inlineStr">
        <is>
          <t>Yes</t>
        </is>
      </c>
      <c r="BJ48" s="53" t="n">
        <v>4</v>
      </c>
      <c r="BK48" s="53" t="n">
        <v>4</v>
      </c>
      <c r="BL48" s="53" t="n">
        <v>0</v>
      </c>
      <c r="BM48" s="53" t="inlineStr">
        <is>
          <t>Review</t>
        </is>
      </c>
      <c r="BN48" s="53" t="n">
        <v>4</v>
      </c>
      <c r="BO48" s="53" t="n">
        <v>4</v>
      </c>
      <c r="BP48" s="53" t="n">
        <v>0</v>
      </c>
      <c r="BQ48" s="53" t="inlineStr">
        <is>
          <t>Review</t>
        </is>
      </c>
      <c r="BR48" s="53" t="inlineStr">
        <is>
          <t>No</t>
        </is>
      </c>
      <c r="BS48" s="53" t="inlineStr">
        <is>
          <t>L4 – Senior</t>
        </is>
      </c>
      <c r="BT48" s="53" t="inlineStr">
        <is>
          <t>L3</t>
        </is>
      </c>
      <c r="BU48" s="53" t="inlineStr">
        <is>
          <t>Matched from Title Hierarchy · new designation</t>
        </is>
      </c>
      <c r="BV48"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W48" s="53" t="n"/>
      <c r="BX48" s="53" t="inlineStr">
        <is>
          <t>No input received.</t>
        </is>
      </c>
      <c r="BY48" s="53" t="n"/>
      <c r="BZ48" s="53" t="inlineStr">
        <is>
          <t>IRIS0530</t>
        </is>
      </c>
      <c r="CA48" s="53" t="inlineStr">
        <is>
          <t>Employee</t>
        </is>
      </c>
      <c r="CB48" s="53" t="inlineStr">
        <is>
          <t>Active</t>
        </is>
      </c>
      <c r="CC48" s="53" t="inlineStr">
        <is>
          <t>Vipul Kurhade</t>
        </is>
      </c>
      <c r="CD48" s="54" t="n">
        <v>40575</v>
      </c>
      <c r="CE48" s="53" t="inlineStr">
        <is>
          <t>Senior Financial Analyst</t>
        </is>
      </c>
      <c r="CF48" s="53" t="n"/>
      <c r="CG48" s="53" t="inlineStr">
        <is>
          <t>Professional Services</t>
        </is>
      </c>
      <c r="CH48" s="53" t="inlineStr">
        <is>
          <t>XBRL / Regulatory Reporting</t>
        </is>
      </c>
      <c r="CI48" s="53" t="inlineStr">
        <is>
          <t>Senior Financial Analyst</t>
        </is>
      </c>
      <c r="CJ48" s="53" t="inlineStr">
        <is>
          <t>L4 – Senior</t>
        </is>
      </c>
      <c r="CK48" s="53" t="inlineStr">
        <is>
          <t>Shailesh Kumar Sharma</t>
        </is>
      </c>
      <c r="CL48" s="53" t="inlineStr">
        <is>
          <t>N-7</t>
        </is>
      </c>
      <c r="CM48" s="53" t="inlineStr">
        <is>
          <t>Player Cum Coach</t>
        </is>
      </c>
      <c r="CN48" s="53" t="inlineStr">
        <is>
          <t>Regtech</t>
        </is>
      </c>
      <c r="CO48" s="53" t="inlineStr">
        <is>
          <t>Services</t>
        </is>
      </c>
      <c r="CP48" s="53" t="inlineStr">
        <is>
          <t>16 years, 4 months, 19 days</t>
        </is>
      </c>
      <c r="CQ48" s="53" t="inlineStr">
        <is>
          <t>Professional Service Lead</t>
        </is>
      </c>
      <c r="CR48" s="53" t="n"/>
      <c r="CS48" s="53" t="n">
        <v>4</v>
      </c>
      <c r="CT48" s="53" t="inlineStr">
        <is>
          <t>High</t>
        </is>
      </c>
      <c r="CU48" s="53" t="inlineStr">
        <is>
          <t>Core Contributor</t>
        </is>
      </c>
      <c r="CV48" s="53" t="inlineStr">
        <is>
          <t>Yes</t>
        </is>
      </c>
      <c r="CW48" s="53" t="inlineStr">
        <is>
          <t>No</t>
        </is>
      </c>
      <c r="CX48" s="53" t="inlineStr">
        <is>
          <t>Yes</t>
        </is>
      </c>
      <c r="CY48" s="53" t="n"/>
      <c r="CZ48" s="53" t="n"/>
      <c r="DA48" s="53" t="n"/>
      <c r="DB48" s="53" t="inlineStr">
        <is>
          <t>Title to be standardized: Professional Services Lead</t>
        </is>
      </c>
      <c r="DC48" s="53" t="n"/>
      <c r="DD48" s="53" t="n"/>
      <c r="DE48" s="53" t="n"/>
      <c r="DF48" s="53" t="n"/>
      <c r="DG48" s="53" t="n"/>
      <c r="DH48" s="53" t="n"/>
      <c r="DI48" s="53" t="n"/>
      <c r="DJ48" s="53" t="n"/>
      <c r="DK48" s="53" t="n"/>
      <c r="DL48" s="53" t="n"/>
      <c r="DM48" s="53" t="n"/>
      <c r="DN48" s="53" t="n"/>
      <c r="DO48" s="53" t="n"/>
      <c r="DP48" s="53" t="n"/>
      <c r="DQ48" s="53" t="n"/>
      <c r="DR48" s="53" t="n"/>
      <c r="DS48" s="53" t="n"/>
      <c r="DT48" s="53" t="n"/>
      <c r="DU48" s="53" t="n"/>
      <c r="DV48" s="53" t="n"/>
      <c r="DW48" s="53" t="n"/>
      <c r="DX48" s="53" t="n"/>
      <c r="DY48" s="53" t="n"/>
      <c r="DZ48" s="53" t="n"/>
      <c r="EA48" s="53" t="n"/>
      <c r="EB48" s="53" t="n"/>
      <c r="EC48" s="53" t="n"/>
      <c r="ED48" s="53" t="n"/>
      <c r="EE48" s="53" t="n"/>
      <c r="EF48" s="53" t="n"/>
      <c r="EG48" s="53" t="n"/>
      <c r="EH48" s="53" t="n"/>
      <c r="EI48" s="53" t="n"/>
      <c r="EJ48" s="53" t="n"/>
      <c r="EK48" s="53" t="n"/>
      <c r="EL48" s="53" t="n"/>
      <c r="EM48" s="53" t="n"/>
      <c r="EN48" s="53" t="n"/>
      <c r="EO48" s="53" t="n"/>
      <c r="EP48" s="53" t="n"/>
      <c r="EQ48" s="53" t="n"/>
      <c r="ER48" s="53" t="n"/>
      <c r="ES48" s="53" t="n"/>
      <c r="ET48" s="53" t="n"/>
      <c r="EU48" s="53" t="n"/>
      <c r="EV48" s="53" t="n"/>
      <c r="EW48" s="52" t="n"/>
      <c r="EX48" s="53" t="inlineStr">
        <is>
          <t>• Role / sub-team: Team Lead / PMO - UK conversion team · role inferred from description.</t>
        </is>
      </c>
      <c r="EY48" s="53" t="inlineStr">
        <is>
          <t>• Key responsibilities include: Team Status Monitoring: checks the status and progress of team members and ensures tasks are on track. Deliverable Management: reviews upcoming deliverables and ensures files are completed and delivered within agreed timelines. UK File Quality Check: performs quality checks on UK XBRL files for accuracy, completeness and compliance with required standards.</t>
        </is>
      </c>
      <c r="EZ48" s="53" t="inlineStr">
        <is>
          <t>• Current capabilities: Input not given by Participant; Tools / software used: Carbon.</t>
        </is>
      </c>
      <c r="FA48" s="53" t="inlineStr">
        <is>
          <t>• Development priorities: No input received.
• Learning and Development Need: No input received.</t>
        </is>
      </c>
      <c r="FB48" s="53" t="inlineStr">
        <is>
          <t>• Key challenges: No input received.
• Support required: No input received.</t>
        </is>
      </c>
      <c r="FC48" s="53" t="n"/>
      <c r="FD48" s="53" t="n"/>
      <c r="FE48"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FF48" s="56" t="n"/>
      <c r="FG48" s="56" t="n"/>
      <c r="FH48" s="56" t="n"/>
      <c r="FI48" s="56" t="n"/>
      <c r="FJ48" s="56" t="inlineStr">
        <is>
          <t>Received · manager annual</t>
        </is>
      </c>
      <c r="FK48" s="56" t="inlineStr">
        <is>
          <t>CARBON Mapping Master</t>
        </is>
      </c>
      <c r="FL48" s="56" t="n">
        <v>20</v>
      </c>
      <c r="FM48" s="56" t="inlineStr">
        <is>
          <t>• Role / sub-team: Team Lead / PMO - UK conversion team · role inferred from description.</t>
        </is>
      </c>
      <c r="FN48" s="56" t="inlineStr">
        <is>
          <t>• Key responsibilities include: Team Status Monitoring: checks the status and progress of team members and ensures tasks are on track. Deliverable Management: reviews upcoming deliverables and ensures files are completed and delivered within agreed timelines. UK File Quality Check: performs quality checks on UK XBRL files for accuracy, completeness and compliance with required standards.</t>
        </is>
      </c>
      <c r="FO48" s="56" t="inlineStr">
        <is>
          <t>• Current capabilities: Input not given by Participant; Tools / software used: Carbon.</t>
        </is>
      </c>
      <c r="FP48" s="56" t="inlineStr">
        <is>
          <t>• Development priorities: No input received.
• Learning and Development Need: No input received.</t>
        </is>
      </c>
      <c r="FQ48" s="56" t="inlineStr">
        <is>
          <t>• Key challenges: No input received.
• Support required: No input received.</t>
        </is>
      </c>
      <c r="FR48" s="56" t="inlineStr">
        <is>
          <t>Complexity: Evidence reads like A3: Quality-checks UK iXBRL files, finds tagging errors and suggests corrections; also tracks team deliverables → matches the start
Autonomy: Evidence reads like A2: Performs QC, reports errors, suggests corrections and prioritises assigned files; no wider calls stated → moved down 0.5
Accountability: Evidence reads like A3: Accuracy of UK iXBRL QC and delivery deadlines; errors cause client reporting issues → moved down 0.5
Leadership: Evidence reads like A3: Monitors team members' status and upcoming deliverables; 'assists' coordination, four reports → moved down 0.5
Business Impact: Moved +0.5: the survey / manager mapping marks it business-critical.</t>
        </is>
      </c>
      <c r="FS48" s="56" t="inlineStr">
        <is>
          <t>Common themes in sub-family holders, all levels' answers: financial · reporting · xbrl · us · accurate · quality
Common themes in sub-family holders, all levels' answers: tagging · quality · validation · filing · resolution · financial
Common themes in sub-family holders, all levels' answers: xbrl · reports · financial · files · documents · quality
Common themes in sub-family holders, all levels' answers: quality · accountable · am · tagging · accuracy · validation
Common themes in sub-family holders, all levels' answers: issues · tagging · independently · quality · routine · resolve
If the work is missed · role-holders' themes: rework · delays · quality · errors.</t>
        </is>
      </c>
      <c r="FT48" s="56" t="inlineStr">
        <is>
          <t>Self-identified: Leadership &amp; people management · Project / programme management · Client, sales &amp; stakeholders · Communication &amp; presentation · Broader exposure &amp; ownership
For the next role: Leadership &amp; people management · Project / programme management · Client, sales &amp; stakeholders · Communication &amp; presentation · Broader exposure &amp; ownership</t>
        </is>
      </c>
      <c r="FU48" s="56" t="inlineStr">
        <is>
          <t>Per-person summary · CARBON Mapping Master</t>
        </is>
      </c>
    </row>
    <row r="49" ht="90" customHeight="1">
      <c r="A49" s="51" t="inlineStr">
        <is>
          <t>◂ Back</t>
        </is>
      </c>
      <c r="B49" s="29" t="inlineStr">
        <is>
          <t>Mapped</t>
        </is>
      </c>
      <c r="C49" s="28" t="inlineStr">
        <is>
          <t>CARBON</t>
        </is>
      </c>
      <c r="D49" s="29" t="inlineStr">
        <is>
          <t>IRIS0415</t>
        </is>
      </c>
      <c r="E49" s="29" t="inlineStr">
        <is>
          <t>Amol Keskar</t>
        </is>
      </c>
      <c r="F49" s="29" t="inlineStr">
        <is>
          <t>Services</t>
        </is>
      </c>
      <c r="G49" s="29" t="inlineStr">
        <is>
          <t>Financial Analyst</t>
        </is>
      </c>
      <c r="H49" s="29" t="inlineStr">
        <is>
          <t>Senior Financial Analyst</t>
        </is>
      </c>
      <c r="I49" s="29" t="inlineStr">
        <is>
          <t>L3 – Professional / Associate</t>
        </is>
      </c>
      <c r="J49" s="29" t="inlineStr">
        <is>
          <t>A3</t>
        </is>
      </c>
      <c r="K49" s="29" t="inlineStr">
        <is>
          <t>▲ Up</t>
        </is>
      </c>
      <c r="L49" s="29" t="inlineStr">
        <is>
          <t>Consulting &amp; Professional Services</t>
        </is>
      </c>
      <c r="M49" s="29" t="inlineStr">
        <is>
          <t>XBRL Tagging, Conversion &amp; Filing</t>
        </is>
      </c>
      <c r="N49" s="29" t="n"/>
      <c r="O49" s="29" t="n">
        <v>19</v>
      </c>
      <c r="P49" s="28" t="inlineStr">
        <is>
          <t>P2</t>
        </is>
      </c>
      <c r="Q49" s="29" t="inlineStr">
        <is>
          <t>Developing</t>
        </is>
      </c>
      <c r="R49" s="29" t="inlineStr">
        <is>
          <t>3 Apply</t>
        </is>
      </c>
      <c r="S49" s="29" t="inlineStr">
        <is>
          <t>2–4 yrs</t>
        </is>
      </c>
      <c r="T49" s="29" t="inlineStr">
        <is>
          <t>3–5 · 2–5</t>
        </is>
      </c>
      <c r="U49" s="29" t="inlineStr">
        <is>
          <t>Senior Analyst / Associate</t>
        </is>
      </c>
      <c r="V49" s="29" t="inlineStr">
        <is>
          <t>DataTracks: Senior Associate · 2–5 yrs · Big Four: Consultant · IRIS Vs Market Benchmark — XBRL US credential pathway: XBRL US GAAP Certificate</t>
        </is>
      </c>
      <c r="W49" s="29" t="inlineStr">
        <is>
          <t>XBRL US GAAP Certificate · AICPA &amp; XBRL US; XBRL International specifications; IFRS / US GAAP / Ind AS</t>
        </is>
      </c>
      <c r="X49" s="29" t="inlineStr">
        <is>
          <t>Core 2 · Future 2 · Functional 3 · Leadership not scored</t>
        </is>
      </c>
      <c r="Y49" s="52" t="n">
        <v>60</v>
      </c>
      <c r="Z49" s="53" t="inlineStr">
        <is>
          <t>IRIS0415</t>
        </is>
      </c>
      <c r="AA49" s="53" t="inlineStr">
        <is>
          <t>Employee</t>
        </is>
      </c>
      <c r="AB49" s="53" t="inlineStr">
        <is>
          <t>Active</t>
        </is>
      </c>
      <c r="AC49" s="53" t="inlineStr">
        <is>
          <t>Amol Keskar</t>
        </is>
      </c>
      <c r="AD49" s="54" t="n">
        <v>40448</v>
      </c>
      <c r="AE49" s="53" t="inlineStr">
        <is>
          <t>Financial Analyst</t>
        </is>
      </c>
      <c r="AF49" s="53" t="inlineStr">
        <is>
          <t>B.Com</t>
        </is>
      </c>
      <c r="AG49" s="53" t="inlineStr">
        <is>
          <t>Vipul Kurhade</t>
        </is>
      </c>
      <c r="AH49" s="53" t="inlineStr">
        <is>
          <t>N-8</t>
        </is>
      </c>
      <c r="AI49" s="53" t="inlineStr">
        <is>
          <t>Individual Contributor</t>
        </is>
      </c>
      <c r="AJ49" s="53" t="inlineStr">
        <is>
          <t>0 years, 0 months, 0 days</t>
        </is>
      </c>
      <c r="AK49" s="53" t="inlineStr">
        <is>
          <t>15 years, 10 months, 29 days</t>
        </is>
      </c>
      <c r="AL49" s="53" t="inlineStr">
        <is>
          <t>Regtech</t>
        </is>
      </c>
      <c r="AM49" s="53" t="inlineStr">
        <is>
          <t>CARBON</t>
        </is>
      </c>
      <c r="AN49" s="53" t="inlineStr">
        <is>
          <t>Services</t>
        </is>
      </c>
      <c r="AO49" s="53" t="inlineStr">
        <is>
          <t>Expert Assisted services</t>
        </is>
      </c>
      <c r="AP49" s="53" t="inlineStr">
        <is>
          <t>No</t>
        </is>
      </c>
      <c r="AQ49" s="53" t="inlineStr">
        <is>
          <t>Professional Services</t>
        </is>
      </c>
      <c r="AR49" s="53" t="inlineStr">
        <is>
          <t>XBRL Domain</t>
        </is>
      </c>
      <c r="AS49" s="53" t="inlineStr">
        <is>
          <t>Non-technical</t>
        </is>
      </c>
      <c r="AT49" s="53" t="n">
        <v>20</v>
      </c>
      <c r="AU49" s="53" t="inlineStr">
        <is>
          <t>Covered</t>
        </is>
      </c>
      <c r="AV49" s="53" t="inlineStr">
        <is>
          <t>IRIS0415</t>
        </is>
      </c>
      <c r="AW49" s="53" t="inlineStr">
        <is>
          <t>Amol Keskar</t>
        </is>
      </c>
      <c r="AX49" s="53" t="inlineStr">
        <is>
          <t>Services</t>
        </is>
      </c>
      <c r="AY49" s="53" t="inlineStr">
        <is>
          <t>Professional Services</t>
        </is>
      </c>
      <c r="AZ49" s="53" t="inlineStr">
        <is>
          <t>XBRL / Regulatory Reporting</t>
        </is>
      </c>
      <c r="BA49" s="53" t="n"/>
      <c r="BB49" s="53" t="n"/>
      <c r="BC49" s="53" t="inlineStr">
        <is>
          <t>Employee</t>
        </is>
      </c>
      <c r="BD49" s="53" t="inlineStr">
        <is>
          <t>Vipul Kurhade</t>
        </is>
      </c>
      <c r="BE49" s="53" t="inlineStr">
        <is>
          <t>Vipul Kurhade</t>
        </is>
      </c>
      <c r="BF49" s="53" t="inlineStr">
        <is>
          <t>No</t>
        </is>
      </c>
      <c r="BG49" s="53" t="inlineStr">
        <is>
          <t>Financial Analyst</t>
        </is>
      </c>
      <c r="BH49" s="53" t="inlineStr">
        <is>
          <t>Services Specialist</t>
        </is>
      </c>
      <c r="BI49" s="53" t="inlineStr">
        <is>
          <t>Yes</t>
        </is>
      </c>
      <c r="BJ49" s="53" t="inlineStr">
        <is>
          <t>—</t>
        </is>
      </c>
      <c r="BK49" s="53" t="inlineStr">
        <is>
          <t>—</t>
        </is>
      </c>
      <c r="BL49" s="53" t="inlineStr">
        <is>
          <t>—</t>
        </is>
      </c>
      <c r="BM49" s="53" t="inlineStr">
        <is>
          <t>Not a manager</t>
        </is>
      </c>
      <c r="BN49" s="53" t="inlineStr">
        <is>
          <t>—</t>
        </is>
      </c>
      <c r="BO49" s="53" t="inlineStr">
        <is>
          <t>—</t>
        </is>
      </c>
      <c r="BP49" s="53" t="inlineStr">
        <is>
          <t>—</t>
        </is>
      </c>
      <c r="BQ49" s="53" t="inlineStr">
        <is>
          <t>Not a manager</t>
        </is>
      </c>
      <c r="BR49" s="53" t="inlineStr">
        <is>
          <t>—</t>
        </is>
      </c>
      <c r="BS49" s="53" t="inlineStr">
        <is>
          <t>L3 – Professional / Associate</t>
        </is>
      </c>
      <c r="BT49" s="53" t="inlineStr">
        <is>
          <t>L2</t>
        </is>
      </c>
      <c r="BU49" s="53" t="inlineStr">
        <is>
          <t>Matched from Title Hierarchy · new designation</t>
        </is>
      </c>
      <c r="BV49"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W49" s="53" t="n"/>
      <c r="BX49" s="53" t="inlineStr">
        <is>
          <t>UK.</t>
        </is>
      </c>
      <c r="BY49" s="53" t="n"/>
      <c r="BZ49" s="53" t="inlineStr">
        <is>
          <t>IRIS0415</t>
        </is>
      </c>
      <c r="CA49" s="53" t="inlineStr">
        <is>
          <t>Employee</t>
        </is>
      </c>
      <c r="CB49" s="53" t="inlineStr">
        <is>
          <t>Active</t>
        </is>
      </c>
      <c r="CC49" s="53" t="inlineStr">
        <is>
          <t>Amol Keskar</t>
        </is>
      </c>
      <c r="CD49" s="54" t="n">
        <v>40448</v>
      </c>
      <c r="CE49" s="53" t="inlineStr">
        <is>
          <t>Financial Analyst</t>
        </is>
      </c>
      <c r="CF49" s="53" t="n"/>
      <c r="CG49" s="53" t="inlineStr">
        <is>
          <t>Professional Services</t>
        </is>
      </c>
      <c r="CH49" s="53" t="inlineStr">
        <is>
          <t>XBRL / Regulatory Reporting</t>
        </is>
      </c>
      <c r="CI49" s="53" t="inlineStr">
        <is>
          <t>Financial Analyst</t>
        </is>
      </c>
      <c r="CJ49" s="53" t="inlineStr">
        <is>
          <t>L3 – Professional / Associate</t>
        </is>
      </c>
      <c r="CK49" s="53" t="inlineStr">
        <is>
          <t>Vipul Kurhade</t>
        </is>
      </c>
      <c r="CL49" s="53" t="inlineStr">
        <is>
          <t>N-8</t>
        </is>
      </c>
      <c r="CM49" s="53" t="inlineStr">
        <is>
          <t>Individual Contributor</t>
        </is>
      </c>
      <c r="CN49" s="53" t="inlineStr">
        <is>
          <t>Regtech</t>
        </is>
      </c>
      <c r="CO49" s="53" t="inlineStr">
        <is>
          <t>Services</t>
        </is>
      </c>
      <c r="CP49" s="53" t="inlineStr">
        <is>
          <t>15 years, 8 months, 24 days</t>
        </is>
      </c>
      <c r="CQ49" s="53" t="inlineStr">
        <is>
          <t>Services Specialist</t>
        </is>
      </c>
      <c r="CR49" s="53" t="n"/>
      <c r="CS49" s="53" t="n">
        <v>3</v>
      </c>
      <c r="CT49" s="53" t="inlineStr">
        <is>
          <t>Medium</t>
        </is>
      </c>
      <c r="CU49" s="53" t="inlineStr">
        <is>
          <t>Core Contributor</t>
        </is>
      </c>
      <c r="CV49" s="53" t="inlineStr">
        <is>
          <t>No</t>
        </is>
      </c>
      <c r="CW49" s="53" t="inlineStr">
        <is>
          <t>No</t>
        </is>
      </c>
      <c r="CX49" s="53" t="inlineStr">
        <is>
          <t>Yes</t>
        </is>
      </c>
      <c r="CY49" s="53" t="n"/>
      <c r="CZ49" s="53" t="n"/>
      <c r="DA49" s="53" t="n"/>
      <c r="DB49" s="53" t="inlineStr">
        <is>
          <t>Title to be standardized to : Services Specialist</t>
        </is>
      </c>
      <c r="DC49" s="53" t="n"/>
      <c r="DD49" s="53" t="n"/>
      <c r="DE49" s="53" t="n"/>
      <c r="DF49" s="53" t="n"/>
      <c r="DG49" s="53" t="n"/>
      <c r="DH49" s="53" t="n"/>
      <c r="DI49" s="53" t="n"/>
      <c r="DJ49" s="53" t="n"/>
      <c r="DK49" s="53" t="n"/>
      <c r="DL49" s="53" t="n"/>
      <c r="DM49" s="53" t="n"/>
      <c r="DN49" s="53" t="n"/>
      <c r="DO49" s="53" t="n"/>
      <c r="DP49" s="53" t="n"/>
      <c r="DQ49" s="53" t="n"/>
      <c r="DR49" s="53" t="n"/>
      <c r="DS49" s="53" t="n"/>
      <c r="DT49" s="53" t="n"/>
      <c r="DU49" s="53" t="n"/>
      <c r="DV49" s="53" t="n"/>
      <c r="DW49" s="53" t="n"/>
      <c r="DX49" s="53" t="n"/>
      <c r="DY49" s="53" t="n"/>
      <c r="DZ49" s="53" t="n"/>
      <c r="EA49" s="53" t="n"/>
      <c r="EB49" s="53" t="n"/>
      <c r="EC49" s="53" t="n"/>
      <c r="ED49" s="53" t="n"/>
      <c r="EE49" s="53" t="n"/>
      <c r="EF49" s="53" t="n"/>
      <c r="EG49" s="53" t="n"/>
      <c r="EH49" s="53" t="n"/>
      <c r="EI49" s="53" t="n"/>
      <c r="EJ49" s="53" t="n"/>
      <c r="EK49" s="53" t="n"/>
      <c r="EL49" s="53" t="n"/>
      <c r="EM49" s="53" t="n"/>
      <c r="EN49" s="53" t="n"/>
      <c r="EO49" s="53" t="n"/>
      <c r="EP49" s="53" t="n"/>
      <c r="EQ49" s="53" t="n"/>
      <c r="ER49" s="53" t="n"/>
      <c r="ES49" s="53" t="n"/>
      <c r="ET49" s="53" t="n"/>
      <c r="EU49" s="53" t="n"/>
      <c r="EV49" s="53" t="n"/>
      <c r="EW49" s="52" t="n"/>
      <c r="EX49" s="53" t="inlineStr">
        <is>
          <t>• Role / sub-team: Services — Financial Analyst.
• Core purpose: I am doing tagging of UK files.
• Decision-making autonomy: Can independently creating project for html.
• Is this something only they do: Same work as everyone.
• What's different about this role: We use carbon tool to tag the data and create xhtml files which are to be deliver to customers.</t>
        </is>
      </c>
      <c r="EY49" s="53" t="inlineStr">
        <is>
          <t>• Key responsibilities include: Give tags from taxonomy; tags financial statements; tags footnotes.
• Personally accountable for: Tagging data from xbrl taxonomy; Creating project of html files,.
• Impact if missed or done wrong: Quality issue occurs in the files.
• How measured: Same as everyone.</t>
        </is>
      </c>
      <c r="EZ49" s="53" t="inlineStr">
        <is>
          <t>• Current capabilities: Using xbrl taxonomies.
• Tools / software used: Carbon Tool.
• Workload: Rated a moderate load · 3/5 in a typical week.
• Judgment/way of working: Same as everyone else.</t>
        </is>
      </c>
      <c r="FA49" s="53" t="inlineStr">
        <is>
          <t>• Development priorities: Knowledge of different xbrl taxonomies which are used for tagging.
• Learning and Development Need: Training of xbrl taxonomy. Same as everyone else; NA.
• Role evolving toward: Different tools.</t>
        </is>
      </c>
      <c r="FB49" s="53" t="inlineStr">
        <is>
          <t>• Key challenges: NA.
• Support required: It is perfect.</t>
        </is>
      </c>
      <c r="FC49" s="53" t="n"/>
      <c r="FD49" s="53" t="n"/>
      <c r="FE49"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FF49" s="56" t="n"/>
      <c r="FG49" s="56" t="n"/>
      <c r="FH49" s="56" t="n"/>
      <c r="FI49" s="56" t="n"/>
      <c r="FJ49" s="56" t="inlineStr">
        <is>
          <t>Received · manager annual</t>
        </is>
      </c>
      <c r="FK49" s="56" t="inlineStr">
        <is>
          <t>CARBON Mapping Master</t>
        </is>
      </c>
      <c r="FL49" s="56" t="n">
        <v>19</v>
      </c>
      <c r="FM49" s="56" t="inlineStr">
        <is>
          <t>• Role / sub-team: Services — Financial Analyst.
• Core purpose: I am doing tagging of UK files.
• Decision-making autonomy: Can independently creating project for html.
• Is this something only they do: Same work as everyone.
• What's different about this role: We use carbon tool to tag the data and create xhtml files which are to be deliver to customers.</t>
        </is>
      </c>
      <c r="FN49" s="56" t="inlineStr">
        <is>
          <t>• Key responsibilities include: Give tags from taxonomy; tags financial statements; tags footnotes.
• Personally accountable for: Tagging data from xbrl taxonomy; Creating project of html files,.
• Impact if missed or done wrong: Quality issue occurs in the files.
• How measured: Same as everyone.</t>
        </is>
      </c>
      <c r="FO49" s="56" t="inlineStr">
        <is>
          <t>• Current capabilities: Using xbrl taxonomies.
• Tools / software used: Carbon Tool.
• Workload: Rated a moderate load · 3/5 in a typical week.
• Judgment/way of working: Same as everyone else.</t>
        </is>
      </c>
      <c r="FP49" s="56" t="inlineStr">
        <is>
          <t>• Development priorities: Knowledge of different xbrl taxonomies which are used for tagging.
• Learning and Development Need: Training of xbrl taxonomy. Same as everyone else; NA.
• Role evolving toward: Different tools.</t>
        </is>
      </c>
      <c r="FQ49" s="56" t="inlineStr">
        <is>
          <t>• Key challenges: NA.
• Support required: It is perfect.</t>
        </is>
      </c>
      <c r="FR49" s="56" t="inlineStr">
        <is>
          <t>Complexity: Evidence reads like A2: Tags UK financial statements and footnotes from the taxonomy in Carbon → matches the start
Autonomy: Evidence reads like A2: Only decision named is creating the HTML project → matches the start
Accountability: Evidence reads like A2: Own tagging and project creation; errors cause quality issues in files → matches the start
Leadership: Evidence reads like A1: No guidance of others described; 'same work as everyone' → matches the start
Business Impact: Moved +0.5: the survey / manager mapping marks it business-critical.</t>
        </is>
      </c>
      <c r="FS49" s="56"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FT49" s="56" t="inlineStr">
        <is>
          <t>Self-identified: Domain, regulatory &amp; XBRL
For the next role: Domain, regulatory &amp; XBRL</t>
        </is>
      </c>
      <c r="FU49" s="56" t="inlineStr">
        <is>
          <t>Per-person summary · CARBON Mapping Master</t>
        </is>
      </c>
    </row>
    <row r="50" ht="90" customHeight="1">
      <c r="A50" s="51" t="inlineStr">
        <is>
          <t>◂ Back</t>
        </is>
      </c>
      <c r="B50" s="29" t="inlineStr">
        <is>
          <t>Mapped</t>
        </is>
      </c>
      <c r="C50" s="28" t="inlineStr">
        <is>
          <t>CARBON</t>
        </is>
      </c>
      <c r="D50" s="29" t="inlineStr">
        <is>
          <t>IRIS0566</t>
        </is>
      </c>
      <c r="E50" s="29" t="inlineStr">
        <is>
          <t>Dipak Warkhade</t>
        </is>
      </c>
      <c r="F50" s="29" t="inlineStr">
        <is>
          <t>Services</t>
        </is>
      </c>
      <c r="G50" s="29" t="inlineStr">
        <is>
          <t>Financial Analyst</t>
        </is>
      </c>
      <c r="H50" s="29" t="inlineStr">
        <is>
          <t>Senior Financial Analyst</t>
        </is>
      </c>
      <c r="I50" s="29" t="inlineStr">
        <is>
          <t>L3 – Professional / Associate</t>
        </is>
      </c>
      <c r="J50" s="29" t="inlineStr">
        <is>
          <t>A3</t>
        </is>
      </c>
      <c r="K50" s="29" t="inlineStr">
        <is>
          <t>▲ Up</t>
        </is>
      </c>
      <c r="L50" s="29" t="inlineStr">
        <is>
          <t>Consulting &amp; Professional Services</t>
        </is>
      </c>
      <c r="M50" s="29" t="inlineStr">
        <is>
          <t>XBRL Tagging, Conversion &amp; Filing</t>
        </is>
      </c>
      <c r="N50" s="29" t="n"/>
      <c r="O50" s="29" t="n">
        <v>20</v>
      </c>
      <c r="P50" s="28" t="inlineStr">
        <is>
          <t>P2</t>
        </is>
      </c>
      <c r="Q50" s="29" t="inlineStr">
        <is>
          <t>Developing</t>
        </is>
      </c>
      <c r="R50" s="29" t="inlineStr">
        <is>
          <t>3 Apply</t>
        </is>
      </c>
      <c r="S50" s="29" t="inlineStr">
        <is>
          <t>2–4 yrs</t>
        </is>
      </c>
      <c r="T50" s="29" t="inlineStr">
        <is>
          <t>3–5 · 2–5</t>
        </is>
      </c>
      <c r="U50" s="29" t="inlineStr">
        <is>
          <t>Senior Analyst / Associate</t>
        </is>
      </c>
      <c r="V50" s="29" t="inlineStr">
        <is>
          <t>DataTracks: Senior Associate · 2–5 yrs · Big Four: Consultant · IRIS Vs Market Benchmark — XBRL US credential pathway: XBRL US GAAP Certificate</t>
        </is>
      </c>
      <c r="W50" s="29" t="inlineStr">
        <is>
          <t>XBRL US GAAP Certificate · AICPA &amp; XBRL US; XBRL International specifications; IFRS / US GAAP / Ind AS</t>
        </is>
      </c>
      <c r="X50" s="29" t="inlineStr">
        <is>
          <t>Core 2 · Future 2 · Functional 3 · Leadership not scored</t>
        </is>
      </c>
      <c r="Y50" s="52" t="n">
        <v>75</v>
      </c>
      <c r="Z50" s="53" t="inlineStr">
        <is>
          <t>IRIS0566</t>
        </is>
      </c>
      <c r="AA50" s="53" t="inlineStr">
        <is>
          <t>Employee</t>
        </is>
      </c>
      <c r="AB50" s="53" t="inlineStr">
        <is>
          <t>Active</t>
        </is>
      </c>
      <c r="AC50" s="53" t="inlineStr">
        <is>
          <t>Dipak Warkhade</t>
        </is>
      </c>
      <c r="AD50" s="54" t="n">
        <v>40630</v>
      </c>
      <c r="AE50" s="53" t="inlineStr">
        <is>
          <t>Financial Analyst</t>
        </is>
      </c>
      <c r="AF50" s="53" t="inlineStr">
        <is>
          <t>B.Com</t>
        </is>
      </c>
      <c r="AG50" s="53" t="inlineStr">
        <is>
          <t>Vipul Kurhade</t>
        </is>
      </c>
      <c r="AH50" s="53" t="inlineStr">
        <is>
          <t>N-8</t>
        </is>
      </c>
      <c r="AI50" s="53" t="inlineStr">
        <is>
          <t>Individual Contributor</t>
        </is>
      </c>
      <c r="AJ50" s="53" t="inlineStr">
        <is>
          <t>0 years, 0 months, 0 days</t>
        </is>
      </c>
      <c r="AK50" s="53" t="inlineStr">
        <is>
          <t>15 years, 4 months, 28 days</t>
        </is>
      </c>
      <c r="AL50" s="53" t="inlineStr">
        <is>
          <t>Regtech</t>
        </is>
      </c>
      <c r="AM50" s="53" t="inlineStr">
        <is>
          <t>CARBON</t>
        </is>
      </c>
      <c r="AN50" s="53" t="inlineStr">
        <is>
          <t>Services</t>
        </is>
      </c>
      <c r="AO50" s="53" t="inlineStr">
        <is>
          <t>Expert Assisted services</t>
        </is>
      </c>
      <c r="AP50" s="53" t="inlineStr">
        <is>
          <t>No</t>
        </is>
      </c>
      <c r="AQ50" s="53" t="inlineStr">
        <is>
          <t>Professional Services</t>
        </is>
      </c>
      <c r="AR50" s="53" t="inlineStr">
        <is>
          <t>XBRL Domain</t>
        </is>
      </c>
      <c r="AS50" s="53" t="inlineStr">
        <is>
          <t>Non-technical</t>
        </is>
      </c>
      <c r="AT50" s="53" t="n">
        <v>20</v>
      </c>
      <c r="AU50" s="53" t="inlineStr">
        <is>
          <t>Covered</t>
        </is>
      </c>
      <c r="AV50" s="53" t="inlineStr">
        <is>
          <t>IRIS0566</t>
        </is>
      </c>
      <c r="AW50" s="53" t="inlineStr">
        <is>
          <t>Dipak Warkhade</t>
        </is>
      </c>
      <c r="AX50" s="53" t="inlineStr">
        <is>
          <t>Services</t>
        </is>
      </c>
      <c r="AY50" s="53" t="inlineStr">
        <is>
          <t>Professional Services</t>
        </is>
      </c>
      <c r="AZ50" s="53" t="inlineStr">
        <is>
          <t>XBRL / Regulatory Reporting</t>
        </is>
      </c>
      <c r="BA50" s="53" t="n"/>
      <c r="BB50" s="53" t="n"/>
      <c r="BC50" s="53" t="inlineStr">
        <is>
          <t>Employee</t>
        </is>
      </c>
      <c r="BD50" s="53" t="inlineStr">
        <is>
          <t>Vipul Kurhade</t>
        </is>
      </c>
      <c r="BE50" s="53" t="inlineStr">
        <is>
          <t>Vipul Kurhade</t>
        </is>
      </c>
      <c r="BF50" s="53" t="inlineStr">
        <is>
          <t>No</t>
        </is>
      </c>
      <c r="BG50" s="53" t="inlineStr">
        <is>
          <t>Financial Analyst</t>
        </is>
      </c>
      <c r="BH50" s="53" t="inlineStr">
        <is>
          <t>Services Specialist</t>
        </is>
      </c>
      <c r="BI50" s="53" t="inlineStr">
        <is>
          <t>Yes</t>
        </is>
      </c>
      <c r="BJ50" s="53" t="inlineStr">
        <is>
          <t>—</t>
        </is>
      </c>
      <c r="BK50" s="53" t="inlineStr">
        <is>
          <t>—</t>
        </is>
      </c>
      <c r="BL50" s="53" t="inlineStr">
        <is>
          <t>—</t>
        </is>
      </c>
      <c r="BM50" s="53" t="inlineStr">
        <is>
          <t>Not a manager</t>
        </is>
      </c>
      <c r="BN50" s="53" t="inlineStr">
        <is>
          <t>—</t>
        </is>
      </c>
      <c r="BO50" s="53" t="inlineStr">
        <is>
          <t>—</t>
        </is>
      </c>
      <c r="BP50" s="53" t="inlineStr">
        <is>
          <t>—</t>
        </is>
      </c>
      <c r="BQ50" s="53" t="inlineStr">
        <is>
          <t>Not a manager</t>
        </is>
      </c>
      <c r="BR50" s="53" t="inlineStr">
        <is>
          <t>—</t>
        </is>
      </c>
      <c r="BS50" s="53" t="inlineStr">
        <is>
          <t>L3 – Professional / Associate</t>
        </is>
      </c>
      <c r="BT50" s="53" t="inlineStr">
        <is>
          <t>L2</t>
        </is>
      </c>
      <c r="BU50" s="53" t="inlineStr">
        <is>
          <t>Matched from Title Hierarchy · new designation</t>
        </is>
      </c>
      <c r="BV50"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W50" s="53" t="n"/>
      <c r="BX50" s="53" t="inlineStr">
        <is>
          <t>Nigeria - CBN; Europe - ESEF; South Africa - CIPC; UK - HMRC.</t>
        </is>
      </c>
      <c r="BY50" s="53" t="n"/>
      <c r="BZ50" s="53" t="inlineStr">
        <is>
          <t>IRIS0566</t>
        </is>
      </c>
      <c r="CA50" s="53" t="inlineStr">
        <is>
          <t>Employee</t>
        </is>
      </c>
      <c r="CB50" s="53" t="inlineStr">
        <is>
          <t>Active</t>
        </is>
      </c>
      <c r="CC50" s="53" t="inlineStr">
        <is>
          <t>Dipak Warkhade</t>
        </is>
      </c>
      <c r="CD50" s="54" t="n">
        <v>40630</v>
      </c>
      <c r="CE50" s="53" t="inlineStr">
        <is>
          <t>Financial Analyst</t>
        </is>
      </c>
      <c r="CF50" s="53" t="n"/>
      <c r="CG50" s="53" t="inlineStr">
        <is>
          <t>Professional Services</t>
        </is>
      </c>
      <c r="CH50" s="53" t="inlineStr">
        <is>
          <t>XBRL / Regulatory Reporting</t>
        </is>
      </c>
      <c r="CI50" s="53" t="inlineStr">
        <is>
          <t>Financial Analyst</t>
        </is>
      </c>
      <c r="CJ50" s="53" t="inlineStr">
        <is>
          <t>L3 – Professional / Associate</t>
        </is>
      </c>
      <c r="CK50" s="53" t="inlineStr">
        <is>
          <t>Vipul Kurhade</t>
        </is>
      </c>
      <c r="CL50" s="53" t="inlineStr">
        <is>
          <t>N-8</t>
        </is>
      </c>
      <c r="CM50" s="53" t="inlineStr">
        <is>
          <t>Individual Contributor</t>
        </is>
      </c>
      <c r="CN50" s="53" t="inlineStr">
        <is>
          <t>Regtech</t>
        </is>
      </c>
      <c r="CO50" s="53" t="inlineStr">
        <is>
          <t>Services</t>
        </is>
      </c>
      <c r="CP50" s="53" t="inlineStr">
        <is>
          <t>15 years, 2 months, 23 days</t>
        </is>
      </c>
      <c r="CQ50" s="53" t="inlineStr">
        <is>
          <t>Services Specialist</t>
        </is>
      </c>
      <c r="CR50" s="53" t="n"/>
      <c r="CS50" s="53" t="n">
        <v>3</v>
      </c>
      <c r="CT50" s="53" t="inlineStr">
        <is>
          <t>Medium</t>
        </is>
      </c>
      <c r="CU50" s="53" t="inlineStr">
        <is>
          <t>Core Contributor</t>
        </is>
      </c>
      <c r="CV50" s="53" t="inlineStr">
        <is>
          <t>No</t>
        </is>
      </c>
      <c r="CW50" s="53" t="inlineStr">
        <is>
          <t>No</t>
        </is>
      </c>
      <c r="CX50" s="53" t="inlineStr">
        <is>
          <t>Yes</t>
        </is>
      </c>
      <c r="CY50" s="53" t="n"/>
      <c r="CZ50" s="53" t="n"/>
      <c r="DA50" s="53" t="n"/>
      <c r="DB50" s="53" t="inlineStr">
        <is>
          <t>Title to be standardized to : Services Specialist</t>
        </is>
      </c>
      <c r="DC50" s="53" t="n"/>
      <c r="DD50" s="53" t="n"/>
      <c r="DE50" s="53" t="n"/>
      <c r="DF50" s="53" t="n"/>
      <c r="DG50" s="53" t="n"/>
      <c r="DH50" s="53" t="n"/>
      <c r="DI50" s="53" t="n"/>
      <c r="DJ50" s="53" t="n"/>
      <c r="DK50" s="53" t="n"/>
      <c r="DL50" s="53" t="n"/>
      <c r="DM50" s="53" t="n"/>
      <c r="DN50" s="53" t="n"/>
      <c r="DO50" s="53" t="n"/>
      <c r="DP50" s="53" t="n"/>
      <c r="DQ50" s="53" t="n"/>
      <c r="DR50" s="53" t="n"/>
      <c r="DS50" s="53" t="n"/>
      <c r="DT50" s="53" t="n"/>
      <c r="DU50" s="53" t="n"/>
      <c r="DV50" s="53" t="n"/>
      <c r="DW50" s="53" t="n"/>
      <c r="DX50" s="53" t="n"/>
      <c r="DY50" s="53" t="n"/>
      <c r="DZ50" s="53" t="n"/>
      <c r="EA50" s="53" t="n"/>
      <c r="EB50" s="53" t="n"/>
      <c r="EC50" s="53" t="n"/>
      <c r="ED50" s="53" t="n"/>
      <c r="EE50" s="53" t="n"/>
      <c r="EF50" s="53" t="n"/>
      <c r="EG50" s="53" t="n"/>
      <c r="EH50" s="53" t="n"/>
      <c r="EI50" s="53" t="n"/>
      <c r="EJ50" s="53" t="n"/>
      <c r="EK50" s="53" t="n"/>
      <c r="EL50" s="53" t="n"/>
      <c r="EM50" s="53" t="n"/>
      <c r="EN50" s="53" t="n"/>
      <c r="EO50" s="53" t="n"/>
      <c r="EP50" s="53" t="n"/>
      <c r="EQ50" s="53" t="n"/>
      <c r="ER50" s="53" t="n"/>
      <c r="ES50" s="53" t="n"/>
      <c r="ET50" s="53" t="n"/>
      <c r="EU50" s="53" t="n"/>
      <c r="EV50" s="53" t="n"/>
      <c r="EW50" s="52" t="n"/>
      <c r="EX50" s="53" t="inlineStr">
        <is>
          <t>• Role / sub-team: ESMA and CIPC.</t>
        </is>
      </c>
      <c r="EY50" s="53" t="inlineStr">
        <is>
          <t>• Key responsibilities include: Formatting, tagging, validation Qc: review, rendering.
• Reported deliverables and outcomes include: After tagging: Qc team Final files: PMO.</t>
        </is>
      </c>
      <c r="EZ50" s="53" t="inlineStr">
        <is>
          <t>• Current capabilities: Tagging speed.</t>
        </is>
      </c>
      <c r="FA50" s="53" t="inlineStr">
        <is>
          <t>• Development priorities: No input received.
• Learning and Development Need: Doubts solving sessions.</t>
        </is>
      </c>
      <c r="FB50" s="53" t="inlineStr">
        <is>
          <t>• Key challenges: No input received.
• Support required: No input received.</t>
        </is>
      </c>
      <c r="FC50" s="53" t="n"/>
      <c r="FD50" s="53" t="n"/>
      <c r="FE50"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FF50" s="56" t="n"/>
      <c r="FG50" s="56" t="n"/>
      <c r="FH50" s="56" t="n"/>
      <c r="FI50" s="56" t="n"/>
      <c r="FJ50" s="56" t="inlineStr">
        <is>
          <t>Received · manager annual</t>
        </is>
      </c>
      <c r="FK50" s="56" t="inlineStr">
        <is>
          <t>CARBON Mapping Master</t>
        </is>
      </c>
      <c r="FL50" s="56" t="n">
        <v>20</v>
      </c>
      <c r="FM50" s="56" t="inlineStr">
        <is>
          <t>• Role / sub-team: ESMA and CIPC.</t>
        </is>
      </c>
      <c r="FN50" s="56" t="inlineStr">
        <is>
          <t>• Key responsibilities include: Formatting, tagging, validation Qc: review, rendering.
• Reported deliverables and outcomes include: After tagging: Qc team Final files: PMO.</t>
        </is>
      </c>
      <c r="FO50" s="56" t="inlineStr">
        <is>
          <t>• Current capabilities: Tagging speed.</t>
        </is>
      </c>
      <c r="FP50" s="56" t="inlineStr">
        <is>
          <t>• Development priorities: No input received.
• Learning and Development Need: Doubts solving sessions.</t>
        </is>
      </c>
      <c r="FQ50" s="56" t="inlineStr">
        <is>
          <t>• Key challenges: No input received.
• Support required: No input received.</t>
        </is>
      </c>
      <c r="FR50" s="56" t="inlineStr">
        <is>
          <t>Complexity: Evidence reads like A2: Formats, tags, reviews and validates files for ESMA, CIPC and HMRC to a set process → matches the start
Autonomy: Evidence reads like A2: Decides tagging, review and validation on own files; output goes to QC team → matches the start
Accountability: Evidence reads like A2: Own mapping, tagging and validation; errors return as client amendments → matches the start
Leadership: Evidence reads like A1: No guidance or leadership of others described → matches the start
Business Impact: Moved +0.5: the survey / manager mapping marks it business-critical.</t>
        </is>
      </c>
      <c r="FS50" s="56"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FT50" s="56" t="inlineStr">
        <is>
          <t>Self-identified: Domain, regulatory &amp; XBRL
For the next role: Domain, regulatory &amp; XBRL</t>
        </is>
      </c>
      <c r="FU50" s="56" t="inlineStr">
        <is>
          <t>Per-person summary · CARBON Mapping Master</t>
        </is>
      </c>
    </row>
    <row r="51" ht="90" customHeight="1">
      <c r="A51" s="51" t="inlineStr">
        <is>
          <t>◂ Back</t>
        </is>
      </c>
      <c r="B51" s="29" t="inlineStr">
        <is>
          <t>Mapped</t>
        </is>
      </c>
      <c r="C51" s="28" t="inlineStr">
        <is>
          <t>CARBON</t>
        </is>
      </c>
      <c r="D51" s="29" t="inlineStr">
        <is>
          <t>IRIS1607</t>
        </is>
      </c>
      <c r="E51" s="29" t="inlineStr">
        <is>
          <t>Payal Gala</t>
        </is>
      </c>
      <c r="F51" s="29" t="inlineStr">
        <is>
          <t>Services</t>
        </is>
      </c>
      <c r="G51" s="29" t="inlineStr">
        <is>
          <t>Senior Financial Analyst</t>
        </is>
      </c>
      <c r="H51" s="29" t="inlineStr">
        <is>
          <t>Senior Financial Analyst</t>
        </is>
      </c>
      <c r="I51" s="29" t="inlineStr">
        <is>
          <t>L4 – Senior</t>
        </is>
      </c>
      <c r="J51" s="29" t="inlineStr">
        <is>
          <t>A3</t>
        </is>
      </c>
      <c r="K51" s="29" t="inlineStr">
        <is>
          <t>• Same level</t>
        </is>
      </c>
      <c r="L51" s="29" t="inlineStr">
        <is>
          <t>Consulting &amp; Professional Services</t>
        </is>
      </c>
      <c r="M51" s="29" t="inlineStr">
        <is>
          <t>XBRL Tagging, Conversion &amp; Filing</t>
        </is>
      </c>
      <c r="N51" s="29" t="n"/>
      <c r="O51" s="29" t="n">
        <v>20</v>
      </c>
      <c r="P51" s="28" t="inlineStr">
        <is>
          <t>P2</t>
        </is>
      </c>
      <c r="Q51" s="29" t="inlineStr">
        <is>
          <t>Developing</t>
        </is>
      </c>
      <c r="R51" s="29" t="inlineStr">
        <is>
          <t>3 Apply</t>
        </is>
      </c>
      <c r="S51" s="29" t="inlineStr">
        <is>
          <t>2–4 yrs</t>
        </is>
      </c>
      <c r="T51" s="29" t="inlineStr">
        <is>
          <t>3–5 · 2–5</t>
        </is>
      </c>
      <c r="U51" s="29" t="inlineStr">
        <is>
          <t>Senior Analyst / Associate</t>
        </is>
      </c>
      <c r="V51" s="29" t="inlineStr">
        <is>
          <t>DataTracks: Senior Associate · 2–5 yrs · Big Four: Consultant · IRIS Vs Market Benchmark — XBRL US credential pathway: XBRL US GAAP Certificate</t>
        </is>
      </c>
      <c r="W51" s="29" t="inlineStr">
        <is>
          <t>XBRL US GAAP Certificate · AICPA &amp; XBRL US; XBRL International specifications; IFRS / US GAAP / Ind AS</t>
        </is>
      </c>
      <c r="X51" s="29" t="inlineStr">
        <is>
          <t>Core 2 · Future 2 · Functional 3 · Leadership not scored</t>
        </is>
      </c>
      <c r="Y51" s="52" t="n">
        <v>131</v>
      </c>
      <c r="Z51" s="53" t="inlineStr">
        <is>
          <t>IRIS1607</t>
        </is>
      </c>
      <c r="AA51" s="53" t="inlineStr">
        <is>
          <t>Employee</t>
        </is>
      </c>
      <c r="AB51" s="53" t="inlineStr">
        <is>
          <t>Active</t>
        </is>
      </c>
      <c r="AC51" s="53" t="inlineStr">
        <is>
          <t>Payal Gala</t>
        </is>
      </c>
      <c r="AD51" s="54" t="n">
        <v>42697</v>
      </c>
      <c r="AE51" s="53" t="inlineStr">
        <is>
          <t>Senior Financial Analyst</t>
        </is>
      </c>
      <c r="AF51" s="53" t="inlineStr">
        <is>
          <t>B.Com</t>
        </is>
      </c>
      <c r="AG51" s="53" t="inlineStr">
        <is>
          <t>Vipul Kurhade</t>
        </is>
      </c>
      <c r="AH51" s="53" t="inlineStr">
        <is>
          <t>N-8</t>
        </is>
      </c>
      <c r="AI51" s="53" t="inlineStr">
        <is>
          <t>Individual Contributor</t>
        </is>
      </c>
      <c r="AJ51" s="53" t="inlineStr">
        <is>
          <t>6 years, 0 months, 0 days</t>
        </is>
      </c>
      <c r="AK51" s="53" t="inlineStr">
        <is>
          <t>9 years, 9 months, 2 days</t>
        </is>
      </c>
      <c r="AL51" s="53" t="inlineStr">
        <is>
          <t>Regtech</t>
        </is>
      </c>
      <c r="AM51" s="53" t="inlineStr">
        <is>
          <t>CARBON</t>
        </is>
      </c>
      <c r="AN51" s="53" t="inlineStr">
        <is>
          <t>Services</t>
        </is>
      </c>
      <c r="AO51" s="53" t="inlineStr">
        <is>
          <t>Expert Assisted services</t>
        </is>
      </c>
      <c r="AP51" s="53" t="inlineStr">
        <is>
          <t>No</t>
        </is>
      </c>
      <c r="AQ51" s="53" t="inlineStr">
        <is>
          <t>Professional Services</t>
        </is>
      </c>
      <c r="AR51" s="53" t="inlineStr">
        <is>
          <t>XBRL Domain</t>
        </is>
      </c>
      <c r="AS51" s="53" t="inlineStr">
        <is>
          <t>Non-technical</t>
        </is>
      </c>
      <c r="AT51" s="53" t="n">
        <v>20</v>
      </c>
      <c r="AU51" s="53" t="inlineStr">
        <is>
          <t>Covered</t>
        </is>
      </c>
      <c r="AV51" s="53" t="inlineStr">
        <is>
          <t>IRIS1607</t>
        </is>
      </c>
      <c r="AW51" s="53" t="inlineStr">
        <is>
          <t>Payal Gala</t>
        </is>
      </c>
      <c r="AX51" s="53" t="inlineStr">
        <is>
          <t>Services</t>
        </is>
      </c>
      <c r="AY51" s="53" t="inlineStr">
        <is>
          <t>Professional Services</t>
        </is>
      </c>
      <c r="AZ51" s="53" t="inlineStr">
        <is>
          <t>XBRL / Regulatory Reporting</t>
        </is>
      </c>
      <c r="BA51" s="53" t="n"/>
      <c r="BB51" s="53" t="n"/>
      <c r="BC51" s="53" t="inlineStr">
        <is>
          <t>Employee</t>
        </is>
      </c>
      <c r="BD51" s="53" t="inlineStr">
        <is>
          <t>Vipul Kurhade</t>
        </is>
      </c>
      <c r="BE51" s="53" t="inlineStr">
        <is>
          <t>Vipul Kurhade</t>
        </is>
      </c>
      <c r="BF51" s="53" t="inlineStr">
        <is>
          <t>No</t>
        </is>
      </c>
      <c r="BG51" s="53" t="inlineStr">
        <is>
          <t>Senior Financial Analyst</t>
        </is>
      </c>
      <c r="BH51" s="53" t="inlineStr">
        <is>
          <t>Senior Services Specialist</t>
        </is>
      </c>
      <c r="BI51" s="53" t="inlineStr">
        <is>
          <t>Yes</t>
        </is>
      </c>
      <c r="BJ51" s="53" t="inlineStr">
        <is>
          <t>—</t>
        </is>
      </c>
      <c r="BK51" s="53" t="inlineStr">
        <is>
          <t>—</t>
        </is>
      </c>
      <c r="BL51" s="53" t="inlineStr">
        <is>
          <t>—</t>
        </is>
      </c>
      <c r="BM51" s="53" t="inlineStr">
        <is>
          <t>Not a manager</t>
        </is>
      </c>
      <c r="BN51" s="53" t="inlineStr">
        <is>
          <t>—</t>
        </is>
      </c>
      <c r="BO51" s="53" t="inlineStr">
        <is>
          <t>—</t>
        </is>
      </c>
      <c r="BP51" s="53" t="inlineStr">
        <is>
          <t>—</t>
        </is>
      </c>
      <c r="BQ51" s="53" t="inlineStr">
        <is>
          <t>Not a manager</t>
        </is>
      </c>
      <c r="BR51" s="53" t="inlineStr">
        <is>
          <t>—</t>
        </is>
      </c>
      <c r="BS51" s="53" t="inlineStr">
        <is>
          <t>L4 – Senior</t>
        </is>
      </c>
      <c r="BT51" s="53" t="inlineStr">
        <is>
          <t>L4 – Senior</t>
        </is>
      </c>
      <c r="BU51" s="53" t="inlineStr">
        <is>
          <t>Designation refined from Raw tab Comments column · this update</t>
        </is>
      </c>
      <c r="BV51"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W51" s="53" t="n"/>
      <c r="BX51" s="53" t="inlineStr">
        <is>
          <t>No input received.</t>
        </is>
      </c>
      <c r="BY51" s="53" t="n"/>
      <c r="BZ51" s="53" t="inlineStr">
        <is>
          <t>IRIS1607</t>
        </is>
      </c>
      <c r="CA51" s="53" t="inlineStr">
        <is>
          <t>Employee</t>
        </is>
      </c>
      <c r="CB51" s="53" t="inlineStr">
        <is>
          <t>Active</t>
        </is>
      </c>
      <c r="CC51" s="53" t="inlineStr">
        <is>
          <t>Payal Gala</t>
        </is>
      </c>
      <c r="CD51" s="54" t="n">
        <v>42697</v>
      </c>
      <c r="CE51" s="53" t="inlineStr">
        <is>
          <t>Senior Financial Analyst</t>
        </is>
      </c>
      <c r="CF51" s="53" t="n"/>
      <c r="CG51" s="53" t="inlineStr">
        <is>
          <t>Professional Services</t>
        </is>
      </c>
      <c r="CH51" s="53" t="inlineStr">
        <is>
          <t>XBRL / Regulatory Reporting</t>
        </is>
      </c>
      <c r="CI51" s="53" t="inlineStr">
        <is>
          <t>Senior Financial Analyst</t>
        </is>
      </c>
      <c r="CJ51" s="53" t="inlineStr">
        <is>
          <t>L4 – Senior</t>
        </is>
      </c>
      <c r="CK51" s="53" t="inlineStr">
        <is>
          <t>Vipul Kurhade</t>
        </is>
      </c>
      <c r="CL51" s="53" t="inlineStr">
        <is>
          <t>N-8</t>
        </is>
      </c>
      <c r="CM51" s="53" t="inlineStr">
        <is>
          <t>Individual Contributor</t>
        </is>
      </c>
      <c r="CN51" s="53" t="inlineStr">
        <is>
          <t>Regtech</t>
        </is>
      </c>
      <c r="CO51" s="53" t="inlineStr">
        <is>
          <t>Services</t>
        </is>
      </c>
      <c r="CP51" s="53" t="inlineStr">
        <is>
          <t>15 years, 6 months, 28 days</t>
        </is>
      </c>
      <c r="CQ51" s="53" t="inlineStr">
        <is>
          <t>Senior Services Specialst</t>
        </is>
      </c>
      <c r="CR51" s="53" t="n"/>
      <c r="CS51" s="53" t="n">
        <v>3</v>
      </c>
      <c r="CT51" s="53" t="inlineStr">
        <is>
          <t>Medium</t>
        </is>
      </c>
      <c r="CU51" s="53" t="inlineStr">
        <is>
          <t>Core Contributor</t>
        </is>
      </c>
      <c r="CV51" s="53" t="inlineStr">
        <is>
          <t>No</t>
        </is>
      </c>
      <c r="CW51" s="53" t="inlineStr">
        <is>
          <t>No</t>
        </is>
      </c>
      <c r="CX51" s="53" t="inlineStr">
        <is>
          <t>Yes</t>
        </is>
      </c>
      <c r="CY51" s="53" t="n"/>
      <c r="CZ51" s="53" t="n"/>
      <c r="DA51" s="53" t="n"/>
      <c r="DB51" s="53" t="inlineStr">
        <is>
          <t>Title to be standardized to: Senior Services Specialist</t>
        </is>
      </c>
      <c r="DC51" s="53" t="n"/>
      <c r="DD51" s="53" t="n"/>
      <c r="DE51" s="53" t="n"/>
      <c r="DF51" s="53" t="n"/>
      <c r="DG51" s="53" t="n"/>
      <c r="DH51" s="53" t="n"/>
      <c r="DI51" s="53" t="n"/>
      <c r="DJ51" s="53" t="n"/>
      <c r="DK51" s="53" t="n"/>
      <c r="DL51" s="53" t="n"/>
      <c r="DM51" s="53" t="n"/>
      <c r="DN51" s="53" t="n"/>
      <c r="DO51" s="53" t="n"/>
      <c r="DP51" s="53" t="n"/>
      <c r="DQ51" s="53" t="n"/>
      <c r="DR51" s="53" t="n"/>
      <c r="DS51" s="53" t="n"/>
      <c r="DT51" s="53" t="n"/>
      <c r="DU51" s="53" t="n"/>
      <c r="DV51" s="53" t="n"/>
      <c r="DW51" s="53" t="n"/>
      <c r="DX51" s="53" t="n"/>
      <c r="DY51" s="53" t="n"/>
      <c r="DZ51" s="53" t="n"/>
      <c r="EA51" s="53" t="n"/>
      <c r="EB51" s="53" t="n"/>
      <c r="EC51" s="53" t="n"/>
      <c r="ED51" s="53" t="n"/>
      <c r="EE51" s="53" t="n"/>
      <c r="EF51" s="53" t="n"/>
      <c r="EG51" s="53" t="n"/>
      <c r="EH51" s="53" t="n"/>
      <c r="EI51" s="53" t="n"/>
      <c r="EJ51" s="53" t="n"/>
      <c r="EK51" s="53" t="n"/>
      <c r="EL51" s="53" t="n"/>
      <c r="EM51" s="53" t="n"/>
      <c r="EN51" s="53" t="n"/>
      <c r="EO51" s="53" t="n"/>
      <c r="EP51" s="53" t="n"/>
      <c r="EQ51" s="53" t="n"/>
      <c r="ER51" s="53" t="n"/>
      <c r="ES51" s="53" t="n"/>
      <c r="ET51" s="53" t="n"/>
      <c r="EU51" s="53" t="n"/>
      <c r="EV51" s="53" t="n"/>
      <c r="EW51" s="52" t="n"/>
      <c r="EX51" s="53" t="inlineStr">
        <is>
          <t>• No input received.</t>
        </is>
      </c>
      <c r="EY51" s="53" t="inlineStr">
        <is>
          <t>• No input received.</t>
        </is>
      </c>
      <c r="EZ51" s="53" t="inlineStr">
        <is>
          <t>• Current capabilities: Input not given by Participant; Tools / software used: Carbon.</t>
        </is>
      </c>
      <c r="FA51" s="53" t="inlineStr">
        <is>
          <t>• Development priorities: No input received.
• Learning and Development Need: No input received.</t>
        </is>
      </c>
      <c r="FB51" s="53" t="inlineStr">
        <is>
          <t>• Key challenges: No input received.
• Support required: No input received.</t>
        </is>
      </c>
      <c r="FC51" s="53" t="n"/>
      <c r="FD51" s="53" t="n"/>
      <c r="FE51"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FF51" s="56" t="n"/>
      <c r="FG51" s="56" t="n"/>
      <c r="FH51" s="56" t="n"/>
      <c r="FI51" s="56" t="n"/>
      <c r="FJ51" s="56" t="inlineStr">
        <is>
          <t>Received · manager annual</t>
        </is>
      </c>
      <c r="FK51" s="56" t="inlineStr">
        <is>
          <t>CARBON Mapping Master</t>
        </is>
      </c>
      <c r="FL51" s="56" t="n">
        <v>20</v>
      </c>
      <c r="FM51" s="56" t="inlineStr">
        <is>
          <t>• No input received.</t>
        </is>
      </c>
      <c r="FN51" s="56" t="inlineStr">
        <is>
          <t>• No input received.</t>
        </is>
      </c>
      <c r="FO51" s="56" t="inlineStr">
        <is>
          <t>• Current capabilities: Input not given by Participant; Tools / software used: Carbon.</t>
        </is>
      </c>
      <c r="FP51" s="56" t="inlineStr">
        <is>
          <t>• Development priorities: No input received.
• Learning and Development Need: No input received.</t>
        </is>
      </c>
      <c r="FQ51" s="56" t="inlineStr">
        <is>
          <t>• Key challenges: No input received.
• Support required: No input received.</t>
        </is>
      </c>
      <c r="FR51" s="56" t="inlineStr">
        <is>
          <t>Complexity: Evidence reads like A3: Tags iXBRL files including complex ones for a quality-strict HMRC customer → matches the start
Autonomy: Evidence reads like A2: Only decision named is how to tag complex files → moved down 0.5
Accountability: Evidence reads like A2: Accuracy of own tagging output → moved down 0.5
Leadership: Evidence reads like A1: 'I guide iXBRL tagging' stated once; no people or team described → moved down 0.5
Business Impact: Moved +0.5: the survey / manager mapping marks it business-critical.</t>
        </is>
      </c>
      <c r="FS51" s="56"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FT51" s="56" t="inlineStr">
        <is>
          <t>Self-identified: Answered · no common topic
For the next role: Answered · no common topic</t>
        </is>
      </c>
      <c r="FU51" s="56" t="inlineStr">
        <is>
          <t>Per-person summary · CARBON Mapping Master</t>
        </is>
      </c>
    </row>
    <row r="52" ht="90" customHeight="1">
      <c r="A52" s="51" t="inlineStr">
        <is>
          <t>◂ Back</t>
        </is>
      </c>
      <c r="B52" s="29" t="inlineStr">
        <is>
          <t>Mapped</t>
        </is>
      </c>
      <c r="C52" s="28" t="inlineStr">
        <is>
          <t>CARBON</t>
        </is>
      </c>
      <c r="D52" s="29" t="inlineStr">
        <is>
          <t>IRIS0222</t>
        </is>
      </c>
      <c r="E52" s="29" t="inlineStr">
        <is>
          <t>Prerna Savaratkar</t>
        </is>
      </c>
      <c r="F52" s="29" t="inlineStr">
        <is>
          <t>Services</t>
        </is>
      </c>
      <c r="G52" s="29" t="inlineStr">
        <is>
          <t>Financial Analyst</t>
        </is>
      </c>
      <c r="H52" s="29" t="inlineStr">
        <is>
          <t>Senior Financial Analyst</t>
        </is>
      </c>
      <c r="I52" s="29" t="inlineStr">
        <is>
          <t>L3 – Professional / Associate</t>
        </is>
      </c>
      <c r="J52" s="29" t="inlineStr">
        <is>
          <t>A3</t>
        </is>
      </c>
      <c r="K52" s="29" t="inlineStr">
        <is>
          <t>▲ Up</t>
        </is>
      </c>
      <c r="L52" s="29" t="inlineStr">
        <is>
          <t>Consulting &amp; Professional Services</t>
        </is>
      </c>
      <c r="M52" s="29" t="inlineStr">
        <is>
          <t>XBRL Tagging, Conversion &amp; Filing</t>
        </is>
      </c>
      <c r="N52" s="29" t="n"/>
      <c r="O52" s="29" t="n">
        <v>19</v>
      </c>
      <c r="P52" s="28" t="inlineStr">
        <is>
          <t>P2</t>
        </is>
      </c>
      <c r="Q52" s="29" t="inlineStr">
        <is>
          <t>Developing</t>
        </is>
      </c>
      <c r="R52" s="29" t="inlineStr">
        <is>
          <t>3 Apply</t>
        </is>
      </c>
      <c r="S52" s="29" t="inlineStr">
        <is>
          <t>2–4 yrs</t>
        </is>
      </c>
      <c r="T52" s="29" t="inlineStr">
        <is>
          <t>3–5 · 2–5</t>
        </is>
      </c>
      <c r="U52" s="29" t="inlineStr">
        <is>
          <t>Senior Analyst / Associate</t>
        </is>
      </c>
      <c r="V52" s="29" t="inlineStr">
        <is>
          <t>DataTracks: Senior Associate · 2–5 yrs · Big Four: Consultant · IRIS Vs Market Benchmark — XBRL US credential pathway: XBRL US GAAP Certificate</t>
        </is>
      </c>
      <c r="W52" s="29" t="inlineStr">
        <is>
          <t>XBRL US GAAP Certificate · AICPA &amp; XBRL US; XBRL International specifications; IFRS / US GAAP / Ind AS</t>
        </is>
      </c>
      <c r="X52" s="29" t="inlineStr">
        <is>
          <t>Core 2 · Future 2 · Functional 3 · Leadership not scored</t>
        </is>
      </c>
      <c r="Y52" s="52" t="n">
        <v>40</v>
      </c>
      <c r="Z52" s="53" t="inlineStr">
        <is>
          <t>IRIS0222</t>
        </is>
      </c>
      <c r="AA52" s="53" t="inlineStr">
        <is>
          <t>Employee</t>
        </is>
      </c>
      <c r="AB52" s="53" t="inlineStr">
        <is>
          <t>Active</t>
        </is>
      </c>
      <c r="AC52" s="53" t="inlineStr">
        <is>
          <t>Prerna Savaratkar</t>
        </is>
      </c>
      <c r="AD52" s="54" t="n">
        <v>39722</v>
      </c>
      <c r="AE52" s="53" t="inlineStr">
        <is>
          <t>Financial Analyst</t>
        </is>
      </c>
      <c r="AF52" s="53" t="inlineStr">
        <is>
          <t>B.Com</t>
        </is>
      </c>
      <c r="AG52" s="53" t="inlineStr">
        <is>
          <t>Vipul Kurhade</t>
        </is>
      </c>
      <c r="AH52" s="53" t="inlineStr">
        <is>
          <t>N-8</t>
        </is>
      </c>
      <c r="AI52" s="53" t="inlineStr">
        <is>
          <t>Individual Contributor</t>
        </is>
      </c>
      <c r="AJ52" s="53" t="inlineStr">
        <is>
          <t>0 years, 0 months, 0 days</t>
        </is>
      </c>
      <c r="AK52" s="53" t="inlineStr">
        <is>
          <t>17 years, 10 months, 24 days</t>
        </is>
      </c>
      <c r="AL52" s="53" t="inlineStr">
        <is>
          <t>Regtech</t>
        </is>
      </c>
      <c r="AM52" s="53" t="inlineStr">
        <is>
          <t>CARBON</t>
        </is>
      </c>
      <c r="AN52" s="53" t="inlineStr">
        <is>
          <t>Services</t>
        </is>
      </c>
      <c r="AO52" s="53" t="inlineStr">
        <is>
          <t>Expert Assisted services</t>
        </is>
      </c>
      <c r="AP52" s="53" t="inlineStr">
        <is>
          <t>No</t>
        </is>
      </c>
      <c r="AQ52" s="53" t="inlineStr">
        <is>
          <t>Professional Services</t>
        </is>
      </c>
      <c r="AR52" s="53" t="inlineStr">
        <is>
          <t>XBRL Domain</t>
        </is>
      </c>
      <c r="AS52" s="53" t="inlineStr">
        <is>
          <t>Non-technical</t>
        </is>
      </c>
      <c r="AT52" s="53" t="n">
        <v>20</v>
      </c>
      <c r="AU52" s="53" t="inlineStr">
        <is>
          <t>Covered</t>
        </is>
      </c>
      <c r="AV52" s="53" t="inlineStr">
        <is>
          <t>IRIS0222</t>
        </is>
      </c>
      <c r="AW52" s="53" t="inlineStr">
        <is>
          <t>Prerna Savaratkar</t>
        </is>
      </c>
      <c r="AX52" s="53" t="inlineStr">
        <is>
          <t>Services</t>
        </is>
      </c>
      <c r="AY52" s="53" t="inlineStr">
        <is>
          <t>Professional Services</t>
        </is>
      </c>
      <c r="AZ52" s="53" t="inlineStr">
        <is>
          <t>XBRL / Regulatory Reporting</t>
        </is>
      </c>
      <c r="BA52" s="53" t="n"/>
      <c r="BB52" s="53" t="n"/>
      <c r="BC52" s="53" t="inlineStr">
        <is>
          <t>Employee</t>
        </is>
      </c>
      <c r="BD52" s="53" t="inlineStr">
        <is>
          <t>Vipul Kurhade</t>
        </is>
      </c>
      <c r="BE52" s="53" t="inlineStr">
        <is>
          <t>Vipul Kurhade</t>
        </is>
      </c>
      <c r="BF52" s="53" t="inlineStr">
        <is>
          <t>No</t>
        </is>
      </c>
      <c r="BG52" s="53" t="inlineStr">
        <is>
          <t>Financial Analyst</t>
        </is>
      </c>
      <c r="BH52" s="53" t="inlineStr">
        <is>
          <t>Services Specialist</t>
        </is>
      </c>
      <c r="BI52" s="53" t="inlineStr">
        <is>
          <t>Yes</t>
        </is>
      </c>
      <c r="BJ52" s="53" t="inlineStr">
        <is>
          <t>—</t>
        </is>
      </c>
      <c r="BK52" s="53" t="inlineStr">
        <is>
          <t>—</t>
        </is>
      </c>
      <c r="BL52" s="53" t="inlineStr">
        <is>
          <t>—</t>
        </is>
      </c>
      <c r="BM52" s="53" t="inlineStr">
        <is>
          <t>Not a manager</t>
        </is>
      </c>
      <c r="BN52" s="53" t="inlineStr">
        <is>
          <t>—</t>
        </is>
      </c>
      <c r="BO52" s="53" t="inlineStr">
        <is>
          <t>—</t>
        </is>
      </c>
      <c r="BP52" s="53" t="inlineStr">
        <is>
          <t>—</t>
        </is>
      </c>
      <c r="BQ52" s="53" t="inlineStr">
        <is>
          <t>Not a manager</t>
        </is>
      </c>
      <c r="BR52" s="53" t="inlineStr">
        <is>
          <t>—</t>
        </is>
      </c>
      <c r="BS52" s="53" t="inlineStr">
        <is>
          <t>L3 – Professional / Associate</t>
        </is>
      </c>
      <c r="BT52" s="53" t="inlineStr">
        <is>
          <t>L2</t>
        </is>
      </c>
      <c r="BU52" s="53" t="inlineStr">
        <is>
          <t>Matched from Title Hierarchy · new designation</t>
        </is>
      </c>
      <c r="BV52"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W52" s="53" t="n"/>
      <c r="BX52" s="53" t="inlineStr">
        <is>
          <t>UK - HMRC.</t>
        </is>
      </c>
      <c r="BY52" s="53" t="n"/>
      <c r="BZ52" s="53" t="inlineStr">
        <is>
          <t>IRIS0222</t>
        </is>
      </c>
      <c r="CA52" s="53" t="inlineStr">
        <is>
          <t>Employee</t>
        </is>
      </c>
      <c r="CB52" s="53" t="inlineStr">
        <is>
          <t>Active</t>
        </is>
      </c>
      <c r="CC52" s="53" t="inlineStr">
        <is>
          <t>Prerna Savaratkar</t>
        </is>
      </c>
      <c r="CD52" s="54" t="n">
        <v>39722</v>
      </c>
      <c r="CE52" s="53" t="inlineStr">
        <is>
          <t>Financial Analyst</t>
        </is>
      </c>
      <c r="CF52" s="53" t="n"/>
      <c r="CG52" s="53" t="inlineStr">
        <is>
          <t>Professional Services</t>
        </is>
      </c>
      <c r="CH52" s="53" t="inlineStr">
        <is>
          <t>XBRL / Regulatory Reporting</t>
        </is>
      </c>
      <c r="CI52" s="53" t="inlineStr">
        <is>
          <t>Financial Analyst</t>
        </is>
      </c>
      <c r="CJ52" s="53" t="inlineStr">
        <is>
          <t>L3 – Professional / Associate</t>
        </is>
      </c>
      <c r="CK52" s="53" t="inlineStr">
        <is>
          <t>Vipul Kurhade</t>
        </is>
      </c>
      <c r="CL52" s="53" t="inlineStr">
        <is>
          <t>N-8</t>
        </is>
      </c>
      <c r="CM52" s="53" t="inlineStr">
        <is>
          <t>Individual Contributor</t>
        </is>
      </c>
      <c r="CN52" s="53" t="inlineStr">
        <is>
          <t>Regtech</t>
        </is>
      </c>
      <c r="CO52" s="53" t="inlineStr">
        <is>
          <t>Services</t>
        </is>
      </c>
      <c r="CP52" s="53" t="inlineStr">
        <is>
          <t>17 years, 8 months, 19 days</t>
        </is>
      </c>
      <c r="CQ52" s="53" t="inlineStr">
        <is>
          <t>Services Specialist</t>
        </is>
      </c>
      <c r="CR52" s="53" t="n"/>
      <c r="CS52" s="53" t="n">
        <v>3</v>
      </c>
      <c r="CT52" s="53" t="inlineStr">
        <is>
          <t>Medium</t>
        </is>
      </c>
      <c r="CU52" s="53" t="inlineStr">
        <is>
          <t>Core Contributor</t>
        </is>
      </c>
      <c r="CV52" s="53" t="inlineStr">
        <is>
          <t>No</t>
        </is>
      </c>
      <c r="CW52" s="53" t="inlineStr">
        <is>
          <t>No</t>
        </is>
      </c>
      <c r="CX52" s="53" t="inlineStr">
        <is>
          <t>Yes</t>
        </is>
      </c>
      <c r="CY52" s="53" t="n"/>
      <c r="CZ52" s="53" t="n"/>
      <c r="DA52" s="53" t="n"/>
      <c r="DB52" s="53" t="inlineStr">
        <is>
          <t>Title to be standardized to : Services Specialist</t>
        </is>
      </c>
      <c r="DC52" s="53" t="n"/>
      <c r="DD52" s="53" t="n"/>
      <c r="DE52" s="53" t="n"/>
      <c r="DF52" s="53" t="n"/>
      <c r="DG52" s="53" t="n"/>
      <c r="DH52" s="53" t="n"/>
      <c r="DI52" s="53" t="n"/>
      <c r="DJ52" s="53" t="n"/>
      <c r="DK52" s="53" t="n"/>
      <c r="DL52" s="53" t="n"/>
      <c r="DM52" s="53" t="n"/>
      <c r="DN52" s="53" t="n"/>
      <c r="DO52" s="53" t="n"/>
      <c r="DP52" s="53" t="n"/>
      <c r="DQ52" s="53" t="n"/>
      <c r="DR52" s="53" t="n"/>
      <c r="DS52" s="53" t="n"/>
      <c r="DT52" s="53" t="n"/>
      <c r="DU52" s="53" t="n"/>
      <c r="DV52" s="53" t="n"/>
      <c r="DW52" s="53" t="n"/>
      <c r="DX52" s="53" t="n"/>
      <c r="DY52" s="53" t="n"/>
      <c r="DZ52" s="53" t="n"/>
      <c r="EA52" s="53" t="n"/>
      <c r="EB52" s="53" t="n"/>
      <c r="EC52" s="53" t="n"/>
      <c r="ED52" s="53" t="n"/>
      <c r="EE52" s="53" t="n"/>
      <c r="EF52" s="53" t="n"/>
      <c r="EG52" s="53" t="n"/>
      <c r="EH52" s="53" t="n"/>
      <c r="EI52" s="53" t="n"/>
      <c r="EJ52" s="53" t="n"/>
      <c r="EK52" s="53" t="n"/>
      <c r="EL52" s="53" t="n"/>
      <c r="EM52" s="53" t="n"/>
      <c r="EN52" s="53" t="n"/>
      <c r="EO52" s="53" t="n"/>
      <c r="EP52" s="53" t="n"/>
      <c r="EQ52" s="53" t="n"/>
      <c r="ER52" s="53" t="n"/>
      <c r="ES52" s="53" t="n"/>
      <c r="ET52" s="53" t="n"/>
      <c r="EU52" s="53" t="n"/>
      <c r="EV52" s="53" t="n"/>
      <c r="EW52" s="52" t="n"/>
      <c r="EX52" s="53" t="inlineStr">
        <is>
          <t>• Role / sub-team: Tagging Ixbrl - uk.</t>
        </is>
      </c>
      <c r="EY52" s="53" t="inlineStr">
        <is>
          <t>• Key responsibilities include: Downloads allocated files, loads and formats them in Carbon, completes tagging, and forwards to QC.
• Reported deliverables and outcomes include: After Tagging don, files share with QC analysts.</t>
        </is>
      </c>
      <c r="EZ52" s="53" t="inlineStr">
        <is>
          <t>• Current capabilities: Time management; Tools / software used: HTML - Editor | Carbon [Teams chat].</t>
        </is>
      </c>
      <c r="FA52" s="53" t="inlineStr">
        <is>
          <t>• Development priorities: No input received.
• Learning and Development Need: Setting a realistic goal.</t>
        </is>
      </c>
      <c r="FB52" s="53" t="inlineStr">
        <is>
          <t>• Key challenges: No input received.
• Support required: No input received.</t>
        </is>
      </c>
      <c r="FC52" s="53" t="n"/>
      <c r="FD52" s="53" t="n"/>
      <c r="FE52"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FF52" s="56" t="n"/>
      <c r="FG52" s="56" t="n"/>
      <c r="FH52" s="56" t="n"/>
      <c r="FI52" s="56" t="n"/>
      <c r="FJ52" s="56" t="inlineStr">
        <is>
          <t>Received · manager annual</t>
        </is>
      </c>
      <c r="FK52" s="56" t="inlineStr">
        <is>
          <t>CARBON Mapping Master</t>
        </is>
      </c>
      <c r="FL52" s="56" t="n">
        <v>19</v>
      </c>
      <c r="FM52" s="56" t="inlineStr">
        <is>
          <t>• Role / sub-team: Tagging Ixbrl - uk.</t>
        </is>
      </c>
      <c r="FN52" s="56" t="inlineStr">
        <is>
          <t>• Key responsibilities include: Downloads allocated files, loads and formats them in Carbon, completes tagging, and forwards to QC.
• Reported deliverables and outcomes include: After Tagging don, files share with QC analysts.</t>
        </is>
      </c>
      <c r="FO52" s="56" t="inlineStr">
        <is>
          <t>• Current capabilities: Time management; Tools / software used: HTML - Editor | Carbon [Teams chat].</t>
        </is>
      </c>
      <c r="FP52" s="56" t="inlineStr">
        <is>
          <t>• Development priorities: No input received.
• Learning and Development Need: Setting a realistic goal.</t>
        </is>
      </c>
      <c r="FQ52" s="56" t="inlineStr">
        <is>
          <t>• Key challenges: No input received.
• Support required: No input received.</t>
        </is>
      </c>
      <c r="FR52" s="56" t="inlineStr">
        <is>
          <t>Complexity: Evidence reads like A3: Tags average, complex and special-case UK files · charity, banking, insurance; formatting, validation → moved up 0.5
Autonomy: Evidence reads like A2: Resolves routine errors within guidelines, with a team member's approval; files go to QC → matches the start
Accountability: Evidence reads like A2: Accuracy and timeliness of own tagged files, which pass to QC analysts → matches the start
Leadership: Evidence reads like A1: Discusses calls with the team; no guidance of others described → matches the start
Business Impact: Moved +0.5: the survey / manager mapping marks it business-critical.</t>
        </is>
      </c>
      <c r="FS52" s="56"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FT52" s="56" t="inlineStr">
        <is>
          <t>Self-identified: Testing &amp; quality · Communication &amp; presentation
For the next role: Testing &amp; quality · Communication &amp; presentation</t>
        </is>
      </c>
      <c r="FU52" s="56" t="inlineStr">
        <is>
          <t>Per-person summary · CARBON Mapping Master</t>
        </is>
      </c>
    </row>
    <row r="53" ht="90" customHeight="1">
      <c r="A53" s="51" t="inlineStr">
        <is>
          <t>◂ Back</t>
        </is>
      </c>
      <c r="B53" s="29" t="inlineStr">
        <is>
          <t>Mapped</t>
        </is>
      </c>
      <c r="C53" s="28" t="inlineStr">
        <is>
          <t>CARBON</t>
        </is>
      </c>
      <c r="D53" s="29" t="inlineStr">
        <is>
          <t>IRIS0474</t>
        </is>
      </c>
      <c r="E53" s="29" t="inlineStr">
        <is>
          <t>Kiran Mane</t>
        </is>
      </c>
      <c r="F53" s="29" t="inlineStr">
        <is>
          <t>Services</t>
        </is>
      </c>
      <c r="G53" s="29" t="inlineStr">
        <is>
          <t>Financial Analyst</t>
        </is>
      </c>
      <c r="H53" s="29" t="inlineStr">
        <is>
          <t>Senior Financial Analyst</t>
        </is>
      </c>
      <c r="I53" s="29" t="inlineStr">
        <is>
          <t>L3 – Professional / Associate</t>
        </is>
      </c>
      <c r="J53" s="29" t="inlineStr">
        <is>
          <t>A3</t>
        </is>
      </c>
      <c r="K53" s="29" t="inlineStr">
        <is>
          <t>▲ Up</t>
        </is>
      </c>
      <c r="L53" s="29" t="inlineStr">
        <is>
          <t>Consulting &amp; Professional Services</t>
        </is>
      </c>
      <c r="M53" s="29" t="inlineStr">
        <is>
          <t>XBRL Tagging, Conversion &amp; Filing</t>
        </is>
      </c>
      <c r="N53" s="29" t="n"/>
      <c r="O53" s="29" t="n">
        <v>20</v>
      </c>
      <c r="P53" s="28" t="inlineStr">
        <is>
          <t>P2</t>
        </is>
      </c>
      <c r="Q53" s="29" t="inlineStr">
        <is>
          <t>Developing</t>
        </is>
      </c>
      <c r="R53" s="29" t="inlineStr">
        <is>
          <t>3 Apply</t>
        </is>
      </c>
      <c r="S53" s="29" t="inlineStr">
        <is>
          <t>2–4 yrs</t>
        </is>
      </c>
      <c r="T53" s="29" t="inlineStr">
        <is>
          <t>3–5 · 2–5</t>
        </is>
      </c>
      <c r="U53" s="29" t="inlineStr">
        <is>
          <t>Senior Analyst / Associate</t>
        </is>
      </c>
      <c r="V53" s="29" t="inlineStr">
        <is>
          <t>DataTracks: Senior Associate · 2–5 yrs · Big Four: Consultant · IRIS Vs Market Benchmark — XBRL US credential pathway: XBRL US GAAP Certificate</t>
        </is>
      </c>
      <c r="W53" s="29" t="inlineStr">
        <is>
          <t>XBRL US GAAP Certificate · AICPA &amp; XBRL US; XBRL International specifications; IFRS / US GAAP / Ind AS</t>
        </is>
      </c>
      <c r="X53" s="29" t="inlineStr">
        <is>
          <t>Core 2 · Future 2 · Functional 3 · Leadership not scored</t>
        </is>
      </c>
      <c r="Y53" s="52" t="n">
        <v>64</v>
      </c>
      <c r="Z53" s="53" t="inlineStr">
        <is>
          <t>IRIS0474</t>
        </is>
      </c>
      <c r="AA53" s="53" t="inlineStr">
        <is>
          <t>Employee</t>
        </is>
      </c>
      <c r="AB53" s="53" t="inlineStr">
        <is>
          <t>Active</t>
        </is>
      </c>
      <c r="AC53" s="53" t="inlineStr">
        <is>
          <t>Kiran Mane</t>
        </is>
      </c>
      <c r="AD53" s="54" t="n">
        <v>40512</v>
      </c>
      <c r="AE53" s="53" t="inlineStr">
        <is>
          <t>Financial Analyst</t>
        </is>
      </c>
      <c r="AF53" s="53" t="inlineStr">
        <is>
          <t>B.Com</t>
        </is>
      </c>
      <c r="AG53" s="53" t="inlineStr">
        <is>
          <t>Shailesh Kumar Sharma</t>
        </is>
      </c>
      <c r="AH53" s="53" t="inlineStr">
        <is>
          <t>N-7</t>
        </is>
      </c>
      <c r="AI53" s="53" t="inlineStr">
        <is>
          <t>Individual Contributor</t>
        </is>
      </c>
      <c r="AJ53" s="53" t="inlineStr">
        <is>
          <t>0 years, 0 months, 0 days</t>
        </is>
      </c>
      <c r="AK53" s="53" t="inlineStr">
        <is>
          <t>15 years, 8 months, 26 days</t>
        </is>
      </c>
      <c r="AL53" s="53" t="inlineStr">
        <is>
          <t>Regtech</t>
        </is>
      </c>
      <c r="AM53" s="53" t="inlineStr">
        <is>
          <t>CARBON</t>
        </is>
      </c>
      <c r="AN53" s="53" t="inlineStr">
        <is>
          <t>Services</t>
        </is>
      </c>
      <c r="AO53" s="53" t="inlineStr">
        <is>
          <t>Expert Assisted services</t>
        </is>
      </c>
      <c r="AP53" s="53" t="inlineStr">
        <is>
          <t>No</t>
        </is>
      </c>
      <c r="AQ53" s="53" t="inlineStr">
        <is>
          <t>Professional Services</t>
        </is>
      </c>
      <c r="AR53" s="53" t="inlineStr">
        <is>
          <t>XBRL Domain</t>
        </is>
      </c>
      <c r="AS53" s="53" t="inlineStr">
        <is>
          <t>Non-technical</t>
        </is>
      </c>
      <c r="AT53" s="53" t="n">
        <v>20</v>
      </c>
      <c r="AU53" s="53" t="inlineStr">
        <is>
          <t>Covered</t>
        </is>
      </c>
      <c r="AV53" s="53" t="inlineStr">
        <is>
          <t>IRIS0474</t>
        </is>
      </c>
      <c r="AW53" s="53" t="inlineStr">
        <is>
          <t>Kiran Mane</t>
        </is>
      </c>
      <c r="AX53" s="53" t="inlineStr">
        <is>
          <t>Services</t>
        </is>
      </c>
      <c r="AY53" s="53" t="inlineStr">
        <is>
          <t>Professional Services</t>
        </is>
      </c>
      <c r="AZ53" s="53" t="inlineStr">
        <is>
          <t>XBRL / Regulatory Reporting</t>
        </is>
      </c>
      <c r="BA53" s="53" t="n"/>
      <c r="BB53" s="53" t="n"/>
      <c r="BC53" s="53" t="inlineStr">
        <is>
          <t>Employee</t>
        </is>
      </c>
      <c r="BD53" s="53" t="inlineStr">
        <is>
          <t>Shailesh Kumar Sharma</t>
        </is>
      </c>
      <c r="BE53" s="53" t="inlineStr">
        <is>
          <t>Shailesh Kumar Sharma</t>
        </is>
      </c>
      <c r="BF53" s="53" t="inlineStr">
        <is>
          <t>No</t>
        </is>
      </c>
      <c r="BG53" s="53" t="inlineStr">
        <is>
          <t>Financial Analyst</t>
        </is>
      </c>
      <c r="BH53" s="53" t="inlineStr">
        <is>
          <t>Services Specialist</t>
        </is>
      </c>
      <c r="BI53" s="53" t="inlineStr">
        <is>
          <t>Yes</t>
        </is>
      </c>
      <c r="BJ53" s="53" t="inlineStr">
        <is>
          <t>—</t>
        </is>
      </c>
      <c r="BK53" s="53" t="inlineStr">
        <is>
          <t>—</t>
        </is>
      </c>
      <c r="BL53" s="53" t="inlineStr">
        <is>
          <t>—</t>
        </is>
      </c>
      <c r="BM53" s="53" t="inlineStr">
        <is>
          <t>Not a manager</t>
        </is>
      </c>
      <c r="BN53" s="53" t="inlineStr">
        <is>
          <t>—</t>
        </is>
      </c>
      <c r="BO53" s="53" t="inlineStr">
        <is>
          <t>—</t>
        </is>
      </c>
      <c r="BP53" s="53" t="inlineStr">
        <is>
          <t>—</t>
        </is>
      </c>
      <c r="BQ53" s="53" t="inlineStr">
        <is>
          <t>Not a manager</t>
        </is>
      </c>
      <c r="BR53" s="53" t="inlineStr">
        <is>
          <t>—</t>
        </is>
      </c>
      <c r="BS53" s="53" t="inlineStr">
        <is>
          <t>L3 – Professional / Associate</t>
        </is>
      </c>
      <c r="BT53" s="53" t="inlineStr">
        <is>
          <t>L2</t>
        </is>
      </c>
      <c r="BU53" s="53" t="inlineStr">
        <is>
          <t>Matched from Title Hierarchy · new designation</t>
        </is>
      </c>
      <c r="BV53"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W53" s="53" t="n"/>
      <c r="BX53" s="53" t="inlineStr">
        <is>
          <t>UK - HMRC; Europe - ESEF.</t>
        </is>
      </c>
      <c r="BY53" s="53" t="n"/>
      <c r="BZ53" s="53" t="inlineStr">
        <is>
          <t>IRIS0474</t>
        </is>
      </c>
      <c r="CA53" s="53" t="inlineStr">
        <is>
          <t>Employee</t>
        </is>
      </c>
      <c r="CB53" s="53" t="inlineStr">
        <is>
          <t>Active</t>
        </is>
      </c>
      <c r="CC53" s="53" t="inlineStr">
        <is>
          <t>Kiran Mane</t>
        </is>
      </c>
      <c r="CD53" s="54" t="n">
        <v>40512</v>
      </c>
      <c r="CE53" s="53" t="inlineStr">
        <is>
          <t>Financial Analyst</t>
        </is>
      </c>
      <c r="CF53" s="53" t="n"/>
      <c r="CG53" s="53" t="inlineStr">
        <is>
          <t>Professional Services</t>
        </is>
      </c>
      <c r="CH53" s="53" t="inlineStr">
        <is>
          <t>XBRL / Regulatory Reporting</t>
        </is>
      </c>
      <c r="CI53" s="53" t="inlineStr">
        <is>
          <t>Financial Analyst</t>
        </is>
      </c>
      <c r="CJ53" s="53" t="inlineStr">
        <is>
          <t>L3 – Professional / Associate</t>
        </is>
      </c>
      <c r="CK53" s="53" t="inlineStr">
        <is>
          <t>Shailesh Kumar Sharma</t>
        </is>
      </c>
      <c r="CL53" s="53" t="inlineStr">
        <is>
          <t>N-7</t>
        </is>
      </c>
      <c r="CM53" s="53" t="inlineStr">
        <is>
          <t>Individual Contributor</t>
        </is>
      </c>
      <c r="CN53" s="53" t="inlineStr">
        <is>
          <t>Regtech</t>
        </is>
      </c>
      <c r="CO53" s="53" t="inlineStr">
        <is>
          <t>Services</t>
        </is>
      </c>
      <c r="CP53" s="53" t="inlineStr">
        <is>
          <t>15 years, 6 months, 21 days</t>
        </is>
      </c>
      <c r="CQ53" s="53" t="inlineStr">
        <is>
          <t>Services Specialist</t>
        </is>
      </c>
      <c r="CR53" s="53" t="n"/>
      <c r="CS53" s="53" t="n">
        <v>3</v>
      </c>
      <c r="CT53" s="53" t="inlineStr">
        <is>
          <t>Medium</t>
        </is>
      </c>
      <c r="CU53" s="53" t="inlineStr">
        <is>
          <t>Core Contributor</t>
        </is>
      </c>
      <c r="CV53" s="53" t="inlineStr">
        <is>
          <t>No</t>
        </is>
      </c>
      <c r="CW53" s="53" t="inlineStr">
        <is>
          <t>No</t>
        </is>
      </c>
      <c r="CX53" s="53" t="inlineStr">
        <is>
          <t>Yes</t>
        </is>
      </c>
      <c r="CY53" s="53" t="n"/>
      <c r="CZ53" s="53" t="n"/>
      <c r="DA53" s="53" t="n"/>
      <c r="DB53" s="53" t="inlineStr">
        <is>
          <t>Title to be standardized to : Services Specialist</t>
        </is>
      </c>
      <c r="DC53" s="53" t="n"/>
      <c r="DD53" s="53" t="n"/>
      <c r="DE53" s="53" t="n"/>
      <c r="DF53" s="53" t="n"/>
      <c r="DG53" s="53" t="n"/>
      <c r="DH53" s="53" t="n"/>
      <c r="DI53" s="53" t="n"/>
      <c r="DJ53" s="53" t="n"/>
      <c r="DK53" s="53" t="n"/>
      <c r="DL53" s="53" t="n"/>
      <c r="DM53" s="53" t="n"/>
      <c r="DN53" s="53" t="n"/>
      <c r="DO53" s="53" t="n"/>
      <c r="DP53" s="53" t="n"/>
      <c r="DQ53" s="53" t="n"/>
      <c r="DR53" s="53" t="n"/>
      <c r="DS53" s="53" t="n"/>
      <c r="DT53" s="53" t="n"/>
      <c r="DU53" s="53" t="n"/>
      <c r="DV53" s="53" t="n"/>
      <c r="DW53" s="53" t="n"/>
      <c r="DX53" s="53" t="n"/>
      <c r="DY53" s="53" t="n"/>
      <c r="DZ53" s="53" t="n"/>
      <c r="EA53" s="53" t="n"/>
      <c r="EB53" s="53" t="n"/>
      <c r="EC53" s="53" t="n"/>
      <c r="ED53" s="53" t="n"/>
      <c r="EE53" s="53" t="n"/>
      <c r="EF53" s="53" t="n"/>
      <c r="EG53" s="53" t="n"/>
      <c r="EH53" s="53" t="n"/>
      <c r="EI53" s="53" t="n"/>
      <c r="EJ53" s="53" t="n"/>
      <c r="EK53" s="53" t="n"/>
      <c r="EL53" s="53" t="n"/>
      <c r="EM53" s="53" t="n"/>
      <c r="EN53" s="53" t="n"/>
      <c r="EO53" s="53" t="n"/>
      <c r="EP53" s="53" t="n"/>
      <c r="EQ53" s="53" t="n"/>
      <c r="ER53" s="53" t="n"/>
      <c r="ES53" s="53" t="n"/>
      <c r="ET53" s="53" t="n"/>
      <c r="EU53" s="53" t="n"/>
      <c r="EV53" s="53" t="n"/>
      <c r="EW53" s="52" t="n"/>
      <c r="EX53" s="53" t="inlineStr">
        <is>
          <t>• Role / sub-team: XBRL Conversion Services.</t>
        </is>
      </c>
      <c r="EY53" s="53" t="inlineStr">
        <is>
          <t>• Key responsibilities include: QC of UK files, ESMA files tagging.
• Reported deliverables and outcomes include: In UK after qc gives changes to tagger. In ESMA handover the file to PMO.</t>
        </is>
      </c>
      <c r="EZ53" s="53" t="inlineStr">
        <is>
          <t>• Current capabilities: Team bonding; Tools / software used: Carbon.</t>
        </is>
      </c>
      <c r="FA53" s="53" t="inlineStr">
        <is>
          <t>• Development priorities: No input received.
• Learning and Development Need: Proper coordination.</t>
        </is>
      </c>
      <c r="FB53" s="53" t="inlineStr">
        <is>
          <t>• Key challenges: No input received.
• Support required: No input received.</t>
        </is>
      </c>
      <c r="FC53" s="53" t="n"/>
      <c r="FD53" s="53" t="n"/>
      <c r="FE53"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FF53" s="56" t="n"/>
      <c r="FG53" s="56" t="n"/>
      <c r="FH53" s="56" t="n"/>
      <c r="FI53" s="56" t="n"/>
      <c r="FJ53" s="56" t="inlineStr">
        <is>
          <t>Received · manager annual</t>
        </is>
      </c>
      <c r="FK53" s="56" t="inlineStr">
        <is>
          <t>CARBON Mapping Master</t>
        </is>
      </c>
      <c r="FL53" s="56" t="n">
        <v>20</v>
      </c>
      <c r="FM53" s="56" t="inlineStr">
        <is>
          <t>• Role / sub-team: XBRL Conversion Services.</t>
        </is>
      </c>
      <c r="FN53" s="56" t="inlineStr">
        <is>
          <t>• Key responsibilities include: QC of UK files, ESMA files tagging.
• Reported deliverables and outcomes include: In UK after qc gives changes to tagger. In ESMA handover the file to PMO.</t>
        </is>
      </c>
      <c r="FO53" s="56" t="inlineStr">
        <is>
          <t>• Current capabilities: Team bonding; Tools / software used: Carbon.</t>
        </is>
      </c>
      <c r="FP53" s="56" t="inlineStr">
        <is>
          <t>• Development priorities: No input received.
• Learning and Development Need: Proper coordination.</t>
        </is>
      </c>
      <c r="FQ53" s="56" t="inlineStr">
        <is>
          <t>• Key challenges: No input received.
• Support required: No input received.</t>
        </is>
      </c>
      <c r="FR53" s="56" t="inlineStr">
        <is>
          <t>Complexity: Evidence reads like A3: QCs UK iXBRL files and tags ESEF files; validation error analysis across two taxonomies → moved up 0.5
Autonomy: Evidence reads like A2: Corrects issues within the defined process; raises others for clarification → matches the start
Accountability: Evidence reads like A3: Final filing meeting HMRC / ESEF rules; errors must be caught before submission → moved up 0.5
Leadership: Evidence reads like A3: QC reviewer: returns changes to taggers on UK files → moved up 1
Business Impact: Moved +0.5: the survey / manager mapping marks it business-critical.</t>
        </is>
      </c>
      <c r="FS53" s="56"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FT53" s="56" t="inlineStr">
        <is>
          <t>Self-identified: AI / automation · Domain, regulatory &amp; XBRL · Broader exposure &amp; ownership
For the next role: AI / automation · Domain, regulatory &amp; XBRL · Client, sales &amp; stakeholders · Broader exposure &amp; ownership</t>
        </is>
      </c>
      <c r="FU53" s="56" t="inlineStr">
        <is>
          <t>Per-person summary · CARBON Mapping Master</t>
        </is>
      </c>
    </row>
    <row r="54" ht="90" customHeight="1">
      <c r="A54" s="51" t="inlineStr">
        <is>
          <t>◂ Back</t>
        </is>
      </c>
      <c r="B54" s="29" t="inlineStr">
        <is>
          <t>Mapped</t>
        </is>
      </c>
      <c r="C54" s="28" t="inlineStr">
        <is>
          <t>CARBON</t>
        </is>
      </c>
      <c r="D54" s="29" t="inlineStr">
        <is>
          <t>IRIS0520</t>
        </is>
      </c>
      <c r="E54" s="29" t="inlineStr">
        <is>
          <t>Mandar Vatare</t>
        </is>
      </c>
      <c r="F54" s="29" t="inlineStr">
        <is>
          <t>Services</t>
        </is>
      </c>
      <c r="G54" s="29" t="inlineStr">
        <is>
          <t>Financial Analyst</t>
        </is>
      </c>
      <c r="H54" s="29" t="inlineStr">
        <is>
          <t>Senior Financial Analyst</t>
        </is>
      </c>
      <c r="I54" s="29" t="inlineStr">
        <is>
          <t>L3 – Professional / Associate</t>
        </is>
      </c>
      <c r="J54" s="29" t="inlineStr">
        <is>
          <t>A3</t>
        </is>
      </c>
      <c r="K54" s="29" t="inlineStr">
        <is>
          <t>▲ Up</t>
        </is>
      </c>
      <c r="L54" s="29" t="inlineStr">
        <is>
          <t>Consulting &amp; Professional Services</t>
        </is>
      </c>
      <c r="M54" s="29" t="inlineStr">
        <is>
          <t>XBRL Tagging, Conversion &amp; Filing</t>
        </is>
      </c>
      <c r="N54" s="29" t="n"/>
      <c r="O54" s="29" t="n">
        <v>20</v>
      </c>
      <c r="P54" s="28" t="inlineStr">
        <is>
          <t>P2</t>
        </is>
      </c>
      <c r="Q54" s="29" t="inlineStr">
        <is>
          <t>Developing</t>
        </is>
      </c>
      <c r="R54" s="29" t="inlineStr">
        <is>
          <t>3 Apply</t>
        </is>
      </c>
      <c r="S54" s="29" t="inlineStr">
        <is>
          <t>2–4 yrs</t>
        </is>
      </c>
      <c r="T54" s="29" t="inlineStr">
        <is>
          <t>3–5 · 2–5</t>
        </is>
      </c>
      <c r="U54" s="29" t="inlineStr">
        <is>
          <t>Senior Analyst / Associate</t>
        </is>
      </c>
      <c r="V54" s="29" t="inlineStr">
        <is>
          <t>DataTracks: Senior Associate · 2–5 yrs · Big Four: Consultant · IRIS Vs Market Benchmark — XBRL US credential pathway: XBRL US GAAP Certificate</t>
        </is>
      </c>
      <c r="W54" s="29" t="inlineStr">
        <is>
          <t>XBRL US GAAP Certificate · AICPA &amp; XBRL US; XBRL International specifications; IFRS / US GAAP / Ind AS</t>
        </is>
      </c>
      <c r="X54" s="29" t="inlineStr">
        <is>
          <t>Core 2 · Future 2 · Functional 3 · Leadership not scored</t>
        </is>
      </c>
      <c r="Y54" s="52" t="n">
        <v>55</v>
      </c>
      <c r="Z54" s="53" t="inlineStr">
        <is>
          <t>IRIS0520</t>
        </is>
      </c>
      <c r="AA54" s="53" t="inlineStr">
        <is>
          <t>Employee</t>
        </is>
      </c>
      <c r="AB54" s="53" t="inlineStr">
        <is>
          <t>Active</t>
        </is>
      </c>
      <c r="AC54" s="53" t="inlineStr">
        <is>
          <t>Mandar Vatare</t>
        </is>
      </c>
      <c r="AD54" s="54" t="n">
        <v>40325</v>
      </c>
      <c r="AE54" s="53" t="inlineStr">
        <is>
          <t>Financial Analyst</t>
        </is>
      </c>
      <c r="AF54" s="53" t="inlineStr">
        <is>
          <t>B.Com</t>
        </is>
      </c>
      <c r="AG54" s="53" t="inlineStr">
        <is>
          <t>Shailesh Kumar Sharma</t>
        </is>
      </c>
      <c r="AH54" s="53" t="inlineStr">
        <is>
          <t>N-7</t>
        </is>
      </c>
      <c r="AI54" s="53" t="inlineStr">
        <is>
          <t>Individual Contributor</t>
        </is>
      </c>
      <c r="AJ54" s="53" t="inlineStr">
        <is>
          <t>1 years, 0 months, 0 days</t>
        </is>
      </c>
      <c r="AK54" s="53" t="inlineStr">
        <is>
          <t>16 years, 2 months, 29 days</t>
        </is>
      </c>
      <c r="AL54" s="53" t="inlineStr">
        <is>
          <t>Regtech</t>
        </is>
      </c>
      <c r="AM54" s="53" t="inlineStr">
        <is>
          <t>CARBON</t>
        </is>
      </c>
      <c r="AN54" s="53" t="inlineStr">
        <is>
          <t>Services</t>
        </is>
      </c>
      <c r="AO54" s="53" t="inlineStr">
        <is>
          <t>Expert Assisted services</t>
        </is>
      </c>
      <c r="AP54" s="53" t="inlineStr">
        <is>
          <t>No</t>
        </is>
      </c>
      <c r="AQ54" s="53" t="inlineStr">
        <is>
          <t>Professional Services</t>
        </is>
      </c>
      <c r="AR54" s="53" t="inlineStr">
        <is>
          <t>XBRL Domain</t>
        </is>
      </c>
      <c r="AS54" s="53" t="inlineStr">
        <is>
          <t>Non-technical</t>
        </is>
      </c>
      <c r="AT54" s="53" t="n">
        <v>20</v>
      </c>
      <c r="AU54" s="53" t="inlineStr">
        <is>
          <t>Covered</t>
        </is>
      </c>
      <c r="AV54" s="53" t="inlineStr">
        <is>
          <t>IRIS0520</t>
        </is>
      </c>
      <c r="AW54" s="53" t="inlineStr">
        <is>
          <t>Mandar Vatare</t>
        </is>
      </c>
      <c r="AX54" s="53" t="inlineStr">
        <is>
          <t>Services</t>
        </is>
      </c>
      <c r="AY54" s="53" t="inlineStr">
        <is>
          <t>Professional Services</t>
        </is>
      </c>
      <c r="AZ54" s="53" t="inlineStr">
        <is>
          <t>XBRL / Regulatory Reporting</t>
        </is>
      </c>
      <c r="BA54" s="53" t="n"/>
      <c r="BB54" s="53" t="n"/>
      <c r="BC54" s="53" t="inlineStr">
        <is>
          <t>Employee</t>
        </is>
      </c>
      <c r="BD54" s="53" t="inlineStr">
        <is>
          <t>Shailesh Kumar Sharma</t>
        </is>
      </c>
      <c r="BE54" s="53" t="inlineStr">
        <is>
          <t>Shailesh Kumar Sharma</t>
        </is>
      </c>
      <c r="BF54" s="53" t="inlineStr">
        <is>
          <t>No</t>
        </is>
      </c>
      <c r="BG54" s="53" t="inlineStr">
        <is>
          <t>Financial Analyst</t>
        </is>
      </c>
      <c r="BH54" s="53" t="inlineStr">
        <is>
          <t>Services Specialist</t>
        </is>
      </c>
      <c r="BI54" s="53" t="inlineStr">
        <is>
          <t>Yes</t>
        </is>
      </c>
      <c r="BJ54" s="53" t="inlineStr">
        <is>
          <t>—</t>
        </is>
      </c>
      <c r="BK54" s="53" t="inlineStr">
        <is>
          <t>—</t>
        </is>
      </c>
      <c r="BL54" s="53" t="inlineStr">
        <is>
          <t>—</t>
        </is>
      </c>
      <c r="BM54" s="53" t="inlineStr">
        <is>
          <t>Not a manager</t>
        </is>
      </c>
      <c r="BN54" s="53" t="inlineStr">
        <is>
          <t>—</t>
        </is>
      </c>
      <c r="BO54" s="53" t="inlineStr">
        <is>
          <t>—</t>
        </is>
      </c>
      <c r="BP54" s="53" t="inlineStr">
        <is>
          <t>—</t>
        </is>
      </c>
      <c r="BQ54" s="53" t="inlineStr">
        <is>
          <t>Not a manager</t>
        </is>
      </c>
      <c r="BR54" s="53" t="inlineStr">
        <is>
          <t>—</t>
        </is>
      </c>
      <c r="BS54" s="53" t="inlineStr">
        <is>
          <t>L3 – Professional / Associate</t>
        </is>
      </c>
      <c r="BT54" s="53" t="inlineStr">
        <is>
          <t>L2</t>
        </is>
      </c>
      <c r="BU54" s="53" t="inlineStr">
        <is>
          <t>Matched from Title Hierarchy · new designation</t>
        </is>
      </c>
      <c r="BV54"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W54" s="53" t="n"/>
      <c r="BX54" s="53" t="inlineStr">
        <is>
          <t>UK - HMRC; Europe - ESEF; Netherland - KVK.</t>
        </is>
      </c>
      <c r="BY54" s="53" t="n"/>
      <c r="BZ54" s="53" t="inlineStr">
        <is>
          <t>IRIS0520</t>
        </is>
      </c>
      <c r="CA54" s="53" t="inlineStr">
        <is>
          <t>Employee</t>
        </is>
      </c>
      <c r="CB54" s="53" t="inlineStr">
        <is>
          <t>Active</t>
        </is>
      </c>
      <c r="CC54" s="53" t="inlineStr">
        <is>
          <t>Mandar Vatare</t>
        </is>
      </c>
      <c r="CD54" s="54" t="n">
        <v>40325</v>
      </c>
      <c r="CE54" s="53" t="inlineStr">
        <is>
          <t>Financial Analyst</t>
        </is>
      </c>
      <c r="CF54" s="53" t="n"/>
      <c r="CG54" s="53" t="inlineStr">
        <is>
          <t>Professional Services</t>
        </is>
      </c>
      <c r="CH54" s="53" t="inlineStr">
        <is>
          <t>XBRL / Regulatory Reporting</t>
        </is>
      </c>
      <c r="CI54" s="53" t="inlineStr">
        <is>
          <t>Financial Analyst</t>
        </is>
      </c>
      <c r="CJ54" s="53" t="inlineStr">
        <is>
          <t>L3 – Professional / Associate</t>
        </is>
      </c>
      <c r="CK54" s="53" t="inlineStr">
        <is>
          <t>Shailesh Kumar Sharma</t>
        </is>
      </c>
      <c r="CL54" s="53" t="inlineStr">
        <is>
          <t>N-7</t>
        </is>
      </c>
      <c r="CM54" s="53" t="inlineStr">
        <is>
          <t>Individual Contributor</t>
        </is>
      </c>
      <c r="CN54" s="53" t="inlineStr">
        <is>
          <t>Regtech</t>
        </is>
      </c>
      <c r="CO54" s="53" t="inlineStr">
        <is>
          <t>Services</t>
        </is>
      </c>
      <c r="CP54" s="53" t="inlineStr">
        <is>
          <t>17 years, 0 months, 24 days</t>
        </is>
      </c>
      <c r="CQ54" s="53" t="inlineStr">
        <is>
          <t>Services Specialist</t>
        </is>
      </c>
      <c r="CR54" s="53" t="n"/>
      <c r="CS54" s="53" t="n">
        <v>3</v>
      </c>
      <c r="CT54" s="53" t="inlineStr">
        <is>
          <t>Medium</t>
        </is>
      </c>
      <c r="CU54" s="53" t="inlineStr">
        <is>
          <t>Core Contributor</t>
        </is>
      </c>
      <c r="CV54" s="53" t="inlineStr">
        <is>
          <t>No</t>
        </is>
      </c>
      <c r="CW54" s="53" t="inlineStr">
        <is>
          <t>No</t>
        </is>
      </c>
      <c r="CX54" s="53" t="inlineStr">
        <is>
          <t>Yes</t>
        </is>
      </c>
      <c r="CY54" s="53" t="n"/>
      <c r="CZ54" s="53" t="n"/>
      <c r="DA54" s="53" t="n"/>
      <c r="DB54" s="53" t="inlineStr">
        <is>
          <t>Title to be standardized to : Services Specialist</t>
        </is>
      </c>
      <c r="DC54" s="53" t="n"/>
      <c r="DD54" s="53" t="n"/>
      <c r="DE54" s="53" t="n"/>
      <c r="DF54" s="53" t="n"/>
      <c r="DG54" s="53" t="n"/>
      <c r="DH54" s="53" t="n"/>
      <c r="DI54" s="53" t="n"/>
      <c r="DJ54" s="53" t="n"/>
      <c r="DK54" s="53" t="n"/>
      <c r="DL54" s="53" t="n"/>
      <c r="DM54" s="53" t="n"/>
      <c r="DN54" s="53" t="n"/>
      <c r="DO54" s="53" t="n"/>
      <c r="DP54" s="53" t="n"/>
      <c r="DQ54" s="53" t="n"/>
      <c r="DR54" s="53" t="n"/>
      <c r="DS54" s="53" t="n"/>
      <c r="DT54" s="53" t="n"/>
      <c r="DU54" s="53" t="n"/>
      <c r="DV54" s="53" t="n"/>
      <c r="DW54" s="53" t="n"/>
      <c r="DX54" s="53" t="n"/>
      <c r="DY54" s="53" t="n"/>
      <c r="DZ54" s="53" t="n"/>
      <c r="EA54" s="53" t="n"/>
      <c r="EB54" s="53" t="n"/>
      <c r="EC54" s="53" t="n"/>
      <c r="ED54" s="53" t="n"/>
      <c r="EE54" s="53" t="n"/>
      <c r="EF54" s="53" t="n"/>
      <c r="EG54" s="53" t="n"/>
      <c r="EH54" s="53" t="n"/>
      <c r="EI54" s="53" t="n"/>
      <c r="EJ54" s="53" t="n"/>
      <c r="EK54" s="53" t="n"/>
      <c r="EL54" s="53" t="n"/>
      <c r="EM54" s="53" t="n"/>
      <c r="EN54" s="53" t="n"/>
      <c r="EO54" s="53" t="n"/>
      <c r="EP54" s="53" t="n"/>
      <c r="EQ54" s="53" t="n"/>
      <c r="ER54" s="53" t="n"/>
      <c r="ES54" s="53" t="n"/>
      <c r="ET54" s="53" t="n"/>
      <c r="EU54" s="53" t="n"/>
      <c r="EV54" s="53" t="n"/>
      <c r="EW54" s="52" t="n"/>
      <c r="EX54" s="53" t="inlineStr">
        <is>
          <t>• Role / sub-team: Quality Check analyst XCS- Uk, XBRL Tagging in EU &amp; KVK.</t>
        </is>
      </c>
      <c r="EY54" s="53" t="inlineStr">
        <is>
          <t>• Key responsibilities include: Tagging, QC &amp; Edits in EU &amp; KVK files.
• Reported deliverables and outcomes include: Email the final files to CEM.</t>
        </is>
      </c>
      <c r="EZ54" s="53" t="inlineStr">
        <is>
          <t>• Current capabilities: Time management; Good team communication; Tools / software used: Both.</t>
        </is>
      </c>
      <c r="FA54" s="53" t="inlineStr">
        <is>
          <t>• Development priorities: No input received.
• Learning and Development Need: Time management.</t>
        </is>
      </c>
      <c r="FB54" s="53" t="inlineStr">
        <is>
          <t>• Key challenges: Remote desktop - VPN.
• Support required: No input received.</t>
        </is>
      </c>
      <c r="FC54" s="53" t="n"/>
      <c r="FD54" s="53" t="n"/>
      <c r="FE54"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FF54" s="56" t="n"/>
      <c r="FG54" s="56" t="n"/>
      <c r="FH54" s="56" t="n"/>
      <c r="FI54" s="56" t="n"/>
      <c r="FJ54" s="56" t="inlineStr">
        <is>
          <t>Received · manager annual</t>
        </is>
      </c>
      <c r="FK54" s="56" t="inlineStr">
        <is>
          <t>CARBON Mapping Master</t>
        </is>
      </c>
      <c r="FL54" s="56" t="n">
        <v>20</v>
      </c>
      <c r="FM54" s="56" t="inlineStr">
        <is>
          <t>• Role / sub-team: Quality Check analyst XCS- Uk, XBRL Tagging in EU &amp; KVK.</t>
        </is>
      </c>
      <c r="FN54" s="56" t="inlineStr">
        <is>
          <t>• Key responsibilities include: Tagging, QC &amp; Edits in EU &amp; KVK files.
• Reported deliverables and outcomes include: Email the final files to CEM.</t>
        </is>
      </c>
      <c r="FO54" s="56" t="inlineStr">
        <is>
          <t>• Current capabilities: Time management; Good team communication; Tools / software used: Both.</t>
        </is>
      </c>
      <c r="FP54" s="56" t="inlineStr">
        <is>
          <t>• Development priorities: No input received.
• Learning and Development Need: Time management.</t>
        </is>
      </c>
      <c r="FQ54" s="56" t="inlineStr">
        <is>
          <t>• Key challenges: Remote desktop - VPN.
• Support required: No input received.</t>
        </is>
      </c>
      <c r="FR54" s="56" t="inlineStr">
        <is>
          <t>Complexity: Evidence reads like A3: QC of iXBRL reports plus ESMA and KVK tagging, tag selection, validation error resolution → moved up 0.5
Autonomy: Evidence reads like A2: Selects tags and makes corrections; resolves only standard validation issues alone → matches the start
Accountability: Evidence reads like A3: Completeness of QC checklist and review before finalisation; final files emailed to CEM → moved up 0.5
Leadership: Evidence reads like A3: QC analyst reviewing and editing other taggers' files → moved up 1
Business Impact: Moved +0.5: the survey / manager mapping marks it business-critical.</t>
        </is>
      </c>
      <c r="FS54" s="56"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FT54" s="56" t="inlineStr">
        <is>
          <t>Self-identified: AI / automation · Domain, regulatory &amp; XBRL · Broader exposure &amp; ownership
For the next role: AI / automation · Leadership &amp; people management · Domain, regulatory &amp; XBRL · Broader exposure &amp; ownership</t>
        </is>
      </c>
      <c r="FU54" s="56" t="inlineStr">
        <is>
          <t>Per-person summary · CARBON Mapping Master</t>
        </is>
      </c>
    </row>
    <row r="55" ht="90" customHeight="1">
      <c r="A55" s="51" t="inlineStr">
        <is>
          <t>◂ Back</t>
        </is>
      </c>
      <c r="B55" s="29" t="inlineStr">
        <is>
          <t>Mapped</t>
        </is>
      </c>
      <c r="C55" s="28" t="inlineStr">
        <is>
          <t>CARBON</t>
        </is>
      </c>
      <c r="D55" s="29" t="inlineStr">
        <is>
          <t>IRIS0466</t>
        </is>
      </c>
      <c r="E55" s="29" t="inlineStr">
        <is>
          <t>Nirmala Kalyadappu</t>
        </is>
      </c>
      <c r="F55" s="29" t="inlineStr">
        <is>
          <t>Services</t>
        </is>
      </c>
      <c r="G55" s="29" t="inlineStr">
        <is>
          <t>Financial Analyst</t>
        </is>
      </c>
      <c r="H55" s="29" t="inlineStr">
        <is>
          <t>Senior Financial Analyst</t>
        </is>
      </c>
      <c r="I55" s="29" t="inlineStr">
        <is>
          <t>L3 – Professional / Associate</t>
        </is>
      </c>
      <c r="J55" s="29" t="inlineStr">
        <is>
          <t>A3</t>
        </is>
      </c>
      <c r="K55" s="29" t="inlineStr">
        <is>
          <t>▲ Up</t>
        </is>
      </c>
      <c r="L55" s="29" t="inlineStr">
        <is>
          <t>Consulting &amp; Professional Services</t>
        </is>
      </c>
      <c r="M55" s="29" t="inlineStr">
        <is>
          <t>XBRL Tagging, Conversion &amp; Filing</t>
        </is>
      </c>
      <c r="N55" s="29" t="n"/>
      <c r="O55" s="29" t="n">
        <v>20</v>
      </c>
      <c r="P55" s="28" t="inlineStr">
        <is>
          <t>P2</t>
        </is>
      </c>
      <c r="Q55" s="29" t="inlineStr">
        <is>
          <t>Developing</t>
        </is>
      </c>
      <c r="R55" s="29" t="inlineStr">
        <is>
          <t>3 Apply</t>
        </is>
      </c>
      <c r="S55" s="29" t="inlineStr">
        <is>
          <t>2–4 yrs</t>
        </is>
      </c>
      <c r="T55" s="29" t="inlineStr">
        <is>
          <t>3–5 · 2–5</t>
        </is>
      </c>
      <c r="U55" s="29" t="inlineStr">
        <is>
          <t>Senior Analyst / Associate</t>
        </is>
      </c>
      <c r="V55" s="29" t="inlineStr">
        <is>
          <t>DataTracks: Senior Associate · 2–5 yrs · Big Four: Consultant · IRIS Vs Market Benchmark — XBRL US credential pathway: XBRL US GAAP Certificate</t>
        </is>
      </c>
      <c r="W55" s="29" t="inlineStr">
        <is>
          <t>XBRL US GAAP Certificate · AICPA &amp; XBRL US; XBRL International specifications; IFRS / US GAAP / Ind AS</t>
        </is>
      </c>
      <c r="X55" s="29" t="inlineStr">
        <is>
          <t>Core 2 · Future 2 · Functional 3 · Leadership not scored</t>
        </is>
      </c>
      <c r="Y55" s="52" t="n">
        <v>62</v>
      </c>
      <c r="Z55" s="53" t="inlineStr">
        <is>
          <t>IRIS0466</t>
        </is>
      </c>
      <c r="AA55" s="53" t="inlineStr">
        <is>
          <t>Employee</t>
        </is>
      </c>
      <c r="AB55" s="53" t="inlineStr">
        <is>
          <t>Active</t>
        </is>
      </c>
      <c r="AC55" s="53" t="inlineStr">
        <is>
          <t>Nirmala Kalyadappu</t>
        </is>
      </c>
      <c r="AD55" s="54" t="n">
        <v>40511</v>
      </c>
      <c r="AE55" s="53" t="inlineStr">
        <is>
          <t>Financial Analyst</t>
        </is>
      </c>
      <c r="AF55" s="53" t="inlineStr">
        <is>
          <t>B.Com</t>
        </is>
      </c>
      <c r="AG55" s="53" t="inlineStr">
        <is>
          <t>Shailesh Kumar Sharma</t>
        </is>
      </c>
      <c r="AH55" s="53" t="inlineStr">
        <is>
          <t>N-7</t>
        </is>
      </c>
      <c r="AI55" s="53" t="inlineStr">
        <is>
          <t>Individual Contributor</t>
        </is>
      </c>
      <c r="AJ55" s="53" t="inlineStr">
        <is>
          <t>1 years, 1 months, 0 days</t>
        </is>
      </c>
      <c r="AK55" s="53" t="inlineStr">
        <is>
          <t>15 years, 8 months, 27 days</t>
        </is>
      </c>
      <c r="AL55" s="53" t="inlineStr">
        <is>
          <t>Regtech</t>
        </is>
      </c>
      <c r="AM55" s="53" t="inlineStr">
        <is>
          <t>CARBON</t>
        </is>
      </c>
      <c r="AN55" s="53" t="inlineStr">
        <is>
          <t>Services</t>
        </is>
      </c>
      <c r="AO55" s="53" t="inlineStr">
        <is>
          <t>Expert Assisted services</t>
        </is>
      </c>
      <c r="AP55" s="53" t="inlineStr">
        <is>
          <t>No</t>
        </is>
      </c>
      <c r="AQ55" s="53" t="inlineStr">
        <is>
          <t>Professional Services</t>
        </is>
      </c>
      <c r="AR55" s="53" t="inlineStr">
        <is>
          <t>XBRL Domain</t>
        </is>
      </c>
      <c r="AS55" s="53" t="inlineStr">
        <is>
          <t>Non-technical</t>
        </is>
      </c>
      <c r="AT55" s="53" t="n">
        <v>20</v>
      </c>
      <c r="AU55" s="53" t="inlineStr">
        <is>
          <t>Covered</t>
        </is>
      </c>
      <c r="AV55" s="53" t="inlineStr">
        <is>
          <t>IRIS0466</t>
        </is>
      </c>
      <c r="AW55" s="53" t="inlineStr">
        <is>
          <t>Nirmala Kalyadappu</t>
        </is>
      </c>
      <c r="AX55" s="53" t="inlineStr">
        <is>
          <t>Services</t>
        </is>
      </c>
      <c r="AY55" s="53" t="inlineStr">
        <is>
          <t>Professional Services</t>
        </is>
      </c>
      <c r="AZ55" s="53" t="inlineStr">
        <is>
          <t>XBRL / Regulatory Reporting</t>
        </is>
      </c>
      <c r="BA55" s="53" t="n"/>
      <c r="BB55" s="53" t="n"/>
      <c r="BC55" s="53" t="inlineStr">
        <is>
          <t>Employee</t>
        </is>
      </c>
      <c r="BD55" s="53" t="inlineStr">
        <is>
          <t>Shailesh Kumar Sharma</t>
        </is>
      </c>
      <c r="BE55" s="53" t="inlineStr">
        <is>
          <t>Shailesh Kumar Sharma</t>
        </is>
      </c>
      <c r="BF55" s="53" t="inlineStr">
        <is>
          <t>No</t>
        </is>
      </c>
      <c r="BG55" s="53" t="inlineStr">
        <is>
          <t>Financial Analyst</t>
        </is>
      </c>
      <c r="BH55" s="53" t="inlineStr">
        <is>
          <t>Services Specialist</t>
        </is>
      </c>
      <c r="BI55" s="53" t="inlineStr">
        <is>
          <t>Yes</t>
        </is>
      </c>
      <c r="BJ55" s="53" t="inlineStr">
        <is>
          <t>—</t>
        </is>
      </c>
      <c r="BK55" s="53" t="inlineStr">
        <is>
          <t>—</t>
        </is>
      </c>
      <c r="BL55" s="53" t="inlineStr">
        <is>
          <t>—</t>
        </is>
      </c>
      <c r="BM55" s="53" t="inlineStr">
        <is>
          <t>Not a manager</t>
        </is>
      </c>
      <c r="BN55" s="53" t="inlineStr">
        <is>
          <t>—</t>
        </is>
      </c>
      <c r="BO55" s="53" t="inlineStr">
        <is>
          <t>—</t>
        </is>
      </c>
      <c r="BP55" s="53" t="inlineStr">
        <is>
          <t>—</t>
        </is>
      </c>
      <c r="BQ55" s="53" t="inlineStr">
        <is>
          <t>Not a manager</t>
        </is>
      </c>
      <c r="BR55" s="53" t="inlineStr">
        <is>
          <t>—</t>
        </is>
      </c>
      <c r="BS55" s="53" t="inlineStr">
        <is>
          <t>L3 – Professional / Associate</t>
        </is>
      </c>
      <c r="BT55" s="53" t="inlineStr">
        <is>
          <t>L2</t>
        </is>
      </c>
      <c r="BU55" s="53" t="inlineStr">
        <is>
          <t>Matched from Title Hierarchy · new designation</t>
        </is>
      </c>
      <c r="BV55"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W55" s="53" t="n"/>
      <c r="BX55" s="53" t="inlineStr">
        <is>
          <t>Europe - ESEF; UK - HMRC.</t>
        </is>
      </c>
      <c r="BY55" s="53" t="n"/>
      <c r="BZ55" s="53" t="inlineStr">
        <is>
          <t>IRIS0466</t>
        </is>
      </c>
      <c r="CA55" s="53" t="inlineStr">
        <is>
          <t>Employee</t>
        </is>
      </c>
      <c r="CB55" s="53" t="inlineStr">
        <is>
          <t>Active</t>
        </is>
      </c>
      <c r="CC55" s="53" t="inlineStr">
        <is>
          <t>Nirmala Kalyadappu</t>
        </is>
      </c>
      <c r="CD55" s="54" t="n">
        <v>40511</v>
      </c>
      <c r="CE55" s="53" t="inlineStr">
        <is>
          <t>Financial Analyst</t>
        </is>
      </c>
      <c r="CF55" s="53" t="n"/>
      <c r="CG55" s="53" t="inlineStr">
        <is>
          <t>Professional Services</t>
        </is>
      </c>
      <c r="CH55" s="53" t="inlineStr">
        <is>
          <t>XBRL / Regulatory Reporting</t>
        </is>
      </c>
      <c r="CI55" s="53" t="inlineStr">
        <is>
          <t>Financial Analyst</t>
        </is>
      </c>
      <c r="CJ55" s="53" t="inlineStr">
        <is>
          <t>L3 – Professional / Associate</t>
        </is>
      </c>
      <c r="CK55" s="53" t="inlineStr">
        <is>
          <t>Shailesh Kumar Sharma</t>
        </is>
      </c>
      <c r="CL55" s="53" t="inlineStr">
        <is>
          <t>N-7</t>
        </is>
      </c>
      <c r="CM55" s="53" t="inlineStr">
        <is>
          <t>Individual Contributor</t>
        </is>
      </c>
      <c r="CN55" s="53" t="inlineStr">
        <is>
          <t>Regtech</t>
        </is>
      </c>
      <c r="CO55" s="53" t="inlineStr">
        <is>
          <t>Services</t>
        </is>
      </c>
      <c r="CP55" s="53" t="inlineStr">
        <is>
          <t>16 years, 7 months, 22 days</t>
        </is>
      </c>
      <c r="CQ55" s="53" t="inlineStr">
        <is>
          <t>Services Specialist</t>
        </is>
      </c>
      <c r="CR55" s="53" t="n"/>
      <c r="CS55" s="53" t="n">
        <v>4</v>
      </c>
      <c r="CT55" s="53" t="inlineStr">
        <is>
          <t>High</t>
        </is>
      </c>
      <c r="CU55" s="53" t="inlineStr">
        <is>
          <t>Core Contributor</t>
        </is>
      </c>
      <c r="CV55" s="53" t="inlineStr">
        <is>
          <t>Yes</t>
        </is>
      </c>
      <c r="CW55" s="53" t="inlineStr">
        <is>
          <t>No</t>
        </is>
      </c>
      <c r="CX55" s="53" t="inlineStr">
        <is>
          <t>Yes</t>
        </is>
      </c>
      <c r="CY55" s="53" t="n"/>
      <c r="CZ55" s="53" t="n"/>
      <c r="DA55" s="53" t="n"/>
      <c r="DB55" s="53" t="inlineStr">
        <is>
          <t>Title to be standardized to : Services Specialist</t>
        </is>
      </c>
      <c r="DC55" s="53" t="n"/>
      <c r="DD55" s="53" t="n"/>
      <c r="DE55" s="53" t="n"/>
      <c r="DF55" s="53" t="n"/>
      <c r="DG55" s="53" t="n"/>
      <c r="DH55" s="53" t="n"/>
      <c r="DI55" s="53" t="n"/>
      <c r="DJ55" s="53" t="n"/>
      <c r="DK55" s="53" t="n"/>
      <c r="DL55" s="53" t="n"/>
      <c r="DM55" s="53" t="n"/>
      <c r="DN55" s="53" t="n"/>
      <c r="DO55" s="53" t="n"/>
      <c r="DP55" s="53" t="n"/>
      <c r="DQ55" s="53" t="n"/>
      <c r="DR55" s="53" t="n"/>
      <c r="DS55" s="53" t="n"/>
      <c r="DT55" s="53" t="n"/>
      <c r="DU55" s="53" t="n"/>
      <c r="DV55" s="53" t="n"/>
      <c r="DW55" s="53" t="n"/>
      <c r="DX55" s="53" t="n"/>
      <c r="DY55" s="53" t="n"/>
      <c r="DZ55" s="53" t="n"/>
      <c r="EA55" s="53" t="n"/>
      <c r="EB55" s="53" t="n"/>
      <c r="EC55" s="53" t="n"/>
      <c r="ED55" s="53" t="n"/>
      <c r="EE55" s="53" t="n"/>
      <c r="EF55" s="53" t="n"/>
      <c r="EG55" s="53" t="n"/>
      <c r="EH55" s="53" t="n"/>
      <c r="EI55" s="53" t="n"/>
      <c r="EJ55" s="53" t="n"/>
      <c r="EK55" s="53" t="n"/>
      <c r="EL55" s="53" t="n"/>
      <c r="EM55" s="53" t="n"/>
      <c r="EN55" s="53" t="n"/>
      <c r="EO55" s="53" t="n"/>
      <c r="EP55" s="53" t="n"/>
      <c r="EQ55" s="53" t="n"/>
      <c r="ER55" s="53" t="n"/>
      <c r="ES55" s="53" t="n"/>
      <c r="ET55" s="53" t="n"/>
      <c r="EU55" s="53" t="n"/>
      <c r="EV55" s="53" t="n"/>
      <c r="EW55" s="52" t="n"/>
      <c r="EX55" s="53" t="inlineStr">
        <is>
          <t>• Role / sub-team: XBRL Conversion Services.</t>
        </is>
      </c>
      <c r="EY55" s="53" t="inlineStr">
        <is>
          <t>• Key responsibilities include: QC of UK files,ESMA files tagging.
• Reported deliverables and outcomes include: After completing QC it is handover to PMO.</t>
        </is>
      </c>
      <c r="EZ55" s="53" t="inlineStr">
        <is>
          <t>• Current capabilities: Time management; Tools / software used: Carbon [Teams chat].</t>
        </is>
      </c>
      <c r="FA55" s="53" t="inlineStr">
        <is>
          <t>• Development priorities: No input received.
• Learning and Development Need: Proper planning.</t>
        </is>
      </c>
      <c r="FB55" s="53" t="inlineStr">
        <is>
          <t>• Key challenges: No input received.
• Support required: No input received.</t>
        </is>
      </c>
      <c r="FC55" s="53" t="n"/>
      <c r="FD55" s="53" t="n"/>
      <c r="FE55"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FF55" s="56" t="n"/>
      <c r="FG55" s="56" t="n"/>
      <c r="FH55" s="56" t="n"/>
      <c r="FI55" s="56" t="n"/>
      <c r="FJ55" s="56" t="inlineStr">
        <is>
          <t>Received · manager annual</t>
        </is>
      </c>
      <c r="FK55" s="56" t="inlineStr">
        <is>
          <t>CARBON Mapping Master</t>
        </is>
      </c>
      <c r="FL55" s="56" t="n">
        <v>20</v>
      </c>
      <c r="FM55" s="56" t="inlineStr">
        <is>
          <t>• Role / sub-team: XBRL Conversion Services.</t>
        </is>
      </c>
      <c r="FN55" s="56" t="inlineStr">
        <is>
          <t>• Key responsibilities include: QC of UK files,ESMA files tagging.
• Reported deliverables and outcomes include: After completing QC it is handover to PMO.</t>
        </is>
      </c>
      <c r="FO55" s="56" t="inlineStr">
        <is>
          <t>• Current capabilities: Time management; Tools / software used: Carbon [Teams chat].</t>
        </is>
      </c>
      <c r="FP55" s="56" t="inlineStr">
        <is>
          <t>• Development priorities: No input received.
• Learning and Development Need: Proper planning.</t>
        </is>
      </c>
      <c r="FQ55" s="56" t="inlineStr">
        <is>
          <t>• Key challenges: No input received.
• Support required: No input received.</t>
        </is>
      </c>
      <c r="FR55" s="56" t="inlineStr">
        <is>
          <t>Business Impact: Moved +0.5: the survey / manager mapping marks it business-critical.</t>
        </is>
      </c>
      <c r="FS55" s="56"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FT55" s="56" t="inlineStr">
        <is>
          <t>Self-identified: AI / automation · Domain, regulatory &amp; XBRL · Broader exposure &amp; ownership
For the next role: AI / automation · Domain, regulatory &amp; XBRL · Client, sales &amp; stakeholders · Broader exposure &amp; ownership</t>
        </is>
      </c>
      <c r="FU55" s="56" t="inlineStr">
        <is>
          <t>Per-person summary · CARBON Mapping Master</t>
        </is>
      </c>
    </row>
    <row r="56" ht="90" customHeight="1">
      <c r="A56" s="51" t="inlineStr">
        <is>
          <t>◂ Back</t>
        </is>
      </c>
      <c r="B56" s="29" t="inlineStr">
        <is>
          <t>Mapped</t>
        </is>
      </c>
      <c r="C56" s="28" t="inlineStr">
        <is>
          <t>CARBON</t>
        </is>
      </c>
      <c r="D56" s="29" t="inlineStr">
        <is>
          <t>IRIS0149</t>
        </is>
      </c>
      <c r="E56" s="29" t="inlineStr">
        <is>
          <t>Sunny Kirtane</t>
        </is>
      </c>
      <c r="F56" s="29" t="inlineStr">
        <is>
          <t>Services</t>
        </is>
      </c>
      <c r="G56" s="29" t="inlineStr">
        <is>
          <t>Senior Financial Analyst</t>
        </is>
      </c>
      <c r="H56" s="29" t="inlineStr">
        <is>
          <t>Senior Financial Analyst</t>
        </is>
      </c>
      <c r="I56" s="29" t="inlineStr">
        <is>
          <t>L4 – Senior</t>
        </is>
      </c>
      <c r="J56" s="29" t="inlineStr">
        <is>
          <t>A3</t>
        </is>
      </c>
      <c r="K56" s="29" t="inlineStr">
        <is>
          <t>• Same level</t>
        </is>
      </c>
      <c r="L56" s="29" t="inlineStr">
        <is>
          <t>Consulting &amp; Professional Services</t>
        </is>
      </c>
      <c r="M56" s="29" t="inlineStr">
        <is>
          <t>XBRL Tagging, Conversion &amp; Filing</t>
        </is>
      </c>
      <c r="N56" s="29" t="n"/>
      <c r="O56" s="29" t="n">
        <v>20</v>
      </c>
      <c r="P56" s="28" t="inlineStr">
        <is>
          <t>P2</t>
        </is>
      </c>
      <c r="Q56" s="29" t="inlineStr">
        <is>
          <t>Developing</t>
        </is>
      </c>
      <c r="R56" s="29" t="inlineStr">
        <is>
          <t>3 Apply</t>
        </is>
      </c>
      <c r="S56" s="29" t="inlineStr">
        <is>
          <t>2–4 yrs</t>
        </is>
      </c>
      <c r="T56" s="29" t="inlineStr">
        <is>
          <t>3–5 · 2–5</t>
        </is>
      </c>
      <c r="U56" s="29" t="inlineStr">
        <is>
          <t>Senior Analyst / Associate</t>
        </is>
      </c>
      <c r="V56" s="29" t="inlineStr">
        <is>
          <t>DataTracks: Senior Associate · 2–5 yrs · Big Four: Consultant · IRIS Vs Market Benchmark — XBRL US credential pathway: XBRL US GAAP Certificate</t>
        </is>
      </c>
      <c r="W56" s="29" t="inlineStr">
        <is>
          <t>XBRL US GAAP Certificate · AICPA &amp; XBRL US; XBRL International specifications; IFRS / US GAAP / Ind AS</t>
        </is>
      </c>
      <c r="X56" s="29" t="inlineStr">
        <is>
          <t>Core 2 · Future 2 · Functional 3 · Leadership not scored</t>
        </is>
      </c>
      <c r="Y56" s="52" t="n">
        <v>33</v>
      </c>
      <c r="Z56" s="53" t="inlineStr">
        <is>
          <t>IRIS0149</t>
        </is>
      </c>
      <c r="AA56" s="53" t="inlineStr">
        <is>
          <t>Employee</t>
        </is>
      </c>
      <c r="AB56" s="53" t="inlineStr">
        <is>
          <t>Active</t>
        </is>
      </c>
      <c r="AC56" s="53" t="inlineStr">
        <is>
          <t>Sunny Kirtane</t>
        </is>
      </c>
      <c r="AD56" s="54" t="n">
        <v>39426</v>
      </c>
      <c r="AE56" s="53" t="inlineStr">
        <is>
          <t>Senior Financial Analyst</t>
        </is>
      </c>
      <c r="AF56" s="53" t="inlineStr">
        <is>
          <t>B.Com</t>
        </is>
      </c>
      <c r="AG56" s="53" t="inlineStr">
        <is>
          <t>Shailesh Kumar Sharma</t>
        </is>
      </c>
      <c r="AH56" s="53" t="inlineStr">
        <is>
          <t>N-7</t>
        </is>
      </c>
      <c r="AI56" s="53" t="inlineStr">
        <is>
          <t>Individual Contributor</t>
        </is>
      </c>
      <c r="AJ56" s="53" t="inlineStr">
        <is>
          <t>0 years, 0 months, 0 days</t>
        </is>
      </c>
      <c r="AK56" s="53" t="inlineStr">
        <is>
          <t>18 years, 8 months, 15 days</t>
        </is>
      </c>
      <c r="AL56" s="53" t="inlineStr">
        <is>
          <t>Regtech</t>
        </is>
      </c>
      <c r="AM56" s="53" t="inlineStr">
        <is>
          <t>CARBON</t>
        </is>
      </c>
      <c r="AN56" s="53" t="inlineStr">
        <is>
          <t>Services</t>
        </is>
      </c>
      <c r="AO56" s="53" t="inlineStr">
        <is>
          <t>Expert Assisted services</t>
        </is>
      </c>
      <c r="AP56" s="53" t="inlineStr">
        <is>
          <t>No</t>
        </is>
      </c>
      <c r="AQ56" s="53" t="inlineStr">
        <is>
          <t>Professional Services</t>
        </is>
      </c>
      <c r="AR56" s="53" t="inlineStr">
        <is>
          <t>XBRL Domain</t>
        </is>
      </c>
      <c r="AS56" s="53" t="inlineStr">
        <is>
          <t>Non-technical</t>
        </is>
      </c>
      <c r="AT56" s="53" t="n">
        <v>20</v>
      </c>
      <c r="AU56" s="53" t="inlineStr">
        <is>
          <t>Covered</t>
        </is>
      </c>
      <c r="AV56" s="53" t="inlineStr">
        <is>
          <t>IRIS0149</t>
        </is>
      </c>
      <c r="AW56" s="53" t="inlineStr">
        <is>
          <t>Sunny Kirtane</t>
        </is>
      </c>
      <c r="AX56" s="53" t="inlineStr">
        <is>
          <t>Services</t>
        </is>
      </c>
      <c r="AY56" s="53" t="inlineStr">
        <is>
          <t>Professional Services</t>
        </is>
      </c>
      <c r="AZ56" s="53" t="inlineStr">
        <is>
          <t>XBRL / Regulatory Reporting</t>
        </is>
      </c>
      <c r="BA56" s="53" t="n"/>
      <c r="BB56" s="53" t="n"/>
      <c r="BC56" s="53" t="inlineStr">
        <is>
          <t>Employee</t>
        </is>
      </c>
      <c r="BD56" s="53" t="inlineStr">
        <is>
          <t>Shailesh Kumar Sharma</t>
        </is>
      </c>
      <c r="BE56" s="53" t="inlineStr">
        <is>
          <t>Shailesh Kumar Sharma</t>
        </is>
      </c>
      <c r="BF56" s="53" t="inlineStr">
        <is>
          <t>No</t>
        </is>
      </c>
      <c r="BG56" s="53" t="inlineStr">
        <is>
          <t>Senior Financial Analyst</t>
        </is>
      </c>
      <c r="BH56" s="53" t="inlineStr">
        <is>
          <t>Senior Services Specialist</t>
        </is>
      </c>
      <c r="BI56" s="53" t="inlineStr">
        <is>
          <t>Yes</t>
        </is>
      </c>
      <c r="BJ56" s="53" t="inlineStr">
        <is>
          <t>—</t>
        </is>
      </c>
      <c r="BK56" s="53" t="inlineStr">
        <is>
          <t>—</t>
        </is>
      </c>
      <c r="BL56" s="53" t="inlineStr">
        <is>
          <t>—</t>
        </is>
      </c>
      <c r="BM56" s="53" t="inlineStr">
        <is>
          <t>Not a manager</t>
        </is>
      </c>
      <c r="BN56" s="53" t="inlineStr">
        <is>
          <t>—</t>
        </is>
      </c>
      <c r="BO56" s="53" t="inlineStr">
        <is>
          <t>—</t>
        </is>
      </c>
      <c r="BP56" s="53" t="inlineStr">
        <is>
          <t>—</t>
        </is>
      </c>
      <c r="BQ56" s="53" t="inlineStr">
        <is>
          <t>Not a manager</t>
        </is>
      </c>
      <c r="BR56" s="53" t="inlineStr">
        <is>
          <t>—</t>
        </is>
      </c>
      <c r="BS56" s="53" t="inlineStr">
        <is>
          <t>L4 – Senior</t>
        </is>
      </c>
      <c r="BT56" s="53" t="inlineStr">
        <is>
          <t>L4 – Senior</t>
        </is>
      </c>
      <c r="BU56" s="53" t="inlineStr">
        <is>
          <t>Designation refined from Raw tab Comments column · this update</t>
        </is>
      </c>
      <c r="BV56"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W56" s="53" t="n"/>
      <c r="BX56" s="53" t="inlineStr">
        <is>
          <t>South Africa - CIPC; UK - HMRC; Europe - ESEF.</t>
        </is>
      </c>
      <c r="BY56" s="53" t="n"/>
      <c r="BZ56" s="53" t="inlineStr">
        <is>
          <t>IRIS0149</t>
        </is>
      </c>
      <c r="CA56" s="53" t="inlineStr">
        <is>
          <t>Employee</t>
        </is>
      </c>
      <c r="CB56" s="53" t="inlineStr">
        <is>
          <t>Active</t>
        </is>
      </c>
      <c r="CC56" s="53" t="inlineStr">
        <is>
          <t>Sunny Kirtane</t>
        </is>
      </c>
      <c r="CD56" s="54" t="n">
        <v>39426</v>
      </c>
      <c r="CE56" s="53" t="inlineStr">
        <is>
          <t>Senior Financial Analyst</t>
        </is>
      </c>
      <c r="CF56" s="53" t="n"/>
      <c r="CG56" s="53" t="inlineStr">
        <is>
          <t>Professional Services</t>
        </is>
      </c>
      <c r="CH56" s="53" t="inlineStr">
        <is>
          <t>XBRL / Regulatory Reporting</t>
        </is>
      </c>
      <c r="CI56" s="53" t="inlineStr">
        <is>
          <t>Senior Financial Analyst</t>
        </is>
      </c>
      <c r="CJ56" s="53" t="inlineStr">
        <is>
          <t>L4 – Senior</t>
        </is>
      </c>
      <c r="CK56" s="53" t="inlineStr">
        <is>
          <t>Shailesh Kumar Sharma</t>
        </is>
      </c>
      <c r="CL56" s="53" t="inlineStr">
        <is>
          <t>N-7</t>
        </is>
      </c>
      <c r="CM56" s="53" t="inlineStr">
        <is>
          <t>Individual Contributor</t>
        </is>
      </c>
      <c r="CN56" s="53" t="inlineStr">
        <is>
          <t>Regtech</t>
        </is>
      </c>
      <c r="CO56" s="53" t="inlineStr">
        <is>
          <t>Services</t>
        </is>
      </c>
      <c r="CP56" s="53" t="inlineStr">
        <is>
          <t>18 years, 6 months, 10 days</t>
        </is>
      </c>
      <c r="CQ56" s="53" t="inlineStr">
        <is>
          <t>Senior Services Specialst</t>
        </is>
      </c>
      <c r="CR56" s="53" t="n"/>
      <c r="CS56" s="53" t="n">
        <v>3</v>
      </c>
      <c r="CT56" s="53" t="inlineStr">
        <is>
          <t>Medium</t>
        </is>
      </c>
      <c r="CU56" s="53" t="inlineStr">
        <is>
          <t>Core Contributor</t>
        </is>
      </c>
      <c r="CV56" s="53" t="inlineStr">
        <is>
          <t>No</t>
        </is>
      </c>
      <c r="CW56" s="53" t="inlineStr">
        <is>
          <t>No</t>
        </is>
      </c>
      <c r="CX56" s="53" t="inlineStr">
        <is>
          <t>Yes</t>
        </is>
      </c>
      <c r="CY56" s="53" t="n"/>
      <c r="CZ56" s="53" t="n"/>
      <c r="DA56" s="53" t="n"/>
      <c r="DB56" s="53" t="inlineStr">
        <is>
          <t>Title to be standardized to: Senior Services Specialist</t>
        </is>
      </c>
      <c r="DC56" s="53" t="n"/>
      <c r="DD56" s="53" t="n"/>
      <c r="DE56" s="53" t="n"/>
      <c r="DF56" s="53" t="n"/>
      <c r="DG56" s="53" t="n"/>
      <c r="DH56" s="53" t="n"/>
      <c r="DI56" s="53" t="n"/>
      <c r="DJ56" s="53" t="n"/>
      <c r="DK56" s="53" t="n"/>
      <c r="DL56" s="53" t="n"/>
      <c r="DM56" s="53" t="n"/>
      <c r="DN56" s="53" t="n"/>
      <c r="DO56" s="53" t="n"/>
      <c r="DP56" s="53" t="n"/>
      <c r="DQ56" s="53" t="n"/>
      <c r="DR56" s="53" t="n"/>
      <c r="DS56" s="53" t="n"/>
      <c r="DT56" s="53" t="n"/>
      <c r="DU56" s="53" t="n"/>
      <c r="DV56" s="53" t="n"/>
      <c r="DW56" s="53" t="n"/>
      <c r="DX56" s="53" t="n"/>
      <c r="DY56" s="53" t="n"/>
      <c r="DZ56" s="53" t="n"/>
      <c r="EA56" s="53" t="n"/>
      <c r="EB56" s="53" t="n"/>
      <c r="EC56" s="53" t="n"/>
      <c r="ED56" s="53" t="n"/>
      <c r="EE56" s="53" t="n"/>
      <c r="EF56" s="53" t="n"/>
      <c r="EG56" s="53" t="n"/>
      <c r="EH56" s="53" t="n"/>
      <c r="EI56" s="53" t="n"/>
      <c r="EJ56" s="53" t="n"/>
      <c r="EK56" s="53" t="n"/>
      <c r="EL56" s="53" t="n"/>
      <c r="EM56" s="53" t="n"/>
      <c r="EN56" s="53" t="n"/>
      <c r="EO56" s="53" t="n"/>
      <c r="EP56" s="53" t="n"/>
      <c r="EQ56" s="53" t="n"/>
      <c r="ER56" s="53" t="n"/>
      <c r="ES56" s="53" t="n"/>
      <c r="ET56" s="53" t="n"/>
      <c r="EU56" s="53" t="n"/>
      <c r="EV56" s="53" t="n"/>
      <c r="EW56" s="52" t="n"/>
      <c r="EX56" s="53" t="inlineStr">
        <is>
          <t>• Role / sub-team: UK ESMA CIPC.</t>
        </is>
      </c>
      <c r="EY56" s="53" t="inlineStr">
        <is>
          <t>• Key responsibilities include: Formatting, tagging and quality analysis of allotted files.
• Reported deliverables and outcomes include: On ESMA, completed work with pending-task details is handed over to whoever is on the next shift.</t>
        </is>
      </c>
      <c r="EZ56" s="53" t="inlineStr">
        <is>
          <t>• Current capabilities: Adaptability of work; Tools / software used: HTML - Editor.</t>
        </is>
      </c>
      <c r="FA56" s="53" t="inlineStr">
        <is>
          <t>• Development priorities: No input received.
• Learning and Development Need: Work efficiently.</t>
        </is>
      </c>
      <c r="FB56" s="53" t="inlineStr">
        <is>
          <t>• Key challenges: No input received.
• Support required: No input received.</t>
        </is>
      </c>
      <c r="FC56" s="53" t="n"/>
      <c r="FD56" s="53" t="n"/>
      <c r="FE56"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FF56" s="56" t="n"/>
      <c r="FG56" s="56" t="n"/>
      <c r="FH56" s="56" t="n"/>
      <c r="FI56" s="56" t="n"/>
      <c r="FJ56" s="56" t="inlineStr">
        <is>
          <t>Received · manager annual</t>
        </is>
      </c>
      <c r="FK56" s="56" t="inlineStr">
        <is>
          <t>CARBON Mapping Master</t>
        </is>
      </c>
      <c r="FL56" s="56" t="n">
        <v>20</v>
      </c>
      <c r="FM56" s="56" t="inlineStr">
        <is>
          <t>• Role / sub-team: UK ESMA CIPC.</t>
        </is>
      </c>
      <c r="FN56" s="56" t="inlineStr">
        <is>
          <t>• Key responsibilities include: Formatting, tagging and quality analysis of allotted files.
• Reported deliverables and outcomes include: On ESMA, completed work with pending-task details is handed over to whoever is on the next shift.</t>
        </is>
      </c>
      <c r="FO56" s="56" t="inlineStr">
        <is>
          <t>• Current capabilities: Adaptability of work; Tools / software used: HTML - Editor.</t>
        </is>
      </c>
      <c r="FP56" s="56" t="inlineStr">
        <is>
          <t>• Development priorities: No input received.
• Learning and Development Need: Work efficiently.</t>
        </is>
      </c>
      <c r="FQ56" s="56" t="inlineStr">
        <is>
          <t>• Key challenges: No input received.
• Support required: No input received.</t>
        </is>
      </c>
      <c r="FR56" s="56" t="inlineStr">
        <is>
          <t>Complexity: Evidence reads like A3: own survey / KRA answers · summarised by the rater; not quoted → matches the start
Autonomy: Evidence reads like A2: Decision scope stated only vaguely; works on allotted files → moved down 0.5
Accountability: Evidence reads like A2: own survey / KRA answers · summarised by the rater; not quoted → moved down 0.5
Leadership: Evidence reads like A1: No guiding or leading of others described → moved down 0.5
Business Impact: Moved +0.5: the survey / manager mapping marks it business-critical.</t>
        </is>
      </c>
      <c r="FS56" s="56"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FT56" s="56" t="inlineStr">
        <is>
          <t>Self-identified: Project / programme management · Domain, regulatory &amp; XBRL
For the next role: Project / programme management · Domain, regulatory &amp; XBRL</t>
        </is>
      </c>
      <c r="FU56" s="56" t="inlineStr">
        <is>
          <t>Per-person summary · CARBON Mapping Master</t>
        </is>
      </c>
    </row>
    <row r="57" ht="90" customHeight="1">
      <c r="A57" s="51" t="inlineStr">
        <is>
          <t>◂ Back</t>
        </is>
      </c>
      <c r="B57" s="29" t="inlineStr">
        <is>
          <t>Mapped</t>
        </is>
      </c>
      <c r="C57" s="28" t="inlineStr">
        <is>
          <t>CARBON</t>
        </is>
      </c>
      <c r="D57" s="29" t="inlineStr">
        <is>
          <t>IRIS0558</t>
        </is>
      </c>
      <c r="E57" s="29" t="inlineStr">
        <is>
          <t>Jayaprakash Arumugam</t>
        </is>
      </c>
      <c r="F57" s="29" t="inlineStr">
        <is>
          <t>Services</t>
        </is>
      </c>
      <c r="G57" s="29" t="inlineStr">
        <is>
          <t>Senior Financial Analyst</t>
        </is>
      </c>
      <c r="H57" s="29" t="inlineStr">
        <is>
          <t>XBRL Specialist</t>
        </is>
      </c>
      <c r="I57" s="29" t="inlineStr">
        <is>
          <t>L4 – Senior</t>
        </is>
      </c>
      <c r="J57" s="29" t="inlineStr">
        <is>
          <t>B1</t>
        </is>
      </c>
      <c r="K57" s="29" t="inlineStr">
        <is>
          <t>▲ Up</t>
        </is>
      </c>
      <c r="L57" s="29" t="inlineStr">
        <is>
          <t>Consulting &amp; Professional Services</t>
        </is>
      </c>
      <c r="M57" s="29" t="inlineStr">
        <is>
          <t>XBRL Tagging, Conversion &amp; Filing</t>
        </is>
      </c>
      <c r="N57" s="29" t="n"/>
      <c r="O57" s="29" t="n">
        <v>18</v>
      </c>
      <c r="P57" s="28" t="inlineStr">
        <is>
          <t>P3 / M2</t>
        </is>
      </c>
      <c r="Q57" s="29" t="inlineStr">
        <is>
          <t>Career / · Team Lead</t>
        </is>
      </c>
      <c r="R57" s="29" t="inlineStr">
        <is>
          <t>4 Enable</t>
        </is>
      </c>
      <c r="S57" s="29" t="inlineStr">
        <is>
          <t>4–7 yrs</t>
        </is>
      </c>
      <c r="T57" s="29" t="inlineStr">
        <is>
          <t>5–8 · 4–8</t>
        </is>
      </c>
      <c r="U57" s="29" t="inlineStr">
        <is>
          <t>Consultant / Senior Associate</t>
        </is>
      </c>
      <c r="V57" s="29" t="inlineStr">
        <is>
          <t>Big Four: Senior Consultant · IRIS Vs Market Benchmark — XBRL US credential pathway: Certificate + specialist taxonomy</t>
        </is>
      </c>
      <c r="W57" s="29" t="inlineStr">
        <is>
          <t>XBRL US GAAP Certificate · AICPA &amp; XBRL US; XBRL International specifications; IFRS / US GAAP / Ind AS</t>
        </is>
      </c>
      <c r="X57" s="29" t="inlineStr">
        <is>
          <t>Core 3 · Future 3 · Functional 3 · Leadership 1</t>
        </is>
      </c>
      <c r="Y57" s="52" t="n">
        <v>74</v>
      </c>
      <c r="Z57" s="53" t="inlineStr">
        <is>
          <t>IRIS0558</t>
        </is>
      </c>
      <c r="AA57" s="53" t="inlineStr">
        <is>
          <t>Employee</t>
        </is>
      </c>
      <c r="AB57" s="53" t="inlineStr">
        <is>
          <t>Active</t>
        </is>
      </c>
      <c r="AC57" s="53" t="inlineStr">
        <is>
          <t>Jayaprakash Arumugam</t>
        </is>
      </c>
      <c r="AD57" s="54" t="n">
        <v>40609</v>
      </c>
      <c r="AE57" s="53" t="inlineStr">
        <is>
          <t>Senior Financial Analyst</t>
        </is>
      </c>
      <c r="AF57" s="53" t="inlineStr">
        <is>
          <t>B.Com</t>
        </is>
      </c>
      <c r="AG57" s="53" t="inlineStr">
        <is>
          <t>Shashikant Mudaliar</t>
        </is>
      </c>
      <c r="AH57" s="53" t="inlineStr">
        <is>
          <t>N-6</t>
        </is>
      </c>
      <c r="AI57" s="53" t="inlineStr">
        <is>
          <t>Individual Contributor</t>
        </is>
      </c>
      <c r="AJ57" s="53" t="inlineStr">
        <is>
          <t>3 years, 5 months, 0 days</t>
        </is>
      </c>
      <c r="AK57" s="53" t="inlineStr">
        <is>
          <t>15 years, 5 months, 18 days</t>
        </is>
      </c>
      <c r="AL57" s="53" t="inlineStr">
        <is>
          <t>Regtech</t>
        </is>
      </c>
      <c r="AM57" s="53" t="inlineStr">
        <is>
          <t>CARBON</t>
        </is>
      </c>
      <c r="AN57" s="53" t="inlineStr">
        <is>
          <t>Services</t>
        </is>
      </c>
      <c r="AO57" s="53" t="inlineStr">
        <is>
          <t>Expert Assisted services</t>
        </is>
      </c>
      <c r="AP57" s="53" t="inlineStr">
        <is>
          <t>No</t>
        </is>
      </c>
      <c r="AQ57" s="53" t="inlineStr">
        <is>
          <t>Professional Services</t>
        </is>
      </c>
      <c r="AR57" s="53" t="inlineStr">
        <is>
          <t>XBRL Domain</t>
        </is>
      </c>
      <c r="AS57" s="53" t="inlineStr">
        <is>
          <t>Non-technical</t>
        </is>
      </c>
      <c r="AT57" s="53" t="n">
        <v>20</v>
      </c>
      <c r="AU57" s="53" t="inlineStr">
        <is>
          <t>Covered</t>
        </is>
      </c>
      <c r="AV57" s="53" t="inlineStr">
        <is>
          <t>IRIS0558</t>
        </is>
      </c>
      <c r="AW57" s="53" t="inlineStr">
        <is>
          <t>Jayaprakash Arumugam</t>
        </is>
      </c>
      <c r="AX57" s="53" t="inlineStr">
        <is>
          <t>Services</t>
        </is>
      </c>
      <c r="AY57" s="53" t="inlineStr">
        <is>
          <t>Professional Services</t>
        </is>
      </c>
      <c r="AZ57" s="53" t="inlineStr">
        <is>
          <t>XBRL / Regulatory Reporting</t>
        </is>
      </c>
      <c r="BA57" s="53" t="n"/>
      <c r="BB57" s="53" t="n"/>
      <c r="BC57" s="53" t="inlineStr">
        <is>
          <t>Employee</t>
        </is>
      </c>
      <c r="BD57" s="53" t="inlineStr">
        <is>
          <t>Shashikant Mudaliar</t>
        </is>
      </c>
      <c r="BE57" s="53" t="inlineStr">
        <is>
          <t>Shashikant Mudaliar</t>
        </is>
      </c>
      <c r="BF57" s="53" t="inlineStr">
        <is>
          <t>No</t>
        </is>
      </c>
      <c r="BG57" s="53" t="inlineStr">
        <is>
          <t>Senior Financial Analyst</t>
        </is>
      </c>
      <c r="BH57" s="53" t="inlineStr">
        <is>
          <t>Senior Services Specialist</t>
        </is>
      </c>
      <c r="BI57" s="53" t="inlineStr">
        <is>
          <t>Yes</t>
        </is>
      </c>
      <c r="BJ57" s="53" t="inlineStr">
        <is>
          <t>—</t>
        </is>
      </c>
      <c r="BK57" s="53" t="inlineStr">
        <is>
          <t>—</t>
        </is>
      </c>
      <c r="BL57" s="53" t="inlineStr">
        <is>
          <t>—</t>
        </is>
      </c>
      <c r="BM57" s="53" t="inlineStr">
        <is>
          <t>Not a manager</t>
        </is>
      </c>
      <c r="BN57" s="53" t="inlineStr">
        <is>
          <t>—</t>
        </is>
      </c>
      <c r="BO57" s="53" t="inlineStr">
        <is>
          <t>—</t>
        </is>
      </c>
      <c r="BP57" s="53" t="inlineStr">
        <is>
          <t>—</t>
        </is>
      </c>
      <c r="BQ57" s="53" t="inlineStr">
        <is>
          <t>Not a manager</t>
        </is>
      </c>
      <c r="BR57" s="53" t="inlineStr">
        <is>
          <t>—</t>
        </is>
      </c>
      <c r="BS57" s="53" t="inlineStr">
        <is>
          <t>L4 – Senior</t>
        </is>
      </c>
      <c r="BT57" s="53" t="inlineStr">
        <is>
          <t>L4 – Senior</t>
        </is>
      </c>
      <c r="BU57" s="53" t="inlineStr">
        <is>
          <t>Designation refined from Raw tab Comments column · this update</t>
        </is>
      </c>
      <c r="BV57" s="53" t="inlineStr">
        <is>
          <t>1. Complete assigned XBRL mapping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W57" s="53" t="n"/>
      <c r="BX57" s="53" t="inlineStr">
        <is>
          <t>USA - SEC.</t>
        </is>
      </c>
      <c r="BY57" s="53" t="n"/>
      <c r="BZ57" s="53" t="inlineStr">
        <is>
          <t>IRIS0558</t>
        </is>
      </c>
      <c r="CA57" s="53" t="inlineStr">
        <is>
          <t>Employee</t>
        </is>
      </c>
      <c r="CB57" s="53" t="inlineStr">
        <is>
          <t>Active</t>
        </is>
      </c>
      <c r="CC57" s="53" t="inlineStr">
        <is>
          <t>Jayaprakash Arumugam</t>
        </is>
      </c>
      <c r="CD57" s="54" t="n">
        <v>40609</v>
      </c>
      <c r="CE57" s="53" t="inlineStr">
        <is>
          <t>Senior Financial Analyst</t>
        </is>
      </c>
      <c r="CF57" s="53" t="n"/>
      <c r="CG57" s="53" t="inlineStr">
        <is>
          <t>Professional Services</t>
        </is>
      </c>
      <c r="CH57" s="53" t="inlineStr">
        <is>
          <t>XBRL / Regulatory Reporting</t>
        </is>
      </c>
      <c r="CI57" s="53" t="inlineStr">
        <is>
          <t>Senior Financial Analyst</t>
        </is>
      </c>
      <c r="CJ57" s="53" t="inlineStr">
        <is>
          <t>L4 – Senior</t>
        </is>
      </c>
      <c r="CK57" s="53" t="inlineStr">
        <is>
          <t>Shashikant Mudaliar</t>
        </is>
      </c>
      <c r="CL57" s="53" t="inlineStr">
        <is>
          <t>N-6</t>
        </is>
      </c>
      <c r="CM57" s="53" t="inlineStr">
        <is>
          <t>Individual Contributor</t>
        </is>
      </c>
      <c r="CN57" s="53" t="inlineStr">
        <is>
          <t>Regtech</t>
        </is>
      </c>
      <c r="CO57" s="53" t="inlineStr">
        <is>
          <t>Services</t>
        </is>
      </c>
      <c r="CP57" s="53" t="inlineStr">
        <is>
          <t>18 years, 8 months, 13 days</t>
        </is>
      </c>
      <c r="CQ57" s="53" t="inlineStr">
        <is>
          <t>Senior Services Specialst</t>
        </is>
      </c>
      <c r="CR57" s="53" t="n"/>
      <c r="CS57" s="53" t="n">
        <v>4</v>
      </c>
      <c r="CT57" s="53" t="inlineStr">
        <is>
          <t>High</t>
        </is>
      </c>
      <c r="CU57" s="53" t="inlineStr">
        <is>
          <t>Core Contributor</t>
        </is>
      </c>
      <c r="CV57" s="53" t="inlineStr">
        <is>
          <t>No</t>
        </is>
      </c>
      <c r="CW57" s="53" t="inlineStr">
        <is>
          <t>No</t>
        </is>
      </c>
      <c r="CX57" s="53" t="inlineStr">
        <is>
          <t>Yes</t>
        </is>
      </c>
      <c r="CY57" s="53" t="n"/>
      <c r="CZ57" s="53" t="n"/>
      <c r="DA57" s="53" t="n"/>
      <c r="DB57" s="53" t="inlineStr">
        <is>
          <t>Title to be standardized to: Senior Services Specialist</t>
        </is>
      </c>
      <c r="DC57" s="53" t="n"/>
      <c r="DD57" s="53" t="n"/>
      <c r="DE57" s="53" t="n"/>
      <c r="DF57" s="53" t="n"/>
      <c r="DG57" s="53" t="n"/>
      <c r="DH57" s="53" t="n"/>
      <c r="DI57" s="53" t="n"/>
      <c r="DJ57" s="53" t="n"/>
      <c r="DK57" s="53" t="n"/>
      <c r="DL57" s="53" t="n"/>
      <c r="DM57" s="53" t="n"/>
      <c r="DN57" s="53" t="n"/>
      <c r="DO57" s="53" t="n"/>
      <c r="DP57" s="53" t="n"/>
      <c r="DQ57" s="53" t="n"/>
      <c r="DR57" s="53" t="n"/>
      <c r="DS57" s="53" t="n"/>
      <c r="DT57" s="53" t="n"/>
      <c r="DU57" s="53" t="n"/>
      <c r="DV57" s="53" t="n"/>
      <c r="DW57" s="53" t="n"/>
      <c r="DX57" s="53" t="n"/>
      <c r="DY57" s="53" t="n"/>
      <c r="DZ57" s="53" t="n"/>
      <c r="EA57" s="53" t="n"/>
      <c r="EB57" s="53" t="n"/>
      <c r="EC57" s="53" t="n"/>
      <c r="ED57" s="53" t="n"/>
      <c r="EE57" s="53" t="n"/>
      <c r="EF57" s="53" t="n"/>
      <c r="EG57" s="53" t="n"/>
      <c r="EH57" s="53" t="n"/>
      <c r="EI57" s="53" t="n"/>
      <c r="EJ57" s="53" t="n"/>
      <c r="EK57" s="53" t="n"/>
      <c r="EL57" s="53" t="n"/>
      <c r="EM57" s="53" t="n"/>
      <c r="EN57" s="53" t="n"/>
      <c r="EO57" s="53" t="n"/>
      <c r="EP57" s="53" t="n"/>
      <c r="EQ57" s="53" t="n"/>
      <c r="ER57" s="53" t="n"/>
      <c r="ES57" s="53" t="n"/>
      <c r="ET57" s="53" t="n"/>
      <c r="EU57" s="53" t="n"/>
      <c r="EV57" s="53" t="n"/>
      <c r="EW57" s="52" t="n"/>
      <c r="EX57" s="53" t="inlineStr">
        <is>
          <t>• Role / sub-team: XBRL Convertion Services; XBRL Convertion Services as a Excel Mapper.</t>
        </is>
      </c>
      <c r="EY57" s="53" t="inlineStr">
        <is>
          <t>• Key responsibilities include: Research about new updates in the Taxonomy. Reviewing the quality of the filed documents. Research about new data quality committee requirements.; Quality review of newly acquired clients.
• Reported deliverables and outcomes include: Chetan Newase, Shashikant Mudaliar.</t>
        </is>
      </c>
      <c r="EZ57" s="53" t="inlineStr">
        <is>
          <t>• Current capabilities: Quick learner; Tools / software used: Both.</t>
        </is>
      </c>
      <c r="FA57" s="53" t="inlineStr">
        <is>
          <t>• Development priorities: No input received.
• Learning and Development Need: Nothing else required.</t>
        </is>
      </c>
      <c r="FB57" s="53" t="inlineStr">
        <is>
          <t>• Key challenges: No input received.
• Support required: No input received.</t>
        </is>
      </c>
      <c r="FC57" s="53" t="n"/>
      <c r="FD57" s="53" t="n"/>
      <c r="FE57" s="57" t="inlineStr">
        <is>
          <t>1. Complete assigned XBRL mapping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FF57" s="56" t="n"/>
      <c r="FG57" s="56" t="n"/>
      <c r="FH57" s="56" t="n"/>
      <c r="FI57" s="56" t="n"/>
      <c r="FJ57" s="56" t="inlineStr">
        <is>
          <t>Received · manager annual</t>
        </is>
      </c>
      <c r="FK57" s="56" t="inlineStr">
        <is>
          <t>CARBON Mapping Master</t>
        </is>
      </c>
      <c r="FL57" s="56" t="n">
        <v>18</v>
      </c>
      <c r="FM57" s="56" t="inlineStr">
        <is>
          <t>• Role / sub-team: XBRL Convertion Services; XBRL Convertion Services as a Excel Mapper.</t>
        </is>
      </c>
      <c r="FN57" s="56" t="inlineStr">
        <is>
          <t>• Key responsibilities include: Research about new updates in the Taxonomy. Reviewing the quality of the filed documents. Research about new data quality committee requirements.; Quality review of newly acquired clients.
• Reported deliverables and outcomes include: Chetan Newase, Shashikant Mudaliar.</t>
        </is>
      </c>
      <c r="FO57" s="56" t="inlineStr">
        <is>
          <t>• Current capabilities: Quick learner; Tools / software used: Both.</t>
        </is>
      </c>
      <c r="FP57" s="56" t="inlineStr">
        <is>
          <t>• Development priorities: No input received.
• Learning and Development Need: Nothing else required.</t>
        </is>
      </c>
      <c r="FQ57" s="56" t="inlineStr">
        <is>
          <t>• Key challenges: No input received.
• Support required: No input received.</t>
        </is>
      </c>
      <c r="FR57" s="56" t="inlineStr">
        <is>
          <t>Complexity: Evidence reads like B2: US Excel mapping, DQC error clearance, new-taxonomy/mandate analysis, QA for new clients; solves teams' doubts → moved up 1
Autonomy: Evidence reads like B1: Decides mapping and quality-analysis outcomes and mandate interpretations that tagging/QC teams follow → moved up 0.5
Accountability: Evidence reads like A3: Mapping accuracy, validation and quality analysis for existing, new and prospective client files → matches the start
Leadership: Evidence reads like B1: Periodically trains all team members on new mandates; standing doubt-solving for QC and tagging teams → moved up 1
Business Impact: Moved +0.5: the survey / manager mapping marks it business-critical.</t>
        </is>
      </c>
      <c r="FS57" s="56" t="inlineStr">
        <is>
          <t>Common themes in role-holders' answers: reporting · financial · mandate · timely · while · us
Common themes in role-holders' answers: tagging · validation · quality · mapping · management · filing
Common themes in role-holders' answers: documents · xbrl · quality · timely · overall · filings
Common themes in role-holders' answers: quality · validation · timely · am · tagging · delivery
Common themes in role-holders' answers: resolving · independently · issues · routine · file · analysis
If the work is missed · role-holders' themes: rework · quality · delays · filing.</t>
        </is>
      </c>
      <c r="FT57" s="56" t="inlineStr">
        <is>
          <t>Self-identified: Answered · no common topic</t>
        </is>
      </c>
      <c r="FU57" s="56" t="inlineStr">
        <is>
          <t>Per-person summary · CARBON Mapping Master</t>
        </is>
      </c>
    </row>
    <row r="58" ht="90" customHeight="1">
      <c r="A58" s="51" t="inlineStr">
        <is>
          <t>◂ Back</t>
        </is>
      </c>
      <c r="B58" s="29" t="inlineStr">
        <is>
          <t>Mapped</t>
        </is>
      </c>
      <c r="C58" s="28" t="inlineStr">
        <is>
          <t>CARBON</t>
        </is>
      </c>
      <c r="D58" s="29" t="inlineStr">
        <is>
          <t>IRIS0704</t>
        </is>
      </c>
      <c r="E58" s="29" t="inlineStr">
        <is>
          <t>Jivika Wadhwani</t>
        </is>
      </c>
      <c r="F58" s="29" t="inlineStr">
        <is>
          <t>Services</t>
        </is>
      </c>
      <c r="G58" s="29" t="inlineStr">
        <is>
          <t>Senior Financial Analyst</t>
        </is>
      </c>
      <c r="H58" s="29" t="inlineStr">
        <is>
          <t>XBRL Specialist – POD Lead</t>
        </is>
      </c>
      <c r="I58" s="29" t="inlineStr">
        <is>
          <t>L4 – Senior</t>
        </is>
      </c>
      <c r="J58" s="29" t="inlineStr">
        <is>
          <t>B1</t>
        </is>
      </c>
      <c r="K58" s="29" t="inlineStr">
        <is>
          <t>▲ Up</t>
        </is>
      </c>
      <c r="L58" s="29" t="inlineStr">
        <is>
          <t>Consulting &amp; Professional Services</t>
        </is>
      </c>
      <c r="M58" s="29" t="inlineStr">
        <is>
          <t>XBRL Tagging, Conversion &amp; Filing</t>
        </is>
      </c>
      <c r="N58" s="29" t="n"/>
      <c r="O58" s="29" t="n">
        <v>20</v>
      </c>
      <c r="P58" s="28" t="inlineStr">
        <is>
          <t>P3 / M2</t>
        </is>
      </c>
      <c r="Q58" s="29" t="inlineStr">
        <is>
          <t>Career / · Team Lead</t>
        </is>
      </c>
      <c r="R58" s="29" t="inlineStr">
        <is>
          <t>4 Enable</t>
        </is>
      </c>
      <c r="S58" s="29" t="inlineStr">
        <is>
          <t>4–7 yrs</t>
        </is>
      </c>
      <c r="T58" s="29" t="inlineStr">
        <is>
          <t>5–8 · 4–8</t>
        </is>
      </c>
      <c r="U58" s="29" t="inlineStr">
        <is>
          <t>Consultant / Senior Associate</t>
        </is>
      </c>
      <c r="V58" s="29" t="inlineStr">
        <is>
          <t>Big Four: Senior Consultant · IRIS Vs Market Benchmark — XBRL US credential pathway: Certificate + specialist taxonomy</t>
        </is>
      </c>
      <c r="W58" s="29" t="inlineStr">
        <is>
          <t>XBRL US GAAP Certificate · AICPA &amp; XBRL US; XBRL International specifications; IFRS / US GAAP / Ind AS</t>
        </is>
      </c>
      <c r="X58" s="29" t="inlineStr">
        <is>
          <t>Core 3 · Future 3 · Functional 3 · Leadership 2</t>
        </is>
      </c>
      <c r="Y58" s="52" t="n">
        <v>88</v>
      </c>
      <c r="Z58" s="53" t="inlineStr">
        <is>
          <t>IRIS0704</t>
        </is>
      </c>
      <c r="AA58" s="53" t="inlineStr">
        <is>
          <t>Employee</t>
        </is>
      </c>
      <c r="AB58" s="53" t="inlineStr">
        <is>
          <t>Active</t>
        </is>
      </c>
      <c r="AC58" s="53" t="inlineStr">
        <is>
          <t>Jivika Wadhwani</t>
        </is>
      </c>
      <c r="AD58" s="54" t="n">
        <v>40686</v>
      </c>
      <c r="AE58" s="53" t="inlineStr">
        <is>
          <t>Senior Financial Analyst</t>
        </is>
      </c>
      <c r="AF58" s="53" t="inlineStr">
        <is>
          <t>MBA</t>
        </is>
      </c>
      <c r="AG58" s="53" t="inlineStr">
        <is>
          <t>Shashikant Mudaliar</t>
        </is>
      </c>
      <c r="AH58" s="53" t="inlineStr">
        <is>
          <t>N-6</t>
        </is>
      </c>
      <c r="AI58" s="53" t="inlineStr">
        <is>
          <t>Manager</t>
        </is>
      </c>
      <c r="AJ58" s="53" t="inlineStr">
        <is>
          <t>0 years, 0 months, 0 days</t>
        </is>
      </c>
      <c r="AK58" s="53" t="inlineStr">
        <is>
          <t>15 years, 3 months, 2 days</t>
        </is>
      </c>
      <c r="AL58" s="53" t="inlineStr">
        <is>
          <t>Regtech</t>
        </is>
      </c>
      <c r="AM58" s="53" t="inlineStr">
        <is>
          <t>CARBON</t>
        </is>
      </c>
      <c r="AN58" s="53" t="inlineStr">
        <is>
          <t>Services</t>
        </is>
      </c>
      <c r="AO58" s="53" t="inlineStr">
        <is>
          <t>Expert Assisted services</t>
        </is>
      </c>
      <c r="AP58" s="53" t="inlineStr">
        <is>
          <t>No</t>
        </is>
      </c>
      <c r="AQ58" s="53" t="inlineStr">
        <is>
          <t>Professional Services</t>
        </is>
      </c>
      <c r="AR58" s="53" t="inlineStr">
        <is>
          <t>XBRL Domain</t>
        </is>
      </c>
      <c r="AS58" s="53" t="inlineStr">
        <is>
          <t>Non-technical</t>
        </is>
      </c>
      <c r="AT58" s="53" t="n">
        <v>20</v>
      </c>
      <c r="AU58" s="53" t="inlineStr">
        <is>
          <t>Covered</t>
        </is>
      </c>
      <c r="AV58" s="53" t="inlineStr">
        <is>
          <t>IRIS0704</t>
        </is>
      </c>
      <c r="AW58" s="53" t="inlineStr">
        <is>
          <t>Jivika Wadhwani</t>
        </is>
      </c>
      <c r="AX58" s="53" t="inlineStr">
        <is>
          <t>Services</t>
        </is>
      </c>
      <c r="AY58" s="53" t="inlineStr">
        <is>
          <t>Professional Services</t>
        </is>
      </c>
      <c r="AZ58" s="53" t="inlineStr">
        <is>
          <t>XBRL / Regulatory Reporting</t>
        </is>
      </c>
      <c r="BA58" s="53" t="n"/>
      <c r="BB58" s="53" t="n"/>
      <c r="BC58" s="53" t="inlineStr">
        <is>
          <t>Employee</t>
        </is>
      </c>
      <c r="BD58" s="53" t="inlineStr">
        <is>
          <t>Shashikant Mudaliar</t>
        </is>
      </c>
      <c r="BE58" s="53" t="inlineStr">
        <is>
          <t>Shashikant Mudaliar</t>
        </is>
      </c>
      <c r="BF58" s="53" t="inlineStr">
        <is>
          <t>No</t>
        </is>
      </c>
      <c r="BG58" s="53" t="inlineStr">
        <is>
          <t>Senior Financial Analyst</t>
        </is>
      </c>
      <c r="BH58" s="53" t="inlineStr">
        <is>
          <t>Senior Services Specialist</t>
        </is>
      </c>
      <c r="BI58" s="53" t="inlineStr">
        <is>
          <t>Yes</t>
        </is>
      </c>
      <c r="BJ58" s="53" t="n">
        <v>2</v>
      </c>
      <c r="BK58" s="53" t="n">
        <v>2</v>
      </c>
      <c r="BL58" s="53" t="n">
        <v>0</v>
      </c>
      <c r="BM58" s="53" t="inlineStr">
        <is>
          <t>Consolidate / flatten</t>
        </is>
      </c>
      <c r="BN58" s="53" t="n">
        <v>2</v>
      </c>
      <c r="BO58" s="53" t="n">
        <v>2</v>
      </c>
      <c r="BP58" s="53" t="n">
        <v>0</v>
      </c>
      <c r="BQ58" s="53" t="inlineStr">
        <is>
          <t>Consolidate / flatten</t>
        </is>
      </c>
      <c r="BR58" s="53" t="inlineStr">
        <is>
          <t>No</t>
        </is>
      </c>
      <c r="BS58" s="53" t="inlineStr">
        <is>
          <t>L4 – Senior</t>
        </is>
      </c>
      <c r="BT58" s="53" t="inlineStr">
        <is>
          <t>L4 – Senior</t>
        </is>
      </c>
      <c r="BU58" s="53" t="inlineStr">
        <is>
          <t>Designation refined from Raw tab Comments column · this update</t>
        </is>
      </c>
      <c r="BV58" s="53" t="inlineStr">
        <is>
          <t>1. Complete assigned XBRL mapping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W58" s="53" t="n"/>
      <c r="BX58" s="53" t="inlineStr">
        <is>
          <t>UK - HMRC; Europe - ESEF; Nigeria - CBN; Netherland - KVK.</t>
        </is>
      </c>
      <c r="BY58" s="53" t="n"/>
      <c r="BZ58" s="53" t="inlineStr">
        <is>
          <t>IRIS0704</t>
        </is>
      </c>
      <c r="CA58" s="53" t="inlineStr">
        <is>
          <t>Employee</t>
        </is>
      </c>
      <c r="CB58" s="53" t="inlineStr">
        <is>
          <t>Active</t>
        </is>
      </c>
      <c r="CC58" s="53" t="inlineStr">
        <is>
          <t>Jivika Wadhwani</t>
        </is>
      </c>
      <c r="CD58" s="54" t="n">
        <v>40686</v>
      </c>
      <c r="CE58" s="53" t="inlineStr">
        <is>
          <t>Senior Financial Analyst</t>
        </is>
      </c>
      <c r="CF58" s="53" t="n"/>
      <c r="CG58" s="53" t="inlineStr">
        <is>
          <t>Professional Services</t>
        </is>
      </c>
      <c r="CH58" s="53" t="inlineStr">
        <is>
          <t>XBRL / Regulatory Reporting</t>
        </is>
      </c>
      <c r="CI58" s="53" t="inlineStr">
        <is>
          <t>Senior Financial Analyst</t>
        </is>
      </c>
      <c r="CJ58" s="53" t="inlineStr">
        <is>
          <t>L4 – Senior</t>
        </is>
      </c>
      <c r="CK58" s="53" t="inlineStr">
        <is>
          <t>Shashikant Mudaliar</t>
        </is>
      </c>
      <c r="CL58" s="53" t="inlineStr">
        <is>
          <t>N-6</t>
        </is>
      </c>
      <c r="CM58" s="53" t="inlineStr">
        <is>
          <t>Player Cum Coach</t>
        </is>
      </c>
      <c r="CN58" s="53" t="inlineStr">
        <is>
          <t>Regtech</t>
        </is>
      </c>
      <c r="CO58" s="53" t="inlineStr">
        <is>
          <t>Services</t>
        </is>
      </c>
      <c r="CP58" s="53" t="inlineStr">
        <is>
          <t>15 years, 0 months, 28 days</t>
        </is>
      </c>
      <c r="CQ58" s="53" t="inlineStr">
        <is>
          <t>Senior Services Specialst</t>
        </is>
      </c>
      <c r="CR58" s="53" t="n"/>
      <c r="CS58" s="53" t="n">
        <v>4</v>
      </c>
      <c r="CT58" s="53" t="inlineStr">
        <is>
          <t>High</t>
        </is>
      </c>
      <c r="CU58" s="53" t="inlineStr">
        <is>
          <t>Core Contributor</t>
        </is>
      </c>
      <c r="CV58" s="53" t="inlineStr">
        <is>
          <t>Yes</t>
        </is>
      </c>
      <c r="CW58" s="53" t="inlineStr">
        <is>
          <t>No</t>
        </is>
      </c>
      <c r="CX58" s="53" t="inlineStr">
        <is>
          <t>Yes</t>
        </is>
      </c>
      <c r="CY58" s="53" t="n"/>
      <c r="CZ58" s="53" t="n"/>
      <c r="DA58" s="53" t="n"/>
      <c r="DB58" s="53" t="inlineStr">
        <is>
          <t>Title to be standardized to: Senior Services Specialist</t>
        </is>
      </c>
      <c r="DC58" s="53" t="n"/>
      <c r="DD58" s="53" t="n"/>
      <c r="DE58" s="53" t="n"/>
      <c r="DF58" s="53" t="n"/>
      <c r="DG58" s="53" t="n"/>
      <c r="DH58" s="53" t="n"/>
      <c r="DI58" s="53" t="n"/>
      <c r="DJ58" s="53" t="n"/>
      <c r="DK58" s="53" t="n"/>
      <c r="DL58" s="53" t="n"/>
      <c r="DM58" s="53" t="n"/>
      <c r="DN58" s="53" t="n"/>
      <c r="DO58" s="53" t="n"/>
      <c r="DP58" s="53" t="n"/>
      <c r="DQ58" s="53" t="n"/>
      <c r="DR58" s="53" t="n"/>
      <c r="DS58" s="53" t="n"/>
      <c r="DT58" s="53" t="n"/>
      <c r="DU58" s="53" t="n"/>
      <c r="DV58" s="53" t="n"/>
      <c r="DW58" s="53" t="n"/>
      <c r="DX58" s="53" t="n"/>
      <c r="DY58" s="53" t="n"/>
      <c r="DZ58" s="53" t="n"/>
      <c r="EA58" s="53" t="n"/>
      <c r="EB58" s="53" t="n"/>
      <c r="EC58" s="53" t="n"/>
      <c r="ED58" s="53" t="n"/>
      <c r="EE58" s="53" t="n"/>
      <c r="EF58" s="53" t="n"/>
      <c r="EG58" s="53" t="n"/>
      <c r="EH58" s="53" t="n"/>
      <c r="EI58" s="53" t="n"/>
      <c r="EJ58" s="53" t="n"/>
      <c r="EK58" s="53" t="n"/>
      <c r="EL58" s="53" t="n"/>
      <c r="EM58" s="53" t="n"/>
      <c r="EN58" s="53" t="n"/>
      <c r="EO58" s="53" t="n"/>
      <c r="EP58" s="53" t="n"/>
      <c r="EQ58" s="53" t="n"/>
      <c r="ER58" s="53" t="n"/>
      <c r="ES58" s="53" t="n"/>
      <c r="ET58" s="53" t="n"/>
      <c r="EU58" s="53" t="n"/>
      <c r="EV58" s="53" t="n"/>
      <c r="EW58" s="52" t="n"/>
      <c r="EX58" s="53" t="inlineStr">
        <is>
          <t>• Role / sub-team: Mapping under Service Team.</t>
        </is>
      </c>
      <c r="EY58" s="53" t="inlineStr">
        <is>
          <t>• Key responsibilities include: Provide mapping for multiple regions; Quality analysis for ESEF filings.
• Reported deliverables and outcomes include: Provide mapping to tagging team for further processing and share quality analysis report with CEM.</t>
        </is>
      </c>
      <c r="EZ58" s="53" t="inlineStr">
        <is>
          <t>• Current capabilities: Coordination with team; Tools / software used: HTML - Editor.</t>
        </is>
      </c>
      <c r="FA58" s="53" t="inlineStr">
        <is>
          <t>• Development priorities: No input received.
• Learning and Development Need: Proper planning.</t>
        </is>
      </c>
      <c r="FB58" s="53" t="inlineStr">
        <is>
          <t>• Key challenges: No input received.
• Support required: No input received.</t>
        </is>
      </c>
      <c r="FC58" s="53" t="n"/>
      <c r="FD58" s="53" t="n"/>
      <c r="FE58" s="57" t="inlineStr">
        <is>
          <t>1. Complete assigned XBRL mapping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FF58" s="56" t="n"/>
      <c r="FG58" s="56" t="n"/>
      <c r="FH58" s="56" t="n"/>
      <c r="FI58" s="56" t="n"/>
      <c r="FJ58" s="56" t="inlineStr">
        <is>
          <t>Received · manager annual</t>
        </is>
      </c>
      <c r="FK58" s="56" t="inlineStr">
        <is>
          <t>CARBON Mapping Master</t>
        </is>
      </c>
      <c r="FL58" s="56" t="n">
        <v>20</v>
      </c>
      <c r="FM58" s="56" t="inlineStr">
        <is>
          <t>• Role / sub-team: Mapping under Service Team.</t>
        </is>
      </c>
      <c r="FN58" s="56" t="inlineStr">
        <is>
          <t>• Key responsibilities include: Provide mapping for multiple regions; Quality analysis for ESEF filings.
• Reported deliverables and outcomes include: Provide mapping to tagging team for further processing and share quality analysis report with CEM.</t>
        </is>
      </c>
      <c r="FO58" s="56" t="inlineStr">
        <is>
          <t>• Current capabilities: Coordination with team; Tools / software used: HTML - Editor.</t>
        </is>
      </c>
      <c r="FP58" s="56" t="inlineStr">
        <is>
          <t>• Development priorities: No input received.
• Learning and Development Need: Proper planning.</t>
        </is>
      </c>
      <c r="FQ58" s="56" t="inlineStr">
        <is>
          <t>• Key challenges: No input received.
• Support required: No input received.</t>
        </is>
      </c>
      <c r="FR58" s="56" t="inlineStr">
        <is>
          <t>Complexity: Evidence reads like B1: Maps reports to several regulators' taxonomies; extension vs reclassify calls; quality analysis of competitor filings → moved up 0.5
Autonomy: Evidence reads like A3: Selects taxonomy elements, resolves minor discrepancies, prioritises filings; escalates interpretation cases → matches the start
Accountability: Evidence reads like A3: own survey / KRA answers · summarised by the rater; not quoted → moved down 0.5
Leadership: Evidence reads like A1: No guiding or leading described despite two HR reports → moved down 1
Business Impact: Moved +0.5: the survey / manager mapping marks it business-critical.</t>
        </is>
      </c>
      <c r="FS58" s="56" t="inlineStr">
        <is>
          <t>Common themes in role-holders' answers: reporting · financial · mandate · timely · while · us
Common themes in role-holders' answers: tagging · validation · quality · mapping · management · filing
Common themes in role-holders' answers: documents · xbrl · quality · timely · overall · filings
Common themes in role-holders' answers: quality · validation · timely · am · tagging · delivery
Common themes in role-holders' answers: resolving · independently · issues · routine · file · analysis
If the work is missed · role-holders' themes: rework · quality · delays · filing.</t>
        </is>
      </c>
      <c r="FT58" s="56" t="inlineStr">
        <is>
          <t>Self-identified: Testing &amp; quality · Domain, regulatory &amp; XBRL · Broader exposure &amp; ownership
For the next role: Leadership &amp; people management · Testing &amp; quality · Domain, regulatory &amp; XBRL · Broader exposure &amp; ownership</t>
        </is>
      </c>
      <c r="FU58" s="56" t="inlineStr">
        <is>
          <t>Per-person summary · CARBON Mapping Master</t>
        </is>
      </c>
    </row>
    <row r="59" ht="90" customHeight="1">
      <c r="A59" s="51" t="inlineStr">
        <is>
          <t>◂ Back</t>
        </is>
      </c>
      <c r="B59" s="29" t="inlineStr">
        <is>
          <t>Mapped</t>
        </is>
      </c>
      <c r="C59" s="28" t="inlineStr">
        <is>
          <t>CARBON</t>
        </is>
      </c>
      <c r="D59" s="29" t="inlineStr">
        <is>
          <t>IRIS2169</t>
        </is>
      </c>
      <c r="E59" s="29" t="inlineStr">
        <is>
          <t>Chetan Newase</t>
        </is>
      </c>
      <c r="F59" s="29" t="inlineStr">
        <is>
          <t>Services</t>
        </is>
      </c>
      <c r="G59" s="29" t="inlineStr">
        <is>
          <t>Senior Financial Analyst</t>
        </is>
      </c>
      <c r="H59" s="29" t="inlineStr">
        <is>
          <t>XBRL Specialist</t>
        </is>
      </c>
      <c r="I59" s="29" t="inlineStr">
        <is>
          <t>L4 – Senior</t>
        </is>
      </c>
      <c r="J59" s="29" t="inlineStr">
        <is>
          <t>B1</t>
        </is>
      </c>
      <c r="K59" s="29" t="inlineStr">
        <is>
          <t>▲ Up</t>
        </is>
      </c>
      <c r="L59" s="29" t="inlineStr">
        <is>
          <t>Consulting &amp; Professional Services</t>
        </is>
      </c>
      <c r="M59" s="29" t="inlineStr">
        <is>
          <t>XBRL Tagging, Conversion &amp; Filing</t>
        </is>
      </c>
      <c r="N59" s="29" t="n"/>
      <c r="O59" s="29" t="n">
        <v>18</v>
      </c>
      <c r="P59" s="28" t="inlineStr">
        <is>
          <t>P3 / M2</t>
        </is>
      </c>
      <c r="Q59" s="29" t="inlineStr">
        <is>
          <t>Career / · Team Lead</t>
        </is>
      </c>
      <c r="R59" s="29" t="inlineStr">
        <is>
          <t>4 Enable</t>
        </is>
      </c>
      <c r="S59" s="29" t="inlineStr">
        <is>
          <t>4–7 yrs</t>
        </is>
      </c>
      <c r="T59" s="29" t="inlineStr">
        <is>
          <t>5–8 · 4–8</t>
        </is>
      </c>
      <c r="U59" s="29" t="inlineStr">
        <is>
          <t>Consultant / Senior Associate</t>
        </is>
      </c>
      <c r="V59" s="29" t="inlineStr">
        <is>
          <t>Big Four: Senior Consultant · IRIS Vs Market Benchmark — XBRL US credential pathway: Certificate + specialist taxonomy</t>
        </is>
      </c>
      <c r="W59" s="29" t="inlineStr">
        <is>
          <t>XBRL US GAAP Certificate · AICPA &amp; XBRL US; XBRL International specifications; IFRS / US GAAP / Ind AS</t>
        </is>
      </c>
      <c r="X59" s="29" t="inlineStr">
        <is>
          <t>Core 3 · Future 3 · Functional 3 · Leadership 1</t>
        </is>
      </c>
      <c r="Y59" s="52" t="n">
        <v>288</v>
      </c>
      <c r="Z59" s="53" t="inlineStr">
        <is>
          <t>IRIS2169</t>
        </is>
      </c>
      <c r="AA59" s="53" t="inlineStr">
        <is>
          <t>Employee</t>
        </is>
      </c>
      <c r="AB59" s="53" t="inlineStr">
        <is>
          <t>Active</t>
        </is>
      </c>
      <c r="AC59" s="53" t="inlineStr">
        <is>
          <t>Chetan Newase</t>
        </is>
      </c>
      <c r="AD59" s="54" t="n">
        <v>45148</v>
      </c>
      <c r="AE59" s="53" t="inlineStr">
        <is>
          <t>Senior Financial Analyst</t>
        </is>
      </c>
      <c r="AF59" s="53" t="inlineStr">
        <is>
          <t>MBA</t>
        </is>
      </c>
      <c r="AG59" s="53" t="inlineStr">
        <is>
          <t>Jivika Wadhwani</t>
        </is>
      </c>
      <c r="AH59" s="53" t="inlineStr">
        <is>
          <t>N-7</t>
        </is>
      </c>
      <c r="AI59" s="53" t="inlineStr">
        <is>
          <t>Individual Contributor</t>
        </is>
      </c>
      <c r="AJ59" s="53" t="inlineStr">
        <is>
          <t>13 years, 0 months, 00 days</t>
        </is>
      </c>
      <c r="AK59" s="53" t="inlineStr">
        <is>
          <t>3 years, 0 months, 15 days</t>
        </is>
      </c>
      <c r="AL59" s="53" t="inlineStr">
        <is>
          <t>Regtech</t>
        </is>
      </c>
      <c r="AM59" s="53" t="inlineStr">
        <is>
          <t>CARBON</t>
        </is>
      </c>
      <c r="AN59" s="53" t="inlineStr">
        <is>
          <t>Services</t>
        </is>
      </c>
      <c r="AO59" s="53" t="inlineStr">
        <is>
          <t>Expert Assisted services</t>
        </is>
      </c>
      <c r="AP59" s="53" t="inlineStr">
        <is>
          <t>No</t>
        </is>
      </c>
      <c r="AQ59" s="53" t="inlineStr">
        <is>
          <t>Professional Services</t>
        </is>
      </c>
      <c r="AR59" s="53" t="inlineStr">
        <is>
          <t>XBRL Domain</t>
        </is>
      </c>
      <c r="AS59" s="53" t="inlineStr">
        <is>
          <t>Non-technical</t>
        </is>
      </c>
      <c r="AT59" s="53" t="n">
        <v>20</v>
      </c>
      <c r="AU59" s="53" t="inlineStr">
        <is>
          <t>Covered</t>
        </is>
      </c>
      <c r="AV59" s="53" t="inlineStr">
        <is>
          <t>IRIS2169</t>
        </is>
      </c>
      <c r="AW59" s="53" t="inlineStr">
        <is>
          <t>Chetan Newase</t>
        </is>
      </c>
      <c r="AX59" s="53" t="inlineStr">
        <is>
          <t>Services</t>
        </is>
      </c>
      <c r="AY59" s="53" t="inlineStr">
        <is>
          <t>Professional Services</t>
        </is>
      </c>
      <c r="AZ59" s="53" t="inlineStr">
        <is>
          <t>XBRL / Regulatory Reporting</t>
        </is>
      </c>
      <c r="BA59" s="53" t="n"/>
      <c r="BB59" s="53" t="n"/>
      <c r="BC59" s="53" t="inlineStr">
        <is>
          <t>Employee</t>
        </is>
      </c>
      <c r="BD59" s="53" t="inlineStr">
        <is>
          <t>Jivika Wadhwani</t>
        </is>
      </c>
      <c r="BE59" s="53" t="inlineStr">
        <is>
          <t>Jivika Wadhwani</t>
        </is>
      </c>
      <c r="BF59" s="53" t="inlineStr">
        <is>
          <t>No</t>
        </is>
      </c>
      <c r="BG59" s="53" t="inlineStr">
        <is>
          <t>Senior Financial Analyst</t>
        </is>
      </c>
      <c r="BH59" s="53" t="inlineStr">
        <is>
          <t>Senior Services Specialist</t>
        </is>
      </c>
      <c r="BI59" s="53" t="inlineStr">
        <is>
          <t>Yes</t>
        </is>
      </c>
      <c r="BJ59" s="53" t="inlineStr">
        <is>
          <t>—</t>
        </is>
      </c>
      <c r="BK59" s="53" t="inlineStr">
        <is>
          <t>—</t>
        </is>
      </c>
      <c r="BL59" s="53" t="inlineStr">
        <is>
          <t>—</t>
        </is>
      </c>
      <c r="BM59" s="53" t="inlineStr">
        <is>
          <t>Not a manager</t>
        </is>
      </c>
      <c r="BN59" s="53" t="inlineStr">
        <is>
          <t>—</t>
        </is>
      </c>
      <c r="BO59" s="53" t="inlineStr">
        <is>
          <t>—</t>
        </is>
      </c>
      <c r="BP59" s="53" t="inlineStr">
        <is>
          <t>—</t>
        </is>
      </c>
      <c r="BQ59" s="53" t="inlineStr">
        <is>
          <t>Not a manager</t>
        </is>
      </c>
      <c r="BR59" s="53" t="inlineStr">
        <is>
          <t>—</t>
        </is>
      </c>
      <c r="BS59" s="53" t="inlineStr">
        <is>
          <t>L4 – Senior</t>
        </is>
      </c>
      <c r="BT59" s="53" t="inlineStr">
        <is>
          <t>L4 – Senior</t>
        </is>
      </c>
      <c r="BU59" s="53" t="inlineStr">
        <is>
          <t>Designation refined from Raw tab Comments column · this update</t>
        </is>
      </c>
      <c r="BV59" s="53" t="inlineStr">
        <is>
          <t>1. Complete assigned XBRL mapping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W59" s="53" t="n"/>
      <c r="BX59" s="53" t="inlineStr">
        <is>
          <t>USA - SEC.</t>
        </is>
      </c>
      <c r="BY59" s="53" t="n"/>
      <c r="BZ59" s="53" t="inlineStr">
        <is>
          <t>IRIS2169</t>
        </is>
      </c>
      <c r="CA59" s="53" t="inlineStr">
        <is>
          <t>Employee</t>
        </is>
      </c>
      <c r="CB59" s="53" t="inlineStr">
        <is>
          <t>Active</t>
        </is>
      </c>
      <c r="CC59" s="53" t="inlineStr">
        <is>
          <t>Chetan Newase</t>
        </is>
      </c>
      <c r="CD59" s="54" t="n">
        <v>45148</v>
      </c>
      <c r="CE59" s="53" t="inlineStr">
        <is>
          <t>Senior Financial Analyst</t>
        </is>
      </c>
      <c r="CF59" s="53" t="n"/>
      <c r="CG59" s="53" t="inlineStr">
        <is>
          <t>Professional Services</t>
        </is>
      </c>
      <c r="CH59" s="53" t="inlineStr">
        <is>
          <t>XBRL / Regulatory Reporting</t>
        </is>
      </c>
      <c r="CI59" s="53" t="inlineStr">
        <is>
          <t>Senior Financial Analyst</t>
        </is>
      </c>
      <c r="CJ59" s="53" t="inlineStr">
        <is>
          <t>L4 – Senior</t>
        </is>
      </c>
      <c r="CK59" s="53" t="inlineStr">
        <is>
          <t>Jivika Wadhwani</t>
        </is>
      </c>
      <c r="CL59" s="53" t="inlineStr">
        <is>
          <t>N-7</t>
        </is>
      </c>
      <c r="CM59" s="53" t="inlineStr">
        <is>
          <t>Individual Contributor</t>
        </is>
      </c>
      <c r="CN59" s="53" t="inlineStr">
        <is>
          <t>Regtech</t>
        </is>
      </c>
      <c r="CO59" s="53" t="inlineStr">
        <is>
          <t>Services</t>
        </is>
      </c>
      <c r="CP59" s="53" t="inlineStr">
        <is>
          <t>15 years, 10 months, 10 days</t>
        </is>
      </c>
      <c r="CQ59" s="53" t="inlineStr">
        <is>
          <t>Senior Services Specialst</t>
        </is>
      </c>
      <c r="CR59" s="53" t="n"/>
      <c r="CS59" s="53" t="n">
        <v>3</v>
      </c>
      <c r="CT59" s="53" t="inlineStr">
        <is>
          <t>Medium</t>
        </is>
      </c>
      <c r="CU59" s="53" t="inlineStr">
        <is>
          <t>Core Contributor</t>
        </is>
      </c>
      <c r="CV59" s="53" t="inlineStr">
        <is>
          <t>No</t>
        </is>
      </c>
      <c r="CW59" s="53" t="inlineStr">
        <is>
          <t>No</t>
        </is>
      </c>
      <c r="CX59" s="53" t="inlineStr">
        <is>
          <t>Yes</t>
        </is>
      </c>
      <c r="CY59" s="53" t="n"/>
      <c r="CZ59" s="53" t="n"/>
      <c r="DA59" s="53" t="n"/>
      <c r="DB59" s="53" t="inlineStr">
        <is>
          <t>Title to be standardized to: Senior Services Specialist</t>
        </is>
      </c>
      <c r="DC59" s="53" t="n"/>
      <c r="DD59" s="53" t="n"/>
      <c r="DE59" s="53" t="n"/>
      <c r="DF59" s="53" t="n"/>
      <c r="DG59" s="53" t="n"/>
      <c r="DH59" s="53" t="n"/>
      <c r="DI59" s="53" t="n"/>
      <c r="DJ59" s="53" t="n"/>
      <c r="DK59" s="53" t="n"/>
      <c r="DL59" s="53" t="n"/>
      <c r="DM59" s="53" t="n"/>
      <c r="DN59" s="53" t="n"/>
      <c r="DO59" s="53" t="n"/>
      <c r="DP59" s="53" t="n"/>
      <c r="DQ59" s="53" t="n"/>
      <c r="DR59" s="53" t="n"/>
      <c r="DS59" s="53" t="n"/>
      <c r="DT59" s="53" t="n"/>
      <c r="DU59" s="53" t="n"/>
      <c r="DV59" s="53" t="n"/>
      <c r="DW59" s="53" t="n"/>
      <c r="DX59" s="53" t="n"/>
      <c r="DY59" s="53" t="n"/>
      <c r="DZ59" s="53" t="n"/>
      <c r="EA59" s="53" t="n"/>
      <c r="EB59" s="53" t="n"/>
      <c r="EC59" s="53" t="n"/>
      <c r="ED59" s="53" t="n"/>
      <c r="EE59" s="53" t="n"/>
      <c r="EF59" s="53" t="n"/>
      <c r="EG59" s="53" t="n"/>
      <c r="EH59" s="53" t="n"/>
      <c r="EI59" s="53" t="n"/>
      <c r="EJ59" s="53" t="n"/>
      <c r="EK59" s="53" t="n"/>
      <c r="EL59" s="53" t="n"/>
      <c r="EM59" s="53" t="n"/>
      <c r="EN59" s="53" t="n"/>
      <c r="EO59" s="53" t="n"/>
      <c r="EP59" s="53" t="n"/>
      <c r="EQ59" s="53" t="n"/>
      <c r="ER59" s="53" t="n"/>
      <c r="ES59" s="53" t="n"/>
      <c r="ET59" s="53" t="n"/>
      <c r="EU59" s="53" t="n"/>
      <c r="EV59" s="53" t="n"/>
      <c r="EW59" s="52" t="n"/>
      <c r="EX59" s="53" t="inlineStr">
        <is>
          <t>• Role / sub-team: XBRL mapping.</t>
        </is>
      </c>
      <c r="EY59" s="53" t="inlineStr">
        <is>
          <t>• Key responsibilities include: XBRL mapping, Quality Analysis, DQC Errors,.
• Reported deliverables and outcomes include: US assisted - Tagging Team.</t>
        </is>
      </c>
      <c r="EZ59" s="53" t="inlineStr">
        <is>
          <t>• Current capabilities: Team management communica; Tools / software used: Disclosure Management - DM - Word editor.</t>
        </is>
      </c>
      <c r="FA59" s="53" t="inlineStr">
        <is>
          <t>• Development priorities: No input received.
• Learning and Development Need: Time management.</t>
        </is>
      </c>
      <c r="FB59" s="53" t="inlineStr">
        <is>
          <t>• Key challenges: No input received.
• Support required: No input received.</t>
        </is>
      </c>
      <c r="FC59" s="53" t="n"/>
      <c r="FD59" s="53" t="n"/>
      <c r="FE59" s="57" t="inlineStr">
        <is>
          <t>1. Complete assigned XBRL mapping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FF59" s="56" t="n"/>
      <c r="FG59" s="56" t="n"/>
      <c r="FH59" s="56" t="n"/>
      <c r="FI59" s="56" t="n"/>
      <c r="FJ59" s="56" t="inlineStr">
        <is>
          <t>Received · manager annual</t>
        </is>
      </c>
      <c r="FK59" s="56" t="inlineStr">
        <is>
          <t>CARBON Mapping Master</t>
        </is>
      </c>
      <c r="FL59" s="56" t="n">
        <v>18</v>
      </c>
      <c r="FM59" s="56" t="inlineStr">
        <is>
          <t>• Role / sub-team: XBRL mapping.</t>
        </is>
      </c>
      <c r="FN59" s="56" t="inlineStr">
        <is>
          <t>• Key responsibilities include: XBRL mapping, Quality Analysis, DQC Errors,.
• Reported deliverables and outcomes include: US assisted - Tagging Team.</t>
        </is>
      </c>
      <c r="FO59" s="56" t="inlineStr">
        <is>
          <t>• Current capabilities: Team management communica; Tools / software used: Disclosure Management - DM - Word editor.</t>
        </is>
      </c>
      <c r="FP59" s="56" t="inlineStr">
        <is>
          <t>• Development priorities: No input received.
• Learning and Development Need: Time management.</t>
        </is>
      </c>
      <c r="FQ59" s="56" t="inlineStr">
        <is>
          <t>• Key challenges: No input received.
• Support required: No input received.</t>
        </is>
      </c>
      <c r="FR59" s="56" t="inlineStr">
        <is>
          <t>Complexity: Evidence reads like B1: US XBRL Excel mapping, DQC/duplicate error clearance, quality analysis, mandate-update analysis across regions → moved up 0.5
Autonomy: Evidence reads like A3: Manages own mapping, validation-error clearance and quality analysis work → matches the start
Accountability: Evidence reads like A3: Quality and timeliness of mapping, validation and filing support feeding the tagging team's filings → matches the start
Leadership: Evidence reads like A2: Supports the tagging team; no standing guidance or allocation duties shown → matches the start
Business Impact: Moved +0.5: the survey / manager mapping marks it business-critical.</t>
        </is>
      </c>
      <c r="FS59" s="56" t="inlineStr">
        <is>
          <t>Common themes in role-holders' answers: reporting · financial · mandate · timely · while · us
Common themes in role-holders' answers: tagging · validation · quality · mapping · management · filing
Common themes in role-holders' answers: documents · xbrl · quality · timely · overall · filings
Common themes in role-holders' answers: quality · validation · timely · am · tagging · delivery
Common themes in role-holders' answers: resolving · independently · issues · routine · file · analysis
If the work is missed · role-holders' themes: rework · quality · delays · filing.</t>
        </is>
      </c>
      <c r="FT59" s="56" t="inlineStr">
        <is>
          <t>Self-identified: AI / automation · Broader exposure &amp; ownership
For the next role: AI / automation · Broader exposure &amp; ownership</t>
        </is>
      </c>
      <c r="FU59" s="56" t="inlineStr">
        <is>
          <t>Per-person summary · CARBON Mapping Master</t>
        </is>
      </c>
    </row>
    <row r="60" ht="90" customHeight="1">
      <c r="A60" s="51" t="inlineStr">
        <is>
          <t>◂ Back</t>
        </is>
      </c>
      <c r="B60" s="29" t="inlineStr">
        <is>
          <t>Mapped</t>
        </is>
      </c>
      <c r="C60" s="28" t="inlineStr">
        <is>
          <t>CARBON</t>
        </is>
      </c>
      <c r="D60" s="29" t="inlineStr">
        <is>
          <t>IRIS2050</t>
        </is>
      </c>
      <c r="E60" s="29" t="inlineStr">
        <is>
          <t>Ruhee Chita</t>
        </is>
      </c>
      <c r="F60" s="29" t="inlineStr">
        <is>
          <t>Services</t>
        </is>
      </c>
      <c r="G60" s="29" t="inlineStr">
        <is>
          <t>Senior Financial Analyst</t>
        </is>
      </c>
      <c r="H60" s="29" t="inlineStr">
        <is>
          <t>XBRL Specialist</t>
        </is>
      </c>
      <c r="I60" s="29" t="inlineStr">
        <is>
          <t>L4 – Senior</t>
        </is>
      </c>
      <c r="J60" s="29" t="inlineStr">
        <is>
          <t>A3</t>
        </is>
      </c>
      <c r="K60" s="29" t="inlineStr">
        <is>
          <t>▲ Up</t>
        </is>
      </c>
      <c r="L60" s="29" t="inlineStr">
        <is>
          <t>Consulting &amp; Professional Services</t>
        </is>
      </c>
      <c r="M60" s="29" t="inlineStr">
        <is>
          <t>XBRL Tagging, Conversion &amp; Filing</t>
        </is>
      </c>
      <c r="N60" s="29" t="n"/>
      <c r="O60" s="29" t="n">
        <v>20</v>
      </c>
      <c r="P60" s="28" t="inlineStr">
        <is>
          <t>P2</t>
        </is>
      </c>
      <c r="Q60" s="29" t="inlineStr">
        <is>
          <t>Developing</t>
        </is>
      </c>
      <c r="R60" s="29" t="inlineStr">
        <is>
          <t>3 Apply</t>
        </is>
      </c>
      <c r="S60" s="29" t="inlineStr">
        <is>
          <t>2–4 yrs</t>
        </is>
      </c>
      <c r="T60" s="29" t="inlineStr">
        <is>
          <t>3–5 · 2–5</t>
        </is>
      </c>
      <c r="U60" s="29" t="inlineStr">
        <is>
          <t>Consultant / Senior Associate</t>
        </is>
      </c>
      <c r="V60" s="29" t="inlineStr">
        <is>
          <t>DataTracks: Senior Associate · 2–5 yrs · Big Four: Consultant · IRIS Vs Market Benchmark — XBRL US credential pathway: XBRL US GAAP Certificate</t>
        </is>
      </c>
      <c r="W60" s="29" t="inlineStr">
        <is>
          <t>XBRL US GAAP Certificate · AICPA &amp; XBRL US; XBRL International specifications; IFRS / US GAAP / Ind AS</t>
        </is>
      </c>
      <c r="X60" s="29" t="inlineStr">
        <is>
          <t>Core 2 · Future 2 · Functional 3 · Leadership not scored</t>
        </is>
      </c>
      <c r="Y60" s="52" t="n">
        <v>235</v>
      </c>
      <c r="Z60" s="53" t="inlineStr">
        <is>
          <t>IRIS2050</t>
        </is>
      </c>
      <c r="AA60" s="53" t="inlineStr">
        <is>
          <t>Employee</t>
        </is>
      </c>
      <c r="AB60" s="53" t="inlineStr">
        <is>
          <t>Active</t>
        </is>
      </c>
      <c r="AC60" s="53" t="inlineStr">
        <is>
          <t>Ruhee Chita</t>
        </is>
      </c>
      <c r="AD60" s="54" t="n">
        <v>44774</v>
      </c>
      <c r="AE60" s="53" t="inlineStr">
        <is>
          <t>Senior Financial Analyst</t>
        </is>
      </c>
      <c r="AF60" s="53" t="inlineStr">
        <is>
          <t>CMA</t>
        </is>
      </c>
      <c r="AG60" s="53" t="inlineStr">
        <is>
          <t>Jivika Wadhwani</t>
        </is>
      </c>
      <c r="AH60" s="53" t="inlineStr">
        <is>
          <t>N-7</t>
        </is>
      </c>
      <c r="AI60" s="53" t="inlineStr">
        <is>
          <t>Individual Contributor</t>
        </is>
      </c>
      <c r="AJ60" s="53" t="inlineStr">
        <is>
          <t>3 years, 7 months, 0 days</t>
        </is>
      </c>
      <c r="AK60" s="53" t="inlineStr">
        <is>
          <t>4 years, 0 months, 24 days</t>
        </is>
      </c>
      <c r="AL60" s="53" t="inlineStr">
        <is>
          <t>Regtech</t>
        </is>
      </c>
      <c r="AM60" s="53" t="inlineStr">
        <is>
          <t>CARBON</t>
        </is>
      </c>
      <c r="AN60" s="53" t="inlineStr">
        <is>
          <t>Services</t>
        </is>
      </c>
      <c r="AO60" s="53" t="inlineStr">
        <is>
          <t>Expert Assisted services</t>
        </is>
      </c>
      <c r="AP60" s="53" t="inlineStr">
        <is>
          <t>No</t>
        </is>
      </c>
      <c r="AQ60" s="53" t="inlineStr">
        <is>
          <t>Professional Services</t>
        </is>
      </c>
      <c r="AR60" s="53" t="inlineStr">
        <is>
          <t>XBRL Domain</t>
        </is>
      </c>
      <c r="AS60" s="53" t="inlineStr">
        <is>
          <t>Non-technical</t>
        </is>
      </c>
      <c r="AT60" s="53" t="n">
        <v>20</v>
      </c>
      <c r="AU60" s="53" t="inlineStr">
        <is>
          <t>Covered</t>
        </is>
      </c>
      <c r="AV60" s="53" t="inlineStr">
        <is>
          <t>IRIS2050</t>
        </is>
      </c>
      <c r="AW60" s="53" t="inlineStr">
        <is>
          <t>Ruhee Chita</t>
        </is>
      </c>
      <c r="AX60" s="53" t="inlineStr">
        <is>
          <t>Services</t>
        </is>
      </c>
      <c r="AY60" s="53" t="inlineStr">
        <is>
          <t>Professional Services</t>
        </is>
      </c>
      <c r="AZ60" s="53" t="inlineStr">
        <is>
          <t>XBRL / Regulatory Reporting</t>
        </is>
      </c>
      <c r="BA60" s="53" t="n"/>
      <c r="BB60" s="53" t="n"/>
      <c r="BC60" s="53" t="inlineStr">
        <is>
          <t>Employee</t>
        </is>
      </c>
      <c r="BD60" s="53" t="inlineStr">
        <is>
          <t>Jivika Wadhwani</t>
        </is>
      </c>
      <c r="BE60" s="53" t="inlineStr">
        <is>
          <t>Jivika Wadhwani</t>
        </is>
      </c>
      <c r="BF60" s="53" t="inlineStr">
        <is>
          <t>No</t>
        </is>
      </c>
      <c r="BG60" s="53" t="inlineStr">
        <is>
          <t>Senior Financial Analyst</t>
        </is>
      </c>
      <c r="BH60" s="53" t="inlineStr">
        <is>
          <t>Senior Services Specialist</t>
        </is>
      </c>
      <c r="BI60" s="53" t="inlineStr">
        <is>
          <t>Yes</t>
        </is>
      </c>
      <c r="BJ60" s="53" t="inlineStr">
        <is>
          <t>—</t>
        </is>
      </c>
      <c r="BK60" s="53" t="inlineStr">
        <is>
          <t>—</t>
        </is>
      </c>
      <c r="BL60" s="53" t="inlineStr">
        <is>
          <t>—</t>
        </is>
      </c>
      <c r="BM60" s="53" t="inlineStr">
        <is>
          <t>Not a manager</t>
        </is>
      </c>
      <c r="BN60" s="53" t="inlineStr">
        <is>
          <t>—</t>
        </is>
      </c>
      <c r="BO60" s="53" t="inlineStr">
        <is>
          <t>—</t>
        </is>
      </c>
      <c r="BP60" s="53" t="inlineStr">
        <is>
          <t>—</t>
        </is>
      </c>
      <c r="BQ60" s="53" t="inlineStr">
        <is>
          <t>Not a manager</t>
        </is>
      </c>
      <c r="BR60" s="53" t="inlineStr">
        <is>
          <t>—</t>
        </is>
      </c>
      <c r="BS60" s="53" t="inlineStr">
        <is>
          <t>L4 – Senior</t>
        </is>
      </c>
      <c r="BT60" s="53" t="inlineStr">
        <is>
          <t>L4 – Senior</t>
        </is>
      </c>
      <c r="BU60" s="53" t="inlineStr">
        <is>
          <t>Designation refined from Raw tab Comments column · this update</t>
        </is>
      </c>
      <c r="BV60" s="53" t="inlineStr">
        <is>
          <t>1. Complete assigned XBRL mapping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W60" s="53" t="n"/>
      <c r="BX60" s="53" t="inlineStr">
        <is>
          <t>UK - HMRC; Netherland - KVK; Nigeria - CBN; Europe - ESEF.</t>
        </is>
      </c>
      <c r="BY60" s="53" t="n"/>
      <c r="BZ60" s="53" t="inlineStr">
        <is>
          <t>IRIS2050</t>
        </is>
      </c>
      <c r="CA60" s="53" t="inlineStr">
        <is>
          <t>Employee</t>
        </is>
      </c>
      <c r="CB60" s="53" t="inlineStr">
        <is>
          <t>Active</t>
        </is>
      </c>
      <c r="CC60" s="53" t="inlineStr">
        <is>
          <t>Ruhee Chita</t>
        </is>
      </c>
      <c r="CD60" s="54" t="n">
        <v>44774</v>
      </c>
      <c r="CE60" s="53" t="inlineStr">
        <is>
          <t>Senior Financial Analyst</t>
        </is>
      </c>
      <c r="CF60" s="53" t="n"/>
      <c r="CG60" s="53" t="inlineStr">
        <is>
          <t>Professional Services</t>
        </is>
      </c>
      <c r="CH60" s="53" t="inlineStr">
        <is>
          <t>XBRL / Regulatory Reporting</t>
        </is>
      </c>
      <c r="CI60" s="53" t="inlineStr">
        <is>
          <t>Senior Financial Analyst</t>
        </is>
      </c>
      <c r="CJ60" s="53" t="inlineStr">
        <is>
          <t>L4 – Senior</t>
        </is>
      </c>
      <c r="CK60" s="53" t="inlineStr">
        <is>
          <t>Jivika Wadhwani</t>
        </is>
      </c>
      <c r="CL60" s="53" t="inlineStr">
        <is>
          <t>N-7</t>
        </is>
      </c>
      <c r="CM60" s="53" t="inlineStr">
        <is>
          <t>Individual Contributor</t>
        </is>
      </c>
      <c r="CN60" s="53" t="inlineStr">
        <is>
          <t>Regtech</t>
        </is>
      </c>
      <c r="CO60" s="53" t="inlineStr">
        <is>
          <t>Services</t>
        </is>
      </c>
      <c r="CP60" s="53" t="inlineStr">
        <is>
          <t>7 years, 5 months, 19 days</t>
        </is>
      </c>
      <c r="CQ60" s="53" t="inlineStr">
        <is>
          <t>Senior Services Specialst</t>
        </is>
      </c>
      <c r="CR60" s="53" t="n"/>
      <c r="CS60" s="53" t="n">
        <v>3</v>
      </c>
      <c r="CT60" s="53" t="inlineStr">
        <is>
          <t>Medium</t>
        </is>
      </c>
      <c r="CU60" s="53" t="inlineStr">
        <is>
          <t>Core Contributor</t>
        </is>
      </c>
      <c r="CV60" s="53" t="inlineStr">
        <is>
          <t>No</t>
        </is>
      </c>
      <c r="CW60" s="53" t="inlineStr">
        <is>
          <t>No</t>
        </is>
      </c>
      <c r="CX60" s="53" t="inlineStr">
        <is>
          <t>Yes</t>
        </is>
      </c>
      <c r="CY60" s="53" t="n"/>
      <c r="CZ60" s="53" t="n"/>
      <c r="DA60" s="53" t="n"/>
      <c r="DB60" s="53" t="inlineStr">
        <is>
          <t>Title to be standardized to: Senior Services Specialist</t>
        </is>
      </c>
      <c r="DC60" s="53" t="n"/>
      <c r="DD60" s="53" t="n"/>
      <c r="DE60" s="53" t="n"/>
      <c r="DF60" s="53" t="n"/>
      <c r="DG60" s="53" t="n"/>
      <c r="DH60" s="53" t="n"/>
      <c r="DI60" s="53" t="n"/>
      <c r="DJ60" s="53" t="n"/>
      <c r="DK60" s="53" t="n"/>
      <c r="DL60" s="53" t="n"/>
      <c r="DM60" s="53" t="n"/>
      <c r="DN60" s="53" t="n"/>
      <c r="DO60" s="53" t="n"/>
      <c r="DP60" s="53" t="n"/>
      <c r="DQ60" s="53" t="n"/>
      <c r="DR60" s="53" t="n"/>
      <c r="DS60" s="53" t="n"/>
      <c r="DT60" s="53" t="n"/>
      <c r="DU60" s="53" t="n"/>
      <c r="DV60" s="53" t="n"/>
      <c r="DW60" s="53" t="n"/>
      <c r="DX60" s="53" t="n"/>
      <c r="DY60" s="53" t="n"/>
      <c r="DZ60" s="53" t="n"/>
      <c r="EA60" s="53" t="n"/>
      <c r="EB60" s="53" t="n"/>
      <c r="EC60" s="53" t="n"/>
      <c r="ED60" s="53" t="n"/>
      <c r="EE60" s="53" t="n"/>
      <c r="EF60" s="53" t="n"/>
      <c r="EG60" s="53" t="n"/>
      <c r="EH60" s="53" t="n"/>
      <c r="EI60" s="53" t="n"/>
      <c r="EJ60" s="53" t="n"/>
      <c r="EK60" s="53" t="n"/>
      <c r="EL60" s="53" t="n"/>
      <c r="EM60" s="53" t="n"/>
      <c r="EN60" s="53" t="n"/>
      <c r="EO60" s="53" t="n"/>
      <c r="EP60" s="53" t="n"/>
      <c r="EQ60" s="53" t="n"/>
      <c r="ER60" s="53" t="n"/>
      <c r="ES60" s="53" t="n"/>
      <c r="ET60" s="53" t="n"/>
      <c r="EU60" s="53" t="n"/>
      <c r="EV60" s="53" t="n"/>
      <c r="EW60" s="52" t="n"/>
      <c r="EX60" s="53" t="inlineStr">
        <is>
          <t>• Role / sub-team: Service team: Mapping.</t>
        </is>
      </c>
      <c r="EY60" s="53" t="inlineStr">
        <is>
          <t>• Key responsibilities include: Provide mapping for different projects.; Quality analysis.
• Reported deliverables and outcomes include: Tagging team and sometimes directly to the CEM.</t>
        </is>
      </c>
      <c r="EZ60" s="53" t="inlineStr">
        <is>
          <t>• Current capabilities: Team collaboration.</t>
        </is>
      </c>
      <c r="FA60" s="53" t="inlineStr">
        <is>
          <t>• Development priorities: No input received.
• Learning and Development Need: Planning of work.</t>
        </is>
      </c>
      <c r="FB60" s="53" t="inlineStr">
        <is>
          <t>• Key challenges: No input received.
• Support required: No input received.</t>
        </is>
      </c>
      <c r="FC60" s="53" t="n"/>
      <c r="FD60" s="53" t="n"/>
      <c r="FE60" s="57" t="inlineStr">
        <is>
          <t>1. Complete assigned XBRL mapping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FF60" s="56" t="n"/>
      <c r="FG60" s="56" t="n"/>
      <c r="FH60" s="56" t="n"/>
      <c r="FI60" s="56" t="n"/>
      <c r="FJ60" s="56" t="inlineStr">
        <is>
          <t>Received · manager annual</t>
        </is>
      </c>
      <c r="FK60" s="56" t="inlineStr">
        <is>
          <t>CARBON Mapping Master</t>
        </is>
      </c>
      <c r="FL60" s="56" t="n">
        <v>20</v>
      </c>
      <c r="FM60" s="56" t="inlineStr">
        <is>
          <t>• Role / sub-team: Service team: Mapping.</t>
        </is>
      </c>
      <c r="FN60" s="56" t="inlineStr">
        <is>
          <t>• Key responsibilities include: Provide mapping for different projects.; Quality analysis.
• Reported deliverables and outcomes include: Tagging team and sometimes directly to the CEM.</t>
        </is>
      </c>
      <c r="FO60" s="56" t="inlineStr">
        <is>
          <t>• Current capabilities: Team collaboration.</t>
        </is>
      </c>
      <c r="FP60" s="56" t="inlineStr">
        <is>
          <t>• Development priorities: No input received.
• Learning and Development Need: Planning of work.</t>
        </is>
      </c>
      <c r="FQ60" s="56" t="inlineStr">
        <is>
          <t>• Key challenges: No input received.
• Support required: No input received.</t>
        </is>
      </c>
      <c r="FR60" s="56" t="inlineStr">
        <is>
          <t>Complexity: Evidence reads like B1: Maps statements to ESEF, Dutch, Nigeria, UK taxonomies; extension decisions; resolves auditor comments; reviews filings → moved up 0.5
Autonomy: Evidence reads like A3: Maps independently, selects taxonomy concepts, incorporates auditor comments, prioritises filings by deadline → matches the start
Accountability: Evidence reads like A3: Mapping accuracy and ESEF/KVK compliance of filings; addresses auditor comments → matches the start
Leadership: Evidence reads like A1: No guiding or leading of others described → moved down 0.5
Business Impact: Moved +0.5: the survey / manager mapping marks it business-critical.</t>
        </is>
      </c>
      <c r="FS60" s="56"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FT60" s="56" t="inlineStr">
        <is>
          <t>Self-identified: Testing &amp; quality · Domain, regulatory &amp; XBRL · Broader exposure &amp; ownership
For the next role: Testing &amp; quality · Domain, regulatory &amp; XBRL · Broader exposure &amp; ownership</t>
        </is>
      </c>
      <c r="FU60" s="56" t="inlineStr">
        <is>
          <t>Per-person summary · CARBON Mapping Master</t>
        </is>
      </c>
    </row>
    <row r="61" ht="90" customHeight="1">
      <c r="A61" s="51" t="inlineStr">
        <is>
          <t>◂ Back</t>
        </is>
      </c>
      <c r="B61" s="29" t="inlineStr">
        <is>
          <t>Mapped</t>
        </is>
      </c>
      <c r="C61" s="28" t="inlineStr">
        <is>
          <t>CARBON</t>
        </is>
      </c>
      <c r="D61" s="29" t="inlineStr">
        <is>
          <t>IRIS0305</t>
        </is>
      </c>
      <c r="E61" s="29" t="inlineStr">
        <is>
          <t>Vivek Patil</t>
        </is>
      </c>
      <c r="F61" s="29" t="inlineStr">
        <is>
          <t>Services</t>
        </is>
      </c>
      <c r="G61" s="29" t="inlineStr">
        <is>
          <t>Senior Financial Analyst</t>
        </is>
      </c>
      <c r="H61" s="29" t="inlineStr">
        <is>
          <t>XBRL Specialist</t>
        </is>
      </c>
      <c r="I61" s="29" t="inlineStr">
        <is>
          <t>L4 – Senior</t>
        </is>
      </c>
      <c r="J61" s="29" t="inlineStr">
        <is>
          <t>B1</t>
        </is>
      </c>
      <c r="K61" s="29" t="inlineStr">
        <is>
          <t>▲ Up</t>
        </is>
      </c>
      <c r="L61" s="29" t="inlineStr">
        <is>
          <t>Consulting &amp; Professional Services</t>
        </is>
      </c>
      <c r="M61" s="29" t="inlineStr">
        <is>
          <t>XBRL Tagging, Conversion &amp; Filing</t>
        </is>
      </c>
      <c r="N61" s="29" t="inlineStr">
        <is>
          <t>• Confirm the reporting line — Manager</t>
        </is>
      </c>
      <c r="O61" s="29" t="n">
        <v>20</v>
      </c>
      <c r="P61" s="28" t="inlineStr">
        <is>
          <t>P3 / M2</t>
        </is>
      </c>
      <c r="Q61" s="29" t="inlineStr">
        <is>
          <t>Career / · Team Lead</t>
        </is>
      </c>
      <c r="R61" s="29" t="inlineStr">
        <is>
          <t>4 Enable</t>
        </is>
      </c>
      <c r="S61" s="29" t="inlineStr">
        <is>
          <t>4–7 yrs</t>
        </is>
      </c>
      <c r="T61" s="29" t="inlineStr">
        <is>
          <t>5–8 · 4–8</t>
        </is>
      </c>
      <c r="U61" s="29" t="inlineStr">
        <is>
          <t>Consultant / Senior Associate</t>
        </is>
      </c>
      <c r="V61" s="29" t="inlineStr">
        <is>
          <t>Big Four: Senior Consultant · IRIS Vs Market Benchmark — XBRL US credential pathway: Certificate + specialist taxonomy</t>
        </is>
      </c>
      <c r="W61" s="29" t="inlineStr">
        <is>
          <t>XBRL US GAAP Certificate · AICPA &amp; XBRL US; XBRL International specifications; IFRS / US GAAP / Ind AS</t>
        </is>
      </c>
      <c r="X61" s="29" t="inlineStr">
        <is>
          <t>Core 3 · Future 3 · Functional 3 · Leadership 1</t>
        </is>
      </c>
      <c r="Y61" s="52" t="n">
        <v>48</v>
      </c>
      <c r="Z61" s="53" t="inlineStr">
        <is>
          <t>IRIS0305</t>
        </is>
      </c>
      <c r="AA61" s="53" t="inlineStr">
        <is>
          <t>Employee</t>
        </is>
      </c>
      <c r="AB61" s="53" t="inlineStr">
        <is>
          <t>Active</t>
        </is>
      </c>
      <c r="AC61" s="53" t="inlineStr">
        <is>
          <t>Vivek Patil</t>
        </is>
      </c>
      <c r="AD61" s="54" t="n">
        <v>40224</v>
      </c>
      <c r="AE61" s="53" t="inlineStr">
        <is>
          <t>Senior Financial Analyst</t>
        </is>
      </c>
      <c r="AF61" s="53" t="inlineStr">
        <is>
          <t>B.Com</t>
        </is>
      </c>
      <c r="AG61" s="53" t="inlineStr">
        <is>
          <t>Shashikant Mudaliar</t>
        </is>
      </c>
      <c r="AH61" s="53" t="inlineStr">
        <is>
          <t>N-6</t>
        </is>
      </c>
      <c r="AI61" s="53" t="inlineStr">
        <is>
          <t>Individual Contributor</t>
        </is>
      </c>
      <c r="AJ61" s="53" t="inlineStr">
        <is>
          <t>0 years, 0 months, 0 days</t>
        </is>
      </c>
      <c r="AK61" s="53" t="inlineStr">
        <is>
          <t>16 years, 6 months, 10 days</t>
        </is>
      </c>
      <c r="AL61" s="53" t="inlineStr">
        <is>
          <t>Regtech</t>
        </is>
      </c>
      <c r="AM61" s="53" t="inlineStr">
        <is>
          <t>CARBON</t>
        </is>
      </c>
      <c r="AN61" s="53" t="inlineStr">
        <is>
          <t>Services</t>
        </is>
      </c>
      <c r="AO61" s="53" t="inlineStr">
        <is>
          <t>Expert Assisted services</t>
        </is>
      </c>
      <c r="AP61" s="53" t="inlineStr">
        <is>
          <t>No</t>
        </is>
      </c>
      <c r="AQ61" s="53" t="inlineStr">
        <is>
          <t>Professional Services</t>
        </is>
      </c>
      <c r="AR61" s="53" t="inlineStr">
        <is>
          <t>XBRL Domain</t>
        </is>
      </c>
      <c r="AS61" s="53" t="inlineStr">
        <is>
          <t>Non-technical</t>
        </is>
      </c>
      <c r="AT61" s="53" t="n">
        <v>20</v>
      </c>
      <c r="AU61" s="53" t="inlineStr">
        <is>
          <t>Covered</t>
        </is>
      </c>
      <c r="AV61" s="53" t="inlineStr">
        <is>
          <t>IRIS0305</t>
        </is>
      </c>
      <c r="AW61" s="53" t="inlineStr">
        <is>
          <t>Vivek Patil</t>
        </is>
      </c>
      <c r="AX61" s="53" t="inlineStr">
        <is>
          <t>Services</t>
        </is>
      </c>
      <c r="AY61" s="53" t="inlineStr">
        <is>
          <t>Professional Services</t>
        </is>
      </c>
      <c r="AZ61" s="53" t="inlineStr">
        <is>
          <t>XBRL / Regulatory Reporting</t>
        </is>
      </c>
      <c r="BA61" s="53" t="n"/>
      <c r="BB61" s="53" t="n"/>
      <c r="BC61" s="53" t="inlineStr">
        <is>
          <t>Employee</t>
        </is>
      </c>
      <c r="BD61" s="53" t="inlineStr">
        <is>
          <t>Shashikant Mudaliar</t>
        </is>
      </c>
      <c r="BE61" s="53" t="inlineStr">
        <is>
          <t>Shashikant Mudaliar</t>
        </is>
      </c>
      <c r="BF61" s="53" t="inlineStr">
        <is>
          <t>No</t>
        </is>
      </c>
      <c r="BG61" s="53" t="inlineStr">
        <is>
          <t>Senior Financial Analyst</t>
        </is>
      </c>
      <c r="BH61" s="53" t="inlineStr">
        <is>
          <t>Senior Services Specialist</t>
        </is>
      </c>
      <c r="BI61" s="53" t="inlineStr">
        <is>
          <t>Yes</t>
        </is>
      </c>
      <c r="BJ61" s="53" t="inlineStr">
        <is>
          <t>—</t>
        </is>
      </c>
      <c r="BK61" s="53" t="inlineStr">
        <is>
          <t>—</t>
        </is>
      </c>
      <c r="BL61" s="53" t="inlineStr">
        <is>
          <t>—</t>
        </is>
      </c>
      <c r="BM61" s="53" t="inlineStr">
        <is>
          <t>Not a manager</t>
        </is>
      </c>
      <c r="BN61" s="53" t="inlineStr">
        <is>
          <t>—</t>
        </is>
      </c>
      <c r="BO61" s="53" t="inlineStr">
        <is>
          <t>—</t>
        </is>
      </c>
      <c r="BP61" s="53" t="inlineStr">
        <is>
          <t>—</t>
        </is>
      </c>
      <c r="BQ61" s="53" t="inlineStr">
        <is>
          <t>Not a manager</t>
        </is>
      </c>
      <c r="BR61" s="53" t="inlineStr">
        <is>
          <t>—</t>
        </is>
      </c>
      <c r="BS61" s="53" t="inlineStr">
        <is>
          <t>L4 – Senior</t>
        </is>
      </c>
      <c r="BT61" s="53" t="inlineStr">
        <is>
          <t>L4 – Senior</t>
        </is>
      </c>
      <c r="BU61" s="53" t="inlineStr">
        <is>
          <t>Designation refined from Raw tab Comments column · this update</t>
        </is>
      </c>
      <c r="BV61"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W61" s="53" t="n"/>
      <c r="BX61" s="53" t="inlineStr">
        <is>
          <t>Italy - Infocamere; India - MCA; USA - SEC.</t>
        </is>
      </c>
      <c r="BY61" s="53" t="n"/>
      <c r="BZ61" s="53" t="inlineStr">
        <is>
          <t>IRIS0305</t>
        </is>
      </c>
      <c r="CA61" s="53" t="inlineStr">
        <is>
          <t>Employee</t>
        </is>
      </c>
      <c r="CB61" s="53" t="inlineStr">
        <is>
          <t>Active</t>
        </is>
      </c>
      <c r="CC61" s="53" t="inlineStr">
        <is>
          <t>Vivek Patil</t>
        </is>
      </c>
      <c r="CD61" s="54" t="n">
        <v>40224</v>
      </c>
      <c r="CE61" s="53" t="inlineStr">
        <is>
          <t>Senior Financial Analyst</t>
        </is>
      </c>
      <c r="CF61" s="53" t="n"/>
      <c r="CG61" s="53" t="inlineStr">
        <is>
          <t>Professional Services</t>
        </is>
      </c>
      <c r="CH61" s="53" t="inlineStr">
        <is>
          <t>XBRL / Regulatory Reporting</t>
        </is>
      </c>
      <c r="CI61" s="53" t="inlineStr">
        <is>
          <t>Senior Financial Analyst</t>
        </is>
      </c>
      <c r="CJ61" s="53" t="inlineStr">
        <is>
          <t>L4 – Senior</t>
        </is>
      </c>
      <c r="CK61" s="53" t="inlineStr">
        <is>
          <t>Shashikant Mudaliar</t>
        </is>
      </c>
      <c r="CL61" s="53" t="inlineStr">
        <is>
          <t>N-6</t>
        </is>
      </c>
      <c r="CM61" s="53" t="inlineStr">
        <is>
          <t>Individual Contributor</t>
        </is>
      </c>
      <c r="CN61" s="53" t="inlineStr">
        <is>
          <t>Regtech</t>
        </is>
      </c>
      <c r="CO61" s="53" t="inlineStr">
        <is>
          <t>Services</t>
        </is>
      </c>
      <c r="CP61" s="53" t="inlineStr">
        <is>
          <t>16 years, 4 months, 5 days</t>
        </is>
      </c>
      <c r="CQ61" s="53" t="inlineStr">
        <is>
          <t>Senior Services Specialst</t>
        </is>
      </c>
      <c r="CR61" s="53" t="n"/>
      <c r="CS61" s="53" t="n">
        <v>3</v>
      </c>
      <c r="CT61" s="53" t="inlineStr">
        <is>
          <t>High</t>
        </is>
      </c>
      <c r="CU61" s="53" t="inlineStr">
        <is>
          <t>Core Contributor</t>
        </is>
      </c>
      <c r="CV61" s="53" t="inlineStr">
        <is>
          <t>Yes</t>
        </is>
      </c>
      <c r="CW61" s="53" t="inlineStr">
        <is>
          <t>No</t>
        </is>
      </c>
      <c r="CX61" s="53" t="inlineStr">
        <is>
          <t>Yes</t>
        </is>
      </c>
      <c r="CY61" s="53" t="n"/>
      <c r="CZ61" s="53" t="n"/>
      <c r="DA61" s="53" t="n"/>
      <c r="DB61" s="53" t="inlineStr">
        <is>
          <t>Title to be standardized to: Senior Services Specialist</t>
        </is>
      </c>
      <c r="DC61" s="53" t="n"/>
      <c r="DD61" s="53" t="n"/>
      <c r="DE61" s="53" t="n"/>
      <c r="DF61" s="53" t="n"/>
      <c r="DG61" s="53" t="n"/>
      <c r="DH61" s="53" t="n"/>
      <c r="DI61" s="53" t="n"/>
      <c r="DJ61" s="53" t="n"/>
      <c r="DK61" s="53" t="n"/>
      <c r="DL61" s="53" t="n"/>
      <c r="DM61" s="53" t="n"/>
      <c r="DN61" s="53" t="n"/>
      <c r="DO61" s="53" t="n"/>
      <c r="DP61" s="53" t="n"/>
      <c r="DQ61" s="53" t="n"/>
      <c r="DR61" s="53" t="n"/>
      <c r="DS61" s="53" t="n"/>
      <c r="DT61" s="53" t="n"/>
      <c r="DU61" s="53" t="n"/>
      <c r="DV61" s="53" t="n"/>
      <c r="DW61" s="53" t="n"/>
      <c r="DX61" s="53" t="n"/>
      <c r="DY61" s="53" t="n"/>
      <c r="DZ61" s="53" t="n"/>
      <c r="EA61" s="53" t="n"/>
      <c r="EB61" s="53" t="n"/>
      <c r="EC61" s="53" t="n"/>
      <c r="ED61" s="53" t="n"/>
      <c r="EE61" s="53" t="n"/>
      <c r="EF61" s="53" t="n"/>
      <c r="EG61" s="53" t="n"/>
      <c r="EH61" s="53" t="n"/>
      <c r="EI61" s="53" t="n"/>
      <c r="EJ61" s="53" t="n"/>
      <c r="EK61" s="53" t="n"/>
      <c r="EL61" s="53" t="n"/>
      <c r="EM61" s="53" t="n"/>
      <c r="EN61" s="53" t="n"/>
      <c r="EO61" s="53" t="n"/>
      <c r="EP61" s="53" t="n"/>
      <c r="EQ61" s="53" t="n"/>
      <c r="ER61" s="53" t="n"/>
      <c r="ES61" s="53" t="n"/>
      <c r="ET61" s="53" t="n"/>
      <c r="EU61" s="53" t="n"/>
      <c r="EV61" s="53" t="n"/>
      <c r="EW61" s="52" t="n"/>
      <c r="EX61" s="53" t="inlineStr">
        <is>
          <t>• Role / sub-team: Quality check analyst and shift leading - US-Service team.</t>
        </is>
      </c>
      <c r="EY61" s="53" t="inlineStr">
        <is>
          <t>• Key responsibilities include: Task allocations, Update task sheets, Tagging, quality check, Training sessions, Shift management, Doubt solving of team members,.</t>
        </is>
      </c>
      <c r="EZ61" s="53" t="inlineStr">
        <is>
          <t>• Current capabilities: Patient positive attitude; Tools / software used: Both | Ifile [Teams chat].</t>
        </is>
      </c>
      <c r="FA61" s="53" t="inlineStr">
        <is>
          <t>• Development priorities: No input received.
• Learning and Development Need: Efficient task management.</t>
        </is>
      </c>
      <c r="FB61" s="53" t="inlineStr">
        <is>
          <t>• Key challenges: Technical issue.
• Support required: No input received.</t>
        </is>
      </c>
      <c r="FC61" s="53" t="n"/>
      <c r="FD61" s="53" t="n"/>
      <c r="FE61"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FF61" s="56" t="n"/>
      <c r="FG61" s="56" t="n"/>
      <c r="FH61" s="56" t="n"/>
      <c r="FI61" s="56" t="n"/>
      <c r="FJ61" s="56" t="inlineStr">
        <is>
          <t>Received · manager annual</t>
        </is>
      </c>
      <c r="FK61" s="56" t="inlineStr">
        <is>
          <t>CARBON Mapping Master</t>
        </is>
      </c>
      <c r="FL61" s="56" t="n">
        <v>20</v>
      </c>
      <c r="FM61" s="56" t="inlineStr">
        <is>
          <t>• Role / sub-team: Quality check analyst and shift leading - US-Service team.</t>
        </is>
      </c>
      <c r="FN61" s="56" t="inlineStr">
        <is>
          <t>• Key responsibilities include: Task allocations, Update task sheets, Tagging, quality check, Training sessions, Shift management, Doubt solving of team members,.</t>
        </is>
      </c>
      <c r="FO61" s="56" t="inlineStr">
        <is>
          <t>• Current capabilities: Patient positive attitude; Tools / software used: Both | Ifile [Teams chat].</t>
        </is>
      </c>
      <c r="FP61" s="56" t="inlineStr">
        <is>
          <t>• Development priorities: No input received.
• Learning and Development Need: Efficient task management.</t>
        </is>
      </c>
      <c r="FQ61" s="56" t="inlineStr">
        <is>
          <t>• Key challenges: Technical issue.
• Support required: No input received.</t>
        </is>
      </c>
      <c r="FR61" s="56" t="inlineStr">
        <is>
          <t>Complexity: Evidence reads like A3: Covers tagging, QC, validation and SEC filing for US mandate; resolves team members' doubts → matches the start
Autonomy: Evidence reads like B1: Allocates work and shifts, prioritises tasks by deadline, resolves routine operational issues for the shift → moved up 0.5
Accountability: Evidence reads like B1: Shift's tagged documents, QC, validation and timely filing of assigned forms → moved up 0.5
Leadership: Evidence reads like B1: Allocates shifts and work, guides team members, runs training sessions; manager confirms shift lead → moved up 1
Business Impact: Moved +0.5: the survey / manager mapping marks it business-critical.</t>
        </is>
      </c>
      <c r="FS61" s="56" t="inlineStr">
        <is>
          <t>Common themes in role-holders' answers: reporting · financial · mandate · timely · while · us
Common themes in role-holders' answers: tagging · validation · quality · mapping · management · filing
Common themes in role-holders' answers: documents · xbrl · quality · timely · overall · filings
Common themes in role-holders' answers: quality · validation · timely · am · tagging · delivery
Common themes in role-holders' answers: resolving · independently · issues · routine · file · analysis
If the work is missed · role-holders' themes: rework · quality · delays · filing.</t>
        </is>
      </c>
      <c r="FT61" s="56" t="inlineStr">
        <is>
          <t>Self-identified: Project / programme management · Data, SQL &amp; analytics · Domain, regulatory &amp; XBRL · Client, sales &amp; stakeholders · Broader exposure &amp; ownership
For the next role: AI / automation · Project / programme management · Data, SQL &amp; analytics · Domain, regulatory &amp; XBRL · Client, sales &amp; stakeholders · Broader exposure &amp; ownership</t>
        </is>
      </c>
      <c r="FU61" s="56" t="inlineStr">
        <is>
          <t>Per-person summary · CARBON Mapping Master</t>
        </is>
      </c>
    </row>
    <row r="62" ht="90" customHeight="1">
      <c r="A62" s="51" t="inlineStr">
        <is>
          <t>◂ Back</t>
        </is>
      </c>
      <c r="B62" s="29" t="inlineStr">
        <is>
          <t>Mapped</t>
        </is>
      </c>
      <c r="C62" s="28" t="inlineStr">
        <is>
          <t>CARBON</t>
        </is>
      </c>
      <c r="D62" s="29" t="inlineStr">
        <is>
          <t>IRIS0055</t>
        </is>
      </c>
      <c r="E62" s="29" t="inlineStr">
        <is>
          <t>Vijay Parulekar</t>
        </is>
      </c>
      <c r="F62" s="29" t="inlineStr">
        <is>
          <t>Digitizing</t>
        </is>
      </c>
      <c r="G62" s="29" t="inlineStr">
        <is>
          <t>Head Image Processing</t>
        </is>
      </c>
      <c r="H62" s="29" t="inlineStr">
        <is>
          <t>Associate Head – Digitization</t>
        </is>
      </c>
      <c r="I62" s="29" t="inlineStr">
        <is>
          <t>L7 – Head / Sr Director</t>
        </is>
      </c>
      <c r="J62" s="29" t="inlineStr">
        <is>
          <t>C1</t>
        </is>
      </c>
      <c r="K62" s="29" t="inlineStr">
        <is>
          <t>▼ Down · protected</t>
        </is>
      </c>
      <c r="L62" s="29" t="inlineStr">
        <is>
          <t>Executive Leadership</t>
        </is>
      </c>
      <c r="M62" s="29" t="inlineStr">
        <is>
          <t>Business Head</t>
        </is>
      </c>
      <c r="N62" s="29" t="n"/>
      <c r="O62" s="29" t="n">
        <v>20</v>
      </c>
      <c r="P62" s="28" t="inlineStr">
        <is>
          <t>P6 / M5</t>
        </is>
      </c>
      <c r="Q62" s="29" t="inlineStr">
        <is>
          <t>Principal / Director</t>
        </is>
      </c>
      <c r="R62" s="29" t="inlineStr">
        <is>
          <t>5–6</t>
        </is>
      </c>
      <c r="S62" s="29" t="inlineStr">
        <is>
          <t>10–14 yrs</t>
        </is>
      </c>
      <c r="T62" s="29" t="inlineStr">
        <is>
          <t>12–16 · 12–18</t>
        </is>
      </c>
      <c r="U62" s="29" t="inlineStr">
        <is>
          <t>Head of Function / AGM</t>
        </is>
      </c>
      <c r="V62" s="29" t="inlineStr">
        <is>
          <t>Accenture Operations: L6 Senior Manager · IRIS Vs Competitor Benchmark — operations roles: Head of Delivery</t>
        </is>
      </c>
      <c r="W62" s="29" t="inlineStr">
        <is>
          <t>COPC CX Standard · leadership &amp; planning, people, processes, performance; ISO 9001; Lean / Six Sigma</t>
        </is>
      </c>
      <c r="X62" s="29" t="inlineStr">
        <is>
          <t>Core 4 · Future 4 · Functional 4 · Leadership 4</t>
        </is>
      </c>
      <c r="Y62" s="52" t="n">
        <v>19</v>
      </c>
      <c r="Z62" s="53" t="inlineStr">
        <is>
          <t>IRIS0055</t>
        </is>
      </c>
      <c r="AA62" s="53" t="inlineStr">
        <is>
          <t>Employee</t>
        </is>
      </c>
      <c r="AB62" s="53" t="inlineStr">
        <is>
          <t>Active</t>
        </is>
      </c>
      <c r="AC62" s="53" t="inlineStr">
        <is>
          <t>Vijay Parulekar</t>
        </is>
      </c>
      <c r="AD62" s="54" t="n">
        <v>39038</v>
      </c>
      <c r="AE62" s="53" t="inlineStr">
        <is>
          <t>Head Image Processing</t>
        </is>
      </c>
      <c r="AF62" s="53" t="inlineStr">
        <is>
          <t>B.Com</t>
        </is>
      </c>
      <c r="AG62" s="53" t="inlineStr">
        <is>
          <t>K Ashok Kumar</t>
        </is>
      </c>
      <c r="AH62" s="53" t="inlineStr">
        <is>
          <t>N-5</t>
        </is>
      </c>
      <c r="AI62" s="53" t="inlineStr">
        <is>
          <t>Manager</t>
        </is>
      </c>
      <c r="AJ62" s="53" t="inlineStr">
        <is>
          <t>6 years, 6 months, 0 days</t>
        </is>
      </c>
      <c r="AK62" s="53" t="inlineStr">
        <is>
          <t>19 years, 9 months, 8 days</t>
        </is>
      </c>
      <c r="AL62" s="53" t="inlineStr">
        <is>
          <t>Regtech</t>
        </is>
      </c>
      <c r="AM62" s="53" t="inlineStr">
        <is>
          <t>CARBON</t>
        </is>
      </c>
      <c r="AN62" s="53" t="inlineStr">
        <is>
          <t>Digitizing</t>
        </is>
      </c>
      <c r="AO62" s="53" t="inlineStr">
        <is>
          <t>Digitizing Assisted services</t>
        </is>
      </c>
      <c r="AP62" s="53" t="inlineStr">
        <is>
          <t>No</t>
        </is>
      </c>
      <c r="AQ62" s="53" t="inlineStr">
        <is>
          <t>Professional Services</t>
        </is>
      </c>
      <c r="AR62" s="53" t="inlineStr">
        <is>
          <t>OCR/Image procesing</t>
        </is>
      </c>
      <c r="AS62" s="53" t="inlineStr">
        <is>
          <t>Non-technical</t>
        </is>
      </c>
      <c r="AT62" s="53" t="n">
        <v>20</v>
      </c>
      <c r="AU62" s="53" t="inlineStr">
        <is>
          <t>Covered</t>
        </is>
      </c>
      <c r="AV62" s="53" t="inlineStr">
        <is>
          <t>IRIS0055</t>
        </is>
      </c>
      <c r="AW62" s="53" t="inlineStr">
        <is>
          <t>Vijay Parulekar</t>
        </is>
      </c>
      <c r="AX62" s="53" t="inlineStr">
        <is>
          <t>Digitizing</t>
        </is>
      </c>
      <c r="AY62" s="53" t="inlineStr">
        <is>
          <t>Professional Services</t>
        </is>
      </c>
      <c r="AZ62" s="53" t="inlineStr">
        <is>
          <t>Digitization &amp; Image Processing</t>
        </is>
      </c>
      <c r="BA62" s="53" t="n"/>
      <c r="BB62" s="53" t="n"/>
      <c r="BC62" s="53" t="inlineStr">
        <is>
          <t>Employee</t>
        </is>
      </c>
      <c r="BD62" s="53" t="inlineStr">
        <is>
          <t>K Ashok Kumar</t>
        </is>
      </c>
      <c r="BE62" s="53" t="inlineStr">
        <is>
          <t>Shashikant Mudaliar</t>
        </is>
      </c>
      <c r="BF62" s="53" t="inlineStr">
        <is>
          <t>No</t>
        </is>
      </c>
      <c r="BG62" s="53" t="inlineStr">
        <is>
          <t>Head Image Processing</t>
        </is>
      </c>
      <c r="BH62" s="53" t="inlineStr">
        <is>
          <t>Head Image Processing</t>
        </is>
      </c>
      <c r="BI62" s="53" t="inlineStr">
        <is>
          <t>No</t>
        </is>
      </c>
      <c r="BJ62" s="53" t="n">
        <v>5</v>
      </c>
      <c r="BK62" s="53" t="n">
        <v>5</v>
      </c>
      <c r="BL62" s="53" t="n">
        <v>0</v>
      </c>
      <c r="BM62" s="53" t="inlineStr">
        <is>
          <t>Healthy</t>
        </is>
      </c>
      <c r="BN62" s="53" t="n">
        <v>5</v>
      </c>
      <c r="BO62" s="53" t="n">
        <v>5</v>
      </c>
      <c r="BP62" s="53" t="n">
        <v>0</v>
      </c>
      <c r="BQ62" s="53" t="inlineStr">
        <is>
          <t>Healthy</t>
        </is>
      </c>
      <c r="BR62" s="53" t="inlineStr">
        <is>
          <t>No</t>
        </is>
      </c>
      <c r="BS62" s="53" t="inlineStr">
        <is>
          <t>L7 – Head / Sr Director</t>
        </is>
      </c>
      <c r="BT62" s="53" t="inlineStr">
        <is>
          <t>L7 – Head / Sr Director</t>
        </is>
      </c>
      <c r="BU62" s="53" t="inlineStr">
        <is>
          <t>No designation change — current record value carried forward</t>
        </is>
      </c>
      <c r="BV62" s="53" t="inlineStr">
        <is>
          <t>1. Ensure files processed by team with &gt;=99% accuracy · zero critical errors.
2. Meet 100% of regulatory / client filing deadlines · no SLA breaches
3. Reduce average filing turnaround time by 10-20% by this year.
4. Identify and develop future team leads.
5. Deliver zero escalations from key clients.
6. Launch AI-assisted formatting/tagging and review suggestion engine · Give Logic to Engineering Team and Test it whenever developed</t>
        </is>
      </c>
      <c r="BW62" s="53" t="n"/>
      <c r="BX62" s="53" t="inlineStr">
        <is>
          <t>Italy - Infocamere; Netherland - KVK; South Africa - CIPC; India - MCA; USA - SEC; Europe - ESEF; UK - HMRC; Nigeria - CBN.</t>
        </is>
      </c>
      <c r="BY62" s="53" t="n"/>
      <c r="BZ62" s="53" t="inlineStr">
        <is>
          <t>IRIS0055</t>
        </is>
      </c>
      <c r="CA62" s="53" t="inlineStr">
        <is>
          <t>Employee</t>
        </is>
      </c>
      <c r="CB62" s="53" t="inlineStr">
        <is>
          <t>Active</t>
        </is>
      </c>
      <c r="CC62" s="53" t="inlineStr">
        <is>
          <t>Vijay Parulekar</t>
        </is>
      </c>
      <c r="CD62" s="54" t="n">
        <v>39038</v>
      </c>
      <c r="CE62" s="53" t="inlineStr">
        <is>
          <t>Head Image Processing</t>
        </is>
      </c>
      <c r="CF62" s="53" t="n"/>
      <c r="CG62" s="53" t="inlineStr">
        <is>
          <t>Professional Services</t>
        </is>
      </c>
      <c r="CH62" s="53" t="inlineStr">
        <is>
          <t>Digitization &amp; Image Processing</t>
        </is>
      </c>
      <c r="CI62" s="53" t="inlineStr">
        <is>
          <t>Head Image Processing</t>
        </is>
      </c>
      <c r="CJ62" s="53" t="inlineStr">
        <is>
          <t>L7 – Head / Sr Director</t>
        </is>
      </c>
      <c r="CK62" s="53" t="inlineStr">
        <is>
          <t>K Ashok Kumar</t>
        </is>
      </c>
      <c r="CL62" s="53" t="inlineStr">
        <is>
          <t>N-5</t>
        </is>
      </c>
      <c r="CM62" s="53" t="inlineStr">
        <is>
          <t>Manager</t>
        </is>
      </c>
      <c r="CN62" s="53" t="inlineStr">
        <is>
          <t>Regtech</t>
        </is>
      </c>
      <c r="CO62" s="53" t="inlineStr">
        <is>
          <t>Digitizing</t>
        </is>
      </c>
      <c r="CP62" s="53" t="inlineStr">
        <is>
          <t>26 years, 1 months, 3 days</t>
        </is>
      </c>
      <c r="CQ62" s="53" t="inlineStr">
        <is>
          <t>Head Image Processing</t>
        </is>
      </c>
      <c r="CR62" s="53" t="n"/>
      <c r="CS62" s="53" t="n">
        <v>4</v>
      </c>
      <c r="CT62" s="53" t="inlineStr">
        <is>
          <t>High</t>
        </is>
      </c>
      <c r="CU62" s="53" t="inlineStr">
        <is>
          <t>Core Contributor</t>
        </is>
      </c>
      <c r="CV62" s="53" t="inlineStr">
        <is>
          <t>Yes</t>
        </is>
      </c>
      <c r="CW62" s="53" t="inlineStr">
        <is>
          <t>No</t>
        </is>
      </c>
      <c r="CX62" s="53" t="inlineStr">
        <is>
          <t>Yes</t>
        </is>
      </c>
      <c r="CY62" s="53" t="n"/>
      <c r="CZ62" s="53" t="n"/>
      <c r="DA62" s="53" t="n"/>
      <c r="DB62" s="53" t="n"/>
      <c r="DC62" s="53" t="n"/>
      <c r="DD62" s="53" t="n"/>
      <c r="DE62" s="53" t="n"/>
      <c r="DF62" s="53" t="n"/>
      <c r="DG62" s="53" t="n"/>
      <c r="DH62" s="53" t="n"/>
      <c r="DI62" s="53" t="n"/>
      <c r="DJ62" s="53" t="n"/>
      <c r="DK62" s="53" t="n"/>
      <c r="DL62" s="53" t="n"/>
      <c r="DM62" s="53" t="n"/>
      <c r="DN62" s="53" t="n"/>
      <c r="DO62" s="53" t="n"/>
      <c r="DP62" s="53" t="n"/>
      <c r="DQ62" s="53" t="n"/>
      <c r="DR62" s="53" t="n"/>
      <c r="DS62" s="53" t="n"/>
      <c r="DT62" s="53" t="n"/>
      <c r="DU62" s="53" t="n"/>
      <c r="DV62" s="53" t="n"/>
      <c r="DW62" s="53" t="n"/>
      <c r="DX62" s="53" t="n"/>
      <c r="DY62" s="53" t="n"/>
      <c r="DZ62" s="53" t="n"/>
      <c r="EA62" s="53" t="n"/>
      <c r="EB62" s="53" t="n"/>
      <c r="EC62" s="53" t="n"/>
      <c r="ED62" s="53" t="n"/>
      <c r="EE62" s="53" t="n"/>
      <c r="EF62" s="53" t="n"/>
      <c r="EG62" s="53" t="n"/>
      <c r="EH62" s="53" t="n"/>
      <c r="EI62" s="53" t="n"/>
      <c r="EJ62" s="53" t="n"/>
      <c r="EK62" s="53" t="n"/>
      <c r="EL62" s="53" t="n"/>
      <c r="EM62" s="53" t="n"/>
      <c r="EN62" s="53" t="n"/>
      <c r="EO62" s="53" t="n"/>
      <c r="EP62" s="53" t="n"/>
      <c r="EQ62" s="53" t="n"/>
      <c r="ER62" s="53" t="n"/>
      <c r="ES62" s="53" t="n"/>
      <c r="ET62" s="53" t="n"/>
      <c r="EU62" s="53" t="n"/>
      <c r="EV62" s="53" t="n"/>
      <c r="EW62" s="52" t="n"/>
      <c r="EX62" s="53" t="inlineStr">
        <is>
          <t>• Role / sub-team: Digitizing Assisted Services.</t>
        </is>
      </c>
      <c r="EY62" s="53" t="inlineStr">
        <is>
          <t>• Key responsibilities include: Monitoring deliveries of all Markets. Preparing demos in InDesign if any. Checking resource allocation. Making sure timely delivery.
• Reported deliverables and outcomes include: Daily Status Tracker, Allocation of Priority Files.
• Additional duties outside usual job: Inter department Inter Team work.; Data extraction for Datatech team. Reports downloading for AI Testing team.</t>
        </is>
      </c>
      <c r="EZ62" s="53" t="inlineStr">
        <is>
          <t>• Current capabilities: Use of AI for problem sol; Team management skiil; Tools / software used: Both | InDesign, Abbyy FineReader, Microsoft Web Expression.</t>
        </is>
      </c>
      <c r="FA62" s="53" t="inlineStr">
        <is>
          <t>• Development priorities: AI promoting.
• Learning and Development Need: Communication and Presentation. XBRL Tagging Process and Domain Knowledge.
• AI Enablement Need: AI prompt engineering and using AI to increase efficiency, given their reported use of AI.</t>
        </is>
      </c>
      <c r="FB62" s="53" t="inlineStr">
        <is>
          <t>• Key challenges: Quality of report.
• Support required: No input received.</t>
        </is>
      </c>
      <c r="FC62" s="53" t="n"/>
      <c r="FD62" s="53" t="n"/>
      <c r="FE62" s="57" t="inlineStr">
        <is>
          <t>1.  Ensure files processed by team  with &gt;=99% accuracy · zero critical errors.
2. Meet 100% of regulatory / client filing deadlines · no SLA breaches
3. Reduce average filing turnaround time by 10-20% by this year.
4. Identify and develop future team leads.
5. Deliver zero escalations from key clients.
6. Launch AI-assisted formatting/tagging and review suggestion engine · Give Logic to Engineering Team and Test it whenever developed</t>
        </is>
      </c>
      <c r="FF62" s="56" t="n"/>
      <c r="FG62" s="56" t="n"/>
      <c r="FH62" s="56" t="n"/>
      <c r="FI62" s="56" t="n"/>
      <c r="FJ62" s="56" t="inlineStr">
        <is>
          <t>Received · manager annual</t>
        </is>
      </c>
      <c r="FK62" s="56" t="inlineStr">
        <is>
          <t>CARBON Mapping Master</t>
        </is>
      </c>
      <c r="FL62" s="56" t="n">
        <v>20</v>
      </c>
      <c r="FM62" s="56" t="inlineStr">
        <is>
          <t>• Role / sub-team: Digitizing Assisted Services.</t>
        </is>
      </c>
      <c r="FN62" s="56" t="inlineStr">
        <is>
          <t>• Key responsibilities include: Monitoring deliveries of all Markets. Preparing demos in InDesign if any. Checking resource allocation. Making sure timely delivery.
• Reported deliverables and outcomes include: Daily Status Tracker, Allocation of Priority Files.
• Additional duties outside usual job: Inter department Inter Team work.; Data extraction for Datatech team. Reports downloading for AI Testing team.</t>
        </is>
      </c>
      <c r="FO62" s="56" t="inlineStr">
        <is>
          <t>• Current capabilities: Use of AI for problem sol; Team management skiil; Tools / software used: Both | InDesign, Abbyy FineReader, Microsoft Web Expression.</t>
        </is>
      </c>
      <c r="FP62" s="56" t="inlineStr">
        <is>
          <t>• Development priorities: AI promoting.
• Learning and Development Need: Communication and Presentation. XBRL Tagging Process and Domain Knowledge.
• AI Enablement Need: AI prompt engineering and using AI to increase efficiency, given their reported use of AI.</t>
        </is>
      </c>
      <c r="FQ62" s="56" t="inlineStr">
        <is>
          <t>• Key challenges: Quality of report.
• Support required: No input received.</t>
        </is>
      </c>
      <c r="FR62" s="56" t="inlineStr">
        <is>
          <t>Complexity: Evidence reads like B1: Plans formatting deliveries across all markets and two teams; process improvement; InDesign demos → moved down 1
Autonomy: Evidence reads like B2: Allocates workload and priority files; operational decisions on routine work → moved down 1
Accountability: Evidence reads like B2: Accountable for all work of the Carbon Formatting and RBI CMS team → moved down 1
Leadership: Evidence reads like B2: Manages team with 6 reports: allocation, monitoring, guiding and training → moved down 1
Business Impact: Moved +0.5: the survey / manager mapping marks it business-critical.</t>
        </is>
      </c>
      <c r="FS62" s="56" t="n"/>
      <c r="FT62" s="56" t="inlineStr">
        <is>
          <t>Self-identified: Product &amp; tool knowledge · Broader exposure &amp; ownership
For the next role: Product &amp; tool knowledge · Broader exposure &amp; ownership</t>
        </is>
      </c>
      <c r="FU62" s="56" t="inlineStr">
        <is>
          <t>Per-person summary · CARBON Mapping Master</t>
        </is>
      </c>
    </row>
    <row r="63" ht="90" customHeight="1">
      <c r="A63" s="51" t="inlineStr">
        <is>
          <t>◂ Back</t>
        </is>
      </c>
      <c r="B63" s="29" t="inlineStr">
        <is>
          <t>Mapped</t>
        </is>
      </c>
      <c r="C63" s="28" t="inlineStr">
        <is>
          <t>CARBON</t>
        </is>
      </c>
      <c r="D63" s="29" t="inlineStr">
        <is>
          <t>IRIS0470</t>
        </is>
      </c>
      <c r="E63" s="29" t="inlineStr">
        <is>
          <t>Janardan Bale</t>
        </is>
      </c>
      <c r="F63" s="29" t="inlineStr">
        <is>
          <t>Digitizing</t>
        </is>
      </c>
      <c r="G63" s="29" t="inlineStr">
        <is>
          <t>Image Processing Specialist</t>
        </is>
      </c>
      <c r="H63" s="29" t="inlineStr">
        <is>
          <t>Digitization Manager</t>
        </is>
      </c>
      <c r="I63" s="29" t="inlineStr">
        <is>
          <t>L3 – Professional / Associate</t>
        </is>
      </c>
      <c r="J63" s="29" t="inlineStr">
        <is>
          <t>B2</t>
        </is>
      </c>
      <c r="K63" s="29" t="inlineStr">
        <is>
          <t>▲ Up</t>
        </is>
      </c>
      <c r="L63" s="29" t="inlineStr">
        <is>
          <t>Data Operations &amp; Digitization</t>
        </is>
      </c>
      <c r="M63" s="29" t="inlineStr">
        <is>
          <t>Document Conversion, Formatting &amp; Web Publishing</t>
        </is>
      </c>
      <c r="N63" s="29" t="inlineStr">
        <is>
          <t>• Confirm the reporting line — Manager</t>
        </is>
      </c>
      <c r="O63" s="29" t="n">
        <v>20</v>
      </c>
      <c r="P63" s="28" t="inlineStr">
        <is>
          <t>P4 / M3</t>
        </is>
      </c>
      <c r="Q63" s="29" t="inlineStr">
        <is>
          <t>Senior / Manager</t>
        </is>
      </c>
      <c r="R63" s="29" t="inlineStr">
        <is>
          <t>4–5</t>
        </is>
      </c>
      <c r="S63" s="29" t="inlineStr">
        <is>
          <t>6–9 yrs</t>
        </is>
      </c>
      <c r="T63" s="29" t="inlineStr">
        <is>
          <t>7–10 · 6–11</t>
        </is>
      </c>
      <c r="U63" s="29" t="inlineStr">
        <is>
          <t>Manager</t>
        </is>
      </c>
      <c r="V63" s="29" t="inlineStr">
        <is>
          <t>Accenture Operations: L8 Associate Manager · IRIS Vs Competitor Benchmark — operations roles: Operations Manager</t>
        </is>
      </c>
      <c r="W63" s="29" t="inlineStr">
        <is>
          <t>COPC CX Standard · leadership &amp; planning, people, processes, performance; ISO 9001; Lean / Six Sigma</t>
        </is>
      </c>
      <c r="X63" s="29" t="inlineStr">
        <is>
          <t>Core 3 · Future 3 · Functional 4 · Leadership 3</t>
        </is>
      </c>
      <c r="Y63" s="52" t="n">
        <v>42</v>
      </c>
      <c r="Z63" s="53" t="inlineStr">
        <is>
          <t>IRIS0470</t>
        </is>
      </c>
      <c r="AA63" s="53" t="inlineStr">
        <is>
          <t>Employee</t>
        </is>
      </c>
      <c r="AB63" s="53" t="inlineStr">
        <is>
          <t>Active</t>
        </is>
      </c>
      <c r="AC63" s="53" t="inlineStr">
        <is>
          <t>Janardan Bale</t>
        </is>
      </c>
      <c r="AD63" s="54" t="n">
        <v>39724</v>
      </c>
      <c r="AE63" s="53" t="inlineStr">
        <is>
          <t>Image Processing Specialist</t>
        </is>
      </c>
      <c r="AF63" s="53" t="inlineStr">
        <is>
          <t>B.Com</t>
        </is>
      </c>
      <c r="AG63" s="53" t="inlineStr">
        <is>
          <t>Vijay Parulekar</t>
        </is>
      </c>
      <c r="AH63" s="53" t="inlineStr">
        <is>
          <t>N-6</t>
        </is>
      </c>
      <c r="AI63" s="53" t="inlineStr">
        <is>
          <t>Manager</t>
        </is>
      </c>
      <c r="AJ63" s="53" t="inlineStr">
        <is>
          <t>0 years, 0 months, 0 days</t>
        </is>
      </c>
      <c r="AK63" s="53" t="inlineStr">
        <is>
          <t>17 years, 10 months, 22 days</t>
        </is>
      </c>
      <c r="AL63" s="53" t="inlineStr">
        <is>
          <t>Regtech</t>
        </is>
      </c>
      <c r="AM63" s="53" t="inlineStr">
        <is>
          <t>CARBON</t>
        </is>
      </c>
      <c r="AN63" s="53" t="inlineStr">
        <is>
          <t>Digitizing</t>
        </is>
      </c>
      <c r="AO63" s="53" t="inlineStr">
        <is>
          <t>Digitizing Assisted services</t>
        </is>
      </c>
      <c r="AP63" s="53" t="inlineStr">
        <is>
          <t>No</t>
        </is>
      </c>
      <c r="AQ63" s="53" t="inlineStr">
        <is>
          <t>Professional Services</t>
        </is>
      </c>
      <c r="AR63" s="53" t="inlineStr">
        <is>
          <t>OCR/Image procesing</t>
        </is>
      </c>
      <c r="AS63" s="53" t="inlineStr">
        <is>
          <t>Non-technical</t>
        </is>
      </c>
      <c r="AT63" s="53" t="n">
        <v>20</v>
      </c>
      <c r="AU63" s="53" t="inlineStr">
        <is>
          <t>Covered</t>
        </is>
      </c>
      <c r="AV63" s="53" t="inlineStr">
        <is>
          <t>IRIS0470</t>
        </is>
      </c>
      <c r="AW63" s="53" t="inlineStr">
        <is>
          <t>Janardan Bale</t>
        </is>
      </c>
      <c r="AX63" s="53" t="inlineStr">
        <is>
          <t>Digitizing</t>
        </is>
      </c>
      <c r="AY63" s="53" t="inlineStr">
        <is>
          <t>Professional Services</t>
        </is>
      </c>
      <c r="AZ63" s="53" t="inlineStr">
        <is>
          <t>Digitization &amp; Image Processing</t>
        </is>
      </c>
      <c r="BA63" s="53" t="n"/>
      <c r="BB63" s="53" t="n"/>
      <c r="BC63" s="53" t="inlineStr">
        <is>
          <t>Employee</t>
        </is>
      </c>
      <c r="BD63" s="53" t="inlineStr">
        <is>
          <t>Vijay Parulekar</t>
        </is>
      </c>
      <c r="BE63" s="53" t="inlineStr">
        <is>
          <t>Vijay Digamber Parulekar</t>
        </is>
      </c>
      <c r="BF63" s="53" t="inlineStr">
        <is>
          <t>No</t>
        </is>
      </c>
      <c r="BG63" s="53" t="inlineStr">
        <is>
          <t>Image Processing Specialist</t>
        </is>
      </c>
      <c r="BH63" s="53" t="inlineStr">
        <is>
          <t>Manager - Digitizing</t>
        </is>
      </c>
      <c r="BI63" s="53" t="inlineStr">
        <is>
          <t>Yes</t>
        </is>
      </c>
      <c r="BJ63" s="53" t="n">
        <v>7</v>
      </c>
      <c r="BK63" s="53" t="n">
        <v>1</v>
      </c>
      <c r="BL63" s="53" t="n">
        <v>6</v>
      </c>
      <c r="BM63" s="53" t="inlineStr">
        <is>
          <t>Healthy</t>
        </is>
      </c>
      <c r="BN63" s="53" t="n">
        <v>7</v>
      </c>
      <c r="BO63" s="53" t="n">
        <v>1</v>
      </c>
      <c r="BP63" s="53" t="n">
        <v>6</v>
      </c>
      <c r="BQ63" s="53" t="inlineStr">
        <is>
          <t>Healthy</t>
        </is>
      </c>
      <c r="BR63" s="53" t="inlineStr">
        <is>
          <t>No</t>
        </is>
      </c>
      <c r="BS63" s="53" t="inlineStr">
        <is>
          <t>L3 – Professional / Associate</t>
        </is>
      </c>
      <c r="BT63" s="53" t="inlineStr">
        <is>
          <t>L5</t>
        </is>
      </c>
      <c r="BU63" s="53" t="inlineStr">
        <is>
          <t>Matched from Title Hierarchy · new designation</t>
        </is>
      </c>
      <c r="BV63" s="53"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capabilities to work in more than 2 mandates/products. Ultimate goal should be able to work in all OCR/Formatting mandates.
6. Conduct monthly knowledge sessions in order to Cross-skill team: &gt;=70% capable on at least more than two OCR/Formatting mandates</t>
        </is>
      </c>
      <c r="BW63" s="53" t="n"/>
      <c r="BX63" s="53" t="inlineStr">
        <is>
          <t>UK - HMRC; South Africa - CIPC; India - MCA; Italy - Infocamere; USA - SEC; Europe - ESEF.</t>
        </is>
      </c>
      <c r="BY63" s="53" t="n"/>
      <c r="BZ63" s="53" t="inlineStr">
        <is>
          <t>IRIS0470</t>
        </is>
      </c>
      <c r="CA63" s="53" t="inlineStr">
        <is>
          <t>Employee</t>
        </is>
      </c>
      <c r="CB63" s="53" t="inlineStr">
        <is>
          <t>Active</t>
        </is>
      </c>
      <c r="CC63" s="53" t="inlineStr">
        <is>
          <t>Janardan Bale</t>
        </is>
      </c>
      <c r="CD63" s="54" t="n">
        <v>39724</v>
      </c>
      <c r="CE63" s="53" t="inlineStr">
        <is>
          <t>Image Processing Specialist</t>
        </is>
      </c>
      <c r="CF63" s="53" t="n"/>
      <c r="CG63" s="53" t="inlineStr">
        <is>
          <t>Professional Services</t>
        </is>
      </c>
      <c r="CH63" s="53" t="inlineStr">
        <is>
          <t>Digitization &amp; Image Processing</t>
        </is>
      </c>
      <c r="CI63" s="53" t="inlineStr">
        <is>
          <t>Image Processing Specialist</t>
        </is>
      </c>
      <c r="CJ63" s="53" t="inlineStr">
        <is>
          <t>L3 – Professional / Associate</t>
        </is>
      </c>
      <c r="CK63" s="53" t="inlineStr">
        <is>
          <t>Vijay Parulekar</t>
        </is>
      </c>
      <c r="CL63" s="53" t="inlineStr">
        <is>
          <t>N-6</t>
        </is>
      </c>
      <c r="CM63" s="53" t="inlineStr">
        <is>
          <t>Manager</t>
        </is>
      </c>
      <c r="CN63" s="53" t="inlineStr">
        <is>
          <t>Regtech</t>
        </is>
      </c>
      <c r="CO63" s="53" t="inlineStr">
        <is>
          <t>Digitizing</t>
        </is>
      </c>
      <c r="CP63" s="53" t="inlineStr">
        <is>
          <t>17 years, 8 months, 17 days</t>
        </is>
      </c>
      <c r="CQ63" s="53" t="inlineStr">
        <is>
          <t>Manager - Digitizing</t>
        </is>
      </c>
      <c r="CR63" s="53" t="n"/>
      <c r="CS63" s="53" t="n">
        <v>5</v>
      </c>
      <c r="CT63" s="53" t="inlineStr">
        <is>
          <t>High</t>
        </is>
      </c>
      <c r="CU63" s="53" t="inlineStr">
        <is>
          <t>Core Contributor</t>
        </is>
      </c>
      <c r="CV63" s="53" t="inlineStr">
        <is>
          <t>No</t>
        </is>
      </c>
      <c r="CW63" s="53" t="inlineStr">
        <is>
          <t>No</t>
        </is>
      </c>
      <c r="CX63" s="53" t="inlineStr">
        <is>
          <t>Yes</t>
        </is>
      </c>
      <c r="CY63" s="53" t="n"/>
      <c r="CZ63" s="53" t="n"/>
      <c r="DA63" s="53" t="n"/>
      <c r="DB63" s="53" t="inlineStr">
        <is>
          <t>Title to be changed to Manager -Digitizing</t>
        </is>
      </c>
      <c r="DC63" s="53" t="n"/>
      <c r="DD63" s="53" t="n"/>
      <c r="DE63" s="53" t="n"/>
      <c r="DF63" s="53" t="n"/>
      <c r="DG63" s="53" t="n"/>
      <c r="DH63" s="53" t="n"/>
      <c r="DI63" s="53" t="n"/>
      <c r="DJ63" s="53" t="n"/>
      <c r="DK63" s="53" t="n"/>
      <c r="DL63" s="53" t="n"/>
      <c r="DM63" s="53" t="n"/>
      <c r="DN63" s="53" t="n"/>
      <c r="DO63" s="53" t="n"/>
      <c r="DP63" s="53" t="n"/>
      <c r="DQ63" s="53" t="n"/>
      <c r="DR63" s="53" t="n"/>
      <c r="DS63" s="53" t="n"/>
      <c r="DT63" s="53" t="n"/>
      <c r="DU63" s="53" t="n"/>
      <c r="DV63" s="53" t="n"/>
      <c r="DW63" s="53" t="n"/>
      <c r="DX63" s="53" t="n"/>
      <c r="DY63" s="53" t="n"/>
      <c r="DZ63" s="53" t="n"/>
      <c r="EA63" s="53" t="n"/>
      <c r="EB63" s="53" t="n"/>
      <c r="EC63" s="53" t="n"/>
      <c r="ED63" s="53" t="n"/>
      <c r="EE63" s="53" t="n"/>
      <c r="EF63" s="53" t="n"/>
      <c r="EG63" s="53" t="n"/>
      <c r="EH63" s="53" t="n"/>
      <c r="EI63" s="53" t="n"/>
      <c r="EJ63" s="53" t="n"/>
      <c r="EK63" s="53" t="n"/>
      <c r="EL63" s="53" t="n"/>
      <c r="EM63" s="53" t="n"/>
      <c r="EN63" s="53" t="n"/>
      <c r="EO63" s="53" t="n"/>
      <c r="EP63" s="53" t="n"/>
      <c r="EQ63" s="53" t="n"/>
      <c r="ER63" s="53" t="n"/>
      <c r="ES63" s="53" t="n"/>
      <c r="ET63" s="53" t="n"/>
      <c r="EU63" s="53" t="n"/>
      <c r="EV63" s="53" t="n"/>
      <c r="EW63" s="52" t="n"/>
      <c r="EX63" s="53" t="inlineStr">
        <is>
          <t>• Role / sub-team: Digitalizing Assisted Services Team.</t>
        </is>
      </c>
      <c r="EY63" s="53" t="inlineStr">
        <is>
          <t>• Key responsibilities include: Formatting &amp; Review in US DM &amp; Carbon Editor Allocation &amp; Query Solving HTML QC of HMRC project QC of CIPC &amp; MCA project.
• Reported deliverables and outcomes include: US files go to the US Assisted Service Team after final formatting and review; MCA, CIPC and UK files go for tagging after QC.</t>
        </is>
      </c>
      <c r="EZ63" s="53" t="inlineStr">
        <is>
          <t>• Current capabilities: Typing; Ai tool - Copilot Chat GP; Tools / software used: Both.</t>
        </is>
      </c>
      <c r="FA63" s="53" t="inlineStr">
        <is>
          <t>• Communications skills.
• Presentation skills.</t>
        </is>
      </c>
      <c r="FB63" s="53" t="inlineStr">
        <is>
          <t>• Key challenges: Quality of report, RDP issue.
• Support required: No input received.</t>
        </is>
      </c>
      <c r="FC63" s="53" t="n"/>
      <c r="FD63" s="53" t="n"/>
      <c r="FE63" s="57"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capabilities to work in more than 2 mandates/products. Ultimate goal should be able to work in all OCR/Formatting mandates.
6. Conduct monthly knowledge sessions in order to Cross-skill team: &gt;=70% capable on at least more than two OCR/Formatting mandates</t>
        </is>
      </c>
      <c r="FF63" s="56" t="n"/>
      <c r="FG63" s="56" t="n"/>
      <c r="FH63" s="56" t="n"/>
      <c r="FI63" s="56" t="n"/>
      <c r="FJ63" s="56" t="inlineStr">
        <is>
          <t>Received · manager annual</t>
        </is>
      </c>
      <c r="FK63" s="56" t="inlineStr">
        <is>
          <t>CARBON Mapping Master</t>
        </is>
      </c>
      <c r="FL63" s="56" t="n">
        <v>20</v>
      </c>
      <c r="FM63" s="56" t="inlineStr">
        <is>
          <t>• Role / sub-team: Digitalizing Assisted Services Team.</t>
        </is>
      </c>
      <c r="FN63" s="56" t="inlineStr">
        <is>
          <t>• Key responsibilities include: Formatting &amp; Review in US DM &amp; Carbon Editor Allocation &amp; Query Solving HTML QC of HMRC project QC of CIPC &amp; MCA project.
• Reported deliverables and outcomes include: US files go to the US Assisted Service Team after final formatting and review; MCA, CIPC and UK files go for tagging after QC.</t>
        </is>
      </c>
      <c r="FO63" s="56" t="inlineStr">
        <is>
          <t>• Current capabilities: Typing; Ai tool - Copilot Chat GP; Tools / software used: Both.</t>
        </is>
      </c>
      <c r="FP63" s="56" t="inlineStr">
        <is>
          <t>• Communications skills.
• Presentation skills.</t>
        </is>
      </c>
      <c r="FQ63" s="56" t="inlineStr">
        <is>
          <t>• Key challenges: Quality of report, RDP issue.
• Support required: No input received.</t>
        </is>
      </c>
      <c r="FR63" s="56" t="inlineStr">
        <is>
          <t>Complexity: Evidence reads like A3: Go-to for US DM / HTML Editor: solves unsolved issues, QCs HMRC, CIPC, MCA → moved down 0.5
Autonomy: Evidence reads like B1: Allocates HMRC and CIPC documents among team members and delivers → moved down 0.5
Accountability: Evidence reads like B1: Leads US formatting team's output as team leader; own answer cites document confidentiality → moved down 1
Leadership: Evidence reads like B2: Team leader of US formatting team with 6 reports; trains new joiners → moved down 0.5
Business Impact: Moved +0.5: the survey / manager mapping marks it business-critical.</t>
        </is>
      </c>
      <c r="FS63" s="56" t="inlineStr">
        <is>
          <t>Common themes in sub-family holders, all levels' answers: purpose · core · formatting · quality · rbi · website
Common themes in sub-family holders, all levels' answers: quality · document · formatting · html · accuracy · conversion
Common themes in sub-family holders, all levels' answers: html · pdf · word · deliver · formatted · documents
Common themes in sub-family holders, all levels' answers: am · accountable · accuracy · quality · every · formatting
Common themes in sub-family holders, all levels' answers: formatting · independently · html · validate · allocate · cipc
If the work is missed · role-holders' themes: rework · delays · errors · quality · incorrect.</t>
        </is>
      </c>
      <c r="FT63" s="56" t="inlineStr">
        <is>
          <t>Self-identified: Product &amp; tool knowledge · Communication &amp; presentation · Certification / formal course
For the next role: Product &amp; tool knowledge · Communication &amp; presentation · Certification / formal course</t>
        </is>
      </c>
      <c r="FU63" s="56" t="inlineStr">
        <is>
          <t>Per-person summary · CARBON Mapping Master</t>
        </is>
      </c>
    </row>
    <row r="64" ht="90" customHeight="1">
      <c r="A64" s="51" t="inlineStr">
        <is>
          <t>◂ Back</t>
        </is>
      </c>
      <c r="B64" s="29" t="inlineStr">
        <is>
          <t>Mapped</t>
        </is>
      </c>
      <c r="C64" s="28" t="inlineStr">
        <is>
          <t>CARBON</t>
        </is>
      </c>
      <c r="D64" s="29" t="inlineStr">
        <is>
          <t>IRIS1210</t>
        </is>
      </c>
      <c r="E64" s="29" t="inlineStr">
        <is>
          <t>Tejas Kat</t>
        </is>
      </c>
      <c r="F64" s="29" t="inlineStr">
        <is>
          <t>Digitizing</t>
        </is>
      </c>
      <c r="G64" s="29" t="inlineStr">
        <is>
          <t>Image Processing Specialist</t>
        </is>
      </c>
      <c r="H64" s="29" t="inlineStr">
        <is>
          <t>Digitization Specialist – POD Lead</t>
        </is>
      </c>
      <c r="I64" s="29" t="inlineStr">
        <is>
          <t>L3 – Professional / Associate</t>
        </is>
      </c>
      <c r="J64" s="29" t="inlineStr">
        <is>
          <t>B1</t>
        </is>
      </c>
      <c r="K64" s="29" t="inlineStr">
        <is>
          <t>▲ Up</t>
        </is>
      </c>
      <c r="L64" s="29" t="inlineStr">
        <is>
          <t>Data Operations &amp; Digitization</t>
        </is>
      </c>
      <c r="M64" s="29" t="inlineStr">
        <is>
          <t>Document Conversion, Formatting &amp; Web Publishing</t>
        </is>
      </c>
      <c r="N64" s="29" t="n"/>
      <c r="O64" s="29" t="n">
        <v>20</v>
      </c>
      <c r="P64" s="28" t="inlineStr">
        <is>
          <t>P3 / M2</t>
        </is>
      </c>
      <c r="Q64" s="29" t="inlineStr">
        <is>
          <t>Career / · Team Lead</t>
        </is>
      </c>
      <c r="R64" s="29" t="inlineStr">
        <is>
          <t>4 Enable</t>
        </is>
      </c>
      <c r="S64" s="29" t="inlineStr">
        <is>
          <t>4–7 yrs</t>
        </is>
      </c>
      <c r="T64" s="29" t="inlineStr">
        <is>
          <t>5–8 · 4–8</t>
        </is>
      </c>
      <c r="U64" s="29" t="inlineStr">
        <is>
          <t>Specialist / QC Analyst</t>
        </is>
      </c>
      <c r="V64" s="29" t="inlineStr">
        <is>
          <t>Accenture Operations: L9 Team Lead · IRIS Vs Competitor Benchmark — operations roles: Team Lead / Quality Lead</t>
        </is>
      </c>
      <c r="W64" s="29" t="inlineStr">
        <is>
          <t>COPC CX Standard · leadership &amp; planning, people, processes, performance; ISO 9001; Lean / Six Sigma</t>
        </is>
      </c>
      <c r="X64" s="29" t="inlineStr">
        <is>
          <t>Core 3 · Future 3 · Functional 3 · Leadership 2</t>
        </is>
      </c>
      <c r="Y64" s="52" t="n">
        <v>52</v>
      </c>
      <c r="Z64" s="53" t="inlineStr">
        <is>
          <t>IRIS1210</t>
        </is>
      </c>
      <c r="AA64" s="53" t="inlineStr">
        <is>
          <t>Employee</t>
        </is>
      </c>
      <c r="AB64" s="53" t="inlineStr">
        <is>
          <t>Active</t>
        </is>
      </c>
      <c r="AC64" s="53" t="inlineStr">
        <is>
          <t>Tejas Kat</t>
        </is>
      </c>
      <c r="AD64" s="54" t="n">
        <v>40294</v>
      </c>
      <c r="AE64" s="53" t="inlineStr">
        <is>
          <t>Image Processing Specialist</t>
        </is>
      </c>
      <c r="AF64" s="53" t="inlineStr">
        <is>
          <t>Undergraduate</t>
        </is>
      </c>
      <c r="AG64" s="53" t="inlineStr">
        <is>
          <t>Janardan Bale</t>
        </is>
      </c>
      <c r="AH64" s="53" t="inlineStr">
        <is>
          <t>N-7</t>
        </is>
      </c>
      <c r="AI64" s="53" t="inlineStr">
        <is>
          <t>manager</t>
        </is>
      </c>
      <c r="AJ64" s="53" t="inlineStr">
        <is>
          <t>1 years, 0 months, 0 days</t>
        </is>
      </c>
      <c r="AK64" s="53" t="inlineStr">
        <is>
          <t>16 years, 3 months, 30 days</t>
        </is>
      </c>
      <c r="AL64" s="53" t="inlineStr">
        <is>
          <t>Regtech</t>
        </is>
      </c>
      <c r="AM64" s="53" t="inlineStr">
        <is>
          <t>CARBON</t>
        </is>
      </c>
      <c r="AN64" s="53" t="inlineStr">
        <is>
          <t>Digitizing</t>
        </is>
      </c>
      <c r="AO64" s="53" t="inlineStr">
        <is>
          <t>Digitizing Assisted services</t>
        </is>
      </c>
      <c r="AP64" s="53" t="inlineStr">
        <is>
          <t>No</t>
        </is>
      </c>
      <c r="AQ64" s="53" t="inlineStr">
        <is>
          <t>Professional Services</t>
        </is>
      </c>
      <c r="AR64" s="53" t="inlineStr">
        <is>
          <t>OCR/Image procesing</t>
        </is>
      </c>
      <c r="AS64" s="53" t="inlineStr">
        <is>
          <t>Non-technical</t>
        </is>
      </c>
      <c r="AT64" s="53" t="n">
        <v>20</v>
      </c>
      <c r="AU64" s="53" t="inlineStr">
        <is>
          <t>Covered</t>
        </is>
      </c>
      <c r="AV64" s="53" t="inlineStr">
        <is>
          <t>IRIS1210</t>
        </is>
      </c>
      <c r="AW64" s="53" t="inlineStr">
        <is>
          <t>Tejas Kat</t>
        </is>
      </c>
      <c r="AX64" s="53" t="inlineStr">
        <is>
          <t>Digitizing</t>
        </is>
      </c>
      <c r="AY64" s="53" t="inlineStr">
        <is>
          <t>Professional Services</t>
        </is>
      </c>
      <c r="AZ64" s="53" t="inlineStr">
        <is>
          <t>Digitization &amp; Image Processing</t>
        </is>
      </c>
      <c r="BA64" s="53" t="n"/>
      <c r="BB64" s="53" t="n"/>
      <c r="BC64" s="53" t="inlineStr">
        <is>
          <t>Employee</t>
        </is>
      </c>
      <c r="BD64" s="53" t="inlineStr">
        <is>
          <t>Janardan Bale</t>
        </is>
      </c>
      <c r="BE64" s="53" t="inlineStr">
        <is>
          <t>Vijay Digamber Parulekar</t>
        </is>
      </c>
      <c r="BF64" s="53" t="inlineStr">
        <is>
          <t>No</t>
        </is>
      </c>
      <c r="BG64" s="53" t="inlineStr">
        <is>
          <t>Image Processing Specialist</t>
        </is>
      </c>
      <c r="BH64" s="53" t="inlineStr">
        <is>
          <t>Digitizing - Lead</t>
        </is>
      </c>
      <c r="BI64" s="53" t="inlineStr">
        <is>
          <t>Yes</t>
        </is>
      </c>
      <c r="BJ64" s="53" t="n">
        <v>3</v>
      </c>
      <c r="BK64" s="53" t="n">
        <v>0</v>
      </c>
      <c r="BL64" s="53" t="n">
        <v>3</v>
      </c>
      <c r="BM64" s="53" t="inlineStr">
        <is>
          <t>Review</t>
        </is>
      </c>
      <c r="BN64" s="53" t="n">
        <v>3</v>
      </c>
      <c r="BO64" s="53" t="n">
        <v>0</v>
      </c>
      <c r="BP64" s="53" t="n">
        <v>3</v>
      </c>
      <c r="BQ64" s="53" t="inlineStr">
        <is>
          <t>Review</t>
        </is>
      </c>
      <c r="BR64" s="53" t="inlineStr">
        <is>
          <t>No</t>
        </is>
      </c>
      <c r="BS64" s="53" t="inlineStr">
        <is>
          <t>L3 – Professional / Associate</t>
        </is>
      </c>
      <c r="BT64" s="53" t="inlineStr">
        <is>
          <t>L3</t>
        </is>
      </c>
      <c r="BU64" s="53" t="inlineStr">
        <is>
          <t>Designation refined from Raw tab Comments column · this update</t>
        </is>
      </c>
      <c r="BV64" s="53"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
6. Conduct monthly knowledge sessions in order to Cross-skill team: &gt;=70% capable on at least more than two OCR/Formatting mandates</t>
        </is>
      </c>
      <c r="BW64" s="53" t="n"/>
      <c r="BX64" s="53" t="inlineStr">
        <is>
          <t>UK - HMRC; South Africa - CIPC; Nigeria - CBN; Netherland - KVK; Europe - ESEF, India - MCA.</t>
        </is>
      </c>
      <c r="BY64" s="53" t="n"/>
      <c r="BZ64" s="53" t="inlineStr">
        <is>
          <t>IRIS1210</t>
        </is>
      </c>
      <c r="CA64" s="53" t="inlineStr">
        <is>
          <t>Employee</t>
        </is>
      </c>
      <c r="CB64" s="53" t="inlineStr">
        <is>
          <t>Active</t>
        </is>
      </c>
      <c r="CC64" s="53" t="inlineStr">
        <is>
          <t>Tejas Kat</t>
        </is>
      </c>
      <c r="CD64" s="54" t="n">
        <v>40294</v>
      </c>
      <c r="CE64" s="53" t="inlineStr">
        <is>
          <t>Image Processing Specialist</t>
        </is>
      </c>
      <c r="CF64" s="53" t="n"/>
      <c r="CG64" s="53" t="inlineStr">
        <is>
          <t>Professional Services</t>
        </is>
      </c>
      <c r="CH64" s="53" t="inlineStr">
        <is>
          <t>Digitization &amp; Image Processing</t>
        </is>
      </c>
      <c r="CI64" s="53" t="inlineStr">
        <is>
          <t>Image Processing Specialist</t>
        </is>
      </c>
      <c r="CJ64" s="53" t="inlineStr">
        <is>
          <t>L3 – Professional / Associate</t>
        </is>
      </c>
      <c r="CK64" s="53" t="inlineStr">
        <is>
          <t>Janardan Bale</t>
        </is>
      </c>
      <c r="CL64" s="53" t="inlineStr">
        <is>
          <t>N-7</t>
        </is>
      </c>
      <c r="CM64" s="53" t="inlineStr">
        <is>
          <t>Player cum Coach</t>
        </is>
      </c>
      <c r="CN64" s="53" t="inlineStr">
        <is>
          <t>Regtech</t>
        </is>
      </c>
      <c r="CO64" s="53" t="inlineStr">
        <is>
          <t>Digitizing</t>
        </is>
      </c>
      <c r="CP64" s="53" t="inlineStr">
        <is>
          <t>17 years, 1 months, 25 days</t>
        </is>
      </c>
      <c r="CQ64" s="53" t="inlineStr">
        <is>
          <t>Sr.Image Processing Specialist</t>
        </is>
      </c>
      <c r="CR64" s="53" t="n"/>
      <c r="CS64" s="53" t="n">
        <v>4</v>
      </c>
      <c r="CT64" s="53" t="inlineStr">
        <is>
          <t>High</t>
        </is>
      </c>
      <c r="CU64" s="53" t="inlineStr">
        <is>
          <t>Core Contributor</t>
        </is>
      </c>
      <c r="CV64" s="53" t="inlineStr">
        <is>
          <t>No</t>
        </is>
      </c>
      <c r="CW64" s="53" t="inlineStr">
        <is>
          <t>No</t>
        </is>
      </c>
      <c r="CX64" s="53" t="inlineStr">
        <is>
          <t>Yes</t>
        </is>
      </c>
      <c r="CY64" s="53" t="n"/>
      <c r="CZ64" s="53" t="n"/>
      <c r="DA64" s="53" t="n"/>
      <c r="DB64" s="53" t="inlineStr">
        <is>
          <t>Title to be changed to : Digitizing - Lead</t>
        </is>
      </c>
      <c r="DC64" s="53" t="n"/>
      <c r="DD64" s="53" t="n"/>
      <c r="DE64" s="53" t="n"/>
      <c r="DF64" s="53" t="n"/>
      <c r="DG64" s="53" t="n"/>
      <c r="DH64" s="53" t="n"/>
      <c r="DI64" s="53" t="n"/>
      <c r="DJ64" s="53" t="n"/>
      <c r="DK64" s="53" t="n"/>
      <c r="DL64" s="53" t="n"/>
      <c r="DM64" s="53" t="n"/>
      <c r="DN64" s="53" t="n"/>
      <c r="DO64" s="53" t="n"/>
      <c r="DP64" s="53" t="n"/>
      <c r="DQ64" s="53" t="n"/>
      <c r="DR64" s="53" t="n"/>
      <c r="DS64" s="53" t="n"/>
      <c r="DT64" s="53" t="n"/>
      <c r="DU64" s="53" t="n"/>
      <c r="DV64" s="53" t="n"/>
      <c r="DW64" s="53" t="n"/>
      <c r="DX64" s="53" t="n"/>
      <c r="DY64" s="53" t="n"/>
      <c r="DZ64" s="53" t="n"/>
      <c r="EA64" s="53" t="n"/>
      <c r="EB64" s="53" t="n"/>
      <c r="EC64" s="53" t="n"/>
      <c r="ED64" s="53" t="n"/>
      <c r="EE64" s="53" t="n"/>
      <c r="EF64" s="53" t="n"/>
      <c r="EG64" s="53" t="n"/>
      <c r="EH64" s="53" t="n"/>
      <c r="EI64" s="53" t="n"/>
      <c r="EJ64" s="53" t="n"/>
      <c r="EK64" s="53" t="n"/>
      <c r="EL64" s="53" t="n"/>
      <c r="EM64" s="53" t="n"/>
      <c r="EN64" s="53" t="n"/>
      <c r="EO64" s="53" t="n"/>
      <c r="EP64" s="53" t="n"/>
      <c r="EQ64" s="53" t="n"/>
      <c r="ER64" s="53" t="n"/>
      <c r="ES64" s="53" t="n"/>
      <c r="ET64" s="53" t="n"/>
      <c r="EU64" s="53" t="n"/>
      <c r="EV64" s="53" t="n"/>
      <c r="EW64" s="52" t="n"/>
      <c r="EX64" s="53" t="inlineStr">
        <is>
          <t>• Role / sub-team: Digitizing Associte Service.</t>
        </is>
      </c>
      <c r="EY64" s="53" t="inlineStr">
        <is>
          <t>• Key responsibilities include: Cipc mca Uk Qc Eu esma and Eu Dm formatting, Cipc html converion, MCA conversion Allocation And solving quries quality check of word pdf after receiving.
• Reported deliverables and outcomes include: UK, MCA and CIPC files are emailed to other services teams after QC; CIPC HTML work is also emailed to the service team.</t>
        </is>
      </c>
      <c r="EZ64" s="53" t="inlineStr">
        <is>
          <t>• Current capabilities: Ai copilot tool skill; Tools / software used: Both | Abbyy FineReader, Microsoft Web Expression, Carbon tool [Teams chat].</t>
        </is>
      </c>
      <c r="FA64" s="53" t="inlineStr">
        <is>
          <t>• Communications skills.
• Presentation skills.</t>
        </is>
      </c>
      <c r="FB64" s="53" t="inlineStr">
        <is>
          <t>• Key challenges: Quality of report, RDP issue.
• Support required: No input received.</t>
        </is>
      </c>
      <c r="FC64" s="53" t="n"/>
      <c r="FD64" s="53" t="n"/>
      <c r="FE64" s="57"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
6. Conduct monthly knowledge sessions in order to Cross-skill team: &gt;=70% capable on at least more than two OCR/Formatting mandates</t>
        </is>
      </c>
      <c r="FF64" s="56" t="n"/>
      <c r="FG64" s="56" t="n"/>
      <c r="FH64" s="56" t="n"/>
      <c r="FI64" s="56" t="n"/>
      <c r="FJ64" s="56" t="inlineStr">
        <is>
          <t>Received · manager annual</t>
        </is>
      </c>
      <c r="FK64" s="56" t="inlineStr">
        <is>
          <t>CARBON Mapping Master</t>
        </is>
      </c>
      <c r="FL64" s="56" t="n">
        <v>20</v>
      </c>
      <c r="FM64" s="56" t="inlineStr">
        <is>
          <t>• Role / sub-team: Digitizing Associte Service.</t>
        </is>
      </c>
      <c r="FN64" s="56" t="inlineStr">
        <is>
          <t>• Key responsibilities include: Cipc mca Uk Qc Eu esma and Eu Dm formatting, Cipc html converion, MCA conversion Allocation And solving quries quality check of word pdf after receiving.
• Reported deliverables and outcomes include: UK, MCA and CIPC files are emailed to other services teams after QC; CIPC HTML work is also emailed to the service team.</t>
        </is>
      </c>
      <c r="FO64" s="56" t="inlineStr">
        <is>
          <t>• Current capabilities: Ai copilot tool skill; Tools / software used: Both | Abbyy FineReader, Microsoft Web Expression, Carbon tool [Teams chat].</t>
        </is>
      </c>
      <c r="FP64" s="56" t="inlineStr">
        <is>
          <t>• Communications skills.
• Presentation skills.</t>
        </is>
      </c>
      <c r="FQ64" s="56" t="inlineStr">
        <is>
          <t>• Key challenges: Quality of report, RDP issue.
• Support required: No input received.</t>
        </is>
      </c>
      <c r="FR64" s="56" t="inlineStr">
        <is>
          <t>Complexity: Evidence reads like A3: Document quality checks, query solving and CIPC/MCA HTML conversion across UK, CIPC, ESMA work → matches the start
Autonomy: Evidence reads like A3: Allocates UK/CIPC/ESMA files; says takes decisions without asking manager when needed → matches the start
Accountability: Evidence reads like A3: Allocation, QC and on-time completion of formatting/conversion files sent on to services teams → moved down 0.5
Leadership: Evidence reads like A3: Allocates work and solves queries for the team; 2 direct reports → moved down 0.5
Business Impact: Moved +0.5: the survey / manager mapping marks it business-critical.</t>
        </is>
      </c>
      <c r="FS64" s="56" t="inlineStr">
        <is>
          <t>Common themes in role-holders' answers: am · formatting · processing · specialist · checker · image
Common themes in role-holders' answers: files · quality · html · received · correctly · checking
Common themes in role-holders' answers: word · pdf · html
Common themes in role-holders' answers: accountable · am · every
If the work is missed · role-holders' themes: dissatisfied · customers become · affected · company growth.</t>
        </is>
      </c>
      <c r="FT64" s="56" t="inlineStr">
        <is>
          <t>Self-identified: Data, SQL &amp; analytics · Domain, regulatory &amp; XBRL · Communication &amp; presentation · Broader exposure &amp; ownership
For the next role: Data, SQL &amp; analytics · Domain, regulatory &amp; XBRL · Communication &amp; presentation · Broader exposure &amp; ownership</t>
        </is>
      </c>
      <c r="FU64" s="56" t="inlineStr">
        <is>
          <t>Per-person summary · CARBON Mapping Master</t>
        </is>
      </c>
    </row>
    <row r="65" ht="90" customHeight="1">
      <c r="A65" s="51" t="inlineStr">
        <is>
          <t>◂ Back</t>
        </is>
      </c>
      <c r="B65" s="29" t="inlineStr">
        <is>
          <t>Mapped</t>
        </is>
      </c>
      <c r="C65" s="28" t="inlineStr">
        <is>
          <t>CARBON</t>
        </is>
      </c>
      <c r="D65" s="29" t="inlineStr">
        <is>
          <t>IRISC224</t>
        </is>
      </c>
      <c r="E65" s="29" t="inlineStr">
        <is>
          <t>Dhanraj Patil</t>
        </is>
      </c>
      <c r="F65" s="29" t="inlineStr">
        <is>
          <t>Digitizing</t>
        </is>
      </c>
      <c r="G65" s="29" t="inlineStr">
        <is>
          <t>Consultant</t>
        </is>
      </c>
      <c r="H65" s="29" t="inlineStr">
        <is>
          <t>Senior Digitization Associate</t>
        </is>
      </c>
      <c r="I65" s="29" t="inlineStr">
        <is>
          <t>L3 – Professional / Associate</t>
        </is>
      </c>
      <c r="J65" s="29" t="inlineStr">
        <is>
          <t>A3</t>
        </is>
      </c>
      <c r="K65" s="29" t="inlineStr">
        <is>
          <t>▲ Up</t>
        </is>
      </c>
      <c r="L65" s="29" t="inlineStr">
        <is>
          <t>Data Operations &amp; Digitization</t>
        </is>
      </c>
      <c r="M65" s="29" t="inlineStr">
        <is>
          <t>Document Conversion, Formatting &amp; Web Publishing</t>
        </is>
      </c>
      <c r="N65" s="29" t="n"/>
      <c r="O65" s="29" t="n">
        <v>20</v>
      </c>
      <c r="P65" s="28" t="inlineStr">
        <is>
          <t>P2</t>
        </is>
      </c>
      <c r="Q65" s="29" t="inlineStr">
        <is>
          <t>Developing</t>
        </is>
      </c>
      <c r="R65" s="29" t="inlineStr">
        <is>
          <t>3 Apply</t>
        </is>
      </c>
      <c r="S65" s="29" t="inlineStr">
        <is>
          <t>2–4 yrs</t>
        </is>
      </c>
      <c r="T65" s="29" t="inlineStr">
        <is>
          <t>3–5 · 2–5</t>
        </is>
      </c>
      <c r="U65" s="29" t="inlineStr">
        <is>
          <t>Senior Associate</t>
        </is>
      </c>
      <c r="V65" s="29" t="inlineStr">
        <is>
          <t>DataTracks: Senior Associate · 2–5 yrs · Accenture Operations: L10 Senior Analyst · IRIS Vs Competitor Benchmark — operations roles: Senior Processor / QC</t>
        </is>
      </c>
      <c r="W65" s="29" t="inlineStr">
        <is>
          <t>COPC CX Standard · leadership &amp; planning, people, processes, performance; ISO 9001; Lean / Six Sigma</t>
        </is>
      </c>
      <c r="X65" s="29" t="inlineStr">
        <is>
          <t>Core 2 · Future 2 · Functional 3 · Leadership not scored</t>
        </is>
      </c>
      <c r="Y65" s="52" t="n">
        <v>211</v>
      </c>
      <c r="Z65" s="53" t="inlineStr">
        <is>
          <t>IRISC224</t>
        </is>
      </c>
      <c r="AA65" s="53" t="inlineStr">
        <is>
          <t>On Contract</t>
        </is>
      </c>
      <c r="AB65" s="53" t="inlineStr">
        <is>
          <t>Active</t>
        </is>
      </c>
      <c r="AC65" s="53" t="inlineStr">
        <is>
          <t>Dhanraj Patil</t>
        </is>
      </c>
      <c r="AD65" s="54" t="n">
        <v>44623</v>
      </c>
      <c r="AE65" s="53" t="inlineStr">
        <is>
          <t>Consultant</t>
        </is>
      </c>
      <c r="AF65" s="53" t="inlineStr">
        <is>
          <t>B.Com</t>
        </is>
      </c>
      <c r="AG65" s="53" t="inlineStr">
        <is>
          <t>Tejas Kat</t>
        </is>
      </c>
      <c r="AH65" s="53" t="inlineStr">
        <is>
          <t>N-8</t>
        </is>
      </c>
      <c r="AI65" s="53" t="inlineStr">
        <is>
          <t>Individual Contributor</t>
        </is>
      </c>
      <c r="AJ65" s="53" t="inlineStr">
        <is>
          <t>8 years, 6 months, 0 days</t>
        </is>
      </c>
      <c r="AK65" s="53" t="inlineStr">
        <is>
          <t>4 years, 5 months, 22 days</t>
        </is>
      </c>
      <c r="AL65" s="53" t="inlineStr">
        <is>
          <t>Regtech</t>
        </is>
      </c>
      <c r="AM65" s="53" t="inlineStr">
        <is>
          <t>CARBON</t>
        </is>
      </c>
      <c r="AN65" s="53" t="inlineStr">
        <is>
          <t>Digitizing</t>
        </is>
      </c>
      <c r="AO65" s="53" t="inlineStr">
        <is>
          <t>Digitizing Assisted services</t>
        </is>
      </c>
      <c r="AP65" s="53" t="inlineStr">
        <is>
          <t>No</t>
        </is>
      </c>
      <c r="AQ65" s="53" t="inlineStr">
        <is>
          <t>Professional Services</t>
        </is>
      </c>
      <c r="AR65" s="53" t="inlineStr">
        <is>
          <t>OCR/Image procesing</t>
        </is>
      </c>
      <c r="AS65" s="53" t="inlineStr">
        <is>
          <t>Non-technical</t>
        </is>
      </c>
      <c r="AT65" s="53" t="n">
        <v>20</v>
      </c>
      <c r="AU65" s="53" t="inlineStr">
        <is>
          <t>Covered</t>
        </is>
      </c>
      <c r="AV65" s="53" t="inlineStr">
        <is>
          <t>IRISC224</t>
        </is>
      </c>
      <c r="AW65" s="53" t="inlineStr">
        <is>
          <t>Dhanraj Patil</t>
        </is>
      </c>
      <c r="AX65" s="53" t="inlineStr">
        <is>
          <t>Digitizing</t>
        </is>
      </c>
      <c r="AY65" s="53" t="inlineStr">
        <is>
          <t>Professional Services</t>
        </is>
      </c>
      <c r="AZ65" s="53" t="inlineStr">
        <is>
          <t>Digitization &amp; Image Processing</t>
        </is>
      </c>
      <c r="BA65" s="53" t="n"/>
      <c r="BB65" s="53" t="n"/>
      <c r="BC65" s="53" t="inlineStr">
        <is>
          <t>On Contract</t>
        </is>
      </c>
      <c r="BD65" s="53" t="inlineStr">
        <is>
          <t>Tejas Kat</t>
        </is>
      </c>
      <c r="BE65" s="53" t="inlineStr">
        <is>
          <t>Tejas Subhash Kat</t>
        </is>
      </c>
      <c r="BF65" s="53" t="inlineStr">
        <is>
          <t>No</t>
        </is>
      </c>
      <c r="BG65" s="53" t="inlineStr">
        <is>
          <t>Consultant</t>
        </is>
      </c>
      <c r="BH65" s="53" t="inlineStr">
        <is>
          <t>Senior Consultant</t>
        </is>
      </c>
      <c r="BI65" s="53" t="inlineStr">
        <is>
          <t>Yes</t>
        </is>
      </c>
      <c r="BJ65" s="53" t="inlineStr">
        <is>
          <t>—</t>
        </is>
      </c>
      <c r="BK65" s="53" t="inlineStr">
        <is>
          <t>—</t>
        </is>
      </c>
      <c r="BL65" s="53" t="inlineStr">
        <is>
          <t>—</t>
        </is>
      </c>
      <c r="BM65" s="53" t="inlineStr">
        <is>
          <t>Not a manager</t>
        </is>
      </c>
      <c r="BN65" s="53" t="inlineStr">
        <is>
          <t>—</t>
        </is>
      </c>
      <c r="BO65" s="53" t="inlineStr">
        <is>
          <t>—</t>
        </is>
      </c>
      <c r="BP65" s="53" t="inlineStr">
        <is>
          <t>—</t>
        </is>
      </c>
      <c r="BQ65" s="53" t="inlineStr">
        <is>
          <t>Not a manager</t>
        </is>
      </c>
      <c r="BR65" s="53" t="inlineStr">
        <is>
          <t>—</t>
        </is>
      </c>
      <c r="BS65" s="53" t="inlineStr">
        <is>
          <t>L3 – Professional / Associate</t>
        </is>
      </c>
      <c r="BT65" s="53" t="inlineStr">
        <is>
          <t>L3 – Professional / Associate</t>
        </is>
      </c>
      <c r="BU65" s="53" t="inlineStr">
        <is>
          <t>No exact Title Hierarchy match — retained current record value</t>
        </is>
      </c>
      <c r="BV65" s="53"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BW65" s="53" t="n"/>
      <c r="BX65" s="53" t="inlineStr">
        <is>
          <t>India - MCA; Europe - ESEF; South Africa - CIPC; UK - HMRC · On Contract.</t>
        </is>
      </c>
      <c r="BY65" s="53" t="n"/>
      <c r="BZ65" s="53" t="inlineStr">
        <is>
          <t>IRISC224</t>
        </is>
      </c>
      <c r="CA65" s="53" t="inlineStr">
        <is>
          <t>On Contract</t>
        </is>
      </c>
      <c r="CB65" s="53" t="inlineStr">
        <is>
          <t>Active</t>
        </is>
      </c>
      <c r="CC65" s="53" t="inlineStr">
        <is>
          <t>Dhanraj Patil</t>
        </is>
      </c>
      <c r="CD65" s="54" t="n">
        <v>44623</v>
      </c>
      <c r="CE65" s="53" t="inlineStr">
        <is>
          <t>Consultant</t>
        </is>
      </c>
      <c r="CF65" s="53" t="n"/>
      <c r="CG65" s="53" t="inlineStr">
        <is>
          <t>Professional Services</t>
        </is>
      </c>
      <c r="CH65" s="53" t="inlineStr">
        <is>
          <t>Digitization &amp; Image Processing</t>
        </is>
      </c>
      <c r="CI65" s="53" t="inlineStr">
        <is>
          <t>Consultant</t>
        </is>
      </c>
      <c r="CJ65" s="53" t="inlineStr">
        <is>
          <t>L3 – Professional / Associate</t>
        </is>
      </c>
      <c r="CK65" s="53" t="inlineStr">
        <is>
          <t>Tejas Kat</t>
        </is>
      </c>
      <c r="CL65" s="53" t="inlineStr">
        <is>
          <t>N-8</t>
        </is>
      </c>
      <c r="CM65" s="53" t="inlineStr">
        <is>
          <t>Individual Contributor</t>
        </is>
      </c>
      <c r="CN65" s="53" t="inlineStr">
        <is>
          <t>Regtech</t>
        </is>
      </c>
      <c r="CO65" s="53" t="inlineStr">
        <is>
          <t>Digitizing</t>
        </is>
      </c>
      <c r="CP65" s="53" t="inlineStr">
        <is>
          <t>12 years, 9 months, 17 days</t>
        </is>
      </c>
      <c r="CQ65" s="53" t="inlineStr">
        <is>
          <t>Senior Consultant · review – experience supports senior band</t>
        </is>
      </c>
      <c r="CR65" s="53" t="n"/>
      <c r="CS65" s="53" t="n">
        <v>3</v>
      </c>
      <c r="CT65" s="53" t="inlineStr">
        <is>
          <t>Medium</t>
        </is>
      </c>
      <c r="CU65" s="53" t="inlineStr">
        <is>
          <t>Core Contributor</t>
        </is>
      </c>
      <c r="CV65" s="53" t="inlineStr">
        <is>
          <t>No</t>
        </is>
      </c>
      <c r="CW65" s="53" t="inlineStr">
        <is>
          <t>No</t>
        </is>
      </c>
      <c r="CX65" s="53" t="inlineStr">
        <is>
          <t>Yes</t>
        </is>
      </c>
      <c r="CY65" s="53" t="n"/>
      <c r="CZ65" s="53" t="n"/>
      <c r="DA65" s="53" t="n"/>
      <c r="DB65" s="53" t="inlineStr">
        <is>
          <t>Title to change to Senior Services Specialist</t>
        </is>
      </c>
      <c r="DC65" s="53" t="n"/>
      <c r="DD65" s="53" t="n"/>
      <c r="DE65" s="53" t="n"/>
      <c r="DF65" s="53" t="n"/>
      <c r="DG65" s="53" t="n"/>
      <c r="DH65" s="53" t="n"/>
      <c r="DI65" s="53" t="n"/>
      <c r="DJ65" s="53" t="n"/>
      <c r="DK65" s="53" t="n"/>
      <c r="DL65" s="53" t="n"/>
      <c r="DM65" s="53" t="n"/>
      <c r="DN65" s="53" t="n"/>
      <c r="DO65" s="53" t="n"/>
      <c r="DP65" s="53" t="n"/>
      <c r="DQ65" s="53" t="n"/>
      <c r="DR65" s="53" t="n"/>
      <c r="DS65" s="53" t="n"/>
      <c r="DT65" s="53" t="n"/>
      <c r="DU65" s="53" t="n"/>
      <c r="DV65" s="53" t="n"/>
      <c r="DW65" s="53" t="n"/>
      <c r="DX65" s="53" t="n"/>
      <c r="DY65" s="53" t="n"/>
      <c r="DZ65" s="53" t="n"/>
      <c r="EA65" s="53" t="n"/>
      <c r="EB65" s="53" t="n"/>
      <c r="EC65" s="53" t="n"/>
      <c r="ED65" s="53" t="n"/>
      <c r="EE65" s="53" t="n"/>
      <c r="EF65" s="53" t="n"/>
      <c r="EG65" s="53" t="n"/>
      <c r="EH65" s="53" t="n"/>
      <c r="EI65" s="53" t="n"/>
      <c r="EJ65" s="53" t="n"/>
      <c r="EK65" s="53" t="n"/>
      <c r="EL65" s="53" t="n"/>
      <c r="EM65" s="53" t="n"/>
      <c r="EN65" s="53" t="n"/>
      <c r="EO65" s="53" t="n"/>
      <c r="EP65" s="53" t="n"/>
      <c r="EQ65" s="53" t="n"/>
      <c r="ER65" s="53" t="n"/>
      <c r="ES65" s="53" t="n"/>
      <c r="ET65" s="53" t="n"/>
      <c r="EU65" s="53" t="n"/>
      <c r="EV65" s="53" t="n"/>
      <c r="EW65" s="52" t="n"/>
      <c r="EX65" s="53" t="inlineStr">
        <is>
          <t>• Role / sub-team: Digitizing Assited Services.</t>
        </is>
      </c>
      <c r="EY65" s="53" t="inlineStr">
        <is>
          <t>• Key responsibilities include: CIPC HTML conversion from Word documents; EU DM formatting and review; UK and MCA conversion; ESMA formatting.
• Reported deliverables and outcomes include: CIPC files go to the tagging team after conversion; DM files go to the service team after a formatting check; UK files go through the conversion QC team.</t>
        </is>
      </c>
      <c r="EZ65" s="53" t="inlineStr">
        <is>
          <t>• Current capabilities: Tool knowledge; Basic Tool knowledge; Tools / software used: Both | Abbyy FineReader, Microsoft Web Expression, Carbon tool [Teams chat].</t>
        </is>
      </c>
      <c r="FA65" s="53" t="inlineStr">
        <is>
          <t>• Communications skills.
• Presentation skills.</t>
        </is>
      </c>
      <c r="FB65" s="53" t="inlineStr">
        <is>
          <t>• Key challenges: Quality of report, RDP issue.
• Support required: No input received.</t>
        </is>
      </c>
      <c r="FC65" s="53" t="n"/>
      <c r="FD65" s="53" t="n"/>
      <c r="FE65" s="57"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FF65" s="56" t="n"/>
      <c r="FG65" s="56" t="n"/>
      <c r="FH65" s="56" t="n"/>
      <c r="FI65" s="56" t="n"/>
      <c r="FJ65" s="56" t="inlineStr">
        <is>
          <t>Received · manager annual</t>
        </is>
      </c>
      <c r="FK65" s="56" t="inlineStr">
        <is>
          <t>CARBON Mapping Master</t>
        </is>
      </c>
      <c r="FL65" s="56" t="n">
        <v>20</v>
      </c>
      <c r="FM65" s="56" t="inlineStr">
        <is>
          <t>• Role / sub-team: Digitizing Assited Services.</t>
        </is>
      </c>
      <c r="FN65" s="56" t="inlineStr">
        <is>
          <t>• Key responsibilities include: CIPC HTML conversion from Word documents; EU DM formatting and review; UK and MCA conversion; ESMA formatting.
• Reported deliverables and outcomes include: CIPC files go to the tagging team after conversion; DM files go to the service team after a formatting check; UK files go through the conversion QC team.</t>
        </is>
      </c>
      <c r="FO65" s="56" t="inlineStr">
        <is>
          <t>• Current capabilities: Tool knowledge; Basic Tool knowledge; Tools / software used: Both | Abbyy FineReader, Microsoft Web Expression, Carbon tool [Teams chat].</t>
        </is>
      </c>
      <c r="FP65" s="56" t="inlineStr">
        <is>
          <t>• Communications skills.
• Presentation skills.</t>
        </is>
      </c>
      <c r="FQ65" s="56" t="inlineStr">
        <is>
          <t>• Key challenges: Quality of report, RDP issue.
• Support required: No input received.</t>
        </is>
      </c>
      <c r="FR65" s="56" t="inlineStr">
        <is>
          <t>Complexity: Evidence reads like A2: EU DM formatting plus HMRC, CIPC, MCA conversions using different tools → matches the start
Autonomy: Evidence reads like A1: States 'N A' for independent decisions; follows guidelines → moved down 0.5
Accountability: Evidence reads like A2: Own work; files move on to QC, tagging or service teams → matches the start
Leadership: Evidence reads like A1: No guidance or leadership of others described → matches the start
Business Impact: Moved +0.5: the survey / manager mapping marks it business-critical.</t>
        </is>
      </c>
      <c r="FS65" s="56"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FT65" s="56" t="inlineStr">
        <is>
          <t>Self-identified: Communication &amp; presentation
For the next role: Communication &amp; presentation</t>
        </is>
      </c>
      <c r="FU65" s="56" t="inlineStr">
        <is>
          <t>Per-person summary · CARBON Mapping Master</t>
        </is>
      </c>
    </row>
    <row r="66" ht="90" customHeight="1">
      <c r="A66" s="51" t="inlineStr">
        <is>
          <t>◂ Back</t>
        </is>
      </c>
      <c r="B66" s="29" t="inlineStr">
        <is>
          <t>Mapped</t>
        </is>
      </c>
      <c r="C66" s="28" t="inlineStr">
        <is>
          <t>CARBON</t>
        </is>
      </c>
      <c r="D66" s="29" t="inlineStr">
        <is>
          <t>IRISC173</t>
        </is>
      </c>
      <c r="E66" s="29" t="inlineStr">
        <is>
          <t>Snehal Kardekar</t>
        </is>
      </c>
      <c r="F66" s="29" t="inlineStr">
        <is>
          <t>Digitizing</t>
        </is>
      </c>
      <c r="G66" s="29" t="inlineStr">
        <is>
          <t>Consultant</t>
        </is>
      </c>
      <c r="H66" s="29" t="inlineStr">
        <is>
          <t>Senior Digitization Associate</t>
        </is>
      </c>
      <c r="I66" s="29" t="inlineStr">
        <is>
          <t>L3 – Professional / Associate</t>
        </is>
      </c>
      <c r="J66" s="29" t="inlineStr">
        <is>
          <t>A3</t>
        </is>
      </c>
      <c r="K66" s="29" t="inlineStr">
        <is>
          <t>▲ Up</t>
        </is>
      </c>
      <c r="L66" s="29" t="inlineStr">
        <is>
          <t>Data Operations &amp; Digitization</t>
        </is>
      </c>
      <c r="M66" s="29" t="inlineStr">
        <is>
          <t>Document Conversion, Formatting &amp; Web Publishing</t>
        </is>
      </c>
      <c r="N66" s="29" t="n"/>
      <c r="O66" s="29" t="n">
        <v>19</v>
      </c>
      <c r="P66" s="28" t="inlineStr">
        <is>
          <t>P2</t>
        </is>
      </c>
      <c r="Q66" s="29" t="inlineStr">
        <is>
          <t>Developing</t>
        </is>
      </c>
      <c r="R66" s="29" t="inlineStr">
        <is>
          <t>3 Apply</t>
        </is>
      </c>
      <c r="S66" s="29" t="inlineStr">
        <is>
          <t>2–4 yrs</t>
        </is>
      </c>
      <c r="T66" s="29" t="inlineStr">
        <is>
          <t>3–5 · 2–5</t>
        </is>
      </c>
      <c r="U66" s="29" t="inlineStr">
        <is>
          <t>Senior Associate</t>
        </is>
      </c>
      <c r="V66" s="29" t="inlineStr">
        <is>
          <t>DataTracks: Senior Associate · 2–5 yrs · Accenture Operations: L10 Senior Analyst · IRIS Vs Competitor Benchmark — operations roles: Senior Processor / QC</t>
        </is>
      </c>
      <c r="W66" s="29" t="inlineStr">
        <is>
          <t>COPC CX Standard · leadership &amp; planning, people, processes, performance; ISO 9001; Lean / Six Sigma</t>
        </is>
      </c>
      <c r="X66" s="29" t="inlineStr">
        <is>
          <t>Core 2 · Future 2 · Functional 3 · Leadership not scored</t>
        </is>
      </c>
      <c r="Y66" s="52" t="n">
        <v>167</v>
      </c>
      <c r="Z66" s="53" t="inlineStr">
        <is>
          <t>IRISC173</t>
        </is>
      </c>
      <c r="AA66" s="53" t="inlineStr">
        <is>
          <t>On Contract</t>
        </is>
      </c>
      <c r="AB66" s="53" t="inlineStr">
        <is>
          <t>Active</t>
        </is>
      </c>
      <c r="AC66" s="53" t="inlineStr">
        <is>
          <t>Snehal Kardekar</t>
        </is>
      </c>
      <c r="AD66" s="54" t="n">
        <v>44019</v>
      </c>
      <c r="AE66" s="53" t="inlineStr">
        <is>
          <t>Consultant</t>
        </is>
      </c>
      <c r="AF66" s="53" t="inlineStr">
        <is>
          <t>BA</t>
        </is>
      </c>
      <c r="AG66" s="53" t="inlineStr">
        <is>
          <t>Tejas Kat</t>
        </is>
      </c>
      <c r="AH66" s="53" t="inlineStr">
        <is>
          <t>N-8</t>
        </is>
      </c>
      <c r="AI66" s="53" t="inlineStr">
        <is>
          <t>Individual Contributor</t>
        </is>
      </c>
      <c r="AJ66" s="53" t="inlineStr">
        <is>
          <t>7 years, 0 months, 0 days</t>
        </is>
      </c>
      <c r="AK66" s="53" t="inlineStr">
        <is>
          <t>6 years, 1 months, 18 days</t>
        </is>
      </c>
      <c r="AL66" s="53" t="inlineStr">
        <is>
          <t>Regtech</t>
        </is>
      </c>
      <c r="AM66" s="53" t="inlineStr">
        <is>
          <t>CARBON</t>
        </is>
      </c>
      <c r="AN66" s="53" t="inlineStr">
        <is>
          <t>Digitizing</t>
        </is>
      </c>
      <c r="AO66" s="53" t="inlineStr">
        <is>
          <t>Digitizing Assisted services</t>
        </is>
      </c>
      <c r="AP66" s="53" t="inlineStr">
        <is>
          <t>No</t>
        </is>
      </c>
      <c r="AQ66" s="53" t="inlineStr">
        <is>
          <t>Professional Services</t>
        </is>
      </c>
      <c r="AR66" s="53" t="inlineStr">
        <is>
          <t>OCR/Image procesing</t>
        </is>
      </c>
      <c r="AS66" s="53" t="inlineStr">
        <is>
          <t>Non-technical</t>
        </is>
      </c>
      <c r="AT66" s="53" t="n">
        <v>20</v>
      </c>
      <c r="AU66" s="53" t="inlineStr">
        <is>
          <t>Covered</t>
        </is>
      </c>
      <c r="AV66" s="53" t="inlineStr">
        <is>
          <t>IRISC173</t>
        </is>
      </c>
      <c r="AW66" s="53" t="inlineStr">
        <is>
          <t>Snehal Kardekar</t>
        </is>
      </c>
      <c r="AX66" s="53" t="inlineStr">
        <is>
          <t>Digitizing</t>
        </is>
      </c>
      <c r="AY66" s="53" t="inlineStr">
        <is>
          <t>Professional Services</t>
        </is>
      </c>
      <c r="AZ66" s="53" t="inlineStr">
        <is>
          <t>Digitization &amp; Image Processing</t>
        </is>
      </c>
      <c r="BA66" s="53" t="n"/>
      <c r="BB66" s="53" t="n"/>
      <c r="BC66" s="53" t="inlineStr">
        <is>
          <t>On Contract</t>
        </is>
      </c>
      <c r="BD66" s="53" t="inlineStr">
        <is>
          <t>Tejas Kat</t>
        </is>
      </c>
      <c r="BE66" s="53" t="inlineStr">
        <is>
          <t>Swara Swapnil Mhatre</t>
        </is>
      </c>
      <c r="BF66" s="53" t="inlineStr">
        <is>
          <t>No</t>
        </is>
      </c>
      <c r="BG66" s="53" t="inlineStr">
        <is>
          <t>Consultant</t>
        </is>
      </c>
      <c r="BH66" s="53" t="inlineStr">
        <is>
          <t>Senior Consultant</t>
        </is>
      </c>
      <c r="BI66" s="53" t="inlineStr">
        <is>
          <t>Yes</t>
        </is>
      </c>
      <c r="BJ66" s="53" t="inlineStr">
        <is>
          <t>—</t>
        </is>
      </c>
      <c r="BK66" s="53" t="inlineStr">
        <is>
          <t>—</t>
        </is>
      </c>
      <c r="BL66" s="53" t="inlineStr">
        <is>
          <t>—</t>
        </is>
      </c>
      <c r="BM66" s="53" t="inlineStr">
        <is>
          <t>Not a manager</t>
        </is>
      </c>
      <c r="BN66" s="53" t="inlineStr">
        <is>
          <t>—</t>
        </is>
      </c>
      <c r="BO66" s="53" t="inlineStr">
        <is>
          <t>—</t>
        </is>
      </c>
      <c r="BP66" s="53" t="inlineStr">
        <is>
          <t>—</t>
        </is>
      </c>
      <c r="BQ66" s="53" t="inlineStr">
        <is>
          <t>Not a manager</t>
        </is>
      </c>
      <c r="BR66" s="53" t="inlineStr">
        <is>
          <t>—</t>
        </is>
      </c>
      <c r="BS66" s="53" t="inlineStr">
        <is>
          <t>L3 – Professional / Associate</t>
        </is>
      </c>
      <c r="BT66" s="53" t="inlineStr">
        <is>
          <t>L3 – Professional / Associate</t>
        </is>
      </c>
      <c r="BU66" s="53" t="inlineStr">
        <is>
          <t>No exact Title Hierarchy match — retained current record value</t>
        </is>
      </c>
      <c r="BV66" s="53"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BW66" s="53" t="n"/>
      <c r="BX66" s="53" t="inlineStr">
        <is>
          <t>Europe - ESEF; India - MCA; South Africa - CIPC; UK - HMRC · On Contract.</t>
        </is>
      </c>
      <c r="BY66" s="53" t="n"/>
      <c r="BZ66" s="53" t="inlineStr">
        <is>
          <t>IRISC173</t>
        </is>
      </c>
      <c r="CA66" s="53" t="inlineStr">
        <is>
          <t>On Contract</t>
        </is>
      </c>
      <c r="CB66" s="53" t="inlineStr">
        <is>
          <t>Active</t>
        </is>
      </c>
      <c r="CC66" s="53" t="inlineStr">
        <is>
          <t>Snehal Kardekar</t>
        </is>
      </c>
      <c r="CD66" s="54" t="n">
        <v>44019</v>
      </c>
      <c r="CE66" s="53" t="inlineStr">
        <is>
          <t>Consultant</t>
        </is>
      </c>
      <c r="CF66" s="53" t="n"/>
      <c r="CG66" s="53" t="inlineStr">
        <is>
          <t>Professional Services</t>
        </is>
      </c>
      <c r="CH66" s="53" t="inlineStr">
        <is>
          <t>Digitization &amp; Image Processing</t>
        </is>
      </c>
      <c r="CI66" s="53" t="inlineStr">
        <is>
          <t>Consultant</t>
        </is>
      </c>
      <c r="CJ66" s="53" t="inlineStr">
        <is>
          <t>L3 – Professional / Associate</t>
        </is>
      </c>
      <c r="CK66" s="53" t="inlineStr">
        <is>
          <t>Tejas Kat</t>
        </is>
      </c>
      <c r="CL66" s="53" t="inlineStr">
        <is>
          <t>N-8</t>
        </is>
      </c>
      <c r="CM66" s="53" t="inlineStr">
        <is>
          <t>Individual Contributor</t>
        </is>
      </c>
      <c r="CN66" s="53" t="inlineStr">
        <is>
          <t>Regtech</t>
        </is>
      </c>
      <c r="CO66" s="53" t="inlineStr">
        <is>
          <t>Digitizing</t>
        </is>
      </c>
      <c r="CP66" s="53" t="inlineStr">
        <is>
          <t>12 years, 11 months, 13 days</t>
        </is>
      </c>
      <c r="CQ66" s="53" t="inlineStr">
        <is>
          <t>Senior Consultant · review – experience supports senior band</t>
        </is>
      </c>
      <c r="CR66" s="53" t="n"/>
      <c r="CS66" s="53" t="n">
        <v>3</v>
      </c>
      <c r="CT66" s="53" t="inlineStr">
        <is>
          <t>Medium</t>
        </is>
      </c>
      <c r="CU66" s="53" t="inlineStr">
        <is>
          <t>Core Contributor</t>
        </is>
      </c>
      <c r="CV66" s="53" t="inlineStr">
        <is>
          <t>No</t>
        </is>
      </c>
      <c r="CW66" s="53" t="inlineStr">
        <is>
          <t>No</t>
        </is>
      </c>
      <c r="CX66" s="53" t="inlineStr">
        <is>
          <t>Yes</t>
        </is>
      </c>
      <c r="CY66" s="53" t="n"/>
      <c r="CZ66" s="53" t="n"/>
      <c r="DA66" s="53" t="n"/>
      <c r="DB66" s="53" t="inlineStr">
        <is>
          <t>Title to change to Senior Services Specialist</t>
        </is>
      </c>
      <c r="DC66" s="53" t="n"/>
      <c r="DD66" s="53" t="n"/>
      <c r="DE66" s="53" t="n"/>
      <c r="DF66" s="53" t="n"/>
      <c r="DG66" s="53" t="n"/>
      <c r="DH66" s="53" t="n"/>
      <c r="DI66" s="53" t="n"/>
      <c r="DJ66" s="53" t="n"/>
      <c r="DK66" s="53" t="n"/>
      <c r="DL66" s="53" t="n"/>
      <c r="DM66" s="53" t="n"/>
      <c r="DN66" s="53" t="n"/>
      <c r="DO66" s="53" t="n"/>
      <c r="DP66" s="53" t="n"/>
      <c r="DQ66" s="53" t="n"/>
      <c r="DR66" s="53" t="n"/>
      <c r="DS66" s="53" t="n"/>
      <c r="DT66" s="53" t="n"/>
      <c r="DU66" s="53" t="n"/>
      <c r="DV66" s="53" t="n"/>
      <c r="DW66" s="53" t="n"/>
      <c r="DX66" s="53" t="n"/>
      <c r="DY66" s="53" t="n"/>
      <c r="DZ66" s="53" t="n"/>
      <c r="EA66" s="53" t="n"/>
      <c r="EB66" s="53" t="n"/>
      <c r="EC66" s="53" t="n"/>
      <c r="ED66" s="53" t="n"/>
      <c r="EE66" s="53" t="n"/>
      <c r="EF66" s="53" t="n"/>
      <c r="EG66" s="53" t="n"/>
      <c r="EH66" s="53" t="n"/>
      <c r="EI66" s="53" t="n"/>
      <c r="EJ66" s="53" t="n"/>
      <c r="EK66" s="53" t="n"/>
      <c r="EL66" s="53" t="n"/>
      <c r="EM66" s="53" t="n"/>
      <c r="EN66" s="53" t="n"/>
      <c r="EO66" s="53" t="n"/>
      <c r="EP66" s="53" t="n"/>
      <c r="EQ66" s="53" t="n"/>
      <c r="ER66" s="53" t="n"/>
      <c r="ES66" s="53" t="n"/>
      <c r="ET66" s="53" t="n"/>
      <c r="EU66" s="53" t="n"/>
      <c r="EV66" s="53" t="n"/>
      <c r="EW66" s="52" t="n"/>
      <c r="EX66" s="53" t="inlineStr">
        <is>
          <t>• Role / sub-team: Digitizing Assisted Services.</t>
        </is>
      </c>
      <c r="EY66" s="53" t="inlineStr">
        <is>
          <t>• Key responsibilities include: Html conversion and cipc,uk,mca conversions and Qc Esma Qc.
• Reported deliverables and outcomes include: CIPC, MCA and UK documents are shared with the service team for tagging after the QC and HTML conversion process.</t>
        </is>
      </c>
      <c r="EZ66" s="53" t="inlineStr">
        <is>
          <t>• Current capabilities: Ai tool skill; Communication skills; Tools / software used: HTML - Editor | Abbyy FineReader, Microsoft Web Expression · CIPC HTML conversion [Teams chat].</t>
        </is>
      </c>
      <c r="FA66" s="53" t="inlineStr">
        <is>
          <t>• Communications skills.
• Presentation skills.</t>
        </is>
      </c>
      <c r="FB66" s="53" t="inlineStr">
        <is>
          <t>• Key challenges: Quality of report.
• Support required: No input received.</t>
        </is>
      </c>
      <c r="FC66" s="53" t="n"/>
      <c r="FD66" s="53" t="n"/>
      <c r="FE66" s="57"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FF66" s="56" t="n"/>
      <c r="FG66" s="56" t="n"/>
      <c r="FH66" s="56" t="n"/>
      <c r="FI66" s="56" t="n"/>
      <c r="FJ66" s="56" t="inlineStr">
        <is>
          <t>Received · manager annual</t>
        </is>
      </c>
      <c r="FK66" s="56" t="inlineStr">
        <is>
          <t>CARBON Mapping Master</t>
        </is>
      </c>
      <c r="FL66" s="56" t="n">
        <v>19</v>
      </c>
      <c r="FM66" s="56" t="inlineStr">
        <is>
          <t>• Role / sub-team: Digitizing Assisted Services.</t>
        </is>
      </c>
      <c r="FN66" s="56" t="inlineStr">
        <is>
          <t>• Key responsibilities include: Html conversion and cipc,uk,mca conversions and Qc Esma Qc.
• Reported deliverables and outcomes include: CIPC, MCA and UK documents are shared with the service team for tagging after the QC and HTML conversion process.</t>
        </is>
      </c>
      <c r="FO66" s="56" t="inlineStr">
        <is>
          <t>• Current capabilities: Ai tool skill; Communication skills; Tools / software used: HTML - Editor | Abbyy FineReader, Microsoft Web Expression · CIPC HTML conversion [Teams chat].</t>
        </is>
      </c>
      <c r="FP66" s="56" t="inlineStr">
        <is>
          <t>• Communications skills.
• Presentation skills.</t>
        </is>
      </c>
      <c r="FQ66" s="56" t="inlineStr">
        <is>
          <t>• Key challenges: Quality of report.
• Support required: No input received.</t>
        </is>
      </c>
      <c r="FR66" s="56" t="inlineStr">
        <is>
          <t>Complexity: Evidence reads like A3: QC of converted files across Carbon markets, ESMA QC; trains teammates → moved up 0.5
Autonomy: Evidence reads like A2: States 'Not applicable'; QC and corrections are routine calls → matches the start
Accountability: Evidence reads like A2: own survey / KRA answers · summarised by the rater; not quoted → matches the start
Leadership: Evidence reads like A3: Lists training teammates as a main responsibility → moved up 1
Business Impact: Moved +0.5: the survey / manager mapping marks it business-critical.</t>
        </is>
      </c>
      <c r="FS66" s="56"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FT66" s="56" t="inlineStr">
        <is>
          <t>Self-identified: Product &amp; tool knowledge · Communication &amp; presentation
For the next role: Product &amp; tool knowledge · Communication &amp; presentation</t>
        </is>
      </c>
      <c r="FU66" s="56" t="inlineStr">
        <is>
          <t>Per-person summary · CARBON Mapping Master</t>
        </is>
      </c>
    </row>
    <row r="67" ht="90" customHeight="1">
      <c r="A67" s="51" t="inlineStr">
        <is>
          <t>◂ Back</t>
        </is>
      </c>
      <c r="B67" s="29" t="inlineStr">
        <is>
          <t>Mapped</t>
        </is>
      </c>
      <c r="C67" s="28" t="inlineStr">
        <is>
          <t>CARBON</t>
        </is>
      </c>
      <c r="D67" s="29" t="inlineStr">
        <is>
          <t>IRISC286</t>
        </is>
      </c>
      <c r="E67" s="29" t="inlineStr">
        <is>
          <t>Bhavesh Gusain</t>
        </is>
      </c>
      <c r="F67" s="29" t="inlineStr">
        <is>
          <t>Digitizing</t>
        </is>
      </c>
      <c r="G67" s="29" t="inlineStr">
        <is>
          <t>Consultant</t>
        </is>
      </c>
      <c r="H67" s="29" t="inlineStr">
        <is>
          <t>Senior Digitization Associate</t>
        </is>
      </c>
      <c r="I67" s="29" t="inlineStr">
        <is>
          <t>L3 – Professional / Associate</t>
        </is>
      </c>
      <c r="J67" s="29" t="inlineStr">
        <is>
          <t>A3</t>
        </is>
      </c>
      <c r="K67" s="29" t="inlineStr">
        <is>
          <t>▲ Up</t>
        </is>
      </c>
      <c r="L67" s="29" t="inlineStr">
        <is>
          <t>Data Operations &amp; Digitization</t>
        </is>
      </c>
      <c r="M67" s="29" t="inlineStr">
        <is>
          <t>Document Conversion, Formatting &amp; Web Publishing</t>
        </is>
      </c>
      <c r="N67" s="29" t="n"/>
      <c r="O67" s="29" t="n">
        <v>20</v>
      </c>
      <c r="P67" s="28" t="inlineStr">
        <is>
          <t>P2</t>
        </is>
      </c>
      <c r="Q67" s="29" t="inlineStr">
        <is>
          <t>Developing</t>
        </is>
      </c>
      <c r="R67" s="29" t="inlineStr">
        <is>
          <t>3 Apply</t>
        </is>
      </c>
      <c r="S67" s="29" t="inlineStr">
        <is>
          <t>2–4 yrs</t>
        </is>
      </c>
      <c r="T67" s="29" t="inlineStr">
        <is>
          <t>3–5 · 2–5</t>
        </is>
      </c>
      <c r="U67" s="29" t="inlineStr">
        <is>
          <t>Senior Associate</t>
        </is>
      </c>
      <c r="V67" s="29" t="inlineStr">
        <is>
          <t>DataTracks: Senior Associate · 2–5 yrs · Accenture Operations: L10 Senior Analyst · IRIS Vs Competitor Benchmark — operations roles: Senior Processor / QC</t>
        </is>
      </c>
      <c r="W67" s="29" t="inlineStr">
        <is>
          <t>COPC CX Standard · leadership &amp; planning, people, processes, performance; ISO 9001; Lean / Six Sigma</t>
        </is>
      </c>
      <c r="X67" s="29" t="inlineStr">
        <is>
          <t>Core 2 · Future 2 · Functional 3 · Leadership not scored</t>
        </is>
      </c>
      <c r="Y67" s="52" t="n">
        <v>308</v>
      </c>
      <c r="Z67" s="53" t="inlineStr">
        <is>
          <t>IRISC286</t>
        </is>
      </c>
      <c r="AA67" s="53" t="inlineStr">
        <is>
          <t>On Contract</t>
        </is>
      </c>
      <c r="AB67" s="53" t="inlineStr">
        <is>
          <t>Active</t>
        </is>
      </c>
      <c r="AC67" s="53" t="inlineStr">
        <is>
          <t>Bhavesh Gusain</t>
        </is>
      </c>
      <c r="AD67" s="54" t="n">
        <v>45343</v>
      </c>
      <c r="AE67" s="53" t="inlineStr">
        <is>
          <t>Consultant</t>
        </is>
      </c>
      <c r="AF67" s="53" t="inlineStr">
        <is>
          <t>B.Com</t>
        </is>
      </c>
      <c r="AG67" s="53" t="inlineStr">
        <is>
          <t>Janardan Bale</t>
        </is>
      </c>
      <c r="AH67" s="53" t="inlineStr">
        <is>
          <t>N-7</t>
        </is>
      </c>
      <c r="AI67" s="53" t="inlineStr">
        <is>
          <t>Individual Contributor</t>
        </is>
      </c>
      <c r="AJ67" s="53" t="inlineStr">
        <is>
          <t>0 years, 0 months, 0 days</t>
        </is>
      </c>
      <c r="AK67" s="53" t="inlineStr">
        <is>
          <t>2 years, 6 months, 4 days</t>
        </is>
      </c>
      <c r="AL67" s="53" t="inlineStr">
        <is>
          <t>Regtech</t>
        </is>
      </c>
      <c r="AM67" s="53" t="inlineStr">
        <is>
          <t>CARBON</t>
        </is>
      </c>
      <c r="AN67" s="53" t="inlineStr">
        <is>
          <t>Digitizing</t>
        </is>
      </c>
      <c r="AO67" s="53" t="inlineStr">
        <is>
          <t>Digitizing Assisted services</t>
        </is>
      </c>
      <c r="AP67" s="53" t="inlineStr">
        <is>
          <t>No</t>
        </is>
      </c>
      <c r="AQ67" s="53" t="inlineStr">
        <is>
          <t>Professional Services</t>
        </is>
      </c>
      <c r="AR67" s="53" t="inlineStr">
        <is>
          <t>OCR/Image procesing</t>
        </is>
      </c>
      <c r="AS67" s="53" t="inlineStr">
        <is>
          <t>Non-technical</t>
        </is>
      </c>
      <c r="AT67" s="53" t="n">
        <v>20</v>
      </c>
      <c r="AU67" s="53" t="inlineStr">
        <is>
          <t>Covered</t>
        </is>
      </c>
      <c r="AV67" s="53" t="inlineStr">
        <is>
          <t>IRISC286</t>
        </is>
      </c>
      <c r="AW67" s="53" t="inlineStr">
        <is>
          <t>Bhavesh Gusain</t>
        </is>
      </c>
      <c r="AX67" s="53" t="inlineStr">
        <is>
          <t>Digitizing</t>
        </is>
      </c>
      <c r="AY67" s="53" t="inlineStr">
        <is>
          <t>Professional Services</t>
        </is>
      </c>
      <c r="AZ67" s="53" t="inlineStr">
        <is>
          <t>Digitization &amp; Image Processing</t>
        </is>
      </c>
      <c r="BA67" s="53" t="n"/>
      <c r="BB67" s="53" t="n"/>
      <c r="BC67" s="53" t="inlineStr">
        <is>
          <t>On Contract</t>
        </is>
      </c>
      <c r="BD67" s="53" t="inlineStr">
        <is>
          <t>Janardan Bale</t>
        </is>
      </c>
      <c r="BE67" s="53" t="inlineStr">
        <is>
          <t>Janardan Krishna Bale</t>
        </is>
      </c>
      <c r="BF67" s="53" t="inlineStr">
        <is>
          <t>No</t>
        </is>
      </c>
      <c r="BG67" s="53" t="inlineStr">
        <is>
          <t>Consultant</t>
        </is>
      </c>
      <c r="BH67" s="53" t="inlineStr">
        <is>
          <t>Consultant</t>
        </is>
      </c>
      <c r="BI67" s="53" t="inlineStr">
        <is>
          <t>No</t>
        </is>
      </c>
      <c r="BJ67" s="53" t="inlineStr">
        <is>
          <t>—</t>
        </is>
      </c>
      <c r="BK67" s="53" t="inlineStr">
        <is>
          <t>—</t>
        </is>
      </c>
      <c r="BL67" s="53" t="inlineStr">
        <is>
          <t>—</t>
        </is>
      </c>
      <c r="BM67" s="53" t="inlineStr">
        <is>
          <t>Not a manager</t>
        </is>
      </c>
      <c r="BN67" s="53" t="inlineStr">
        <is>
          <t>—</t>
        </is>
      </c>
      <c r="BO67" s="53" t="inlineStr">
        <is>
          <t>—</t>
        </is>
      </c>
      <c r="BP67" s="53" t="inlineStr">
        <is>
          <t>—</t>
        </is>
      </c>
      <c r="BQ67" s="53" t="inlineStr">
        <is>
          <t>Not a manager</t>
        </is>
      </c>
      <c r="BR67" s="53" t="inlineStr">
        <is>
          <t>—</t>
        </is>
      </c>
      <c r="BS67" s="53" t="inlineStr">
        <is>
          <t>L3 – Professional / Associate</t>
        </is>
      </c>
      <c r="BT67" s="53" t="inlineStr">
        <is>
          <t>L3 – Professional / Associate</t>
        </is>
      </c>
      <c r="BU67" s="53" t="inlineStr">
        <is>
          <t>No designation change — current record value carried forward</t>
        </is>
      </c>
      <c r="BV67" s="53"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BW67" s="53" t="n"/>
      <c r="BX67" s="53" t="inlineStr">
        <is>
          <t>UK - HMRC; USA - SEC · On Contract.</t>
        </is>
      </c>
      <c r="BY67" s="53" t="n"/>
      <c r="BZ67" s="53" t="inlineStr">
        <is>
          <t>IRISC286</t>
        </is>
      </c>
      <c r="CA67" s="53" t="inlineStr">
        <is>
          <t>On Contract</t>
        </is>
      </c>
      <c r="CB67" s="53" t="inlineStr">
        <is>
          <t>Active</t>
        </is>
      </c>
      <c r="CC67" s="53" t="inlineStr">
        <is>
          <t>Bhavesh Gusain</t>
        </is>
      </c>
      <c r="CD67" s="54" t="n">
        <v>45343</v>
      </c>
      <c r="CE67" s="53" t="inlineStr">
        <is>
          <t>Consultant</t>
        </is>
      </c>
      <c r="CF67" s="53" t="n"/>
      <c r="CG67" s="53" t="inlineStr">
        <is>
          <t>Professional Services</t>
        </is>
      </c>
      <c r="CH67" s="53" t="inlineStr">
        <is>
          <t>Digitization &amp; Image Processing</t>
        </is>
      </c>
      <c r="CI67" s="53" t="inlineStr">
        <is>
          <t>Consultant</t>
        </is>
      </c>
      <c r="CJ67" s="53" t="inlineStr">
        <is>
          <t>L3 – Professional / Associate</t>
        </is>
      </c>
      <c r="CK67" s="53" t="inlineStr">
        <is>
          <t>Janardan Bale</t>
        </is>
      </c>
      <c r="CL67" s="53" t="inlineStr">
        <is>
          <t>N-7</t>
        </is>
      </c>
      <c r="CM67" s="53" t="inlineStr">
        <is>
          <t>Individual Contributor</t>
        </is>
      </c>
      <c r="CN67" s="53" t="inlineStr">
        <is>
          <t>Regtech</t>
        </is>
      </c>
      <c r="CO67" s="53" t="inlineStr">
        <is>
          <t>Digitizing</t>
        </is>
      </c>
      <c r="CP67" s="53" t="inlineStr">
        <is>
          <t>2 years, 3 months, 30 days</t>
        </is>
      </c>
      <c r="CQ67" s="53" t="inlineStr">
        <is>
          <t>Consultant</t>
        </is>
      </c>
      <c r="CR67" s="53" t="n"/>
      <c r="CS67" s="53" t="n">
        <v>3</v>
      </c>
      <c r="CT67" s="53" t="inlineStr">
        <is>
          <t>Medium</t>
        </is>
      </c>
      <c r="CU67" s="53" t="inlineStr">
        <is>
          <t>Core Contributor</t>
        </is>
      </c>
      <c r="CV67" s="53" t="inlineStr">
        <is>
          <t>No</t>
        </is>
      </c>
      <c r="CW67" s="53" t="inlineStr">
        <is>
          <t>No</t>
        </is>
      </c>
      <c r="CX67" s="53" t="inlineStr">
        <is>
          <t>Yes</t>
        </is>
      </c>
      <c r="CY67" s="53" t="n"/>
      <c r="CZ67" s="53" t="n"/>
      <c r="DA67" s="53" t="n"/>
      <c r="DB67" s="53" t="n"/>
      <c r="DC67" s="53" t="n"/>
      <c r="DD67" s="53" t="n"/>
      <c r="DE67" s="53" t="n"/>
      <c r="DF67" s="53" t="n"/>
      <c r="DG67" s="53" t="n"/>
      <c r="DH67" s="53" t="n"/>
      <c r="DI67" s="53" t="n"/>
      <c r="DJ67" s="53" t="n"/>
      <c r="DK67" s="53" t="n"/>
      <c r="DL67" s="53" t="n"/>
      <c r="DM67" s="53" t="n"/>
      <c r="DN67" s="53" t="n"/>
      <c r="DO67" s="53" t="n"/>
      <c r="DP67" s="53" t="n"/>
      <c r="DQ67" s="53" t="n"/>
      <c r="DR67" s="53" t="n"/>
      <c r="DS67" s="53" t="n"/>
      <c r="DT67" s="53" t="n"/>
      <c r="DU67" s="53" t="n"/>
      <c r="DV67" s="53" t="n"/>
      <c r="DW67" s="53" t="n"/>
      <c r="DX67" s="53" t="n"/>
      <c r="DY67" s="53" t="n"/>
      <c r="DZ67" s="53" t="n"/>
      <c r="EA67" s="53" t="n"/>
      <c r="EB67" s="53" t="n"/>
      <c r="EC67" s="53" t="n"/>
      <c r="ED67" s="53" t="n"/>
      <c r="EE67" s="53" t="n"/>
      <c r="EF67" s="53" t="n"/>
      <c r="EG67" s="53" t="n"/>
      <c r="EH67" s="53" t="n"/>
      <c r="EI67" s="53" t="n"/>
      <c r="EJ67" s="53" t="n"/>
      <c r="EK67" s="53" t="n"/>
      <c r="EL67" s="53" t="n"/>
      <c r="EM67" s="53" t="n"/>
      <c r="EN67" s="53" t="n"/>
      <c r="EO67" s="53" t="n"/>
      <c r="EP67" s="53" t="n"/>
      <c r="EQ67" s="53" t="n"/>
      <c r="ER67" s="53" t="n"/>
      <c r="ES67" s="53" t="n"/>
      <c r="ET67" s="53" t="n"/>
      <c r="EU67" s="53" t="n"/>
      <c r="EV67" s="53" t="n"/>
      <c r="EW67" s="52" t="n"/>
      <c r="EX67" s="53" t="inlineStr">
        <is>
          <t>• Role / sub-team: Digitizing Assited Services.</t>
        </is>
      </c>
      <c r="EY67" s="53" t="inlineStr">
        <is>
          <t>• Key responsibilities include: US SEC &amp; US DM formatting and review and UK HTML conversion from word document.
• Reported deliverables and outcomes include: Once file formatting completed will send the file to service team.</t>
        </is>
      </c>
      <c r="EZ67" s="53" t="inlineStr">
        <is>
          <t>• Current capabilities: Communication skills; Tools / software used: Microsoft Web Expression [Teams chat].</t>
        </is>
      </c>
      <c r="FA67" s="53" t="inlineStr">
        <is>
          <t>• Communications skills.
• Presentation skills.</t>
        </is>
      </c>
      <c r="FB67" s="53" t="inlineStr">
        <is>
          <t>• Key challenges: Quality of report, RDP issue.
• Support required: No input received.</t>
        </is>
      </c>
      <c r="FC67" s="53" t="n"/>
      <c r="FD67" s="53" t="n"/>
      <c r="FE67" s="57"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FF67" s="56" t="n"/>
      <c r="FG67" s="56" t="n"/>
      <c r="FH67" s="56" t="n"/>
      <c r="FI67" s="56" t="n"/>
      <c r="FJ67" s="56" t="inlineStr">
        <is>
          <t>Received · manager annual</t>
        </is>
      </c>
      <c r="FK67" s="56" t="inlineStr">
        <is>
          <t>CARBON Mapping Master</t>
        </is>
      </c>
      <c r="FL67" s="56" t="n">
        <v>20</v>
      </c>
      <c r="FM67" s="56" t="inlineStr">
        <is>
          <t>• Role / sub-team: Digitizing Assited Services.</t>
        </is>
      </c>
      <c r="FN67" s="56" t="inlineStr">
        <is>
          <t>• Key responsibilities include: US SEC &amp; US DM formatting and review and UK HTML conversion from word document.
• Reported deliverables and outcomes include: Once file formatting completed will send the file to service team.</t>
        </is>
      </c>
      <c r="FO67" s="56" t="inlineStr">
        <is>
          <t>• Current capabilities: Communication skills; Tools / software used: Microsoft Web Expression [Teams chat].</t>
        </is>
      </c>
      <c r="FP67" s="56" t="inlineStr">
        <is>
          <t>• Communications skills.
• Presentation skills.</t>
        </is>
      </c>
      <c r="FQ67" s="56" t="inlineStr">
        <is>
          <t>• Key challenges: Quality of report, RDP issue.
• Support required: No input received.</t>
        </is>
      </c>
      <c r="FR67" s="56" t="inlineStr">
        <is>
          <t>Complexity: Evidence reads like A2: Word formatting, HTML / PDF conversion and QC for US SEC, US DM, UK → matches the start
Autonomy: Evidence reads like A2: own survey / KRA answers · summarised by the rater; not quoted → matches the start
Accountability: Evidence reads like A2: Accuracy and on-time delivery of own formatted and converted documents → matches the start
Leadership: Evidence reads like A1: No guidance or leadership of others described → matches the start
Business Impact: Moved +0.5: the survey / manager mapping marks it business-critical.</t>
        </is>
      </c>
      <c r="FS67" s="56"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FT67" s="56" t="inlineStr">
        <is>
          <t>Self-identified: AI / automation · Broader exposure &amp; ownership
For the next role: AI / automation · Broader exposure &amp; ownership</t>
        </is>
      </c>
      <c r="FU67" s="56" t="inlineStr">
        <is>
          <t>Per-person summary · CARBON Mapping Master</t>
        </is>
      </c>
    </row>
    <row r="68" ht="90" customHeight="1">
      <c r="A68" s="51" t="inlineStr">
        <is>
          <t>◂ Back</t>
        </is>
      </c>
      <c r="B68" s="29" t="inlineStr">
        <is>
          <t>Mapped</t>
        </is>
      </c>
      <c r="C68" s="28" t="inlineStr">
        <is>
          <t>CARBON</t>
        </is>
      </c>
      <c r="D68" s="29" t="inlineStr">
        <is>
          <t>IRISC237</t>
        </is>
      </c>
      <c r="E68" s="29" t="inlineStr">
        <is>
          <t>Deepak Nirmal</t>
        </is>
      </c>
      <c r="F68" s="29" t="inlineStr">
        <is>
          <t>Digitizing</t>
        </is>
      </c>
      <c r="G68" s="29" t="inlineStr">
        <is>
          <t>Consultant</t>
        </is>
      </c>
      <c r="H68" s="29" t="inlineStr">
        <is>
          <t>Senior Digitization Associate</t>
        </is>
      </c>
      <c r="I68" s="29" t="inlineStr">
        <is>
          <t>L3 – Professional / Associate</t>
        </is>
      </c>
      <c r="J68" s="29" t="inlineStr">
        <is>
          <t>A3</t>
        </is>
      </c>
      <c r="K68" s="29" t="inlineStr">
        <is>
          <t>▲ Up</t>
        </is>
      </c>
      <c r="L68" s="29" t="inlineStr">
        <is>
          <t>Data Operations &amp; Digitization</t>
        </is>
      </c>
      <c r="M68" s="29" t="inlineStr">
        <is>
          <t>Document Conversion, Formatting &amp; Web Publishing</t>
        </is>
      </c>
      <c r="N68" s="29" t="n"/>
      <c r="O68" s="29" t="n">
        <v>20</v>
      </c>
      <c r="P68" s="28" t="inlineStr">
        <is>
          <t>P2</t>
        </is>
      </c>
      <c r="Q68" s="29" t="inlineStr">
        <is>
          <t>Developing</t>
        </is>
      </c>
      <c r="R68" s="29" t="inlineStr">
        <is>
          <t>3 Apply</t>
        </is>
      </c>
      <c r="S68" s="29" t="inlineStr">
        <is>
          <t>2–4 yrs</t>
        </is>
      </c>
      <c r="T68" s="29" t="inlineStr">
        <is>
          <t>3–5 · 2–5</t>
        </is>
      </c>
      <c r="U68" s="29" t="inlineStr">
        <is>
          <t>Senior Associate</t>
        </is>
      </c>
      <c r="V68" s="29" t="inlineStr">
        <is>
          <t>DataTracks: Senior Associate · 2–5 yrs · Accenture Operations: L10 Senior Analyst · IRIS Vs Competitor Benchmark — operations roles: Senior Processor / QC</t>
        </is>
      </c>
      <c r="W68" s="29" t="inlineStr">
        <is>
          <t>COPC CX Standard · leadership &amp; planning, people, processes, performance; ISO 9001; Lean / Six Sigma</t>
        </is>
      </c>
      <c r="X68" s="29" t="inlineStr">
        <is>
          <t>Core 2 · Future 2 · Functional 3 · Leadership not scored</t>
        </is>
      </c>
      <c r="Y68" s="52" t="n">
        <v>245</v>
      </c>
      <c r="Z68" s="53" t="inlineStr">
        <is>
          <t>IRISC237</t>
        </is>
      </c>
      <c r="AA68" s="53" t="inlineStr">
        <is>
          <t>On Contract</t>
        </is>
      </c>
      <c r="AB68" s="53" t="inlineStr">
        <is>
          <t>Active</t>
        </is>
      </c>
      <c r="AC68" s="53" t="inlineStr">
        <is>
          <t>Deepak Nirmal</t>
        </is>
      </c>
      <c r="AD68" s="54" t="n">
        <v>44844</v>
      </c>
      <c r="AE68" s="53" t="inlineStr">
        <is>
          <t>Consultant</t>
        </is>
      </c>
      <c r="AF68" s="53" t="inlineStr">
        <is>
          <t>Undergraduate</t>
        </is>
      </c>
      <c r="AG68" s="53" t="inlineStr">
        <is>
          <t>Janardan Bale</t>
        </is>
      </c>
      <c r="AH68" s="53" t="inlineStr">
        <is>
          <t>N-7</t>
        </is>
      </c>
      <c r="AI68" s="53" t="inlineStr">
        <is>
          <t>Individual Contributor</t>
        </is>
      </c>
      <c r="AJ68" s="53" t="inlineStr">
        <is>
          <t>7 years, 0 months, 0 days</t>
        </is>
      </c>
      <c r="AK68" s="53" t="inlineStr">
        <is>
          <t>3 years, 10 months, 15 days</t>
        </is>
      </c>
      <c r="AL68" s="53" t="inlineStr">
        <is>
          <t>Regtech</t>
        </is>
      </c>
      <c r="AM68" s="53" t="inlineStr">
        <is>
          <t>CARBON</t>
        </is>
      </c>
      <c r="AN68" s="53" t="inlineStr">
        <is>
          <t>Digitizing</t>
        </is>
      </c>
      <c r="AO68" s="53" t="inlineStr">
        <is>
          <t>Digitizing Assisted services</t>
        </is>
      </c>
      <c r="AP68" s="53" t="inlineStr">
        <is>
          <t>No</t>
        </is>
      </c>
      <c r="AQ68" s="53" t="inlineStr">
        <is>
          <t>Professional Services</t>
        </is>
      </c>
      <c r="AR68" s="53" t="inlineStr">
        <is>
          <t>OCR/Image procesing</t>
        </is>
      </c>
      <c r="AS68" s="53" t="inlineStr">
        <is>
          <t>Non-technical</t>
        </is>
      </c>
      <c r="AT68" s="53" t="n">
        <v>20</v>
      </c>
      <c r="AU68" s="53" t="inlineStr">
        <is>
          <t>Covered</t>
        </is>
      </c>
      <c r="AV68" s="53" t="inlineStr">
        <is>
          <t>IRISC237</t>
        </is>
      </c>
      <c r="AW68" s="53" t="inlineStr">
        <is>
          <t>Deepak Nirmal</t>
        </is>
      </c>
      <c r="AX68" s="53" t="inlineStr">
        <is>
          <t>Digitizing</t>
        </is>
      </c>
      <c r="AY68" s="53" t="inlineStr">
        <is>
          <t>Professional Services</t>
        </is>
      </c>
      <c r="AZ68" s="53" t="inlineStr">
        <is>
          <t>Digitization &amp; Image Processing</t>
        </is>
      </c>
      <c r="BA68" s="53" t="n"/>
      <c r="BB68" s="53" t="n"/>
      <c r="BC68" s="53" t="inlineStr">
        <is>
          <t>On Contract</t>
        </is>
      </c>
      <c r="BD68" s="53" t="inlineStr">
        <is>
          <t>Janardan Bale</t>
        </is>
      </c>
      <c r="BE68" s="53" t="inlineStr">
        <is>
          <t>Janardan Krishna Bale</t>
        </is>
      </c>
      <c r="BF68" s="53" t="inlineStr">
        <is>
          <t>No</t>
        </is>
      </c>
      <c r="BG68" s="53" t="inlineStr">
        <is>
          <t>Consultant</t>
        </is>
      </c>
      <c r="BH68" s="53" t="inlineStr">
        <is>
          <t>Senior Consultant</t>
        </is>
      </c>
      <c r="BI68" s="53" t="inlineStr">
        <is>
          <t>Yes</t>
        </is>
      </c>
      <c r="BJ68" s="53" t="inlineStr">
        <is>
          <t>—</t>
        </is>
      </c>
      <c r="BK68" s="53" t="inlineStr">
        <is>
          <t>—</t>
        </is>
      </c>
      <c r="BL68" s="53" t="inlineStr">
        <is>
          <t>—</t>
        </is>
      </c>
      <c r="BM68" s="53" t="inlineStr">
        <is>
          <t>Not a manager</t>
        </is>
      </c>
      <c r="BN68" s="53" t="inlineStr">
        <is>
          <t>—</t>
        </is>
      </c>
      <c r="BO68" s="53" t="inlineStr">
        <is>
          <t>—</t>
        </is>
      </c>
      <c r="BP68" s="53" t="inlineStr">
        <is>
          <t>—</t>
        </is>
      </c>
      <c r="BQ68" s="53" t="inlineStr">
        <is>
          <t>Not a manager</t>
        </is>
      </c>
      <c r="BR68" s="53" t="inlineStr">
        <is>
          <t>—</t>
        </is>
      </c>
      <c r="BS68" s="53" t="inlineStr">
        <is>
          <t>L3 – Professional / Associate</t>
        </is>
      </c>
      <c r="BT68" s="53" t="inlineStr">
        <is>
          <t>L3 – Professional / Associate</t>
        </is>
      </c>
      <c r="BU68" s="53" t="inlineStr">
        <is>
          <t>Designation refined from Raw tab Comments column · this update</t>
        </is>
      </c>
      <c r="BV68" s="53"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1 mandates/products. Ultimate goal should be able to work in all OCR/Formatting mandates.</t>
        </is>
      </c>
      <c r="BW68" s="53" t="n"/>
      <c r="BX68" s="53" t="inlineStr">
        <is>
          <t>South Africa - CIPC; USA - SEC · On Contract.</t>
        </is>
      </c>
      <c r="BY68" s="53" t="n"/>
      <c r="BZ68" s="53" t="inlineStr">
        <is>
          <t>IRISC237</t>
        </is>
      </c>
      <c r="CA68" s="53" t="inlineStr">
        <is>
          <t>On Contract</t>
        </is>
      </c>
      <c r="CB68" s="53" t="inlineStr">
        <is>
          <t>Active</t>
        </is>
      </c>
      <c r="CC68" s="53" t="inlineStr">
        <is>
          <t>Deepak Nirmal</t>
        </is>
      </c>
      <c r="CD68" s="54" t="n">
        <v>44844</v>
      </c>
      <c r="CE68" s="53" t="inlineStr">
        <is>
          <t>Consultant</t>
        </is>
      </c>
      <c r="CF68" s="53" t="n"/>
      <c r="CG68" s="53" t="inlineStr">
        <is>
          <t>Professional Services</t>
        </is>
      </c>
      <c r="CH68" s="53" t="inlineStr">
        <is>
          <t>Digitization &amp; Image Processing</t>
        </is>
      </c>
      <c r="CI68" s="53" t="inlineStr">
        <is>
          <t>Consultant</t>
        </is>
      </c>
      <c r="CJ68" s="53" t="inlineStr">
        <is>
          <t>L3 – Professional / Associate</t>
        </is>
      </c>
      <c r="CK68" s="53" t="inlineStr">
        <is>
          <t>Janardan Bale</t>
        </is>
      </c>
      <c r="CL68" s="53" t="inlineStr">
        <is>
          <t>N-7</t>
        </is>
      </c>
      <c r="CM68" s="53" t="inlineStr">
        <is>
          <t>Individual Contributor</t>
        </is>
      </c>
      <c r="CN68" s="53" t="inlineStr">
        <is>
          <t>Regtech</t>
        </is>
      </c>
      <c r="CO68" s="53" t="inlineStr">
        <is>
          <t>Digitizing</t>
        </is>
      </c>
      <c r="CP68" s="53" t="inlineStr">
        <is>
          <t>10 years, 8 months, 10 days</t>
        </is>
      </c>
      <c r="CQ68" s="53" t="inlineStr">
        <is>
          <t>Senior Consultant · review – experience supports senior band</t>
        </is>
      </c>
      <c r="CR68" s="53" t="n"/>
      <c r="CS68" s="53" t="n">
        <v>3</v>
      </c>
      <c r="CT68" s="53" t="inlineStr">
        <is>
          <t>Medium</t>
        </is>
      </c>
      <c r="CU68" s="53" t="inlineStr">
        <is>
          <t>Core Contributor</t>
        </is>
      </c>
      <c r="CV68" s="53" t="inlineStr">
        <is>
          <t>No</t>
        </is>
      </c>
      <c r="CW68" s="53" t="inlineStr">
        <is>
          <t>No</t>
        </is>
      </c>
      <c r="CX68" s="53" t="inlineStr">
        <is>
          <t>Yes</t>
        </is>
      </c>
      <c r="CY68" s="53" t="n"/>
      <c r="CZ68" s="53" t="n"/>
      <c r="DA68" s="53" t="n"/>
      <c r="DB68" s="53" t="inlineStr">
        <is>
          <t>Title to be changed to Senior Services Specialist</t>
        </is>
      </c>
      <c r="DC68" s="53" t="n"/>
      <c r="DD68" s="53" t="n"/>
      <c r="DE68" s="53" t="n"/>
      <c r="DF68" s="53" t="n"/>
      <c r="DG68" s="53" t="n"/>
      <c r="DH68" s="53" t="n"/>
      <c r="DI68" s="53" t="n"/>
      <c r="DJ68" s="53" t="n"/>
      <c r="DK68" s="53" t="n"/>
      <c r="DL68" s="53" t="n"/>
      <c r="DM68" s="53" t="n"/>
      <c r="DN68" s="53" t="n"/>
      <c r="DO68" s="53" t="n"/>
      <c r="DP68" s="53" t="n"/>
      <c r="DQ68" s="53" t="n"/>
      <c r="DR68" s="53" t="n"/>
      <c r="DS68" s="53" t="n"/>
      <c r="DT68" s="53" t="n"/>
      <c r="DU68" s="53" t="n"/>
      <c r="DV68" s="53" t="n"/>
      <c r="DW68" s="53" t="n"/>
      <c r="DX68" s="53" t="n"/>
      <c r="DY68" s="53" t="n"/>
      <c r="DZ68" s="53" t="n"/>
      <c r="EA68" s="53" t="n"/>
      <c r="EB68" s="53" t="n"/>
      <c r="EC68" s="53" t="n"/>
      <c r="ED68" s="53" t="n"/>
      <c r="EE68" s="53" t="n"/>
      <c r="EF68" s="53" t="n"/>
      <c r="EG68" s="53" t="n"/>
      <c r="EH68" s="53" t="n"/>
      <c r="EI68" s="53" t="n"/>
      <c r="EJ68" s="53" t="n"/>
      <c r="EK68" s="53" t="n"/>
      <c r="EL68" s="53" t="n"/>
      <c r="EM68" s="53" t="n"/>
      <c r="EN68" s="53" t="n"/>
      <c r="EO68" s="53" t="n"/>
      <c r="EP68" s="53" t="n"/>
      <c r="EQ68" s="53" t="n"/>
      <c r="ER68" s="53" t="n"/>
      <c r="ES68" s="53" t="n"/>
      <c r="ET68" s="53" t="n"/>
      <c r="EU68" s="53" t="n"/>
      <c r="EV68" s="53" t="n"/>
      <c r="EW68" s="52" t="n"/>
      <c r="EX68" s="53" t="inlineStr">
        <is>
          <t>• Role / sub-team: Digitizing Assited Services.</t>
        </is>
      </c>
      <c r="EY68" s="53" t="inlineStr">
        <is>
          <t>• Key responsibilities include: US SEC &amp; US DM Formatting and Review The Documents and CIPC HTML Conversion from Word Documents.
• Reported deliverables and outcomes include: CIPC documents are shared with the CIPC Tagging Team; US documents are shared with the Assisted Service Team after formatting and review.</t>
        </is>
      </c>
      <c r="EZ68" s="53" t="inlineStr">
        <is>
          <t>• Current capabilities: Using Copilot for problem; Problem-solving mindset; Willingness to learn; Tools / software used: Both | Microsoft Web Expression · used for CIPC HTML conversion [Teams chat].</t>
        </is>
      </c>
      <c r="FA68" s="53" t="inlineStr">
        <is>
          <t>• Communications skills.
• Presentation skills.</t>
        </is>
      </c>
      <c r="FB68" s="53" t="inlineStr">
        <is>
          <t>• Key challenges: Quality of report, RDP issue.
• Support required: No input received.</t>
        </is>
      </c>
      <c r="FC68" s="53" t="n"/>
      <c r="FD68" s="53" t="n"/>
      <c r="FE68" s="57"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1 mandates/products. Ultimate goal should be able to work in all OCR/Formatting mandates.</t>
        </is>
      </c>
      <c r="FF68" s="56" t="n"/>
      <c r="FG68" s="56" t="n"/>
      <c r="FH68" s="56" t="n"/>
      <c r="FI68" s="56" t="n"/>
      <c r="FJ68" s="56" t="inlineStr">
        <is>
          <t>Received · manager annual</t>
        </is>
      </c>
      <c r="FK68" s="56" t="inlineStr">
        <is>
          <t>CARBON Mapping Master</t>
        </is>
      </c>
      <c r="FL68" s="56" t="n">
        <v>20</v>
      </c>
      <c r="FM68" s="56" t="inlineStr">
        <is>
          <t>• Role / sub-team: Digitizing Assited Services.</t>
        </is>
      </c>
      <c r="FN68" s="56" t="inlineStr">
        <is>
          <t>• Key responsibilities include: US SEC &amp; US DM Formatting and Review The Documents and CIPC HTML Conversion from Word Documents.
• Reported deliverables and outcomes include: CIPC documents are shared with the CIPC Tagging Team; US documents are shared with the Assisted Service Team after formatting and review.</t>
        </is>
      </c>
      <c r="FO68" s="56" t="inlineStr">
        <is>
          <t>• Current capabilities: Using Copilot for problem; Problem-solving mindset; Willingness to learn; Tools / software used: Both | Microsoft Web Expression · used for CIPC HTML conversion [Teams chat].</t>
        </is>
      </c>
      <c r="FP68" s="56" t="inlineStr">
        <is>
          <t>• Communications skills.
• Presentation skills.</t>
        </is>
      </c>
      <c r="FQ68" s="56" t="inlineStr">
        <is>
          <t>• Key challenges: Quality of report, RDP issue.
• Support required: No input received.</t>
        </is>
      </c>
      <c r="FR68" s="56" t="inlineStr">
        <is>
          <t>Complexity: Evidence reads like A2: own survey / KRA answers · summarised by the rater; not quoted → matches the start
Autonomy: Evidence reads like A2: Handles US SEC formatting and CIPC conversions independently; follows guidelines → matches the start
Accountability: Evidence reads like A2: Accuracy and quality of own formatting and conversion work → matches the start
Leadership: Evidence reads like A1: No guidance or leadership of others described → matches the start
Business Impact: Moved +0.5: the survey / manager mapping marks it business-critical.</t>
        </is>
      </c>
      <c r="FS68" s="56"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FT68" s="56" t="inlineStr">
        <is>
          <t>Self-identified: AI / automation · Domain, regulatory &amp; XBRL · Communication &amp; presentation
For the next role: AI / automation · Domain, regulatory &amp; XBRL · Communication &amp; presentation</t>
        </is>
      </c>
      <c r="FU68" s="56" t="inlineStr">
        <is>
          <t>Per-person summary · CARBON Mapping Master</t>
        </is>
      </c>
    </row>
    <row r="69" ht="90" customHeight="1">
      <c r="A69" s="51" t="inlineStr">
        <is>
          <t>◂ Back</t>
        </is>
      </c>
      <c r="B69" s="29" t="inlineStr">
        <is>
          <t>Mapped</t>
        </is>
      </c>
      <c r="C69" s="28" t="inlineStr">
        <is>
          <t>CARBON</t>
        </is>
      </c>
      <c r="D69" s="29" t="inlineStr">
        <is>
          <t>IRISC325</t>
        </is>
      </c>
      <c r="E69" s="29" t="inlineStr">
        <is>
          <t>Gaurav Yashwant Chaulkar</t>
        </is>
      </c>
      <c r="F69" s="29" t="inlineStr">
        <is>
          <t>Digitizing</t>
        </is>
      </c>
      <c r="G69" s="29" t="inlineStr">
        <is>
          <t>Consultant</t>
        </is>
      </c>
      <c r="H69" s="29" t="inlineStr">
        <is>
          <t>Senior Digitization Associate</t>
        </is>
      </c>
      <c r="I69" s="29" t="inlineStr">
        <is>
          <t>L3 – Professional / Associate</t>
        </is>
      </c>
      <c r="J69" s="29" t="inlineStr">
        <is>
          <t>A3</t>
        </is>
      </c>
      <c r="K69" s="29" t="inlineStr">
        <is>
          <t>▲ Up</t>
        </is>
      </c>
      <c r="L69" s="29" t="inlineStr">
        <is>
          <t>Data Operations &amp; Digitization</t>
        </is>
      </c>
      <c r="M69" s="29" t="inlineStr">
        <is>
          <t>Document Conversion, Formatting &amp; Web Publishing</t>
        </is>
      </c>
      <c r="N69" s="29" t="n"/>
      <c r="O69" s="29" t="n">
        <v>19</v>
      </c>
      <c r="P69" s="28" t="inlineStr">
        <is>
          <t>P2</t>
        </is>
      </c>
      <c r="Q69" s="29" t="inlineStr">
        <is>
          <t>Developing</t>
        </is>
      </c>
      <c r="R69" s="29" t="inlineStr">
        <is>
          <t>3 Apply</t>
        </is>
      </c>
      <c r="S69" s="29" t="inlineStr">
        <is>
          <t>2–4 yrs</t>
        </is>
      </c>
      <c r="T69" s="29" t="inlineStr">
        <is>
          <t>3–5 · 2–5</t>
        </is>
      </c>
      <c r="U69" s="29" t="inlineStr">
        <is>
          <t>Senior Associate</t>
        </is>
      </c>
      <c r="V69" s="29" t="inlineStr">
        <is>
          <t>DataTracks: Senior Associate · 2–5 yrs · Accenture Operations: L10 Senior Analyst · IRIS Vs Competitor Benchmark — operations roles: Senior Processor / QC</t>
        </is>
      </c>
      <c r="W69" s="29" t="inlineStr">
        <is>
          <t>COPC CX Standard · leadership &amp; planning, people, processes, performance; ISO 9001; Lean / Six Sigma</t>
        </is>
      </c>
      <c r="X69" s="29" t="inlineStr">
        <is>
          <t>Core 2 · Future 2 · Functional 3 · Leadership not scored</t>
        </is>
      </c>
      <c r="Y69" s="52" t="n">
        <v>423</v>
      </c>
      <c r="Z69" s="53" t="inlineStr">
        <is>
          <t>IRISC325</t>
        </is>
      </c>
      <c r="AA69" s="53" t="inlineStr">
        <is>
          <t>On Contract</t>
        </is>
      </c>
      <c r="AB69" s="53" t="inlineStr">
        <is>
          <t>Active</t>
        </is>
      </c>
      <c r="AC69" s="53" t="inlineStr">
        <is>
          <t>Gaurav Yashwant Chaulkar</t>
        </is>
      </c>
      <c r="AD69" s="54" t="n">
        <v>46006</v>
      </c>
      <c r="AE69" s="53" t="inlineStr">
        <is>
          <t>Consultant</t>
        </is>
      </c>
      <c r="AF69" s="53" t="inlineStr">
        <is>
          <t>Diploma Electronic Mechanic</t>
        </is>
      </c>
      <c r="AG69" s="53" t="inlineStr">
        <is>
          <t>Janardan Bale</t>
        </is>
      </c>
      <c r="AH69" s="53" t="inlineStr">
        <is>
          <t>N-7</t>
        </is>
      </c>
      <c r="AI69" s="53" t="inlineStr">
        <is>
          <t>Individual Contributor</t>
        </is>
      </c>
      <c r="AJ69" s="53" t="inlineStr">
        <is>
          <t>2 years, 2 months, 0 days</t>
        </is>
      </c>
      <c r="AK69" s="53" t="inlineStr">
        <is>
          <t>0 years, 8 months, 10 days</t>
        </is>
      </c>
      <c r="AL69" s="53" t="inlineStr">
        <is>
          <t>Regtech</t>
        </is>
      </c>
      <c r="AM69" s="53" t="inlineStr">
        <is>
          <t>CARBON</t>
        </is>
      </c>
      <c r="AN69" s="53" t="inlineStr">
        <is>
          <t>Digitizing</t>
        </is>
      </c>
      <c r="AO69" s="53" t="inlineStr">
        <is>
          <t>Digitizing Assisted services</t>
        </is>
      </c>
      <c r="AP69" s="53" t="inlineStr">
        <is>
          <t>No</t>
        </is>
      </c>
      <c r="AQ69" s="53" t="inlineStr">
        <is>
          <t>Professional Services</t>
        </is>
      </c>
      <c r="AR69" s="53" t="inlineStr">
        <is>
          <t>OCR/Image procesing</t>
        </is>
      </c>
      <c r="AS69" s="53" t="inlineStr">
        <is>
          <t>Non-technical</t>
        </is>
      </c>
      <c r="AT69" s="53" t="n">
        <v>20</v>
      </c>
      <c r="AU69" s="53" t="inlineStr">
        <is>
          <t>Covered</t>
        </is>
      </c>
      <c r="AV69" s="53" t="inlineStr">
        <is>
          <t>IRISC325</t>
        </is>
      </c>
      <c r="AW69" s="53" t="inlineStr">
        <is>
          <t>Gaurav Yashwant Chaulkar</t>
        </is>
      </c>
      <c r="AX69" s="53" t="inlineStr">
        <is>
          <t>Digitizing</t>
        </is>
      </c>
      <c r="AY69" s="53" t="inlineStr">
        <is>
          <t>Professional Services</t>
        </is>
      </c>
      <c r="AZ69" s="53" t="inlineStr">
        <is>
          <t>Digitization &amp; Image Processing</t>
        </is>
      </c>
      <c r="BA69" s="53" t="n"/>
      <c r="BB69" s="53" t="n"/>
      <c r="BC69" s="53" t="inlineStr">
        <is>
          <t>On Contract</t>
        </is>
      </c>
      <c r="BD69" s="53" t="inlineStr">
        <is>
          <t>Janardan Bale</t>
        </is>
      </c>
      <c r="BE69" s="53" t="inlineStr">
        <is>
          <t>Janardan Krishna Bale</t>
        </is>
      </c>
      <c r="BF69" s="53" t="inlineStr">
        <is>
          <t>No</t>
        </is>
      </c>
      <c r="BG69" s="53" t="inlineStr">
        <is>
          <t>Consultant</t>
        </is>
      </c>
      <c r="BH69" s="53" t="inlineStr">
        <is>
          <t>Consultant</t>
        </is>
      </c>
      <c r="BI69" s="53" t="inlineStr">
        <is>
          <t>No</t>
        </is>
      </c>
      <c r="BJ69" s="53" t="inlineStr">
        <is>
          <t>—</t>
        </is>
      </c>
      <c r="BK69" s="53" t="inlineStr">
        <is>
          <t>—</t>
        </is>
      </c>
      <c r="BL69" s="53" t="inlineStr">
        <is>
          <t>—</t>
        </is>
      </c>
      <c r="BM69" s="53" t="inlineStr">
        <is>
          <t>Not a manager</t>
        </is>
      </c>
      <c r="BN69" s="53" t="inlineStr">
        <is>
          <t>—</t>
        </is>
      </c>
      <c r="BO69" s="53" t="inlineStr">
        <is>
          <t>—</t>
        </is>
      </c>
      <c r="BP69" s="53" t="inlineStr">
        <is>
          <t>—</t>
        </is>
      </c>
      <c r="BQ69" s="53" t="inlineStr">
        <is>
          <t>Not a manager</t>
        </is>
      </c>
      <c r="BR69" s="53" t="inlineStr">
        <is>
          <t>—</t>
        </is>
      </c>
      <c r="BS69" s="53" t="inlineStr">
        <is>
          <t>L3 – Professional / Associate</t>
        </is>
      </c>
      <c r="BT69" s="53" t="inlineStr">
        <is>
          <t>L3 – Professional / Associate</t>
        </is>
      </c>
      <c r="BU69" s="53" t="inlineStr">
        <is>
          <t>No designation change — current record value carried forward</t>
        </is>
      </c>
      <c r="BV69" s="53"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1 mandates/products. Ultimate goal should be able to work in all OCR/Formatting mandates.</t>
        </is>
      </c>
      <c r="BW69" s="53" t="n"/>
      <c r="BX69" s="53" t="inlineStr">
        <is>
          <t>USA - SEC · On Contract.</t>
        </is>
      </c>
      <c r="BY69" s="53" t="n"/>
      <c r="BZ69" s="53" t="inlineStr">
        <is>
          <t>IRISC325</t>
        </is>
      </c>
      <c r="CA69" s="53" t="inlineStr">
        <is>
          <t>On Contract</t>
        </is>
      </c>
      <c r="CB69" s="53" t="inlineStr">
        <is>
          <t>Active</t>
        </is>
      </c>
      <c r="CC69" s="53" t="inlineStr">
        <is>
          <t>Gaurav Yashwant Chaulkar</t>
        </is>
      </c>
      <c r="CD69" s="54" t="n">
        <v>46006</v>
      </c>
      <c r="CE69" s="53" t="inlineStr">
        <is>
          <t>Consultant</t>
        </is>
      </c>
      <c r="CF69" s="53" t="n"/>
      <c r="CG69" s="53" t="inlineStr">
        <is>
          <t>Professional Services</t>
        </is>
      </c>
      <c r="CH69" s="53" t="inlineStr">
        <is>
          <t>Digitization &amp; Image Processing</t>
        </is>
      </c>
      <c r="CI69" s="53" t="inlineStr">
        <is>
          <t>Consultant</t>
        </is>
      </c>
      <c r="CJ69" s="53" t="inlineStr">
        <is>
          <t>L3 – Professional / Associate</t>
        </is>
      </c>
      <c r="CK69" s="53" t="inlineStr">
        <is>
          <t>Janardan Bale</t>
        </is>
      </c>
      <c r="CL69" s="53" t="inlineStr">
        <is>
          <t>N-7</t>
        </is>
      </c>
      <c r="CM69" s="53" t="inlineStr">
        <is>
          <t>Individual Contributor</t>
        </is>
      </c>
      <c r="CN69" s="53" t="inlineStr">
        <is>
          <t>Regtech</t>
        </is>
      </c>
      <c r="CO69" s="53" t="inlineStr">
        <is>
          <t>Digitizing</t>
        </is>
      </c>
      <c r="CP69" s="53" t="inlineStr">
        <is>
          <t>2 years, 8 months, 5 days</t>
        </is>
      </c>
      <c r="CQ69" s="53" t="inlineStr">
        <is>
          <t>Consultant</t>
        </is>
      </c>
      <c r="CR69" s="53" t="n"/>
      <c r="CS69" s="53" t="n">
        <v>3</v>
      </c>
      <c r="CT69" s="53" t="inlineStr">
        <is>
          <t>Medium</t>
        </is>
      </c>
      <c r="CU69" s="53" t="inlineStr">
        <is>
          <t>Core Contributor</t>
        </is>
      </c>
      <c r="CV69" s="53" t="inlineStr">
        <is>
          <t>No</t>
        </is>
      </c>
      <c r="CW69" s="53" t="inlineStr">
        <is>
          <t>No</t>
        </is>
      </c>
      <c r="CX69" s="53" t="inlineStr">
        <is>
          <t>Yes</t>
        </is>
      </c>
      <c r="CY69" s="53" t="n"/>
      <c r="CZ69" s="53" t="n"/>
      <c r="DA69" s="53" t="n"/>
      <c r="DB69" s="53" t="n"/>
      <c r="DC69" s="53" t="n"/>
      <c r="DD69" s="53" t="n"/>
      <c r="DE69" s="53" t="n"/>
      <c r="DF69" s="53" t="n"/>
      <c r="DG69" s="53" t="n"/>
      <c r="DH69" s="53" t="n"/>
      <c r="DI69" s="53" t="n"/>
      <c r="DJ69" s="53" t="n"/>
      <c r="DK69" s="53" t="n"/>
      <c r="DL69" s="53" t="n"/>
      <c r="DM69" s="53" t="n"/>
      <c r="DN69" s="53" t="n"/>
      <c r="DO69" s="53" t="n"/>
      <c r="DP69" s="53" t="n"/>
      <c r="DQ69" s="53" t="n"/>
      <c r="DR69" s="53" t="n"/>
      <c r="DS69" s="53" t="n"/>
      <c r="DT69" s="53" t="n"/>
      <c r="DU69" s="53" t="n"/>
      <c r="DV69" s="53" t="n"/>
      <c r="DW69" s="53" t="n"/>
      <c r="DX69" s="53" t="n"/>
      <c r="DY69" s="53" t="n"/>
      <c r="DZ69" s="53" t="n"/>
      <c r="EA69" s="53" t="n"/>
      <c r="EB69" s="53" t="n"/>
      <c r="EC69" s="53" t="n"/>
      <c r="ED69" s="53" t="n"/>
      <c r="EE69" s="53" t="n"/>
      <c r="EF69" s="53" t="n"/>
      <c r="EG69" s="53" t="n"/>
      <c r="EH69" s="53" t="n"/>
      <c r="EI69" s="53" t="n"/>
      <c r="EJ69" s="53" t="n"/>
      <c r="EK69" s="53" t="n"/>
      <c r="EL69" s="53" t="n"/>
      <c r="EM69" s="53" t="n"/>
      <c r="EN69" s="53" t="n"/>
      <c r="EO69" s="53" t="n"/>
      <c r="EP69" s="53" t="n"/>
      <c r="EQ69" s="53" t="n"/>
      <c r="ER69" s="53" t="n"/>
      <c r="ES69" s="53" t="n"/>
      <c r="ET69" s="53" t="n"/>
      <c r="EU69" s="53" t="n"/>
      <c r="EV69" s="53" t="n"/>
      <c r="EW69" s="52" t="n"/>
      <c r="EX69" s="53" t="inlineStr">
        <is>
          <t>• Role / sub-team: Digitizing Assisted service.</t>
        </is>
      </c>
      <c r="EY69" s="53" t="inlineStr">
        <is>
          <t>• Key responsibilities include: US SEC &amp; US DM FORMATTING AND REVIEW THE DOCUMENTS.
• Reported deliverables and outcomes include: US documents are shared with the Assisted Service Team for tagging after formatting and review.</t>
        </is>
      </c>
      <c r="EZ69" s="53" t="inlineStr">
        <is>
          <t>• Current capabilities: Communication skills; Tools / software used: Both.</t>
        </is>
      </c>
      <c r="FA69" s="53" t="inlineStr">
        <is>
          <t>• Communications skills.
• Presentation skills.</t>
        </is>
      </c>
      <c r="FB69" s="53" t="inlineStr">
        <is>
          <t>• Key challenges: Quality of report, RDP issue.
• Support required: No input received.</t>
        </is>
      </c>
      <c r="FC69" s="53" t="n"/>
      <c r="FD69" s="53" t="n"/>
      <c r="FE69" s="57"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1 mandates/products. Ultimate goal should be able to work in all OCR/Formatting mandates.</t>
        </is>
      </c>
      <c r="FF69" s="56" t="n"/>
      <c r="FG69" s="56" t="n"/>
      <c r="FH69" s="56" t="n"/>
      <c r="FI69" s="56" t="n"/>
      <c r="FJ69" s="56" t="inlineStr">
        <is>
          <t>Received · manager annual</t>
        </is>
      </c>
      <c r="FK69" s="56" t="inlineStr">
        <is>
          <t>CARBON Mapping Master</t>
        </is>
      </c>
      <c r="FL69" s="56" t="n">
        <v>19</v>
      </c>
      <c r="FM69" s="56" t="inlineStr">
        <is>
          <t>• Role / sub-team: Digitizing Assisted service.</t>
        </is>
      </c>
      <c r="FN69" s="56" t="inlineStr">
        <is>
          <t>• Key responsibilities include: US SEC &amp; US DM FORMATTING AND REVIEW THE DOCUMENTS.
• Reported deliverables and outcomes include: US documents are shared with the Assisted Service Team for tagging after formatting and review.</t>
        </is>
      </c>
      <c r="FO69" s="56" t="inlineStr">
        <is>
          <t>• Current capabilities: Communication skills; Tools / software used: Both.</t>
        </is>
      </c>
      <c r="FP69" s="56" t="inlineStr">
        <is>
          <t>• Communications skills.
• Presentation skills.</t>
        </is>
      </c>
      <c r="FQ69" s="56" t="inlineStr">
        <is>
          <t>• Key challenges: Quality of report, RDP issue.
• Support required: No input received.</t>
        </is>
      </c>
      <c r="FR69" s="56" t="inlineStr">
        <is>
          <t>Business Impact: Moved +0.5: the survey / manager mapping marks it business-critical.</t>
        </is>
      </c>
      <c r="FS69" s="56"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FT69" s="56" t="inlineStr">
        <is>
          <t>Self-identified: Project / programme management · Communication &amp; presentation · Broader exposure &amp; ownership
For the next role: Project / programme management · Communication &amp; presentation · Broader exposure &amp; ownership</t>
        </is>
      </c>
      <c r="FU69" s="56" t="inlineStr">
        <is>
          <t>Per-person summary · CARBON Mapping Master</t>
        </is>
      </c>
    </row>
    <row r="70" ht="90" customHeight="1">
      <c r="A70" s="51" t="inlineStr">
        <is>
          <t>◂ Back</t>
        </is>
      </c>
      <c r="B70" s="29" t="inlineStr">
        <is>
          <t>Mapped</t>
        </is>
      </c>
      <c r="C70" s="28" t="inlineStr">
        <is>
          <t>CARBON</t>
        </is>
      </c>
      <c r="D70" s="29" t="inlineStr">
        <is>
          <t>IRISC316</t>
        </is>
      </c>
      <c r="E70" s="29" t="inlineStr">
        <is>
          <t>Samiksha Ramdas Bhabal</t>
        </is>
      </c>
      <c r="F70" s="29" t="inlineStr">
        <is>
          <t>Digitizing</t>
        </is>
      </c>
      <c r="G70" s="29" t="inlineStr">
        <is>
          <t>Consultant</t>
        </is>
      </c>
      <c r="H70" s="29" t="inlineStr">
        <is>
          <t>Senior Digitization Associate</t>
        </is>
      </c>
      <c r="I70" s="29" t="inlineStr">
        <is>
          <t>L3 – Professional / Associate</t>
        </is>
      </c>
      <c r="J70" s="29" t="inlineStr">
        <is>
          <t>A3</t>
        </is>
      </c>
      <c r="K70" s="29" t="inlineStr">
        <is>
          <t>▲ Up</t>
        </is>
      </c>
      <c r="L70" s="29" t="inlineStr">
        <is>
          <t>Data Operations &amp; Digitization</t>
        </is>
      </c>
      <c r="M70" s="29" t="inlineStr">
        <is>
          <t>Document Conversion, Formatting &amp; Web Publishing</t>
        </is>
      </c>
      <c r="N70" s="29" t="n"/>
      <c r="O70" s="29" t="n">
        <v>19</v>
      </c>
      <c r="P70" s="28" t="inlineStr">
        <is>
          <t>P2</t>
        </is>
      </c>
      <c r="Q70" s="29" t="inlineStr">
        <is>
          <t>Developing</t>
        </is>
      </c>
      <c r="R70" s="29" t="inlineStr">
        <is>
          <t>3 Apply</t>
        </is>
      </c>
      <c r="S70" s="29" t="inlineStr">
        <is>
          <t>2–4 yrs</t>
        </is>
      </c>
      <c r="T70" s="29" t="inlineStr">
        <is>
          <t>3–5 · 2–5</t>
        </is>
      </c>
      <c r="U70" s="29" t="inlineStr">
        <is>
          <t>Senior Associate</t>
        </is>
      </c>
      <c r="V70" s="29" t="inlineStr">
        <is>
          <t>DataTracks: Senior Associate · 2–5 yrs · Accenture Operations: L10 Senior Analyst · IRIS Vs Competitor Benchmark — operations roles: Senior Processor / QC</t>
        </is>
      </c>
      <c r="W70" s="29" t="inlineStr">
        <is>
          <t>COPC CX Standard · leadership &amp; planning, people, processes, performance; ISO 9001; Lean / Six Sigma</t>
        </is>
      </c>
      <c r="X70" s="29" t="inlineStr">
        <is>
          <t>Core 2 · Future 2 · Functional 3 · Leadership not scored</t>
        </is>
      </c>
      <c r="Y70" s="52" t="n">
        <v>398</v>
      </c>
      <c r="Z70" s="53" t="inlineStr">
        <is>
          <t>IRISC316</t>
        </is>
      </c>
      <c r="AA70" s="53" t="inlineStr">
        <is>
          <t>On Contract</t>
        </is>
      </c>
      <c r="AB70" s="53" t="inlineStr">
        <is>
          <t>Active</t>
        </is>
      </c>
      <c r="AC70" s="53" t="inlineStr">
        <is>
          <t>Samiksha Ramdas Bhabal</t>
        </is>
      </c>
      <c r="AD70" s="54" t="n">
        <v>45901</v>
      </c>
      <c r="AE70" s="53" t="inlineStr">
        <is>
          <t>Consultant</t>
        </is>
      </c>
      <c r="AF70" s="53" t="inlineStr">
        <is>
          <t>B.Com</t>
        </is>
      </c>
      <c r="AG70" s="53" t="inlineStr">
        <is>
          <t>Janardan Bale</t>
        </is>
      </c>
      <c r="AH70" s="53" t="inlineStr">
        <is>
          <t>N-7</t>
        </is>
      </c>
      <c r="AI70" s="53" t="inlineStr">
        <is>
          <t>Individual Contributor</t>
        </is>
      </c>
      <c r="AJ70" s="53" t="inlineStr">
        <is>
          <t>2 years, 0 months, 0 days</t>
        </is>
      </c>
      <c r="AK70" s="53" t="inlineStr">
        <is>
          <t>0 years, 11 months, 24 days</t>
        </is>
      </c>
      <c r="AL70" s="53" t="inlineStr">
        <is>
          <t>Regtech</t>
        </is>
      </c>
      <c r="AM70" s="53" t="inlineStr">
        <is>
          <t>CARBON</t>
        </is>
      </c>
      <c r="AN70" s="53" t="inlineStr">
        <is>
          <t>Digitizing</t>
        </is>
      </c>
      <c r="AO70" s="53" t="inlineStr">
        <is>
          <t>Digitizing Assisted services</t>
        </is>
      </c>
      <c r="AP70" s="53" t="inlineStr">
        <is>
          <t>No</t>
        </is>
      </c>
      <c r="AQ70" s="53" t="inlineStr">
        <is>
          <t>Professional Services</t>
        </is>
      </c>
      <c r="AR70" s="53" t="inlineStr">
        <is>
          <t>OCR/Image procesing</t>
        </is>
      </c>
      <c r="AS70" s="53" t="inlineStr">
        <is>
          <t>Non-technical</t>
        </is>
      </c>
      <c r="AT70" s="53" t="n">
        <v>20</v>
      </c>
      <c r="AU70" s="53" t="inlineStr">
        <is>
          <t>Covered</t>
        </is>
      </c>
      <c r="AV70" s="53" t="inlineStr">
        <is>
          <t>IRISC316</t>
        </is>
      </c>
      <c r="AW70" s="53" t="inlineStr">
        <is>
          <t>Samiksha Ramdas Bhabal</t>
        </is>
      </c>
      <c r="AX70" s="53" t="inlineStr">
        <is>
          <t>Digitizing</t>
        </is>
      </c>
      <c r="AY70" s="53" t="inlineStr">
        <is>
          <t>Professional Services</t>
        </is>
      </c>
      <c r="AZ70" s="53" t="inlineStr">
        <is>
          <t>Digitization &amp; Image Processing</t>
        </is>
      </c>
      <c r="BA70" s="53" t="n"/>
      <c r="BB70" s="53" t="n"/>
      <c r="BC70" s="53" t="inlineStr">
        <is>
          <t>On Contract</t>
        </is>
      </c>
      <c r="BD70" s="53" t="inlineStr">
        <is>
          <t>Janardan Bale</t>
        </is>
      </c>
      <c r="BE70" s="53" t="inlineStr">
        <is>
          <t>Janardan Krishna Bale</t>
        </is>
      </c>
      <c r="BF70" s="53" t="inlineStr">
        <is>
          <t>No</t>
        </is>
      </c>
      <c r="BG70" s="53" t="inlineStr">
        <is>
          <t>Consultant</t>
        </is>
      </c>
      <c r="BH70" s="53" t="inlineStr">
        <is>
          <t>Consultant</t>
        </is>
      </c>
      <c r="BI70" s="53" t="inlineStr">
        <is>
          <t>No</t>
        </is>
      </c>
      <c r="BJ70" s="53" t="inlineStr">
        <is>
          <t>—</t>
        </is>
      </c>
      <c r="BK70" s="53" t="inlineStr">
        <is>
          <t>—</t>
        </is>
      </c>
      <c r="BL70" s="53" t="inlineStr">
        <is>
          <t>—</t>
        </is>
      </c>
      <c r="BM70" s="53" t="inlineStr">
        <is>
          <t>Not a manager</t>
        </is>
      </c>
      <c r="BN70" s="53" t="inlineStr">
        <is>
          <t>—</t>
        </is>
      </c>
      <c r="BO70" s="53" t="inlineStr">
        <is>
          <t>—</t>
        </is>
      </c>
      <c r="BP70" s="53" t="inlineStr">
        <is>
          <t>—</t>
        </is>
      </c>
      <c r="BQ70" s="53" t="inlineStr">
        <is>
          <t>Not a manager</t>
        </is>
      </c>
      <c r="BR70" s="53" t="inlineStr">
        <is>
          <t>—</t>
        </is>
      </c>
      <c r="BS70" s="53" t="inlineStr">
        <is>
          <t>L3 – Professional / Associate</t>
        </is>
      </c>
      <c r="BT70" s="53" t="inlineStr">
        <is>
          <t>L3 – Professional / Associate</t>
        </is>
      </c>
      <c r="BU70" s="53" t="inlineStr">
        <is>
          <t>No designation change — current record value carried forward</t>
        </is>
      </c>
      <c r="BV70" s="53"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1 mandates/products. Ultimate goal should be able to work in all OCR/Formatting mandates.</t>
        </is>
      </c>
      <c r="BW70" s="53" t="n"/>
      <c r="BX70" s="53" t="inlineStr">
        <is>
          <t>UK - HMRC; USA - SEC · On Contract.</t>
        </is>
      </c>
      <c r="BY70" s="53" t="n"/>
      <c r="BZ70" s="53" t="inlineStr">
        <is>
          <t>IRISC316</t>
        </is>
      </c>
      <c r="CA70" s="53" t="inlineStr">
        <is>
          <t>On Contract</t>
        </is>
      </c>
      <c r="CB70" s="53" t="inlineStr">
        <is>
          <t>Active</t>
        </is>
      </c>
      <c r="CC70" s="53" t="inlineStr">
        <is>
          <t>Samiksha Ramdas Bhabal</t>
        </is>
      </c>
      <c r="CD70" s="54" t="n">
        <v>45901</v>
      </c>
      <c r="CE70" s="53" t="inlineStr">
        <is>
          <t>Consultant</t>
        </is>
      </c>
      <c r="CF70" s="53" t="n"/>
      <c r="CG70" s="53" t="inlineStr">
        <is>
          <t>Professional Services</t>
        </is>
      </c>
      <c r="CH70" s="53" t="inlineStr">
        <is>
          <t>Digitization &amp; Image Processing</t>
        </is>
      </c>
      <c r="CI70" s="53" t="inlineStr">
        <is>
          <t>Consultant</t>
        </is>
      </c>
      <c r="CJ70" s="53" t="inlineStr">
        <is>
          <t>L3 – Professional / Associate</t>
        </is>
      </c>
      <c r="CK70" s="53" t="inlineStr">
        <is>
          <t>Janardan Bale</t>
        </is>
      </c>
      <c r="CL70" s="53" t="inlineStr">
        <is>
          <t>N-7</t>
        </is>
      </c>
      <c r="CM70" s="53" t="inlineStr">
        <is>
          <t>Individual Contributor</t>
        </is>
      </c>
      <c r="CN70" s="53" t="inlineStr">
        <is>
          <t>Regtech</t>
        </is>
      </c>
      <c r="CO70" s="53" t="inlineStr">
        <is>
          <t>Digitizing</t>
        </is>
      </c>
      <c r="CP70" s="53" t="inlineStr">
        <is>
          <t>2 years, 9 months, 19 days</t>
        </is>
      </c>
      <c r="CQ70" s="53" t="inlineStr">
        <is>
          <t>Consultant</t>
        </is>
      </c>
      <c r="CR70" s="53" t="n"/>
      <c r="CS70" s="53" t="n">
        <v>3</v>
      </c>
      <c r="CT70" s="53" t="inlineStr">
        <is>
          <t>Medium</t>
        </is>
      </c>
      <c r="CU70" s="53" t="inlineStr">
        <is>
          <t>Core Contributor</t>
        </is>
      </c>
      <c r="CV70" s="53" t="inlineStr">
        <is>
          <t>No</t>
        </is>
      </c>
      <c r="CW70" s="53" t="inlineStr">
        <is>
          <t>No</t>
        </is>
      </c>
      <c r="CX70" s="53" t="inlineStr">
        <is>
          <t>Yes</t>
        </is>
      </c>
      <c r="CY70" s="53" t="n"/>
      <c r="CZ70" s="53" t="n"/>
      <c r="DA70" s="53" t="n"/>
      <c r="DB70" s="53" t="n"/>
      <c r="DC70" s="53" t="n"/>
      <c r="DD70" s="53" t="n"/>
      <c r="DE70" s="53" t="n"/>
      <c r="DF70" s="53" t="n"/>
      <c r="DG70" s="53" t="n"/>
      <c r="DH70" s="53" t="n"/>
      <c r="DI70" s="53" t="n"/>
      <c r="DJ70" s="53" t="n"/>
      <c r="DK70" s="53" t="n"/>
      <c r="DL70" s="53" t="n"/>
      <c r="DM70" s="53" t="n"/>
      <c r="DN70" s="53" t="n"/>
      <c r="DO70" s="53" t="n"/>
      <c r="DP70" s="53" t="n"/>
      <c r="DQ70" s="53" t="n"/>
      <c r="DR70" s="53" t="n"/>
      <c r="DS70" s="53" t="n"/>
      <c r="DT70" s="53" t="n"/>
      <c r="DU70" s="53" t="n"/>
      <c r="DV70" s="53" t="n"/>
      <c r="DW70" s="53" t="n"/>
      <c r="DX70" s="53" t="n"/>
      <c r="DY70" s="53" t="n"/>
      <c r="DZ70" s="53" t="n"/>
      <c r="EA70" s="53" t="n"/>
      <c r="EB70" s="53" t="n"/>
      <c r="EC70" s="53" t="n"/>
      <c r="ED70" s="53" t="n"/>
      <c r="EE70" s="53" t="n"/>
      <c r="EF70" s="53" t="n"/>
      <c r="EG70" s="53" t="n"/>
      <c r="EH70" s="53" t="n"/>
      <c r="EI70" s="53" t="n"/>
      <c r="EJ70" s="53" t="n"/>
      <c r="EK70" s="53" t="n"/>
      <c r="EL70" s="53" t="n"/>
      <c r="EM70" s="53" t="n"/>
      <c r="EN70" s="53" t="n"/>
      <c r="EO70" s="53" t="n"/>
      <c r="EP70" s="53" t="n"/>
      <c r="EQ70" s="53" t="n"/>
      <c r="ER70" s="53" t="n"/>
      <c r="ES70" s="53" t="n"/>
      <c r="ET70" s="53" t="n"/>
      <c r="EU70" s="53" t="n"/>
      <c r="EV70" s="53" t="n"/>
      <c r="EW70" s="52" t="n"/>
      <c r="EX70" s="53" t="inlineStr">
        <is>
          <t>• Role / sub-team: OCR Team; Digitizing Assisted Service.</t>
        </is>
      </c>
      <c r="EY70" s="53" t="inlineStr">
        <is>
          <t>• Key responsibilities include: Perform ed formatting &amp; quality review of US documents using Carbon &amp; DM tool. Converted UK documents using the web expression.
• Reported deliverables and outcomes include: On completion, the US service team is emailed to confirm the file is done, and they take it forward after conversion.</t>
        </is>
      </c>
      <c r="EZ70" s="53" t="inlineStr">
        <is>
          <t>• Current capabilities: Copilot; Tools / software used: Both | Microsoft Web Expression [Teams chat].</t>
        </is>
      </c>
      <c r="FA70" s="53" t="inlineStr">
        <is>
          <t>• Communications skills.
• Presentation skills.</t>
        </is>
      </c>
      <c r="FB70" s="53" t="inlineStr">
        <is>
          <t>• Key challenges: Quality of report, RDP issue.
• Support required: No input received.</t>
        </is>
      </c>
      <c r="FC70" s="53" t="n"/>
      <c r="FD70" s="53" t="n"/>
      <c r="FE70" s="57"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1 mandates/products. Ultimate goal should be able to work in all OCR/Formatting mandates.</t>
        </is>
      </c>
      <c r="FF70" s="56" t="n"/>
      <c r="FG70" s="56" t="n"/>
      <c r="FH70" s="56" t="n"/>
      <c r="FI70" s="56" t="n"/>
      <c r="FJ70" s="56" t="inlineStr">
        <is>
          <t>Received · manager annual</t>
        </is>
      </c>
      <c r="FK70" s="56" t="inlineStr">
        <is>
          <t>CARBON Mapping Master</t>
        </is>
      </c>
      <c r="FL70" s="56" t="n">
        <v>19</v>
      </c>
      <c r="FM70" s="56" t="inlineStr">
        <is>
          <t>• Role / sub-team: OCR Team; Digitizing Assisted Service.</t>
        </is>
      </c>
      <c r="FN70" s="56" t="inlineStr">
        <is>
          <t>• Key responsibilities include: Perform ed formatting &amp; quality review of US documents using Carbon &amp; DM tool. Converted UK documents using the web expression.
• Reported deliverables and outcomes include: On completion, the US service team is emailed to confirm the file is done, and they take it forward after conversion.</t>
        </is>
      </c>
      <c r="FO70" s="56" t="inlineStr">
        <is>
          <t>• Current capabilities: Copilot; Tools / software used: Both | Microsoft Web Expression [Teams chat].</t>
        </is>
      </c>
      <c r="FP70" s="56" t="inlineStr">
        <is>
          <t>• Communications skills.
• Presentation skills.</t>
        </is>
      </c>
      <c r="FQ70" s="56" t="inlineStr">
        <is>
          <t>• Key challenges: Quality of report, RDP issue.
• Support required: No input received.</t>
        </is>
      </c>
      <c r="FR70" s="56" t="inlineStr">
        <is>
          <t>Complexity: Evidence reads like A2: own survey / KRA answers · summarised by the rater; not quoted → matches the start
Autonomy: Evidence reads like A1: States 'not applicable'; work goes to review → moved down 0.5
Accountability: Evidence reads like A2: Accuracy and timely delivery of assigned formatting work → matches the start
Leadership: Evidence reads like A1: No guidance or leadership of others described → matches the start
Business Impact: Moved +0.5: the survey / manager mapping marks it business-critical.</t>
        </is>
      </c>
      <c r="FS70" s="56"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FT70" s="56" t="inlineStr">
        <is>
          <t>Self-identified: AI / automation · Domain, regulatory &amp; XBRL · Product &amp; tool knowledge · Communication &amp; presentation · Broader exposure &amp; ownership
For the next role: AI / automation · Domain, regulatory &amp; XBRL · Product &amp; tool knowledge · Communication &amp; presentation · Broader exposure &amp; ownership</t>
        </is>
      </c>
      <c r="FU70" s="56" t="inlineStr">
        <is>
          <t>Per-person summary · CARBON Mapping Master</t>
        </is>
      </c>
    </row>
    <row r="71" ht="90" customHeight="1">
      <c r="A71" s="51" t="inlineStr">
        <is>
          <t>◂ Back</t>
        </is>
      </c>
      <c r="B71" s="29" t="inlineStr">
        <is>
          <t>Mapped</t>
        </is>
      </c>
      <c r="C71" s="28" t="inlineStr">
        <is>
          <t>CARBON</t>
        </is>
      </c>
      <c r="D71" s="29" t="inlineStr">
        <is>
          <t>IRISC327</t>
        </is>
      </c>
      <c r="E71" s="29" t="inlineStr">
        <is>
          <t>Satyajeet Patil</t>
        </is>
      </c>
      <c r="F71" s="29" t="inlineStr">
        <is>
          <t>Digitizing</t>
        </is>
      </c>
      <c r="G71" s="29" t="inlineStr">
        <is>
          <t>Consultant</t>
        </is>
      </c>
      <c r="H71" s="29" t="inlineStr">
        <is>
          <t>Digitization Associate</t>
        </is>
      </c>
      <c r="I71" s="29" t="inlineStr">
        <is>
          <t>L3 – Professional / Associate</t>
        </is>
      </c>
      <c r="J71" s="29" t="inlineStr">
        <is>
          <t>A2</t>
        </is>
      </c>
      <c r="K71" s="29" t="inlineStr">
        <is>
          <t>• Same level</t>
        </is>
      </c>
      <c r="L71" s="29" t="inlineStr">
        <is>
          <t>Data Operations &amp; Digitization</t>
        </is>
      </c>
      <c r="M71" s="29" t="inlineStr">
        <is>
          <t>Document Conversion, Formatting &amp; Web Publishing</t>
        </is>
      </c>
      <c r="N71" s="29" t="n"/>
      <c r="O71" s="29" t="n">
        <v>20</v>
      </c>
      <c r="P71" s="28" t="inlineStr">
        <is>
          <t>P1–P2</t>
        </is>
      </c>
      <c r="Q71" s="29" t="inlineStr">
        <is>
          <t>Entry / Developing</t>
        </is>
      </c>
      <c r="R71" s="29" t="inlineStr">
        <is>
          <t>2 Assist</t>
        </is>
      </c>
      <c r="S71" s="29" t="inlineStr">
        <is>
          <t>0–2 yrs</t>
        </is>
      </c>
      <c r="T71" s="29" t="inlineStr">
        <is>
          <t>1–3 · 0–3</t>
        </is>
      </c>
      <c r="U71" s="29" t="inlineStr">
        <is>
          <t>Associate / Processor / Senior Associate</t>
        </is>
      </c>
      <c r="V71" s="29" t="inlineStr">
        <is>
          <t>DataTracks: Associate · Accenture Operations: L11 Analyst · IRIS Vs Competitor Benchmark — operations roles: Processor / Agent</t>
        </is>
      </c>
      <c r="W71" s="29" t="inlineStr">
        <is>
          <t>COPC CX Standard · leadership &amp; planning, people, processes, performance; ISO 9001; Lean / Six Sigma</t>
        </is>
      </c>
      <c r="X71" s="29" t="inlineStr">
        <is>
          <t>Core 2 · Future 2 · Functional 2 · Leadership not scored</t>
        </is>
      </c>
      <c r="Y71" s="52" t="n">
        <v>424</v>
      </c>
      <c r="Z71" s="53" t="inlineStr">
        <is>
          <t>IRISC327</t>
        </is>
      </c>
      <c r="AA71" s="53" t="inlineStr">
        <is>
          <t>On Contract</t>
        </is>
      </c>
      <c r="AB71" s="53" t="inlineStr">
        <is>
          <t>Active</t>
        </is>
      </c>
      <c r="AC71" s="53" t="inlineStr">
        <is>
          <t>Satyajeet Patil</t>
        </is>
      </c>
      <c r="AD71" s="54" t="n">
        <v>46006</v>
      </c>
      <c r="AE71" s="53" t="inlineStr">
        <is>
          <t>Consultant</t>
        </is>
      </c>
      <c r="AF71" s="53" t="inlineStr">
        <is>
          <t>BCA</t>
        </is>
      </c>
      <c r="AG71" s="53" t="inlineStr">
        <is>
          <t>Janardan Bale</t>
        </is>
      </c>
      <c r="AH71" s="53" t="inlineStr">
        <is>
          <t>N-7</t>
        </is>
      </c>
      <c r="AI71" s="53" t="inlineStr">
        <is>
          <t>Individual Contributor</t>
        </is>
      </c>
      <c r="AJ71" s="53" t="inlineStr">
        <is>
          <t>0 years, 0 months, 0 days</t>
        </is>
      </c>
      <c r="AK71" s="53" t="inlineStr">
        <is>
          <t>0 years, 8 months, 10 days</t>
        </is>
      </c>
      <c r="AL71" s="53" t="inlineStr">
        <is>
          <t>Regtech</t>
        </is>
      </c>
      <c r="AM71" s="53" t="inlineStr">
        <is>
          <t>CARBON</t>
        </is>
      </c>
      <c r="AN71" s="53" t="inlineStr">
        <is>
          <t>Digitizing</t>
        </is>
      </c>
      <c r="AO71" s="53" t="inlineStr">
        <is>
          <t>Digitizing Assisted services</t>
        </is>
      </c>
      <c r="AP71" s="53" t="inlineStr">
        <is>
          <t>No</t>
        </is>
      </c>
      <c r="AQ71" s="53" t="inlineStr">
        <is>
          <t>Professional Services</t>
        </is>
      </c>
      <c r="AR71" s="53" t="inlineStr">
        <is>
          <t>OCR/Image procesing</t>
        </is>
      </c>
      <c r="AS71" s="53" t="inlineStr">
        <is>
          <t>Non-technical</t>
        </is>
      </c>
      <c r="AT71" s="53" t="n">
        <v>20</v>
      </c>
      <c r="AU71" s="53" t="inlineStr">
        <is>
          <t>Covered</t>
        </is>
      </c>
      <c r="AV71" s="53" t="inlineStr">
        <is>
          <t>IRISC327</t>
        </is>
      </c>
      <c r="AW71" s="53" t="inlineStr">
        <is>
          <t>Satyajeet Patil</t>
        </is>
      </c>
      <c r="AX71" s="53" t="inlineStr">
        <is>
          <t>Digitizing</t>
        </is>
      </c>
      <c r="AY71" s="53" t="inlineStr">
        <is>
          <t>Professional Services</t>
        </is>
      </c>
      <c r="AZ71" s="53" t="inlineStr">
        <is>
          <t>Digitization &amp; Image Processing</t>
        </is>
      </c>
      <c r="BA71" s="53" t="n"/>
      <c r="BB71" s="53" t="n"/>
      <c r="BC71" s="53" t="inlineStr">
        <is>
          <t>On Contract</t>
        </is>
      </c>
      <c r="BD71" s="53" t="inlineStr">
        <is>
          <t>Janardan Bale</t>
        </is>
      </c>
      <c r="BE71" s="53" t="inlineStr">
        <is>
          <t>Janardan Krishna Bale</t>
        </is>
      </c>
      <c r="BF71" s="53" t="inlineStr">
        <is>
          <t>No</t>
        </is>
      </c>
      <c r="BG71" s="53" t="inlineStr">
        <is>
          <t>Consultant</t>
        </is>
      </c>
      <c r="BH71" s="53" t="inlineStr">
        <is>
          <t>Consultant</t>
        </is>
      </c>
      <c r="BI71" s="53" t="inlineStr">
        <is>
          <t>No</t>
        </is>
      </c>
      <c r="BJ71" s="53" t="inlineStr">
        <is>
          <t>—</t>
        </is>
      </c>
      <c r="BK71" s="53" t="inlineStr">
        <is>
          <t>—</t>
        </is>
      </c>
      <c r="BL71" s="53" t="inlineStr">
        <is>
          <t>—</t>
        </is>
      </c>
      <c r="BM71" s="53" t="inlineStr">
        <is>
          <t>Not a manager</t>
        </is>
      </c>
      <c r="BN71" s="53" t="inlineStr">
        <is>
          <t>—</t>
        </is>
      </c>
      <c r="BO71" s="53" t="inlineStr">
        <is>
          <t>—</t>
        </is>
      </c>
      <c r="BP71" s="53" t="inlineStr">
        <is>
          <t>—</t>
        </is>
      </c>
      <c r="BQ71" s="53" t="inlineStr">
        <is>
          <t>Not a manager</t>
        </is>
      </c>
      <c r="BR71" s="53" t="inlineStr">
        <is>
          <t>—</t>
        </is>
      </c>
      <c r="BS71" s="53" t="inlineStr">
        <is>
          <t>L3 – Professional / Associate</t>
        </is>
      </c>
      <c r="BT71" s="53" t="inlineStr">
        <is>
          <t>L3 – Professional / Associate</t>
        </is>
      </c>
      <c r="BU71" s="53" t="inlineStr">
        <is>
          <t>No designation change — current record value carried forward</t>
        </is>
      </c>
      <c r="BV71" s="53"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1 mandates/products. Ultimate goal should be able to work in all OCR/Formatting mandates.</t>
        </is>
      </c>
      <c r="BW71" s="53" t="n"/>
      <c r="BX71" s="53" t="inlineStr">
        <is>
          <t>USA - SEC · On Contract.</t>
        </is>
      </c>
      <c r="BY71" s="53" t="n"/>
      <c r="BZ71" s="53" t="inlineStr">
        <is>
          <t>IRISC327</t>
        </is>
      </c>
      <c r="CA71" s="53" t="inlineStr">
        <is>
          <t>On Contract</t>
        </is>
      </c>
      <c r="CB71" s="53" t="inlineStr">
        <is>
          <t>Active</t>
        </is>
      </c>
      <c r="CC71" s="53" t="inlineStr">
        <is>
          <t>Satyajeet Patil</t>
        </is>
      </c>
      <c r="CD71" s="54" t="n">
        <v>46006</v>
      </c>
      <c r="CE71" s="53" t="inlineStr">
        <is>
          <t>Consultant</t>
        </is>
      </c>
      <c r="CF71" s="53" t="n"/>
      <c r="CG71" s="53" t="inlineStr">
        <is>
          <t>Professional Services</t>
        </is>
      </c>
      <c r="CH71" s="53" t="inlineStr">
        <is>
          <t>Digitization &amp; Image Processing</t>
        </is>
      </c>
      <c r="CI71" s="53" t="inlineStr">
        <is>
          <t>Consultant</t>
        </is>
      </c>
      <c r="CJ71" s="53" t="inlineStr">
        <is>
          <t>L3 – Professional / Associate</t>
        </is>
      </c>
      <c r="CK71" s="53" t="inlineStr">
        <is>
          <t>Janardan Bale</t>
        </is>
      </c>
      <c r="CL71" s="53" t="inlineStr">
        <is>
          <t>N-7</t>
        </is>
      </c>
      <c r="CM71" s="53" t="inlineStr">
        <is>
          <t>Individual Contributor</t>
        </is>
      </c>
      <c r="CN71" s="53" t="inlineStr">
        <is>
          <t>Regtech</t>
        </is>
      </c>
      <c r="CO71" s="53" t="inlineStr">
        <is>
          <t>Digitizing</t>
        </is>
      </c>
      <c r="CP71" s="53" t="inlineStr">
        <is>
          <t>0 years, 6 months, 5 days</t>
        </is>
      </c>
      <c r="CQ71" s="53" t="inlineStr">
        <is>
          <t>Consultant</t>
        </is>
      </c>
      <c r="CR71" s="53" t="n"/>
      <c r="CS71" s="53" t="n">
        <v>3</v>
      </c>
      <c r="CT71" s="53" t="inlineStr">
        <is>
          <t>Medium</t>
        </is>
      </c>
      <c r="CU71" s="53" t="inlineStr">
        <is>
          <t>Core Contributor</t>
        </is>
      </c>
      <c r="CV71" s="53" t="inlineStr">
        <is>
          <t>No</t>
        </is>
      </c>
      <c r="CW71" s="53" t="inlineStr">
        <is>
          <t>No</t>
        </is>
      </c>
      <c r="CX71" s="53" t="inlineStr">
        <is>
          <t>Yes</t>
        </is>
      </c>
      <c r="CY71" s="53" t="n"/>
      <c r="CZ71" s="53" t="n"/>
      <c r="DA71" s="53" t="n"/>
      <c r="DB71" s="53" t="n"/>
      <c r="DC71" s="53" t="n"/>
      <c r="DD71" s="53" t="n"/>
      <c r="DE71" s="53" t="n"/>
      <c r="DF71" s="53" t="n"/>
      <c r="DG71" s="53" t="n"/>
      <c r="DH71" s="53" t="n"/>
      <c r="DI71" s="53" t="n"/>
      <c r="DJ71" s="53" t="n"/>
      <c r="DK71" s="53" t="n"/>
      <c r="DL71" s="53" t="n"/>
      <c r="DM71" s="53" t="n"/>
      <c r="DN71" s="53" t="n"/>
      <c r="DO71" s="53" t="n"/>
      <c r="DP71" s="53" t="n"/>
      <c r="DQ71" s="53" t="n"/>
      <c r="DR71" s="53" t="n"/>
      <c r="DS71" s="53" t="n"/>
      <c r="DT71" s="53" t="n"/>
      <c r="DU71" s="53" t="n"/>
      <c r="DV71" s="53" t="n"/>
      <c r="DW71" s="53" t="n"/>
      <c r="DX71" s="53" t="n"/>
      <c r="DY71" s="53" t="n"/>
      <c r="DZ71" s="53" t="n"/>
      <c r="EA71" s="53" t="n"/>
      <c r="EB71" s="53" t="n"/>
      <c r="EC71" s="53" t="n"/>
      <c r="ED71" s="53" t="n"/>
      <c r="EE71" s="53" t="n"/>
      <c r="EF71" s="53" t="n"/>
      <c r="EG71" s="53" t="n"/>
      <c r="EH71" s="53" t="n"/>
      <c r="EI71" s="53" t="n"/>
      <c r="EJ71" s="53" t="n"/>
      <c r="EK71" s="53" t="n"/>
      <c r="EL71" s="53" t="n"/>
      <c r="EM71" s="53" t="n"/>
      <c r="EN71" s="53" t="n"/>
      <c r="EO71" s="53" t="n"/>
      <c r="EP71" s="53" t="n"/>
      <c r="EQ71" s="53" t="n"/>
      <c r="ER71" s="53" t="n"/>
      <c r="ES71" s="53" t="n"/>
      <c r="ET71" s="53" t="n"/>
      <c r="EU71" s="53" t="n"/>
      <c r="EV71" s="53" t="n"/>
      <c r="EW71" s="52" t="n"/>
      <c r="EX71" s="53" t="inlineStr">
        <is>
          <t>• Role / sub-team: Digitizing Assisted Service.</t>
        </is>
      </c>
      <c r="EY71" s="53" t="inlineStr">
        <is>
          <t>• Key responsibilities include: US SEC &amp; US DM formatting and review and HTML conversion from word document.
• Reported deliverables and outcomes include: Completed work is self-reviewed before being sent to the service team.</t>
        </is>
      </c>
      <c r="EZ71" s="53" t="inlineStr">
        <is>
          <t>• Current capabilities: Discipline and Patience; Tools / software used: Both | Microsoft Web Expression [Teams chat].</t>
        </is>
      </c>
      <c r="FA71" s="53" t="inlineStr">
        <is>
          <t>• Communications skills.
• Presentation skills.</t>
        </is>
      </c>
      <c r="FB71" s="53" t="inlineStr">
        <is>
          <t>• Key challenges: Quality of report, RDP issue.
• Support required: No input received.</t>
        </is>
      </c>
      <c r="FC71" s="53" t="n"/>
      <c r="FD71" s="53" t="n"/>
      <c r="FE71" s="57"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1 mandates/products. Ultimate goal should be able to work in all OCR/Formatting mandates.</t>
        </is>
      </c>
      <c r="FF71" s="56" t="n"/>
      <c r="FG71" s="56" t="n"/>
      <c r="FH71" s="56" t="n"/>
      <c r="FI71" s="56" t="n"/>
      <c r="FJ71" s="56" t="inlineStr">
        <is>
          <t>Received · manager annual</t>
        </is>
      </c>
      <c r="FK71" s="56" t="inlineStr">
        <is>
          <t>CARBON Mapping Master</t>
        </is>
      </c>
      <c r="FL71" s="56" t="n">
        <v>20</v>
      </c>
      <c r="FM71" s="56" t="inlineStr">
        <is>
          <t>• Role / sub-team: Digitizing Assisted Service.</t>
        </is>
      </c>
      <c r="FN71" s="56" t="inlineStr">
        <is>
          <t>• Key responsibilities include: US SEC &amp; US DM formatting and review and HTML conversion from word document.
• Reported deliverables and outcomes include: Completed work is self-reviewed before being sent to the service team.</t>
        </is>
      </c>
      <c r="FO71" s="56" t="inlineStr">
        <is>
          <t>• Current capabilities: Discipline and Patience; Tools / software used: Both | Microsoft Web Expression [Teams chat].</t>
        </is>
      </c>
      <c r="FP71" s="56" t="inlineStr">
        <is>
          <t>• Communications skills.
• Presentation skills.</t>
        </is>
      </c>
      <c r="FQ71" s="56" t="inlineStr">
        <is>
          <t>• Key challenges: Quality of report, RDP issue.
• Support required: No input received.</t>
        </is>
      </c>
      <c r="FR71" s="56" t="inlineStr">
        <is>
          <t>Complexity: Evidence reads like A2: US SEC / US DM formatting, data checking, HTML conversion to guidelines → matches the start
Autonomy: Evidence reads like A1: States 'Not applicable'; follows guidelines → moved down 0.5
Accountability: Evidence reads like A2: Own work; self-reviewed before sending to service team → matches the start
Leadership: Evidence reads like A1: No guidance or leadership of others described → matches the start
Business Impact: Moved +0.5: the survey / manager mapping marks it business-critical.</t>
        </is>
      </c>
      <c r="FS71" s="56" t="inlineStr">
        <is>
          <t>Common themes in role-holders' answers: documents · data · purpose · requirements
Common themes in role-holders' answers: formatting · quality · review · data · checking · document
Common themes in role-holders' answers: formatted · documents · html
Common themes in role-holders' answers: am · accountable · every · formatting
If the work is missed · role-holders' themes: rework · delays · delivery · incorrect · errors.</t>
        </is>
      </c>
      <c r="FT71" s="56" t="inlineStr">
        <is>
          <t>Self-identified: Project / programme management · Product &amp; tool knowledge · Broader exposure &amp; ownership
For the next role: Project / programme management · Product &amp; tool knowledge · Broader exposure &amp; ownership</t>
        </is>
      </c>
      <c r="FU71" s="56" t="inlineStr">
        <is>
          <t>Per-person summary · CARBON Mapping Master</t>
        </is>
      </c>
    </row>
    <row r="72" ht="90" customHeight="1">
      <c r="A72" s="51" t="inlineStr">
        <is>
          <t>◂ Back</t>
        </is>
      </c>
      <c r="B72" s="29" t="inlineStr">
        <is>
          <t>Mapped</t>
        </is>
      </c>
      <c r="C72" s="28" t="inlineStr">
        <is>
          <t>Consume</t>
        </is>
      </c>
      <c r="D72" s="29" t="inlineStr">
        <is>
          <t>IRIS0114</t>
        </is>
      </c>
      <c r="E72" s="29" t="inlineStr">
        <is>
          <t>Shraddha Patil</t>
        </is>
      </c>
      <c r="F72" s="29" t="inlineStr">
        <is>
          <t>Digitizing</t>
        </is>
      </c>
      <c r="G72" s="29" t="inlineStr">
        <is>
          <t>Image Processing Specialist</t>
        </is>
      </c>
      <c r="H72" s="29" t="inlineStr">
        <is>
          <t>Digitization Manager</t>
        </is>
      </c>
      <c r="I72" s="29" t="inlineStr">
        <is>
          <t>L3 – Professional / Associate</t>
        </is>
      </c>
      <c r="J72" s="29" t="inlineStr">
        <is>
          <t>B2</t>
        </is>
      </c>
      <c r="K72" s="29" t="inlineStr">
        <is>
          <t>▲ Up</t>
        </is>
      </c>
      <c r="L72" s="29" t="inlineStr">
        <is>
          <t>Data Operations &amp; Digitization</t>
        </is>
      </c>
      <c r="M72" s="29" t="inlineStr">
        <is>
          <t>Document Conversion, Formatting &amp; Web Publishing</t>
        </is>
      </c>
      <c r="N72" s="29" t="inlineStr">
        <is>
          <t>• Confirm the reporting line — Manager</t>
        </is>
      </c>
      <c r="O72" s="29" t="n">
        <v>20</v>
      </c>
      <c r="P72" s="28" t="inlineStr">
        <is>
          <t>P4 / M3</t>
        </is>
      </c>
      <c r="Q72" s="29" t="inlineStr">
        <is>
          <t>Senior / Manager</t>
        </is>
      </c>
      <c r="R72" s="29" t="inlineStr">
        <is>
          <t>4–5</t>
        </is>
      </c>
      <c r="S72" s="29" t="inlineStr">
        <is>
          <t>6–9 yrs</t>
        </is>
      </c>
      <c r="T72" s="29" t="inlineStr">
        <is>
          <t>7–10 · 6–11</t>
        </is>
      </c>
      <c r="U72" s="29" t="inlineStr">
        <is>
          <t>Manager</t>
        </is>
      </c>
      <c r="V72" s="29" t="inlineStr">
        <is>
          <t>Accenture Operations: L8 Associate Manager · IRIS Vs Competitor Benchmark — operations roles: Operations Manager</t>
        </is>
      </c>
      <c r="W72" s="29" t="inlineStr">
        <is>
          <t>COPC CX Standard · leadership &amp; planning, people, processes, performance; ISO 9001; Lean / Six Sigma</t>
        </is>
      </c>
      <c r="X72" s="29" t="inlineStr">
        <is>
          <t>Core 3 · Future 3 · Functional 4 · Leadership 3</t>
        </is>
      </c>
      <c r="Y72" s="52" t="n">
        <v>25</v>
      </c>
      <c r="Z72" s="53" t="inlineStr">
        <is>
          <t>IRIS0114</t>
        </is>
      </c>
      <c r="AA72" s="53" t="inlineStr">
        <is>
          <t>Employee</t>
        </is>
      </c>
      <c r="AB72" s="53" t="inlineStr">
        <is>
          <t>Active</t>
        </is>
      </c>
      <c r="AC72" s="53" t="inlineStr">
        <is>
          <t>Shraddha Patil</t>
        </is>
      </c>
      <c r="AD72" s="54" t="n">
        <v>39326</v>
      </c>
      <c r="AE72" s="53" t="inlineStr">
        <is>
          <t>Image Processing Specialist</t>
        </is>
      </c>
      <c r="AF72" s="53" t="inlineStr">
        <is>
          <t>BA</t>
        </is>
      </c>
      <c r="AG72" s="53" t="inlineStr">
        <is>
          <t>Vijay Parulekar</t>
        </is>
      </c>
      <c r="AH72" s="53" t="inlineStr">
        <is>
          <t>N-6</t>
        </is>
      </c>
      <c r="AI72" s="53" t="inlineStr">
        <is>
          <t>Manager</t>
        </is>
      </c>
      <c r="AJ72" s="53" t="inlineStr">
        <is>
          <t>0 years, 0 months, 0 days</t>
        </is>
      </c>
      <c r="AK72" s="53" t="inlineStr">
        <is>
          <t>18 years, 11 months, 24 days</t>
        </is>
      </c>
      <c r="AL72" s="53" t="inlineStr">
        <is>
          <t>Consume</t>
        </is>
      </c>
      <c r="AM72" s="53" t="inlineStr">
        <is>
          <t>Consume</t>
        </is>
      </c>
      <c r="AN72" s="53" t="inlineStr">
        <is>
          <t>Digitizing</t>
        </is>
      </c>
      <c r="AO72" s="53" t="inlineStr">
        <is>
          <t>Digitizing Assisted services</t>
        </is>
      </c>
      <c r="AP72" s="53" t="inlineStr">
        <is>
          <t>No</t>
        </is>
      </c>
      <c r="AQ72" s="53" t="inlineStr">
        <is>
          <t>Professional Services</t>
        </is>
      </c>
      <c r="AR72" s="53" t="inlineStr">
        <is>
          <t>OCR/Image procesing</t>
        </is>
      </c>
      <c r="AS72" s="53" t="inlineStr">
        <is>
          <t>Non-technical</t>
        </is>
      </c>
      <c r="AT72" s="53" t="n">
        <v>20</v>
      </c>
      <c r="AU72" s="53" t="inlineStr">
        <is>
          <t>Covered</t>
        </is>
      </c>
      <c r="AV72" s="53" t="inlineStr">
        <is>
          <t>IRIS0114</t>
        </is>
      </c>
      <c r="AW72" s="53" t="inlineStr">
        <is>
          <t>Shraddha Patil</t>
        </is>
      </c>
      <c r="AX72" s="53" t="inlineStr">
        <is>
          <t>Digitizing</t>
        </is>
      </c>
      <c r="AY72" s="53" t="inlineStr">
        <is>
          <t>Professional Services</t>
        </is>
      </c>
      <c r="AZ72" s="53" t="inlineStr">
        <is>
          <t>Digitization &amp; Image Processing</t>
        </is>
      </c>
      <c r="BA72" s="53" t="n"/>
      <c r="BB72" s="53" t="n"/>
      <c r="BC72" s="53" t="inlineStr">
        <is>
          <t>Employee</t>
        </is>
      </c>
      <c r="BD72" s="53" t="inlineStr">
        <is>
          <t>Vijay Parulekar</t>
        </is>
      </c>
      <c r="BE72" s="53" t="inlineStr">
        <is>
          <t>Vijay Parulekar</t>
        </is>
      </c>
      <c r="BF72" s="53" t="inlineStr">
        <is>
          <t>No</t>
        </is>
      </c>
      <c r="BG72" s="53" t="inlineStr">
        <is>
          <t>Image Processing Specialist</t>
        </is>
      </c>
      <c r="BH72" s="53" t="inlineStr">
        <is>
          <t>Manager - Digitizing</t>
        </is>
      </c>
      <c r="BI72" s="53" t="inlineStr">
        <is>
          <t>Yes</t>
        </is>
      </c>
      <c r="BJ72" s="53" t="n">
        <v>8</v>
      </c>
      <c r="BK72" s="53" t="n">
        <v>5</v>
      </c>
      <c r="BL72" s="53" t="n">
        <v>5</v>
      </c>
      <c r="BM72" s="53" t="inlineStr">
        <is>
          <t>Healthy</t>
        </is>
      </c>
      <c r="BN72" s="53" t="n">
        <v>10</v>
      </c>
      <c r="BO72" s="53" t="n">
        <v>5</v>
      </c>
      <c r="BP72" s="53" t="n">
        <v>5</v>
      </c>
      <c r="BQ72" s="53" t="inlineStr">
        <is>
          <t>Healthy</t>
        </is>
      </c>
      <c r="BR72" s="53" t="inlineStr">
        <is>
          <t>No</t>
        </is>
      </c>
      <c r="BS72" s="53" t="inlineStr">
        <is>
          <t>L3 – Professional / Associate</t>
        </is>
      </c>
      <c r="BT72" s="53" t="inlineStr">
        <is>
          <t>L4</t>
        </is>
      </c>
      <c r="BU72" s="53" t="inlineStr">
        <is>
          <t>Designation refined from Raw tab Comments column · this update</t>
        </is>
      </c>
      <c r="BV72" s="53" t="inlineStr">
        <is>
          <t>1. Complete assigned conversion/formatting tasks with &gt;=99% accuracy · zero critical errors.
2. Meet 100% of client publishing deadlines · no SLA breaches.
3. Upgrade senior members to manage RBI portal in your absence.
4. Train each senior members to handle of all RBI portal updates/uploads.
5. Train next layer member to communicate with RBI people.</t>
        </is>
      </c>
      <c r="BW72" s="53" t="n"/>
      <c r="BX72" s="53" t="inlineStr">
        <is>
          <t>No input received.</t>
        </is>
      </c>
      <c r="BY72" s="53" t="n"/>
      <c r="BZ72" s="53" t="inlineStr">
        <is>
          <t>IRIS0114</t>
        </is>
      </c>
      <c r="CA72" s="53" t="inlineStr">
        <is>
          <t>Employee</t>
        </is>
      </c>
      <c r="CB72" s="53" t="inlineStr">
        <is>
          <t>Active</t>
        </is>
      </c>
      <c r="CC72" s="53" t="inlineStr">
        <is>
          <t>Shraddha Patil</t>
        </is>
      </c>
      <c r="CD72" s="54" t="n">
        <v>39326</v>
      </c>
      <c r="CE72" s="53" t="inlineStr">
        <is>
          <t>Image Processing Specialist</t>
        </is>
      </c>
      <c r="CF72" s="53" t="n"/>
      <c r="CG72" s="53" t="inlineStr">
        <is>
          <t>Professional Services</t>
        </is>
      </c>
      <c r="CH72" s="53" t="inlineStr">
        <is>
          <t>Digitization &amp; Image Processing</t>
        </is>
      </c>
      <c r="CI72" s="53" t="inlineStr">
        <is>
          <t>Image Processing Specialist</t>
        </is>
      </c>
      <c r="CJ72" s="53" t="inlineStr">
        <is>
          <t>L3 – Professional / Associate</t>
        </is>
      </c>
      <c r="CK72" s="53" t="inlineStr">
        <is>
          <t>Vijay Parulekar</t>
        </is>
      </c>
      <c r="CL72" s="53" t="inlineStr">
        <is>
          <t>N-6</t>
        </is>
      </c>
      <c r="CM72" s="53" t="inlineStr">
        <is>
          <t>Manager</t>
        </is>
      </c>
      <c r="CN72" s="53" t="inlineStr">
        <is>
          <t>Consume</t>
        </is>
      </c>
      <c r="CO72" s="53" t="inlineStr">
        <is>
          <t>Digitizing</t>
        </is>
      </c>
      <c r="CP72" s="53" t="inlineStr">
        <is>
          <t>18 years, 9 months, 19 days</t>
        </is>
      </c>
      <c r="CQ72" s="53" t="inlineStr">
        <is>
          <t>Manager- Digitizing</t>
        </is>
      </c>
      <c r="CR72" s="53" t="n"/>
      <c r="CS72" s="53" t="n">
        <v>5</v>
      </c>
      <c r="CT72" s="53" t="inlineStr">
        <is>
          <t>High</t>
        </is>
      </c>
      <c r="CU72" s="53" t="inlineStr">
        <is>
          <t>Core Contributor</t>
        </is>
      </c>
      <c r="CV72" s="53" t="inlineStr">
        <is>
          <t>No</t>
        </is>
      </c>
      <c r="CW72" s="53" t="inlineStr">
        <is>
          <t>No</t>
        </is>
      </c>
      <c r="CX72" s="53" t="inlineStr">
        <is>
          <t>Yes</t>
        </is>
      </c>
      <c r="CY72" s="53" t="n"/>
      <c r="CZ72" s="53" t="n"/>
      <c r="DA72" s="53" t="n"/>
      <c r="DB72" s="53" t="inlineStr">
        <is>
          <t>Title to be changed to Manager - Digitizing. Not Carbon employee but to be mapped to iFile</t>
        </is>
      </c>
      <c r="DC72" s="53" t="n"/>
      <c r="DD72" s="53" t="n"/>
      <c r="DE72" s="53" t="n"/>
      <c r="DF72" s="53" t="n"/>
      <c r="DG72" s="53" t="n"/>
      <c r="DH72" s="53" t="n"/>
      <c r="DI72" s="53" t="n"/>
      <c r="DJ72" s="53" t="n"/>
      <c r="DK72" s="53" t="n"/>
      <c r="DL72" s="53" t="n"/>
      <c r="DM72" s="53" t="n"/>
      <c r="DN72" s="53" t="n"/>
      <c r="DO72" s="53" t="n"/>
      <c r="DP72" s="53" t="n"/>
      <c r="DQ72" s="53" t="n"/>
      <c r="DR72" s="53" t="n"/>
      <c r="DS72" s="53" t="n"/>
      <c r="DT72" s="53" t="n"/>
      <c r="DU72" s="53" t="n"/>
      <c r="DV72" s="53" t="n"/>
      <c r="DW72" s="53" t="n"/>
      <c r="DX72" s="53" t="n"/>
      <c r="DY72" s="53" t="n"/>
      <c r="DZ72" s="53" t="n"/>
      <c r="EA72" s="53" t="n"/>
      <c r="EB72" s="53" t="n"/>
      <c r="EC72" s="53" t="n"/>
      <c r="ED72" s="53" t="n"/>
      <c r="EE72" s="53" t="n"/>
      <c r="EF72" s="53" t="n"/>
      <c r="EG72" s="53" t="n"/>
      <c r="EH72" s="53" t="n"/>
      <c r="EI72" s="53" t="n"/>
      <c r="EJ72" s="53" t="n"/>
      <c r="EK72" s="53" t="n"/>
      <c r="EL72" s="53" t="n"/>
      <c r="EM72" s="53" t="n"/>
      <c r="EN72" s="53" t="n"/>
      <c r="EO72" s="53" t="n"/>
      <c r="EP72" s="53" t="n"/>
      <c r="EQ72" s="53" t="n"/>
      <c r="ER72" s="53" t="n"/>
      <c r="ES72" s="53" t="n"/>
      <c r="ET72" s="53" t="n"/>
      <c r="EU72" s="53" t="n"/>
      <c r="EV72" s="53" t="n"/>
      <c r="EW72" s="52" t="n"/>
      <c r="EX72" s="53" t="inlineStr">
        <is>
          <t>• Role / sub-team: Digitizing — Image Processing Specialist.
• Core purpose: My core purpose is to align my team, clear away roadblocks, and drive us together".
• Decision-making autonomy: No input received.
• Is this something only they do: No input received.</t>
        </is>
      </c>
      <c r="EY72" s="53" t="inlineStr">
        <is>
          <t>• Key responsibilities include: Maintain RBI website.
• Impact if missed or done wrong: No input received.
• How measured: No input received.</t>
        </is>
      </c>
      <c r="EZ72" s="53" t="inlineStr">
        <is>
          <t>• Current capabilities: No input received.
• Tools / software used: No input received.</t>
        </is>
      </c>
      <c r="FA72" s="53" t="inlineStr">
        <is>
          <t>• Development priorities: No input received.</t>
        </is>
      </c>
      <c r="FB72" s="53" t="inlineStr">
        <is>
          <t>• Key challenges: No input received.
• Support required: No input received.</t>
        </is>
      </c>
      <c r="FC72" s="53" t="n"/>
      <c r="FD72" s="53" t="n"/>
      <c r="FE72" s="57" t="inlineStr">
        <is>
          <t>1. Complete assigned conversion/formatting tasks with &gt;=99% accuracy · zero critical errors.
2. Meet 100% of client publishing deadlines · no SLA breaches.
3. Upgrade senior members to manage RBI portal in your absence.
4. Train each senior members to handle of all RBI portal updates/uploads.
5. Train next layer member to communicate with RBI people.</t>
        </is>
      </c>
      <c r="FF72" s="56" t="n"/>
      <c r="FG72" s="56" t="n"/>
      <c r="FH72" s="56" t="n"/>
      <c r="FI72" s="56" t="n"/>
      <c r="FJ72" s="56" t="inlineStr">
        <is>
          <t>Received · manager annual</t>
        </is>
      </c>
      <c r="FK72" s="56" t="inlineStr">
        <is>
          <t>CARBON Mapping Master</t>
        </is>
      </c>
      <c r="FL72" s="56" t="n">
        <v>20</v>
      </c>
      <c r="FM72" s="56" t="inlineStr">
        <is>
          <t>• Role / sub-team: Digitizing — Image Processing Specialist.
• Core purpose: My core purpose is to align my team, clear away roadblocks, and drive us together".
• Decision-making autonomy: No input received.
• Is this something only they do: No input received.</t>
        </is>
      </c>
      <c r="FN72" s="56" t="inlineStr">
        <is>
          <t>• Key responsibilities include: Maintain RBI website.
• Impact if missed or done wrong: No input received.
• How measured: No input received.</t>
        </is>
      </c>
      <c r="FO72" s="56" t="inlineStr">
        <is>
          <t>• Current capabilities: No input received.
• Tools / software used: No input received.</t>
        </is>
      </c>
      <c r="FP72" s="56" t="inlineStr">
        <is>
          <t>• Development priorities: No input received.</t>
        </is>
      </c>
      <c r="FQ72" s="56" t="inlineStr">
        <is>
          <t>• Key challenges: No input received.
• Support required: No input received.</t>
        </is>
      </c>
      <c r="FR72" s="56" t="inlineStr">
        <is>
          <t>Complexity: Evidence reads like B1: Runs RBI website maintenance delivery: client coordination, root-cause analysis, quality management, release plans → moved up 0.5
Autonomy: Evidence reads like B2: Decides team workload and major release plans → moved up 0.5
Accountability: Evidence reads like B2: As team leader, accountable for overall delivery of the Website Maintenance Project → matches the start
Leadership: Evidence reads like B2: Manages performance and workload of the team; 8 direct reports → matches the start
Business Impact: Moved +0.5: the survey / manager mapping marks it business-critical.</t>
        </is>
      </c>
      <c r="FS72" s="56" t="inlineStr">
        <is>
          <t>Common themes in sub-family holders, all levels' answers: purpose · core · formatting · quality · rbi · website
Common themes in sub-family holders, all levels' answers: quality · document · formatting · html · accuracy · conversion
Common themes in sub-family holders, all levels' answers: html · pdf · word · deliver · formatted · documents
Common themes in sub-family holders, all levels' answers: am · accountable · accuracy · quality · every · formatting
Common themes in sub-family holders, all levels' answers: formatting · independently · html · validate · allocate · cipc
If the work is missed · role-holders' themes: rework · delays · errors · quality · incorrect.</t>
        </is>
      </c>
      <c r="FT72" s="56" t="inlineStr">
        <is>
          <t>Self-identified: Strategy &amp; business acumen
For the next role: Strategy &amp; business acumen</t>
        </is>
      </c>
      <c r="FU72" s="56" t="inlineStr">
        <is>
          <t>Per-person summary · CARBON Mapping Master</t>
        </is>
      </c>
    </row>
    <row r="73" ht="90" customHeight="1">
      <c r="A73" s="51" t="inlineStr">
        <is>
          <t>◂ Back</t>
        </is>
      </c>
      <c r="B73" s="29" t="inlineStr">
        <is>
          <t>Mapped</t>
        </is>
      </c>
      <c r="C73" s="28" t="inlineStr">
        <is>
          <t>Consume</t>
        </is>
      </c>
      <c r="D73" s="29" t="inlineStr">
        <is>
          <t>IRIS0167</t>
        </is>
      </c>
      <c r="E73" s="29" t="inlineStr">
        <is>
          <t>Nitin Bhoir</t>
        </is>
      </c>
      <c r="F73" s="29" t="inlineStr">
        <is>
          <t>Digitizing</t>
        </is>
      </c>
      <c r="G73" s="29" t="inlineStr">
        <is>
          <t>Image Processing Specialist</t>
        </is>
      </c>
      <c r="H73" s="29" t="inlineStr">
        <is>
          <t>Digitization Specialist</t>
        </is>
      </c>
      <c r="I73" s="29" t="inlineStr">
        <is>
          <t>L3 – Professional / Associate</t>
        </is>
      </c>
      <c r="J73" s="29" t="inlineStr">
        <is>
          <t>B1</t>
        </is>
      </c>
      <c r="K73" s="29" t="inlineStr">
        <is>
          <t>▲ Up</t>
        </is>
      </c>
      <c r="L73" s="29" t="inlineStr">
        <is>
          <t>Data Operations &amp; Digitization</t>
        </is>
      </c>
      <c r="M73" s="29" t="inlineStr">
        <is>
          <t>Document Conversion, Formatting &amp; Web Publishing</t>
        </is>
      </c>
      <c r="N73" s="29" t="n"/>
      <c r="O73" s="29" t="n">
        <v>20</v>
      </c>
      <c r="P73" s="28" t="inlineStr">
        <is>
          <t>P3 / M2</t>
        </is>
      </c>
      <c r="Q73" s="29" t="inlineStr">
        <is>
          <t>Career / · Team Lead</t>
        </is>
      </c>
      <c r="R73" s="29" t="inlineStr">
        <is>
          <t>4 Enable</t>
        </is>
      </c>
      <c r="S73" s="29" t="inlineStr">
        <is>
          <t>4–7 yrs</t>
        </is>
      </c>
      <c r="T73" s="29" t="inlineStr">
        <is>
          <t>5–8 · 4–8</t>
        </is>
      </c>
      <c r="U73" s="29" t="inlineStr">
        <is>
          <t>Specialist / QC Analyst</t>
        </is>
      </c>
      <c r="V73" s="29" t="inlineStr">
        <is>
          <t>Accenture Operations: L9 Team Lead · IRIS Vs Competitor Benchmark — operations roles: Team Lead / Quality Lead</t>
        </is>
      </c>
      <c r="W73" s="29" t="inlineStr">
        <is>
          <t>COPC CX Standard · leadership &amp; planning, people, processes, performance; ISO 9001; Lean / Six Sigma</t>
        </is>
      </c>
      <c r="X73" s="29" t="inlineStr">
        <is>
          <t>Core 3 · Future 3 · Functional 3 · Leadership 1</t>
        </is>
      </c>
      <c r="Y73" s="52" t="n">
        <v>34</v>
      </c>
      <c r="Z73" s="53" t="inlineStr">
        <is>
          <t>IRIS0167</t>
        </is>
      </c>
      <c r="AA73" s="53" t="inlineStr">
        <is>
          <t>Employee</t>
        </is>
      </c>
      <c r="AB73" s="53" t="inlineStr">
        <is>
          <t>Active</t>
        </is>
      </c>
      <c r="AC73" s="53" t="inlineStr">
        <is>
          <t>Nitin Bhoir</t>
        </is>
      </c>
      <c r="AD73" s="54" t="n">
        <v>39470</v>
      </c>
      <c r="AE73" s="53" t="inlineStr">
        <is>
          <t>Image Processing Specialist</t>
        </is>
      </c>
      <c r="AF73" s="53" t="inlineStr">
        <is>
          <t>BA</t>
        </is>
      </c>
      <c r="AG73" s="53" t="inlineStr">
        <is>
          <t>Shraddha Patil</t>
        </is>
      </c>
      <c r="AH73" s="53" t="inlineStr">
        <is>
          <t>N-7</t>
        </is>
      </c>
      <c r="AI73" s="53" t="inlineStr">
        <is>
          <t>Individual Contributor</t>
        </is>
      </c>
      <c r="AJ73" s="53" t="inlineStr">
        <is>
          <t>0 years, 3 months, 0 days</t>
        </is>
      </c>
      <c r="AK73" s="53" t="inlineStr">
        <is>
          <t>18 years, 7 months, 2 days</t>
        </is>
      </c>
      <c r="AL73" s="53" t="inlineStr">
        <is>
          <t>Consume</t>
        </is>
      </c>
      <c r="AM73" s="53" t="inlineStr">
        <is>
          <t>Consume</t>
        </is>
      </c>
      <c r="AN73" s="53" t="inlineStr">
        <is>
          <t>Digitizing</t>
        </is>
      </c>
      <c r="AO73" s="53" t="inlineStr">
        <is>
          <t>Digitizing Assisted services</t>
        </is>
      </c>
      <c r="AP73" s="53" t="inlineStr">
        <is>
          <t>No</t>
        </is>
      </c>
      <c r="AQ73" s="53" t="inlineStr">
        <is>
          <t>Professional Services</t>
        </is>
      </c>
      <c r="AR73" s="53" t="inlineStr">
        <is>
          <t>OCR/Image procesing</t>
        </is>
      </c>
      <c r="AS73" s="53" t="inlineStr">
        <is>
          <t>Non-technical</t>
        </is>
      </c>
      <c r="AT73" s="53" t="n">
        <v>20</v>
      </c>
      <c r="AU73" s="53" t="inlineStr">
        <is>
          <t>Covered</t>
        </is>
      </c>
      <c r="AV73" s="53" t="inlineStr">
        <is>
          <t>IRIS0167</t>
        </is>
      </c>
      <c r="AW73" s="53" t="inlineStr">
        <is>
          <t>Nitin Bhoir</t>
        </is>
      </c>
      <c r="AX73" s="53" t="inlineStr">
        <is>
          <t>Digitizing</t>
        </is>
      </c>
      <c r="AY73" s="53" t="inlineStr">
        <is>
          <t>Professional Services</t>
        </is>
      </c>
      <c r="AZ73" s="53" t="inlineStr">
        <is>
          <t>Regulatory Portal Operations</t>
        </is>
      </c>
      <c r="BA73" s="53" t="n"/>
      <c r="BB73" s="53" t="n"/>
      <c r="BC73" s="53" t="inlineStr">
        <is>
          <t>Employee</t>
        </is>
      </c>
      <c r="BD73" s="53" t="inlineStr">
        <is>
          <t>Shraddha Patil</t>
        </is>
      </c>
      <c r="BE73" s="53" t="inlineStr">
        <is>
          <t>Shraddha Patil</t>
        </is>
      </c>
      <c r="BF73" s="53" t="inlineStr">
        <is>
          <t>No</t>
        </is>
      </c>
      <c r="BG73" s="53" t="inlineStr">
        <is>
          <t>Image Processing Specialist</t>
        </is>
      </c>
      <c r="BH73" s="53" t="inlineStr">
        <is>
          <t>Sr Regulatory Portal Operations Specialist</t>
        </is>
      </c>
      <c r="BI73" s="53" t="inlineStr">
        <is>
          <t>Yes</t>
        </is>
      </c>
      <c r="BJ73" s="53" t="inlineStr">
        <is>
          <t>—</t>
        </is>
      </c>
      <c r="BK73" s="53" t="inlineStr">
        <is>
          <t>—</t>
        </is>
      </c>
      <c r="BL73" s="53" t="inlineStr">
        <is>
          <t>—</t>
        </is>
      </c>
      <c r="BM73" s="53" t="inlineStr">
        <is>
          <t>Not a manager</t>
        </is>
      </c>
      <c r="BN73" s="53" t="inlineStr">
        <is>
          <t>—</t>
        </is>
      </c>
      <c r="BO73" s="53" t="inlineStr">
        <is>
          <t>—</t>
        </is>
      </c>
      <c r="BP73" s="53" t="inlineStr">
        <is>
          <t>—</t>
        </is>
      </c>
      <c r="BQ73" s="53" t="inlineStr">
        <is>
          <t>Not a manager</t>
        </is>
      </c>
      <c r="BR73" s="53" t="inlineStr">
        <is>
          <t>—</t>
        </is>
      </c>
      <c r="BS73" s="53" t="inlineStr">
        <is>
          <t>L3 – Professional / Associate</t>
        </is>
      </c>
      <c r="BT73" s="53" t="inlineStr">
        <is>
          <t>L3</t>
        </is>
      </c>
      <c r="BU73" s="53" t="inlineStr">
        <is>
          <t>Matched from Title Hierarchy · new designation</t>
        </is>
      </c>
      <c r="BV73" s="53"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manage daily work in the absence of Shraddha.</t>
        </is>
      </c>
      <c r="BW73" s="53" t="n"/>
      <c r="BX73" s="53" t="inlineStr">
        <is>
          <t>Belapur Data Center India.</t>
        </is>
      </c>
      <c r="BY73" s="53" t="n"/>
      <c r="BZ73" s="53" t="inlineStr">
        <is>
          <t>IRIS0167</t>
        </is>
      </c>
      <c r="CA73" s="53" t="inlineStr">
        <is>
          <t>Employee</t>
        </is>
      </c>
      <c r="CB73" s="53" t="inlineStr">
        <is>
          <t>Active</t>
        </is>
      </c>
      <c r="CC73" s="53" t="inlineStr">
        <is>
          <t>Nitin Bhoir</t>
        </is>
      </c>
      <c r="CD73" s="54" t="n">
        <v>39470</v>
      </c>
      <c r="CE73" s="53" t="inlineStr">
        <is>
          <t>Image Processing Specialist</t>
        </is>
      </c>
      <c r="CF73" s="53" t="n"/>
      <c r="CG73" s="53" t="inlineStr">
        <is>
          <t>Professional Services</t>
        </is>
      </c>
      <c r="CH73" s="53" t="inlineStr">
        <is>
          <t>Digitization &amp; Image Processing</t>
        </is>
      </c>
      <c r="CI73" s="53" t="inlineStr">
        <is>
          <t>Image Processing Specialist</t>
        </is>
      </c>
      <c r="CJ73" s="53" t="inlineStr">
        <is>
          <t>L3 – Professional / Associate</t>
        </is>
      </c>
      <c r="CK73" s="53" t="inlineStr">
        <is>
          <t>Shraddha Patil</t>
        </is>
      </c>
      <c r="CL73" s="53" t="inlineStr">
        <is>
          <t>N-7</t>
        </is>
      </c>
      <c r="CM73" s="53" t="inlineStr">
        <is>
          <t>Individual Contributor</t>
        </is>
      </c>
      <c r="CN73" s="53" t="inlineStr">
        <is>
          <t>Consume</t>
        </is>
      </c>
      <c r="CO73" s="53" t="inlineStr">
        <is>
          <t>Digitizing</t>
        </is>
      </c>
      <c r="CP73" s="53" t="inlineStr">
        <is>
          <t>18 years, 7 months, 28 days</t>
        </is>
      </c>
      <c r="CQ73" s="53" t="inlineStr">
        <is>
          <t>Sr.Image Processing Specialist</t>
        </is>
      </c>
      <c r="CR73" s="53" t="n"/>
      <c r="CS73" s="53" t="n">
        <v>3</v>
      </c>
      <c r="CT73" s="53" t="inlineStr">
        <is>
          <t>Medium</t>
        </is>
      </c>
      <c r="CU73" s="53" t="inlineStr">
        <is>
          <t>Core Contributor</t>
        </is>
      </c>
      <c r="CV73" s="53" t="inlineStr">
        <is>
          <t>No</t>
        </is>
      </c>
      <c r="CW73" s="53" t="inlineStr">
        <is>
          <t>No</t>
        </is>
      </c>
      <c r="CX73" s="53" t="inlineStr">
        <is>
          <t>Yes</t>
        </is>
      </c>
      <c r="CY73" s="53" t="n"/>
      <c r="CZ73" s="53" t="n"/>
      <c r="DA73" s="53" t="n"/>
      <c r="DB73" s="53" t="inlineStr">
        <is>
          <t>Title to be standardized to : Sr.Image Processing Specialist</t>
        </is>
      </c>
      <c r="DC73" s="53" t="n"/>
      <c r="DD73" s="53" t="n"/>
      <c r="DE73" s="53" t="n"/>
      <c r="DF73" s="53" t="n"/>
      <c r="DG73" s="53" t="n"/>
      <c r="DH73" s="53" t="n"/>
      <c r="DI73" s="53" t="n"/>
      <c r="DJ73" s="53" t="n"/>
      <c r="DK73" s="53" t="n"/>
      <c r="DL73" s="53" t="n"/>
      <c r="DM73" s="53" t="n"/>
      <c r="DN73" s="53" t="n"/>
      <c r="DO73" s="53" t="n"/>
      <c r="DP73" s="53" t="n"/>
      <c r="DQ73" s="53" t="n"/>
      <c r="DR73" s="53" t="n"/>
      <c r="DS73" s="53" t="n"/>
      <c r="DT73" s="53" t="n"/>
      <c r="DU73" s="53" t="n"/>
      <c r="DV73" s="53" t="n"/>
      <c r="DW73" s="53" t="n"/>
      <c r="DX73" s="53" t="n"/>
      <c r="DY73" s="53" t="n"/>
      <c r="DZ73" s="53" t="n"/>
      <c r="EA73" s="53" t="n"/>
      <c r="EB73" s="53" t="n"/>
      <c r="EC73" s="53" t="n"/>
      <c r="ED73" s="53" t="n"/>
      <c r="EE73" s="53" t="n"/>
      <c r="EF73" s="53" t="n"/>
      <c r="EG73" s="53" t="n"/>
      <c r="EH73" s="53" t="n"/>
      <c r="EI73" s="53" t="n"/>
      <c r="EJ73" s="53" t="n"/>
      <c r="EK73" s="53" t="n"/>
      <c r="EL73" s="53" t="n"/>
      <c r="EM73" s="53" t="n"/>
      <c r="EN73" s="53" t="n"/>
      <c r="EO73" s="53" t="n"/>
      <c r="EP73" s="53" t="n"/>
      <c r="EQ73" s="53" t="n"/>
      <c r="ER73" s="53" t="n"/>
      <c r="ES73" s="53" t="n"/>
      <c r="ET73" s="53" t="n"/>
      <c r="EU73" s="53" t="n"/>
      <c r="EV73" s="53" t="n"/>
      <c r="EW73" s="52" t="n"/>
      <c r="EX73" s="53" t="inlineStr">
        <is>
          <t>• Role / sub-team: Digitizing — Image Processing Specialist.
• Core purpose: My roll to do daily data QC, Upload and Updation on rbi website.
• Decision-making autonomy: Can independently correct document syntax.
• Is this something only they do: No input received.
• What's different about this role: High regulatory risk, strict process, Dreamweaver editing, and resolving team/client RBI queries set my role apart—errors on live official policy directly impact public financial trust.</t>
        </is>
      </c>
      <c r="EY73" s="53" t="inlineStr">
        <is>
          <t>• Key responsibilities include: QC HTML document files; Fix HTML syntax errors; Publish new RBI content; Update existing web pages; Resolve client query.
• Personally accountable for: I'm responsibility for the accuracy, completeness, and timely delivery of a website and its updates before the effective date.
• Impact if missed or done wrong: Missing HTML tag fixes or table alignments causes broken layouts, unreadable regulatory data, and inaccessible web pages on RBI's live site, risking compliance failures and public confusion.
• How measured: No input received.</t>
        </is>
      </c>
      <c r="EZ73" s="53" t="inlineStr">
        <is>
          <t>• Current capabilities: No input received.
• Tools / software used: No input received.
• Workload: Rated a very heavy load · 5/5 in a typical week.</t>
        </is>
      </c>
      <c r="FA73" s="53" t="inlineStr">
        <is>
          <t>• Development priorities: No input received.</t>
        </is>
      </c>
      <c r="FB73" s="53" t="inlineStr">
        <is>
          <t>• Key challenges: No input received.
• Support required: No input received.</t>
        </is>
      </c>
      <c r="FC73" s="53" t="n"/>
      <c r="FD73" s="53" t="n"/>
      <c r="FE73" s="57"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manage daily work in the absence of Shraddha.</t>
        </is>
      </c>
      <c r="FF73" s="56" t="n"/>
      <c r="FG73" s="56" t="n"/>
      <c r="FH73" s="56" t="n"/>
      <c r="FI73" s="56" t="n"/>
      <c r="FJ73" s="56" t="inlineStr">
        <is>
          <t>Received · manager annual</t>
        </is>
      </c>
      <c r="FK73" s="56" t="inlineStr">
        <is>
          <t>CARBON Mapping Master</t>
        </is>
      </c>
      <c r="FL73" s="56" t="n">
        <v>20</v>
      </c>
      <c r="FM73" s="56" t="inlineStr">
        <is>
          <t>• Role / sub-team: Digitizing — Image Processing Specialist.
• Core purpose: My roll to do daily data QC, Upload and Updation on rbi website.
• Decision-making autonomy: Can independently correct document syntax.
• Is this something only they do: No input received.
• What's different about this role: High regulatory risk, strict process, Dreamweaver editing, and resolving team/client RBI queries set my role apart—errors on live official policy directly impact public financial trust.</t>
        </is>
      </c>
      <c r="FN73" s="56" t="inlineStr">
        <is>
          <t>• Key responsibilities include: QC HTML document files; Fix HTML syntax errors; Publish new RBI content; Update existing web pages; Resolve client query.
• Personally accountable for: I'm responsibility for the accuracy, completeness, and timely delivery of a website and its updates before the effective date.
• Impact if missed or done wrong: Missing HTML tag fixes or table alignments causes broken layouts, unreadable regulatory data, and inaccessible web pages on RBI's live site, risking compliance failures and public confusion.
• How measured: No input received.</t>
        </is>
      </c>
      <c r="FO73" s="56" t="inlineStr">
        <is>
          <t>• Current capabilities: No input received.
• Tools / software used: No input received.
• Workload: Rated a very heavy load · 5/5 in a typical week.</t>
        </is>
      </c>
      <c r="FP73" s="56" t="inlineStr">
        <is>
          <t>• Development priorities: No input received.</t>
        </is>
      </c>
      <c r="FQ73" s="56" t="inlineStr">
        <is>
          <t>• Key challenges: No input received.
• Support required: No input received.</t>
        </is>
      </c>
      <c r="FR73" s="56" t="inlineStr">
        <is>
          <t>Complexity: Evidence reads like A3: QCs HTML files, fixes syntax errors in Dreamweaver, resolves team and client RBI queries → matches the start
Autonomy: Evidence reads like A2: Independently corrects document syntax; nothing broader stated → moved down 0.5
Accountability: Evidence reads like A3: Accuracy and timeliness of updates published on RBI's live site before effective dates → matches the start
Leadership: Evidence reads like A2: Resolves queries from team members; no formal guidance role described → matches the start
Business Impact: Moved +0.5: the survey / manager mapping marks it business-critical.</t>
        </is>
      </c>
      <c r="FS73" s="56" t="inlineStr">
        <is>
          <t>Common themes in role-holders' answers: am · formatting · processing · specialist · checker · image
Common themes in role-holders' answers: files · quality · html · received · correctly · checking
Common themes in role-holders' answers: word · pdf · html
Common themes in role-holders' answers: accountable · am · every
If the work is missed · role-holders' themes: dissatisfied · customers become · affected · company growth.</t>
        </is>
      </c>
      <c r="FT73" s="56" t="inlineStr">
        <is>
          <t>Self-identified: Leadership &amp; people management · Broader exposure &amp; ownership
For the next role: Leadership &amp; people management · Broader exposure &amp; ownership</t>
        </is>
      </c>
      <c r="FU73" s="56" t="inlineStr">
        <is>
          <t>Per-person summary · CARBON Mapping Master</t>
        </is>
      </c>
    </row>
    <row r="74" ht="90" customHeight="1">
      <c r="A74" s="51" t="inlineStr">
        <is>
          <t>◂ Back</t>
        </is>
      </c>
      <c r="B74" s="29" t="inlineStr">
        <is>
          <t>Mapped</t>
        </is>
      </c>
      <c r="C74" s="28" t="inlineStr">
        <is>
          <t>Consume</t>
        </is>
      </c>
      <c r="D74" s="29" t="inlineStr">
        <is>
          <t>IRIS0110</t>
        </is>
      </c>
      <c r="E74" s="29" t="inlineStr">
        <is>
          <t>Aniket Manval</t>
        </is>
      </c>
      <c r="F74" s="29" t="inlineStr">
        <is>
          <t>Digitizing</t>
        </is>
      </c>
      <c r="G74" s="29" t="inlineStr">
        <is>
          <t>Image Processing Specialist</t>
        </is>
      </c>
      <c r="H74" s="29" t="inlineStr">
        <is>
          <t>Senior Digitization Associate</t>
        </is>
      </c>
      <c r="I74" s="29" t="inlineStr">
        <is>
          <t>L3 – Professional / Associate</t>
        </is>
      </c>
      <c r="J74" s="29" t="inlineStr">
        <is>
          <t>A3</t>
        </is>
      </c>
      <c r="K74" s="29" t="inlineStr">
        <is>
          <t>▲ Up</t>
        </is>
      </c>
      <c r="L74" s="29" t="inlineStr">
        <is>
          <t>Data Operations &amp; Digitization</t>
        </is>
      </c>
      <c r="M74" s="29" t="inlineStr">
        <is>
          <t>Document Conversion, Formatting &amp; Web Publishing</t>
        </is>
      </c>
      <c r="N74" s="29" t="n"/>
      <c r="O74" s="29" t="n">
        <v>20</v>
      </c>
      <c r="P74" s="28" t="inlineStr">
        <is>
          <t>P2</t>
        </is>
      </c>
      <c r="Q74" s="29" t="inlineStr">
        <is>
          <t>Developing</t>
        </is>
      </c>
      <c r="R74" s="29" t="inlineStr">
        <is>
          <t>3 Apply</t>
        </is>
      </c>
      <c r="S74" s="29" t="inlineStr">
        <is>
          <t>2–4 yrs</t>
        </is>
      </c>
      <c r="T74" s="29" t="inlineStr">
        <is>
          <t>3–5 · 2–5</t>
        </is>
      </c>
      <c r="U74" s="29" t="inlineStr">
        <is>
          <t>Senior Associate</t>
        </is>
      </c>
      <c r="V74" s="29" t="inlineStr">
        <is>
          <t>DataTracks: Senior Associate · 2–5 yrs · Accenture Operations: L10 Senior Analyst · IRIS Vs Competitor Benchmark — operations roles: Senior Processor / QC</t>
        </is>
      </c>
      <c r="W74" s="29" t="inlineStr">
        <is>
          <t>COPC CX Standard · leadership &amp; planning, people, processes, performance; ISO 9001; Lean / Six Sigma</t>
        </is>
      </c>
      <c r="X74" s="29" t="inlineStr">
        <is>
          <t>Core 2 · Future 2 · Functional 3 · Leadership not scored</t>
        </is>
      </c>
      <c r="Y74" s="52" t="n">
        <v>24</v>
      </c>
      <c r="Z74" s="53" t="inlineStr">
        <is>
          <t>IRIS0110</t>
        </is>
      </c>
      <c r="AA74" s="53" t="inlineStr">
        <is>
          <t>Employee</t>
        </is>
      </c>
      <c r="AB74" s="53" t="inlineStr">
        <is>
          <t>Active</t>
        </is>
      </c>
      <c r="AC74" s="53" t="inlineStr">
        <is>
          <t>Aniket Manval</t>
        </is>
      </c>
      <c r="AD74" s="54" t="n">
        <v>39326</v>
      </c>
      <c r="AE74" s="53" t="inlineStr">
        <is>
          <t>Image Processing Specialist</t>
        </is>
      </c>
      <c r="AF74" s="53" t="inlineStr">
        <is>
          <t>Undergraduate</t>
        </is>
      </c>
      <c r="AG74" s="53" t="inlineStr">
        <is>
          <t>Shraddha Patil</t>
        </is>
      </c>
      <c r="AH74" s="53" t="inlineStr">
        <is>
          <t>N-7</t>
        </is>
      </c>
      <c r="AI74" s="53" t="inlineStr">
        <is>
          <t>Individual Contributor</t>
        </is>
      </c>
      <c r="AJ74" s="53" t="inlineStr">
        <is>
          <t>0 years, 4 months, 0 days</t>
        </is>
      </c>
      <c r="AK74" s="53" t="inlineStr">
        <is>
          <t>18 years, 11 months, 24 days</t>
        </is>
      </c>
      <c r="AL74" s="53" t="inlineStr">
        <is>
          <t>Consume</t>
        </is>
      </c>
      <c r="AM74" s="53" t="inlineStr">
        <is>
          <t>Consume</t>
        </is>
      </c>
      <c r="AN74" s="53" t="inlineStr">
        <is>
          <t>Digitizing</t>
        </is>
      </c>
      <c r="AO74" s="53" t="inlineStr">
        <is>
          <t>Digitizing Assisted services</t>
        </is>
      </c>
      <c r="AP74" s="53" t="inlineStr">
        <is>
          <t>No</t>
        </is>
      </c>
      <c r="AQ74" s="53" t="inlineStr">
        <is>
          <t>Professional Services</t>
        </is>
      </c>
      <c r="AR74" s="53" t="inlineStr">
        <is>
          <t>OCR/Image procesing</t>
        </is>
      </c>
      <c r="AS74" s="53" t="inlineStr">
        <is>
          <t>Non-technical</t>
        </is>
      </c>
      <c r="AT74" s="53" t="n">
        <v>20</v>
      </c>
      <c r="AU74" s="53" t="inlineStr">
        <is>
          <t>Covered</t>
        </is>
      </c>
      <c r="AV74" s="53" t="inlineStr">
        <is>
          <t>IRIS0110</t>
        </is>
      </c>
      <c r="AW74" s="53" t="inlineStr">
        <is>
          <t>Aniket Manval</t>
        </is>
      </c>
      <c r="AX74" s="53" t="inlineStr">
        <is>
          <t>Digitizing</t>
        </is>
      </c>
      <c r="AY74" s="53" t="inlineStr">
        <is>
          <t>Professional Services</t>
        </is>
      </c>
      <c r="AZ74" s="53" t="inlineStr">
        <is>
          <t>Regulatory Portal Operations</t>
        </is>
      </c>
      <c r="BA74" s="53" t="n"/>
      <c r="BB74" s="53" t="n"/>
      <c r="BC74" s="53" t="inlineStr">
        <is>
          <t>Employee</t>
        </is>
      </c>
      <c r="BD74" s="53" t="inlineStr">
        <is>
          <t>Shraddha Patil</t>
        </is>
      </c>
      <c r="BE74" s="53" t="inlineStr">
        <is>
          <t>Shraddha Patil</t>
        </is>
      </c>
      <c r="BF74" s="53" t="inlineStr">
        <is>
          <t>No</t>
        </is>
      </c>
      <c r="BG74" s="53" t="inlineStr">
        <is>
          <t>Image Processing Specialist</t>
        </is>
      </c>
      <c r="BH74" s="53" t="inlineStr">
        <is>
          <t>Sr Regulatory Portal Operations Specialist</t>
        </is>
      </c>
      <c r="BI74" s="53" t="inlineStr">
        <is>
          <t>Yes</t>
        </is>
      </c>
      <c r="BJ74" s="53" t="inlineStr">
        <is>
          <t>—</t>
        </is>
      </c>
      <c r="BK74" s="53" t="inlineStr">
        <is>
          <t>—</t>
        </is>
      </c>
      <c r="BL74" s="53" t="inlineStr">
        <is>
          <t>—</t>
        </is>
      </c>
      <c r="BM74" s="53" t="inlineStr">
        <is>
          <t>Not a manager</t>
        </is>
      </c>
      <c r="BN74" s="53" t="inlineStr">
        <is>
          <t>—</t>
        </is>
      </c>
      <c r="BO74" s="53" t="inlineStr">
        <is>
          <t>—</t>
        </is>
      </c>
      <c r="BP74" s="53" t="inlineStr">
        <is>
          <t>—</t>
        </is>
      </c>
      <c r="BQ74" s="53" t="inlineStr">
        <is>
          <t>Not a manager</t>
        </is>
      </c>
      <c r="BR74" s="53" t="inlineStr">
        <is>
          <t>—</t>
        </is>
      </c>
      <c r="BS74" s="53" t="inlineStr">
        <is>
          <t>L3 – Professional / Associate</t>
        </is>
      </c>
      <c r="BT74" s="53" t="inlineStr">
        <is>
          <t>L3</t>
        </is>
      </c>
      <c r="BU74" s="53" t="inlineStr">
        <is>
          <t>Matched from Title Hierarchy · new designation</t>
        </is>
      </c>
      <c r="BV74" s="53"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manage daily work in the absence of Shraddha.</t>
        </is>
      </c>
      <c r="BW74" s="53" t="n"/>
      <c r="BX74" s="53" t="inlineStr">
        <is>
          <t>Indian.</t>
        </is>
      </c>
      <c r="BY74" s="53" t="n"/>
      <c r="BZ74" s="53" t="inlineStr">
        <is>
          <t>IRIS0110</t>
        </is>
      </c>
      <c r="CA74" s="53" t="inlineStr">
        <is>
          <t>Employee</t>
        </is>
      </c>
      <c r="CB74" s="53" t="inlineStr">
        <is>
          <t>Active</t>
        </is>
      </c>
      <c r="CC74" s="53" t="inlineStr">
        <is>
          <t>Aniket Manval</t>
        </is>
      </c>
      <c r="CD74" s="54" t="n">
        <v>39326</v>
      </c>
      <c r="CE74" s="53" t="inlineStr">
        <is>
          <t>Image Processing Specialist</t>
        </is>
      </c>
      <c r="CF74" s="53" t="n"/>
      <c r="CG74" s="53" t="inlineStr">
        <is>
          <t>Professional Services</t>
        </is>
      </c>
      <c r="CH74" s="53" t="inlineStr">
        <is>
          <t>Digitization &amp; Image Processing</t>
        </is>
      </c>
      <c r="CI74" s="53" t="inlineStr">
        <is>
          <t>Image Processing Specialist</t>
        </is>
      </c>
      <c r="CJ74" s="53" t="inlineStr">
        <is>
          <t>L3 – Professional / Associate</t>
        </is>
      </c>
      <c r="CK74" s="53" t="inlineStr">
        <is>
          <t>Shraddha Patil</t>
        </is>
      </c>
      <c r="CL74" s="53" t="inlineStr">
        <is>
          <t>N-7</t>
        </is>
      </c>
      <c r="CM74" s="53" t="inlineStr">
        <is>
          <t>Individual Contributor</t>
        </is>
      </c>
      <c r="CN74" s="53" t="inlineStr">
        <is>
          <t>Consume</t>
        </is>
      </c>
      <c r="CO74" s="53" t="inlineStr">
        <is>
          <t>Digitizing</t>
        </is>
      </c>
      <c r="CP74" s="53" t="inlineStr">
        <is>
          <t>19 years, 1 months, 19 days</t>
        </is>
      </c>
      <c r="CQ74" s="53" t="inlineStr">
        <is>
          <t>Sr.Image Processing Specialist</t>
        </is>
      </c>
      <c r="CR74" s="53" t="n"/>
      <c r="CS74" s="53" t="n">
        <v>4</v>
      </c>
      <c r="CT74" s="53" t="inlineStr">
        <is>
          <t>High</t>
        </is>
      </c>
      <c r="CU74" s="53" t="inlineStr">
        <is>
          <t>Core Contributor</t>
        </is>
      </c>
      <c r="CV74" s="53" t="inlineStr">
        <is>
          <t>No</t>
        </is>
      </c>
      <c r="CW74" s="53" t="inlineStr">
        <is>
          <t>No</t>
        </is>
      </c>
      <c r="CX74" s="53" t="inlineStr">
        <is>
          <t>Yes</t>
        </is>
      </c>
      <c r="CY74" s="53" t="n"/>
      <c r="CZ74" s="53" t="n"/>
      <c r="DA74" s="53" t="n"/>
      <c r="DB74" s="53" t="inlineStr">
        <is>
          <t>Title to be standardized to : Sr.Image Processing Specialist</t>
        </is>
      </c>
      <c r="DC74" s="53" t="n"/>
      <c r="DD74" s="53" t="n"/>
      <c r="DE74" s="53" t="n"/>
      <c r="DF74" s="53" t="n"/>
      <c r="DG74" s="53" t="n"/>
      <c r="DH74" s="53" t="n"/>
      <c r="DI74" s="53" t="n"/>
      <c r="DJ74" s="53" t="n"/>
      <c r="DK74" s="53" t="n"/>
      <c r="DL74" s="53" t="n"/>
      <c r="DM74" s="53" t="n"/>
      <c r="DN74" s="53" t="n"/>
      <c r="DO74" s="53" t="n"/>
      <c r="DP74" s="53" t="n"/>
      <c r="DQ74" s="53" t="n"/>
      <c r="DR74" s="53" t="n"/>
      <c r="DS74" s="53" t="n"/>
      <c r="DT74" s="53" t="n"/>
      <c r="DU74" s="53" t="n"/>
      <c r="DV74" s="53" t="n"/>
      <c r="DW74" s="53" t="n"/>
      <c r="DX74" s="53" t="n"/>
      <c r="DY74" s="53" t="n"/>
      <c r="DZ74" s="53" t="n"/>
      <c r="EA74" s="53" t="n"/>
      <c r="EB74" s="53" t="n"/>
      <c r="EC74" s="53" t="n"/>
      <c r="ED74" s="53" t="n"/>
      <c r="EE74" s="53" t="n"/>
      <c r="EF74" s="53" t="n"/>
      <c r="EG74" s="53" t="n"/>
      <c r="EH74" s="53" t="n"/>
      <c r="EI74" s="53" t="n"/>
      <c r="EJ74" s="53" t="n"/>
      <c r="EK74" s="53" t="n"/>
      <c r="EL74" s="53" t="n"/>
      <c r="EM74" s="53" t="n"/>
      <c r="EN74" s="53" t="n"/>
      <c r="EO74" s="53" t="n"/>
      <c r="EP74" s="53" t="n"/>
      <c r="EQ74" s="53" t="n"/>
      <c r="ER74" s="53" t="n"/>
      <c r="ES74" s="53" t="n"/>
      <c r="ET74" s="53" t="n"/>
      <c r="EU74" s="53" t="n"/>
      <c r="EV74" s="53" t="n"/>
      <c r="EW74" s="52" t="n"/>
      <c r="EX74" s="53" t="inlineStr">
        <is>
          <t>• Role / sub-team: Digitizing — Image Processing Specialist.
• Core purpose: Uploading content on RBI website from client site.
• Decision-making autonomy: Can independently upload Content.
• Is this something only they do: QA/testing — verifies changes before release.
• What's different about this role: The process. It is very risky and confidential documents we have upload on RBI website.</t>
        </is>
      </c>
      <c r="EY74" s="53" t="inlineStr">
        <is>
          <t>• Key responsibilities include: Sensible documents upload.
• Personally accountable for: Choosing how to respond to unexpected challenges and mistakes.
• Impact if missed or done wrong: Usually easy to fix. I can revise it.
• How measured: Am i authorise to make this changes.and it has been validated and approved.</t>
        </is>
      </c>
      <c r="EZ74" s="53" t="inlineStr">
        <is>
          <t>• Current capabilities: Publishing Content.
• Tools / software used: Adobe Creative cloud.
• Workload: Rated a very heavy load · 5/5 in a typical week.
• Judgment/way of working: In an RBI website role, the difference is often judgment, discipline, and risk awareness, not just technical ability.</t>
        </is>
      </c>
      <c r="FA74" s="53" t="inlineStr">
        <is>
          <t>• Development priorities: I would also like opportunities to lead small teams.
• Learning and Development Need: RBI project experience. I wish i would be the Team leader for my project.</t>
        </is>
      </c>
      <c r="FB74" s="53" t="inlineStr">
        <is>
          <t>• Key challenges: Approval dependencies.
• Support required: Streamline approvals and automate repetitive, low-risk tasks while keeping strong audit and security controls.</t>
        </is>
      </c>
      <c r="FC74" s="53" t="n"/>
      <c r="FD74" s="53" t="n"/>
      <c r="FE74" s="57"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manage daily work in the absence of Shraddha.</t>
        </is>
      </c>
      <c r="FF74" s="56" t="n"/>
      <c r="FG74" s="56" t="n"/>
      <c r="FH74" s="56" t="n"/>
      <c r="FI74" s="56" t="n"/>
      <c r="FJ74" s="56" t="inlineStr">
        <is>
          <t>Received · manager annual</t>
        </is>
      </c>
      <c r="FK74" s="56" t="inlineStr">
        <is>
          <t>CARBON Mapping Master</t>
        </is>
      </c>
      <c r="FL74" s="56" t="n">
        <v>20</v>
      </c>
      <c r="FM74" s="56" t="inlineStr">
        <is>
          <t>• Role / sub-team: Digitizing — Image Processing Specialist.
• Core purpose: Uploading content on RBI website from client site.
• Decision-making autonomy: Can independently upload Content.
• Is this something only they do: QA/testing — verifies changes before release.
• What's different about this role: The process. It is very risky and confidential documents we have upload on RBI website.</t>
        </is>
      </c>
      <c r="FN74" s="56" t="inlineStr">
        <is>
          <t>• Key responsibilities include: Sensible documents upload.
• Personally accountable for: Choosing how to respond to unexpected challenges and mistakes.
• Impact if missed or done wrong: Usually easy to fix. I can revise it.
• How measured: Am i authorise to make this changes.and it has been validated and approved.</t>
        </is>
      </c>
      <c r="FO74" s="56" t="inlineStr">
        <is>
          <t>• Current capabilities: Publishing Content.
• Tools / software used: Adobe Creative cloud.
• Workload: Rated a very heavy load · 5/5 in a typical week.
• Judgment/way of working: In an RBI website role, the difference is often judgment, discipline, and risk awareness, not just technical ability.</t>
        </is>
      </c>
      <c r="FP74" s="56" t="inlineStr">
        <is>
          <t>• Development priorities: I would also like opportunities to lead small teams.
• Learning and Development Need: RBI project experience. I wish i would be the Team leader for my project.</t>
        </is>
      </c>
      <c r="FQ74" s="56" t="inlineStr">
        <is>
          <t>• Key challenges: Approval dependencies.
• Support required: Streamline approvals and automate repetitive, low-risk tasks while keeping strong audit and security controls.</t>
        </is>
      </c>
      <c r="FR74" s="56" t="inlineStr">
        <is>
          <t>Complexity: Evidence reads like A2: Uploads content to RBI website from client site; routine publishing task → moved down 0.5
Autonomy: Evidence reads like A2: Independently uploads content that has already been validated and approved → moved down 0.5
Accountability: Evidence reads like A2: Own uploads; says errors are 'usually easy to fix' by revising → moved down 0.5
Leadership: Evidence reads like A1: No guidance or leadership of others described → moved down 0.5
Business Impact: Moved +0.5: the survey / manager mapping marks it business-critical.</t>
        </is>
      </c>
      <c r="FS74" s="56"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FT74" s="56" t="inlineStr">
        <is>
          <t>Self-identified: Answered · no common topic
For the next role: Answered · no common topic</t>
        </is>
      </c>
      <c r="FU74" s="56" t="inlineStr">
        <is>
          <t>Per-person summary · CARBON Mapping Master</t>
        </is>
      </c>
    </row>
    <row r="75" ht="90" customHeight="1">
      <c r="A75" s="51" t="inlineStr">
        <is>
          <t>◂ Back</t>
        </is>
      </c>
      <c r="B75" s="29" t="inlineStr">
        <is>
          <t>Mapped</t>
        </is>
      </c>
      <c r="C75" s="28" t="inlineStr">
        <is>
          <t>Consume</t>
        </is>
      </c>
      <c r="D75" s="29" t="inlineStr">
        <is>
          <t>IRIS0170</t>
        </is>
      </c>
      <c r="E75" s="29" t="inlineStr">
        <is>
          <t>Manish Paithankar</t>
        </is>
      </c>
      <c r="F75" s="29" t="inlineStr">
        <is>
          <t>Digitizing</t>
        </is>
      </c>
      <c r="G75" s="29" t="inlineStr">
        <is>
          <t>Image Processing Specialist</t>
        </is>
      </c>
      <c r="H75" s="29" t="inlineStr">
        <is>
          <t>Senior Digitization Associate</t>
        </is>
      </c>
      <c r="I75" s="29" t="inlineStr">
        <is>
          <t>L3 – Professional / Associate</t>
        </is>
      </c>
      <c r="J75" s="29" t="inlineStr">
        <is>
          <t>A3</t>
        </is>
      </c>
      <c r="K75" s="29" t="inlineStr">
        <is>
          <t>▲ Up</t>
        </is>
      </c>
      <c r="L75" s="29" t="inlineStr">
        <is>
          <t>Data Operations &amp; Digitization</t>
        </is>
      </c>
      <c r="M75" s="29" t="inlineStr">
        <is>
          <t>Document Conversion, Formatting &amp; Web Publishing</t>
        </is>
      </c>
      <c r="N75" s="29" t="n"/>
      <c r="O75" s="29" t="n">
        <v>20</v>
      </c>
      <c r="P75" s="28" t="inlineStr">
        <is>
          <t>P2</t>
        </is>
      </c>
      <c r="Q75" s="29" t="inlineStr">
        <is>
          <t>Developing</t>
        </is>
      </c>
      <c r="R75" s="29" t="inlineStr">
        <is>
          <t>3 Apply</t>
        </is>
      </c>
      <c r="S75" s="29" t="inlineStr">
        <is>
          <t>2–4 yrs</t>
        </is>
      </c>
      <c r="T75" s="29" t="inlineStr">
        <is>
          <t>3–5 · 2–5</t>
        </is>
      </c>
      <c r="U75" s="29" t="inlineStr">
        <is>
          <t>Senior Associate</t>
        </is>
      </c>
      <c r="V75" s="29" t="inlineStr">
        <is>
          <t>DataTracks: Senior Associate · 2–5 yrs · Accenture Operations: L10 Senior Analyst · IRIS Vs Competitor Benchmark — operations roles: Senior Processor / QC</t>
        </is>
      </c>
      <c r="W75" s="29" t="inlineStr">
        <is>
          <t>COPC CX Standard · leadership &amp; planning, people, processes, performance; ISO 9001; Lean / Six Sigma</t>
        </is>
      </c>
      <c r="X75" s="29" t="inlineStr">
        <is>
          <t>Core 2 · Future 2 · Functional 3 · Leadership not scored</t>
        </is>
      </c>
      <c r="Y75" s="52" t="n">
        <v>35</v>
      </c>
      <c r="Z75" s="53" t="inlineStr">
        <is>
          <t>IRIS0170</t>
        </is>
      </c>
      <c r="AA75" s="53" t="inlineStr">
        <is>
          <t>Employee</t>
        </is>
      </c>
      <c r="AB75" s="53" t="inlineStr">
        <is>
          <t>Active</t>
        </is>
      </c>
      <c r="AC75" s="53" t="inlineStr">
        <is>
          <t>Manish Paithankar</t>
        </is>
      </c>
      <c r="AD75" s="54" t="n">
        <v>39470</v>
      </c>
      <c r="AE75" s="53" t="inlineStr">
        <is>
          <t>Image Processing Specialist</t>
        </is>
      </c>
      <c r="AF75" s="53" t="inlineStr">
        <is>
          <t>B.Com</t>
        </is>
      </c>
      <c r="AG75" s="53" t="inlineStr">
        <is>
          <t>Shraddha Patil</t>
        </is>
      </c>
      <c r="AH75" s="53" t="inlineStr">
        <is>
          <t>N-7</t>
        </is>
      </c>
      <c r="AI75" s="53" t="inlineStr">
        <is>
          <t>Individual Contributor</t>
        </is>
      </c>
      <c r="AJ75" s="53" t="inlineStr">
        <is>
          <t>0 years, 0 months, 0 days</t>
        </is>
      </c>
      <c r="AK75" s="53" t="inlineStr">
        <is>
          <t>18 years, 7 months, 2 days</t>
        </is>
      </c>
      <c r="AL75" s="53" t="inlineStr">
        <is>
          <t>Consume</t>
        </is>
      </c>
      <c r="AM75" s="53" t="inlineStr">
        <is>
          <t>Consume</t>
        </is>
      </c>
      <c r="AN75" s="53" t="inlineStr">
        <is>
          <t>Digitizing</t>
        </is>
      </c>
      <c r="AO75" s="53" t="inlineStr">
        <is>
          <t>Digitizing Assisted services</t>
        </is>
      </c>
      <c r="AP75" s="53" t="inlineStr">
        <is>
          <t>No</t>
        </is>
      </c>
      <c r="AQ75" s="53" t="inlineStr">
        <is>
          <t>Professional Services</t>
        </is>
      </c>
      <c r="AR75" s="53" t="inlineStr">
        <is>
          <t>OCR/Image procesing</t>
        </is>
      </c>
      <c r="AS75" s="53" t="inlineStr">
        <is>
          <t>Non-technical</t>
        </is>
      </c>
      <c r="AT75" s="53" t="n">
        <v>20</v>
      </c>
      <c r="AU75" s="53" t="inlineStr">
        <is>
          <t>Covered</t>
        </is>
      </c>
      <c r="AV75" s="53" t="inlineStr">
        <is>
          <t>IRIS0170</t>
        </is>
      </c>
      <c r="AW75" s="53" t="inlineStr">
        <is>
          <t>Manish Paithankar</t>
        </is>
      </c>
      <c r="AX75" s="53" t="inlineStr">
        <is>
          <t>Digitizing</t>
        </is>
      </c>
      <c r="AY75" s="53" t="inlineStr">
        <is>
          <t>Professional Services</t>
        </is>
      </c>
      <c r="AZ75" s="53" t="inlineStr">
        <is>
          <t>Regulatory Portal Operations</t>
        </is>
      </c>
      <c r="BA75" s="53" t="n"/>
      <c r="BB75" s="53" t="n"/>
      <c r="BC75" s="53" t="inlineStr">
        <is>
          <t>Employee</t>
        </is>
      </c>
      <c r="BD75" s="53" t="inlineStr">
        <is>
          <t>Shraddha Patil</t>
        </is>
      </c>
      <c r="BE75" s="53" t="inlineStr">
        <is>
          <t>Shraddha Patil</t>
        </is>
      </c>
      <c r="BF75" s="53" t="inlineStr">
        <is>
          <t>No</t>
        </is>
      </c>
      <c r="BG75" s="53" t="inlineStr">
        <is>
          <t>Image Processing Specialist</t>
        </is>
      </c>
      <c r="BH75" s="53" t="inlineStr">
        <is>
          <t>Sr Regulatory Portal Operations Specialist</t>
        </is>
      </c>
      <c r="BI75" s="53" t="inlineStr">
        <is>
          <t>Yes</t>
        </is>
      </c>
      <c r="BJ75" s="53" t="inlineStr">
        <is>
          <t>—</t>
        </is>
      </c>
      <c r="BK75" s="53" t="inlineStr">
        <is>
          <t>—</t>
        </is>
      </c>
      <c r="BL75" s="53" t="inlineStr">
        <is>
          <t>—</t>
        </is>
      </c>
      <c r="BM75" s="53" t="inlineStr">
        <is>
          <t>Not a manager</t>
        </is>
      </c>
      <c r="BN75" s="53" t="inlineStr">
        <is>
          <t>—</t>
        </is>
      </c>
      <c r="BO75" s="53" t="inlineStr">
        <is>
          <t>—</t>
        </is>
      </c>
      <c r="BP75" s="53" t="inlineStr">
        <is>
          <t>—</t>
        </is>
      </c>
      <c r="BQ75" s="53" t="inlineStr">
        <is>
          <t>Not a manager</t>
        </is>
      </c>
      <c r="BR75" s="53" t="inlineStr">
        <is>
          <t>—</t>
        </is>
      </c>
      <c r="BS75" s="53" t="inlineStr">
        <is>
          <t>L3 – Professional / Associate</t>
        </is>
      </c>
      <c r="BT75" s="53" t="inlineStr">
        <is>
          <t>L3</t>
        </is>
      </c>
      <c r="BU75" s="53" t="inlineStr">
        <is>
          <t>Matched from Title Hierarchy · new designation</t>
        </is>
      </c>
      <c r="BV75" s="53"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manage daily work in the absence of Shraddha.</t>
        </is>
      </c>
      <c r="BW75" s="53" t="n"/>
      <c r="BX75" s="53" t="inlineStr">
        <is>
          <t>No input received — attended/was listed as a respondent but did not provide answers to any of the survey questions.</t>
        </is>
      </c>
      <c r="BY75" s="53" t="n"/>
      <c r="BZ75" s="53" t="inlineStr">
        <is>
          <t>IRIS0170</t>
        </is>
      </c>
      <c r="CA75" s="53" t="inlineStr">
        <is>
          <t>Employee</t>
        </is>
      </c>
      <c r="CB75" s="53" t="inlineStr">
        <is>
          <t>Active</t>
        </is>
      </c>
      <c r="CC75" s="53" t="inlineStr">
        <is>
          <t>Manish Paithankar</t>
        </is>
      </c>
      <c r="CD75" s="54" t="n">
        <v>39470</v>
      </c>
      <c r="CE75" s="53" t="inlineStr">
        <is>
          <t>Image Processing Specialist</t>
        </is>
      </c>
      <c r="CF75" s="53" t="n"/>
      <c r="CG75" s="53" t="inlineStr">
        <is>
          <t>Professional Services</t>
        </is>
      </c>
      <c r="CH75" s="53" t="inlineStr">
        <is>
          <t>Digitization &amp; Image Processing</t>
        </is>
      </c>
      <c r="CI75" s="53" t="inlineStr">
        <is>
          <t>Image Processing Specialist</t>
        </is>
      </c>
      <c r="CJ75" s="53" t="inlineStr">
        <is>
          <t>L3 – Professional / Associate</t>
        </is>
      </c>
      <c r="CK75" s="53" t="inlineStr">
        <is>
          <t>Shraddha Patil</t>
        </is>
      </c>
      <c r="CL75" s="53" t="inlineStr">
        <is>
          <t>N-7</t>
        </is>
      </c>
      <c r="CM75" s="53" t="inlineStr">
        <is>
          <t>Individual Contributor</t>
        </is>
      </c>
      <c r="CN75" s="53" t="inlineStr">
        <is>
          <t>Consume</t>
        </is>
      </c>
      <c r="CO75" s="53" t="inlineStr">
        <is>
          <t>Digitizing</t>
        </is>
      </c>
      <c r="CP75" s="53" t="inlineStr">
        <is>
          <t>18 years, 4 months, 28 days</t>
        </is>
      </c>
      <c r="CQ75" s="53" t="inlineStr">
        <is>
          <t>Sr.Image Processing Specialist</t>
        </is>
      </c>
      <c r="CR75" s="53" t="n"/>
      <c r="CS75" s="53" t="n">
        <v>3</v>
      </c>
      <c r="CT75" s="53" t="inlineStr">
        <is>
          <t>Medium</t>
        </is>
      </c>
      <c r="CU75" s="53" t="inlineStr">
        <is>
          <t>Core Contributor</t>
        </is>
      </c>
      <c r="CV75" s="53" t="inlineStr">
        <is>
          <t>No</t>
        </is>
      </c>
      <c r="CW75" s="53" t="inlineStr">
        <is>
          <t>No</t>
        </is>
      </c>
      <c r="CX75" s="53" t="inlineStr">
        <is>
          <t>Yes</t>
        </is>
      </c>
      <c r="CY75" s="53" t="n"/>
      <c r="CZ75" s="53" t="n"/>
      <c r="DA75" s="53" t="n"/>
      <c r="DB75" s="53" t="inlineStr">
        <is>
          <t>Title to be standardized to : Sr.Image Processing Specialist</t>
        </is>
      </c>
      <c r="DC75" s="53" t="n"/>
      <c r="DD75" s="53" t="n"/>
      <c r="DE75" s="53" t="n"/>
      <c r="DF75" s="53" t="n"/>
      <c r="DG75" s="53" t="n"/>
      <c r="DH75" s="53" t="n"/>
      <c r="DI75" s="53" t="n"/>
      <c r="DJ75" s="53" t="n"/>
      <c r="DK75" s="53" t="n"/>
      <c r="DL75" s="53" t="n"/>
      <c r="DM75" s="53" t="n"/>
      <c r="DN75" s="53" t="n"/>
      <c r="DO75" s="53" t="n"/>
      <c r="DP75" s="53" t="n"/>
      <c r="DQ75" s="53" t="n"/>
      <c r="DR75" s="53" t="n"/>
      <c r="DS75" s="53" t="n"/>
      <c r="DT75" s="53" t="n"/>
      <c r="DU75" s="53" t="n"/>
      <c r="DV75" s="53" t="n"/>
      <c r="DW75" s="53" t="n"/>
      <c r="DX75" s="53" t="n"/>
      <c r="DY75" s="53" t="n"/>
      <c r="DZ75" s="53" t="n"/>
      <c r="EA75" s="53" t="n"/>
      <c r="EB75" s="53" t="n"/>
      <c r="EC75" s="53" t="n"/>
      <c r="ED75" s="53" t="n"/>
      <c r="EE75" s="53" t="n"/>
      <c r="EF75" s="53" t="n"/>
      <c r="EG75" s="53" t="n"/>
      <c r="EH75" s="53" t="n"/>
      <c r="EI75" s="53" t="n"/>
      <c r="EJ75" s="53" t="n"/>
      <c r="EK75" s="53" t="n"/>
      <c r="EL75" s="53" t="n"/>
      <c r="EM75" s="53" t="n"/>
      <c r="EN75" s="53" t="n"/>
      <c r="EO75" s="53" t="n"/>
      <c r="EP75" s="53" t="n"/>
      <c r="EQ75" s="53" t="n"/>
      <c r="ER75" s="53" t="n"/>
      <c r="ES75" s="53" t="n"/>
      <c r="ET75" s="53" t="n"/>
      <c r="EU75" s="53" t="n"/>
      <c r="EV75" s="53" t="n"/>
      <c r="EW75" s="52" t="n"/>
      <c r="EX75" s="53" t="inlineStr">
        <is>
          <t>• Role / sub-team: Digitizing — Image Processing Specialist.
• Core purpose: Input not given by Participant.
• Decision-making autonomy: Input not given by Participant.
• Is this something only they do: Input not given by Participant.</t>
        </is>
      </c>
      <c r="EY75" s="53" t="inlineStr">
        <is>
          <t>• Key responsibilities include: Input not given by Participant.
• Impact if missed or done wrong: Input not given by Participant.
• How measured: Input not given by Participant.</t>
        </is>
      </c>
      <c r="EZ75" s="53" t="inlineStr">
        <is>
          <t>• Current capabilities: Input not given by Participant.
• Tools / software used: Input not given by Participant.</t>
        </is>
      </c>
      <c r="FA75" s="53" t="inlineStr">
        <is>
          <t>• Development priorities: Input not given by Participant.</t>
        </is>
      </c>
      <c r="FB75" s="53" t="inlineStr">
        <is>
          <t>• Key challenges: Input not given by Participant.
• Support required: Input not given by Participant.</t>
        </is>
      </c>
      <c r="FC75" s="53" t="n"/>
      <c r="FD75" s="53" t="n"/>
      <c r="FE75" s="57"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manage daily work in the absence of Shraddha.</t>
        </is>
      </c>
      <c r="FF75" s="56" t="n"/>
      <c r="FG75" s="56" t="n"/>
      <c r="FH75" s="56" t="n"/>
      <c r="FI75" s="56" t="n"/>
      <c r="FJ75" s="56" t="inlineStr">
        <is>
          <t>Received · manager annual</t>
        </is>
      </c>
      <c r="FK75" s="56" t="inlineStr">
        <is>
          <t>CARBON Mapping Master</t>
        </is>
      </c>
      <c r="FL75" s="56" t="n">
        <v>20</v>
      </c>
      <c r="FM75" s="56" t="inlineStr">
        <is>
          <t>• Role / sub-team: Digitizing — Image Processing Specialist.
• Core purpose: Input not given by Participant.
• Decision-making autonomy: Input not given by Participant.
• Is this something only they do: Input not given by Participant.</t>
        </is>
      </c>
      <c r="FN75" s="56" t="inlineStr">
        <is>
          <t>• Key responsibilities include: Input not given by Participant.
• Impact if missed or done wrong: Input not given by Participant.
• How measured: Input not given by Participant.</t>
        </is>
      </c>
      <c r="FO75" s="56" t="inlineStr">
        <is>
          <t>• Current capabilities: Input not given by Participant.
• Tools / software used: Input not given by Participant.</t>
        </is>
      </c>
      <c r="FP75" s="56" t="inlineStr">
        <is>
          <t>• Development priorities: Input not given by Participant.</t>
        </is>
      </c>
      <c r="FQ75" s="56" t="inlineStr">
        <is>
          <t>• Key challenges: Input not given by Participant.
• Support required: Input not given by Participant.</t>
        </is>
      </c>
      <c r="FR75" s="56" t="inlineStr">
        <is>
          <t>Business Impact: Moved +0.5: the survey / manager mapping marks it business-critical.</t>
        </is>
      </c>
      <c r="FS75" s="56"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FT75" s="56" t="inlineStr">
        <is>
          <t>Self-identified: AI / automation · Leadership &amp; people management
For the next role: AI / automation · Leadership &amp; people management</t>
        </is>
      </c>
      <c r="FU75" s="56" t="inlineStr">
        <is>
          <t>Per-person summary · CARBON Mapping Master</t>
        </is>
      </c>
    </row>
    <row r="76" ht="90" customHeight="1">
      <c r="A76" s="51" t="inlineStr">
        <is>
          <t>◂ Back</t>
        </is>
      </c>
      <c r="B76" s="29" t="inlineStr">
        <is>
          <t>Mapped</t>
        </is>
      </c>
      <c r="C76" s="28" t="inlineStr">
        <is>
          <t>Consume</t>
        </is>
      </c>
      <c r="D76" s="29" t="inlineStr">
        <is>
          <t>IRIS1211</t>
        </is>
      </c>
      <c r="E76" s="29" t="inlineStr">
        <is>
          <t>Manoj Ravidas</t>
        </is>
      </c>
      <c r="F76" s="29" t="inlineStr">
        <is>
          <t>Digitizing</t>
        </is>
      </c>
      <c r="G76" s="29" t="inlineStr">
        <is>
          <t>Image Processing Specialist</t>
        </is>
      </c>
      <c r="H76" s="29" t="inlineStr">
        <is>
          <t>Senior Digitization Associate</t>
        </is>
      </c>
      <c r="I76" s="29" t="inlineStr">
        <is>
          <t>L3 – Professional / Associate</t>
        </is>
      </c>
      <c r="J76" s="29" t="inlineStr">
        <is>
          <t>A3</t>
        </is>
      </c>
      <c r="K76" s="29" t="inlineStr">
        <is>
          <t>▲ Up</t>
        </is>
      </c>
      <c r="L76" s="29" t="inlineStr">
        <is>
          <t>Data Operations &amp; Digitization</t>
        </is>
      </c>
      <c r="M76" s="29" t="inlineStr">
        <is>
          <t>Document Conversion, Formatting &amp; Web Publishing</t>
        </is>
      </c>
      <c r="N76" s="29" t="n"/>
      <c r="O76" s="29" t="n">
        <v>20</v>
      </c>
      <c r="P76" s="28" t="inlineStr">
        <is>
          <t>P2</t>
        </is>
      </c>
      <c r="Q76" s="29" t="inlineStr">
        <is>
          <t>Developing</t>
        </is>
      </c>
      <c r="R76" s="29" t="inlineStr">
        <is>
          <t>3 Apply</t>
        </is>
      </c>
      <c r="S76" s="29" t="inlineStr">
        <is>
          <t>2–4 yrs</t>
        </is>
      </c>
      <c r="T76" s="29" t="inlineStr">
        <is>
          <t>3–5 · 2–5</t>
        </is>
      </c>
      <c r="U76" s="29" t="inlineStr">
        <is>
          <t>Senior Associate</t>
        </is>
      </c>
      <c r="V76" s="29" t="inlineStr">
        <is>
          <t>DataTracks: Senior Associate · 2–5 yrs · Accenture Operations: L10 Senior Analyst · IRIS Vs Competitor Benchmark — operations roles: Senior Processor / QC</t>
        </is>
      </c>
      <c r="W76" s="29" t="inlineStr">
        <is>
          <t>COPC CX Standard · leadership &amp; planning, people, processes, performance; ISO 9001; Lean / Six Sigma</t>
        </is>
      </c>
      <c r="X76" s="29" t="inlineStr">
        <is>
          <t>Core 2 · Future 2 · Functional 3 · Leadership not scored</t>
        </is>
      </c>
      <c r="Y76" s="52" t="n">
        <v>56</v>
      </c>
      <c r="Z76" s="53" t="inlineStr">
        <is>
          <t>IRIS1211</t>
        </is>
      </c>
      <c r="AA76" s="53" t="inlineStr">
        <is>
          <t>Employee</t>
        </is>
      </c>
      <c r="AB76" s="53" t="inlineStr">
        <is>
          <t>Active</t>
        </is>
      </c>
      <c r="AC76" s="53" t="inlineStr">
        <is>
          <t>Manoj Ravidas</t>
        </is>
      </c>
      <c r="AD76" s="54" t="n">
        <v>40325</v>
      </c>
      <c r="AE76" s="53" t="inlineStr">
        <is>
          <t>Image Processing Specialist</t>
        </is>
      </c>
      <c r="AF76" s="53" t="inlineStr">
        <is>
          <t>B.Com</t>
        </is>
      </c>
      <c r="AG76" s="53" t="inlineStr">
        <is>
          <t>Shraddha Patil</t>
        </is>
      </c>
      <c r="AH76" s="53" t="inlineStr">
        <is>
          <t>N-7</t>
        </is>
      </c>
      <c r="AI76" s="53" t="inlineStr">
        <is>
          <t>Individual Contributor</t>
        </is>
      </c>
      <c r="AJ76" s="53" t="inlineStr">
        <is>
          <t>0 years, 0 months, 0 days</t>
        </is>
      </c>
      <c r="AK76" s="53" t="inlineStr">
        <is>
          <t>16 years, 2 months, 29 days</t>
        </is>
      </c>
      <c r="AL76" s="53" t="inlineStr">
        <is>
          <t>Consume</t>
        </is>
      </c>
      <c r="AM76" s="53" t="inlineStr">
        <is>
          <t>Consume</t>
        </is>
      </c>
      <c r="AN76" s="53" t="inlineStr">
        <is>
          <t>Digitizing</t>
        </is>
      </c>
      <c r="AO76" s="53" t="inlineStr">
        <is>
          <t>Digitizing Assisted services</t>
        </is>
      </c>
      <c r="AP76" s="53" t="inlineStr">
        <is>
          <t>No</t>
        </is>
      </c>
      <c r="AQ76" s="53" t="inlineStr">
        <is>
          <t>Professional Services</t>
        </is>
      </c>
      <c r="AR76" s="53" t="inlineStr">
        <is>
          <t>OCR/Image procesing</t>
        </is>
      </c>
      <c r="AS76" s="53" t="inlineStr">
        <is>
          <t>Non-technical</t>
        </is>
      </c>
      <c r="AT76" s="53" t="n">
        <v>20</v>
      </c>
      <c r="AU76" s="53" t="inlineStr">
        <is>
          <t>Covered</t>
        </is>
      </c>
      <c r="AV76" s="53" t="inlineStr">
        <is>
          <t>IRIS1211</t>
        </is>
      </c>
      <c r="AW76" s="53" t="inlineStr">
        <is>
          <t>Manoj Ravidas</t>
        </is>
      </c>
      <c r="AX76" s="53" t="inlineStr">
        <is>
          <t>Digitizing</t>
        </is>
      </c>
      <c r="AY76" s="53" t="inlineStr">
        <is>
          <t>Professional Services</t>
        </is>
      </c>
      <c r="AZ76" s="53" t="inlineStr">
        <is>
          <t>Regulatory Portal Operations</t>
        </is>
      </c>
      <c r="BA76" s="53" t="n"/>
      <c r="BB76" s="53" t="n"/>
      <c r="BC76" s="53" t="inlineStr">
        <is>
          <t>Employee</t>
        </is>
      </c>
      <c r="BD76" s="53" t="inlineStr">
        <is>
          <t>Shraddha Patil</t>
        </is>
      </c>
      <c r="BE76" s="53" t="inlineStr">
        <is>
          <t>Manoj Tiwari</t>
        </is>
      </c>
      <c r="BF76" s="53" t="inlineStr">
        <is>
          <t>No</t>
        </is>
      </c>
      <c r="BG76" s="53" t="inlineStr">
        <is>
          <t>Image Processing Specialist</t>
        </is>
      </c>
      <c r="BH76" s="53" t="inlineStr">
        <is>
          <t>Sr Regulatory Portal Operations Specialist</t>
        </is>
      </c>
      <c r="BI76" s="53" t="inlineStr">
        <is>
          <t>Yes</t>
        </is>
      </c>
      <c r="BJ76" s="53" t="inlineStr">
        <is>
          <t>—</t>
        </is>
      </c>
      <c r="BK76" s="53" t="inlineStr">
        <is>
          <t>—</t>
        </is>
      </c>
      <c r="BL76" s="53" t="inlineStr">
        <is>
          <t>—</t>
        </is>
      </c>
      <c r="BM76" s="53" t="inlineStr">
        <is>
          <t>Not a manager</t>
        </is>
      </c>
      <c r="BN76" s="53" t="inlineStr">
        <is>
          <t>—</t>
        </is>
      </c>
      <c r="BO76" s="53" t="inlineStr">
        <is>
          <t>—</t>
        </is>
      </c>
      <c r="BP76" s="53" t="inlineStr">
        <is>
          <t>—</t>
        </is>
      </c>
      <c r="BQ76" s="53" t="inlineStr">
        <is>
          <t>Not a manager</t>
        </is>
      </c>
      <c r="BR76" s="53" t="inlineStr">
        <is>
          <t>—</t>
        </is>
      </c>
      <c r="BS76" s="53" t="inlineStr">
        <is>
          <t>L3 – Professional / Associate</t>
        </is>
      </c>
      <c r="BT76" s="53" t="inlineStr">
        <is>
          <t>L3</t>
        </is>
      </c>
      <c r="BU76" s="53" t="inlineStr">
        <is>
          <t>Matched from Title Hierarchy · new designation</t>
        </is>
      </c>
      <c r="BV76" s="53"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manage daily work in the absence of Shraddha.</t>
        </is>
      </c>
      <c r="BW76" s="53" t="n"/>
      <c r="BX76" s="53" t="inlineStr">
        <is>
          <t>INDIA.</t>
        </is>
      </c>
      <c r="BY76" s="53" t="n"/>
      <c r="BZ76" s="53" t="inlineStr">
        <is>
          <t>IRIS1211</t>
        </is>
      </c>
      <c r="CA76" s="53" t="inlineStr">
        <is>
          <t>Employee</t>
        </is>
      </c>
      <c r="CB76" s="53" t="inlineStr">
        <is>
          <t>Active</t>
        </is>
      </c>
      <c r="CC76" s="53" t="inlineStr">
        <is>
          <t>Manoj Ravidas</t>
        </is>
      </c>
      <c r="CD76" s="54" t="n">
        <v>40325</v>
      </c>
      <c r="CE76" s="53" t="inlineStr">
        <is>
          <t>Image Processing Specialist</t>
        </is>
      </c>
      <c r="CF76" s="53" t="n"/>
      <c r="CG76" s="53" t="inlineStr">
        <is>
          <t>Professional Services</t>
        </is>
      </c>
      <c r="CH76" s="53" t="inlineStr">
        <is>
          <t>Digitization &amp; Image Processing</t>
        </is>
      </c>
      <c r="CI76" s="53" t="inlineStr">
        <is>
          <t>Image Processing Specialist</t>
        </is>
      </c>
      <c r="CJ76" s="53" t="inlineStr">
        <is>
          <t>L3 – Professional / Associate</t>
        </is>
      </c>
      <c r="CK76" s="53" t="inlineStr">
        <is>
          <t>Shraddha Patil</t>
        </is>
      </c>
      <c r="CL76" s="53" t="inlineStr">
        <is>
          <t>N-7</t>
        </is>
      </c>
      <c r="CM76" s="53" t="inlineStr">
        <is>
          <t>Individual Contributor</t>
        </is>
      </c>
      <c r="CN76" s="53" t="inlineStr">
        <is>
          <t>Consume</t>
        </is>
      </c>
      <c r="CO76" s="53" t="inlineStr">
        <is>
          <t>Digitizing</t>
        </is>
      </c>
      <c r="CP76" s="53" t="inlineStr">
        <is>
          <t>16 years, 0 months, 24 days</t>
        </is>
      </c>
      <c r="CQ76" s="53" t="inlineStr">
        <is>
          <t>Sr.Image Processing Specialist</t>
        </is>
      </c>
      <c r="CR76" s="53" t="n"/>
      <c r="CS76" s="53" t="n">
        <v>4</v>
      </c>
      <c r="CT76" s="53" t="inlineStr">
        <is>
          <t>High</t>
        </is>
      </c>
      <c r="CU76" s="53" t="inlineStr">
        <is>
          <t>Core Contributor</t>
        </is>
      </c>
      <c r="CV76" s="53" t="inlineStr">
        <is>
          <t>No</t>
        </is>
      </c>
      <c r="CW76" s="53" t="inlineStr">
        <is>
          <t>No</t>
        </is>
      </c>
      <c r="CX76" s="53" t="inlineStr">
        <is>
          <t>Yes</t>
        </is>
      </c>
      <c r="CY76" s="53" t="n"/>
      <c r="CZ76" s="53" t="n"/>
      <c r="DA76" s="53" t="n"/>
      <c r="DB76" s="53" t="inlineStr">
        <is>
          <t>Title to be standardized to : Sr.Image Processing Specialist</t>
        </is>
      </c>
      <c r="DC76" s="53" t="n"/>
      <c r="DD76" s="53" t="n"/>
      <c r="DE76" s="53" t="n"/>
      <c r="DF76" s="53" t="n"/>
      <c r="DG76" s="53" t="n"/>
      <c r="DH76" s="53" t="n"/>
      <c r="DI76" s="53" t="n"/>
      <c r="DJ76" s="53" t="n"/>
      <c r="DK76" s="53" t="n"/>
      <c r="DL76" s="53" t="n"/>
      <c r="DM76" s="53" t="n"/>
      <c r="DN76" s="53" t="n"/>
      <c r="DO76" s="53" t="n"/>
      <c r="DP76" s="53" t="n"/>
      <c r="DQ76" s="53" t="n"/>
      <c r="DR76" s="53" t="n"/>
      <c r="DS76" s="53" t="n"/>
      <c r="DT76" s="53" t="n"/>
      <c r="DU76" s="53" t="n"/>
      <c r="DV76" s="53" t="n"/>
      <c r="DW76" s="53" t="n"/>
      <c r="DX76" s="53" t="n"/>
      <c r="DY76" s="53" t="n"/>
      <c r="DZ76" s="53" t="n"/>
      <c r="EA76" s="53" t="n"/>
      <c r="EB76" s="53" t="n"/>
      <c r="EC76" s="53" t="n"/>
      <c r="ED76" s="53" t="n"/>
      <c r="EE76" s="53" t="n"/>
      <c r="EF76" s="53" t="n"/>
      <c r="EG76" s="53" t="n"/>
      <c r="EH76" s="53" t="n"/>
      <c r="EI76" s="53" t="n"/>
      <c r="EJ76" s="53" t="n"/>
      <c r="EK76" s="53" t="n"/>
      <c r="EL76" s="53" t="n"/>
      <c r="EM76" s="53" t="n"/>
      <c r="EN76" s="53" t="n"/>
      <c r="EO76" s="53" t="n"/>
      <c r="EP76" s="53" t="n"/>
      <c r="EQ76" s="53" t="n"/>
      <c r="ER76" s="53" t="n"/>
      <c r="ES76" s="53" t="n"/>
      <c r="ET76" s="53" t="n"/>
      <c r="EU76" s="53" t="n"/>
      <c r="EV76" s="53" t="n"/>
      <c r="EW76" s="52" t="n"/>
      <c r="EX76" s="53" t="inlineStr">
        <is>
          <t>• Role / sub-team: Digitizing — Image Processing Specialist.
• Core purpose: Delivering results, solving problems, and supporting the overall success of the organization.
• Decision-making autonomy: Can independently hard work.
• Is this something only they do: Everyone Mainten and Upload File in RBI Website.
• What's different about this role: RBI client specific requirements for maintenance rbi Website.</t>
        </is>
      </c>
      <c r="EY76" s="53" t="inlineStr">
        <is>
          <t>• Key responsibilities include: Ensure Data Accuracy.
• Personally accountable for: Ensuring 100% accuracy and timely delivery.
• Impact if missed or done wrong: Impact the overall quality and timely delivery of work.
• How measured: Same as Everyone.</t>
        </is>
      </c>
      <c r="EZ76" s="53" t="inlineStr">
        <is>
          <t>• Current capabilities: Knowledge adobe cloud.
• Tools / software used: Adobe cloud tools.
• Workload: Rated a heavy load · 4/5 in a typical week.
• Judgment/way of working: Careful for uploading files in RBI Website.</t>
        </is>
      </c>
      <c r="FA76" s="53" t="inlineStr">
        <is>
          <t>• Development priorities: Learn AI and Cloud.
• Learning and Development Need: Support Senior member. I could have worked more efficiently and avoided mistakes.
• Role evolving toward: Add additional work for mainten RBI Website.</t>
        </is>
      </c>
      <c r="FB76" s="53" t="inlineStr">
        <is>
          <t>• Key challenges: Heavy work load.
• Support required: Efficient work Management.</t>
        </is>
      </c>
      <c r="FC76" s="53" t="n"/>
      <c r="FD76" s="53" t="n"/>
      <c r="FE76" s="57"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manage daily work in the absence of Shraddha.</t>
        </is>
      </c>
      <c r="FF76" s="56" t="n"/>
      <c r="FG76" s="56" t="n"/>
      <c r="FH76" s="56" t="n"/>
      <c r="FI76" s="56" t="n"/>
      <c r="FJ76" s="56" t="inlineStr">
        <is>
          <t>Received · manager annual</t>
        </is>
      </c>
      <c r="FK76" s="56" t="inlineStr">
        <is>
          <t>CARBON Mapping Master</t>
        </is>
      </c>
      <c r="FL76" s="56" t="n">
        <v>20</v>
      </c>
      <c r="FM76" s="56" t="inlineStr">
        <is>
          <t>• Role / sub-team: Digitizing — Image Processing Specialist.
• Core purpose: Delivering results, solving problems, and supporting the overall success of the organization.
• Decision-making autonomy: Can independently hard work.
• Is this something only they do: Everyone Mainten and Upload File in RBI Website.
• What's different about this role: RBI client specific requirements for maintenance rbi Website.</t>
        </is>
      </c>
      <c r="FN76" s="56" t="inlineStr">
        <is>
          <t>• Key responsibilities include: Ensure Data Accuracy.
• Personally accountable for: Ensuring 100% accuracy and timely delivery.
• Impact if missed or done wrong: Impact the overall quality and timely delivery of work.
• How measured: Same as Everyone.</t>
        </is>
      </c>
      <c r="FO76" s="56" t="inlineStr">
        <is>
          <t>• Current capabilities: Knowledge adobe cloud.
• Tools / software used: Adobe cloud tools.
• Workload: Rated a heavy load · 4/5 in a typical week.
• Judgment/way of working: Careful for uploading files in RBI Website.</t>
        </is>
      </c>
      <c r="FP76" s="56" t="inlineStr">
        <is>
          <t>• Development priorities: Learn AI and Cloud.
• Learning and Development Need: Support Senior member. I could have worked more efficiently and avoided mistakes.
• Role evolving toward: Add additional work for mainten RBI Website.</t>
        </is>
      </c>
      <c r="FQ76" s="56" t="inlineStr">
        <is>
          <t>• Key challenges: Heavy work load.
• Support required: Efficient work Management.</t>
        </is>
      </c>
      <c r="FR76" s="56" t="inlineStr">
        <is>
          <t>Business Impact: Moved +0.5: the survey / manager mapping marks it business-critical.</t>
        </is>
      </c>
      <c r="FS76" s="56"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FT76" s="56" t="inlineStr">
        <is>
          <t>Self-identified: AI / automation · Technical depth &amp; architecture
For the next role: AI / automation · Technical depth &amp; architecture</t>
        </is>
      </c>
      <c r="FU76" s="56" t="inlineStr">
        <is>
          <t>Per-person summary · CARBON Mapping Master</t>
        </is>
      </c>
    </row>
    <row r="77" ht="90" customHeight="1">
      <c r="A77" s="51" t="inlineStr">
        <is>
          <t>◂ Back</t>
        </is>
      </c>
      <c r="B77" s="29" t="inlineStr">
        <is>
          <t>Mapped</t>
        </is>
      </c>
      <c r="C77" s="28" t="inlineStr">
        <is>
          <t>Consume</t>
        </is>
      </c>
      <c r="D77" s="29" t="inlineStr">
        <is>
          <t>IRIS1213</t>
        </is>
      </c>
      <c r="E77" s="29" t="inlineStr">
        <is>
          <t>Manoj Tiwari</t>
        </is>
      </c>
      <c r="F77" s="29" t="inlineStr">
        <is>
          <t>Digitizing</t>
        </is>
      </c>
      <c r="G77" s="29" t="inlineStr">
        <is>
          <t>Image Processing Specialist</t>
        </is>
      </c>
      <c r="H77" s="29" t="inlineStr">
        <is>
          <t>Senior Digitization Associate</t>
        </is>
      </c>
      <c r="I77" s="29" t="inlineStr">
        <is>
          <t>L3 – Professional / Associate</t>
        </is>
      </c>
      <c r="J77" s="29" t="inlineStr">
        <is>
          <t>A3</t>
        </is>
      </c>
      <c r="K77" s="29" t="inlineStr">
        <is>
          <t>▲ Up</t>
        </is>
      </c>
      <c r="L77" s="29" t="inlineStr">
        <is>
          <t>Data Operations &amp; Digitization</t>
        </is>
      </c>
      <c r="M77" s="29" t="inlineStr">
        <is>
          <t>Document Conversion, Formatting &amp; Web Publishing</t>
        </is>
      </c>
      <c r="N77" s="29" t="n"/>
      <c r="O77" s="29" t="n">
        <v>20</v>
      </c>
      <c r="P77" s="28" t="inlineStr">
        <is>
          <t>P2</t>
        </is>
      </c>
      <c r="Q77" s="29" t="inlineStr">
        <is>
          <t>Developing</t>
        </is>
      </c>
      <c r="R77" s="29" t="inlineStr">
        <is>
          <t>3 Apply</t>
        </is>
      </c>
      <c r="S77" s="29" t="inlineStr">
        <is>
          <t>2–4 yrs</t>
        </is>
      </c>
      <c r="T77" s="29" t="inlineStr">
        <is>
          <t>3–5 · 2–5</t>
        </is>
      </c>
      <c r="U77" s="29" t="inlineStr">
        <is>
          <t>Senior Associate</t>
        </is>
      </c>
      <c r="V77" s="29" t="inlineStr">
        <is>
          <t>DataTracks: Senior Associate · 2–5 yrs · Accenture Operations: L10 Senior Analyst · IRIS Vs Competitor Benchmark — operations roles: Senior Processor / QC</t>
        </is>
      </c>
      <c r="W77" s="29" t="inlineStr">
        <is>
          <t>COPC CX Standard · leadership &amp; planning, people, processes, performance; ISO 9001; Lean / Six Sigma</t>
        </is>
      </c>
      <c r="X77" s="29" t="inlineStr">
        <is>
          <t>Core 2 · Future 2 · Functional 3 · Leadership not scored</t>
        </is>
      </c>
      <c r="Y77" s="52" t="n">
        <v>69</v>
      </c>
      <c r="Z77" s="53" t="inlineStr">
        <is>
          <t>IRIS1213</t>
        </is>
      </c>
      <c r="AA77" s="53" t="inlineStr">
        <is>
          <t>Employee</t>
        </is>
      </c>
      <c r="AB77" s="53" t="inlineStr">
        <is>
          <t>Active</t>
        </is>
      </c>
      <c r="AC77" s="53" t="inlineStr">
        <is>
          <t>Manoj Tiwari</t>
        </is>
      </c>
      <c r="AD77" s="54" t="n">
        <v>40567</v>
      </c>
      <c r="AE77" s="53" t="inlineStr">
        <is>
          <t>Image Processing Specialist</t>
        </is>
      </c>
      <c r="AF77" s="53" t="inlineStr">
        <is>
          <t>B.Com</t>
        </is>
      </c>
      <c r="AG77" s="53" t="inlineStr">
        <is>
          <t>Shraddha Patil</t>
        </is>
      </c>
      <c r="AH77" s="53" t="inlineStr">
        <is>
          <t>N-7</t>
        </is>
      </c>
      <c r="AI77" s="53" t="inlineStr">
        <is>
          <t>Individual Contributor</t>
        </is>
      </c>
      <c r="AJ77" s="53" t="inlineStr">
        <is>
          <t>1 years, 0 months, 0 days</t>
        </is>
      </c>
      <c r="AK77" s="53" t="inlineStr">
        <is>
          <t>15 years, 7 months, 1 days</t>
        </is>
      </c>
      <c r="AL77" s="53" t="inlineStr">
        <is>
          <t>Consume</t>
        </is>
      </c>
      <c r="AM77" s="53" t="inlineStr">
        <is>
          <t>Consume</t>
        </is>
      </c>
      <c r="AN77" s="53" t="inlineStr">
        <is>
          <t>Digitizing</t>
        </is>
      </c>
      <c r="AO77" s="53" t="inlineStr">
        <is>
          <t>Digitizing Assisted services</t>
        </is>
      </c>
      <c r="AP77" s="53" t="inlineStr">
        <is>
          <t>No</t>
        </is>
      </c>
      <c r="AQ77" s="53" t="inlineStr">
        <is>
          <t>Professional Services</t>
        </is>
      </c>
      <c r="AR77" s="53" t="inlineStr">
        <is>
          <t>OCR/Image procesing</t>
        </is>
      </c>
      <c r="AS77" s="53" t="inlineStr">
        <is>
          <t>Non-technical</t>
        </is>
      </c>
      <c r="AT77" s="53" t="n">
        <v>20</v>
      </c>
      <c r="AU77" s="53" t="inlineStr">
        <is>
          <t>Covered</t>
        </is>
      </c>
      <c r="AV77" s="53" t="inlineStr">
        <is>
          <t>IRIS1213</t>
        </is>
      </c>
      <c r="AW77" s="53" t="inlineStr">
        <is>
          <t>Manoj Tiwari</t>
        </is>
      </c>
      <c r="AX77" s="53" t="inlineStr">
        <is>
          <t>Digitizing</t>
        </is>
      </c>
      <c r="AY77" s="53" t="inlineStr">
        <is>
          <t>Professional Services</t>
        </is>
      </c>
      <c r="AZ77" s="53" t="inlineStr">
        <is>
          <t>Regulatory Portal Operations</t>
        </is>
      </c>
      <c r="BA77" s="53" t="n"/>
      <c r="BB77" s="53" t="n"/>
      <c r="BC77" s="53" t="inlineStr">
        <is>
          <t>Employee</t>
        </is>
      </c>
      <c r="BD77" s="53" t="inlineStr">
        <is>
          <t>Shraddha Patil</t>
        </is>
      </c>
      <c r="BE77" s="53" t="inlineStr">
        <is>
          <t>Shraddha Patil</t>
        </is>
      </c>
      <c r="BF77" s="53" t="inlineStr">
        <is>
          <t>No</t>
        </is>
      </c>
      <c r="BG77" s="53" t="inlineStr">
        <is>
          <t>Image Processing Specialist</t>
        </is>
      </c>
      <c r="BH77" s="53" t="inlineStr">
        <is>
          <t>Sr Regulatory Portal Operations Specialist</t>
        </is>
      </c>
      <c r="BI77" s="53" t="inlineStr">
        <is>
          <t>Yes</t>
        </is>
      </c>
      <c r="BJ77" s="53" t="inlineStr">
        <is>
          <t>—</t>
        </is>
      </c>
      <c r="BK77" s="53" t="inlineStr">
        <is>
          <t>—</t>
        </is>
      </c>
      <c r="BL77" s="53" t="inlineStr">
        <is>
          <t>—</t>
        </is>
      </c>
      <c r="BM77" s="53" t="inlineStr">
        <is>
          <t>Not a manager</t>
        </is>
      </c>
      <c r="BN77" s="53" t="inlineStr">
        <is>
          <t>—</t>
        </is>
      </c>
      <c r="BO77" s="53" t="inlineStr">
        <is>
          <t>—</t>
        </is>
      </c>
      <c r="BP77" s="53" t="inlineStr">
        <is>
          <t>—</t>
        </is>
      </c>
      <c r="BQ77" s="53" t="inlineStr">
        <is>
          <t>Not a manager</t>
        </is>
      </c>
      <c r="BR77" s="53" t="inlineStr">
        <is>
          <t>—</t>
        </is>
      </c>
      <c r="BS77" s="53" t="inlineStr">
        <is>
          <t>L3 – Professional / Associate</t>
        </is>
      </c>
      <c r="BT77" s="53" t="inlineStr">
        <is>
          <t>L3</t>
        </is>
      </c>
      <c r="BU77" s="53" t="inlineStr">
        <is>
          <t>Matched from Title Hierarchy · new designation</t>
        </is>
      </c>
      <c r="BV77" s="53"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Interaction with client should be increased.
6. Should take managing team decisions such as asking team to report early, stay late in case of workload</t>
        </is>
      </c>
      <c r="BW77" s="53" t="n"/>
      <c r="BX77" s="53" t="inlineStr">
        <is>
          <t>RBI Belapur Data Center; RBI Data Publishing.</t>
        </is>
      </c>
      <c r="BY77" s="53" t="n"/>
      <c r="BZ77" s="53" t="inlineStr">
        <is>
          <t>IRIS1213</t>
        </is>
      </c>
      <c r="CA77" s="53" t="inlineStr">
        <is>
          <t>Employee</t>
        </is>
      </c>
      <c r="CB77" s="53" t="inlineStr">
        <is>
          <t>Active</t>
        </is>
      </c>
      <c r="CC77" s="53" t="inlineStr">
        <is>
          <t>Manoj Tiwari</t>
        </is>
      </c>
      <c r="CD77" s="54" t="n">
        <v>40567</v>
      </c>
      <c r="CE77" s="53" t="inlineStr">
        <is>
          <t>Image Processing Specialist</t>
        </is>
      </c>
      <c r="CF77" s="53" t="n"/>
      <c r="CG77" s="53" t="inlineStr">
        <is>
          <t>Professional Services</t>
        </is>
      </c>
      <c r="CH77" s="53" t="inlineStr">
        <is>
          <t>Digitization &amp; Image Processing</t>
        </is>
      </c>
      <c r="CI77" s="53" t="inlineStr">
        <is>
          <t>Image Processing Specialist</t>
        </is>
      </c>
      <c r="CJ77" s="53" t="inlineStr">
        <is>
          <t>L3 – Professional / Associate</t>
        </is>
      </c>
      <c r="CK77" s="53" t="inlineStr">
        <is>
          <t>Shraddha Patil</t>
        </is>
      </c>
      <c r="CL77" s="53" t="inlineStr">
        <is>
          <t>N-7</t>
        </is>
      </c>
      <c r="CM77" s="53" t="inlineStr">
        <is>
          <t>Individual Contributor</t>
        </is>
      </c>
      <c r="CN77" s="53" t="inlineStr">
        <is>
          <t>Consume</t>
        </is>
      </c>
      <c r="CO77" s="53" t="inlineStr">
        <is>
          <t>Digitizing</t>
        </is>
      </c>
      <c r="CP77" s="53" t="inlineStr">
        <is>
          <t>16 years, 4 months, 27 days</t>
        </is>
      </c>
      <c r="CQ77" s="53" t="inlineStr">
        <is>
          <t>Sr.Image Processing Specialist</t>
        </is>
      </c>
      <c r="CR77" s="53" t="n"/>
      <c r="CS77" s="53" t="n">
        <v>4</v>
      </c>
      <c r="CT77" s="53" t="inlineStr">
        <is>
          <t>Medium</t>
        </is>
      </c>
      <c r="CU77" s="53" t="inlineStr">
        <is>
          <t>Core Contributor</t>
        </is>
      </c>
      <c r="CV77" s="53" t="inlineStr">
        <is>
          <t>No</t>
        </is>
      </c>
      <c r="CW77" s="53" t="inlineStr">
        <is>
          <t>No</t>
        </is>
      </c>
      <c r="CX77" s="53" t="inlineStr">
        <is>
          <t>Yes</t>
        </is>
      </c>
      <c r="CY77" s="53" t="n"/>
      <c r="CZ77" s="53" t="n"/>
      <c r="DA77" s="53" t="n"/>
      <c r="DB77" s="53" t="inlineStr">
        <is>
          <t>Title to be standardized to : Sr.Image Processing Specialist</t>
        </is>
      </c>
      <c r="DC77" s="53" t="n"/>
      <c r="DD77" s="53" t="n"/>
      <c r="DE77" s="53" t="n"/>
      <c r="DF77" s="53" t="n"/>
      <c r="DG77" s="53" t="n"/>
      <c r="DH77" s="53" t="n"/>
      <c r="DI77" s="53" t="n"/>
      <c r="DJ77" s="53" t="n"/>
      <c r="DK77" s="53" t="n"/>
      <c r="DL77" s="53" t="n"/>
      <c r="DM77" s="53" t="n"/>
      <c r="DN77" s="53" t="n"/>
      <c r="DO77" s="53" t="n"/>
      <c r="DP77" s="53" t="n"/>
      <c r="DQ77" s="53" t="n"/>
      <c r="DR77" s="53" t="n"/>
      <c r="DS77" s="53" t="n"/>
      <c r="DT77" s="53" t="n"/>
      <c r="DU77" s="53" t="n"/>
      <c r="DV77" s="53" t="n"/>
      <c r="DW77" s="53" t="n"/>
      <c r="DX77" s="53" t="n"/>
      <c r="DY77" s="53" t="n"/>
      <c r="DZ77" s="53" t="n"/>
      <c r="EA77" s="53" t="n"/>
      <c r="EB77" s="53" t="n"/>
      <c r="EC77" s="53" t="n"/>
      <c r="ED77" s="53" t="n"/>
      <c r="EE77" s="53" t="n"/>
      <c r="EF77" s="53" t="n"/>
      <c r="EG77" s="53" t="n"/>
      <c r="EH77" s="53" t="n"/>
      <c r="EI77" s="53" t="n"/>
      <c r="EJ77" s="53" t="n"/>
      <c r="EK77" s="53" t="n"/>
      <c r="EL77" s="53" t="n"/>
      <c r="EM77" s="53" t="n"/>
      <c r="EN77" s="53" t="n"/>
      <c r="EO77" s="53" t="n"/>
      <c r="EP77" s="53" t="n"/>
      <c r="EQ77" s="53" t="n"/>
      <c r="ER77" s="53" t="n"/>
      <c r="ES77" s="53" t="n"/>
      <c r="ET77" s="53" t="n"/>
      <c r="EU77" s="53" t="n"/>
      <c r="EV77" s="53" t="n"/>
      <c r="EW77" s="52" t="n"/>
      <c r="EX77" s="53" t="inlineStr">
        <is>
          <t>• Role / sub-team: Digitizing — Image Processing Specialist.
• Core purpose: My purpose is uploading and updating content on RBI Website.
• Decision-making autonomy: Can independently i verify data accuracy; I check data completeness; I validate HTML content; I upload approved data.
• Is this something only they do: This is a shared responsibility, with a few team members handling QC, HTML conversion, RBI website uploads, updates, and verification.
• What's different about this role: The work involves regulatory data, strict QC, HTML validation, and RBI website publishing. Accuracy is critical because errors can affect publicly available information and require prompt correction.</t>
        </is>
      </c>
      <c r="EY77" s="53" t="inlineStr">
        <is>
          <t>• Key responsibilities include: Data Quality Checking; HTML Validation; Website Data Upload; Website Data Updates; Post-Upload Verification.
• Personally accountable for: I am accountable for 100% QC of assigned data, accurate RBI website uploads/updates, timely completion, and post-upload verification. I own and correct any errors arising from my work.
• Impact if missed or done wrong: Incorrect data may get published. Website information may become inaccurate. Errors may require rework and correction. Updates may be delayed.
• How measured: My KPIs are measured on accuracy and timeliness, with specific focus on QC accuracy, correct website updates, and post-upload verification.</t>
        </is>
      </c>
      <c r="EZ77" s="53" t="inlineStr">
        <is>
          <t>• Current capabilities: Data QC Validation; HTML Conversion; Website Updating; Data Verification; Error Identification.
• Tools / software used: HTML 5 CSS bootstrap.
• Workload: Rated a very heavy load · 5/5 in a typical week.
• Judgment/way of working: Doing this well requires attention to detail, careful verification before publishing, proactive error detection, adherence to RBI guidelines, and taking ownership of issues.</t>
        </is>
      </c>
      <c r="FA77" s="53" t="inlineStr">
        <is>
          <t>• Development priorities: I would need exposure end-to-end website publishing, leadership, team coordination, issue resolution, task allocation, and greater responsibility for process management.
• Learning and Development Need: Senior team mentoring. I wish I had known the complete QC process, RBI website workflow, data dependencies, and escalation process earlier to work more efficiently and confidently.
• Role evolving toward: The role is changing with new data needs, website updates, more QC work, and changing priorities.</t>
        </is>
      </c>
      <c r="FB77" s="53" t="inlineStr">
        <is>
          <t>• Key challenges: Data clarification; Technical issues.
• Support required: Clearer processes, timely data availability, better coordination, and quicker issue resolution.</t>
        </is>
      </c>
      <c r="FC77" s="53" t="n"/>
      <c r="FD77" s="53" t="n"/>
      <c r="FE77" s="57"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Interaction with client should be increased.
6. Should take managing team decisions such as asking team to report early, stay late in case of workload</t>
        </is>
      </c>
      <c r="FF77" s="56" t="n"/>
      <c r="FG77" s="56" t="n"/>
      <c r="FH77" s="56" t="n"/>
      <c r="FI77" s="56" t="n"/>
      <c r="FJ77" s="56" t="inlineStr">
        <is>
          <t>Received · manager annual</t>
        </is>
      </c>
      <c r="FK77" s="56" t="inlineStr">
        <is>
          <t>CARBON Mapping Master</t>
        </is>
      </c>
      <c r="FL77" s="56" t="n">
        <v>20</v>
      </c>
      <c r="FM77" s="56" t="inlineStr">
        <is>
          <t>• Role / sub-team: Digitizing — Image Processing Specialist.
• Core purpose: My purpose is uploading and updating content on RBI Website.
• Decision-making autonomy: Can independently i verify data accuracy; I check data completeness; I validate HTML content; I upload approved data.
• Is this something only they do: This is a shared responsibility, with a few team members handling QC, HTML conversion, RBI website uploads, updates, and verification.
• What's different about this role: The work involves regulatory data, strict QC, HTML validation, and RBI website publishing. Accuracy is critical because errors can affect publicly available information and require prompt correction.</t>
        </is>
      </c>
      <c r="FN77" s="56" t="inlineStr">
        <is>
          <t>• Key responsibilities include: Data Quality Checking; HTML Validation; Website Data Upload; Website Data Updates; Post-Upload Verification.
• Personally accountable for: I am accountable for 100% QC of assigned data, accurate RBI website uploads/updates, timely completion, and post-upload verification. I own and correct any errors arising from my work.
• Impact if missed or done wrong: Incorrect data may get published. Website information may become inaccurate. Errors may require rework and correction. Updates may be delayed.
• How measured: My KPIs are measured on accuracy and timeliness, with specific focus on QC accuracy, correct website updates, and post-upload verification.</t>
        </is>
      </c>
      <c r="FO77" s="56" t="inlineStr">
        <is>
          <t>• Current capabilities: Data QC Validation; HTML Conversion; Website Updating; Data Verification; Error Identification.
• Tools / software used: HTML 5 CSS bootstrap.
• Workload: Rated a very heavy load · 5/5 in a typical week.
• Judgment/way of working: Doing this well requires attention to detail, careful verification before publishing, proactive error detection, adherence to RBI guidelines, and taking ownership of issues.</t>
        </is>
      </c>
      <c r="FP77" s="56" t="inlineStr">
        <is>
          <t>• Development priorities: I would need exposure end-to-end website publishing, leadership, team coordination, issue resolution, task allocation, and greater responsibility for process management.
• Learning and Development Need: Senior team mentoring. I wish I had known the complete QC process, RBI website workflow, data dependencies, and escalation process earlier to work more efficiently and confidently.
• Role evolving toward: The role is changing with new data needs, website updates, more QC work, and changing priorities.</t>
        </is>
      </c>
      <c r="FQ77" s="56" t="inlineStr">
        <is>
          <t>• Key challenges: Data clarification; Technical issues.
• Support required: Clearer processes, timely data availability, better coordination, and quicker issue resolution.</t>
        </is>
      </c>
      <c r="FR77" s="56" t="inlineStr">
        <is>
          <t>Complexity: Evidence reads like A2: Data QC, HTML validation, upload and post-upload verification to a defined process → moved down 0.5
Autonomy: Evidence reads like A2: Verifies and validates content, then uploads approved data; no wider decisions → moved down 0.5
Accountability: Evidence reads like A3: Own uploads go live on RBI's public website; owns and corrects resulting errors → matches the start
Leadership: Evidence reads like A1: No guidance or leadership of others described → moved down 0.5
Business Impact: Moved +0.5: the survey / manager mapping marks it business-critical.</t>
        </is>
      </c>
      <c r="FS77" s="56"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FT77" s="56" t="inlineStr">
        <is>
          <t>Self-identified: Leadership &amp; people management · Broader exposure &amp; ownership
For the next role: Leadership &amp; people management · Broader exposure &amp; ownership</t>
        </is>
      </c>
      <c r="FU77" s="56" t="inlineStr">
        <is>
          <t>Per-person summary · CARBON Mapping Master</t>
        </is>
      </c>
    </row>
    <row r="78" ht="90" customHeight="1">
      <c r="A78" s="51" t="inlineStr">
        <is>
          <t>◂ Back</t>
        </is>
      </c>
      <c r="B78" s="29" t="inlineStr">
        <is>
          <t>Mapped</t>
        </is>
      </c>
      <c r="C78" s="28" t="inlineStr">
        <is>
          <t>Consume</t>
        </is>
      </c>
      <c r="D78" s="29" t="inlineStr">
        <is>
          <t>IRISC283</t>
        </is>
      </c>
      <c r="E78" s="29" t="inlineStr">
        <is>
          <t>Saurav Kamtekar</t>
        </is>
      </c>
      <c r="F78" s="29" t="inlineStr">
        <is>
          <t>Digitizing</t>
        </is>
      </c>
      <c r="G78" s="29" t="inlineStr">
        <is>
          <t>Consultant</t>
        </is>
      </c>
      <c r="H78" s="29" t="inlineStr">
        <is>
          <t>Senior Digitization Associate</t>
        </is>
      </c>
      <c r="I78" s="29" t="inlineStr">
        <is>
          <t>L3 – Professional / Associate</t>
        </is>
      </c>
      <c r="J78" s="29" t="inlineStr">
        <is>
          <t>A3</t>
        </is>
      </c>
      <c r="K78" s="29" t="inlineStr">
        <is>
          <t>▲ Up</t>
        </is>
      </c>
      <c r="L78" s="29" t="inlineStr">
        <is>
          <t>Data Operations &amp; Digitization</t>
        </is>
      </c>
      <c r="M78" s="29" t="inlineStr">
        <is>
          <t>Document Conversion, Formatting &amp; Web Publishing</t>
        </is>
      </c>
      <c r="N78" s="29" t="n"/>
      <c r="O78" s="29" t="n">
        <v>20</v>
      </c>
      <c r="P78" s="28" t="inlineStr">
        <is>
          <t>P2</t>
        </is>
      </c>
      <c r="Q78" s="29" t="inlineStr">
        <is>
          <t>Developing</t>
        </is>
      </c>
      <c r="R78" s="29" t="inlineStr">
        <is>
          <t>3 Apply</t>
        </is>
      </c>
      <c r="S78" s="29" t="inlineStr">
        <is>
          <t>2–4 yrs</t>
        </is>
      </c>
      <c r="T78" s="29" t="inlineStr">
        <is>
          <t>3–5 · 2–5</t>
        </is>
      </c>
      <c r="U78" s="29" t="inlineStr">
        <is>
          <t>Senior Associate</t>
        </is>
      </c>
      <c r="V78" s="29" t="inlineStr">
        <is>
          <t>DataTracks: Senior Associate · 2–5 yrs · Accenture Operations: L10 Senior Analyst · IRIS Vs Competitor Benchmark — operations roles: Senior Processor / QC</t>
        </is>
      </c>
      <c r="W78" s="29" t="inlineStr">
        <is>
          <t>COPC CX Standard · leadership &amp; planning, people, processes, performance; ISO 9001; Lean / Six Sigma</t>
        </is>
      </c>
      <c r="X78" s="29" t="inlineStr">
        <is>
          <t>Core 2 · Future 2 · Functional 3 · Leadership not scored</t>
        </is>
      </c>
      <c r="Y78" s="52" t="n">
        <v>306</v>
      </c>
      <c r="Z78" s="53" t="inlineStr">
        <is>
          <t>IRISC283</t>
        </is>
      </c>
      <c r="AA78" s="53" t="inlineStr">
        <is>
          <t>On Contract</t>
        </is>
      </c>
      <c r="AB78" s="53" t="inlineStr">
        <is>
          <t>Active</t>
        </is>
      </c>
      <c r="AC78" s="53" t="inlineStr">
        <is>
          <t>Saurav Kamtekar</t>
        </is>
      </c>
      <c r="AD78" s="54" t="n">
        <v>45337</v>
      </c>
      <c r="AE78" s="53" t="inlineStr">
        <is>
          <t>Consultant</t>
        </is>
      </c>
      <c r="AF78" s="53" t="inlineStr">
        <is>
          <t>Undergraduate</t>
        </is>
      </c>
      <c r="AG78" s="53" t="inlineStr">
        <is>
          <t>Shraddha Patil</t>
        </is>
      </c>
      <c r="AH78" s="53" t="inlineStr">
        <is>
          <t>N-7</t>
        </is>
      </c>
      <c r="AI78" s="53" t="inlineStr">
        <is>
          <t>Individual Contributor</t>
        </is>
      </c>
      <c r="AJ78" s="53" t="inlineStr">
        <is>
          <t>0 years, 0 months, 0 days</t>
        </is>
      </c>
      <c r="AK78" s="53" t="inlineStr">
        <is>
          <t>2 years, 6 months, 10 days</t>
        </is>
      </c>
      <c r="AL78" s="53" t="inlineStr">
        <is>
          <t>Consume</t>
        </is>
      </c>
      <c r="AM78" s="53" t="inlineStr">
        <is>
          <t>Consume</t>
        </is>
      </c>
      <c r="AN78" s="53" t="inlineStr">
        <is>
          <t>Digitizing</t>
        </is>
      </c>
      <c r="AO78" s="53" t="inlineStr">
        <is>
          <t>Digitizing Assisted services</t>
        </is>
      </c>
      <c r="AP78" s="53" t="inlineStr">
        <is>
          <t>No</t>
        </is>
      </c>
      <c r="AQ78" s="53" t="inlineStr">
        <is>
          <t>Professional Services</t>
        </is>
      </c>
      <c r="AR78" s="53" t="inlineStr">
        <is>
          <t>OCR/Image procesing</t>
        </is>
      </c>
      <c r="AS78" s="53" t="inlineStr">
        <is>
          <t>Non-technical</t>
        </is>
      </c>
      <c r="AT78" s="53" t="n">
        <v>20</v>
      </c>
      <c r="AU78" s="53" t="inlineStr">
        <is>
          <t>Covered</t>
        </is>
      </c>
      <c r="AV78" s="53" t="inlineStr">
        <is>
          <t>IRISC283</t>
        </is>
      </c>
      <c r="AW78" s="53" t="inlineStr">
        <is>
          <t>Saurav Kamtekar</t>
        </is>
      </c>
      <c r="AX78" s="53" t="inlineStr">
        <is>
          <t>Digitizing</t>
        </is>
      </c>
      <c r="AY78" s="53" t="inlineStr">
        <is>
          <t>Professional Services</t>
        </is>
      </c>
      <c r="AZ78" s="53" t="inlineStr">
        <is>
          <t>Regulatory Portal Operations</t>
        </is>
      </c>
      <c r="BA78" s="53" t="n"/>
      <c r="BB78" s="53" t="n"/>
      <c r="BC78" s="53" t="inlineStr">
        <is>
          <t>On Contract</t>
        </is>
      </c>
      <c r="BD78" s="53" t="inlineStr">
        <is>
          <t>Shraddha Patil</t>
        </is>
      </c>
      <c r="BE78" s="53" t="inlineStr">
        <is>
          <t>Shraddha Patil</t>
        </is>
      </c>
      <c r="BF78" s="53" t="inlineStr">
        <is>
          <t>No</t>
        </is>
      </c>
      <c r="BG78" s="53" t="inlineStr">
        <is>
          <t>Consultant</t>
        </is>
      </c>
      <c r="BH78" s="53" t="inlineStr">
        <is>
          <t>Regulatory Portal Operations Consultant</t>
        </is>
      </c>
      <c r="BI78" s="53" t="inlineStr">
        <is>
          <t>No</t>
        </is>
      </c>
      <c r="BJ78" s="53" t="inlineStr">
        <is>
          <t>—</t>
        </is>
      </c>
      <c r="BK78" s="53" t="inlineStr">
        <is>
          <t>—</t>
        </is>
      </c>
      <c r="BL78" s="53" t="inlineStr">
        <is>
          <t>—</t>
        </is>
      </c>
      <c r="BM78" s="53" t="inlineStr">
        <is>
          <t>Not a manager</t>
        </is>
      </c>
      <c r="BN78" s="53" t="inlineStr">
        <is>
          <t>—</t>
        </is>
      </c>
      <c r="BO78" s="53" t="inlineStr">
        <is>
          <t>—</t>
        </is>
      </c>
      <c r="BP78" s="53" t="inlineStr">
        <is>
          <t>—</t>
        </is>
      </c>
      <c r="BQ78" s="53" t="inlineStr">
        <is>
          <t>Not a manager</t>
        </is>
      </c>
      <c r="BR78" s="53" t="inlineStr">
        <is>
          <t>—</t>
        </is>
      </c>
      <c r="BS78" s="53" t="inlineStr">
        <is>
          <t>L3 – Professional / Associate</t>
        </is>
      </c>
      <c r="BT78" s="53" t="inlineStr">
        <is>
          <t>L3 – Professional / Associate</t>
        </is>
      </c>
      <c r="BU78" s="53" t="inlineStr">
        <is>
          <t>No designation change — current record value carried forward</t>
        </is>
      </c>
      <c r="BV78" s="53"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perform QC activity.</t>
        </is>
      </c>
      <c r="BW78" s="53" t="n"/>
      <c r="BX78" s="53" t="inlineStr">
        <is>
          <t>No input received — attended/was listed as a respondent but did not provide answers to any of the survey questions.</t>
        </is>
      </c>
      <c r="BY78" s="53" t="n"/>
      <c r="BZ78" s="53" t="inlineStr">
        <is>
          <t>IRISC283</t>
        </is>
      </c>
      <c r="CA78" s="53" t="inlineStr">
        <is>
          <t>On Contract</t>
        </is>
      </c>
      <c r="CB78" s="53" t="inlineStr">
        <is>
          <t>Active</t>
        </is>
      </c>
      <c r="CC78" s="53" t="inlineStr">
        <is>
          <t>Saurav Kamtekar</t>
        </is>
      </c>
      <c r="CD78" s="54" t="n">
        <v>45337</v>
      </c>
      <c r="CE78" s="53" t="inlineStr">
        <is>
          <t>Consultant</t>
        </is>
      </c>
      <c r="CF78" s="53" t="n"/>
      <c r="CG78" s="53" t="inlineStr">
        <is>
          <t>Professional Services</t>
        </is>
      </c>
      <c r="CH78" s="53" t="inlineStr">
        <is>
          <t>Digitization &amp; Image Processing</t>
        </is>
      </c>
      <c r="CI78" s="53" t="inlineStr">
        <is>
          <t>Consultant</t>
        </is>
      </c>
      <c r="CJ78" s="53" t="inlineStr">
        <is>
          <t>L3 – Professional / Associate</t>
        </is>
      </c>
      <c r="CK78" s="53" t="inlineStr">
        <is>
          <t>Shraddha Patil</t>
        </is>
      </c>
      <c r="CL78" s="53" t="inlineStr">
        <is>
          <t>N-7</t>
        </is>
      </c>
      <c r="CM78" s="53" t="inlineStr">
        <is>
          <t>Individual Contributor</t>
        </is>
      </c>
      <c r="CN78" s="53" t="inlineStr">
        <is>
          <t>Consume</t>
        </is>
      </c>
      <c r="CO78" s="53" t="inlineStr">
        <is>
          <t>Digitizing</t>
        </is>
      </c>
      <c r="CP78" s="53" t="inlineStr">
        <is>
          <t>2 years, 4 months, 5 days</t>
        </is>
      </c>
      <c r="CQ78" s="53" t="inlineStr">
        <is>
          <t>Consultant</t>
        </is>
      </c>
      <c r="CR78" s="53" t="n"/>
      <c r="CS78" s="53" t="n">
        <v>3</v>
      </c>
      <c r="CT78" s="53" t="inlineStr">
        <is>
          <t>Medium</t>
        </is>
      </c>
      <c r="CU78" s="53" t="inlineStr">
        <is>
          <t>Core Contributor</t>
        </is>
      </c>
      <c r="CV78" s="53" t="inlineStr">
        <is>
          <t>No</t>
        </is>
      </c>
      <c r="CW78" s="53" t="inlineStr">
        <is>
          <t>No</t>
        </is>
      </c>
      <c r="CX78" s="53" t="inlineStr">
        <is>
          <t>Yes</t>
        </is>
      </c>
      <c r="CY78" s="53" t="n"/>
      <c r="CZ78" s="53" t="n"/>
      <c r="DA78" s="53" t="n"/>
      <c r="DB78" s="53" t="n"/>
      <c r="DC78" s="53" t="n"/>
      <c r="DD78" s="53" t="n"/>
      <c r="DE78" s="53" t="n"/>
      <c r="DF78" s="53" t="n"/>
      <c r="DG78" s="53" t="n"/>
      <c r="DH78" s="53" t="n"/>
      <c r="DI78" s="53" t="n"/>
      <c r="DJ78" s="53" t="n"/>
      <c r="DK78" s="53" t="n"/>
      <c r="DL78" s="53" t="n"/>
      <c r="DM78" s="53" t="n"/>
      <c r="DN78" s="53" t="n"/>
      <c r="DO78" s="53" t="n"/>
      <c r="DP78" s="53" t="n"/>
      <c r="DQ78" s="53" t="n"/>
      <c r="DR78" s="53" t="n"/>
      <c r="DS78" s="53" t="n"/>
      <c r="DT78" s="53" t="n"/>
      <c r="DU78" s="53" t="n"/>
      <c r="DV78" s="53" t="n"/>
      <c r="DW78" s="53" t="n"/>
      <c r="DX78" s="53" t="n"/>
      <c r="DY78" s="53" t="n"/>
      <c r="DZ78" s="53" t="n"/>
      <c r="EA78" s="53" t="n"/>
      <c r="EB78" s="53" t="n"/>
      <c r="EC78" s="53" t="n"/>
      <c r="ED78" s="53" t="n"/>
      <c r="EE78" s="53" t="n"/>
      <c r="EF78" s="53" t="n"/>
      <c r="EG78" s="53" t="n"/>
      <c r="EH78" s="53" t="n"/>
      <c r="EI78" s="53" t="n"/>
      <c r="EJ78" s="53" t="n"/>
      <c r="EK78" s="53" t="n"/>
      <c r="EL78" s="53" t="n"/>
      <c r="EM78" s="53" t="n"/>
      <c r="EN78" s="53" t="n"/>
      <c r="EO78" s="53" t="n"/>
      <c r="EP78" s="53" t="n"/>
      <c r="EQ78" s="53" t="n"/>
      <c r="ER78" s="53" t="n"/>
      <c r="ES78" s="53" t="n"/>
      <c r="ET78" s="53" t="n"/>
      <c r="EU78" s="53" t="n"/>
      <c r="EV78" s="53" t="n"/>
      <c r="EW78" s="52" t="n"/>
      <c r="EX78" s="53" t="inlineStr">
        <is>
          <t>• Role / sub-team: Digitizing — Consultant.
• Core purpose: Input not given by Participant.
• Decision-making autonomy: Input not given by Participant.
• Is this something only they do: Input not given by Participant.</t>
        </is>
      </c>
      <c r="EY78" s="53" t="inlineStr">
        <is>
          <t>• Key responsibilities include: Input not given by Participant.
• Impact if missed or done wrong: Input not given by Participant.
• How measured: Input not given by Participant.</t>
        </is>
      </c>
      <c r="EZ78" s="53" t="inlineStr">
        <is>
          <t>• Current capabilities: Input not given by Participant.
• Tools / software used: Input not given by Participant.</t>
        </is>
      </c>
      <c r="FA78" s="53" t="inlineStr">
        <is>
          <t>• Development priorities: Input not given by Participant.</t>
        </is>
      </c>
      <c r="FB78" s="53" t="inlineStr">
        <is>
          <t>• Key challenges: Input not given by Participant.
• Support required: Input not given by Participant.</t>
        </is>
      </c>
      <c r="FC78" s="53" t="n"/>
      <c r="FD78" s="53" t="n"/>
      <c r="FE78" s="57"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perform QC activity.</t>
        </is>
      </c>
      <c r="FF78" s="56" t="n"/>
      <c r="FG78" s="56" t="n"/>
      <c r="FH78" s="56" t="n"/>
      <c r="FI78" s="56" t="n"/>
      <c r="FJ78" s="56" t="inlineStr">
        <is>
          <t>Received · manager annual</t>
        </is>
      </c>
      <c r="FK78" s="56" t="inlineStr">
        <is>
          <t>CARBON Mapping Master</t>
        </is>
      </c>
      <c r="FL78" s="56" t="n">
        <v>20</v>
      </c>
      <c r="FM78" s="56" t="inlineStr">
        <is>
          <t>• Role / sub-team: Digitizing — Consultant.
• Core purpose: Input not given by Participant.
• Decision-making autonomy: Input not given by Participant.
• Is this something only they do: Input not given by Participant.</t>
        </is>
      </c>
      <c r="FN78" s="56" t="inlineStr">
        <is>
          <t>• Key responsibilities include: Input not given by Participant.
• Impact if missed or done wrong: Input not given by Participant.
• How measured: Input not given by Participant.</t>
        </is>
      </c>
      <c r="FO78" s="56" t="inlineStr">
        <is>
          <t>• Current capabilities: Input not given by Participant.
• Tools / software used: Input not given by Participant.</t>
        </is>
      </c>
      <c r="FP78" s="56" t="inlineStr">
        <is>
          <t>• Development priorities: Input not given by Participant.</t>
        </is>
      </c>
      <c r="FQ78" s="56" t="inlineStr">
        <is>
          <t>• Key challenges: Input not given by Participant.
• Support required: Input not given by Participant.</t>
        </is>
      </c>
      <c r="FR78" s="56" t="inlineStr">
        <is>
          <t>Complexity: Evidence reads like A2: Validates RBI website content against sources and flags errors; converts press releases, tenders → matches the start
Autonomy: Evidence reads like A2: Validates and flags errors; no authority beyond flagging → matches the start
Accountability: Evidence reads like A2: Accuracy of own validation; errors affect RBI website credibility → matches the start
Leadership: Evidence reads like A1: No guidance or leadership of others described → matches the start
Business Impact: Moved +0.5: the survey / manager mapping marks it business-critical.</t>
        </is>
      </c>
      <c r="FS78" s="56"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FT78" s="56" t="inlineStr">
        <is>
          <t>Self-identified: AI / automation · Leadership &amp; people management
For the next role: AI / automation · Leadership &amp; people management</t>
        </is>
      </c>
      <c r="FU78" s="56" t="inlineStr">
        <is>
          <t>Per-person summary · CARBON Mapping Master</t>
        </is>
      </c>
    </row>
    <row r="79" ht="90" customHeight="1">
      <c r="A79" s="51" t="inlineStr">
        <is>
          <t>◂ Back</t>
        </is>
      </c>
      <c r="B79" s="29" t="inlineStr">
        <is>
          <t>Mapped</t>
        </is>
      </c>
      <c r="C79" s="28" t="inlineStr">
        <is>
          <t>Consume</t>
        </is>
      </c>
      <c r="D79" s="29" t="inlineStr">
        <is>
          <t>IRISC338</t>
        </is>
      </c>
      <c r="E79" s="29" t="inlineStr">
        <is>
          <t>Snehal Bhavesh Farad</t>
        </is>
      </c>
      <c r="F79" s="29" t="inlineStr">
        <is>
          <t>Digitizing</t>
        </is>
      </c>
      <c r="G79" s="29" t="inlineStr">
        <is>
          <t>Consultant</t>
        </is>
      </c>
      <c r="H79" s="29" t="inlineStr">
        <is>
          <t>Senior Digitization Associate</t>
        </is>
      </c>
      <c r="I79" s="29" t="inlineStr">
        <is>
          <t>L3 – Professional / Associate</t>
        </is>
      </c>
      <c r="J79" s="29" t="inlineStr">
        <is>
          <t>A3</t>
        </is>
      </c>
      <c r="K79" s="29" t="inlineStr">
        <is>
          <t>▲ Up</t>
        </is>
      </c>
      <c r="L79" s="29" t="inlineStr">
        <is>
          <t>Data Operations &amp; Digitization</t>
        </is>
      </c>
      <c r="M79" s="29" t="inlineStr">
        <is>
          <t>Document Conversion, Formatting &amp; Web Publishing</t>
        </is>
      </c>
      <c r="N79" s="29" t="inlineStr">
        <is>
          <t>• Correct the experience record — HR</t>
        </is>
      </c>
      <c r="O79" s="29" t="n">
        <v>17</v>
      </c>
      <c r="P79" s="28" t="inlineStr">
        <is>
          <t>P2</t>
        </is>
      </c>
      <c r="Q79" s="29" t="inlineStr">
        <is>
          <t>Developing</t>
        </is>
      </c>
      <c r="R79" s="29" t="inlineStr">
        <is>
          <t>3 Apply</t>
        </is>
      </c>
      <c r="S79" s="29" t="inlineStr">
        <is>
          <t>2–4 yrs</t>
        </is>
      </c>
      <c r="T79" s="29" t="inlineStr">
        <is>
          <t>3–5 · 2–5</t>
        </is>
      </c>
      <c r="U79" s="29" t="inlineStr">
        <is>
          <t>Senior Associate</t>
        </is>
      </c>
      <c r="V79" s="29" t="inlineStr">
        <is>
          <t>DataTracks: Senior Associate · 2–5 yrs · Accenture Operations: L10 Senior Analyst · IRIS Vs Competitor Benchmark — operations roles: Senior Processor / QC</t>
        </is>
      </c>
      <c r="W79" s="29" t="inlineStr">
        <is>
          <t>COPC CX Standard · leadership &amp; planning, people, processes, performance; ISO 9001; Lean / Six Sigma</t>
        </is>
      </c>
      <c r="X79" s="29" t="inlineStr">
        <is>
          <t>Core 2 · Future 2 · Functional 3 · Leadership not scored</t>
        </is>
      </c>
      <c r="Y79" s="52" t="n">
        <v>441</v>
      </c>
      <c r="Z79" s="53" t="inlineStr">
        <is>
          <t>IRISC338</t>
        </is>
      </c>
      <c r="AA79" s="53" t="inlineStr">
        <is>
          <t>On Contract</t>
        </is>
      </c>
      <c r="AB79" s="53" t="inlineStr">
        <is>
          <t>Active</t>
        </is>
      </c>
      <c r="AC79" s="53" t="inlineStr">
        <is>
          <t>Snehal Bhavesh Farad</t>
        </is>
      </c>
      <c r="AD79" s="54" t="n">
        <v>46044</v>
      </c>
      <c r="AE79" s="53" t="inlineStr">
        <is>
          <t>Consultant</t>
        </is>
      </c>
      <c r="AF79" s="53" t="inlineStr">
        <is>
          <t>BA</t>
        </is>
      </c>
      <c r="AG79" s="53" t="inlineStr">
        <is>
          <t>Shraddha Patil</t>
        </is>
      </c>
      <c r="AH79" s="53" t="inlineStr">
        <is>
          <t>N-7</t>
        </is>
      </c>
      <c r="AI79" s="53" t="inlineStr">
        <is>
          <t>Individual Contributor</t>
        </is>
      </c>
      <c r="AJ79" s="53" t="inlineStr">
        <is>
          <t>4 years, 5 months, 0 days</t>
        </is>
      </c>
      <c r="AK79" s="53" t="inlineStr">
        <is>
          <t>0 years, 7 months, 3 days</t>
        </is>
      </c>
      <c r="AL79" s="53" t="inlineStr">
        <is>
          <t>Consume</t>
        </is>
      </c>
      <c r="AM79" s="53" t="inlineStr">
        <is>
          <t>Consume</t>
        </is>
      </c>
      <c r="AN79" s="53" t="inlineStr">
        <is>
          <t>Digitizing</t>
        </is>
      </c>
      <c r="AO79" s="53" t="inlineStr">
        <is>
          <t>Digitizing Assisted services</t>
        </is>
      </c>
      <c r="AP79" s="53" t="inlineStr">
        <is>
          <t>No</t>
        </is>
      </c>
      <c r="AQ79" s="53" t="inlineStr">
        <is>
          <t>Professional Services</t>
        </is>
      </c>
      <c r="AR79" s="53" t="inlineStr">
        <is>
          <t>OCR/Image procesing</t>
        </is>
      </c>
      <c r="AS79" s="53" t="inlineStr">
        <is>
          <t>Non-technical</t>
        </is>
      </c>
      <c r="AT79" s="53" t="n">
        <v>20</v>
      </c>
      <c r="AU79" s="53" t="inlineStr">
        <is>
          <t>Covered</t>
        </is>
      </c>
      <c r="AV79" s="53" t="inlineStr">
        <is>
          <t>IRISC338</t>
        </is>
      </c>
      <c r="AW79" s="53" t="inlineStr">
        <is>
          <t>Snehal Bhavesh Farad</t>
        </is>
      </c>
      <c r="AX79" s="53" t="inlineStr">
        <is>
          <t>Digitizing</t>
        </is>
      </c>
      <c r="AY79" s="53" t="inlineStr">
        <is>
          <t>Professional Services</t>
        </is>
      </c>
      <c r="AZ79" s="53" t="inlineStr">
        <is>
          <t>Regulatory Portal Operations</t>
        </is>
      </c>
      <c r="BA79" s="53" t="n"/>
      <c r="BB79" s="53" t="n"/>
      <c r="BC79" s="53" t="inlineStr">
        <is>
          <t>On Contract</t>
        </is>
      </c>
      <c r="BD79" s="53" t="inlineStr">
        <is>
          <t>Shraddha Patil</t>
        </is>
      </c>
      <c r="BE79" s="53" t="inlineStr">
        <is>
          <t>Manoj Tiwari</t>
        </is>
      </c>
      <c r="BF79" s="53" t="inlineStr">
        <is>
          <t>No</t>
        </is>
      </c>
      <c r="BG79" s="53" t="inlineStr">
        <is>
          <t>Consultant</t>
        </is>
      </c>
      <c r="BH79" s="53" t="inlineStr">
        <is>
          <t>Regulatory Portal Operations Consultant</t>
        </is>
      </c>
      <c r="BI79" s="53" t="inlineStr">
        <is>
          <t>No</t>
        </is>
      </c>
      <c r="BJ79" s="53" t="inlineStr">
        <is>
          <t>—</t>
        </is>
      </c>
      <c r="BK79" s="53" t="inlineStr">
        <is>
          <t>—</t>
        </is>
      </c>
      <c r="BL79" s="53" t="inlineStr">
        <is>
          <t>—</t>
        </is>
      </c>
      <c r="BM79" s="53" t="inlineStr">
        <is>
          <t>Not a manager</t>
        </is>
      </c>
      <c r="BN79" s="53" t="inlineStr">
        <is>
          <t>—</t>
        </is>
      </c>
      <c r="BO79" s="53" t="inlineStr">
        <is>
          <t>—</t>
        </is>
      </c>
      <c r="BP79" s="53" t="inlineStr">
        <is>
          <t>—</t>
        </is>
      </c>
      <c r="BQ79" s="53" t="inlineStr">
        <is>
          <t>Not a manager</t>
        </is>
      </c>
      <c r="BR79" s="53" t="inlineStr">
        <is>
          <t>—</t>
        </is>
      </c>
      <c r="BS79" s="53" t="inlineStr">
        <is>
          <t>L3 – Professional / Associate</t>
        </is>
      </c>
      <c r="BT79" s="53" t="inlineStr">
        <is>
          <t>L3 – Professional / Associate</t>
        </is>
      </c>
      <c r="BU79" s="53" t="inlineStr">
        <is>
          <t>No designation change — current record value carried forward</t>
        </is>
      </c>
      <c r="BV79" s="53"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perform QC activity.</t>
        </is>
      </c>
      <c r="BW79" s="53" t="n"/>
      <c r="BX79" s="53" t="inlineStr">
        <is>
          <t>No input received.</t>
        </is>
      </c>
      <c r="BY79" s="53" t="n"/>
      <c r="BZ79" s="53" t="inlineStr">
        <is>
          <t>IRISC338</t>
        </is>
      </c>
      <c r="CA79" s="53" t="inlineStr">
        <is>
          <t>On Contract</t>
        </is>
      </c>
      <c r="CB79" s="53" t="inlineStr">
        <is>
          <t>Active</t>
        </is>
      </c>
      <c r="CC79" s="53" t="inlineStr">
        <is>
          <t>Snehal Bhavesh Farad</t>
        </is>
      </c>
      <c r="CD79" s="54" t="n">
        <v>46044</v>
      </c>
      <c r="CE79" s="53" t="inlineStr">
        <is>
          <t>Consultant</t>
        </is>
      </c>
      <c r="CF79" s="53" t="n"/>
      <c r="CG79" s="53" t="inlineStr">
        <is>
          <t>Professional Services</t>
        </is>
      </c>
      <c r="CH79" s="53" t="inlineStr">
        <is>
          <t>Digitization &amp; Image Processing</t>
        </is>
      </c>
      <c r="CI79" s="53" t="inlineStr">
        <is>
          <t>Consultant</t>
        </is>
      </c>
      <c r="CJ79" s="53" t="inlineStr">
        <is>
          <t>L3 – Professional / Associate</t>
        </is>
      </c>
      <c r="CK79" s="53" t="inlineStr">
        <is>
          <t>Shraddha Patil</t>
        </is>
      </c>
      <c r="CL79" s="53" t="inlineStr">
        <is>
          <t>N-7</t>
        </is>
      </c>
      <c r="CM79" s="53" t="inlineStr">
        <is>
          <t>Individual Contributor</t>
        </is>
      </c>
      <c r="CN79" s="53" t="inlineStr">
        <is>
          <t>Consume</t>
        </is>
      </c>
      <c r="CO79" s="53" t="inlineStr">
        <is>
          <t>Digitizing</t>
        </is>
      </c>
      <c r="CP79" s="53" t="inlineStr">
        <is>
          <t>4 years, 9 months, 29 days</t>
        </is>
      </c>
      <c r="CQ79" s="53" t="inlineStr">
        <is>
          <t>Consultant</t>
        </is>
      </c>
      <c r="CR79" s="53" t="n"/>
      <c r="CS79" s="53" t="n">
        <v>3</v>
      </c>
      <c r="CT79" s="53" t="inlineStr">
        <is>
          <t>Medium</t>
        </is>
      </c>
      <c r="CU79" s="53" t="inlineStr">
        <is>
          <t>Core Contributor</t>
        </is>
      </c>
      <c r="CV79" s="53" t="inlineStr">
        <is>
          <t>No</t>
        </is>
      </c>
      <c r="CW79" s="53" t="inlineStr">
        <is>
          <t>No</t>
        </is>
      </c>
      <c r="CX79" s="53" t="inlineStr">
        <is>
          <t>Yes</t>
        </is>
      </c>
      <c r="CY79" s="53" t="n"/>
      <c r="CZ79" s="53" t="n"/>
      <c r="DA79" s="53" t="n"/>
      <c r="DB79" s="53" t="n"/>
      <c r="DC79" s="53" t="n"/>
      <c r="DD79" s="53" t="n"/>
      <c r="DE79" s="53" t="n"/>
      <c r="DF79" s="53" t="n"/>
      <c r="DG79" s="53" t="n"/>
      <c r="DH79" s="53" t="n"/>
      <c r="DI79" s="53" t="n"/>
      <c r="DJ79" s="53" t="n"/>
      <c r="DK79" s="53" t="n"/>
      <c r="DL79" s="53" t="n"/>
      <c r="DM79" s="53" t="n"/>
      <c r="DN79" s="53" t="n"/>
      <c r="DO79" s="53" t="n"/>
      <c r="DP79" s="53" t="n"/>
      <c r="DQ79" s="53" t="n"/>
      <c r="DR79" s="53" t="n"/>
      <c r="DS79" s="53" t="n"/>
      <c r="DT79" s="53" t="n"/>
      <c r="DU79" s="53" t="n"/>
      <c r="DV79" s="53" t="n"/>
      <c r="DW79" s="53" t="n"/>
      <c r="DX79" s="53" t="n"/>
      <c r="DY79" s="53" t="n"/>
      <c r="DZ79" s="53" t="n"/>
      <c r="EA79" s="53" t="n"/>
      <c r="EB79" s="53" t="n"/>
      <c r="EC79" s="53" t="n"/>
      <c r="ED79" s="53" t="n"/>
      <c r="EE79" s="53" t="n"/>
      <c r="EF79" s="53" t="n"/>
      <c r="EG79" s="53" t="n"/>
      <c r="EH79" s="53" t="n"/>
      <c r="EI79" s="53" t="n"/>
      <c r="EJ79" s="53" t="n"/>
      <c r="EK79" s="53" t="n"/>
      <c r="EL79" s="53" t="n"/>
      <c r="EM79" s="53" t="n"/>
      <c r="EN79" s="53" t="n"/>
      <c r="EO79" s="53" t="n"/>
      <c r="EP79" s="53" t="n"/>
      <c r="EQ79" s="53" t="n"/>
      <c r="ER79" s="53" t="n"/>
      <c r="ES79" s="53" t="n"/>
      <c r="ET79" s="53" t="n"/>
      <c r="EU79" s="53" t="n"/>
      <c r="EV79" s="53" t="n"/>
      <c r="EW79" s="52" t="n"/>
      <c r="EX79" s="53" t="inlineStr">
        <is>
          <t>• Role / sub-team: Digitizing — Consultant.
• Core purpose: Conversion ms word to html; Daily update excel sheet.
• Decision-making autonomy: No input received.
• Is this something only they do: No input received.</t>
        </is>
      </c>
      <c r="EY79" s="53" t="inlineStr">
        <is>
          <t>• Key responsibilities include: Convert html in Dreamweav.
• Personally accountable for: Wrongly uploaded on client site.
• Impact if missed or done wrong: No input received.
• How measured: No input received.</t>
        </is>
      </c>
      <c r="EZ79" s="53" t="inlineStr">
        <is>
          <t>• Current capabilities: No input received.
• Tools / software used: No input received.
• Workload: Rated a manageable load · 2/5 in a typical week.</t>
        </is>
      </c>
      <c r="FA79" s="53" t="inlineStr">
        <is>
          <t>• Development priorities: No input received.</t>
        </is>
      </c>
      <c r="FB79" s="53" t="inlineStr">
        <is>
          <t>• Key challenges: No input received.
• Support required: No input received.</t>
        </is>
      </c>
      <c r="FC79" s="53" t="n"/>
      <c r="FD79" s="53" t="n"/>
      <c r="FE79" s="57"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perform QC activity.</t>
        </is>
      </c>
      <c r="FF79" s="56" t="n"/>
      <c r="FG79" s="56" t="n"/>
      <c r="FH79" s="56" t="n"/>
      <c r="FI79" s="56" t="n"/>
      <c r="FJ79" s="56" t="inlineStr">
        <is>
          <t>Received · manager annual</t>
        </is>
      </c>
      <c r="FK79" s="56" t="inlineStr">
        <is>
          <t>CARBON Mapping Master</t>
        </is>
      </c>
      <c r="FL79" s="56" t="n">
        <v>17</v>
      </c>
      <c r="FM79" s="56" t="inlineStr">
        <is>
          <t>• Role / sub-team: Digitizing — Consultant.
• Core purpose: Conversion ms word to html; Daily update excel sheet.
• Decision-making autonomy: No input received.
• Is this something only they do: No input received.</t>
        </is>
      </c>
      <c r="FN79" s="56" t="inlineStr">
        <is>
          <t>• Key responsibilities include: Convert html in Dreamweav.
• Personally accountable for: Wrongly uploaded on client site.
• Impact if missed or done wrong: No input received.
• How measured: No input received.</t>
        </is>
      </c>
      <c r="FO79" s="56" t="inlineStr">
        <is>
          <t>• Current capabilities: No input received.
• Tools / software used: No input received.
• Workload: Rated a manageable load · 2/5 in a typical week.</t>
        </is>
      </c>
      <c r="FP79" s="56" t="inlineStr">
        <is>
          <t>• Development priorities: No input received.</t>
        </is>
      </c>
      <c r="FQ79" s="56" t="inlineStr">
        <is>
          <t>• Key challenges: No input received.
• Support required: No input received.</t>
        </is>
      </c>
      <c r="FR79" s="56" t="inlineStr">
        <is>
          <t>Complexity: Evidence reads like A2: Daily upload of security rates and HTML conversion of press releases, tenders → matches the start
Autonomy: Evidence reads like A1: Says 'Nothing' is decided independently → moved down 0.5
Accountability: Evidence reads like A2: Own conversions and uploads; manager note cites wrong upload on client site → matches the start
Leadership: Evidence reads like A1: No guidance or leadership of others described → matches the start
Business Impact: Moved +0.5: the survey / manager mapping marks it business-critical.</t>
        </is>
      </c>
      <c r="FS79" s="56"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FT79" s="56" t="inlineStr">
        <is>
          <t>Self-identified: Answered · no common topic
For the next role: Answered · no common topic</t>
        </is>
      </c>
      <c r="FU79" s="56" t="inlineStr">
        <is>
          <t>Per-person summary · CARBON Mapping Master</t>
        </is>
      </c>
    </row>
    <row r="80" ht="90" customHeight="1">
      <c r="A80" s="51" t="inlineStr">
        <is>
          <t>◂ Back</t>
        </is>
      </c>
      <c r="B80" s="29" t="inlineStr">
        <is>
          <t>Mapped</t>
        </is>
      </c>
      <c r="C80" s="28" t="inlineStr">
        <is>
          <t>Consume</t>
        </is>
      </c>
      <c r="D80" s="29" t="inlineStr">
        <is>
          <t>IRISC337</t>
        </is>
      </c>
      <c r="E80" s="29" t="inlineStr">
        <is>
          <t>Siddhesh Harishchandra Mali</t>
        </is>
      </c>
      <c r="F80" s="29" t="inlineStr">
        <is>
          <t>Digitizing</t>
        </is>
      </c>
      <c r="G80" s="29" t="inlineStr">
        <is>
          <t>Consultant</t>
        </is>
      </c>
      <c r="H80" s="29" t="inlineStr">
        <is>
          <t>Digitization Associate</t>
        </is>
      </c>
      <c r="I80" s="29" t="inlineStr">
        <is>
          <t>L3 – Professional / Associate</t>
        </is>
      </c>
      <c r="J80" s="29" t="inlineStr">
        <is>
          <t>A2</t>
        </is>
      </c>
      <c r="K80" s="29" t="inlineStr">
        <is>
          <t>• Same level</t>
        </is>
      </c>
      <c r="L80" s="29" t="inlineStr">
        <is>
          <t>Data Operations &amp; Digitization</t>
        </is>
      </c>
      <c r="M80" s="29" t="inlineStr">
        <is>
          <t>Document Conversion, Formatting &amp; Web Publishing</t>
        </is>
      </c>
      <c r="N80" s="29" t="n"/>
      <c r="O80" s="29" t="n">
        <v>20</v>
      </c>
      <c r="P80" s="28" t="inlineStr">
        <is>
          <t>P1–P2</t>
        </is>
      </c>
      <c r="Q80" s="29" t="inlineStr">
        <is>
          <t>Entry / Developing</t>
        </is>
      </c>
      <c r="R80" s="29" t="inlineStr">
        <is>
          <t>2 Assist</t>
        </is>
      </c>
      <c r="S80" s="29" t="inlineStr">
        <is>
          <t>0–2 yrs</t>
        </is>
      </c>
      <c r="T80" s="29" t="inlineStr">
        <is>
          <t>1–3 · 0–3</t>
        </is>
      </c>
      <c r="U80" s="29" t="inlineStr">
        <is>
          <t>Associate / Processor / Senior Associate</t>
        </is>
      </c>
      <c r="V80" s="29" t="inlineStr">
        <is>
          <t>DataTracks: Associate · Accenture Operations: L11 Analyst · IRIS Vs Competitor Benchmark — operations roles: Processor / Agent</t>
        </is>
      </c>
      <c r="W80" s="29" t="inlineStr">
        <is>
          <t>COPC CX Standard · leadership &amp; planning, people, processes, performance; ISO 9001; Lean / Six Sigma</t>
        </is>
      </c>
      <c r="X80" s="29" t="inlineStr">
        <is>
          <t>Core 2 · Future 2 · Functional 2 · Leadership not scored</t>
        </is>
      </c>
      <c r="Y80" s="52" t="n">
        <v>440</v>
      </c>
      <c r="Z80" s="53" t="inlineStr">
        <is>
          <t>IRISC337</t>
        </is>
      </c>
      <c r="AA80" s="53" t="inlineStr">
        <is>
          <t>On Contract</t>
        </is>
      </c>
      <c r="AB80" s="53" t="inlineStr">
        <is>
          <t>Active</t>
        </is>
      </c>
      <c r="AC80" s="53" t="inlineStr">
        <is>
          <t>Siddhesh Harishchandra Mali</t>
        </is>
      </c>
      <c r="AD80" s="54" t="n">
        <v>46044</v>
      </c>
      <c r="AE80" s="53" t="inlineStr">
        <is>
          <t>Consultant</t>
        </is>
      </c>
      <c r="AF80" s="53" t="inlineStr">
        <is>
          <t>B.Sc</t>
        </is>
      </c>
      <c r="AG80" s="53" t="inlineStr">
        <is>
          <t>Shraddha Patil</t>
        </is>
      </c>
      <c r="AH80" s="53" t="inlineStr">
        <is>
          <t>N-7</t>
        </is>
      </c>
      <c r="AI80" s="53" t="inlineStr">
        <is>
          <t>Individual Contributor</t>
        </is>
      </c>
      <c r="AJ80" s="53" t="inlineStr">
        <is>
          <t>0 years, 1 months, 0 days</t>
        </is>
      </c>
      <c r="AK80" s="53" t="inlineStr">
        <is>
          <t>0 years, 7 months, 3 days</t>
        </is>
      </c>
      <c r="AL80" s="53" t="inlineStr">
        <is>
          <t>Consume</t>
        </is>
      </c>
      <c r="AM80" s="53" t="inlineStr">
        <is>
          <t>Consume</t>
        </is>
      </c>
      <c r="AN80" s="53" t="inlineStr">
        <is>
          <t>Digitizing</t>
        </is>
      </c>
      <c r="AO80" s="53" t="inlineStr">
        <is>
          <t>Digitizing Assisted services</t>
        </is>
      </c>
      <c r="AP80" s="53" t="inlineStr">
        <is>
          <t>No</t>
        </is>
      </c>
      <c r="AQ80" s="53" t="inlineStr">
        <is>
          <t>Professional Services</t>
        </is>
      </c>
      <c r="AR80" s="53" t="inlineStr">
        <is>
          <t>OCR/Image procesing</t>
        </is>
      </c>
      <c r="AS80" s="53" t="inlineStr">
        <is>
          <t>Non-technical</t>
        </is>
      </c>
      <c r="AT80" s="53" t="n">
        <v>20</v>
      </c>
      <c r="AU80" s="53" t="inlineStr">
        <is>
          <t>Covered</t>
        </is>
      </c>
      <c r="AV80" s="53" t="inlineStr">
        <is>
          <t>IRISC337</t>
        </is>
      </c>
      <c r="AW80" s="53" t="inlineStr">
        <is>
          <t>Siddhesh Harishchandra Mali</t>
        </is>
      </c>
      <c r="AX80" s="53" t="inlineStr">
        <is>
          <t>Digitizing</t>
        </is>
      </c>
      <c r="AY80" s="53" t="inlineStr">
        <is>
          <t>Professional Services</t>
        </is>
      </c>
      <c r="AZ80" s="53" t="inlineStr">
        <is>
          <t>Regulatory Portal Operations</t>
        </is>
      </c>
      <c r="BA80" s="53" t="n"/>
      <c r="BB80" s="53" t="n"/>
      <c r="BC80" s="53" t="inlineStr">
        <is>
          <t>On Contract</t>
        </is>
      </c>
      <c r="BD80" s="53" t="inlineStr">
        <is>
          <t>Shraddha Patil</t>
        </is>
      </c>
      <c r="BE80" s="53" t="inlineStr">
        <is>
          <t>Manoj Tiwari</t>
        </is>
      </c>
      <c r="BF80" s="53" t="inlineStr">
        <is>
          <t>No</t>
        </is>
      </c>
      <c r="BG80" s="53" t="inlineStr">
        <is>
          <t>Consultant</t>
        </is>
      </c>
      <c r="BH80" s="53" t="inlineStr">
        <is>
          <t>Regulatory Portal Operations Consultant</t>
        </is>
      </c>
      <c r="BI80" s="53" t="inlineStr">
        <is>
          <t>No</t>
        </is>
      </c>
      <c r="BJ80" s="53" t="inlineStr">
        <is>
          <t>—</t>
        </is>
      </c>
      <c r="BK80" s="53" t="inlineStr">
        <is>
          <t>—</t>
        </is>
      </c>
      <c r="BL80" s="53" t="inlineStr">
        <is>
          <t>—</t>
        </is>
      </c>
      <c r="BM80" s="53" t="inlineStr">
        <is>
          <t>Not a manager</t>
        </is>
      </c>
      <c r="BN80" s="53" t="inlineStr">
        <is>
          <t>—</t>
        </is>
      </c>
      <c r="BO80" s="53" t="inlineStr">
        <is>
          <t>—</t>
        </is>
      </c>
      <c r="BP80" s="53" t="inlineStr">
        <is>
          <t>—</t>
        </is>
      </c>
      <c r="BQ80" s="53" t="inlineStr">
        <is>
          <t>Not a manager</t>
        </is>
      </c>
      <c r="BR80" s="53" t="inlineStr">
        <is>
          <t>—</t>
        </is>
      </c>
      <c r="BS80" s="53" t="inlineStr">
        <is>
          <t>L3 – Professional / Associate</t>
        </is>
      </c>
      <c r="BT80" s="53" t="inlineStr">
        <is>
          <t>L3 – Professional / Associate</t>
        </is>
      </c>
      <c r="BU80" s="53" t="inlineStr">
        <is>
          <t>No designation change — current record value carried forward</t>
        </is>
      </c>
      <c r="BV80" s="53"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perform QC activity.</t>
        </is>
      </c>
      <c r="BW80" s="53" t="n"/>
      <c r="BX80" s="53" t="inlineStr">
        <is>
          <t>No input received.</t>
        </is>
      </c>
      <c r="BY80" s="53" t="n"/>
      <c r="BZ80" s="53" t="inlineStr">
        <is>
          <t>IRISC337</t>
        </is>
      </c>
      <c r="CA80" s="53" t="inlineStr">
        <is>
          <t>On Contract</t>
        </is>
      </c>
      <c r="CB80" s="53" t="inlineStr">
        <is>
          <t>Active</t>
        </is>
      </c>
      <c r="CC80" s="53" t="inlineStr">
        <is>
          <t>Siddhesh Harishchandra Mali</t>
        </is>
      </c>
      <c r="CD80" s="54" t="n">
        <v>46044</v>
      </c>
      <c r="CE80" s="53" t="inlineStr">
        <is>
          <t>Consultant</t>
        </is>
      </c>
      <c r="CF80" s="53" t="n"/>
      <c r="CG80" s="53" t="inlineStr">
        <is>
          <t>Professional Services</t>
        </is>
      </c>
      <c r="CH80" s="53" t="inlineStr">
        <is>
          <t>Digitization &amp; Image Processing</t>
        </is>
      </c>
      <c r="CI80" s="53" t="inlineStr">
        <is>
          <t>Consultant</t>
        </is>
      </c>
      <c r="CJ80" s="53" t="inlineStr">
        <is>
          <t>L3 – Professional / Associate</t>
        </is>
      </c>
      <c r="CK80" s="53" t="inlineStr">
        <is>
          <t>Shraddha Patil</t>
        </is>
      </c>
      <c r="CL80" s="53" t="inlineStr">
        <is>
          <t>N-7</t>
        </is>
      </c>
      <c r="CM80" s="53" t="inlineStr">
        <is>
          <t>Individual Contributor</t>
        </is>
      </c>
      <c r="CN80" s="53" t="inlineStr">
        <is>
          <t>Consume</t>
        </is>
      </c>
      <c r="CO80" s="53" t="inlineStr">
        <is>
          <t>Digitizing</t>
        </is>
      </c>
      <c r="CP80" s="53" t="inlineStr">
        <is>
          <t>0 years, 5 months, 29 days</t>
        </is>
      </c>
      <c r="CQ80" s="53" t="inlineStr">
        <is>
          <t>Consultant</t>
        </is>
      </c>
      <c r="CR80" s="53" t="n"/>
      <c r="CS80" s="53" t="n">
        <v>3</v>
      </c>
      <c r="CT80" s="53" t="inlineStr">
        <is>
          <t>Medium</t>
        </is>
      </c>
      <c r="CU80" s="53" t="inlineStr">
        <is>
          <t>Core Contributor</t>
        </is>
      </c>
      <c r="CV80" s="53" t="inlineStr">
        <is>
          <t>No</t>
        </is>
      </c>
      <c r="CW80" s="53" t="inlineStr">
        <is>
          <t>No</t>
        </is>
      </c>
      <c r="CX80" s="53" t="inlineStr">
        <is>
          <t>Yes</t>
        </is>
      </c>
      <c r="CY80" s="53" t="n"/>
      <c r="CZ80" s="53" t="n"/>
      <c r="DA80" s="53" t="n"/>
      <c r="DB80" s="53" t="n"/>
      <c r="DC80" s="53" t="n"/>
      <c r="DD80" s="53" t="n"/>
      <c r="DE80" s="53" t="n"/>
      <c r="DF80" s="53" t="n"/>
      <c r="DG80" s="53" t="n"/>
      <c r="DH80" s="53" t="n"/>
      <c r="DI80" s="53" t="n"/>
      <c r="DJ80" s="53" t="n"/>
      <c r="DK80" s="53" t="n"/>
      <c r="DL80" s="53" t="n"/>
      <c r="DM80" s="53" t="n"/>
      <c r="DN80" s="53" t="n"/>
      <c r="DO80" s="53" t="n"/>
      <c r="DP80" s="53" t="n"/>
      <c r="DQ80" s="53" t="n"/>
      <c r="DR80" s="53" t="n"/>
      <c r="DS80" s="53" t="n"/>
      <c r="DT80" s="53" t="n"/>
      <c r="DU80" s="53" t="n"/>
      <c r="DV80" s="53" t="n"/>
      <c r="DW80" s="53" t="n"/>
      <c r="DX80" s="53" t="n"/>
      <c r="DY80" s="53" t="n"/>
      <c r="DZ80" s="53" t="n"/>
      <c r="EA80" s="53" t="n"/>
      <c r="EB80" s="53" t="n"/>
      <c r="EC80" s="53" t="n"/>
      <c r="ED80" s="53" t="n"/>
      <c r="EE80" s="53" t="n"/>
      <c r="EF80" s="53" t="n"/>
      <c r="EG80" s="53" t="n"/>
      <c r="EH80" s="53" t="n"/>
      <c r="EI80" s="53" t="n"/>
      <c r="EJ80" s="53" t="n"/>
      <c r="EK80" s="53" t="n"/>
      <c r="EL80" s="53" t="n"/>
      <c r="EM80" s="53" t="n"/>
      <c r="EN80" s="53" t="n"/>
      <c r="EO80" s="53" t="n"/>
      <c r="EP80" s="53" t="n"/>
      <c r="EQ80" s="53" t="n"/>
      <c r="ER80" s="53" t="n"/>
      <c r="ES80" s="53" t="n"/>
      <c r="ET80" s="53" t="n"/>
      <c r="EU80" s="53" t="n"/>
      <c r="EV80" s="53" t="n"/>
      <c r="EW80" s="52" t="n"/>
      <c r="EX80" s="53" t="inlineStr">
        <is>
          <t>• Role / sub-team: Digitizing — Consultant.
• Core purpose: My purpose is to convert word/pdf documents data to html that will be published on RBI Website.
• Decision-making autonomy: No input received.
• Is this something only they do: No input received.</t>
        </is>
      </c>
      <c r="EY80" s="53" t="inlineStr">
        <is>
          <t>• Key responsibilities include: RBI data in form of HTML.
• Impact if missed or done wrong: No input received.
• How measured: No input received.</t>
        </is>
      </c>
      <c r="EZ80" s="53" t="inlineStr">
        <is>
          <t>• Current capabilities: No input received.
• Tools / software used: No input received.</t>
        </is>
      </c>
      <c r="FA80" s="53" t="inlineStr">
        <is>
          <t>• Development priorities: No input received.</t>
        </is>
      </c>
      <c r="FB80" s="53" t="inlineStr">
        <is>
          <t>• Key challenges: No input received.
• Support required: No input received.</t>
        </is>
      </c>
      <c r="FC80" s="53" t="n"/>
      <c r="FD80" s="53" t="n"/>
      <c r="FE80" s="57" t="inlineStr">
        <is>
          <t>1. Complete assigned conversion/formatting tasks with &gt;=99% accuracy · zero critical errors.
2. Meet 100% of client publishing deadlines · no SLA breaches.
3. Should be well verse with conversion of all RBI documents.
4. Should be well verse with handling of all RBI portal updates/uploads.
5. Should be able to perform QC activity.</t>
        </is>
      </c>
      <c r="FF80" s="56" t="n"/>
      <c r="FG80" s="56" t="n"/>
      <c r="FH80" s="56" t="n"/>
      <c r="FI80" s="56" t="n"/>
      <c r="FJ80" s="56" t="inlineStr">
        <is>
          <t>Received · manager annual</t>
        </is>
      </c>
      <c r="FK80" s="56" t="inlineStr">
        <is>
          <t>CARBON Mapping Master</t>
        </is>
      </c>
      <c r="FL80" s="56" t="n">
        <v>20</v>
      </c>
      <c r="FM80" s="56" t="inlineStr">
        <is>
          <t>• Role / sub-team: Digitizing — Consultant.
• Core purpose: My purpose is to convert word/pdf documents data to html that will be published on RBI Website.
• Decision-making autonomy: No input received.
• Is this something only they do: No input received.</t>
        </is>
      </c>
      <c r="FN80" s="56" t="inlineStr">
        <is>
          <t>• Key responsibilities include: RBI data in form of HTML.
• Impact if missed or done wrong: No input received.
• How measured: No input received.</t>
        </is>
      </c>
      <c r="FO80" s="56" t="inlineStr">
        <is>
          <t>• Current capabilities: No input received.
• Tools / software used: No input received.</t>
        </is>
      </c>
      <c r="FP80" s="56" t="inlineStr">
        <is>
          <t>• Development priorities: No input received.</t>
        </is>
      </c>
      <c r="FQ80" s="56" t="inlineStr">
        <is>
          <t>• Key challenges: No input received.
• Support required: No input received.</t>
        </is>
      </c>
      <c r="FR80" s="56" t="inlineStr">
        <is>
          <t>Complexity: Evidence reads like A2: Converts Word / PDF to HTML in Dreamweaver via a structured process → matches the start
Autonomy: Evidence reads like A2: Decides HTML formatting structure and edits → matches the start
Accountability: Evidence reads like A2: Accurate, complete HTML ready for RBI website publication → matches the start
Leadership: Evidence reads like A1: No guidance or leadership of others described → matches the start
Business Impact: Moved +0.5: the survey / manager mapping marks it business-critical.</t>
        </is>
      </c>
      <c r="FS80" s="56" t="inlineStr">
        <is>
          <t>Common themes in role-holders' answers: documents · data · purpose · requirements
Common themes in role-holders' answers: formatting · quality · review · data · checking · document
Common themes in role-holders' answers: formatted · documents · html
Common themes in role-holders' answers: am · accountable · every · formatting
If the work is missed · role-holders' themes: rework · delays · delivery · incorrect · errors.</t>
        </is>
      </c>
      <c r="FT80" s="56" t="inlineStr">
        <is>
          <t>Self-identified: Broader exposure &amp; ownership
For the next role: AI / automation · Project / programme management · Data, SQL &amp; analytics · Broader exposure &amp; ownership</t>
        </is>
      </c>
      <c r="FU80" s="56" t="inlineStr">
        <is>
          <t>Per-person summary · CARBON Mapping Master</t>
        </is>
      </c>
    </row>
    <row r="81" ht="90" customHeight="1">
      <c r="A81" s="51" t="inlineStr">
        <is>
          <t>◂ Back</t>
        </is>
      </c>
      <c r="B81" s="29" t="inlineStr">
        <is>
          <t>Mapped</t>
        </is>
      </c>
      <c r="C81" s="28" t="inlineStr">
        <is>
          <t>CARBON</t>
        </is>
      </c>
      <c r="D81" s="29" t="inlineStr">
        <is>
          <t>IRIS1005</t>
        </is>
      </c>
      <c r="E81" s="29" t="inlineStr">
        <is>
          <t>Datta Hatagale</t>
        </is>
      </c>
      <c r="F81" s="29" t="inlineStr">
        <is>
          <t>Digitizing</t>
        </is>
      </c>
      <c r="G81" s="29" t="inlineStr">
        <is>
          <t>Image Processing Specialist</t>
        </is>
      </c>
      <c r="H81" s="29" t="inlineStr">
        <is>
          <t>Customer Enablement Specialist – POD Lead</t>
        </is>
      </c>
      <c r="I81" s="29" t="inlineStr">
        <is>
          <t>L3 – Professional / Associate</t>
        </is>
      </c>
      <c r="J81" s="29" t="inlineStr">
        <is>
          <t>B1</t>
        </is>
      </c>
      <c r="K81" s="29" t="inlineStr">
        <is>
          <t>▲ Up</t>
        </is>
      </c>
      <c r="L81" s="29" t="inlineStr">
        <is>
          <t>Customer Success &amp; Support</t>
        </is>
      </c>
      <c r="M81" s="29" t="inlineStr">
        <is>
          <t>Customer Training &amp; Enablement</t>
        </is>
      </c>
      <c r="N81" s="29" t="n"/>
      <c r="O81" s="29" t="n">
        <v>20</v>
      </c>
      <c r="P81" s="28" t="inlineStr">
        <is>
          <t>P3 / M2</t>
        </is>
      </c>
      <c r="Q81" s="29" t="inlineStr">
        <is>
          <t>Career / · Team Lead</t>
        </is>
      </c>
      <c r="R81" s="29" t="inlineStr">
        <is>
          <t>4 Enable</t>
        </is>
      </c>
      <c r="S81" s="29" t="inlineStr">
        <is>
          <t>4–7 yrs</t>
        </is>
      </c>
      <c r="T81" s="29" t="inlineStr">
        <is>
          <t>5–8 · 4–8</t>
        </is>
      </c>
      <c r="U81" s="29" t="inlineStr">
        <is>
          <t>Senior Executive / CSM</t>
        </is>
      </c>
      <c r="V81" s="29" t="inlineStr">
        <is>
          <t>Workiva: Customer Success Manager · IRIS Vs Competitor Benchmark — SaaS customer-success ladder: CSM · IRIS Vs Competitor Benchmark — support tiers: L3 / Problem Analyst</t>
        </is>
      </c>
      <c r="W81" s="29" t="inlineStr">
        <is>
          <t>TSIA frameworks and benchmarks; ITIL 4 service desk; Gainsight customer-success practice</t>
        </is>
      </c>
      <c r="X81" s="29" t="inlineStr">
        <is>
          <t>Core 3 · Future 3 · Functional 3 · Leadership 2</t>
        </is>
      </c>
      <c r="Y81" s="52" t="n">
        <v>103</v>
      </c>
      <c r="Z81" s="53" t="inlineStr">
        <is>
          <t>IRIS1005</t>
        </is>
      </c>
      <c r="AA81" s="53" t="inlineStr">
        <is>
          <t>Employee</t>
        </is>
      </c>
      <c r="AB81" s="53" t="inlineStr">
        <is>
          <t>Active</t>
        </is>
      </c>
      <c r="AC81" s="53" t="inlineStr">
        <is>
          <t>Datta Hatagale</t>
        </is>
      </c>
      <c r="AD81" s="54" t="n">
        <v>40840</v>
      </c>
      <c r="AE81" s="53" t="inlineStr">
        <is>
          <t>Image Processing Specialist</t>
        </is>
      </c>
      <c r="AF81" s="53" t="inlineStr">
        <is>
          <t>BA</t>
        </is>
      </c>
      <c r="AG81" s="53" t="inlineStr">
        <is>
          <t>Vijay Parulekar</t>
        </is>
      </c>
      <c r="AH81" s="53" t="inlineStr">
        <is>
          <t>N-6</t>
        </is>
      </c>
      <c r="AI81" s="53" t="inlineStr">
        <is>
          <t>Manager</t>
        </is>
      </c>
      <c r="AJ81" s="53" t="inlineStr">
        <is>
          <t>0 years, 0 months, 0 days</t>
        </is>
      </c>
      <c r="AK81" s="53" t="inlineStr">
        <is>
          <t>14 years, 10 months, 1 days</t>
        </is>
      </c>
      <c r="AL81" s="53" t="inlineStr">
        <is>
          <t>Regtech</t>
        </is>
      </c>
      <c r="AM81" s="53" t="inlineStr">
        <is>
          <t>CARBON</t>
        </is>
      </c>
      <c r="AN81" s="53" t="inlineStr">
        <is>
          <t>Digitizing</t>
        </is>
      </c>
      <c r="AO81" s="53" t="inlineStr">
        <is>
          <t>Digitizing Assisted services</t>
        </is>
      </c>
      <c r="AP81" s="53" t="inlineStr">
        <is>
          <t>No</t>
        </is>
      </c>
      <c r="AQ81" s="53" t="inlineStr">
        <is>
          <t>Professional Services</t>
        </is>
      </c>
      <c r="AR81" s="53" t="inlineStr">
        <is>
          <t>OCR/Image procesing</t>
        </is>
      </c>
      <c r="AS81" s="53" t="inlineStr">
        <is>
          <t>Non-technical</t>
        </is>
      </c>
      <c r="AT81" s="53" t="n">
        <v>20</v>
      </c>
      <c r="AU81" s="53" t="inlineStr">
        <is>
          <t>Covered</t>
        </is>
      </c>
      <c r="AV81" s="53" t="inlineStr">
        <is>
          <t>IRIS1005</t>
        </is>
      </c>
      <c r="AW81" s="53" t="inlineStr">
        <is>
          <t>Datta Hatagale</t>
        </is>
      </c>
      <c r="AX81" s="53" t="inlineStr">
        <is>
          <t>Digitizing</t>
        </is>
      </c>
      <c r="AY81" s="53" t="inlineStr">
        <is>
          <t>Professional Services</t>
        </is>
      </c>
      <c r="AZ81" s="53" t="inlineStr">
        <is>
          <t>Digitization &amp; Image Processing</t>
        </is>
      </c>
      <c r="BA81" s="53" t="n"/>
      <c r="BB81" s="53" t="n"/>
      <c r="BC81" s="53" t="inlineStr">
        <is>
          <t>Employee</t>
        </is>
      </c>
      <c r="BD81" s="53" t="inlineStr">
        <is>
          <t>Vijay Parulekar</t>
        </is>
      </c>
      <c r="BE81" s="53" t="inlineStr">
        <is>
          <t>Vijay Digamber Parulekar</t>
        </is>
      </c>
      <c r="BF81" s="53" t="inlineStr">
        <is>
          <t>No</t>
        </is>
      </c>
      <c r="BG81" s="53" t="inlineStr">
        <is>
          <t>Image Processing Specialist</t>
        </is>
      </c>
      <c r="BH81" s="53" t="inlineStr">
        <is>
          <t>Digitizing Lead</t>
        </is>
      </c>
      <c r="BI81" s="53" t="inlineStr">
        <is>
          <t>Yes</t>
        </is>
      </c>
      <c r="BJ81" s="53" t="n">
        <v>4</v>
      </c>
      <c r="BK81" s="53" t="n">
        <v>0</v>
      </c>
      <c r="BL81" s="53" t="n">
        <v>4</v>
      </c>
      <c r="BM81" s="53" t="inlineStr">
        <is>
          <t>Review</t>
        </is>
      </c>
      <c r="BN81" s="53" t="n">
        <v>4</v>
      </c>
      <c r="BO81" s="53" t="n">
        <v>0</v>
      </c>
      <c r="BP81" s="53" t="n">
        <v>4</v>
      </c>
      <c r="BQ81" s="53" t="inlineStr">
        <is>
          <t>Review</t>
        </is>
      </c>
      <c r="BR81" s="53" t="inlineStr">
        <is>
          <t>No</t>
        </is>
      </c>
      <c r="BS81" s="53" t="inlineStr">
        <is>
          <t>L3 – Professional / Associate</t>
        </is>
      </c>
      <c r="BT81" s="53" t="inlineStr">
        <is>
          <t>L3</t>
        </is>
      </c>
      <c r="BU81" s="53" t="inlineStr">
        <is>
          <t>Designation refined from Raw tab Comments column · this update</t>
        </is>
      </c>
      <c r="BV81" s="53"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capabilities to work in more than 2 mandates/products. Ultimate goal should be able to work in all OCR/Formatting mandates.
6. Conduct monthly knowledge sessions in order to Cross-skill team: Capable on at least more than two OCR/Formatting mandates</t>
        </is>
      </c>
      <c r="BW81" s="53" t="n"/>
      <c r="BX81" s="53" t="inlineStr">
        <is>
          <t>UK - HMRC; India - MCA; South Africa - CIPC; Europe - ESEF; Netherland - KVK.</t>
        </is>
      </c>
      <c r="BY81" s="53" t="n"/>
      <c r="BZ81" s="53" t="inlineStr">
        <is>
          <t>IRIS1005</t>
        </is>
      </c>
      <c r="CA81" s="53" t="inlineStr">
        <is>
          <t>Employee</t>
        </is>
      </c>
      <c r="CB81" s="53" t="inlineStr">
        <is>
          <t>Active</t>
        </is>
      </c>
      <c r="CC81" s="53" t="inlineStr">
        <is>
          <t>Datta Hatagale</t>
        </is>
      </c>
      <c r="CD81" s="54" t="n">
        <v>40840</v>
      </c>
      <c r="CE81" s="53" t="inlineStr">
        <is>
          <t>Image Processing Specialist</t>
        </is>
      </c>
      <c r="CF81" s="53" t="n"/>
      <c r="CG81" s="53" t="inlineStr">
        <is>
          <t>Professional Services</t>
        </is>
      </c>
      <c r="CH81" s="53" t="inlineStr">
        <is>
          <t>Digitization &amp; Image Processing</t>
        </is>
      </c>
      <c r="CI81" s="53" t="inlineStr">
        <is>
          <t>Image Processing Specialist</t>
        </is>
      </c>
      <c r="CJ81" s="53" t="inlineStr">
        <is>
          <t>L3 – Professional / Associate</t>
        </is>
      </c>
      <c r="CK81" s="53" t="inlineStr">
        <is>
          <t>Vijay Parulekar</t>
        </is>
      </c>
      <c r="CL81" s="53" t="inlineStr">
        <is>
          <t>N-6</t>
        </is>
      </c>
      <c r="CM81" s="53" t="inlineStr">
        <is>
          <t>Player Cum Coach</t>
        </is>
      </c>
      <c r="CN81" s="53" t="inlineStr">
        <is>
          <t>Regtech</t>
        </is>
      </c>
      <c r="CO81" s="53" t="inlineStr">
        <is>
          <t>Digitizing</t>
        </is>
      </c>
      <c r="CP81" s="53" t="inlineStr">
        <is>
          <t>14 years, 7 months, 27 days</t>
        </is>
      </c>
      <c r="CQ81" s="53" t="inlineStr">
        <is>
          <t>Sr.Image Processing Specialist</t>
        </is>
      </c>
      <c r="CR81" s="53" t="n"/>
      <c r="CS81" s="53" t="n">
        <v>4</v>
      </c>
      <c r="CT81" s="53" t="inlineStr">
        <is>
          <t>High</t>
        </is>
      </c>
      <c r="CU81" s="53" t="inlineStr">
        <is>
          <t>Core Contributor</t>
        </is>
      </c>
      <c r="CV81" s="53" t="inlineStr">
        <is>
          <t>No</t>
        </is>
      </c>
      <c r="CW81" s="53" t="inlineStr">
        <is>
          <t>No</t>
        </is>
      </c>
      <c r="CX81" s="53" t="inlineStr">
        <is>
          <t>Yes</t>
        </is>
      </c>
      <c r="CY81" s="53" t="n"/>
      <c r="CZ81" s="53" t="n"/>
      <c r="DA81" s="53" t="n"/>
      <c r="DB81" s="53" t="inlineStr">
        <is>
          <t>Title to be changed to Digitizing Lead</t>
        </is>
      </c>
      <c r="DC81" s="53" t="n"/>
      <c r="DD81" s="53" t="n"/>
      <c r="DE81" s="53" t="n"/>
      <c r="DF81" s="53" t="n"/>
      <c r="DG81" s="53" t="n"/>
      <c r="DH81" s="53" t="n"/>
      <c r="DI81" s="53" t="n"/>
      <c r="DJ81" s="53" t="n"/>
      <c r="DK81" s="53" t="n"/>
      <c r="DL81" s="53" t="n"/>
      <c r="DM81" s="53" t="n"/>
      <c r="DN81" s="53" t="n"/>
      <c r="DO81" s="53" t="n"/>
      <c r="DP81" s="53" t="n"/>
      <c r="DQ81" s="53" t="n"/>
      <c r="DR81" s="53" t="n"/>
      <c r="DS81" s="53" t="n"/>
      <c r="DT81" s="53" t="n"/>
      <c r="DU81" s="53" t="n"/>
      <c r="DV81" s="53" t="n"/>
      <c r="DW81" s="53" t="n"/>
      <c r="DX81" s="53" t="n"/>
      <c r="DY81" s="53" t="n"/>
      <c r="DZ81" s="53" t="n"/>
      <c r="EA81" s="53" t="n"/>
      <c r="EB81" s="53" t="n"/>
      <c r="EC81" s="53" t="n"/>
      <c r="ED81" s="53" t="n"/>
      <c r="EE81" s="53" t="n"/>
      <c r="EF81" s="53" t="n"/>
      <c r="EG81" s="53" t="n"/>
      <c r="EH81" s="53" t="n"/>
      <c r="EI81" s="53" t="n"/>
      <c r="EJ81" s="53" t="n"/>
      <c r="EK81" s="53" t="n"/>
      <c r="EL81" s="53" t="n"/>
      <c r="EM81" s="53" t="n"/>
      <c r="EN81" s="53" t="n"/>
      <c r="EO81" s="53" t="n"/>
      <c r="EP81" s="53" t="n"/>
      <c r="EQ81" s="53" t="n"/>
      <c r="ER81" s="53" t="n"/>
      <c r="ES81" s="53" t="n"/>
      <c r="ET81" s="53" t="n"/>
      <c r="EU81" s="53" t="n"/>
      <c r="EV81" s="53" t="n"/>
      <c r="EW81" s="52" t="n"/>
      <c r="EX81" s="53" t="inlineStr">
        <is>
          <t>• Role / sub-team: Digitizing assisted services.</t>
        </is>
      </c>
      <c r="EY81" s="53" t="inlineStr">
        <is>
          <t>• Key responsibilities include: Formatting check ESEF and EU DM, UK HTML conversion, Data analyst; Formatting check &amp; Review, mail to service team.
• Reported deliverables and outcomes include: Completed DM files go to the service team after a formatting check, along with client feedback; work is carried out under the guidance of the service and support teams.</t>
        </is>
      </c>
      <c r="EZ81" s="53" t="inlineStr">
        <is>
          <t>• Current capabilities: AI tool skills; Copilot; Tools / software used: Both.</t>
        </is>
      </c>
      <c r="FA81" s="53" t="inlineStr">
        <is>
          <t>• Communications skills.
• Presentation skills.</t>
        </is>
      </c>
      <c r="FB81" s="53" t="inlineStr">
        <is>
          <t>• Key challenges: Quality of report, RDP issue.
• Support required: No input received.</t>
        </is>
      </c>
      <c r="FC81" s="53" t="n"/>
      <c r="FD81" s="53" t="n"/>
      <c r="FE81" s="57"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capabilities to work in more than 2 mandates/products. Ultimate goal should be able to work in all OCR/Formatting mandates.
6. Conduct monthly knowledge sessions in order to Cross-skill team: Capable on at least more than two OCR/Formatting mandates</t>
        </is>
      </c>
      <c r="FF81" s="56" t="n"/>
      <c r="FG81" s="56" t="n"/>
      <c r="FH81" s="56" t="n"/>
      <c r="FI81" s="56" t="n"/>
      <c r="FJ81" s="56" t="inlineStr">
        <is>
          <t>Received · manager annual</t>
        </is>
      </c>
      <c r="FK81" s="56" t="inlineStr">
        <is>
          <t>CARBON Mapping Master</t>
        </is>
      </c>
      <c r="FL81" s="56" t="n">
        <v>20</v>
      </c>
      <c r="FM81" s="56" t="inlineStr">
        <is>
          <t>• Role / sub-team: Digitizing assisted services.</t>
        </is>
      </c>
      <c r="FN81" s="56" t="inlineStr">
        <is>
          <t>• Key responsibilities include: Formatting check ESEF and EU DM, UK HTML conversion, Data analyst; Formatting check &amp; Review, mail to service team.
• Reported deliverables and outcomes include: Completed DM files go to the service team after a formatting check, along with client feedback; work is carried out under the guidance of the service and support teams.</t>
        </is>
      </c>
      <c r="FO81" s="56" t="inlineStr">
        <is>
          <t>• Current capabilities: AI tool skills; Copilot; Tools / software used: Both.</t>
        </is>
      </c>
      <c r="FP81" s="56" t="inlineStr">
        <is>
          <t>• Communications skills.
• Presentation skills.</t>
        </is>
      </c>
      <c r="FQ81" s="56" t="inlineStr">
        <is>
          <t>• Key challenges: Quality of report, RDP issue.
• Support required: No input received.</t>
        </is>
      </c>
      <c r="FR81" s="56" t="inlineStr">
        <is>
          <t>Business Impact: Moved +0.5: the survey / manager mapping marks it business-critical.</t>
        </is>
      </c>
      <c r="FS81" s="56" t="n"/>
      <c r="FT81" s="56" t="inlineStr">
        <is>
          <t>Self-identified: AI / automation · Leadership &amp; people management · Project / programme management
For the next role: AI / automation · Leadership &amp; people management · Project / programme management</t>
        </is>
      </c>
      <c r="FU81" s="56" t="inlineStr">
        <is>
          <t>Per-person summary · CARBON Mapping Master</t>
        </is>
      </c>
    </row>
    <row r="82" ht="90" customHeight="1">
      <c r="A82" s="51" t="inlineStr">
        <is>
          <t>◂ Back</t>
        </is>
      </c>
      <c r="B82" s="29" t="inlineStr">
        <is>
          <t>Mapped</t>
        </is>
      </c>
      <c r="C82" s="28" t="inlineStr">
        <is>
          <t>CARBON</t>
        </is>
      </c>
      <c r="D82" s="29" t="inlineStr">
        <is>
          <t>IRISC238</t>
        </is>
      </c>
      <c r="E82" s="29" t="inlineStr">
        <is>
          <t>Aishwarya Chaulkar</t>
        </is>
      </c>
      <c r="F82" s="29" t="inlineStr">
        <is>
          <t>Digitizing</t>
        </is>
      </c>
      <c r="G82" s="29" t="inlineStr">
        <is>
          <t>Consultant</t>
        </is>
      </c>
      <c r="H82" s="29" t="inlineStr">
        <is>
          <t>Senior Digitization Associate</t>
        </is>
      </c>
      <c r="I82" s="29" t="inlineStr">
        <is>
          <t>L3 – Professional / Associate</t>
        </is>
      </c>
      <c r="J82" s="29" t="inlineStr">
        <is>
          <t>A3</t>
        </is>
      </c>
      <c r="K82" s="29" t="inlineStr">
        <is>
          <t>▲ Up</t>
        </is>
      </c>
      <c r="L82" s="29" t="inlineStr">
        <is>
          <t>Data Operations &amp; Digitization</t>
        </is>
      </c>
      <c r="M82" s="29" t="inlineStr">
        <is>
          <t>Document Conversion, Formatting &amp; Web Publishing</t>
        </is>
      </c>
      <c r="N82" s="29" t="inlineStr">
        <is>
          <t>• Confirm the reporting line — Manager</t>
        </is>
      </c>
      <c r="O82" s="29" t="n">
        <v>20</v>
      </c>
      <c r="P82" s="28" t="inlineStr">
        <is>
          <t>P2</t>
        </is>
      </c>
      <c r="Q82" s="29" t="inlineStr">
        <is>
          <t>Developing</t>
        </is>
      </c>
      <c r="R82" s="29" t="inlineStr">
        <is>
          <t>3 Apply</t>
        </is>
      </c>
      <c r="S82" s="29" t="inlineStr">
        <is>
          <t>2–4 yrs</t>
        </is>
      </c>
      <c r="T82" s="29" t="inlineStr">
        <is>
          <t>3–5 · 2–5</t>
        </is>
      </c>
      <c r="U82" s="29" t="inlineStr">
        <is>
          <t>Senior Associate</t>
        </is>
      </c>
      <c r="V82" s="29" t="inlineStr">
        <is>
          <t>DataTracks: Senior Associate · 2–5 yrs · Accenture Operations: L10 Senior Analyst · IRIS Vs Competitor Benchmark — operations roles: Senior Processor / QC</t>
        </is>
      </c>
      <c r="W82" s="29" t="inlineStr">
        <is>
          <t>COPC CX Standard · leadership &amp; planning, people, processes, performance; ISO 9001; Lean / Six Sigma</t>
        </is>
      </c>
      <c r="X82" s="29" t="inlineStr">
        <is>
          <t>Core 2 · Future 2 · Functional 3 · Leadership not scored</t>
        </is>
      </c>
      <c r="Y82" s="52" t="n">
        <v>252</v>
      </c>
      <c r="Z82" s="53" t="inlineStr">
        <is>
          <t>IRISC238</t>
        </is>
      </c>
      <c r="AA82" s="53" t="inlineStr">
        <is>
          <t>On Contract</t>
        </is>
      </c>
      <c r="AB82" s="53" t="inlineStr">
        <is>
          <t>Active</t>
        </is>
      </c>
      <c r="AC82" s="53" t="inlineStr">
        <is>
          <t>Aishwarya Chaulkar</t>
        </is>
      </c>
      <c r="AD82" s="54" t="n">
        <v>44872</v>
      </c>
      <c r="AE82" s="53" t="inlineStr">
        <is>
          <t>Consultant</t>
        </is>
      </c>
      <c r="AF82" s="53" t="inlineStr">
        <is>
          <t>B.Com</t>
        </is>
      </c>
      <c r="AG82" s="53" t="inlineStr">
        <is>
          <t>Datta Hatagale</t>
        </is>
      </c>
      <c r="AH82" s="53" t="inlineStr">
        <is>
          <t>N-7</t>
        </is>
      </c>
      <c r="AI82" s="53" t="inlineStr">
        <is>
          <t>Individual Contributor</t>
        </is>
      </c>
      <c r="AJ82" s="53" t="inlineStr">
        <is>
          <t>0 years, 0 months, 0 days</t>
        </is>
      </c>
      <c r="AK82" s="53" t="inlineStr">
        <is>
          <t>3 years, 9 months, 18 days</t>
        </is>
      </c>
      <c r="AL82" s="53" t="inlineStr">
        <is>
          <t>Regtech</t>
        </is>
      </c>
      <c r="AM82" s="53" t="inlineStr">
        <is>
          <t>CARBON</t>
        </is>
      </c>
      <c r="AN82" s="53" t="inlineStr">
        <is>
          <t>Digitizing</t>
        </is>
      </c>
      <c r="AO82" s="53" t="inlineStr">
        <is>
          <t>Digitizing Assisted services</t>
        </is>
      </c>
      <c r="AP82" s="53" t="inlineStr">
        <is>
          <t>No</t>
        </is>
      </c>
      <c r="AQ82" s="53" t="inlineStr">
        <is>
          <t>Professional Services</t>
        </is>
      </c>
      <c r="AR82" s="53" t="inlineStr">
        <is>
          <t>OCR/Image procesing</t>
        </is>
      </c>
      <c r="AS82" s="53" t="inlineStr">
        <is>
          <t>Non-technical</t>
        </is>
      </c>
      <c r="AT82" s="53" t="n">
        <v>20</v>
      </c>
      <c r="AU82" s="53" t="inlineStr">
        <is>
          <t>Covered</t>
        </is>
      </c>
      <c r="AV82" s="53" t="inlineStr">
        <is>
          <t>IRISC238</t>
        </is>
      </c>
      <c r="AW82" s="53" t="inlineStr">
        <is>
          <t>Aishwarya Chaulkar</t>
        </is>
      </c>
      <c r="AX82" s="53" t="inlineStr">
        <is>
          <t>Digitizing</t>
        </is>
      </c>
      <c r="AY82" s="53" t="inlineStr">
        <is>
          <t>Professional Services</t>
        </is>
      </c>
      <c r="AZ82" s="53" t="inlineStr">
        <is>
          <t>Digitization &amp; Image Processing</t>
        </is>
      </c>
      <c r="BA82" s="53" t="n"/>
      <c r="BB82" s="53" t="n"/>
      <c r="BC82" s="53" t="inlineStr">
        <is>
          <t>On Contract</t>
        </is>
      </c>
      <c r="BD82" s="53" t="inlineStr">
        <is>
          <t>Datta Hatagale</t>
        </is>
      </c>
      <c r="BE82" s="53" t="inlineStr">
        <is>
          <t>Tejas Subhash Kat</t>
        </is>
      </c>
      <c r="BF82" s="53" t="inlineStr">
        <is>
          <t>No</t>
        </is>
      </c>
      <c r="BG82" s="53" t="inlineStr">
        <is>
          <t>Consultant</t>
        </is>
      </c>
      <c r="BH82" s="53" t="inlineStr">
        <is>
          <t>Consultant</t>
        </is>
      </c>
      <c r="BI82" s="53" t="inlineStr">
        <is>
          <t>No</t>
        </is>
      </c>
      <c r="BJ82" s="53" t="inlineStr">
        <is>
          <t>—</t>
        </is>
      </c>
      <c r="BK82" s="53" t="inlineStr">
        <is>
          <t>—</t>
        </is>
      </c>
      <c r="BL82" s="53" t="inlineStr">
        <is>
          <t>—</t>
        </is>
      </c>
      <c r="BM82" s="53" t="inlineStr">
        <is>
          <t>Not a manager</t>
        </is>
      </c>
      <c r="BN82" s="53" t="inlineStr">
        <is>
          <t>—</t>
        </is>
      </c>
      <c r="BO82" s="53" t="inlineStr">
        <is>
          <t>—</t>
        </is>
      </c>
      <c r="BP82" s="53" t="inlineStr">
        <is>
          <t>—</t>
        </is>
      </c>
      <c r="BQ82" s="53" t="inlineStr">
        <is>
          <t>Not a manager</t>
        </is>
      </c>
      <c r="BR82" s="53" t="inlineStr">
        <is>
          <t>—</t>
        </is>
      </c>
      <c r="BS82" s="53" t="inlineStr">
        <is>
          <t>L3 – Professional / Associate</t>
        </is>
      </c>
      <c r="BT82" s="53" t="inlineStr">
        <is>
          <t>L3 – Professional / Associate</t>
        </is>
      </c>
      <c r="BU82" s="53" t="inlineStr">
        <is>
          <t>No designation change — current record value carried forward</t>
        </is>
      </c>
      <c r="BV82" s="53"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BW82" s="53" t="n"/>
      <c r="BX82" s="53" t="inlineStr">
        <is>
          <t>UK - HMRC; India - MCA; South Africa - CIPC; Europe - ESEF; Nigeria - CBN; Netherland - KVK · On Contract.</t>
        </is>
      </c>
      <c r="BY82" s="53" t="n"/>
      <c r="BZ82" s="53" t="inlineStr">
        <is>
          <t>IRISC238</t>
        </is>
      </c>
      <c r="CA82" s="53" t="inlineStr">
        <is>
          <t>On Contract</t>
        </is>
      </c>
      <c r="CB82" s="53" t="inlineStr">
        <is>
          <t>Active</t>
        </is>
      </c>
      <c r="CC82" s="53" t="inlineStr">
        <is>
          <t>Aishwarya Chaulkar</t>
        </is>
      </c>
      <c r="CD82" s="54" t="n">
        <v>44872</v>
      </c>
      <c r="CE82" s="53" t="inlineStr">
        <is>
          <t>Consultant</t>
        </is>
      </c>
      <c r="CF82" s="53" t="n"/>
      <c r="CG82" s="53" t="inlineStr">
        <is>
          <t>Professional Services</t>
        </is>
      </c>
      <c r="CH82" s="53" t="inlineStr">
        <is>
          <t>Digitization &amp; Image Processing</t>
        </is>
      </c>
      <c r="CI82" s="53" t="inlineStr">
        <is>
          <t>Consultant</t>
        </is>
      </c>
      <c r="CJ82" s="53" t="inlineStr">
        <is>
          <t>L3 – Professional / Associate</t>
        </is>
      </c>
      <c r="CK82" s="53" t="inlineStr">
        <is>
          <t>Datta Hatagale</t>
        </is>
      </c>
      <c r="CL82" s="53" t="inlineStr">
        <is>
          <t>N-7</t>
        </is>
      </c>
      <c r="CM82" s="53" t="inlineStr">
        <is>
          <t>Individual Contributor</t>
        </is>
      </c>
      <c r="CN82" s="53" t="inlineStr">
        <is>
          <t>Regtech</t>
        </is>
      </c>
      <c r="CO82" s="53" t="inlineStr">
        <is>
          <t>Digitizing</t>
        </is>
      </c>
      <c r="CP82" s="53" t="inlineStr">
        <is>
          <t>3 years, 7 months, 13 days</t>
        </is>
      </c>
      <c r="CQ82" s="53" t="inlineStr">
        <is>
          <t>Consultant</t>
        </is>
      </c>
      <c r="CR82" s="53" t="n"/>
      <c r="CS82" s="53" t="n">
        <v>3</v>
      </c>
      <c r="CT82" s="53" t="inlineStr">
        <is>
          <t>High</t>
        </is>
      </c>
      <c r="CU82" s="53" t="inlineStr">
        <is>
          <t>Core Contributor</t>
        </is>
      </c>
      <c r="CV82" s="53" t="inlineStr">
        <is>
          <t>No</t>
        </is>
      </c>
      <c r="CW82" s="53" t="inlineStr">
        <is>
          <t>No</t>
        </is>
      </c>
      <c r="CX82" s="53" t="inlineStr">
        <is>
          <t>Yes</t>
        </is>
      </c>
      <c r="CY82" s="53" t="n"/>
      <c r="CZ82" s="53" t="n"/>
      <c r="DA82" s="53" t="n"/>
      <c r="DB82" s="53" t="n"/>
      <c r="DC82" s="53" t="n"/>
      <c r="DD82" s="53" t="n"/>
      <c r="DE82" s="53" t="n"/>
      <c r="DF82" s="53" t="n"/>
      <c r="DG82" s="53" t="n"/>
      <c r="DH82" s="53" t="n"/>
      <c r="DI82" s="53" t="n"/>
      <c r="DJ82" s="53" t="n"/>
      <c r="DK82" s="53" t="n"/>
      <c r="DL82" s="53" t="n"/>
      <c r="DM82" s="53" t="n"/>
      <c r="DN82" s="53" t="n"/>
      <c r="DO82" s="53" t="n"/>
      <c r="DP82" s="53" t="n"/>
      <c r="DQ82" s="53" t="n"/>
      <c r="DR82" s="53" t="n"/>
      <c r="DS82" s="53" t="n"/>
      <c r="DT82" s="53" t="n"/>
      <c r="DU82" s="53" t="n"/>
      <c r="DV82" s="53" t="n"/>
      <c r="DW82" s="53" t="n"/>
      <c r="DX82" s="53" t="n"/>
      <c r="DY82" s="53" t="n"/>
      <c r="DZ82" s="53" t="n"/>
      <c r="EA82" s="53" t="n"/>
      <c r="EB82" s="53" t="n"/>
      <c r="EC82" s="53" t="n"/>
      <c r="ED82" s="53" t="n"/>
      <c r="EE82" s="53" t="n"/>
      <c r="EF82" s="53" t="n"/>
      <c r="EG82" s="53" t="n"/>
      <c r="EH82" s="53" t="n"/>
      <c r="EI82" s="53" t="n"/>
      <c r="EJ82" s="53" t="n"/>
      <c r="EK82" s="53" t="n"/>
      <c r="EL82" s="53" t="n"/>
      <c r="EM82" s="53" t="n"/>
      <c r="EN82" s="53" t="n"/>
      <c r="EO82" s="53" t="n"/>
      <c r="EP82" s="53" t="n"/>
      <c r="EQ82" s="53" t="n"/>
      <c r="ER82" s="53" t="n"/>
      <c r="ES82" s="53" t="n"/>
      <c r="ET82" s="53" t="n"/>
      <c r="EU82" s="53" t="n"/>
      <c r="EV82" s="53" t="n"/>
      <c r="EW82" s="52" t="n"/>
      <c r="EX82" s="53" t="inlineStr">
        <is>
          <t>• Role / sub-team: Digitizing Assisted Service.</t>
        </is>
      </c>
      <c r="EY82" s="53" t="inlineStr">
        <is>
          <t>• Key responsibilities include: ESEF QC and EU DM formatting, CIPC, MCA UK HTML Conversation and review.
• Reported deliverables and outcomes include: Once file formatting and convention completed will send the file service team for tagging.</t>
        </is>
      </c>
      <c r="EZ82" s="53" t="inlineStr">
        <is>
          <t>• Current capabilities: Communication skills; Tools / software used: Both | Abbyy FineReader, Microsoft Web Expression, Carbon tool [Teams chat].</t>
        </is>
      </c>
      <c r="FA82" s="53" t="inlineStr">
        <is>
          <t>• Communications skills.
• Presentation skills.</t>
        </is>
      </c>
      <c r="FB82" s="53" t="inlineStr">
        <is>
          <t>• Key challenges: Quality of report, RDP issue.
• Support required: No input received.</t>
        </is>
      </c>
      <c r="FC82" s="53" t="n"/>
      <c r="FD82" s="53" t="n"/>
      <c r="FE82" s="57"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FF82" s="56" t="n"/>
      <c r="FG82" s="56" t="n"/>
      <c r="FH82" s="56" t="n"/>
      <c r="FI82" s="56" t="n"/>
      <c r="FJ82" s="56" t="inlineStr">
        <is>
          <t>Received · manager annual</t>
        </is>
      </c>
      <c r="FK82" s="56" t="inlineStr">
        <is>
          <t>CARBON Mapping Master</t>
        </is>
      </c>
      <c r="FL82" s="56" t="n">
        <v>20</v>
      </c>
      <c r="FM82" s="56" t="inlineStr">
        <is>
          <t>• Role / sub-team: Digitizing Assisted Service.</t>
        </is>
      </c>
      <c r="FN82" s="56" t="inlineStr">
        <is>
          <t>• Key responsibilities include: ESEF QC and EU DM formatting, CIPC, MCA UK HTML Conversation and review.
• Reported deliverables and outcomes include: Once file formatting and convention completed will send the file service team for tagging.</t>
        </is>
      </c>
      <c r="FO82" s="56" t="inlineStr">
        <is>
          <t>• Current capabilities: Communication skills; Tools / software used: Both | Abbyy FineReader, Microsoft Web Expression, Carbon tool [Teams chat].</t>
        </is>
      </c>
      <c r="FP82" s="56" t="inlineStr">
        <is>
          <t>• Communications skills.
• Presentation skills.</t>
        </is>
      </c>
      <c r="FQ82" s="56" t="inlineStr">
        <is>
          <t>• Key challenges: Quality of report, RDP issue.
• Support required: No input received.</t>
        </is>
      </c>
      <c r="FR82" s="56" t="inlineStr">
        <is>
          <t>Complexity: Evidence reads like A3: ESMA allocation, query solving and ESEF QC across EU DM, CIPC, MCA, UK → moved up 0.5
Autonomy: Evidence reads like A3: Takes ESMA edit decisions on own files → moved up 0.5
Accountability: Evidence reads like A2: Accountable for own work; errors cause rework and delays → matches the start
Leadership: Evidence reads like A3: Allocates ESMA files and solves queries; no formal reports → moved up 1
Business Impact: Moved +0.5: the survey / manager mapping marks it business-critical.</t>
        </is>
      </c>
      <c r="FS82" s="56"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FT82" s="56" t="inlineStr">
        <is>
          <t>Self-identified: AI / automation · Data, SQL &amp; analytics · Domain, regulatory &amp; XBRL · Communication &amp; presentation · Broader exposure &amp; ownership
For the next role: AI / automation · Data, SQL &amp; analytics · Domain, regulatory &amp; XBRL · Communication &amp; presentation · Broader exposure &amp; ownership</t>
        </is>
      </c>
      <c r="FU82" s="56" t="inlineStr">
        <is>
          <t>Per-person summary · CARBON Mapping Master</t>
        </is>
      </c>
    </row>
    <row r="83" ht="90" customHeight="1">
      <c r="A83" s="51" t="inlineStr">
        <is>
          <t>◂ Back</t>
        </is>
      </c>
      <c r="B83" s="29" t="inlineStr">
        <is>
          <t>Mapped</t>
        </is>
      </c>
      <c r="C83" s="28" t="inlineStr">
        <is>
          <t>CARBON</t>
        </is>
      </c>
      <c r="D83" s="29" t="inlineStr">
        <is>
          <t>IRISC225</t>
        </is>
      </c>
      <c r="E83" s="29" t="inlineStr">
        <is>
          <t>Shravan Ghadi</t>
        </is>
      </c>
      <c r="F83" s="29" t="inlineStr">
        <is>
          <t>Digitizing</t>
        </is>
      </c>
      <c r="G83" s="29" t="inlineStr">
        <is>
          <t>Consultant</t>
        </is>
      </c>
      <c r="H83" s="29" t="inlineStr">
        <is>
          <t>Senior Digitization Associate</t>
        </is>
      </c>
      <c r="I83" s="29" t="inlineStr">
        <is>
          <t>L3 – Professional / Associate</t>
        </is>
      </c>
      <c r="J83" s="29" t="inlineStr">
        <is>
          <t>A3</t>
        </is>
      </c>
      <c r="K83" s="29" t="inlineStr">
        <is>
          <t>▲ Up</t>
        </is>
      </c>
      <c r="L83" s="29" t="inlineStr">
        <is>
          <t>Data Operations &amp; Digitization</t>
        </is>
      </c>
      <c r="M83" s="29" t="inlineStr">
        <is>
          <t>Document Conversion, Formatting &amp; Web Publishing</t>
        </is>
      </c>
      <c r="N83" s="29" t="n"/>
      <c r="O83" s="29" t="n">
        <v>19</v>
      </c>
      <c r="P83" s="28" t="inlineStr">
        <is>
          <t>P2</t>
        </is>
      </c>
      <c r="Q83" s="29" t="inlineStr">
        <is>
          <t>Developing</t>
        </is>
      </c>
      <c r="R83" s="29" t="inlineStr">
        <is>
          <t>3 Apply</t>
        </is>
      </c>
      <c r="S83" s="29" t="inlineStr">
        <is>
          <t>2–4 yrs</t>
        </is>
      </c>
      <c r="T83" s="29" t="inlineStr">
        <is>
          <t>3–5 · 2–5</t>
        </is>
      </c>
      <c r="U83" s="29" t="inlineStr">
        <is>
          <t>Senior Associate</t>
        </is>
      </c>
      <c r="V83" s="29" t="inlineStr">
        <is>
          <t>DataTracks: Senior Associate · 2–5 yrs · Accenture Operations: L10 Senior Analyst · IRIS Vs Competitor Benchmark — operations roles: Senior Processor / QC</t>
        </is>
      </c>
      <c r="W83" s="29" t="inlineStr">
        <is>
          <t>COPC CX Standard · leadership &amp; planning, people, processes, performance; ISO 9001; Lean / Six Sigma</t>
        </is>
      </c>
      <c r="X83" s="29" t="inlineStr">
        <is>
          <t>Core 2 · Future 2 · Functional 3 · Leadership not scored</t>
        </is>
      </c>
      <c r="Y83" s="52" t="n">
        <v>213</v>
      </c>
      <c r="Z83" s="53" t="inlineStr">
        <is>
          <t>IRISC225</t>
        </is>
      </c>
      <c r="AA83" s="53" t="inlineStr">
        <is>
          <t>On Contract</t>
        </is>
      </c>
      <c r="AB83" s="53" t="inlineStr">
        <is>
          <t>Active</t>
        </is>
      </c>
      <c r="AC83" s="53" t="inlineStr">
        <is>
          <t>Shravan Ghadi</t>
        </is>
      </c>
      <c r="AD83" s="54" t="n">
        <v>44634</v>
      </c>
      <c r="AE83" s="53" t="inlineStr">
        <is>
          <t>Consultant</t>
        </is>
      </c>
      <c r="AF83" s="53" t="inlineStr">
        <is>
          <t>Undergraduate</t>
        </is>
      </c>
      <c r="AG83" s="53" t="inlineStr">
        <is>
          <t>Datta Hatagale</t>
        </is>
      </c>
      <c r="AH83" s="53" t="inlineStr">
        <is>
          <t>N-7</t>
        </is>
      </c>
      <c r="AI83" s="53" t="inlineStr">
        <is>
          <t>Individual Contributor</t>
        </is>
      </c>
      <c r="AJ83" s="53" t="inlineStr">
        <is>
          <t>0 years, 0 months, 0 days</t>
        </is>
      </c>
      <c r="AK83" s="53" t="inlineStr">
        <is>
          <t>4 years, 5 months, 11 days</t>
        </is>
      </c>
      <c r="AL83" s="53" t="inlineStr">
        <is>
          <t>Regtech</t>
        </is>
      </c>
      <c r="AM83" s="53" t="inlineStr">
        <is>
          <t>CARBON</t>
        </is>
      </c>
      <c r="AN83" s="53" t="inlineStr">
        <is>
          <t>Digitizing</t>
        </is>
      </c>
      <c r="AO83" s="53" t="inlineStr">
        <is>
          <t>Digitizing Assisted services</t>
        </is>
      </c>
      <c r="AP83" s="53" t="inlineStr">
        <is>
          <t>No</t>
        </is>
      </c>
      <c r="AQ83" s="53" t="inlineStr">
        <is>
          <t>Professional Services</t>
        </is>
      </c>
      <c r="AR83" s="53" t="inlineStr">
        <is>
          <t>OCR/Image procesing</t>
        </is>
      </c>
      <c r="AS83" s="53" t="inlineStr">
        <is>
          <t>Non-technical</t>
        </is>
      </c>
      <c r="AT83" s="53" t="n">
        <v>20</v>
      </c>
      <c r="AU83" s="53" t="inlineStr">
        <is>
          <t>Covered</t>
        </is>
      </c>
      <c r="AV83" s="53" t="inlineStr">
        <is>
          <t>IRISC225</t>
        </is>
      </c>
      <c r="AW83" s="53" t="inlineStr">
        <is>
          <t>Shravan Ghadi</t>
        </is>
      </c>
      <c r="AX83" s="53" t="inlineStr">
        <is>
          <t>Digitizing</t>
        </is>
      </c>
      <c r="AY83" s="53" t="inlineStr">
        <is>
          <t>Professional Services</t>
        </is>
      </c>
      <c r="AZ83" s="53" t="inlineStr">
        <is>
          <t>Digitization &amp; Image Processing</t>
        </is>
      </c>
      <c r="BA83" s="53" t="n"/>
      <c r="BB83" s="53" t="n"/>
      <c r="BC83" s="53" t="inlineStr">
        <is>
          <t>On Contract</t>
        </is>
      </c>
      <c r="BD83" s="53" t="inlineStr">
        <is>
          <t>Datta Hatagale</t>
        </is>
      </c>
      <c r="BE83" s="53" t="inlineStr">
        <is>
          <t>Janardan Krishna Bale</t>
        </is>
      </c>
      <c r="BF83" s="53" t="inlineStr">
        <is>
          <t>No</t>
        </is>
      </c>
      <c r="BG83" s="53" t="inlineStr">
        <is>
          <t>Consultant</t>
        </is>
      </c>
      <c r="BH83" s="53" t="inlineStr">
        <is>
          <t>Consultant</t>
        </is>
      </c>
      <c r="BI83" s="53" t="inlineStr">
        <is>
          <t>No</t>
        </is>
      </c>
      <c r="BJ83" s="53" t="inlineStr">
        <is>
          <t>—</t>
        </is>
      </c>
      <c r="BK83" s="53" t="inlineStr">
        <is>
          <t>—</t>
        </is>
      </c>
      <c r="BL83" s="53" t="inlineStr">
        <is>
          <t>—</t>
        </is>
      </c>
      <c r="BM83" s="53" t="inlineStr">
        <is>
          <t>Not a manager</t>
        </is>
      </c>
      <c r="BN83" s="53" t="inlineStr">
        <is>
          <t>—</t>
        </is>
      </c>
      <c r="BO83" s="53" t="inlineStr">
        <is>
          <t>—</t>
        </is>
      </c>
      <c r="BP83" s="53" t="inlineStr">
        <is>
          <t>—</t>
        </is>
      </c>
      <c r="BQ83" s="53" t="inlineStr">
        <is>
          <t>Not a manager</t>
        </is>
      </c>
      <c r="BR83" s="53" t="inlineStr">
        <is>
          <t>—</t>
        </is>
      </c>
      <c r="BS83" s="53" t="inlineStr">
        <is>
          <t>L3 – Professional / Associate</t>
        </is>
      </c>
      <c r="BT83" s="53" t="inlineStr">
        <is>
          <t>L3 – Professional / Associate</t>
        </is>
      </c>
      <c r="BU83" s="53" t="inlineStr">
        <is>
          <t>No designation change — current record value carried forward</t>
        </is>
      </c>
      <c r="BV83" s="53"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BW83" s="53" t="n"/>
      <c r="BX83" s="53" t="inlineStr">
        <is>
          <t>USA - SEC; South Africa - CIPC; India - MCA; Europe - ESEF; UK - HMRC · On Contract.</t>
        </is>
      </c>
      <c r="BY83" s="53" t="n"/>
      <c r="BZ83" s="53" t="inlineStr">
        <is>
          <t>IRISC225</t>
        </is>
      </c>
      <c r="CA83" s="53" t="inlineStr">
        <is>
          <t>On Contract</t>
        </is>
      </c>
      <c r="CB83" s="53" t="inlineStr">
        <is>
          <t>Active</t>
        </is>
      </c>
      <c r="CC83" s="53" t="inlineStr">
        <is>
          <t>Shravan Ghadi</t>
        </is>
      </c>
      <c r="CD83" s="54" t="n">
        <v>44634</v>
      </c>
      <c r="CE83" s="53" t="inlineStr">
        <is>
          <t>Consultant</t>
        </is>
      </c>
      <c r="CF83" s="53" t="n"/>
      <c r="CG83" s="53" t="inlineStr">
        <is>
          <t>Professional Services</t>
        </is>
      </c>
      <c r="CH83" s="53" t="inlineStr">
        <is>
          <t>Digitization &amp; Image Processing</t>
        </is>
      </c>
      <c r="CI83" s="53" t="inlineStr">
        <is>
          <t>Consultant</t>
        </is>
      </c>
      <c r="CJ83" s="53" t="inlineStr">
        <is>
          <t>L3 – Professional / Associate</t>
        </is>
      </c>
      <c r="CK83" s="53" t="inlineStr">
        <is>
          <t>Datta Hatagale</t>
        </is>
      </c>
      <c r="CL83" s="53" t="inlineStr">
        <is>
          <t>N-7</t>
        </is>
      </c>
      <c r="CM83" s="53" t="inlineStr">
        <is>
          <t>Individual Contributor</t>
        </is>
      </c>
      <c r="CN83" s="53" t="inlineStr">
        <is>
          <t>Regtech</t>
        </is>
      </c>
      <c r="CO83" s="53" t="inlineStr">
        <is>
          <t>Digitizing</t>
        </is>
      </c>
      <c r="CP83" s="53" t="inlineStr">
        <is>
          <t>4 years, 3 months, 6 days</t>
        </is>
      </c>
      <c r="CQ83" s="53" t="inlineStr">
        <is>
          <t>Consultant</t>
        </is>
      </c>
      <c r="CR83" s="53" t="n"/>
      <c r="CS83" s="53" t="n">
        <v>3</v>
      </c>
      <c r="CT83" s="53" t="inlineStr">
        <is>
          <t>Medium</t>
        </is>
      </c>
      <c r="CU83" s="53" t="inlineStr">
        <is>
          <t>Core Contributor</t>
        </is>
      </c>
      <c r="CV83" s="53" t="inlineStr">
        <is>
          <t>No</t>
        </is>
      </c>
      <c r="CW83" s="53" t="inlineStr">
        <is>
          <t>No</t>
        </is>
      </c>
      <c r="CX83" s="53" t="inlineStr">
        <is>
          <t>Yes</t>
        </is>
      </c>
      <c r="CY83" s="53" t="n"/>
      <c r="CZ83" s="53" t="n"/>
      <c r="DA83" s="53" t="n"/>
      <c r="DB83" s="53" t="n"/>
      <c r="DC83" s="53" t="n"/>
      <c r="DD83" s="53" t="n"/>
      <c r="DE83" s="53" t="n"/>
      <c r="DF83" s="53" t="n"/>
      <c r="DG83" s="53" t="n"/>
      <c r="DH83" s="53" t="n"/>
      <c r="DI83" s="53" t="n"/>
      <c r="DJ83" s="53" t="n"/>
      <c r="DK83" s="53" t="n"/>
      <c r="DL83" s="53" t="n"/>
      <c r="DM83" s="53" t="n"/>
      <c r="DN83" s="53" t="n"/>
      <c r="DO83" s="53" t="n"/>
      <c r="DP83" s="53" t="n"/>
      <c r="DQ83" s="53" t="n"/>
      <c r="DR83" s="53" t="n"/>
      <c r="DS83" s="53" t="n"/>
      <c r="DT83" s="53" t="n"/>
      <c r="DU83" s="53" t="n"/>
      <c r="DV83" s="53" t="n"/>
      <c r="DW83" s="53" t="n"/>
      <c r="DX83" s="53" t="n"/>
      <c r="DY83" s="53" t="n"/>
      <c r="DZ83" s="53" t="n"/>
      <c r="EA83" s="53" t="n"/>
      <c r="EB83" s="53" t="n"/>
      <c r="EC83" s="53" t="n"/>
      <c r="ED83" s="53" t="n"/>
      <c r="EE83" s="53" t="n"/>
      <c r="EF83" s="53" t="n"/>
      <c r="EG83" s="53" t="n"/>
      <c r="EH83" s="53" t="n"/>
      <c r="EI83" s="53" t="n"/>
      <c r="EJ83" s="53" t="n"/>
      <c r="EK83" s="53" t="n"/>
      <c r="EL83" s="53" t="n"/>
      <c r="EM83" s="53" t="n"/>
      <c r="EN83" s="53" t="n"/>
      <c r="EO83" s="53" t="n"/>
      <c r="EP83" s="53" t="n"/>
      <c r="EQ83" s="53" t="n"/>
      <c r="ER83" s="53" t="n"/>
      <c r="ES83" s="53" t="n"/>
      <c r="ET83" s="53" t="n"/>
      <c r="EU83" s="53" t="n"/>
      <c r="EV83" s="53" t="n"/>
      <c r="EW83" s="52" t="n"/>
      <c r="EX83" s="53" t="inlineStr">
        <is>
          <t>• Role / sub-team: Digitising Assited Services.</t>
        </is>
      </c>
      <c r="EY83" s="53" t="inlineStr">
        <is>
          <t>• Key responsibilities include: Us sec and dm formatting and review the documents and cipc , uk , mca conversation from word and pdf document.
• Reported deliverables and outcomes include: Once files formatting and conversion completed will send the file to service team.</t>
        </is>
      </c>
      <c r="EZ83" s="53" t="inlineStr">
        <is>
          <t>• Current capabilities: Use of ai for tools; Tools / software used:  HTML - Editor | Abbyy FineReader, Microsoft Web Expression · CIPC HTML conversion</t>
        </is>
      </c>
      <c r="FA83" s="53" t="inlineStr">
        <is>
          <t>• Communications skills.
• Presentation skills.</t>
        </is>
      </c>
      <c r="FB83" s="53" t="inlineStr">
        <is>
          <t>• Key challenges: Quality of report, RDP issue.
• Support required: No input received.</t>
        </is>
      </c>
      <c r="FC83" s="53" t="n"/>
      <c r="FD83" s="53" t="n"/>
      <c r="FE83" s="57"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FF83" s="56" t="n"/>
      <c r="FG83" s="56" t="n"/>
      <c r="FH83" s="56" t="n"/>
      <c r="FI83" s="56" t="n"/>
      <c r="FJ83" s="56" t="inlineStr">
        <is>
          <t>Received · manager annual</t>
        </is>
      </c>
      <c r="FK83" s="56" t="inlineStr">
        <is>
          <t>CARBON Mapping Master</t>
        </is>
      </c>
      <c r="FL83" s="56" t="n">
        <v>19</v>
      </c>
      <c r="FM83" s="56" t="inlineStr">
        <is>
          <t>• Role / sub-team: Digitising Assited Services.</t>
        </is>
      </c>
      <c r="FN83" s="56" t="inlineStr">
        <is>
          <t>• Key responsibilities include: Us sec and dm formatting and review the documents and cipc , uk , mca conversation from word and pdf document.
• Reported deliverables and outcomes include: Once files formatting and conversion completed will send the file to service team.</t>
        </is>
      </c>
      <c r="FO83" s="56" t="inlineStr">
        <is>
          <t>• Current capabilities: Use of ai for tools; Tools / software used:  HTML - Editor | Abbyy FineReader, Microsoft Web Expression · CIPC HTML conversion</t>
        </is>
      </c>
      <c r="FP83" s="56" t="inlineStr">
        <is>
          <t>• Communications skills.
• Presentation skills.</t>
        </is>
      </c>
      <c r="FQ83" s="56" t="inlineStr">
        <is>
          <t>• Key challenges: Quality of report, RDP issue.
• Support required: No input received.</t>
        </is>
      </c>
      <c r="FR83" s="56" t="inlineStr">
        <is>
          <t>Business Impact: Moved +0.5: the survey / manager mapping marks it business-critical.</t>
        </is>
      </c>
      <c r="FS83" s="56"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FT83" s="56" t="inlineStr">
        <is>
          <t>Self-identified: Communication &amp; presentation
For the next role: Communication &amp; presentation</t>
        </is>
      </c>
      <c r="FU83" s="56" t="inlineStr">
        <is>
          <t>Per-person summary · CARBON Mapping Master</t>
        </is>
      </c>
    </row>
    <row r="84" ht="90" customHeight="1">
      <c r="A84" s="51" t="inlineStr">
        <is>
          <t>◂ Back</t>
        </is>
      </c>
      <c r="B84" s="29" t="inlineStr">
        <is>
          <t>Mapped</t>
        </is>
      </c>
      <c r="C84" s="28" t="inlineStr">
        <is>
          <t>CARBON</t>
        </is>
      </c>
      <c r="D84" s="29" t="inlineStr">
        <is>
          <t>IRISC271</t>
        </is>
      </c>
      <c r="E84" s="29" t="inlineStr">
        <is>
          <t>Siddhesh Manjrekar</t>
        </is>
      </c>
      <c r="F84" s="29" t="inlineStr">
        <is>
          <t>Digitizing</t>
        </is>
      </c>
      <c r="G84" s="29" t="inlineStr">
        <is>
          <t>Consultant</t>
        </is>
      </c>
      <c r="H84" s="29" t="inlineStr">
        <is>
          <t>Senior Digitization Associate</t>
        </is>
      </c>
      <c r="I84" s="29" t="inlineStr">
        <is>
          <t>L3 – Professional / Associate</t>
        </is>
      </c>
      <c r="J84" s="29" t="inlineStr">
        <is>
          <t>A3</t>
        </is>
      </c>
      <c r="K84" s="29" t="inlineStr">
        <is>
          <t>▲ Up</t>
        </is>
      </c>
      <c r="L84" s="29" t="inlineStr">
        <is>
          <t>Data Operations &amp; Digitization</t>
        </is>
      </c>
      <c r="M84" s="29" t="inlineStr">
        <is>
          <t>Document Conversion, Formatting &amp; Web Publishing</t>
        </is>
      </c>
      <c r="N84" s="29" t="n"/>
      <c r="O84" s="29" t="n">
        <v>20</v>
      </c>
      <c r="P84" s="28" t="inlineStr">
        <is>
          <t>P2</t>
        </is>
      </c>
      <c r="Q84" s="29" t="inlineStr">
        <is>
          <t>Developing</t>
        </is>
      </c>
      <c r="R84" s="29" t="inlineStr">
        <is>
          <t>3 Apply</t>
        </is>
      </c>
      <c r="S84" s="29" t="inlineStr">
        <is>
          <t>2–4 yrs</t>
        </is>
      </c>
      <c r="T84" s="29" t="inlineStr">
        <is>
          <t>3–5 · 2–5</t>
        </is>
      </c>
      <c r="U84" s="29" t="inlineStr">
        <is>
          <t>Senior Associate</t>
        </is>
      </c>
      <c r="V84" s="29" t="inlineStr">
        <is>
          <t>DataTracks: Senior Associate · 2–5 yrs · Accenture Operations: L10 Senior Analyst · IRIS Vs Competitor Benchmark — operations roles: Senior Processor / QC</t>
        </is>
      </c>
      <c r="W84" s="29" t="inlineStr">
        <is>
          <t>COPC CX Standard · leadership &amp; planning, people, processes, performance; ISO 9001; Lean / Six Sigma</t>
        </is>
      </c>
      <c r="X84" s="29" t="inlineStr">
        <is>
          <t>Core 2 · Future 2 · Functional 3 · Leadership not scored</t>
        </is>
      </c>
      <c r="Y84" s="52" t="n">
        <v>291</v>
      </c>
      <c r="Z84" s="53" t="inlineStr">
        <is>
          <t>IRISC271</t>
        </is>
      </c>
      <c r="AA84" s="53" t="inlineStr">
        <is>
          <t>On Contract</t>
        </is>
      </c>
      <c r="AB84" s="53" t="inlineStr">
        <is>
          <t>Active</t>
        </is>
      </c>
      <c r="AC84" s="53" t="inlineStr">
        <is>
          <t>Siddhesh Manjrekar</t>
        </is>
      </c>
      <c r="AD84" s="54" t="n">
        <v>45173</v>
      </c>
      <c r="AE84" s="53" t="inlineStr">
        <is>
          <t>Consultant</t>
        </is>
      </c>
      <c r="AF84" s="53" t="inlineStr">
        <is>
          <t>BMS</t>
        </is>
      </c>
      <c r="AG84" s="53" t="inlineStr">
        <is>
          <t>Datta Hatagale</t>
        </is>
      </c>
      <c r="AH84" s="53" t="inlineStr">
        <is>
          <t>N-7</t>
        </is>
      </c>
      <c r="AI84" s="53" t="inlineStr">
        <is>
          <t>Individual Contributor</t>
        </is>
      </c>
      <c r="AJ84" s="53" t="inlineStr">
        <is>
          <t>0 years, 5 months, 0 days</t>
        </is>
      </c>
      <c r="AK84" s="53" t="inlineStr">
        <is>
          <t>2 years, 11 months, 21 days</t>
        </is>
      </c>
      <c r="AL84" s="53" t="inlineStr">
        <is>
          <t>Regtech</t>
        </is>
      </c>
      <c r="AM84" s="53" t="inlineStr">
        <is>
          <t>CARBON</t>
        </is>
      </c>
      <c r="AN84" s="53" t="inlineStr">
        <is>
          <t>Digitizing</t>
        </is>
      </c>
      <c r="AO84" s="53" t="inlineStr">
        <is>
          <t>Digitizing Assisted services</t>
        </is>
      </c>
      <c r="AP84" s="53" t="inlineStr">
        <is>
          <t>No</t>
        </is>
      </c>
      <c r="AQ84" s="53" t="inlineStr">
        <is>
          <t>Professional Services</t>
        </is>
      </c>
      <c r="AR84" s="53" t="inlineStr">
        <is>
          <t>OCR/Image procesing</t>
        </is>
      </c>
      <c r="AS84" s="53" t="inlineStr">
        <is>
          <t>Non-technical</t>
        </is>
      </c>
      <c r="AT84" s="53" t="n">
        <v>20</v>
      </c>
      <c r="AU84" s="53" t="inlineStr">
        <is>
          <t>Covered</t>
        </is>
      </c>
      <c r="AV84" s="53" t="inlineStr">
        <is>
          <t>IRISC271</t>
        </is>
      </c>
      <c r="AW84" s="53" t="inlineStr">
        <is>
          <t>Siddhesh Manjrekar</t>
        </is>
      </c>
      <c r="AX84" s="53" t="inlineStr">
        <is>
          <t>Digitizing</t>
        </is>
      </c>
      <c r="AY84" s="53" t="inlineStr">
        <is>
          <t>Professional Services</t>
        </is>
      </c>
      <c r="AZ84" s="53" t="inlineStr">
        <is>
          <t>Digitization &amp; Image Processing</t>
        </is>
      </c>
      <c r="BA84" s="53" t="n"/>
      <c r="BB84" s="53" t="n"/>
      <c r="BC84" s="53" t="inlineStr">
        <is>
          <t>On Contract</t>
        </is>
      </c>
      <c r="BD84" s="53" t="inlineStr">
        <is>
          <t>Datta Hatagale</t>
        </is>
      </c>
      <c r="BE84" s="53" t="inlineStr">
        <is>
          <t>Dinesh Madanlal Sharma</t>
        </is>
      </c>
      <c r="BF84" s="53" t="inlineStr">
        <is>
          <t>No</t>
        </is>
      </c>
      <c r="BG84" s="53" t="inlineStr">
        <is>
          <t>Consultant</t>
        </is>
      </c>
      <c r="BH84" s="53" t="inlineStr">
        <is>
          <t>Regulatory Portal Operations Consultant</t>
        </is>
      </c>
      <c r="BI84" s="53" t="inlineStr">
        <is>
          <t>No</t>
        </is>
      </c>
      <c r="BJ84" s="53" t="inlineStr">
        <is>
          <t>—</t>
        </is>
      </c>
      <c r="BK84" s="53" t="inlineStr">
        <is>
          <t>—</t>
        </is>
      </c>
      <c r="BL84" s="53" t="inlineStr">
        <is>
          <t>—</t>
        </is>
      </c>
      <c r="BM84" s="53" t="inlineStr">
        <is>
          <t>Not a manager</t>
        </is>
      </c>
      <c r="BN84" s="53" t="inlineStr">
        <is>
          <t>—</t>
        </is>
      </c>
      <c r="BO84" s="53" t="inlineStr">
        <is>
          <t>—</t>
        </is>
      </c>
      <c r="BP84" s="53" t="inlineStr">
        <is>
          <t>—</t>
        </is>
      </c>
      <c r="BQ84" s="53" t="inlineStr">
        <is>
          <t>Not a manager</t>
        </is>
      </c>
      <c r="BR84" s="53" t="inlineStr">
        <is>
          <t>—</t>
        </is>
      </c>
      <c r="BS84" s="53" t="inlineStr">
        <is>
          <t>L3 – Professional / Associate</t>
        </is>
      </c>
      <c r="BT84" s="53" t="inlineStr">
        <is>
          <t>L3 – Professional / Associate</t>
        </is>
      </c>
      <c r="BU84" s="53" t="inlineStr">
        <is>
          <t>No designation change — current record value carried forward</t>
        </is>
      </c>
      <c r="BV84" s="53" t="inlineStr">
        <is>
          <t>1. Complete assigned conversion/formatting tasks with &gt;=99% accuracy · zero critical errors
2. Meet 100% of client filing deadlines · no SLA breaches
3. Maintain average turnaround per assignment within agreed TAT
4. Should be able to do Quality check process.
5. Develop capabilites to work in more than 2 mandates/products. Ultimate goal should be able to work in all OCR/Formatting mandates.</t>
        </is>
      </c>
      <c r="BW84" s="53" t="n"/>
      <c r="BX84" s="53" t="inlineStr">
        <is>
          <t>India - MCA; Europe - ESEF; UK - HMRC; South Africa - CIPC · On Contract.</t>
        </is>
      </c>
      <c r="BY84" s="53" t="n"/>
      <c r="BZ84" s="53" t="inlineStr">
        <is>
          <t>IRISC271</t>
        </is>
      </c>
      <c r="CA84" s="53" t="inlineStr">
        <is>
          <t>On Contract</t>
        </is>
      </c>
      <c r="CB84" s="53" t="inlineStr">
        <is>
          <t>Active</t>
        </is>
      </c>
      <c r="CC84" s="53" t="inlineStr">
        <is>
          <t>Siddhesh Manjrekar</t>
        </is>
      </c>
      <c r="CD84" s="54" t="n">
        <v>45173</v>
      </c>
      <c r="CE84" s="53" t="inlineStr">
        <is>
          <t>Consultant</t>
        </is>
      </c>
      <c r="CF84" s="53" t="n"/>
      <c r="CG84" s="53" t="inlineStr">
        <is>
          <t>Professional Services</t>
        </is>
      </c>
      <c r="CH84" s="53" t="inlineStr">
        <is>
          <t>Digitization &amp; Image Processing</t>
        </is>
      </c>
      <c r="CI84" s="53" t="inlineStr">
        <is>
          <t>Consultant</t>
        </is>
      </c>
      <c r="CJ84" s="53" t="inlineStr">
        <is>
          <t>L3 – Professional / Associate</t>
        </is>
      </c>
      <c r="CK84" s="53" t="inlineStr">
        <is>
          <t>Datta Hatagale</t>
        </is>
      </c>
      <c r="CL84" s="53" t="inlineStr">
        <is>
          <t>N-7</t>
        </is>
      </c>
      <c r="CM84" s="53" t="inlineStr">
        <is>
          <t>Individual Contributor</t>
        </is>
      </c>
      <c r="CN84" s="53" t="inlineStr">
        <is>
          <t>Regtech</t>
        </is>
      </c>
      <c r="CO84" s="53" t="inlineStr">
        <is>
          <t>Digitizing</t>
        </is>
      </c>
      <c r="CP84" s="53" t="inlineStr">
        <is>
          <t>3 years, 2 months, 16 days</t>
        </is>
      </c>
      <c r="CQ84" s="53" t="inlineStr">
        <is>
          <t>Consultant</t>
        </is>
      </c>
      <c r="CR84" s="53" t="n"/>
      <c r="CS84" s="53" t="n">
        <v>3</v>
      </c>
      <c r="CT84" s="53" t="inlineStr">
        <is>
          <t>Medium</t>
        </is>
      </c>
      <c r="CU84" s="53" t="inlineStr">
        <is>
          <t>Core Contributor</t>
        </is>
      </c>
      <c r="CV84" s="53" t="inlineStr">
        <is>
          <t>No</t>
        </is>
      </c>
      <c r="CW84" s="53" t="inlineStr">
        <is>
          <t>No</t>
        </is>
      </c>
      <c r="CX84" s="53" t="inlineStr">
        <is>
          <t>Yes</t>
        </is>
      </c>
      <c r="CY84" s="53" t="n"/>
      <c r="CZ84" s="53" t="n"/>
      <c r="DA84" s="53" t="n"/>
      <c r="DB84" s="53" t="n"/>
      <c r="DC84" s="53" t="n"/>
      <c r="DD84" s="53" t="n"/>
      <c r="DE84" s="53" t="n"/>
      <c r="DF84" s="53" t="n"/>
      <c r="DG84" s="53" t="n"/>
      <c r="DH84" s="53" t="n"/>
      <c r="DI84" s="53" t="n"/>
      <c r="DJ84" s="53" t="n"/>
      <c r="DK84" s="53" t="n"/>
      <c r="DL84" s="53" t="n"/>
      <c r="DM84" s="53" t="n"/>
      <c r="DN84" s="53" t="n"/>
      <c r="DO84" s="53" t="n"/>
      <c r="DP84" s="53" t="n"/>
      <c r="DQ84" s="53" t="n"/>
      <c r="DR84" s="53" t="n"/>
      <c r="DS84" s="53" t="n"/>
      <c r="DT84" s="53" t="n"/>
      <c r="DU84" s="53" t="n"/>
      <c r="DV84" s="53" t="n"/>
      <c r="DW84" s="53" t="n"/>
      <c r="DX84" s="53" t="n"/>
      <c r="DY84" s="53" t="n"/>
      <c r="DZ84" s="53" t="n"/>
      <c r="EA84" s="53" t="n"/>
      <c r="EB84" s="53" t="n"/>
      <c r="EC84" s="53" t="n"/>
      <c r="ED84" s="53" t="n"/>
      <c r="EE84" s="53" t="n"/>
      <c r="EF84" s="53" t="n"/>
      <c r="EG84" s="53" t="n"/>
      <c r="EH84" s="53" t="n"/>
      <c r="EI84" s="53" t="n"/>
      <c r="EJ84" s="53" t="n"/>
      <c r="EK84" s="53" t="n"/>
      <c r="EL84" s="53" t="n"/>
      <c r="EM84" s="53" t="n"/>
      <c r="EN84" s="53" t="n"/>
      <c r="EO84" s="53" t="n"/>
      <c r="EP84" s="53" t="n"/>
      <c r="EQ84" s="53" t="n"/>
      <c r="ER84" s="53" t="n"/>
      <c r="ES84" s="53" t="n"/>
      <c r="ET84" s="53" t="n"/>
      <c r="EU84" s="53" t="n"/>
      <c r="EV84" s="53" t="n"/>
      <c r="EW84" s="52" t="n"/>
      <c r="EX84" s="53" t="inlineStr">
        <is>
          <t>• Role / sub-team: Digitizing Assisted Services.</t>
        </is>
      </c>
      <c r="EY84" s="53" t="inlineStr">
        <is>
          <t>• Key responsibilities include: ESMA formatting check, EU DM Formatting and review The documents and CIPC HTML conversion from word document.
• Reported deliverables and outcomes include: Once file formatting and conversion completed will send the file to service team.</t>
        </is>
      </c>
      <c r="EZ84" s="53" t="inlineStr">
        <is>
          <t>• Current capabilities: Communication skill; Tools / software used:  HTML - Editor | Abbyy FineReader, Microsoft Web Expression · CIPC HTML conversion</t>
        </is>
      </c>
      <c r="FA84" s="53" t="inlineStr">
        <is>
          <t>• Communications skills.
• Presentation skills.</t>
        </is>
      </c>
      <c r="FB84" s="53" t="inlineStr">
        <is>
          <t>• Key challenges: Quality of report, RDP issue.
• Support required: No input received.</t>
        </is>
      </c>
      <c r="FC84" s="53" t="n"/>
      <c r="FD84" s="53" t="n"/>
      <c r="FE84" s="57" t="inlineStr">
        <is>
          <t>1. Complete assigned conversion/formatting tasks with &gt;=99% accuracy · zero critical errors
2. Meet 100% of client filing deadlines · no SLA breaches
3. Maintain average turnaround per assignment within agreed TAT
4. Should be able to do Quality check process.
5. Develop capabilites to work in more than 2 mandates/products. Ultimate goal should be able to work in all OCR/Formatting mandates.</t>
        </is>
      </c>
      <c r="FF84" s="56" t="n"/>
      <c r="FG84" s="56" t="n"/>
      <c r="FH84" s="56" t="n"/>
      <c r="FI84" s="56" t="n"/>
      <c r="FJ84" s="56" t="inlineStr">
        <is>
          <t>Received · manager annual</t>
        </is>
      </c>
      <c r="FK84" s="56" t="inlineStr">
        <is>
          <t>CARBON Mapping Master</t>
        </is>
      </c>
      <c r="FL84" s="56" t="n">
        <v>20</v>
      </c>
      <c r="FM84" s="56" t="inlineStr">
        <is>
          <t>• Role / sub-team: Digitizing Assisted Services.</t>
        </is>
      </c>
      <c r="FN84" s="56" t="inlineStr">
        <is>
          <t>• Key responsibilities include: ESMA formatting check, EU DM Formatting and review The documents and CIPC HTML conversion from word document.
• Reported deliverables and outcomes include: Once file formatting and conversion completed will send the file to service team.</t>
        </is>
      </c>
      <c r="FO84" s="56" t="inlineStr">
        <is>
          <t>• Current capabilities: Communication skill; Tools / software used:  HTML - Editor | Abbyy FineReader, Microsoft Web Expression · CIPC HTML conversion</t>
        </is>
      </c>
      <c r="FP84" s="56" t="inlineStr">
        <is>
          <t>• Communications skills.
• Presentation skills.</t>
        </is>
      </c>
      <c r="FQ84" s="56" t="inlineStr">
        <is>
          <t>• Key challenges: Quality of report, RDP issue.
• Support required: No input received.</t>
        </is>
      </c>
      <c r="FR84" s="56" t="inlineStr">
        <is>
          <t>Business Impact: Moved +0.5: the survey / manager mapping marks it business-critical.</t>
        </is>
      </c>
      <c r="FS84" s="56"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FT84" s="56" t="inlineStr">
        <is>
          <t>Self-identified: AI / automation · Project / programme management · Data, SQL &amp; analytics · Domain, regulatory &amp; XBRL · Broader exposure &amp; ownership
For the next role: AI / automation · Project / programme management · Data, SQL &amp; analytics · Domain, regulatory &amp; XBRL · Broader exposure &amp; ownership</t>
        </is>
      </c>
      <c r="FU84" s="56" t="inlineStr">
        <is>
          <t>Per-person summary · CARBON Mapping Master</t>
        </is>
      </c>
    </row>
    <row r="85" ht="90" customHeight="1">
      <c r="A85" s="51" t="inlineStr">
        <is>
          <t>◂ Back</t>
        </is>
      </c>
      <c r="B85" s="29" t="inlineStr">
        <is>
          <t>Mapped</t>
        </is>
      </c>
      <c r="C85" s="28" t="inlineStr">
        <is>
          <t>CARBON</t>
        </is>
      </c>
      <c r="D85" s="29" t="inlineStr">
        <is>
          <t>IRIS1204</t>
        </is>
      </c>
      <c r="E85" s="29" t="inlineStr">
        <is>
          <t>Dinesh Sharma</t>
        </is>
      </c>
      <c r="F85" s="29" t="inlineStr">
        <is>
          <t>Digitizing</t>
        </is>
      </c>
      <c r="G85" s="29" t="inlineStr">
        <is>
          <t>Image Processing Specialist</t>
        </is>
      </c>
      <c r="H85" s="29" t="inlineStr">
        <is>
          <t>Team Lead – Digitization</t>
        </is>
      </c>
      <c r="I85" s="29" t="inlineStr">
        <is>
          <t>L3 – Professional / Associate</t>
        </is>
      </c>
      <c r="J85" s="29" t="inlineStr">
        <is>
          <t>B1</t>
        </is>
      </c>
      <c r="K85" s="29" t="inlineStr">
        <is>
          <t>▲ Up</t>
        </is>
      </c>
      <c r="L85" s="29" t="inlineStr">
        <is>
          <t>Data Operations &amp; Digitization</t>
        </is>
      </c>
      <c r="M85" s="29" t="inlineStr">
        <is>
          <t>Document Conversion, Formatting &amp; Web Publishing</t>
        </is>
      </c>
      <c r="N85" s="29" t="n"/>
      <c r="O85" s="29" t="n">
        <v>20</v>
      </c>
      <c r="P85" s="28" t="inlineStr">
        <is>
          <t>P3 / M2</t>
        </is>
      </c>
      <c r="Q85" s="29" t="inlineStr">
        <is>
          <t>Career / · Team Lead</t>
        </is>
      </c>
      <c r="R85" s="29" t="inlineStr">
        <is>
          <t>4 Enable</t>
        </is>
      </c>
      <c r="S85" s="29" t="inlineStr">
        <is>
          <t>4–7 yrs</t>
        </is>
      </c>
      <c r="T85" s="29" t="inlineStr">
        <is>
          <t>5–8 · 4–8</t>
        </is>
      </c>
      <c r="U85" s="29" t="inlineStr">
        <is>
          <t>Team Lead / Assistant Manager</t>
        </is>
      </c>
      <c r="V85" s="29" t="inlineStr">
        <is>
          <t>Accenture Operations: L9 Team Lead · IRIS Vs Competitor Benchmark — operations roles: Team Lead / Quality Lead</t>
        </is>
      </c>
      <c r="W85" s="29" t="inlineStr">
        <is>
          <t>COPC CX Standard · leadership &amp; planning, people, processes, performance; ISO 9001; Lean / Six Sigma</t>
        </is>
      </c>
      <c r="X85" s="29" t="inlineStr">
        <is>
          <t>Core 3 · Future 3 · Functional 3 · Leadership 2</t>
        </is>
      </c>
      <c r="Y85" s="52" t="n">
        <v>41</v>
      </c>
      <c r="Z85" s="53" t="inlineStr">
        <is>
          <t>IRIS1204</t>
        </is>
      </c>
      <c r="AA85" s="53" t="inlineStr">
        <is>
          <t>Employee</t>
        </is>
      </c>
      <c r="AB85" s="53" t="inlineStr">
        <is>
          <t>Active</t>
        </is>
      </c>
      <c r="AC85" s="53" t="inlineStr">
        <is>
          <t>Dinesh Sharma</t>
        </is>
      </c>
      <c r="AD85" s="54" t="n">
        <v>39722</v>
      </c>
      <c r="AE85" s="53" t="inlineStr">
        <is>
          <t>Image Processing Specialist</t>
        </is>
      </c>
      <c r="AF85" s="53" t="inlineStr">
        <is>
          <t>B.Com</t>
        </is>
      </c>
      <c r="AG85" s="53" t="inlineStr">
        <is>
          <t>Vijay Parulekar</t>
        </is>
      </c>
      <c r="AH85" s="53" t="inlineStr">
        <is>
          <t>N-6</t>
        </is>
      </c>
      <c r="AI85" s="53" t="inlineStr">
        <is>
          <t>Manager</t>
        </is>
      </c>
      <c r="AJ85" s="53" t="inlineStr">
        <is>
          <t>0 years, 0 months, 0 days</t>
        </is>
      </c>
      <c r="AK85" s="53" t="inlineStr">
        <is>
          <t>17 years, 10 months, 24 days</t>
        </is>
      </c>
      <c r="AL85" s="53" t="inlineStr">
        <is>
          <t>Regtech</t>
        </is>
      </c>
      <c r="AM85" s="53" t="inlineStr">
        <is>
          <t>CARBON</t>
        </is>
      </c>
      <c r="AN85" s="53" t="inlineStr">
        <is>
          <t>Digitizing</t>
        </is>
      </c>
      <c r="AO85" s="53" t="inlineStr">
        <is>
          <t>Digitizing Assisted services</t>
        </is>
      </c>
      <c r="AP85" s="53" t="inlineStr">
        <is>
          <t>No</t>
        </is>
      </c>
      <c r="AQ85" s="53" t="inlineStr">
        <is>
          <t>Professional Services</t>
        </is>
      </c>
      <c r="AR85" s="53" t="inlineStr">
        <is>
          <t>OCR/Image procesing</t>
        </is>
      </c>
      <c r="AS85" s="53" t="inlineStr">
        <is>
          <t>Non-technical</t>
        </is>
      </c>
      <c r="AT85" s="53" t="n">
        <v>20</v>
      </c>
      <c r="AU85" s="53" t="inlineStr">
        <is>
          <t>Covered</t>
        </is>
      </c>
      <c r="AV85" s="53" t="inlineStr">
        <is>
          <t>IRIS1204</t>
        </is>
      </c>
      <c r="AW85" s="53" t="inlineStr">
        <is>
          <t>Dinesh Sharma</t>
        </is>
      </c>
      <c r="AX85" s="53" t="inlineStr">
        <is>
          <t>Digitizing</t>
        </is>
      </c>
      <c r="AY85" s="53" t="inlineStr">
        <is>
          <t>Professional Services</t>
        </is>
      </c>
      <c r="AZ85" s="53" t="inlineStr">
        <is>
          <t>Digitization &amp; Image Processing</t>
        </is>
      </c>
      <c r="BA85" s="53" t="n"/>
      <c r="BB85" s="53" t="n"/>
      <c r="BC85" s="53" t="inlineStr">
        <is>
          <t>Employee</t>
        </is>
      </c>
      <c r="BD85" s="53" t="inlineStr">
        <is>
          <t>Vijay Parulekar</t>
        </is>
      </c>
      <c r="BE85" s="53" t="inlineStr">
        <is>
          <t>Vijay Digamber Parulekar</t>
        </is>
      </c>
      <c r="BF85" s="53" t="inlineStr">
        <is>
          <t>No</t>
        </is>
      </c>
      <c r="BG85" s="53" t="inlineStr">
        <is>
          <t>Image Processing Specialist</t>
        </is>
      </c>
      <c r="BH85" s="53" t="inlineStr">
        <is>
          <t>Digitizing Lead</t>
        </is>
      </c>
      <c r="BI85" s="53" t="inlineStr">
        <is>
          <t>Yes</t>
        </is>
      </c>
      <c r="BJ85" s="53" t="n">
        <v>3</v>
      </c>
      <c r="BK85" s="53" t="n">
        <v>1</v>
      </c>
      <c r="BL85" s="53" t="n">
        <v>2</v>
      </c>
      <c r="BM85" s="53" t="inlineStr">
        <is>
          <t>Review</t>
        </is>
      </c>
      <c r="BN85" s="53" t="n">
        <v>3</v>
      </c>
      <c r="BO85" s="53" t="n">
        <v>1</v>
      </c>
      <c r="BP85" s="53" t="n">
        <v>2</v>
      </c>
      <c r="BQ85" s="53" t="inlineStr">
        <is>
          <t>Review</t>
        </is>
      </c>
      <c r="BR85" s="53" t="inlineStr">
        <is>
          <t>No</t>
        </is>
      </c>
      <c r="BS85" s="53" t="inlineStr">
        <is>
          <t>L3 – Professional / Associate</t>
        </is>
      </c>
      <c r="BT85" s="53" t="inlineStr">
        <is>
          <t>L3</t>
        </is>
      </c>
      <c r="BU85" s="53" t="inlineStr">
        <is>
          <t>Designation refined from Raw tab Comments column · this update</t>
        </is>
      </c>
      <c r="BV85" s="53"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capabilities to work in more than 2 mandates/products. Ultimate goal should be able to work in all OCR/Formatting mandates.
6. Conduct monthly knowledge sessions in order to Cross-skill team: Capable on at least more than two OCR/Formatting mandates</t>
        </is>
      </c>
      <c r="BW85" s="53" t="n"/>
      <c r="BX85" s="53" t="inlineStr">
        <is>
          <t>Netherland - KVK; India - MCA; South Africa - CIPC; UK - HMRC; Europe - ESEF; Italy - Infocamere; Nigeria - CBN.</t>
        </is>
      </c>
      <c r="BY85" s="53" t="n"/>
      <c r="BZ85" s="53" t="inlineStr">
        <is>
          <t>IRIS1204</t>
        </is>
      </c>
      <c r="CA85" s="53" t="inlineStr">
        <is>
          <t>Employee</t>
        </is>
      </c>
      <c r="CB85" s="53" t="inlineStr">
        <is>
          <t>Active</t>
        </is>
      </c>
      <c r="CC85" s="53" t="inlineStr">
        <is>
          <t>Dinesh Sharma</t>
        </is>
      </c>
      <c r="CD85" s="54" t="n">
        <v>39722</v>
      </c>
      <c r="CE85" s="53" t="inlineStr">
        <is>
          <t>Image Processing Specialist</t>
        </is>
      </c>
      <c r="CF85" s="53" t="n"/>
      <c r="CG85" s="53" t="inlineStr">
        <is>
          <t>Professional Services</t>
        </is>
      </c>
      <c r="CH85" s="53" t="inlineStr">
        <is>
          <t>Digitization &amp; Image Processing</t>
        </is>
      </c>
      <c r="CI85" s="53" t="inlineStr">
        <is>
          <t>Image Processing Specialist</t>
        </is>
      </c>
      <c r="CJ85" s="53" t="inlineStr">
        <is>
          <t>L3 – Professional / Associate</t>
        </is>
      </c>
      <c r="CK85" s="53" t="inlineStr">
        <is>
          <t>Vijay Parulekar</t>
        </is>
      </c>
      <c r="CL85" s="53" t="inlineStr">
        <is>
          <t>N-6</t>
        </is>
      </c>
      <c r="CM85" s="53" t="inlineStr">
        <is>
          <t>Player Cum Coach</t>
        </is>
      </c>
      <c r="CN85" s="53" t="inlineStr">
        <is>
          <t>Regtech</t>
        </is>
      </c>
      <c r="CO85" s="53" t="inlineStr">
        <is>
          <t>Digitizing</t>
        </is>
      </c>
      <c r="CP85" s="53" t="inlineStr">
        <is>
          <t>17 years, 8 months, 19 days</t>
        </is>
      </c>
      <c r="CQ85" s="53" t="inlineStr">
        <is>
          <t>Sr.Image Processing Specialist</t>
        </is>
      </c>
      <c r="CR85" s="53" t="n"/>
      <c r="CS85" s="53" t="n">
        <v>5</v>
      </c>
      <c r="CT85" s="53" t="inlineStr">
        <is>
          <t>High</t>
        </is>
      </c>
      <c r="CU85" s="53" t="inlineStr">
        <is>
          <t>Core Contributor</t>
        </is>
      </c>
      <c r="CV85" s="53" t="inlineStr">
        <is>
          <t>No</t>
        </is>
      </c>
      <c r="CW85" s="53" t="inlineStr">
        <is>
          <t>No</t>
        </is>
      </c>
      <c r="CX85" s="53" t="inlineStr">
        <is>
          <t>Yes</t>
        </is>
      </c>
      <c r="CY85" s="53" t="n"/>
      <c r="CZ85" s="53" t="n"/>
      <c r="DA85" s="53" t="inlineStr">
        <is>
          <t>Leadership development: strategic thinking, cross-functional influence, financial/business acumen, succession &amp; talent development, change management, executive communication</t>
        </is>
      </c>
      <c r="DB85" s="53" t="inlineStr">
        <is>
          <t>Title to be changed to Digitizing Lead</t>
        </is>
      </c>
      <c r="DC85" s="53" t="n"/>
      <c r="DD85" s="53" t="n"/>
      <c r="DE85" s="53" t="n"/>
      <c r="DF85" s="53" t="n"/>
      <c r="DG85" s="53" t="n"/>
      <c r="DH85" s="53" t="n"/>
      <c r="DI85" s="53" t="n"/>
      <c r="DJ85" s="53" t="n"/>
      <c r="DK85" s="53" t="n"/>
      <c r="DL85" s="53" t="n"/>
      <c r="DM85" s="53" t="n"/>
      <c r="DN85" s="53" t="n"/>
      <c r="DO85" s="53" t="n"/>
      <c r="DP85" s="53" t="n"/>
      <c r="DQ85" s="53" t="n"/>
      <c r="DR85" s="53" t="n"/>
      <c r="DS85" s="53" t="n"/>
      <c r="DT85" s="53" t="n"/>
      <c r="DU85" s="53" t="n"/>
      <c r="DV85" s="53" t="n"/>
      <c r="DW85" s="53" t="n"/>
      <c r="DX85" s="53" t="n"/>
      <c r="DY85" s="53" t="n"/>
      <c r="DZ85" s="53" t="n"/>
      <c r="EA85" s="53" t="n"/>
      <c r="EB85" s="53" t="n"/>
      <c r="EC85" s="53" t="n"/>
      <c r="ED85" s="53" t="n"/>
      <c r="EE85" s="53" t="n"/>
      <c r="EF85" s="53" t="n"/>
      <c r="EG85" s="53" t="n"/>
      <c r="EH85" s="53" t="n"/>
      <c r="EI85" s="53" t="n"/>
      <c r="EJ85" s="53" t="n"/>
      <c r="EK85" s="53" t="n"/>
      <c r="EL85" s="53" t="n"/>
      <c r="EM85" s="53" t="n"/>
      <c r="EN85" s="53" t="n"/>
      <c r="EO85" s="53" t="n"/>
      <c r="EP85" s="53" t="n"/>
      <c r="EQ85" s="53" t="n"/>
      <c r="ER85" s="53" t="n"/>
      <c r="ES85" s="53" t="n"/>
      <c r="ET85" s="53" t="n"/>
      <c r="EU85" s="53" t="n"/>
      <c r="EV85" s="53" t="n"/>
      <c r="EW85" s="52" t="n"/>
      <c r="EX85" s="53" t="inlineStr">
        <is>
          <t>• Role / sub-team: Digitizing assited service.</t>
        </is>
      </c>
      <c r="EY85" s="53" t="inlineStr">
        <is>
          <t>• Key responsibilities include: ESEF and EU DM GRI, KVK, CBN and ESRS Formatting check ALLOCATION QUERY SOLVE HMRC UK html conversion.
• Reported deliverables and outcomes include: Once file Formatting and conversion completed will send the file to service team.</t>
        </is>
      </c>
      <c r="EZ85" s="53" t="inlineStr">
        <is>
          <t>• Current capabilities: Copilot; Tools / software used: Both | Carbon tool [Teams chat].</t>
        </is>
      </c>
      <c r="FA85" s="53" t="inlineStr">
        <is>
          <t>• Communications skills.
• Presentation skills.</t>
        </is>
      </c>
      <c r="FB85" s="53" t="inlineStr">
        <is>
          <t>• Key challenges: Quality of report, RDP issue.
• Support required: No input received.</t>
        </is>
      </c>
      <c r="FC85" s="53" t="n"/>
      <c r="FD85" s="53" t="n"/>
      <c r="FE85" s="57"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capabilities to work in more than 2 mandates/products. Ultimate goal should be able to work in all OCR/Formatting mandates.
6. Conduct monthly knowledge sessions in order to Cross-skill team: Capable on at least more than two OCR/Formatting mandates</t>
        </is>
      </c>
      <c r="FF85" s="56" t="n"/>
      <c r="FG85" s="56" t="n"/>
      <c r="FH85" s="56" t="n"/>
      <c r="FI85" s="56" t="n"/>
      <c r="FJ85" s="56" t="inlineStr">
        <is>
          <t>Received · manager annual</t>
        </is>
      </c>
      <c r="FK85" s="56" t="inlineStr">
        <is>
          <t>CARBON Mapping Master</t>
        </is>
      </c>
      <c r="FL85" s="56" t="n">
        <v>20</v>
      </c>
      <c r="FM85" s="56" t="inlineStr">
        <is>
          <t>• Role / sub-team: Digitizing assited service.</t>
        </is>
      </c>
      <c r="FN85" s="56" t="inlineStr">
        <is>
          <t>• Key responsibilities include: ESEF and EU DM GRI, KVK, CBN and ESRS Formatting check ALLOCATION QUERY SOLVE HMRC UK html conversion.
• Reported deliverables and outcomes include: Once file Formatting and conversion completed will send the file to service team.</t>
        </is>
      </c>
      <c r="FO85" s="56" t="inlineStr">
        <is>
          <t>• Current capabilities: Copilot; Tools / software used: Both | Carbon tool [Teams chat].</t>
        </is>
      </c>
      <c r="FP85" s="56" t="inlineStr">
        <is>
          <t>• Communications skills.
• Presentation skills.</t>
        </is>
      </c>
      <c r="FQ85" s="56" t="inlineStr">
        <is>
          <t>• Key challenges: Quality of report, RDP issue.
• Support required: No input received.</t>
        </is>
      </c>
      <c r="FR85" s="56" t="inlineStr">
        <is>
          <t>Complexity: Evidence reads like A3: Reviews client edit requests, resolves team doubts, formatting checks across ESEF, KVK, ESRS → matches the start
Autonomy: Evidence reads like B1: Decides to correct or reject client edit requests; manages task allocation → moved up 0.5
Accountability: Evidence reads like A3: States accountability for tasks handled; quality-checked files delivered to clients on time → moved down 0.5
Leadership: Evidence reads like B1: Team leadership, task allocation, doubt resolution; 4 reports → matches the start
Business Impact: Moved +0.5: the survey / manager mapping marks it business-critical.</t>
        </is>
      </c>
      <c r="FS85" s="56" t="inlineStr">
        <is>
          <t>Common themes in sub-family holders, all levels' answers: purpose · core · formatting · quality · rbi · website
Common themes in sub-family holders, all levels' answers: quality · document · formatting · html · accuracy · conversion
Common themes in sub-family holders, all levels' answers: html · pdf · word · deliver · formatted · documents
Common themes in sub-family holders, all levels' answers: am · accountable · accuracy · quality · every · formatting
Common themes in sub-family holders, all levels' answers: formatting · independently · html · validate · allocate · cipc
If the work is missed · role-holders' themes: rework · delays · errors · quality · incorrect.</t>
        </is>
      </c>
      <c r="FT85" s="56" t="inlineStr">
        <is>
          <t>Self-identified: Leadership &amp; people management · Communication &amp; presentation
For the next role: Leadership &amp; people management · Communication &amp; presentation</t>
        </is>
      </c>
      <c r="FU85" s="56" t="inlineStr">
        <is>
          <t>Per-person summary · CARBON Mapping Master</t>
        </is>
      </c>
    </row>
    <row r="86" ht="90" customHeight="1">
      <c r="A86" s="51" t="inlineStr">
        <is>
          <t>◂ Back</t>
        </is>
      </c>
      <c r="B86" s="29" t="inlineStr">
        <is>
          <t>Mapped</t>
        </is>
      </c>
      <c r="C86" s="28" t="inlineStr">
        <is>
          <t>CARBON</t>
        </is>
      </c>
      <c r="D86" s="29" t="inlineStr">
        <is>
          <t>IRIS0171</t>
        </is>
      </c>
      <c r="E86" s="29" t="inlineStr">
        <is>
          <t>Ritesh Yeram</t>
        </is>
      </c>
      <c r="F86" s="29" t="inlineStr">
        <is>
          <t>Digitizing</t>
        </is>
      </c>
      <c r="G86" s="29" t="inlineStr">
        <is>
          <t>Image Processing Specialist</t>
        </is>
      </c>
      <c r="H86" s="29" t="inlineStr">
        <is>
          <t>Digitization Specialist – POD Lead</t>
        </is>
      </c>
      <c r="I86" s="29" t="inlineStr">
        <is>
          <t>L3 – Professional / Associate</t>
        </is>
      </c>
      <c r="J86" s="29" t="inlineStr">
        <is>
          <t>B1</t>
        </is>
      </c>
      <c r="K86" s="29" t="inlineStr">
        <is>
          <t>▲ Up</t>
        </is>
      </c>
      <c r="L86" s="29" t="inlineStr">
        <is>
          <t>Data Operations &amp; Digitization</t>
        </is>
      </c>
      <c r="M86" s="29" t="inlineStr">
        <is>
          <t>Document Conversion, Formatting &amp; Web Publishing</t>
        </is>
      </c>
      <c r="N86" s="29" t="n"/>
      <c r="O86" s="29" t="n">
        <v>19</v>
      </c>
      <c r="P86" s="28" t="inlineStr">
        <is>
          <t>P3 / M2</t>
        </is>
      </c>
      <c r="Q86" s="29" t="inlineStr">
        <is>
          <t>Career / · Team Lead</t>
        </is>
      </c>
      <c r="R86" s="29" t="inlineStr">
        <is>
          <t>4 Enable</t>
        </is>
      </c>
      <c r="S86" s="29" t="inlineStr">
        <is>
          <t>4–7 yrs</t>
        </is>
      </c>
      <c r="T86" s="29" t="inlineStr">
        <is>
          <t>5–8 · 4–8</t>
        </is>
      </c>
      <c r="U86" s="29" t="inlineStr">
        <is>
          <t>Specialist / QC Analyst</t>
        </is>
      </c>
      <c r="V86" s="29" t="inlineStr">
        <is>
          <t>Accenture Operations: L9 Team Lead · IRIS Vs Competitor Benchmark — operations roles: Team Lead / Quality Lead</t>
        </is>
      </c>
      <c r="W86" s="29" t="inlineStr">
        <is>
          <t>COPC CX Standard · leadership &amp; planning, people, processes, performance; ISO 9001; Lean / Six Sigma</t>
        </is>
      </c>
      <c r="X86" s="29" t="inlineStr">
        <is>
          <t>Core 3 · Future 3 · Functional 3 · Leadership 2</t>
        </is>
      </c>
      <c r="Y86" s="52" t="n">
        <v>36</v>
      </c>
      <c r="Z86" s="53" t="inlineStr">
        <is>
          <t>IRIS0171</t>
        </is>
      </c>
      <c r="AA86" s="53" t="inlineStr">
        <is>
          <t>Employee</t>
        </is>
      </c>
      <c r="AB86" s="53" t="inlineStr">
        <is>
          <t>Active</t>
        </is>
      </c>
      <c r="AC86" s="53" t="inlineStr">
        <is>
          <t>Ritesh Yeram</t>
        </is>
      </c>
      <c r="AD86" s="54" t="n">
        <v>39470</v>
      </c>
      <c r="AE86" s="53" t="inlineStr">
        <is>
          <t>Image Processing Specialist</t>
        </is>
      </c>
      <c r="AF86" s="53" t="inlineStr">
        <is>
          <t>Undergraduate</t>
        </is>
      </c>
      <c r="AG86" s="53" t="inlineStr">
        <is>
          <t>Dinesh Sharma</t>
        </is>
      </c>
      <c r="AH86" s="53" t="inlineStr">
        <is>
          <t>N-7</t>
        </is>
      </c>
      <c r="AI86" s="53" t="inlineStr">
        <is>
          <t>Manager</t>
        </is>
      </c>
      <c r="AJ86" s="53" t="inlineStr">
        <is>
          <t>2 years, 0 months, 0 days</t>
        </is>
      </c>
      <c r="AK86" s="53" t="inlineStr">
        <is>
          <t>18 years, 7 months, 2 days</t>
        </is>
      </c>
      <c r="AL86" s="53" t="inlineStr">
        <is>
          <t>Regtech</t>
        </is>
      </c>
      <c r="AM86" s="53" t="inlineStr">
        <is>
          <t>CARBON</t>
        </is>
      </c>
      <c r="AN86" s="53" t="inlineStr">
        <is>
          <t>Digitizing</t>
        </is>
      </c>
      <c r="AO86" s="53" t="inlineStr">
        <is>
          <t>Digitizing Assisted services</t>
        </is>
      </c>
      <c r="AP86" s="53" t="inlineStr">
        <is>
          <t>No</t>
        </is>
      </c>
      <c r="AQ86" s="53" t="inlineStr">
        <is>
          <t>Professional Services</t>
        </is>
      </c>
      <c r="AR86" s="53" t="inlineStr">
        <is>
          <t>OCR/Image procesing</t>
        </is>
      </c>
      <c r="AS86" s="53" t="inlineStr">
        <is>
          <t>Non-technical</t>
        </is>
      </c>
      <c r="AT86" s="53" t="n">
        <v>20</v>
      </c>
      <c r="AU86" s="53" t="inlineStr">
        <is>
          <t>Covered</t>
        </is>
      </c>
      <c r="AV86" s="53" t="inlineStr">
        <is>
          <t>IRIS0171</t>
        </is>
      </c>
      <c r="AW86" s="53" t="inlineStr">
        <is>
          <t>Ritesh Yeram</t>
        </is>
      </c>
      <c r="AX86" s="53" t="inlineStr">
        <is>
          <t>Digitizing</t>
        </is>
      </c>
      <c r="AY86" s="53" t="inlineStr">
        <is>
          <t>Professional Services</t>
        </is>
      </c>
      <c r="AZ86" s="53" t="inlineStr">
        <is>
          <t>Digitization &amp; Image Processing</t>
        </is>
      </c>
      <c r="BA86" s="53" t="n"/>
      <c r="BB86" s="53" t="n"/>
      <c r="BC86" s="53" t="inlineStr">
        <is>
          <t>Employee</t>
        </is>
      </c>
      <c r="BD86" s="53" t="inlineStr">
        <is>
          <t>Dinesh Sharma</t>
        </is>
      </c>
      <c r="BE86" s="53" t="inlineStr">
        <is>
          <t>Dinesh Madanlal Sharma</t>
        </is>
      </c>
      <c r="BF86" s="53" t="inlineStr">
        <is>
          <t>No</t>
        </is>
      </c>
      <c r="BG86" s="53" t="inlineStr">
        <is>
          <t>Image Processing Specialist</t>
        </is>
      </c>
      <c r="BH86" s="53" t="inlineStr">
        <is>
          <t>Sr.Image Processing Specialist</t>
        </is>
      </c>
      <c r="BI86" s="53" t="inlineStr">
        <is>
          <t>Yes</t>
        </is>
      </c>
      <c r="BJ86" s="53" t="inlineStr">
        <is>
          <t>—</t>
        </is>
      </c>
      <c r="BK86" s="53" t="inlineStr">
        <is>
          <t>—</t>
        </is>
      </c>
      <c r="BL86" s="53" t="inlineStr">
        <is>
          <t>—</t>
        </is>
      </c>
      <c r="BM86" s="53" t="inlineStr">
        <is>
          <t>Not a manager</t>
        </is>
      </c>
      <c r="BN86" s="53" t="inlineStr">
        <is>
          <t>—</t>
        </is>
      </c>
      <c r="BO86" s="53" t="inlineStr">
        <is>
          <t>—</t>
        </is>
      </c>
      <c r="BP86" s="53" t="inlineStr">
        <is>
          <t>—</t>
        </is>
      </c>
      <c r="BQ86" s="53" t="inlineStr">
        <is>
          <t>Not a manager</t>
        </is>
      </c>
      <c r="BR86" s="53" t="inlineStr">
        <is>
          <t>—</t>
        </is>
      </c>
      <c r="BS86" s="53" t="inlineStr">
        <is>
          <t>L3 – Professional / Associate</t>
        </is>
      </c>
      <c r="BT86" s="53" t="inlineStr">
        <is>
          <t>L3</t>
        </is>
      </c>
      <c r="BU86" s="53" t="inlineStr">
        <is>
          <t>Matched from Title Hierarchy · new designation</t>
        </is>
      </c>
      <c r="BV86" s="53"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BW86" s="53" t="n"/>
      <c r="BX86" s="53" t="inlineStr">
        <is>
          <t>UK - HMRC; India - MCA; South Africa - CIPC; Europe - ESEF.</t>
        </is>
      </c>
      <c r="BY86" s="53" t="n"/>
      <c r="BZ86" s="53" t="inlineStr">
        <is>
          <t>IRIS0171</t>
        </is>
      </c>
      <c r="CA86" s="53" t="inlineStr">
        <is>
          <t>Employee</t>
        </is>
      </c>
      <c r="CB86" s="53" t="inlineStr">
        <is>
          <t>Active</t>
        </is>
      </c>
      <c r="CC86" s="53" t="inlineStr">
        <is>
          <t>Ritesh Yeram</t>
        </is>
      </c>
      <c r="CD86" s="54" t="n">
        <v>39470</v>
      </c>
      <c r="CE86" s="53" t="inlineStr">
        <is>
          <t>Image Processing Specialist</t>
        </is>
      </c>
      <c r="CF86" s="53" t="n"/>
      <c r="CG86" s="53" t="inlineStr">
        <is>
          <t>Professional Services</t>
        </is>
      </c>
      <c r="CH86" s="53" t="inlineStr">
        <is>
          <t>Digitization &amp; Image Processing</t>
        </is>
      </c>
      <c r="CI86" s="53" t="inlineStr">
        <is>
          <t>Image Processing Specialist</t>
        </is>
      </c>
      <c r="CJ86" s="53" t="inlineStr">
        <is>
          <t>L3 – Professional / Associate</t>
        </is>
      </c>
      <c r="CK86" s="53" t="inlineStr">
        <is>
          <t>Dinesh Sharma</t>
        </is>
      </c>
      <c r="CL86" s="53" t="inlineStr">
        <is>
          <t>N-7</t>
        </is>
      </c>
      <c r="CM86" s="53" t="inlineStr">
        <is>
          <t>Individual Contributor</t>
        </is>
      </c>
      <c r="CN86" s="53" t="inlineStr">
        <is>
          <t>Regtech</t>
        </is>
      </c>
      <c r="CO86" s="53" t="inlineStr">
        <is>
          <t>Digitizing</t>
        </is>
      </c>
      <c r="CP86" s="53" t="inlineStr">
        <is>
          <t>20 years, 4 months, 28 days</t>
        </is>
      </c>
      <c r="CQ86" s="53" t="inlineStr">
        <is>
          <t>Sr.Image Processing Specialist</t>
        </is>
      </c>
      <c r="CR86" s="53" t="n"/>
      <c r="CS86" s="53" t="n">
        <v>4</v>
      </c>
      <c r="CT86" s="53" t="inlineStr">
        <is>
          <t>High</t>
        </is>
      </c>
      <c r="CU86" s="53" t="inlineStr">
        <is>
          <t>Core Contributor</t>
        </is>
      </c>
      <c r="CV86" s="53" t="inlineStr">
        <is>
          <t>No</t>
        </is>
      </c>
      <c r="CW86" s="53" t="inlineStr">
        <is>
          <t>No</t>
        </is>
      </c>
      <c r="CX86" s="53" t="inlineStr">
        <is>
          <t>Yes</t>
        </is>
      </c>
      <c r="CY86" s="53" t="n"/>
      <c r="CZ86" s="53" t="n"/>
      <c r="DA86" s="53" t="n"/>
      <c r="DB86" s="53" t="inlineStr">
        <is>
          <t>Title to be standardized to : Sr.Image Processing Specialist</t>
        </is>
      </c>
      <c r="DC86" s="53" t="n"/>
      <c r="DD86" s="53" t="n"/>
      <c r="DE86" s="53" t="n"/>
      <c r="DF86" s="53" t="n"/>
      <c r="DG86" s="53" t="n"/>
      <c r="DH86" s="53" t="n"/>
      <c r="DI86" s="53" t="n"/>
      <c r="DJ86" s="53" t="n"/>
      <c r="DK86" s="53" t="n"/>
      <c r="DL86" s="53" t="n"/>
      <c r="DM86" s="53" t="n"/>
      <c r="DN86" s="53" t="n"/>
      <c r="DO86" s="53" t="n"/>
      <c r="DP86" s="53" t="n"/>
      <c r="DQ86" s="53" t="n"/>
      <c r="DR86" s="53" t="n"/>
      <c r="DS86" s="53" t="n"/>
      <c r="DT86" s="53" t="n"/>
      <c r="DU86" s="53" t="n"/>
      <c r="DV86" s="53" t="n"/>
      <c r="DW86" s="53" t="n"/>
      <c r="DX86" s="53" t="n"/>
      <c r="DY86" s="53" t="n"/>
      <c r="DZ86" s="53" t="n"/>
      <c r="EA86" s="53" t="n"/>
      <c r="EB86" s="53" t="n"/>
      <c r="EC86" s="53" t="n"/>
      <c r="ED86" s="53" t="n"/>
      <c r="EE86" s="53" t="n"/>
      <c r="EF86" s="53" t="n"/>
      <c r="EG86" s="53" t="n"/>
      <c r="EH86" s="53" t="n"/>
      <c r="EI86" s="53" t="n"/>
      <c r="EJ86" s="53" t="n"/>
      <c r="EK86" s="53" t="n"/>
      <c r="EL86" s="53" t="n"/>
      <c r="EM86" s="53" t="n"/>
      <c r="EN86" s="53" t="n"/>
      <c r="EO86" s="53" t="n"/>
      <c r="EP86" s="53" t="n"/>
      <c r="EQ86" s="53" t="n"/>
      <c r="ER86" s="53" t="n"/>
      <c r="ES86" s="53" t="n"/>
      <c r="ET86" s="53" t="n"/>
      <c r="EU86" s="53" t="n"/>
      <c r="EV86" s="53" t="n"/>
      <c r="EW86" s="52" t="n"/>
      <c r="EX86" s="53" t="inlineStr">
        <is>
          <t>• Role / sub-team: Digitizing Assited service.</t>
        </is>
      </c>
      <c r="EY86" s="53" t="inlineStr">
        <is>
          <t>• Key responsibilities include: ESEF QC, EU DM, Cipc , mca , uk Html Qc , cipc Html conversion, Formating check allocation query solving, quality check of pdf/ word.
• Reported deliverables and outcomes include: Once file formatting and conversion complted will send the file Services Team.</t>
        </is>
      </c>
      <c r="EZ86" s="53" t="inlineStr">
        <is>
          <t>• Current capabilities: Communication skills; Tools / software used: Both | Abbyy FineReader, Microsoft Web Expression · CIPC HTML conversion [Teams chat].</t>
        </is>
      </c>
      <c r="FA86" s="53" t="inlineStr">
        <is>
          <t>• Communications skills.
• Presentation skills.</t>
        </is>
      </c>
      <c r="FB86" s="53" t="inlineStr">
        <is>
          <t>• Key challenges: Quality of Report.
• Support required: No input received.</t>
        </is>
      </c>
      <c r="FC86" s="53" t="n"/>
      <c r="FD86" s="53" t="n"/>
      <c r="FE86" s="57"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FF86" s="56" t="n"/>
      <c r="FG86" s="56" t="n"/>
      <c r="FH86" s="56" t="n"/>
      <c r="FI86" s="56" t="n"/>
      <c r="FJ86" s="56" t="inlineStr">
        <is>
          <t>Received · manager annual</t>
        </is>
      </c>
      <c r="FK86" s="56" t="inlineStr">
        <is>
          <t>CARBON Mapping Master</t>
        </is>
      </c>
      <c r="FL86" s="56" t="n">
        <v>19</v>
      </c>
      <c r="FM86" s="56" t="inlineStr">
        <is>
          <t>• Role / sub-team: Digitizing Assited service.</t>
        </is>
      </c>
      <c r="FN86" s="56" t="inlineStr">
        <is>
          <t>• Key responsibilities include: ESEF QC, EU DM, Cipc , mca , uk Html Qc , cipc Html conversion, Formating check allocation query solving, quality check of pdf/ word.
• Reported deliverables and outcomes include: Once file formatting and conversion complted will send the file Services Team.</t>
        </is>
      </c>
      <c r="FO86" s="56" t="inlineStr">
        <is>
          <t>• Current capabilities: Communication skills; Tools / software used: Both | Abbyy FineReader, Microsoft Web Expression · CIPC HTML conversion [Teams chat].</t>
        </is>
      </c>
      <c r="FP86" s="56" t="inlineStr">
        <is>
          <t>• Communications skills.
• Presentation skills.</t>
        </is>
      </c>
      <c r="FQ86" s="56" t="inlineStr">
        <is>
          <t>• Key challenges: Quality of Report.
• Support required: No input received.</t>
        </is>
      </c>
      <c r="FR86" s="56" t="inlineStr">
        <is>
          <t>Complexity: Evidence reads like A3: QCs received files, solves formatting queries, HTML conversion and HTML QC across HMRC/CIPC/MCA/ESMA jobs → matches the start
Autonomy: Evidence reads like A2: States 'Not applicable' for independent decisions; only routine file allocation shown → moved down 0.5
Accountability: Evidence reads like A3: Assigns files, ensures timely delivery and QC of conversions before handover to services team → moved down 0.5
Leadership: Evidence reads like A3: Allocates files and resolves formatting queries for others; 2 direct reports → moved down 0.5
Business Impact: Moved +0.5: the survey / manager mapping marks it business-critical.</t>
        </is>
      </c>
      <c r="FS86" s="56" t="inlineStr">
        <is>
          <t>Common themes in role-holders' answers: am · formatting · processing · specialist · checker · image
Common themes in role-holders' answers: files · quality · html · received · correctly · checking
Common themes in role-holders' answers: word · pdf · html
Common themes in role-holders' answers: accountable · am · every
If the work is missed · role-holders' themes: dissatisfied · customers become · affected · company growth.</t>
        </is>
      </c>
      <c r="FT86" s="56" t="inlineStr">
        <is>
          <t>Self-identified: Data, SQL &amp; analytics · Product &amp; tool knowledge · Communication &amp; presentation
For the next role: Data, SQL &amp; analytics · Product &amp; tool knowledge · Communication &amp; presentation</t>
        </is>
      </c>
      <c r="FU86" s="56" t="inlineStr">
        <is>
          <t>Per-person summary · CARBON Mapping Master</t>
        </is>
      </c>
    </row>
    <row r="87" ht="90" customHeight="1">
      <c r="A87" s="51" t="inlineStr">
        <is>
          <t>◂ Back</t>
        </is>
      </c>
      <c r="B87" s="29" t="inlineStr">
        <is>
          <t>Mapped</t>
        </is>
      </c>
      <c r="C87" s="28" t="inlineStr">
        <is>
          <t>CARBON</t>
        </is>
      </c>
      <c r="D87" s="29" t="inlineStr">
        <is>
          <t>IRIS1205</t>
        </is>
      </c>
      <c r="E87" s="29" t="inlineStr">
        <is>
          <t>Justeen Koola</t>
        </is>
      </c>
      <c r="F87" s="29" t="inlineStr">
        <is>
          <t>Digitizing</t>
        </is>
      </c>
      <c r="G87" s="29" t="inlineStr">
        <is>
          <t>Image Processing Specialist</t>
        </is>
      </c>
      <c r="H87" s="29" t="inlineStr">
        <is>
          <t>Senior Digitization Associate</t>
        </is>
      </c>
      <c r="I87" s="29" t="inlineStr">
        <is>
          <t>L3 – Professional / Associate</t>
        </is>
      </c>
      <c r="J87" s="29" t="inlineStr">
        <is>
          <t>A3</t>
        </is>
      </c>
      <c r="K87" s="29" t="inlineStr">
        <is>
          <t>▲ Up</t>
        </is>
      </c>
      <c r="L87" s="29" t="inlineStr">
        <is>
          <t>Data Operations &amp; Digitization</t>
        </is>
      </c>
      <c r="M87" s="29" t="inlineStr">
        <is>
          <t>Document Conversion, Formatting &amp; Web Publishing</t>
        </is>
      </c>
      <c r="N87" s="29" t="n"/>
      <c r="O87" s="29" t="n">
        <v>19</v>
      </c>
      <c r="P87" s="28" t="inlineStr">
        <is>
          <t>P2</t>
        </is>
      </c>
      <c r="Q87" s="29" t="inlineStr">
        <is>
          <t>Developing</t>
        </is>
      </c>
      <c r="R87" s="29" t="inlineStr">
        <is>
          <t>3 Apply</t>
        </is>
      </c>
      <c r="S87" s="29" t="inlineStr">
        <is>
          <t>2–4 yrs</t>
        </is>
      </c>
      <c r="T87" s="29" t="inlineStr">
        <is>
          <t>3–5 · 2–5</t>
        </is>
      </c>
      <c r="U87" s="29" t="inlineStr">
        <is>
          <t>Senior Associate</t>
        </is>
      </c>
      <c r="V87" s="29" t="inlineStr">
        <is>
          <t>DataTracks: Senior Associate · 2–5 yrs · Accenture Operations: L10 Senior Analyst · IRIS Vs Competitor Benchmark — operations roles: Senior Processor / QC</t>
        </is>
      </c>
      <c r="W87" s="29" t="inlineStr">
        <is>
          <t>COPC CX Standard · leadership &amp; planning, people, processes, performance; ISO 9001; Lean / Six Sigma</t>
        </is>
      </c>
      <c r="X87" s="29" t="inlineStr">
        <is>
          <t>Core 2 · Future 2 · Functional 3 · Leadership not scored</t>
        </is>
      </c>
      <c r="Y87" s="52" t="n">
        <v>44</v>
      </c>
      <c r="Z87" s="53" t="inlineStr">
        <is>
          <t>IRIS1205</t>
        </is>
      </c>
      <c r="AA87" s="53" t="inlineStr">
        <is>
          <t>Employee</t>
        </is>
      </c>
      <c r="AB87" s="53" t="inlineStr">
        <is>
          <t>Active</t>
        </is>
      </c>
      <c r="AC87" s="53" t="inlineStr">
        <is>
          <t>Justeen Koola</t>
        </is>
      </c>
      <c r="AD87" s="54" t="n">
        <v>39736</v>
      </c>
      <c r="AE87" s="53" t="inlineStr">
        <is>
          <t>Image Processing Specialist</t>
        </is>
      </c>
      <c r="AF87" s="53" t="inlineStr">
        <is>
          <t>Undergraduate</t>
        </is>
      </c>
      <c r="AG87" s="53" t="inlineStr">
        <is>
          <t>Ritesh Yeram</t>
        </is>
      </c>
      <c r="AH87" s="53" t="inlineStr">
        <is>
          <t>N-8</t>
        </is>
      </c>
      <c r="AI87" s="53" t="inlineStr">
        <is>
          <t>Individual Contributor</t>
        </is>
      </c>
      <c r="AJ87" s="53" t="inlineStr">
        <is>
          <t>1 years, 0 months, 0 days</t>
        </is>
      </c>
      <c r="AK87" s="53" t="inlineStr">
        <is>
          <t>17 years, 10 months, 10 days</t>
        </is>
      </c>
      <c r="AL87" s="53" t="inlineStr">
        <is>
          <t>Regtech</t>
        </is>
      </c>
      <c r="AM87" s="53" t="inlineStr">
        <is>
          <t>CARBON</t>
        </is>
      </c>
      <c r="AN87" s="53" t="inlineStr">
        <is>
          <t>Digitizing</t>
        </is>
      </c>
      <c r="AO87" s="53" t="inlineStr">
        <is>
          <t>Digitizing Assisted services</t>
        </is>
      </c>
      <c r="AP87" s="53" t="inlineStr">
        <is>
          <t>No</t>
        </is>
      </c>
      <c r="AQ87" s="53" t="inlineStr">
        <is>
          <t>Professional Services</t>
        </is>
      </c>
      <c r="AR87" s="53" t="inlineStr">
        <is>
          <t>OCR/Image procesing</t>
        </is>
      </c>
      <c r="AS87" s="53" t="inlineStr">
        <is>
          <t>Non-technical</t>
        </is>
      </c>
      <c r="AT87" s="53" t="n">
        <v>20</v>
      </c>
      <c r="AU87" s="53" t="inlineStr">
        <is>
          <t>Covered</t>
        </is>
      </c>
      <c r="AV87" s="53" t="inlineStr">
        <is>
          <t>IRIS1205</t>
        </is>
      </c>
      <c r="AW87" s="53" t="inlineStr">
        <is>
          <t>Justeen Koola</t>
        </is>
      </c>
      <c r="AX87" s="53" t="inlineStr">
        <is>
          <t>Digitizing</t>
        </is>
      </c>
      <c r="AY87" s="53" t="inlineStr">
        <is>
          <t>Professional Services</t>
        </is>
      </c>
      <c r="AZ87" s="53" t="inlineStr">
        <is>
          <t>Digitization &amp; Image Processing</t>
        </is>
      </c>
      <c r="BA87" s="53" t="n"/>
      <c r="BB87" s="53" t="n"/>
      <c r="BC87" s="53" t="inlineStr">
        <is>
          <t>Employee</t>
        </is>
      </c>
      <c r="BD87" s="53" t="inlineStr">
        <is>
          <t>Prajakta Mokal</t>
        </is>
      </c>
      <c r="BE87" s="53" t="inlineStr">
        <is>
          <t>Dinesh Madanlal Sharma</t>
        </is>
      </c>
      <c r="BF87" s="53" t="inlineStr">
        <is>
          <t>No</t>
        </is>
      </c>
      <c r="BG87" s="53" t="inlineStr">
        <is>
          <t>Image Processing Specialist</t>
        </is>
      </c>
      <c r="BH87" s="53" t="inlineStr">
        <is>
          <t>Sr.Image Processing Specialist</t>
        </is>
      </c>
      <c r="BI87" s="53" t="inlineStr">
        <is>
          <t>Yes</t>
        </is>
      </c>
      <c r="BJ87" s="53" t="inlineStr">
        <is>
          <t>—</t>
        </is>
      </c>
      <c r="BK87" s="53" t="inlineStr">
        <is>
          <t>—</t>
        </is>
      </c>
      <c r="BL87" s="53" t="inlineStr">
        <is>
          <t>—</t>
        </is>
      </c>
      <c r="BM87" s="53" t="inlineStr">
        <is>
          <t>Not a manager</t>
        </is>
      </c>
      <c r="BN87" s="53" t="inlineStr">
        <is>
          <t>—</t>
        </is>
      </c>
      <c r="BO87" s="53" t="inlineStr">
        <is>
          <t>—</t>
        </is>
      </c>
      <c r="BP87" s="53" t="inlineStr">
        <is>
          <t>—</t>
        </is>
      </c>
      <c r="BQ87" s="53" t="inlineStr">
        <is>
          <t>Not a manager</t>
        </is>
      </c>
      <c r="BR87" s="53" t="inlineStr">
        <is>
          <t>—</t>
        </is>
      </c>
      <c r="BS87" s="53" t="inlineStr">
        <is>
          <t>L3 – Professional / Associate</t>
        </is>
      </c>
      <c r="BT87" s="53" t="inlineStr">
        <is>
          <t>L3</t>
        </is>
      </c>
      <c r="BU87" s="53" t="inlineStr">
        <is>
          <t>Matched from Title Hierarchy · new designation</t>
        </is>
      </c>
      <c r="BV87" s="53"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BW87" s="53" t="n"/>
      <c r="BX87" s="53" t="inlineStr">
        <is>
          <t>South Africa - CIPC; UK - HMRC; Europe - ESEF; India - MCA.</t>
        </is>
      </c>
      <c r="BY87" s="53" t="n"/>
      <c r="BZ87" s="53" t="inlineStr">
        <is>
          <t>IRIS1205</t>
        </is>
      </c>
      <c r="CA87" s="53" t="inlineStr">
        <is>
          <t>Employee</t>
        </is>
      </c>
      <c r="CB87" s="53" t="inlineStr">
        <is>
          <t>Active</t>
        </is>
      </c>
      <c r="CC87" s="53" t="inlineStr">
        <is>
          <t>Justeen Koola</t>
        </is>
      </c>
      <c r="CD87" s="54" t="n">
        <v>39736</v>
      </c>
      <c r="CE87" s="53" t="inlineStr">
        <is>
          <t>Image Processing Specialist</t>
        </is>
      </c>
      <c r="CF87" s="53" t="n"/>
      <c r="CG87" s="53" t="inlineStr">
        <is>
          <t>Professional Services</t>
        </is>
      </c>
      <c r="CH87" s="53" t="inlineStr">
        <is>
          <t>Digitization &amp; Image Processing</t>
        </is>
      </c>
      <c r="CI87" s="53" t="inlineStr">
        <is>
          <t>Image Processing Specialist</t>
        </is>
      </c>
      <c r="CJ87" s="53" t="inlineStr">
        <is>
          <t>L3 – Professional / Associate</t>
        </is>
      </c>
      <c r="CK87" s="53" t="inlineStr">
        <is>
          <t>Prajakta Mokal</t>
        </is>
      </c>
      <c r="CL87" s="53" t="inlineStr">
        <is>
          <t>N-8</t>
        </is>
      </c>
      <c r="CM87" s="53" t="inlineStr">
        <is>
          <t>Individual Contributor</t>
        </is>
      </c>
      <c r="CN87" s="53" t="inlineStr">
        <is>
          <t>Regtech</t>
        </is>
      </c>
      <c r="CO87" s="53" t="inlineStr">
        <is>
          <t>Digitizing</t>
        </is>
      </c>
      <c r="CP87" s="53" t="inlineStr">
        <is>
          <t>18 years, 8 months, 5 days</t>
        </is>
      </c>
      <c r="CQ87" s="53" t="inlineStr">
        <is>
          <t>Sr.Image Processing Specialist</t>
        </is>
      </c>
      <c r="CR87" s="53" t="n"/>
      <c r="CS87" s="53" t="n">
        <v>3</v>
      </c>
      <c r="CT87" s="53" t="inlineStr">
        <is>
          <t>Medium</t>
        </is>
      </c>
      <c r="CU87" s="53" t="inlineStr">
        <is>
          <t>Core Contributor</t>
        </is>
      </c>
      <c r="CV87" s="53" t="inlineStr">
        <is>
          <t>No</t>
        </is>
      </c>
      <c r="CW87" s="53" t="inlineStr">
        <is>
          <t>No</t>
        </is>
      </c>
      <c r="CX87" s="53" t="inlineStr">
        <is>
          <t>Yes</t>
        </is>
      </c>
      <c r="CY87" s="53" t="n"/>
      <c r="CZ87" s="53" t="n"/>
      <c r="DA87" s="53" t="n"/>
      <c r="DB87" s="53" t="inlineStr">
        <is>
          <t>Title to be standardized to : Sr.Image Processing Specialist</t>
        </is>
      </c>
      <c r="DC87" s="53" t="n"/>
      <c r="DD87" s="53" t="n"/>
      <c r="DE87" s="53" t="n"/>
      <c r="DF87" s="53" t="n"/>
      <c r="DG87" s="53" t="n"/>
      <c r="DH87" s="53" t="n"/>
      <c r="DI87" s="53" t="n"/>
      <c r="DJ87" s="53" t="n"/>
      <c r="DK87" s="53" t="n"/>
      <c r="DL87" s="53" t="n"/>
      <c r="DM87" s="53" t="n"/>
      <c r="DN87" s="53" t="n"/>
      <c r="DO87" s="53" t="n"/>
      <c r="DP87" s="53" t="n"/>
      <c r="DQ87" s="53" t="n"/>
      <c r="DR87" s="53" t="n"/>
      <c r="DS87" s="53" t="n"/>
      <c r="DT87" s="53" t="n"/>
      <c r="DU87" s="53" t="n"/>
      <c r="DV87" s="53" t="n"/>
      <c r="DW87" s="53" t="n"/>
      <c r="DX87" s="53" t="n"/>
      <c r="DY87" s="53" t="n"/>
      <c r="DZ87" s="53" t="n"/>
      <c r="EA87" s="53" t="n"/>
      <c r="EB87" s="53" t="n"/>
      <c r="EC87" s="53" t="n"/>
      <c r="ED87" s="53" t="n"/>
      <c r="EE87" s="53" t="n"/>
      <c r="EF87" s="53" t="n"/>
      <c r="EG87" s="53" t="n"/>
      <c r="EH87" s="53" t="n"/>
      <c r="EI87" s="53" t="n"/>
      <c r="EJ87" s="53" t="n"/>
      <c r="EK87" s="53" t="n"/>
      <c r="EL87" s="53" t="n"/>
      <c r="EM87" s="53" t="n"/>
      <c r="EN87" s="53" t="n"/>
      <c r="EO87" s="53" t="n"/>
      <c r="EP87" s="53" t="n"/>
      <c r="EQ87" s="53" t="n"/>
      <c r="ER87" s="53" t="n"/>
      <c r="ES87" s="53" t="n"/>
      <c r="ET87" s="53" t="n"/>
      <c r="EU87" s="53" t="n"/>
      <c r="EV87" s="53" t="n"/>
      <c r="EW87" s="52" t="n"/>
      <c r="EX87" s="53" t="inlineStr">
        <is>
          <t>• Role / sub-team: Digitizing Assited Services.</t>
        </is>
      </c>
      <c r="EY87" s="53" t="inlineStr">
        <is>
          <t>• Key responsibilities include: Formatting and review ESEF,UK converison, MCA, cipc html conversion,.</t>
        </is>
      </c>
      <c r="EZ87" s="53" t="inlineStr">
        <is>
          <t>• Current capabilities: Communication skills; Team management skills; Tools / software used: Abbyy FineReader, Microsoft Web Expression, Carbon tool [Teams chat].</t>
        </is>
      </c>
      <c r="FA87" s="53" t="inlineStr">
        <is>
          <t>• Communications skills.
• Presentation skills.</t>
        </is>
      </c>
      <c r="FB87" s="53" t="inlineStr">
        <is>
          <t>• Key challenges: Quality of report.
• Support required: No input received.</t>
        </is>
      </c>
      <c r="FC87" s="53" t="n"/>
      <c r="FD87" s="53" t="n"/>
      <c r="FE87" s="57"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FF87" s="56" t="n"/>
      <c r="FG87" s="56" t="n"/>
      <c r="FH87" s="56" t="n"/>
      <c r="FI87" s="56" t="n"/>
      <c r="FJ87" s="56" t="inlineStr">
        <is>
          <t>Received · manager annual</t>
        </is>
      </c>
      <c r="FK87" s="56" t="inlineStr">
        <is>
          <t>CARBON Mapping Master</t>
        </is>
      </c>
      <c r="FL87" s="56" t="n">
        <v>19</v>
      </c>
      <c r="FM87" s="56" t="inlineStr">
        <is>
          <t>• Role / sub-team: Digitizing Assited Services.</t>
        </is>
      </c>
      <c r="FN87" s="56" t="inlineStr">
        <is>
          <t>• Key responsibilities include: Formatting and review ESEF,UK converison, MCA, cipc html conversion,.</t>
        </is>
      </c>
      <c r="FO87" s="56" t="inlineStr">
        <is>
          <t>• Current capabilities: Communication skills; Team management skills; Tools / software used: Abbyy FineReader, Microsoft Web Expression, Carbon tool [Teams chat].</t>
        </is>
      </c>
      <c r="FP87" s="56" t="inlineStr">
        <is>
          <t>• Communications skills.
• Presentation skills.</t>
        </is>
      </c>
      <c r="FQ87" s="56" t="inlineStr">
        <is>
          <t>• Key challenges: Quality of report.
• Support required: No input received.</t>
        </is>
      </c>
      <c r="FR87" s="56" t="inlineStr">
        <is>
          <t>Complexity: Evidence reads like A2: HMRC and CIPC HTML conversion, DM / ESEF formatting and review → moved down 0.5
Autonomy: Evidence reads like A1: States 'Not Applicable' for independent decisions → moved down 0.5
Accountability: Evidence reads like A2: Own files delivered on the given date → moved down 0.5
Leadership: Evidence reads like A1: Mentions team collaboration only; no guidance of others → moved down 0.5
Business Impact: Moved +0.5: the survey / manager mapping marks it business-critical.</t>
        </is>
      </c>
      <c r="FS87" s="56"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FT87" s="56" t="inlineStr">
        <is>
          <t>Self-identified: Leadership &amp; people management · Project / programme management · Communication &amp; presentation
For the next role: Leadership &amp; people management · Project / programme management · Communication &amp; presentation</t>
        </is>
      </c>
      <c r="FU87" s="56" t="inlineStr">
        <is>
          <t>Per-person summary · CARBON Mapping Master</t>
        </is>
      </c>
    </row>
    <row r="88" ht="90" customHeight="1">
      <c r="A88" s="51" t="inlineStr">
        <is>
          <t>◂ Back</t>
        </is>
      </c>
      <c r="B88" s="29" t="inlineStr">
        <is>
          <t>Mapped</t>
        </is>
      </c>
      <c r="C88" s="28" t="inlineStr">
        <is>
          <t>CARBON</t>
        </is>
      </c>
      <c r="D88" s="29" t="inlineStr">
        <is>
          <t>IRIS1774</t>
        </is>
      </c>
      <c r="E88" s="29" t="inlineStr">
        <is>
          <t>Tabassum Ali</t>
        </is>
      </c>
      <c r="F88" s="29" t="inlineStr">
        <is>
          <t>Digitizing</t>
        </is>
      </c>
      <c r="G88" s="29" t="inlineStr">
        <is>
          <t>Image Processing Specialist</t>
        </is>
      </c>
      <c r="H88" s="29" t="inlineStr">
        <is>
          <t>Senior Digitization Associate</t>
        </is>
      </c>
      <c r="I88" s="29" t="inlineStr">
        <is>
          <t>L3 – Professional / Associate</t>
        </is>
      </c>
      <c r="J88" s="29" t="inlineStr">
        <is>
          <t>A3</t>
        </is>
      </c>
      <c r="K88" s="29" t="inlineStr">
        <is>
          <t>▲ Up</t>
        </is>
      </c>
      <c r="L88" s="29" t="inlineStr">
        <is>
          <t>Data Operations &amp; Digitization</t>
        </is>
      </c>
      <c r="M88" s="29" t="inlineStr">
        <is>
          <t>Document Conversion, Formatting &amp; Web Publishing</t>
        </is>
      </c>
      <c r="N88" s="29" t="n"/>
      <c r="O88" s="29" t="n">
        <v>0</v>
      </c>
      <c r="P88" s="28" t="inlineStr">
        <is>
          <t>P2</t>
        </is>
      </c>
      <c r="Q88" s="29" t="inlineStr">
        <is>
          <t>Developing</t>
        </is>
      </c>
      <c r="R88" s="29" t="inlineStr">
        <is>
          <t>3 Apply</t>
        </is>
      </c>
      <c r="S88" s="29" t="inlineStr">
        <is>
          <t>2–4 yrs</t>
        </is>
      </c>
      <c r="T88" s="29" t="inlineStr">
        <is>
          <t>3–5 · 2–5</t>
        </is>
      </c>
      <c r="U88" s="29" t="inlineStr">
        <is>
          <t>Senior Associate</t>
        </is>
      </c>
      <c r="V88" s="29" t="inlineStr">
        <is>
          <t>DataTracks: Senior Associate · 2–5 yrs · Accenture Operations: L10 Senior Analyst · IRIS Vs Competitor Benchmark — operations roles: Senior Processor / QC</t>
        </is>
      </c>
      <c r="W88" s="29" t="inlineStr">
        <is>
          <t>COPC CX Standard · leadership &amp; planning, people, processes, performance; ISO 9001; Lean / Six Sigma</t>
        </is>
      </c>
      <c r="X88" s="29" t="inlineStr">
        <is>
          <t>Core 2 · Future 2 · Functional 3 · Leadership not scored</t>
        </is>
      </c>
      <c r="Y88" s="52" t="n">
        <v>154</v>
      </c>
      <c r="Z88" s="53" t="inlineStr">
        <is>
          <t>IRIS1774</t>
        </is>
      </c>
      <c r="AA88" s="53" t="inlineStr">
        <is>
          <t>Employee</t>
        </is>
      </c>
      <c r="AB88" s="53" t="inlineStr">
        <is>
          <t>Active</t>
        </is>
      </c>
      <c r="AC88" s="53" t="inlineStr">
        <is>
          <t>Tabassum Ali</t>
        </is>
      </c>
      <c r="AD88" s="54" t="n">
        <v>43556</v>
      </c>
      <c r="AE88" s="53" t="inlineStr">
        <is>
          <t>Image Processing Specialist</t>
        </is>
      </c>
      <c r="AF88" s="53" t="inlineStr">
        <is>
          <t>B.Com</t>
        </is>
      </c>
      <c r="AG88" s="53" t="inlineStr">
        <is>
          <t>Ritesh Yeram</t>
        </is>
      </c>
      <c r="AH88" s="53" t="inlineStr">
        <is>
          <t>N-8</t>
        </is>
      </c>
      <c r="AI88" s="53" t="inlineStr">
        <is>
          <t>Individual Contributor</t>
        </is>
      </c>
      <c r="AJ88" s="53" t="inlineStr">
        <is>
          <t>1 years, 11 months, 0 days</t>
        </is>
      </c>
      <c r="AK88" s="53" t="inlineStr">
        <is>
          <t>7 years, 4 months, 24 days</t>
        </is>
      </c>
      <c r="AL88" s="53" t="inlineStr">
        <is>
          <t>Regtech</t>
        </is>
      </c>
      <c r="AM88" s="53" t="inlineStr">
        <is>
          <t>CARBON</t>
        </is>
      </c>
      <c r="AN88" s="53" t="inlineStr">
        <is>
          <t>Digitizing</t>
        </is>
      </c>
      <c r="AO88" s="53" t="inlineStr">
        <is>
          <t>Digitizing Assisted services</t>
        </is>
      </c>
      <c r="AP88" s="53" t="inlineStr">
        <is>
          <t>No</t>
        </is>
      </c>
      <c r="AQ88" s="53" t="inlineStr">
        <is>
          <t>Professional Services</t>
        </is>
      </c>
      <c r="AR88" s="53" t="inlineStr">
        <is>
          <t>OCR/Image procesing</t>
        </is>
      </c>
      <c r="AS88" s="53" t="inlineStr">
        <is>
          <t>Non-technical</t>
        </is>
      </c>
      <c r="AT88" s="53" t="n">
        <v>0</v>
      </c>
      <c r="AU88" s="53" t="inlineStr">
        <is>
          <t>E-Maternity</t>
        </is>
      </c>
      <c r="AV88" s="53" t="inlineStr">
        <is>
          <t>IRIS1774</t>
        </is>
      </c>
      <c r="AW88" s="53" t="inlineStr">
        <is>
          <t>Tabassum Ali</t>
        </is>
      </c>
      <c r="AX88" s="53" t="inlineStr">
        <is>
          <t>Digitizing</t>
        </is>
      </c>
      <c r="AY88" s="53" t="inlineStr">
        <is>
          <t>Professional Services</t>
        </is>
      </c>
      <c r="AZ88" s="53" t="inlineStr">
        <is>
          <t>Digitization &amp; Image Processing</t>
        </is>
      </c>
      <c r="BA88" s="53" t="n"/>
      <c r="BB88" s="53" t="n"/>
      <c r="BC88" s="53" t="inlineStr">
        <is>
          <t>Employee</t>
        </is>
      </c>
      <c r="BD88" s="53" t="inlineStr">
        <is>
          <t>Prajakta Mokal</t>
        </is>
      </c>
      <c r="BE88" s="53" t="inlineStr">
        <is>
          <t>Swara Swapnil Mhatre</t>
        </is>
      </c>
      <c r="BF88" s="53" t="inlineStr">
        <is>
          <t>No</t>
        </is>
      </c>
      <c r="BG88" s="53" t="inlineStr">
        <is>
          <t>Image Processing Specialist</t>
        </is>
      </c>
      <c r="BH88" s="53" t="inlineStr">
        <is>
          <t>Image Processing Specialist</t>
        </is>
      </c>
      <c r="BI88" s="53" t="inlineStr">
        <is>
          <t>No</t>
        </is>
      </c>
      <c r="BJ88" s="53" t="inlineStr">
        <is>
          <t>—</t>
        </is>
      </c>
      <c r="BK88" s="53" t="inlineStr">
        <is>
          <t>—</t>
        </is>
      </c>
      <c r="BL88" s="53" t="inlineStr">
        <is>
          <t>—</t>
        </is>
      </c>
      <c r="BM88" s="53" t="inlineStr">
        <is>
          <t>Not a manager</t>
        </is>
      </c>
      <c r="BN88" s="53" t="inlineStr">
        <is>
          <t>—</t>
        </is>
      </c>
      <c r="BO88" s="53" t="inlineStr">
        <is>
          <t>—</t>
        </is>
      </c>
      <c r="BP88" s="53" t="inlineStr">
        <is>
          <t>—</t>
        </is>
      </c>
      <c r="BQ88" s="53" t="inlineStr">
        <is>
          <t>Not a manager</t>
        </is>
      </c>
      <c r="BR88" s="53" t="inlineStr">
        <is>
          <t>—</t>
        </is>
      </c>
      <c r="BS88" s="53" t="inlineStr">
        <is>
          <t>L3 – Professional / Associate</t>
        </is>
      </c>
      <c r="BT88" s="53" t="inlineStr">
        <is>
          <t>L3 – Professional / Associate</t>
        </is>
      </c>
      <c r="BU88" s="53" t="inlineStr">
        <is>
          <t>No designation change — current record value carried forward</t>
        </is>
      </c>
      <c r="BV88" s="53"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BW88" s="53" t="n"/>
      <c r="BX88" s="53" t="n"/>
      <c r="BY88" s="53" t="n"/>
      <c r="BZ88" s="53" t="inlineStr">
        <is>
          <t>IRIS1774</t>
        </is>
      </c>
      <c r="CA88" s="53" t="inlineStr">
        <is>
          <t>Employee</t>
        </is>
      </c>
      <c r="CB88" s="53" t="inlineStr">
        <is>
          <t>Active</t>
        </is>
      </c>
      <c r="CC88" s="53" t="inlineStr">
        <is>
          <t>Tabassum Ali</t>
        </is>
      </c>
      <c r="CD88" s="54" t="n">
        <v>43556</v>
      </c>
      <c r="CE88" s="53" t="inlineStr">
        <is>
          <t>Image Processing Specialist</t>
        </is>
      </c>
      <c r="CF88" s="53" t="n"/>
      <c r="CG88" s="53" t="inlineStr">
        <is>
          <t>Professional Services</t>
        </is>
      </c>
      <c r="CH88" s="53" t="inlineStr">
        <is>
          <t>Digitization &amp; Image Processing</t>
        </is>
      </c>
      <c r="CI88" s="53" t="inlineStr">
        <is>
          <t>Image Processing Specialist</t>
        </is>
      </c>
      <c r="CJ88" s="53" t="inlineStr">
        <is>
          <t>L3 – Professional / Associate</t>
        </is>
      </c>
      <c r="CK88" s="53" t="inlineStr">
        <is>
          <t>Prajakta Mokal</t>
        </is>
      </c>
      <c r="CL88" s="53" t="inlineStr">
        <is>
          <t>N-8</t>
        </is>
      </c>
      <c r="CM88" s="53" t="inlineStr">
        <is>
          <t>Individual Contributor</t>
        </is>
      </c>
      <c r="CN88" s="53" t="inlineStr">
        <is>
          <t>Regtech</t>
        </is>
      </c>
      <c r="CO88" s="53" t="inlineStr">
        <is>
          <t>Digitizing</t>
        </is>
      </c>
      <c r="CP88" s="53" t="inlineStr">
        <is>
          <t>9 years, 1 months, 19 days</t>
        </is>
      </c>
      <c r="CQ88" s="53" t="n"/>
      <c r="CR88" s="53" t="n"/>
      <c r="CS88" s="53" t="n">
        <v>3</v>
      </c>
      <c r="CT88" s="53" t="inlineStr">
        <is>
          <t>Medium</t>
        </is>
      </c>
      <c r="CU88" s="53" t="inlineStr">
        <is>
          <t>Core Contributor</t>
        </is>
      </c>
      <c r="CV88" s="53" t="inlineStr">
        <is>
          <t>No</t>
        </is>
      </c>
      <c r="CW88" s="53" t="inlineStr">
        <is>
          <t>No</t>
        </is>
      </c>
      <c r="CX88" s="53" t="inlineStr">
        <is>
          <t>Yes</t>
        </is>
      </c>
      <c r="CY88" s="53" t="n"/>
      <c r="CZ88" s="53" t="n"/>
      <c r="DA88" s="53" t="n"/>
      <c r="DB88" s="53" t="n"/>
      <c r="DC88" s="53" t="n"/>
      <c r="DD88" s="53" t="n"/>
      <c r="DE88" s="53" t="n"/>
      <c r="DF88" s="53" t="n"/>
      <c r="DG88" s="53" t="n"/>
      <c r="DH88" s="53" t="n"/>
      <c r="DI88" s="53" t="n"/>
      <c r="DJ88" s="53" t="n"/>
      <c r="DK88" s="53" t="n"/>
      <c r="DL88" s="53" t="n"/>
      <c r="DM88" s="53" t="n"/>
      <c r="DN88" s="53" t="n"/>
      <c r="DO88" s="53" t="n"/>
      <c r="DP88" s="53" t="n"/>
      <c r="DQ88" s="53" t="n"/>
      <c r="DR88" s="53" t="n"/>
      <c r="DS88" s="53" t="n"/>
      <c r="DT88" s="53" t="n"/>
      <c r="DU88" s="53" t="n"/>
      <c r="DV88" s="53" t="n"/>
      <c r="DW88" s="53" t="n"/>
      <c r="DX88" s="53" t="n"/>
      <c r="DY88" s="53" t="n"/>
      <c r="DZ88" s="53" t="n"/>
      <c r="EA88" s="53" t="n"/>
      <c r="EB88" s="53" t="n"/>
      <c r="EC88" s="53" t="n"/>
      <c r="ED88" s="53" t="n"/>
      <c r="EE88" s="53" t="n"/>
      <c r="EF88" s="53" t="n"/>
      <c r="EG88" s="53" t="n"/>
      <c r="EH88" s="53" t="n"/>
      <c r="EI88" s="53" t="n"/>
      <c r="EJ88" s="53" t="n"/>
      <c r="EK88" s="53" t="n"/>
      <c r="EL88" s="53" t="n"/>
      <c r="EM88" s="53" t="n"/>
      <c r="EN88" s="53" t="n"/>
      <c r="EO88" s="53" t="n"/>
      <c r="EP88" s="53" t="n"/>
      <c r="EQ88" s="53" t="n"/>
      <c r="ER88" s="53" t="n"/>
      <c r="ES88" s="53" t="n"/>
      <c r="ET88" s="53" t="n"/>
      <c r="EU88" s="53" t="n"/>
      <c r="EV88" s="53" t="n"/>
      <c r="EW88" s="52" t="n"/>
      <c r="EX88" s="53" t="n"/>
      <c r="EY88" s="53" t="n"/>
      <c r="EZ88" s="53" t="n"/>
      <c r="FA88" s="53" t="n"/>
      <c r="FB88" s="53" t="n"/>
      <c r="FC88" s="53" t="n"/>
      <c r="FD88" s="53" t="n"/>
      <c r="FE88" s="57"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2 mandates/products. Ultimate goal should be able to work in all OCR/Formatting mandates.</t>
        </is>
      </c>
      <c r="FF88" s="56" t="n"/>
      <c r="FG88" s="56" t="n"/>
      <c r="FH88" s="56" t="n"/>
      <c r="FI88" s="56" t="n"/>
      <c r="FJ88" s="56" t="inlineStr">
        <is>
          <t>Received · manager annual</t>
        </is>
      </c>
      <c r="FK88" s="56" t="inlineStr">
        <is>
          <t>CARBON Mapping Master</t>
        </is>
      </c>
      <c r="FL88" s="56" t="n">
        <v>0</v>
      </c>
      <c r="FM88" s="32" t="inlineStr">
        <is>
          <t>No survey response on file</t>
        </is>
      </c>
      <c r="FN88" s="56" t="inlineStr">
        <is>
          <t>—</t>
        </is>
      </c>
      <c r="FO88" s="56" t="inlineStr">
        <is>
          <t>—</t>
        </is>
      </c>
      <c r="FP88" s="56" t="inlineStr">
        <is>
          <t>—</t>
        </is>
      </c>
      <c r="FQ88" s="56" t="inlineStr">
        <is>
          <t>—</t>
        </is>
      </c>
      <c r="FR88" s="56" t="inlineStr">
        <is>
          <t>Business Impact: Moved +0.5: the survey / manager mapping marks it business-critical.</t>
        </is>
      </c>
      <c r="FS88" s="56"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FT88" s="56" t="n"/>
      <c r="FU88" s="32" t="inlineStr">
        <is>
          <t>No survey response on file</t>
        </is>
      </c>
    </row>
    <row r="89" ht="90" customHeight="1">
      <c r="A89" s="51" t="inlineStr">
        <is>
          <t>◂ Back</t>
        </is>
      </c>
      <c r="B89" s="29" t="inlineStr">
        <is>
          <t>Mapped</t>
        </is>
      </c>
      <c r="C89" s="28" t="inlineStr">
        <is>
          <t>CARBON</t>
        </is>
      </c>
      <c r="D89" s="29" t="inlineStr">
        <is>
          <t>IRISC287</t>
        </is>
      </c>
      <c r="E89" s="29" t="inlineStr">
        <is>
          <t>Farina Pathan</t>
        </is>
      </c>
      <c r="F89" s="29" t="inlineStr">
        <is>
          <t>Digitizing</t>
        </is>
      </c>
      <c r="G89" s="29" t="inlineStr">
        <is>
          <t>Consultant</t>
        </is>
      </c>
      <c r="H89" s="29" t="inlineStr">
        <is>
          <t>Senior Digitization Associate</t>
        </is>
      </c>
      <c r="I89" s="29" t="inlineStr">
        <is>
          <t>L3 – Professional / Associate</t>
        </is>
      </c>
      <c r="J89" s="29" t="inlineStr">
        <is>
          <t>A3</t>
        </is>
      </c>
      <c r="K89" s="29" t="inlineStr">
        <is>
          <t>▲ Up</t>
        </is>
      </c>
      <c r="L89" s="29" t="inlineStr">
        <is>
          <t>Data Operations &amp; Digitization</t>
        </is>
      </c>
      <c r="M89" s="29" t="inlineStr">
        <is>
          <t>Document Conversion, Formatting &amp; Web Publishing</t>
        </is>
      </c>
      <c r="N89" s="29" t="n"/>
      <c r="O89" s="29" t="n">
        <v>19</v>
      </c>
      <c r="P89" s="28" t="inlineStr">
        <is>
          <t>P2</t>
        </is>
      </c>
      <c r="Q89" s="29" t="inlineStr">
        <is>
          <t>Developing</t>
        </is>
      </c>
      <c r="R89" s="29" t="inlineStr">
        <is>
          <t>3 Apply</t>
        </is>
      </c>
      <c r="S89" s="29" t="inlineStr">
        <is>
          <t>2–4 yrs</t>
        </is>
      </c>
      <c r="T89" s="29" t="inlineStr">
        <is>
          <t>3–5 · 2–5</t>
        </is>
      </c>
      <c r="U89" s="29" t="inlineStr">
        <is>
          <t>Senior Associate</t>
        </is>
      </c>
      <c r="V89" s="29" t="inlineStr">
        <is>
          <t>DataTracks: Senior Associate · 2–5 yrs · Accenture Operations: L10 Senior Analyst · IRIS Vs Competitor Benchmark — operations roles: Senior Processor / QC</t>
        </is>
      </c>
      <c r="W89" s="29" t="inlineStr">
        <is>
          <t>COPC CX Standard · leadership &amp; planning, people, processes, performance; ISO 9001; Lean / Six Sigma</t>
        </is>
      </c>
      <c r="X89" s="29" t="inlineStr">
        <is>
          <t>Core 2 · Future 2 · Functional 3 · Leadership not scored</t>
        </is>
      </c>
      <c r="Y89" s="52" t="n">
        <v>309</v>
      </c>
      <c r="Z89" s="53" t="inlineStr">
        <is>
          <t>IRISC287</t>
        </is>
      </c>
      <c r="AA89" s="53" t="inlineStr">
        <is>
          <t>On Contract</t>
        </is>
      </c>
      <c r="AB89" s="53" t="inlineStr">
        <is>
          <t>Active</t>
        </is>
      </c>
      <c r="AC89" s="53" t="inlineStr">
        <is>
          <t>Farina Pathan</t>
        </is>
      </c>
      <c r="AD89" s="54" t="n">
        <v>45344</v>
      </c>
      <c r="AE89" s="53" t="inlineStr">
        <is>
          <t>Consultant</t>
        </is>
      </c>
      <c r="AF89" s="53" t="inlineStr">
        <is>
          <t>B.Com</t>
        </is>
      </c>
      <c r="AG89" s="53" t="inlineStr">
        <is>
          <t>Dinesh Sharma</t>
        </is>
      </c>
      <c r="AH89" s="53" t="inlineStr">
        <is>
          <t>N-7</t>
        </is>
      </c>
      <c r="AI89" s="53" t="inlineStr">
        <is>
          <t>Individual Contributor</t>
        </is>
      </c>
      <c r="AJ89" s="53" t="inlineStr">
        <is>
          <t>0 years, 0 months, 0 days</t>
        </is>
      </c>
      <c r="AK89" s="53" t="inlineStr">
        <is>
          <t>2 years, 6 months, 3 days</t>
        </is>
      </c>
      <c r="AL89" s="53" t="inlineStr">
        <is>
          <t>Regtech</t>
        </is>
      </c>
      <c r="AM89" s="53" t="inlineStr">
        <is>
          <t>CARBON</t>
        </is>
      </c>
      <c r="AN89" s="53" t="inlineStr">
        <is>
          <t>Digitizing</t>
        </is>
      </c>
      <c r="AO89" s="53" t="inlineStr">
        <is>
          <t>Digitizing Assisted services</t>
        </is>
      </c>
      <c r="AP89" s="53" t="inlineStr">
        <is>
          <t>No</t>
        </is>
      </c>
      <c r="AQ89" s="53" t="inlineStr">
        <is>
          <t>Professional Services</t>
        </is>
      </c>
      <c r="AR89" s="53" t="inlineStr">
        <is>
          <t>OCR/Image procesing</t>
        </is>
      </c>
      <c r="AS89" s="53" t="inlineStr">
        <is>
          <t>Non-technical</t>
        </is>
      </c>
      <c r="AT89" s="53" t="n">
        <v>20</v>
      </c>
      <c r="AU89" s="53" t="inlineStr">
        <is>
          <t>Covered</t>
        </is>
      </c>
      <c r="AV89" s="53" t="inlineStr">
        <is>
          <t>IRISC287</t>
        </is>
      </c>
      <c r="AW89" s="53" t="inlineStr">
        <is>
          <t>Farina Pathan</t>
        </is>
      </c>
      <c r="AX89" s="53" t="inlineStr">
        <is>
          <t>Digitizing</t>
        </is>
      </c>
      <c r="AY89" s="53" t="inlineStr">
        <is>
          <t>Professional Services</t>
        </is>
      </c>
      <c r="AZ89" s="53" t="inlineStr">
        <is>
          <t>Digitization &amp; Image Processing</t>
        </is>
      </c>
      <c r="BA89" s="53" t="n"/>
      <c r="BB89" s="53" t="n"/>
      <c r="BC89" s="53" t="inlineStr">
        <is>
          <t>On Contract</t>
        </is>
      </c>
      <c r="BD89" s="53" t="inlineStr">
        <is>
          <t>Tejas Kat</t>
        </is>
      </c>
      <c r="BE89" s="53" t="inlineStr">
        <is>
          <t>Datta Anand Hatagale</t>
        </is>
      </c>
      <c r="BF89" s="53" t="inlineStr">
        <is>
          <t>No</t>
        </is>
      </c>
      <c r="BG89" s="53" t="inlineStr">
        <is>
          <t>Consultant</t>
        </is>
      </c>
      <c r="BH89" s="53" t="inlineStr">
        <is>
          <t>Consultant</t>
        </is>
      </c>
      <c r="BI89" s="53" t="inlineStr">
        <is>
          <t>No</t>
        </is>
      </c>
      <c r="BJ89" s="53" t="inlineStr">
        <is>
          <t>—</t>
        </is>
      </c>
      <c r="BK89" s="53" t="inlineStr">
        <is>
          <t>—</t>
        </is>
      </c>
      <c r="BL89" s="53" t="inlineStr">
        <is>
          <t>—</t>
        </is>
      </c>
      <c r="BM89" s="53" t="inlineStr">
        <is>
          <t>Not a manager</t>
        </is>
      </c>
      <c r="BN89" s="53" t="inlineStr">
        <is>
          <t>—</t>
        </is>
      </c>
      <c r="BO89" s="53" t="inlineStr">
        <is>
          <t>—</t>
        </is>
      </c>
      <c r="BP89" s="53" t="inlineStr">
        <is>
          <t>—</t>
        </is>
      </c>
      <c r="BQ89" s="53" t="inlineStr">
        <is>
          <t>Not a manager</t>
        </is>
      </c>
      <c r="BR89" s="53" t="inlineStr">
        <is>
          <t>—</t>
        </is>
      </c>
      <c r="BS89" s="53" t="inlineStr">
        <is>
          <t>L3 – Professional / Associate</t>
        </is>
      </c>
      <c r="BT89" s="53" t="inlineStr">
        <is>
          <t>L3 – Professional / Associate</t>
        </is>
      </c>
      <c r="BU89" s="53" t="inlineStr">
        <is>
          <t>No designation change — current record value carried forward</t>
        </is>
      </c>
      <c r="BV89" s="53" t="inlineStr">
        <is>
          <t>1. Complete assigned conversion/formatting tasks with &gt;=99% accuracy · zero critical errors
2. Meet 100% of client filing deadlines · no SLA breaches
3. Maintain average turnaround per assignment within agreed TAT
4. Should be able to do Quality check process.
5. Develop capabilites to work in more than 2 mandates/products. Ultimate goal should be able to work in all OCR/Formatting mandates.</t>
        </is>
      </c>
      <c r="BW89" s="53" t="n"/>
      <c r="BX89" s="53" t="inlineStr">
        <is>
          <t>Netherland - KVK; Nigeria - CBN; Europe - ESEF; UK - HMRC; South Africa - CIPC; India - MCA · On Contract.</t>
        </is>
      </c>
      <c r="BY89" s="53" t="n"/>
      <c r="BZ89" s="53" t="inlineStr">
        <is>
          <t>IRISC287</t>
        </is>
      </c>
      <c r="CA89" s="53" t="inlineStr">
        <is>
          <t>On Contract</t>
        </is>
      </c>
      <c r="CB89" s="53" t="inlineStr">
        <is>
          <t>Active</t>
        </is>
      </c>
      <c r="CC89" s="53" t="inlineStr">
        <is>
          <t>Farina Pathan</t>
        </is>
      </c>
      <c r="CD89" s="54" t="n">
        <v>45344</v>
      </c>
      <c r="CE89" s="53" t="inlineStr">
        <is>
          <t>Consultant</t>
        </is>
      </c>
      <c r="CF89" s="53" t="n"/>
      <c r="CG89" s="53" t="inlineStr">
        <is>
          <t>Professional Services</t>
        </is>
      </c>
      <c r="CH89" s="53" t="inlineStr">
        <is>
          <t>Digitization &amp; Image Processing</t>
        </is>
      </c>
      <c r="CI89" s="53" t="inlineStr">
        <is>
          <t>Consultant</t>
        </is>
      </c>
      <c r="CJ89" s="53" t="inlineStr">
        <is>
          <t>L3 – Professional / Associate</t>
        </is>
      </c>
      <c r="CK89" s="53" t="inlineStr">
        <is>
          <t>Tejas Kat</t>
        </is>
      </c>
      <c r="CL89" s="53" t="inlineStr">
        <is>
          <t>N-7</t>
        </is>
      </c>
      <c r="CM89" s="53" t="inlineStr">
        <is>
          <t>Individual Contributor</t>
        </is>
      </c>
      <c r="CN89" s="53" t="inlineStr">
        <is>
          <t>Regtech</t>
        </is>
      </c>
      <c r="CO89" s="53" t="inlineStr">
        <is>
          <t>Digitizing</t>
        </is>
      </c>
      <c r="CP89" s="53" t="inlineStr">
        <is>
          <t>2 years, 3 months, 29 days</t>
        </is>
      </c>
      <c r="CQ89" s="53" t="inlineStr">
        <is>
          <t>Consultant</t>
        </is>
      </c>
      <c r="CR89" s="53" t="n"/>
      <c r="CS89" s="53" t="n">
        <v>3</v>
      </c>
      <c r="CT89" s="53" t="inlineStr">
        <is>
          <t>Medium</t>
        </is>
      </c>
      <c r="CU89" s="53" t="inlineStr">
        <is>
          <t>Core Contributor</t>
        </is>
      </c>
      <c r="CV89" s="53" t="inlineStr">
        <is>
          <t>No</t>
        </is>
      </c>
      <c r="CW89" s="53" t="inlineStr">
        <is>
          <t>No</t>
        </is>
      </c>
      <c r="CX89" s="53" t="inlineStr">
        <is>
          <t>Yes</t>
        </is>
      </c>
      <c r="CY89" s="53" t="n"/>
      <c r="CZ89" s="53" t="n"/>
      <c r="DA89" s="53" t="n"/>
      <c r="DB89" s="53" t="n"/>
      <c r="DC89" s="53" t="n"/>
      <c r="DD89" s="53" t="n"/>
      <c r="DE89" s="53" t="n"/>
      <c r="DF89" s="53" t="n"/>
      <c r="DG89" s="53" t="n"/>
      <c r="DH89" s="53" t="n"/>
      <c r="DI89" s="53" t="n"/>
      <c r="DJ89" s="53" t="n"/>
      <c r="DK89" s="53" t="n"/>
      <c r="DL89" s="53" t="n"/>
      <c r="DM89" s="53" t="n"/>
      <c r="DN89" s="53" t="n"/>
      <c r="DO89" s="53" t="n"/>
      <c r="DP89" s="53" t="n"/>
      <c r="DQ89" s="53" t="n"/>
      <c r="DR89" s="53" t="n"/>
      <c r="DS89" s="53" t="n"/>
      <c r="DT89" s="53" t="n"/>
      <c r="DU89" s="53" t="n"/>
      <c r="DV89" s="53" t="n"/>
      <c r="DW89" s="53" t="n"/>
      <c r="DX89" s="53" t="n"/>
      <c r="DY89" s="53" t="n"/>
      <c r="DZ89" s="53" t="n"/>
      <c r="EA89" s="53" t="n"/>
      <c r="EB89" s="53" t="n"/>
      <c r="EC89" s="53" t="n"/>
      <c r="ED89" s="53" t="n"/>
      <c r="EE89" s="53" t="n"/>
      <c r="EF89" s="53" t="n"/>
      <c r="EG89" s="53" t="n"/>
      <c r="EH89" s="53" t="n"/>
      <c r="EI89" s="53" t="n"/>
      <c r="EJ89" s="53" t="n"/>
      <c r="EK89" s="53" t="n"/>
      <c r="EL89" s="53" t="n"/>
      <c r="EM89" s="53" t="n"/>
      <c r="EN89" s="53" t="n"/>
      <c r="EO89" s="53" t="n"/>
      <c r="EP89" s="53" t="n"/>
      <c r="EQ89" s="53" t="n"/>
      <c r="ER89" s="53" t="n"/>
      <c r="ES89" s="53" t="n"/>
      <c r="ET89" s="53" t="n"/>
      <c r="EU89" s="53" t="n"/>
      <c r="EV89" s="53" t="n"/>
      <c r="EW89" s="52" t="n"/>
      <c r="EX89" s="53" t="inlineStr">
        <is>
          <t>• Role / sub-team: Digitizing Assited Services.</t>
        </is>
      </c>
      <c r="EY89" s="53" t="inlineStr">
        <is>
          <t>• Key responsibilities include: Performs formatting checks for ESEF, EU DM, ESG, KVK, CBN, CIPC, MCA, and HMRC · UK.
• Reported deliverables and outcomes include: Completed work · across CIPC, MCA, UK, ESEF and EU-DM is handed over to a senior for further processing or final delivery.</t>
        </is>
      </c>
      <c r="EZ89" s="53" t="inlineStr">
        <is>
          <t>• Current capabilities: AI tools like capilot; Tools / software used: Both | Abbyy FineReader, Microsoft Web Expression, Carbon tool [Teams chat].</t>
        </is>
      </c>
      <c r="FA89" s="53" t="inlineStr">
        <is>
          <t>• Communications skills.
• Presentation skills.</t>
        </is>
      </c>
      <c r="FB89" s="53" t="inlineStr">
        <is>
          <t>• Key challenges: Quality of report, RDP issue.
• Support required: No input received.</t>
        </is>
      </c>
      <c r="FC89" s="53" t="n"/>
      <c r="FD89" s="53" t="n"/>
      <c r="FE89" s="57" t="inlineStr">
        <is>
          <t>1. Complete assigned conversion/formatting tasks with &gt;=99% accuracy · zero critical errors
2. Meet 100% of client filing deadlines · no SLA breaches
3. Maintain average turnaround per assignment within agreed TAT
4. Should be able to do Quality check process.
5. Develop capabilites to work in more than 2 mandates/products. Ultimate goal should be able to work in all OCR/Formatting mandates.</t>
        </is>
      </c>
      <c r="FF89" s="56" t="n"/>
      <c r="FG89" s="56" t="n"/>
      <c r="FH89" s="56" t="n"/>
      <c r="FI89" s="56" t="n"/>
      <c r="FJ89" s="56" t="inlineStr">
        <is>
          <t>Received · manager annual</t>
        </is>
      </c>
      <c r="FK89" s="56" t="inlineStr">
        <is>
          <t>CARBON Mapping Master</t>
        </is>
      </c>
      <c r="FL89" s="56" t="n">
        <v>19</v>
      </c>
      <c r="FM89" s="56" t="inlineStr">
        <is>
          <t>• Role / sub-team: Digitizing Assited Services.</t>
        </is>
      </c>
      <c r="FN89" s="56" t="inlineStr">
        <is>
          <t>• Key responsibilities include: Performs formatting checks for ESEF, EU DM, ESG, KVK, CBN, CIPC, MCA, and HMRC · UK.
• Reported deliverables and outcomes include: Completed work · across CIPC, MCA, UK, ESEF and EU-DM is handed over to a senior for further processing or final delivery.</t>
        </is>
      </c>
      <c r="FO89" s="56" t="inlineStr">
        <is>
          <t>• Current capabilities: AI tools like capilot; Tools / software used: Both | Abbyy FineReader, Microsoft Web Expression, Carbon tool [Teams chat].</t>
        </is>
      </c>
      <c r="FP89" s="56" t="inlineStr">
        <is>
          <t>• Communications skills.
• Presentation skills.</t>
        </is>
      </c>
      <c r="FQ89" s="56" t="inlineStr">
        <is>
          <t>• Key challenges: Quality of report, RDP issue.
• Support required: No input received.</t>
        </is>
      </c>
      <c r="FR89" s="56" t="inlineStr">
        <is>
          <t>Complexity: Evidence reads like A2: Formatting checks, OCR and HTML conversion for ESEF, EU DM, KVK, CIPC, MCA, HMRC → matches the start
Autonomy: Evidence reads like A1: States 'Not applicable'; completed work handed to a senior → moved down 0.5
Accountability: Evidence reads like A2: Accuracy, QC and timely delivery of documents personally processed → matches the start
Leadership: Evidence reads like A1: No guidance or leadership of others described → matches the start
Business Impact: Moved +0.5: the survey / manager mapping marks it business-critical.</t>
        </is>
      </c>
      <c r="FS89" s="56"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FT89" s="56" t="inlineStr">
        <is>
          <t>Self-identified: AI / automation · Data, SQL &amp; analytics · Domain, regulatory &amp; XBRL · Communication &amp; presentation · Broader exposure &amp; ownership
For the next role: AI / automation · Project / programme management · Data, SQL &amp; analytics · Domain, regulatory &amp; XBRL · Communication &amp; presentation · Broader exposure &amp; ownership</t>
        </is>
      </c>
      <c r="FU89" s="56" t="inlineStr">
        <is>
          <t>Per-person summary · CARBON Mapping Master</t>
        </is>
      </c>
    </row>
    <row r="90" ht="90" customHeight="1">
      <c r="A90" s="51" t="inlineStr">
        <is>
          <t>◂ Back</t>
        </is>
      </c>
      <c r="B90" s="29" t="inlineStr">
        <is>
          <t>Mapped</t>
        </is>
      </c>
      <c r="C90" s="28" t="inlineStr">
        <is>
          <t>CARBON</t>
        </is>
      </c>
      <c r="D90" s="29" t="inlineStr">
        <is>
          <t>IRISC332</t>
        </is>
      </c>
      <c r="E90" s="29" t="inlineStr">
        <is>
          <t>Aditya Kumar Diwakar</t>
        </is>
      </c>
      <c r="F90" s="29" t="inlineStr">
        <is>
          <t>Digitizing</t>
        </is>
      </c>
      <c r="G90" s="29" t="inlineStr">
        <is>
          <t>Consultant</t>
        </is>
      </c>
      <c r="H90" s="29" t="inlineStr">
        <is>
          <t>Digitization Associate</t>
        </is>
      </c>
      <c r="I90" s="29" t="inlineStr">
        <is>
          <t>L3 – Professional / Associate</t>
        </is>
      </c>
      <c r="J90" s="29" t="inlineStr">
        <is>
          <t>A2</t>
        </is>
      </c>
      <c r="K90" s="29" t="inlineStr">
        <is>
          <t>• Same level</t>
        </is>
      </c>
      <c r="L90" s="29" t="inlineStr">
        <is>
          <t>Data Operations &amp; Digitization</t>
        </is>
      </c>
      <c r="M90" s="29" t="inlineStr">
        <is>
          <t>Document Conversion, Formatting &amp; Web Publishing</t>
        </is>
      </c>
      <c r="N90" s="29" t="n"/>
      <c r="O90" s="29" t="n">
        <v>18</v>
      </c>
      <c r="P90" s="28" t="inlineStr">
        <is>
          <t>P1–P2</t>
        </is>
      </c>
      <c r="Q90" s="29" t="inlineStr">
        <is>
          <t>Entry / Developing</t>
        </is>
      </c>
      <c r="R90" s="29" t="inlineStr">
        <is>
          <t>2 Assist</t>
        </is>
      </c>
      <c r="S90" s="29" t="inlineStr">
        <is>
          <t>0–2 yrs</t>
        </is>
      </c>
      <c r="T90" s="29" t="inlineStr">
        <is>
          <t>1–3 · 0–3</t>
        </is>
      </c>
      <c r="U90" s="29" t="inlineStr">
        <is>
          <t>Associate / Processor / Senior Associate</t>
        </is>
      </c>
      <c r="V90" s="29" t="inlineStr">
        <is>
          <t>DataTracks: Associate · Accenture Operations: L11 Analyst · IRIS Vs Competitor Benchmark — operations roles: Processor / Agent</t>
        </is>
      </c>
      <c r="W90" s="29" t="inlineStr">
        <is>
          <t>COPC CX Standard · leadership &amp; planning, people, processes, performance; ISO 9001; Lean / Six Sigma</t>
        </is>
      </c>
      <c r="X90" s="29" t="inlineStr">
        <is>
          <t>Core 2 · Future 2 · Functional 2 · Leadership not scored</t>
        </is>
      </c>
      <c r="Y90" s="52" t="n">
        <v>437</v>
      </c>
      <c r="Z90" s="53" t="inlineStr">
        <is>
          <t>IRISC332</t>
        </is>
      </c>
      <c r="AA90" s="53" t="inlineStr">
        <is>
          <t>On Contract</t>
        </is>
      </c>
      <c r="AB90" s="53" t="inlineStr">
        <is>
          <t>Active</t>
        </is>
      </c>
      <c r="AC90" s="53" t="inlineStr">
        <is>
          <t>Aditya Kumar Diwakar</t>
        </is>
      </c>
      <c r="AD90" s="54" t="n">
        <v>46034</v>
      </c>
      <c r="AE90" s="53" t="inlineStr">
        <is>
          <t>Consultant</t>
        </is>
      </c>
      <c r="AF90" s="53" t="inlineStr">
        <is>
          <t>Undergraduate</t>
        </is>
      </c>
      <c r="AG90" s="53" t="inlineStr">
        <is>
          <t>Dinesh Sharma</t>
        </is>
      </c>
      <c r="AH90" s="53" t="inlineStr">
        <is>
          <t>N-7</t>
        </is>
      </c>
      <c r="AI90" s="53" t="inlineStr">
        <is>
          <t>Individual Contributor</t>
        </is>
      </c>
      <c r="AJ90" s="53" t="inlineStr">
        <is>
          <t>0 years, 0 months, 0 days</t>
        </is>
      </c>
      <c r="AK90" s="53" t="inlineStr">
        <is>
          <t>0 years, 7 months, 13 days</t>
        </is>
      </c>
      <c r="AL90" s="53" t="inlineStr">
        <is>
          <t>Regtech</t>
        </is>
      </c>
      <c r="AM90" s="53" t="inlineStr">
        <is>
          <t>CARBON</t>
        </is>
      </c>
      <c r="AN90" s="53" t="inlineStr">
        <is>
          <t>Digitizing</t>
        </is>
      </c>
      <c r="AO90" s="53" t="inlineStr">
        <is>
          <t>Digitizing Assisted services</t>
        </is>
      </c>
      <c r="AP90" s="53" t="inlineStr">
        <is>
          <t>No</t>
        </is>
      </c>
      <c r="AQ90" s="53" t="inlineStr">
        <is>
          <t>Professional Services</t>
        </is>
      </c>
      <c r="AR90" s="53" t="inlineStr">
        <is>
          <t>OCR/Image procesing</t>
        </is>
      </c>
      <c r="AS90" s="53" t="inlineStr">
        <is>
          <t>Non-technical</t>
        </is>
      </c>
      <c r="AT90" s="53" t="n">
        <v>20</v>
      </c>
      <c r="AU90" s="53" t="inlineStr">
        <is>
          <t>Covered</t>
        </is>
      </c>
      <c r="AV90" s="53" t="inlineStr">
        <is>
          <t>IRISC332</t>
        </is>
      </c>
      <c r="AW90" s="53" t="inlineStr">
        <is>
          <t>Aditya Kumar Diwakar</t>
        </is>
      </c>
      <c r="AX90" s="53" t="inlineStr">
        <is>
          <t>Digitizing</t>
        </is>
      </c>
      <c r="AY90" s="53" t="inlineStr">
        <is>
          <t>Professional Services</t>
        </is>
      </c>
      <c r="AZ90" s="53" t="inlineStr">
        <is>
          <t>Digitization &amp; Image Processing</t>
        </is>
      </c>
      <c r="BA90" s="53" t="n"/>
      <c r="BB90" s="53" t="n"/>
      <c r="BC90" s="53" t="inlineStr">
        <is>
          <t>On Contract</t>
        </is>
      </c>
      <c r="BD90" s="53" t="inlineStr">
        <is>
          <t>Dinesh Sharma</t>
        </is>
      </c>
      <c r="BE90" s="53" t="inlineStr">
        <is>
          <t>Datta Anand Hatagale</t>
        </is>
      </c>
      <c r="BF90" s="53" t="inlineStr">
        <is>
          <t>No</t>
        </is>
      </c>
      <c r="BG90" s="53" t="inlineStr">
        <is>
          <t>Consultant</t>
        </is>
      </c>
      <c r="BH90" s="53" t="inlineStr">
        <is>
          <t>Consultant</t>
        </is>
      </c>
      <c r="BI90" s="53" t="inlineStr">
        <is>
          <t>No</t>
        </is>
      </c>
      <c r="BJ90" s="53" t="inlineStr">
        <is>
          <t>—</t>
        </is>
      </c>
      <c r="BK90" s="53" t="inlineStr">
        <is>
          <t>—</t>
        </is>
      </c>
      <c r="BL90" s="53" t="inlineStr">
        <is>
          <t>—</t>
        </is>
      </c>
      <c r="BM90" s="53" t="inlineStr">
        <is>
          <t>Not a manager</t>
        </is>
      </c>
      <c r="BN90" s="53" t="inlineStr">
        <is>
          <t>—</t>
        </is>
      </c>
      <c r="BO90" s="53" t="inlineStr">
        <is>
          <t>—</t>
        </is>
      </c>
      <c r="BP90" s="53" t="inlineStr">
        <is>
          <t>—</t>
        </is>
      </c>
      <c r="BQ90" s="53" t="inlineStr">
        <is>
          <t>Not a manager</t>
        </is>
      </c>
      <c r="BR90" s="53" t="inlineStr">
        <is>
          <t>—</t>
        </is>
      </c>
      <c r="BS90" s="53" t="inlineStr">
        <is>
          <t>L3 – Professional / Associate</t>
        </is>
      </c>
      <c r="BT90" s="53" t="inlineStr">
        <is>
          <t>L3 – Professional / Associate</t>
        </is>
      </c>
      <c r="BU90" s="53" t="inlineStr">
        <is>
          <t>No designation change — current record value carried forward</t>
        </is>
      </c>
      <c r="BV90" s="53"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1 mandates/products. Ultimate goal should be able to work in all OCR/Formatting mandates.</t>
        </is>
      </c>
      <c r="BW90" s="53" t="n"/>
      <c r="BX90" s="53" t="inlineStr">
        <is>
          <t>Netherland - KVK; Europe - ESEF · On Contract.</t>
        </is>
      </c>
      <c r="BY90" s="53" t="n"/>
      <c r="BZ90" s="53" t="inlineStr">
        <is>
          <t>IRISC332</t>
        </is>
      </c>
      <c r="CA90" s="53" t="inlineStr">
        <is>
          <t>On Contract</t>
        </is>
      </c>
      <c r="CB90" s="53" t="inlineStr">
        <is>
          <t>Active</t>
        </is>
      </c>
      <c r="CC90" s="53" t="inlineStr">
        <is>
          <t>Aditya Kumar Diwakar</t>
        </is>
      </c>
      <c r="CD90" s="54" t="n">
        <v>46034</v>
      </c>
      <c r="CE90" s="53" t="inlineStr">
        <is>
          <t>Consultant</t>
        </is>
      </c>
      <c r="CF90" s="53" t="n"/>
      <c r="CG90" s="53" t="inlineStr">
        <is>
          <t>Professional Services</t>
        </is>
      </c>
      <c r="CH90" s="53" t="inlineStr">
        <is>
          <t>Digitization &amp; Image Processing</t>
        </is>
      </c>
      <c r="CI90" s="53" t="inlineStr">
        <is>
          <t>Consultant</t>
        </is>
      </c>
      <c r="CJ90" s="53" t="inlineStr">
        <is>
          <t>L3 – Professional / Associate</t>
        </is>
      </c>
      <c r="CK90" s="53" t="inlineStr">
        <is>
          <t>Dinesh Sharma</t>
        </is>
      </c>
      <c r="CL90" s="53" t="inlineStr">
        <is>
          <t>N-7</t>
        </is>
      </c>
      <c r="CM90" s="53" t="inlineStr">
        <is>
          <t>Individual Contributor</t>
        </is>
      </c>
      <c r="CN90" s="53" t="inlineStr">
        <is>
          <t>Regtech</t>
        </is>
      </c>
      <c r="CO90" s="53" t="inlineStr">
        <is>
          <t>Digitizing</t>
        </is>
      </c>
      <c r="CP90" s="53" t="inlineStr">
        <is>
          <t>0 years, 5 months, 8 days</t>
        </is>
      </c>
      <c r="CQ90" s="53" t="inlineStr">
        <is>
          <t>Consultant</t>
        </is>
      </c>
      <c r="CR90" s="53" t="n"/>
      <c r="CS90" s="53" t="n">
        <v>3</v>
      </c>
      <c r="CT90" s="53" t="inlineStr">
        <is>
          <t>Medium</t>
        </is>
      </c>
      <c r="CU90" s="53" t="inlineStr">
        <is>
          <t>Core Contributor</t>
        </is>
      </c>
      <c r="CV90" s="53" t="inlineStr">
        <is>
          <t>No</t>
        </is>
      </c>
      <c r="CW90" s="53" t="inlineStr">
        <is>
          <t>No</t>
        </is>
      </c>
      <c r="CX90" s="53" t="inlineStr">
        <is>
          <t>Yes</t>
        </is>
      </c>
      <c r="CY90" s="53" t="n"/>
      <c r="CZ90" s="53" t="n"/>
      <c r="DA90" s="53" t="n"/>
      <c r="DB90" s="53" t="n"/>
      <c r="DC90" s="53" t="n"/>
      <c r="DD90" s="53" t="n"/>
      <c r="DE90" s="53" t="n"/>
      <c r="DF90" s="53" t="n"/>
      <c r="DG90" s="53" t="n"/>
      <c r="DH90" s="53" t="n"/>
      <c r="DI90" s="53" t="n"/>
      <c r="DJ90" s="53" t="n"/>
      <c r="DK90" s="53" t="n"/>
      <c r="DL90" s="53" t="n"/>
      <c r="DM90" s="53" t="n"/>
      <c r="DN90" s="53" t="n"/>
      <c r="DO90" s="53" t="n"/>
      <c r="DP90" s="53" t="n"/>
      <c r="DQ90" s="53" t="n"/>
      <c r="DR90" s="53" t="n"/>
      <c r="DS90" s="53" t="n"/>
      <c r="DT90" s="53" t="n"/>
      <c r="DU90" s="53" t="n"/>
      <c r="DV90" s="53" t="n"/>
      <c r="DW90" s="53" t="n"/>
      <c r="DX90" s="53" t="n"/>
      <c r="DY90" s="53" t="n"/>
      <c r="DZ90" s="53" t="n"/>
      <c r="EA90" s="53" t="n"/>
      <c r="EB90" s="53" t="n"/>
      <c r="EC90" s="53" t="n"/>
      <c r="ED90" s="53" t="n"/>
      <c r="EE90" s="53" t="n"/>
      <c r="EF90" s="53" t="n"/>
      <c r="EG90" s="53" t="n"/>
      <c r="EH90" s="53" t="n"/>
      <c r="EI90" s="53" t="n"/>
      <c r="EJ90" s="53" t="n"/>
      <c r="EK90" s="53" t="n"/>
      <c r="EL90" s="53" t="n"/>
      <c r="EM90" s="53" t="n"/>
      <c r="EN90" s="53" t="n"/>
      <c r="EO90" s="53" t="n"/>
      <c r="EP90" s="53" t="n"/>
      <c r="EQ90" s="53" t="n"/>
      <c r="ER90" s="53" t="n"/>
      <c r="ES90" s="53" t="n"/>
      <c r="ET90" s="53" t="n"/>
      <c r="EU90" s="53" t="n"/>
      <c r="EV90" s="53" t="n"/>
      <c r="EW90" s="52" t="n"/>
      <c r="EX90" s="53" t="inlineStr">
        <is>
          <t>• Role / sub-team: Digitizing Assisted service.</t>
        </is>
      </c>
      <c r="EY90" s="53" t="inlineStr">
        <is>
          <t>• Key responsibilities include: Esef Formatting check ,kvk. and Eu dm formatting check.
• Reported deliverables and outcomes include: Esef and Dm project file ofter Formatting check next process team leader.</t>
        </is>
      </c>
      <c r="EZ90" s="53" t="inlineStr">
        <is>
          <t>• Current capabilities: Communication skill; Tools / software used: Disclosure Management - DM - Word editor.</t>
        </is>
      </c>
      <c r="FA90" s="53" t="inlineStr">
        <is>
          <t>• Communications skills.
• Presentation skills.</t>
        </is>
      </c>
      <c r="FB90" s="53" t="inlineStr">
        <is>
          <t>• Key challenges: Quality of report, RDP issue.
• Support required: No input received.</t>
        </is>
      </c>
      <c r="FC90" s="53" t="n"/>
      <c r="FD90" s="53" t="n"/>
      <c r="FE90" s="57"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1 mandates/products. Ultimate goal should be able to work in all OCR/Formatting mandates.</t>
        </is>
      </c>
      <c r="FF90" s="56" t="n"/>
      <c r="FG90" s="56" t="n"/>
      <c r="FH90" s="56" t="n"/>
      <c r="FI90" s="56" t="n"/>
      <c r="FJ90" s="56" t="inlineStr">
        <is>
          <t>Received · manager annual</t>
        </is>
      </c>
      <c r="FK90" s="56" t="inlineStr">
        <is>
          <t>CARBON Mapping Master</t>
        </is>
      </c>
      <c r="FL90" s="56" t="n">
        <v>18</v>
      </c>
      <c r="FM90" s="56" t="inlineStr">
        <is>
          <t>• Role / sub-team: Digitizing Assisted service.</t>
        </is>
      </c>
      <c r="FN90" s="56" t="inlineStr">
        <is>
          <t>• Key responsibilities include: Esef Formatting check ,kvk. and Eu dm formatting check.
• Reported deliverables and outcomes include: Esef and Dm project file ofter Formatting check next process team leader.</t>
        </is>
      </c>
      <c r="FO90" s="56" t="inlineStr">
        <is>
          <t>• Current capabilities: Communication skill; Tools / software used: Disclosure Management - DM - Word editor.</t>
        </is>
      </c>
      <c r="FP90" s="56" t="inlineStr">
        <is>
          <t>• Communications skills.
• Presentation skills.</t>
        </is>
      </c>
      <c r="FQ90" s="56" t="inlineStr">
        <is>
          <t>• Key challenges: Quality of report, RDP issue.
• Support required: No input received.</t>
        </is>
      </c>
      <c r="FR90" s="56" t="inlineStr">
        <is>
          <t>Business Impact: Moved +0.5: the survey / manager mapping marks it business-critical.</t>
        </is>
      </c>
      <c r="FS90" s="56" t="inlineStr">
        <is>
          <t>Common themes in role-holders' answers: documents · data · purpose · requirements
Common themes in role-holders' answers: formatting · quality · review · data · checking · document
Common themes in role-holders' answers: formatted · documents · html
Common themes in role-holders' answers: am · accountable · every · formatting
If the work is missed · role-holders' themes: rework · delays · delivery · incorrect · errors.</t>
        </is>
      </c>
      <c r="FT90" s="56" t="inlineStr">
        <is>
          <t>Self-identified: Communication &amp; presentation
For the next role: Communication &amp; presentation</t>
        </is>
      </c>
      <c r="FU90" s="56" t="inlineStr">
        <is>
          <t>Per-person summary · CARBON Mapping Master</t>
        </is>
      </c>
    </row>
    <row r="91" ht="90" customHeight="1">
      <c r="A91" s="51" t="inlineStr">
        <is>
          <t>◂ Back</t>
        </is>
      </c>
      <c r="B91" s="29" t="inlineStr">
        <is>
          <t>Mapped</t>
        </is>
      </c>
      <c r="C91" s="28" t="inlineStr">
        <is>
          <t>CARBON</t>
        </is>
      </c>
      <c r="D91" s="29" t="inlineStr">
        <is>
          <t>IRISC324</t>
        </is>
      </c>
      <c r="E91" s="29" t="inlineStr">
        <is>
          <t>Kajal Srivastava</t>
        </is>
      </c>
      <c r="F91" s="29" t="inlineStr">
        <is>
          <t>Digitizing</t>
        </is>
      </c>
      <c r="G91" s="29" t="inlineStr">
        <is>
          <t>Consultant</t>
        </is>
      </c>
      <c r="H91" s="29" t="inlineStr">
        <is>
          <t>Digitization Associate</t>
        </is>
      </c>
      <c r="I91" s="29" t="inlineStr">
        <is>
          <t>L3 – Professional / Associate</t>
        </is>
      </c>
      <c r="J91" s="29" t="inlineStr">
        <is>
          <t>A2</t>
        </is>
      </c>
      <c r="K91" s="29" t="inlineStr">
        <is>
          <t>• Same level</t>
        </is>
      </c>
      <c r="L91" s="29" t="inlineStr">
        <is>
          <t>Data Operations &amp; Digitization</t>
        </is>
      </c>
      <c r="M91" s="29" t="inlineStr">
        <is>
          <t>Document Conversion, Formatting &amp; Web Publishing</t>
        </is>
      </c>
      <c r="N91" s="29" t="n"/>
      <c r="O91" s="29" t="n">
        <v>19</v>
      </c>
      <c r="P91" s="28" t="inlineStr">
        <is>
          <t>P1–P2</t>
        </is>
      </c>
      <c r="Q91" s="29" t="inlineStr">
        <is>
          <t>Entry / Developing</t>
        </is>
      </c>
      <c r="R91" s="29" t="inlineStr">
        <is>
          <t>2 Assist</t>
        </is>
      </c>
      <c r="S91" s="29" t="inlineStr">
        <is>
          <t>0–2 yrs</t>
        </is>
      </c>
      <c r="T91" s="29" t="inlineStr">
        <is>
          <t>1–3 · 0–3</t>
        </is>
      </c>
      <c r="U91" s="29" t="inlineStr">
        <is>
          <t>Associate / Processor / Senior Associate</t>
        </is>
      </c>
      <c r="V91" s="29" t="inlineStr">
        <is>
          <t>DataTracks: Associate · Accenture Operations: L11 Analyst · IRIS Vs Competitor Benchmark — operations roles: Processor / Agent</t>
        </is>
      </c>
      <c r="W91" s="29" t="inlineStr">
        <is>
          <t>COPC CX Standard · leadership &amp; planning, people, processes, performance; ISO 9001; Lean / Six Sigma</t>
        </is>
      </c>
      <c r="X91" s="29" t="inlineStr">
        <is>
          <t>Core 2 · Future 2 · Functional 2 · Leadership not scored</t>
        </is>
      </c>
      <c r="Y91" s="52" t="n">
        <v>422</v>
      </c>
      <c r="Z91" s="53" t="inlineStr">
        <is>
          <t>IRISC324</t>
        </is>
      </c>
      <c r="AA91" s="53" t="inlineStr">
        <is>
          <t>On Contract</t>
        </is>
      </c>
      <c r="AB91" s="53" t="inlineStr">
        <is>
          <t>Active</t>
        </is>
      </c>
      <c r="AC91" s="53" t="inlineStr">
        <is>
          <t>Kajal Srivastava</t>
        </is>
      </c>
      <c r="AD91" s="54" t="n">
        <v>46006</v>
      </c>
      <c r="AE91" s="53" t="inlineStr">
        <is>
          <t>Consultant</t>
        </is>
      </c>
      <c r="AF91" s="53" t="inlineStr">
        <is>
          <t>B.Com</t>
        </is>
      </c>
      <c r="AG91" s="53" t="inlineStr">
        <is>
          <t>Dinesh Sharma</t>
        </is>
      </c>
      <c r="AH91" s="53" t="inlineStr">
        <is>
          <t>N-7</t>
        </is>
      </c>
      <c r="AI91" s="53" t="inlineStr">
        <is>
          <t>Individual Contributor</t>
        </is>
      </c>
      <c r="AJ91" s="53" t="inlineStr">
        <is>
          <t>0 years, 6 months, 0 days</t>
        </is>
      </c>
      <c r="AK91" s="53" t="inlineStr">
        <is>
          <t>0 years, 8 months, 10 days</t>
        </is>
      </c>
      <c r="AL91" s="53" t="inlineStr">
        <is>
          <t>Regtech</t>
        </is>
      </c>
      <c r="AM91" s="53" t="inlineStr">
        <is>
          <t>CARBON</t>
        </is>
      </c>
      <c r="AN91" s="53" t="inlineStr">
        <is>
          <t>Digitizing</t>
        </is>
      </c>
      <c r="AO91" s="53" t="inlineStr">
        <is>
          <t>Digitizing Assisted services</t>
        </is>
      </c>
      <c r="AP91" s="53" t="inlineStr">
        <is>
          <t>No</t>
        </is>
      </c>
      <c r="AQ91" s="53" t="inlineStr">
        <is>
          <t>Professional Services</t>
        </is>
      </c>
      <c r="AR91" s="53" t="inlineStr">
        <is>
          <t>OCR/Image procesing</t>
        </is>
      </c>
      <c r="AS91" s="53" t="inlineStr">
        <is>
          <t>Non-technical</t>
        </is>
      </c>
      <c r="AT91" s="53" t="n">
        <v>20</v>
      </c>
      <c r="AU91" s="53" t="inlineStr">
        <is>
          <t>Covered</t>
        </is>
      </c>
      <c r="AV91" s="53" t="inlineStr">
        <is>
          <t>IRISC324</t>
        </is>
      </c>
      <c r="AW91" s="53" t="inlineStr">
        <is>
          <t>Kajal Srivastava</t>
        </is>
      </c>
      <c r="AX91" s="53" t="inlineStr">
        <is>
          <t>Digitizing</t>
        </is>
      </c>
      <c r="AY91" s="53" t="inlineStr">
        <is>
          <t>Professional Services</t>
        </is>
      </c>
      <c r="AZ91" s="53" t="inlineStr">
        <is>
          <t>Digitization &amp; Image Processing</t>
        </is>
      </c>
      <c r="BA91" s="53" t="n"/>
      <c r="BB91" s="53" t="n"/>
      <c r="BC91" s="53" t="inlineStr">
        <is>
          <t>On Contract</t>
        </is>
      </c>
      <c r="BD91" s="53" t="inlineStr">
        <is>
          <t>Janardan Bale</t>
        </is>
      </c>
      <c r="BE91" s="53" t="inlineStr">
        <is>
          <t>Janardan Krishna Bale</t>
        </is>
      </c>
      <c r="BF91" s="53" t="inlineStr">
        <is>
          <t>No</t>
        </is>
      </c>
      <c r="BG91" s="53" t="inlineStr">
        <is>
          <t>Consultant</t>
        </is>
      </c>
      <c r="BH91" s="53" t="inlineStr">
        <is>
          <t>Consultant</t>
        </is>
      </c>
      <c r="BI91" s="53" t="inlineStr">
        <is>
          <t>No</t>
        </is>
      </c>
      <c r="BJ91" s="53" t="inlineStr">
        <is>
          <t>—</t>
        </is>
      </c>
      <c r="BK91" s="53" t="inlineStr">
        <is>
          <t>—</t>
        </is>
      </c>
      <c r="BL91" s="53" t="inlineStr">
        <is>
          <t>—</t>
        </is>
      </c>
      <c r="BM91" s="53" t="inlineStr">
        <is>
          <t>Not a manager</t>
        </is>
      </c>
      <c r="BN91" s="53" t="inlineStr">
        <is>
          <t>—</t>
        </is>
      </c>
      <c r="BO91" s="53" t="inlineStr">
        <is>
          <t>—</t>
        </is>
      </c>
      <c r="BP91" s="53" t="inlineStr">
        <is>
          <t>—</t>
        </is>
      </c>
      <c r="BQ91" s="53" t="inlineStr">
        <is>
          <t>Not a manager</t>
        </is>
      </c>
      <c r="BR91" s="53" t="inlineStr">
        <is>
          <t>—</t>
        </is>
      </c>
      <c r="BS91" s="53" t="inlineStr">
        <is>
          <t>L3 – Professional / Associate</t>
        </is>
      </c>
      <c r="BT91" s="53" t="inlineStr">
        <is>
          <t>L3 – Professional / Associate</t>
        </is>
      </c>
      <c r="BU91" s="53" t="inlineStr">
        <is>
          <t>No designation change — current record value carried forward</t>
        </is>
      </c>
      <c r="BV91" s="53"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1 mandates/products. Ultimate goal should be able to work in all OCR/Formatting mandates.</t>
        </is>
      </c>
      <c r="BW91" s="53" t="n"/>
      <c r="BX91" s="53" t="inlineStr">
        <is>
          <t>Europe - ESEF, USA - SEC · On Contract</t>
        </is>
      </c>
      <c r="BY91" s="53" t="n"/>
      <c r="BZ91" s="53" t="inlineStr">
        <is>
          <t>IRISC324</t>
        </is>
      </c>
      <c r="CA91" s="53" t="inlineStr">
        <is>
          <t>On Contract</t>
        </is>
      </c>
      <c r="CB91" s="53" t="inlineStr">
        <is>
          <t>Active</t>
        </is>
      </c>
      <c r="CC91" s="53" t="inlineStr">
        <is>
          <t>Kajal Srivastava</t>
        </is>
      </c>
      <c r="CD91" s="54" t="n">
        <v>46006</v>
      </c>
      <c r="CE91" s="53" t="inlineStr">
        <is>
          <t>Consultant</t>
        </is>
      </c>
      <c r="CF91" s="53" t="n"/>
      <c r="CG91" s="53" t="inlineStr">
        <is>
          <t>Professional Services</t>
        </is>
      </c>
      <c r="CH91" s="53" t="inlineStr">
        <is>
          <t>Digitization &amp; Image Processing</t>
        </is>
      </c>
      <c r="CI91" s="53" t="inlineStr">
        <is>
          <t>Consultant</t>
        </is>
      </c>
      <c r="CJ91" s="53" t="inlineStr">
        <is>
          <t>L3 – Professional / Associate</t>
        </is>
      </c>
      <c r="CK91" s="53" t="inlineStr">
        <is>
          <t>Janardan Bale</t>
        </is>
      </c>
      <c r="CL91" s="53" t="inlineStr">
        <is>
          <t>N-7</t>
        </is>
      </c>
      <c r="CM91" s="53" t="inlineStr">
        <is>
          <t>Individual Contributor</t>
        </is>
      </c>
      <c r="CN91" s="53" t="inlineStr">
        <is>
          <t>Regtech</t>
        </is>
      </c>
      <c r="CO91" s="53" t="inlineStr">
        <is>
          <t>Digitizing</t>
        </is>
      </c>
      <c r="CP91" s="53" t="inlineStr">
        <is>
          <t>1 years, 0 months, 5 days</t>
        </is>
      </c>
      <c r="CQ91" s="53" t="inlineStr">
        <is>
          <t>Consultant</t>
        </is>
      </c>
      <c r="CR91" s="53" t="n"/>
      <c r="CS91" s="53" t="n">
        <v>3</v>
      </c>
      <c r="CT91" s="53" t="inlineStr">
        <is>
          <t>Medium</t>
        </is>
      </c>
      <c r="CU91" s="53" t="inlineStr">
        <is>
          <t>Core Contributor</t>
        </is>
      </c>
      <c r="CV91" s="53" t="inlineStr">
        <is>
          <t>No</t>
        </is>
      </c>
      <c r="CW91" s="53" t="inlineStr">
        <is>
          <t>No</t>
        </is>
      </c>
      <c r="CX91" s="53" t="inlineStr">
        <is>
          <t>Yes</t>
        </is>
      </c>
      <c r="CY91" s="53" t="n"/>
      <c r="CZ91" s="53" t="n"/>
      <c r="DA91" s="53" t="n"/>
      <c r="DB91" s="53" t="n"/>
      <c r="DC91" s="53" t="n"/>
      <c r="DD91" s="53" t="n"/>
      <c r="DE91" s="53" t="n"/>
      <c r="DF91" s="53" t="n"/>
      <c r="DG91" s="53" t="n"/>
      <c r="DH91" s="53" t="n"/>
      <c r="DI91" s="53" t="n"/>
      <c r="DJ91" s="53" t="n"/>
      <c r="DK91" s="53" t="n"/>
      <c r="DL91" s="53" t="n"/>
      <c r="DM91" s="53" t="n"/>
      <c r="DN91" s="53" t="n"/>
      <c r="DO91" s="53" t="n"/>
      <c r="DP91" s="53" t="n"/>
      <c r="DQ91" s="53" t="n"/>
      <c r="DR91" s="53" t="n"/>
      <c r="DS91" s="53" t="n"/>
      <c r="DT91" s="53" t="n"/>
      <c r="DU91" s="53" t="n"/>
      <c r="DV91" s="53" t="n"/>
      <c r="DW91" s="53" t="n"/>
      <c r="DX91" s="53" t="n"/>
      <c r="DY91" s="53" t="n"/>
      <c r="DZ91" s="53" t="n"/>
      <c r="EA91" s="53" t="n"/>
      <c r="EB91" s="53" t="n"/>
      <c r="EC91" s="53" t="n"/>
      <c r="ED91" s="53" t="n"/>
      <c r="EE91" s="53" t="n"/>
      <c r="EF91" s="53" t="n"/>
      <c r="EG91" s="53" t="n"/>
      <c r="EH91" s="53" t="n"/>
      <c r="EI91" s="53" t="n"/>
      <c r="EJ91" s="53" t="n"/>
      <c r="EK91" s="53" t="n"/>
      <c r="EL91" s="53" t="n"/>
      <c r="EM91" s="53" t="n"/>
      <c r="EN91" s="53" t="n"/>
      <c r="EO91" s="53" t="n"/>
      <c r="EP91" s="53" t="n"/>
      <c r="EQ91" s="53" t="n"/>
      <c r="ER91" s="53" t="n"/>
      <c r="ES91" s="53" t="n"/>
      <c r="ET91" s="53" t="n"/>
      <c r="EU91" s="53" t="n"/>
      <c r="EV91" s="53" t="n"/>
      <c r="EW91" s="52" t="n"/>
      <c r="EX91" s="53" t="inlineStr">
        <is>
          <t>• Role / sub-team: Digitizing Assited Services.</t>
        </is>
      </c>
      <c r="EY91" s="53" t="inlineStr">
        <is>
          <t>• Key responsibilities include: Perform ed formatting &amp; quality review of Europe - ESEF documents using Carbon &amp; DM tool.
• Key responsibilities include: Perform ed formatting &amp; quality review of US documents using Carbon &amp; DM tool.</t>
        </is>
      </c>
      <c r="EZ91" s="53" t="inlineStr">
        <is>
          <t>• Current capabilities: Tools knowledge Carbon &amp; DM</t>
        </is>
      </c>
      <c r="FA91" s="53" t="inlineStr">
        <is>
          <t>• Communications skills.
• Presentation skills.</t>
        </is>
      </c>
      <c r="FB91" s="53" t="inlineStr">
        <is>
          <t>• Key challenges: Quality of report, RDP issue.
• Support required: Input not given by Participant.</t>
        </is>
      </c>
      <c r="FC91" s="53" t="n"/>
      <c r="FD91" s="53" t="n"/>
      <c r="FE91" s="57"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capabilites to work in more than 1 mandates/products. Ultimate goal should be able to work in all OCR/Formatting mandates.</t>
        </is>
      </c>
      <c r="FF91" s="56" t="n"/>
      <c r="FG91" s="56" t="n"/>
      <c r="FH91" s="56" t="n"/>
      <c r="FI91" s="56" t="n"/>
      <c r="FJ91" s="56" t="inlineStr">
        <is>
          <t>Received · manager annual</t>
        </is>
      </c>
      <c r="FK91" s="56" t="inlineStr">
        <is>
          <t>CARBON Mapping Master</t>
        </is>
      </c>
      <c r="FL91" s="56" t="n">
        <v>19</v>
      </c>
      <c r="FM91" s="56" t="inlineStr">
        <is>
          <t>• Role / sub-team: Digitizing Assited Services.</t>
        </is>
      </c>
      <c r="FN91" s="56" t="inlineStr">
        <is>
          <t>• Key responsibilities include: Perform ed formatting &amp; quality review of Europe - ESEF documents using Carbon &amp; DM tool.
• Key responsibilities include: Perform ed formatting &amp; quality review of US documents using Carbon &amp; DM tool.</t>
        </is>
      </c>
      <c r="FO91" s="56" t="inlineStr">
        <is>
          <t>• Current capabilities: Tools knowledge Carbon &amp; DM</t>
        </is>
      </c>
      <c r="FP91" s="56" t="inlineStr">
        <is>
          <t>• Communications skills.
• Presentation skills.</t>
        </is>
      </c>
      <c r="FQ91" s="56" t="inlineStr">
        <is>
          <t>• Key challenges: Quality of report, RDP issue.
• Support required: Input not given by Participant.</t>
        </is>
      </c>
      <c r="FR91" s="56" t="inlineStr">
        <is>
          <t>Business Impact: Moved +0.5: the survey / manager mapping marks it business-critical.</t>
        </is>
      </c>
      <c r="FS91" s="56" t="inlineStr">
        <is>
          <t>Common themes in role-holders' answers: documents · data · purpose · requirements
Common themes in role-holders' answers: formatting · quality · review · data · checking · document
Common themes in role-holders' answers: formatted · documents · html
Common themes in role-holders' answers: am · accountable · every · formatting
If the work is missed · role-holders' themes: rework · delays · delivery · incorrect · errors.</t>
        </is>
      </c>
      <c r="FT91" s="56" t="inlineStr">
        <is>
          <t>Self-identified: Project / programme management · Client, sales &amp; stakeholders · Communication &amp; presentation · Broader exposure &amp; ownership
For the next role: Project / programme management · Client, sales &amp; stakeholders · Communication &amp; presentation · Broader exposure &amp; ownership</t>
        </is>
      </c>
      <c r="FU91" s="56" t="inlineStr">
        <is>
          <t>Per-person summary · CARBON Mapping Master</t>
        </is>
      </c>
    </row>
    <row r="92" ht="90" customHeight="1">
      <c r="A92" s="51" t="inlineStr">
        <is>
          <t>◂ Back</t>
        </is>
      </c>
      <c r="B92" s="29" t="inlineStr">
        <is>
          <t>Mapped</t>
        </is>
      </c>
      <c r="C92" s="28" t="inlineStr">
        <is>
          <t>CARBON</t>
        </is>
      </c>
      <c r="D92" s="29" t="inlineStr">
        <is>
          <t>IRIS0117</t>
        </is>
      </c>
      <c r="E92" s="29" t="inlineStr">
        <is>
          <t>Prajakta Mokal</t>
        </is>
      </c>
      <c r="F92" s="29" t="inlineStr">
        <is>
          <t>Digitizing</t>
        </is>
      </c>
      <c r="G92" s="29" t="inlineStr">
        <is>
          <t>Image Processing Specialist</t>
        </is>
      </c>
      <c r="H92" s="29" t="inlineStr">
        <is>
          <t>Digitization Specialist – POD Lead</t>
        </is>
      </c>
      <c r="I92" s="29" t="inlineStr">
        <is>
          <t>L3 – Professional / Associate</t>
        </is>
      </c>
      <c r="J92" s="29" t="inlineStr">
        <is>
          <t>B1</t>
        </is>
      </c>
      <c r="K92" s="29" t="inlineStr">
        <is>
          <t>▲ Up</t>
        </is>
      </c>
      <c r="L92" s="29" t="inlineStr">
        <is>
          <t>Data Operations &amp; Digitization</t>
        </is>
      </c>
      <c r="M92" s="29" t="inlineStr">
        <is>
          <t>Document Conversion, Formatting &amp; Web Publishing</t>
        </is>
      </c>
      <c r="N92" s="29" t="n"/>
      <c r="O92" s="29" t="n">
        <v>20</v>
      </c>
      <c r="P92" s="28" t="inlineStr">
        <is>
          <t>P3 / M2</t>
        </is>
      </c>
      <c r="Q92" s="29" t="inlineStr">
        <is>
          <t>Career / · Team Lead</t>
        </is>
      </c>
      <c r="R92" s="29" t="inlineStr">
        <is>
          <t>4 Enable</t>
        </is>
      </c>
      <c r="S92" s="29" t="inlineStr">
        <is>
          <t>4–7 yrs</t>
        </is>
      </c>
      <c r="T92" s="29" t="inlineStr">
        <is>
          <t>5–8 · 4–8</t>
        </is>
      </c>
      <c r="U92" s="29" t="inlineStr">
        <is>
          <t>Specialist / QC Analyst</t>
        </is>
      </c>
      <c r="V92" s="29" t="inlineStr">
        <is>
          <t>Accenture Operations: L9 Team Lead · IRIS Vs Competitor Benchmark — operations roles: Team Lead / Quality Lead</t>
        </is>
      </c>
      <c r="W92" s="29" t="inlineStr">
        <is>
          <t>COPC CX Standard · leadership &amp; planning, people, processes, performance; ISO 9001; Lean / Six Sigma</t>
        </is>
      </c>
      <c r="X92" s="29" t="inlineStr">
        <is>
          <t>Core 3 · Future 3 · Functional 3 · Leadership 2</t>
        </is>
      </c>
      <c r="Y92" s="52" t="n">
        <v>26</v>
      </c>
      <c r="Z92" s="53" t="inlineStr">
        <is>
          <t>IRIS0117</t>
        </is>
      </c>
      <c r="AA92" s="53" t="inlineStr">
        <is>
          <t>Employee</t>
        </is>
      </c>
      <c r="AB92" s="53" t="inlineStr">
        <is>
          <t>Active</t>
        </is>
      </c>
      <c r="AC92" s="53" t="inlineStr">
        <is>
          <t>Prajakta Mokal</t>
        </is>
      </c>
      <c r="AD92" s="54" t="n">
        <v>39326</v>
      </c>
      <c r="AE92" s="53" t="inlineStr">
        <is>
          <t>Image Processing Specialist</t>
        </is>
      </c>
      <c r="AF92" s="53" t="inlineStr">
        <is>
          <t>BA</t>
        </is>
      </c>
      <c r="AG92" s="53" t="inlineStr">
        <is>
          <t>Vijay Parulekar</t>
        </is>
      </c>
      <c r="AH92" s="53" t="inlineStr">
        <is>
          <t>N-6</t>
        </is>
      </c>
      <c r="AI92" s="53" t="inlineStr">
        <is>
          <t>Manager</t>
        </is>
      </c>
      <c r="AJ92" s="53" t="inlineStr">
        <is>
          <t>0 years, 5 months, 0 days</t>
        </is>
      </c>
      <c r="AK92" s="53" t="inlineStr">
        <is>
          <t>18 years, 11 months, 24 days</t>
        </is>
      </c>
      <c r="AL92" s="53" t="inlineStr">
        <is>
          <t>Regtech</t>
        </is>
      </c>
      <c r="AM92" s="53" t="inlineStr">
        <is>
          <t>CARBON</t>
        </is>
      </c>
      <c r="AN92" s="53" t="inlineStr">
        <is>
          <t>Digitizing</t>
        </is>
      </c>
      <c r="AO92" s="53" t="inlineStr">
        <is>
          <t>Digitizing Assisted services</t>
        </is>
      </c>
      <c r="AP92" s="53" t="inlineStr">
        <is>
          <t>No</t>
        </is>
      </c>
      <c r="AQ92" s="53" t="inlineStr">
        <is>
          <t>Professional Services</t>
        </is>
      </c>
      <c r="AR92" s="53" t="inlineStr">
        <is>
          <t>OCR/Image procesing</t>
        </is>
      </c>
      <c r="AS92" s="53" t="inlineStr">
        <is>
          <t>Non-technical</t>
        </is>
      </c>
      <c r="AT92" s="53" t="n">
        <v>20</v>
      </c>
      <c r="AU92" s="53" t="inlineStr">
        <is>
          <t>Covered</t>
        </is>
      </c>
      <c r="AV92" s="53" t="inlineStr">
        <is>
          <t>IRIS0117</t>
        </is>
      </c>
      <c r="AW92" s="53" t="inlineStr">
        <is>
          <t>Prajakta Mokal</t>
        </is>
      </c>
      <c r="AX92" s="53" t="inlineStr">
        <is>
          <t>Digitizing</t>
        </is>
      </c>
      <c r="AY92" s="53" t="inlineStr">
        <is>
          <t>Professional Services</t>
        </is>
      </c>
      <c r="AZ92" s="53" t="inlineStr">
        <is>
          <t>Digitization &amp; Image Processing</t>
        </is>
      </c>
      <c r="BA92" s="53" t="n"/>
      <c r="BB92" s="53" t="n"/>
      <c r="BC92" s="53" t="inlineStr">
        <is>
          <t>Employee</t>
        </is>
      </c>
      <c r="BD92" s="53" t="inlineStr">
        <is>
          <t>Vijay Parulekar</t>
        </is>
      </c>
      <c r="BE92" s="53" t="inlineStr">
        <is>
          <t>Vijay Digamber Parulekar</t>
        </is>
      </c>
      <c r="BF92" s="53" t="inlineStr">
        <is>
          <t>No</t>
        </is>
      </c>
      <c r="BG92" s="53" t="inlineStr">
        <is>
          <t>Image Processing Specialist</t>
        </is>
      </c>
      <c r="BH92" s="53" t="inlineStr">
        <is>
          <t>Digitizing Lead</t>
        </is>
      </c>
      <c r="BI92" s="53" t="inlineStr">
        <is>
          <t>Yes</t>
        </is>
      </c>
      <c r="BJ92" s="53" t="n">
        <v>3</v>
      </c>
      <c r="BK92" s="53" t="n">
        <v>2</v>
      </c>
      <c r="BL92" s="53" t="n">
        <v>1</v>
      </c>
      <c r="BM92" s="53" t="inlineStr">
        <is>
          <t>Review</t>
        </is>
      </c>
      <c r="BN92" s="53" t="n">
        <v>3</v>
      </c>
      <c r="BO92" s="53" t="n">
        <v>2</v>
      </c>
      <c r="BP92" s="53" t="n">
        <v>1</v>
      </c>
      <c r="BQ92" s="53" t="inlineStr">
        <is>
          <t>Review</t>
        </is>
      </c>
      <c r="BR92" s="53" t="inlineStr">
        <is>
          <t>No</t>
        </is>
      </c>
      <c r="BS92" s="53" t="inlineStr">
        <is>
          <t>L3 – Professional / Associate</t>
        </is>
      </c>
      <c r="BT92" s="53" t="inlineStr">
        <is>
          <t>L3</t>
        </is>
      </c>
      <c r="BU92" s="53" t="inlineStr">
        <is>
          <t>Designation refined from Raw tab Comments column · this update</t>
        </is>
      </c>
      <c r="BV92" s="53"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capabilities to work in more than 2 mandates/products. Ultimate goal should be able to work in all OCR/Formatting mandates.
6. Conduct monthly knowledge sessions in order to Cross-skill team: &gt;=70% capable on at least more than two OCR/Formatting mandates</t>
        </is>
      </c>
      <c r="BW92" s="53" t="n"/>
      <c r="BX92" s="53" t="inlineStr">
        <is>
          <t>South Africa - CIPC; India - MCA; Europe - ESEF; UK - HMRC.</t>
        </is>
      </c>
      <c r="BY92" s="53" t="n"/>
      <c r="BZ92" s="53" t="inlineStr">
        <is>
          <t>IRIS0117</t>
        </is>
      </c>
      <c r="CA92" s="53" t="inlineStr">
        <is>
          <t>Employee</t>
        </is>
      </c>
      <c r="CB92" s="53" t="inlineStr">
        <is>
          <t>Active</t>
        </is>
      </c>
      <c r="CC92" s="53" t="inlineStr">
        <is>
          <t>Prajakta Mokal</t>
        </is>
      </c>
      <c r="CD92" s="54" t="n">
        <v>39326</v>
      </c>
      <c r="CE92" s="53" t="inlineStr">
        <is>
          <t>Image Processing Specialist</t>
        </is>
      </c>
      <c r="CF92" s="53" t="n"/>
      <c r="CG92" s="53" t="inlineStr">
        <is>
          <t>Professional Services</t>
        </is>
      </c>
      <c r="CH92" s="53" t="inlineStr">
        <is>
          <t>Digitization &amp; Image Processing</t>
        </is>
      </c>
      <c r="CI92" s="53" t="inlineStr">
        <is>
          <t>Image Processing Specialist</t>
        </is>
      </c>
      <c r="CJ92" s="53" t="inlineStr">
        <is>
          <t>L3 – Professional / Associate</t>
        </is>
      </c>
      <c r="CK92" s="53" t="inlineStr">
        <is>
          <t>Vijay Parulekar</t>
        </is>
      </c>
      <c r="CL92" s="53" t="inlineStr">
        <is>
          <t>N-6</t>
        </is>
      </c>
      <c r="CM92" s="53" t="inlineStr">
        <is>
          <t>Player Cum Coach</t>
        </is>
      </c>
      <c r="CN92" s="53" t="inlineStr">
        <is>
          <t>Regtech</t>
        </is>
      </c>
      <c r="CO92" s="53" t="inlineStr">
        <is>
          <t>Digitizing</t>
        </is>
      </c>
      <c r="CP92" s="53" t="inlineStr">
        <is>
          <t>19 years, 2 months, 19 days</t>
        </is>
      </c>
      <c r="CQ92" s="53" t="inlineStr">
        <is>
          <t>Sr.Image Processing Specialist</t>
        </is>
      </c>
      <c r="CR92" s="53" t="n"/>
      <c r="CS92" s="53" t="n">
        <v>4</v>
      </c>
      <c r="CT92" s="53" t="inlineStr">
        <is>
          <t>High</t>
        </is>
      </c>
      <c r="CU92" s="53" t="inlineStr">
        <is>
          <t>Core Contributor</t>
        </is>
      </c>
      <c r="CV92" s="53" t="inlineStr">
        <is>
          <t>No</t>
        </is>
      </c>
      <c r="CW92" s="53" t="inlineStr">
        <is>
          <t>No</t>
        </is>
      </c>
      <c r="CX92" s="53" t="inlineStr">
        <is>
          <t>Yes</t>
        </is>
      </c>
      <c r="CY92" s="53" t="n"/>
      <c r="CZ92" s="53" t="n"/>
      <c r="DA92" s="53" t="n"/>
      <c r="DB92" s="53" t="inlineStr">
        <is>
          <t>Title to be changed to Digitizing Lead</t>
        </is>
      </c>
      <c r="DC92" s="53" t="n"/>
      <c r="DD92" s="53" t="n"/>
      <c r="DE92" s="53" t="n"/>
      <c r="DF92" s="53" t="n"/>
      <c r="DG92" s="53" t="n"/>
      <c r="DH92" s="53" t="n"/>
      <c r="DI92" s="53" t="n"/>
      <c r="DJ92" s="53" t="n"/>
      <c r="DK92" s="53" t="n"/>
      <c r="DL92" s="53" t="n"/>
      <c r="DM92" s="53" t="n"/>
      <c r="DN92" s="53" t="n"/>
      <c r="DO92" s="53" t="n"/>
      <c r="DP92" s="53" t="n"/>
      <c r="DQ92" s="53" t="n"/>
      <c r="DR92" s="53" t="n"/>
      <c r="DS92" s="53" t="n"/>
      <c r="DT92" s="53" t="n"/>
      <c r="DU92" s="53" t="n"/>
      <c r="DV92" s="53" t="n"/>
      <c r="DW92" s="53" t="n"/>
      <c r="DX92" s="53" t="n"/>
      <c r="DY92" s="53" t="n"/>
      <c r="DZ92" s="53" t="n"/>
      <c r="EA92" s="53" t="n"/>
      <c r="EB92" s="53" t="n"/>
      <c r="EC92" s="53" t="n"/>
      <c r="ED92" s="53" t="n"/>
      <c r="EE92" s="53" t="n"/>
      <c r="EF92" s="53" t="n"/>
      <c r="EG92" s="53" t="n"/>
      <c r="EH92" s="53" t="n"/>
      <c r="EI92" s="53" t="n"/>
      <c r="EJ92" s="53" t="n"/>
      <c r="EK92" s="53" t="n"/>
      <c r="EL92" s="53" t="n"/>
      <c r="EM92" s="53" t="n"/>
      <c r="EN92" s="53" t="n"/>
      <c r="EO92" s="53" t="n"/>
      <c r="EP92" s="53" t="n"/>
      <c r="EQ92" s="53" t="n"/>
      <c r="ER92" s="53" t="n"/>
      <c r="ES92" s="53" t="n"/>
      <c r="ET92" s="53" t="n"/>
      <c r="EU92" s="53" t="n"/>
      <c r="EV92" s="53" t="n"/>
      <c r="EW92" s="52" t="inlineStr">
        <is>
          <t>Talent Mapping's own 'Change Reporting' tab lists Emp ID IRIS0117 under the name 'Swara Swapnil Mhatre' · same manager - Vijay Parulekar/Vijay Digamber Parulekar, same designation - Image Processing Specialist, same department - Digitizing - as HR record 'Prajakta Mokal'. Treated as the same person. This profile merges two separate survey submissions from her: a fuller one under the name 'Swara Swapnil Mhatre' · no Employee ID given, and a mostly-blank one under her HR name 'Prajakta Mokal' with Employee ID IRIS0117 attached, which additionally named two tools · Microsoft Web Expression, Abbyy FineReader not mentioned in the other submission — both are now reflected in Current Capabilities rather than one submission silently overwriting the other.</t>
        </is>
      </c>
      <c r="EX92" s="53" t="inlineStr">
        <is>
          <t>• Role / sub-team: Digitizing Assisted Services.</t>
        </is>
      </c>
      <c r="EY92" s="53" t="inlineStr">
        <is>
          <t>• Key responsibilities include: ESEF, Cipc, Mca Allocation, Ocr &amp; Qc, Cipc Html conversion, Uk h Conversion, quality check of pdf and word file, Brsr download, Quality cheking, Solving quries &amp; Other inter Department work.
• Reported deliverables and outcomes include: For Cipc and Mca files send to tagging team.
• Additional duties outside usual job: Brsr download.</t>
        </is>
      </c>
      <c r="EZ92" s="53" t="inlineStr">
        <is>
          <t>• Current capabilities: Inter department communic; Tools / software used: HTML - Editor; Microsoft Web Expression; Abbyy FineReader.</t>
        </is>
      </c>
      <c r="FA92" s="53" t="inlineStr">
        <is>
          <t>• Communications skills.
• Presentation skills.</t>
        </is>
      </c>
      <c r="FB92" s="53" t="inlineStr">
        <is>
          <t>• Key challenges: Quality of Report.
• Support required: No input received.</t>
        </is>
      </c>
      <c r="FC92" s="53" t="n"/>
      <c r="FD92" s="53" t="n"/>
      <c r="FE92" s="57" t="inlineStr">
        <is>
          <t>1. Complete assigned conversion/formatting tasks with &gt;=99% accuracy · zero critical errors
2. Meet 100% of client filing deadlines · no SLA breaches
3. Maintain average turnaround per assignment within agreed TAT
4. Handle assigned client edits within agreed TAT with client.
5. Develop capabilities to work in more than 2 mandates/products. Ultimate goal should be able to work in all OCR/Formatting mandates.
6. Conduct monthly knowledge sessions in order to Cross-skill team: &gt;=70% capable on at least more than two OCR/Formatting mandates</t>
        </is>
      </c>
      <c r="FF92" s="56" t="n"/>
      <c r="FG92" s="56" t="n"/>
      <c r="FH92" s="56" t="n"/>
      <c r="FI92" s="56" t="n"/>
      <c r="FJ92" s="56" t="inlineStr">
        <is>
          <t>Received · manager annual</t>
        </is>
      </c>
      <c r="FK92" s="56" t="inlineStr">
        <is>
          <t>CARBON Mapping Master</t>
        </is>
      </c>
      <c r="FL92" s="56" t="n">
        <v>20</v>
      </c>
      <c r="FM92" s="56" t="inlineStr">
        <is>
          <t>• Role / sub-team: Digitizing Assisted Services.</t>
        </is>
      </c>
      <c r="FN92" s="56" t="inlineStr">
        <is>
          <t>• Key responsibilities include: ESEF, Cipc, Mca Allocation, Ocr &amp; Qc, Cipc Html conversion, Uk h Conversion, quality check of pdf and word file, Brsr download, Quality cheking, Solving quries &amp; Other inter Department work.
• Reported deliverables and outcomes include: For Cipc and Mca files send to tagging team.
• Additional duties outside usual job: Brsr download.</t>
        </is>
      </c>
      <c r="FO92" s="56" t="inlineStr">
        <is>
          <t>• Current capabilities: Inter department communic; Tools / software used: HTML - Editor; Microsoft Web Expression; Abbyy FineReader.</t>
        </is>
      </c>
      <c r="FP92" s="56" t="inlineStr">
        <is>
          <t>• Communications skills.
• Presentation skills.</t>
        </is>
      </c>
      <c r="FQ92" s="56" t="inlineStr">
        <is>
          <t>• Key challenges: Quality of Report.
• Support required: No input received.</t>
        </is>
      </c>
      <c r="FR92" s="56" t="inlineStr">
        <is>
          <t>Complexity: Evidence reads like A3: Checks received files, allocates by skill, OCR with AI app, QC, query solving → matches the start
Autonomy: Evidence reads like A3: Independent file allocation only in urgent or peak situations → matches the start
Accountability: Evidence reads like A3: File allocation and on-time conversion and delivery process → moved down 0.5
Leadership: Evidence reads like A3: Assigns files to team members and solves queries; 1 report → moved down 0.5
Business Impact: Moved +0.5: the survey / manager mapping marks it business-critical.</t>
        </is>
      </c>
      <c r="FS92" s="56" t="inlineStr">
        <is>
          <t>Common themes in role-holders' answers: am · formatting · processing · specialist · checker · image
Common themes in role-holders' answers: files · quality · html · received · correctly · checking
Common themes in role-holders' answers: word · pdf · html
Common themes in role-holders' answers: accountable · am · every
If the work is missed · role-holders' themes: dissatisfied · customers become · affected · company growth.</t>
        </is>
      </c>
      <c r="FT92" s="56" t="inlineStr">
        <is>
          <t>Self-identified: Data, SQL &amp; analytics · Product &amp; tool knowledge · Communication &amp; presentation
For the next role: Data, SQL &amp; analytics · Product &amp; tool knowledge · Communication &amp; presentation</t>
        </is>
      </c>
      <c r="FU92" s="56" t="inlineStr">
        <is>
          <t>Per-person summary · CARBON Mapping Master</t>
        </is>
      </c>
    </row>
    <row r="93" ht="90" customHeight="1">
      <c r="A93" s="51" t="inlineStr">
        <is>
          <t>◂ Back</t>
        </is>
      </c>
      <c r="B93" s="29" t="inlineStr">
        <is>
          <t>Mapped</t>
        </is>
      </c>
      <c r="C93" s="28" t="inlineStr">
        <is>
          <t>CARBON</t>
        </is>
      </c>
      <c r="D93" s="29" t="inlineStr">
        <is>
          <t>IRISC131</t>
        </is>
      </c>
      <c r="E93" s="29" t="inlineStr">
        <is>
          <t>Vanita Gaikwad</t>
        </is>
      </c>
      <c r="F93" s="29" t="inlineStr">
        <is>
          <t>Digitizing</t>
        </is>
      </c>
      <c r="G93" s="29" t="inlineStr">
        <is>
          <t>Consultant</t>
        </is>
      </c>
      <c r="H93" s="29" t="inlineStr">
        <is>
          <t>Senior Digitization Associate</t>
        </is>
      </c>
      <c r="I93" s="29" t="inlineStr">
        <is>
          <t>L3 – Professional / Associate</t>
        </is>
      </c>
      <c r="J93" s="29" t="inlineStr">
        <is>
          <t>A3</t>
        </is>
      </c>
      <c r="K93" s="29" t="inlineStr">
        <is>
          <t>▲ Up</t>
        </is>
      </c>
      <c r="L93" s="29" t="inlineStr">
        <is>
          <t>Data Operations &amp; Digitization</t>
        </is>
      </c>
      <c r="M93" s="29" t="inlineStr">
        <is>
          <t>Document Conversion, Formatting &amp; Web Publishing</t>
        </is>
      </c>
      <c r="N93" s="29" t="inlineStr">
        <is>
          <t>• Correct the experience record — HR</t>
        </is>
      </c>
      <c r="O93" s="29" t="n">
        <v>19</v>
      </c>
      <c r="P93" s="28" t="inlineStr">
        <is>
          <t>P2</t>
        </is>
      </c>
      <c r="Q93" s="29" t="inlineStr">
        <is>
          <t>Developing</t>
        </is>
      </c>
      <c r="R93" s="29" t="inlineStr">
        <is>
          <t>3 Apply</t>
        </is>
      </c>
      <c r="S93" s="29" t="inlineStr">
        <is>
          <t>2–4 yrs</t>
        </is>
      </c>
      <c r="T93" s="29" t="inlineStr">
        <is>
          <t>3–5 · 2–5</t>
        </is>
      </c>
      <c r="U93" s="29" t="inlineStr">
        <is>
          <t>Senior Associate</t>
        </is>
      </c>
      <c r="V93" s="29" t="inlineStr">
        <is>
          <t>DataTracks: Senior Associate · 2–5 yrs · Accenture Operations: L10 Senior Analyst · IRIS Vs Competitor Benchmark — operations roles: Senior Processor / QC</t>
        </is>
      </c>
      <c r="W93" s="29" t="inlineStr">
        <is>
          <t>COPC CX Standard · leadership &amp; planning, people, processes, performance; ISO 9001; Lean / Six Sigma</t>
        </is>
      </c>
      <c r="X93" s="29" t="inlineStr">
        <is>
          <t>Core 2 · Future 2 · Functional 3 · Leadership not scored</t>
        </is>
      </c>
      <c r="Y93" s="52" t="n">
        <v>152</v>
      </c>
      <c r="Z93" s="53" t="inlineStr">
        <is>
          <t>IRISC131</t>
        </is>
      </c>
      <c r="AA93" s="53" t="inlineStr">
        <is>
          <t>On Contract</t>
        </is>
      </c>
      <c r="AB93" s="53" t="inlineStr">
        <is>
          <t>Active</t>
        </is>
      </c>
      <c r="AC93" s="53" t="inlineStr">
        <is>
          <t>Vanita Gaikwad</t>
        </is>
      </c>
      <c r="AD93" s="54" t="n">
        <v>43402</v>
      </c>
      <c r="AE93" s="53" t="inlineStr">
        <is>
          <t>Consultant</t>
        </is>
      </c>
      <c r="AF93" s="53" t="inlineStr">
        <is>
          <t>BA</t>
        </is>
      </c>
      <c r="AG93" s="53" t="inlineStr">
        <is>
          <t>Prajakta Mokal</t>
        </is>
      </c>
      <c r="AH93" s="53" t="inlineStr">
        <is>
          <t>N-7</t>
        </is>
      </c>
      <c r="AI93" s="53" t="inlineStr">
        <is>
          <t>Individual Contributor</t>
        </is>
      </c>
      <c r="AJ93" s="53" t="inlineStr">
        <is>
          <t>0 years, 0 months, 0 days</t>
        </is>
      </c>
      <c r="AK93" s="53" t="inlineStr">
        <is>
          <t>7 years, 9 months, 27 days</t>
        </is>
      </c>
      <c r="AL93" s="53" t="inlineStr">
        <is>
          <t>Regtech</t>
        </is>
      </c>
      <c r="AM93" s="53" t="inlineStr">
        <is>
          <t>CARBON</t>
        </is>
      </c>
      <c r="AN93" s="53" t="inlineStr">
        <is>
          <t>Digitizing</t>
        </is>
      </c>
      <c r="AO93" s="53" t="inlineStr">
        <is>
          <t>Digitizing Assisted services</t>
        </is>
      </c>
      <c r="AP93" s="53" t="inlineStr">
        <is>
          <t>No</t>
        </is>
      </c>
      <c r="AQ93" s="53" t="inlineStr">
        <is>
          <t>Professional Services</t>
        </is>
      </c>
      <c r="AR93" s="53" t="inlineStr">
        <is>
          <t>OCR/Image procesing</t>
        </is>
      </c>
      <c r="AS93" s="53" t="inlineStr">
        <is>
          <t>Non-technical</t>
        </is>
      </c>
      <c r="AT93" s="53" t="n">
        <v>20</v>
      </c>
      <c r="AU93" s="53" t="inlineStr">
        <is>
          <t>Covered</t>
        </is>
      </c>
      <c r="AV93" s="53" t="inlineStr">
        <is>
          <t>IRISC131</t>
        </is>
      </c>
      <c r="AW93" s="53" t="inlineStr">
        <is>
          <t>Vanita Gaikwad</t>
        </is>
      </c>
      <c r="AX93" s="53" t="inlineStr">
        <is>
          <t>Digitizing</t>
        </is>
      </c>
      <c r="AY93" s="53" t="inlineStr">
        <is>
          <t>Professional Services</t>
        </is>
      </c>
      <c r="AZ93" s="53" t="inlineStr">
        <is>
          <t>Digitization &amp; Image Processing</t>
        </is>
      </c>
      <c r="BA93" s="53" t="n"/>
      <c r="BB93" s="53" t="n"/>
      <c r="BC93" s="53" t="inlineStr">
        <is>
          <t>On Contract</t>
        </is>
      </c>
      <c r="BD93" s="53" t="inlineStr">
        <is>
          <t>Prajakta Mokal</t>
        </is>
      </c>
      <c r="BE93" s="53" t="inlineStr">
        <is>
          <t>Swara Swapnil Mhatre</t>
        </is>
      </c>
      <c r="BF93" s="53" t="inlineStr">
        <is>
          <t>No</t>
        </is>
      </c>
      <c r="BG93" s="53" t="inlineStr">
        <is>
          <t>Consultant</t>
        </is>
      </c>
      <c r="BH93" s="53" t="inlineStr">
        <is>
          <t>Consultant</t>
        </is>
      </c>
      <c r="BI93" s="53" t="inlineStr">
        <is>
          <t>No</t>
        </is>
      </c>
      <c r="BJ93" s="53" t="inlineStr">
        <is>
          <t>—</t>
        </is>
      </c>
      <c r="BK93" s="53" t="inlineStr">
        <is>
          <t>—</t>
        </is>
      </c>
      <c r="BL93" s="53" t="inlineStr">
        <is>
          <t>—</t>
        </is>
      </c>
      <c r="BM93" s="53" t="inlineStr">
        <is>
          <t>Not a manager</t>
        </is>
      </c>
      <c r="BN93" s="53" t="inlineStr">
        <is>
          <t>—</t>
        </is>
      </c>
      <c r="BO93" s="53" t="inlineStr">
        <is>
          <t>—</t>
        </is>
      </c>
      <c r="BP93" s="53" t="inlineStr">
        <is>
          <t>—</t>
        </is>
      </c>
      <c r="BQ93" s="53" t="inlineStr">
        <is>
          <t>Not a manager</t>
        </is>
      </c>
      <c r="BR93" s="53" t="inlineStr">
        <is>
          <t>—</t>
        </is>
      </c>
      <c r="BS93" s="53" t="inlineStr">
        <is>
          <t>L3 – Professional / Associate</t>
        </is>
      </c>
      <c r="BT93" s="53" t="inlineStr">
        <is>
          <t>L3 – Professional / Associate</t>
        </is>
      </c>
      <c r="BU93" s="53" t="inlineStr">
        <is>
          <t>No designation change — current record value carried forward</t>
        </is>
      </c>
      <c r="BV93" s="53" t="inlineStr">
        <is>
          <t>1. Complete assigned conversion/formatting tasks with &gt;=99% accuracy · zero critical errors
2. Meet 100% of client filing deadlines · no SLA breaches
3. Maintain average turnaround per assignment within agreed TAT
4. Should be able to do Quality check process.
5. Develop capabilites to work in more than 2 mandates/products. Ultimate goal should be able to work in all OCR/Formatting mandates.</t>
        </is>
      </c>
      <c r="BW93" s="53" t="n"/>
      <c r="BX93" s="53" t="inlineStr">
        <is>
          <t>South Africa - CIPC; India - MCA; UK - HMRC · On Contract.</t>
        </is>
      </c>
      <c r="BY93" s="53" t="inlineStr">
        <is>
          <t>Vijay Parulekar</t>
        </is>
      </c>
      <c r="BZ93" s="53" t="inlineStr">
        <is>
          <t>IRISC131</t>
        </is>
      </c>
      <c r="CA93" s="53" t="inlineStr">
        <is>
          <t>On Contract</t>
        </is>
      </c>
      <c r="CB93" s="53" t="inlineStr">
        <is>
          <t>Active</t>
        </is>
      </c>
      <c r="CC93" s="53" t="inlineStr">
        <is>
          <t>Vanita Gaikwad</t>
        </is>
      </c>
      <c r="CD93" s="54" t="n">
        <v>43402</v>
      </c>
      <c r="CE93" s="53" t="inlineStr">
        <is>
          <t>Consultant</t>
        </is>
      </c>
      <c r="CF93" s="53" t="n"/>
      <c r="CG93" s="53" t="inlineStr">
        <is>
          <t>Professional Services</t>
        </is>
      </c>
      <c r="CH93" s="53" t="inlineStr">
        <is>
          <t>Digitization &amp; Image Processing</t>
        </is>
      </c>
      <c r="CI93" s="53" t="inlineStr">
        <is>
          <t>Consultant</t>
        </is>
      </c>
      <c r="CJ93" s="53" t="inlineStr">
        <is>
          <t>L3 – Professional / Associate</t>
        </is>
      </c>
      <c r="CK93" s="53" t="inlineStr">
        <is>
          <t>Prajakta Mokal</t>
        </is>
      </c>
      <c r="CL93" s="53" t="inlineStr">
        <is>
          <t>N-7</t>
        </is>
      </c>
      <c r="CM93" s="53" t="inlineStr">
        <is>
          <t>Individual Contributor</t>
        </is>
      </c>
      <c r="CN93" s="53" t="inlineStr">
        <is>
          <t>Regtech</t>
        </is>
      </c>
      <c r="CO93" s="53" t="inlineStr">
        <is>
          <t>Digitizing</t>
        </is>
      </c>
      <c r="CP93" s="53" t="inlineStr">
        <is>
          <t>7 years, 7 months, 22 days</t>
        </is>
      </c>
      <c r="CQ93" s="53" t="inlineStr">
        <is>
          <t>Consultant</t>
        </is>
      </c>
      <c r="CR93" s="53" t="n"/>
      <c r="CS93" s="53" t="n">
        <v>3</v>
      </c>
      <c r="CT93" s="53" t="inlineStr">
        <is>
          <t>Medium</t>
        </is>
      </c>
      <c r="CU93" s="53" t="inlineStr">
        <is>
          <t>Core Contributor</t>
        </is>
      </c>
      <c r="CV93" s="53" t="inlineStr">
        <is>
          <t>No</t>
        </is>
      </c>
      <c r="CW93" s="53" t="inlineStr">
        <is>
          <t>No</t>
        </is>
      </c>
      <c r="CX93" s="53" t="inlineStr">
        <is>
          <t>Yes</t>
        </is>
      </c>
      <c r="CY93" s="53" t="n"/>
      <c r="CZ93" s="53" t="n"/>
      <c r="DA93" s="53" t="n"/>
      <c r="DB93" s="53" t="n"/>
      <c r="DC93" s="53" t="n"/>
      <c r="DD93" s="53" t="n"/>
      <c r="DE93" s="53" t="n"/>
      <c r="DF93" s="53" t="n"/>
      <c r="DG93" s="53" t="n"/>
      <c r="DH93" s="53" t="n"/>
      <c r="DI93" s="53" t="n"/>
      <c r="DJ93" s="53" t="n"/>
      <c r="DK93" s="53" t="n"/>
      <c r="DL93" s="53" t="n"/>
      <c r="DM93" s="53" t="n"/>
      <c r="DN93" s="53" t="n"/>
      <c r="DO93" s="53" t="n"/>
      <c r="DP93" s="53" t="n"/>
      <c r="DQ93" s="53" t="n"/>
      <c r="DR93" s="53" t="n"/>
      <c r="DS93" s="53" t="n"/>
      <c r="DT93" s="53" t="n"/>
      <c r="DU93" s="53" t="n"/>
      <c r="DV93" s="53" t="n"/>
      <c r="DW93" s="53" t="n"/>
      <c r="DX93" s="53" t="n"/>
      <c r="DY93" s="53" t="n"/>
      <c r="DZ93" s="53" t="n"/>
      <c r="EA93" s="53" t="n"/>
      <c r="EB93" s="53" t="n"/>
      <c r="EC93" s="53" t="n"/>
      <c r="ED93" s="53" t="n"/>
      <c r="EE93" s="53" t="n"/>
      <c r="EF93" s="53" t="n"/>
      <c r="EG93" s="53" t="n"/>
      <c r="EH93" s="53" t="n"/>
      <c r="EI93" s="53" t="n"/>
      <c r="EJ93" s="53" t="n"/>
      <c r="EK93" s="53" t="n"/>
      <c r="EL93" s="53" t="n"/>
      <c r="EM93" s="53" t="n"/>
      <c r="EN93" s="53" t="n"/>
      <c r="EO93" s="53" t="n"/>
      <c r="EP93" s="53" t="n"/>
      <c r="EQ93" s="53" t="n"/>
      <c r="ER93" s="53" t="n"/>
      <c r="ES93" s="53" t="n"/>
      <c r="ET93" s="53" t="n"/>
      <c r="EU93" s="53" t="n"/>
      <c r="EV93" s="53" t="n"/>
      <c r="EW93" s="52" t="n"/>
      <c r="EX93" s="53" t="inlineStr">
        <is>
          <t>• Role / sub-team: Digitizing Assisted services.</t>
        </is>
      </c>
      <c r="EY93" s="53" t="inlineStr">
        <is>
          <t>• Key responsibilities include: CIPC HTML conversion, UK conversion, CIPC OCR, and MCA OCR · Abbyy.
• Reported deliverables and outcomes include: Completed UK files are submitted to a specific folder for QC; CIPC files are mailed to the service team.</t>
        </is>
      </c>
      <c r="EZ93" s="53" t="inlineStr">
        <is>
          <t>• Current capabilities: Copillot; Tools / software used: Abby Fine Reader, Web Expression HTML - Editor.</t>
        </is>
      </c>
      <c r="FA93" s="53" t="inlineStr">
        <is>
          <t>• Communications skills.
• Presentation skills.</t>
        </is>
      </c>
      <c r="FB93" s="53" t="inlineStr">
        <is>
          <t>• Key challenges: Quality of report.
• Support required: No input received.</t>
        </is>
      </c>
      <c r="FC93" s="53" t="n"/>
      <c r="FD93" s="53" t="n"/>
      <c r="FE93" s="57" t="inlineStr">
        <is>
          <t>1. Complete assigned conversion/formatting tasks with &gt;=99% accuracy · zero critical errors
2. Meet 100% of client filing deadlines · no SLA breaches
3. Maintain average turnaround per assignment within agreed TAT
4. Should be able to do Quality check process.
5. Develop capabilites to work in more than 2 mandates/products. Ultimate goal should be able to work in all OCR/Formatting mandates.</t>
        </is>
      </c>
      <c r="FF93" s="56" t="n"/>
      <c r="FG93" s="56" t="n"/>
      <c r="FH93" s="56" t="n"/>
      <c r="FI93" s="56" t="n"/>
      <c r="FJ93" s="56" t="inlineStr">
        <is>
          <t>Received · manager annual</t>
        </is>
      </c>
      <c r="FK93" s="56" t="inlineStr">
        <is>
          <t>CARBON Mapping Master</t>
        </is>
      </c>
      <c r="FL93" s="56" t="n">
        <v>19</v>
      </c>
      <c r="FM93" s="56" t="inlineStr">
        <is>
          <t>• Role / sub-team: Digitizing Assisted services.</t>
        </is>
      </c>
      <c r="FN93" s="56" t="inlineStr">
        <is>
          <t>• Key responsibilities include: CIPC HTML conversion, UK conversion, CIPC OCR, and MCA OCR · Abbyy.
• Reported deliverables and outcomes include: Completed UK files are submitted to a specific folder for QC; CIPC files are mailed to the service team.</t>
        </is>
      </c>
      <c r="FO93" s="56" t="inlineStr">
        <is>
          <t>• Current capabilities: Copillot; Tools / software used: Abby Fine Reader, Web Expression HTML - Editor.</t>
        </is>
      </c>
      <c r="FP93" s="56" t="inlineStr">
        <is>
          <t>• Communications skills.
• Presentation skills.</t>
        </is>
      </c>
      <c r="FQ93" s="56" t="inlineStr">
        <is>
          <t>• Key challenges: Quality of report.
• Support required: No input received.</t>
        </is>
      </c>
      <c r="FR93" s="56" t="inlineStr">
        <is>
          <t>Business Impact: Moved +0.5: the survey / manager mapping marks it business-critical.</t>
        </is>
      </c>
      <c r="FS93" s="56"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FT93" s="56" t="inlineStr">
        <is>
          <t>Self-identified: Leadership &amp; people management · Project / programme management · Client, sales &amp; stakeholders · Broader exposure &amp; ownership
For the next role: AI / automation · Leadership &amp; people management · Project / programme management · Product &amp; tool knowledge · Client, sales &amp; stakeholders · Communication &amp; presentation · Broader exposure &amp; ownership</t>
        </is>
      </c>
      <c r="FU93" s="56" t="inlineStr">
        <is>
          <t>Per-person summary · CARBON Mapping Master</t>
        </is>
      </c>
    </row>
    <row r="94" ht="90" customHeight="1">
      <c r="A94" s="51" t="inlineStr">
        <is>
          <t>◂ Back</t>
        </is>
      </c>
      <c r="B94" s="29" t="inlineStr">
        <is>
          <t>Mapped</t>
        </is>
      </c>
      <c r="C94" s="28" t="inlineStr">
        <is>
          <t>CARBON</t>
        </is>
      </c>
      <c r="D94" s="29" t="inlineStr">
        <is>
          <t>IRISC301</t>
        </is>
      </c>
      <c r="E94" s="29" t="inlineStr">
        <is>
          <t>Saurav Nirmal</t>
        </is>
      </c>
      <c r="F94" s="29" t="inlineStr">
        <is>
          <t>Digitizing</t>
        </is>
      </c>
      <c r="G94" s="29" t="inlineStr">
        <is>
          <t>Consultant</t>
        </is>
      </c>
      <c r="H94" s="29" t="inlineStr">
        <is>
          <t>Senior Digitization Associate</t>
        </is>
      </c>
      <c r="I94" s="29" t="inlineStr">
        <is>
          <t>L3 – Professional / Associate</t>
        </is>
      </c>
      <c r="J94" s="29" t="inlineStr">
        <is>
          <t>A3</t>
        </is>
      </c>
      <c r="K94" s="29" t="inlineStr">
        <is>
          <t>▲ Up</t>
        </is>
      </c>
      <c r="L94" s="29" t="inlineStr">
        <is>
          <t>Data Operations &amp; Digitization</t>
        </is>
      </c>
      <c r="M94" s="29" t="inlineStr">
        <is>
          <t>Document Conversion, Formatting &amp; Web Publishing</t>
        </is>
      </c>
      <c r="N94" s="29" t="n"/>
      <c r="O94" s="29" t="n">
        <v>20</v>
      </c>
      <c r="P94" s="28" t="inlineStr">
        <is>
          <t>P2</t>
        </is>
      </c>
      <c r="Q94" s="29" t="inlineStr">
        <is>
          <t>Developing</t>
        </is>
      </c>
      <c r="R94" s="29" t="inlineStr">
        <is>
          <t>3 Apply</t>
        </is>
      </c>
      <c r="S94" s="29" t="inlineStr">
        <is>
          <t>2–4 yrs</t>
        </is>
      </c>
      <c r="T94" s="29" t="inlineStr">
        <is>
          <t>3–5 · 2–5</t>
        </is>
      </c>
      <c r="U94" s="29" t="inlineStr">
        <is>
          <t>Senior Associate</t>
        </is>
      </c>
      <c r="V94" s="29" t="inlineStr">
        <is>
          <t>DataTracks: Senior Associate · 2–5 yrs · Accenture Operations: L10 Senior Analyst · IRIS Vs Competitor Benchmark — operations roles: Senior Processor / QC</t>
        </is>
      </c>
      <c r="W94" s="29" t="inlineStr">
        <is>
          <t>COPC CX Standard · leadership &amp; planning, people, processes, performance; ISO 9001; Lean / Six Sigma</t>
        </is>
      </c>
      <c r="X94" s="29" t="inlineStr">
        <is>
          <t>Core 2 · Future 2 · Functional 3 · Leadership not scored</t>
        </is>
      </c>
      <c r="Y94" s="52" t="n">
        <v>356</v>
      </c>
      <c r="Z94" s="53" t="inlineStr">
        <is>
          <t>IRISC301</t>
        </is>
      </c>
      <c r="AA94" s="53" t="inlineStr">
        <is>
          <t>On Contract</t>
        </is>
      </c>
      <c r="AB94" s="53" t="inlineStr">
        <is>
          <t>Active</t>
        </is>
      </c>
      <c r="AC94" s="53" t="inlineStr">
        <is>
          <t>Saurav Nirmal</t>
        </is>
      </c>
      <c r="AD94" s="54" t="n">
        <v>45663</v>
      </c>
      <c r="AE94" s="53" t="inlineStr">
        <is>
          <t>Consultant</t>
        </is>
      </c>
      <c r="AF94" s="53" t="inlineStr">
        <is>
          <t>B.Com</t>
        </is>
      </c>
      <c r="AG94" s="53" t="inlineStr">
        <is>
          <t>Vijay Parulekar</t>
        </is>
      </c>
      <c r="AH94" s="53" t="inlineStr">
        <is>
          <t>N-6</t>
        </is>
      </c>
      <c r="AI94" s="53" t="inlineStr">
        <is>
          <t>Individual Contributor</t>
        </is>
      </c>
      <c r="AJ94" s="53" t="inlineStr">
        <is>
          <t>1 years, 0 months, 0 days</t>
        </is>
      </c>
      <c r="AK94" s="53" t="inlineStr">
        <is>
          <t>1 years, 7 months, 19 days</t>
        </is>
      </c>
      <c r="AL94" s="53" t="inlineStr">
        <is>
          <t>Regtech</t>
        </is>
      </c>
      <c r="AM94" s="53" t="inlineStr">
        <is>
          <t>CARBON</t>
        </is>
      </c>
      <c r="AN94" s="53" t="inlineStr">
        <is>
          <t>Digitizing</t>
        </is>
      </c>
      <c r="AO94" s="53" t="inlineStr">
        <is>
          <t>Digitizing Assisted services</t>
        </is>
      </c>
      <c r="AP94" s="53" t="inlineStr">
        <is>
          <t>No</t>
        </is>
      </c>
      <c r="AQ94" s="53" t="inlineStr">
        <is>
          <t>Professional Services</t>
        </is>
      </c>
      <c r="AR94" s="53" t="inlineStr">
        <is>
          <t>OCR/Image procesing</t>
        </is>
      </c>
      <c r="AS94" s="53" t="inlineStr">
        <is>
          <t>Non-technical</t>
        </is>
      </c>
      <c r="AT94" s="53" t="n">
        <v>20</v>
      </c>
      <c r="AU94" s="53" t="inlineStr">
        <is>
          <t>Covered</t>
        </is>
      </c>
      <c r="AV94" s="53" t="inlineStr">
        <is>
          <t>IRISC301</t>
        </is>
      </c>
      <c r="AW94" s="53" t="inlineStr">
        <is>
          <t>Saurav Nirmal</t>
        </is>
      </c>
      <c r="AX94" s="53" t="inlineStr">
        <is>
          <t>Digitizing</t>
        </is>
      </c>
      <c r="AY94" s="53" t="inlineStr">
        <is>
          <t>Professional Services</t>
        </is>
      </c>
      <c r="AZ94" s="53" t="inlineStr">
        <is>
          <t>Digitization &amp; Image Processing</t>
        </is>
      </c>
      <c r="BA94" s="53" t="n"/>
      <c r="BB94" s="53" t="n"/>
      <c r="BC94" s="53" t="inlineStr">
        <is>
          <t>On Contract</t>
        </is>
      </c>
      <c r="BD94" s="53" t="inlineStr">
        <is>
          <t>Datta Hatagale</t>
        </is>
      </c>
      <c r="BE94" s="53" t="inlineStr">
        <is>
          <t>Datta Anand Hatagale</t>
        </is>
      </c>
      <c r="BF94" s="53" t="inlineStr">
        <is>
          <t>No</t>
        </is>
      </c>
      <c r="BG94" s="53" t="inlineStr">
        <is>
          <t>Consultant</t>
        </is>
      </c>
      <c r="BH94" s="53" t="inlineStr">
        <is>
          <t>Consultant</t>
        </is>
      </c>
      <c r="BI94" s="53" t="inlineStr">
        <is>
          <t>No</t>
        </is>
      </c>
      <c r="BJ94" s="53" t="inlineStr">
        <is>
          <t>—</t>
        </is>
      </c>
      <c r="BK94" s="53" t="inlineStr">
        <is>
          <t>—</t>
        </is>
      </c>
      <c r="BL94" s="53" t="inlineStr">
        <is>
          <t>—</t>
        </is>
      </c>
      <c r="BM94" s="53" t="inlineStr">
        <is>
          <t>Not a manager</t>
        </is>
      </c>
      <c r="BN94" s="53" t="inlineStr">
        <is>
          <t>—</t>
        </is>
      </c>
      <c r="BO94" s="53" t="inlineStr">
        <is>
          <t>—</t>
        </is>
      </c>
      <c r="BP94" s="53" t="inlineStr">
        <is>
          <t>—</t>
        </is>
      </c>
      <c r="BQ94" s="53" t="inlineStr">
        <is>
          <t>Not a manager</t>
        </is>
      </c>
      <c r="BR94" s="53" t="inlineStr">
        <is>
          <t>—</t>
        </is>
      </c>
      <c r="BS94" s="53" t="inlineStr">
        <is>
          <t>L3 – Professional / Associate</t>
        </is>
      </c>
      <c r="BT94" s="53" t="inlineStr">
        <is>
          <t>L3 – Professional / Associate</t>
        </is>
      </c>
      <c r="BU94" s="53" t="inlineStr">
        <is>
          <t>No designation change — current record value carried forward</t>
        </is>
      </c>
      <c r="BV94" s="53" t="inlineStr">
        <is>
          <t>1. Complete assigned conversion/formatting tasks with &gt;=99% accuracy · zero critical errors
2. Meet 100% of client filing deadlines · no SLA breaches
3. Maintain average turnaround per assignment within agreed TAT
4. Should be able to do Quality check process.
5. Develop capabilites to work in more than 2 mandates/products. Ultimate goal should be able to work in all OCR/Formatting mandates.</t>
        </is>
      </c>
      <c r="BW94" s="53" t="n"/>
      <c r="BX94" s="53" t="inlineStr">
        <is>
          <t>UK - HMRC; South Africa - CIPC; India - MCA; Europe - ESEF · On Contract.</t>
        </is>
      </c>
      <c r="BY94" s="53" t="n"/>
      <c r="BZ94" s="53" t="inlineStr">
        <is>
          <t>IRISC301</t>
        </is>
      </c>
      <c r="CA94" s="53" t="inlineStr">
        <is>
          <t>On Contract</t>
        </is>
      </c>
      <c r="CB94" s="53" t="inlineStr">
        <is>
          <t>Active</t>
        </is>
      </c>
      <c r="CC94" s="53" t="inlineStr">
        <is>
          <t>Saurav Nirmal</t>
        </is>
      </c>
      <c r="CD94" s="54" t="n">
        <v>45663</v>
      </c>
      <c r="CE94" s="53" t="inlineStr">
        <is>
          <t>Consultant</t>
        </is>
      </c>
      <c r="CF94" s="53" t="n"/>
      <c r="CG94" s="53" t="inlineStr">
        <is>
          <t>Professional Services</t>
        </is>
      </c>
      <c r="CH94" s="53" t="inlineStr">
        <is>
          <t>Digitization &amp; Image Processing</t>
        </is>
      </c>
      <c r="CI94" s="53" t="inlineStr">
        <is>
          <t>Consultant</t>
        </is>
      </c>
      <c r="CJ94" s="53" t="inlineStr">
        <is>
          <t>L3 – Professional / Associate</t>
        </is>
      </c>
      <c r="CK94" s="53" t="inlineStr">
        <is>
          <t>Datta Hatagale</t>
        </is>
      </c>
      <c r="CL94" s="53" t="inlineStr">
        <is>
          <t>N-6</t>
        </is>
      </c>
      <c r="CM94" s="53" t="inlineStr">
        <is>
          <t>Individual Contributor</t>
        </is>
      </c>
      <c r="CN94" s="53" t="inlineStr">
        <is>
          <t>Regtech</t>
        </is>
      </c>
      <c r="CO94" s="53" t="inlineStr">
        <is>
          <t>Digitizing</t>
        </is>
      </c>
      <c r="CP94" s="53" t="inlineStr">
        <is>
          <t>2 years, 5 months, 14 days</t>
        </is>
      </c>
      <c r="CQ94" s="53" t="inlineStr">
        <is>
          <t>Consultant</t>
        </is>
      </c>
      <c r="CR94" s="53" t="n"/>
      <c r="CS94" s="53" t="n">
        <v>3</v>
      </c>
      <c r="CT94" s="53" t="inlineStr">
        <is>
          <t>Medium</t>
        </is>
      </c>
      <c r="CU94" s="53" t="inlineStr">
        <is>
          <t>Core Contributor</t>
        </is>
      </c>
      <c r="CV94" s="53" t="inlineStr">
        <is>
          <t>No</t>
        </is>
      </c>
      <c r="CW94" s="53" t="inlineStr">
        <is>
          <t>No</t>
        </is>
      </c>
      <c r="CX94" s="53" t="inlineStr">
        <is>
          <t>Yes</t>
        </is>
      </c>
      <c r="CY94" s="53" t="n"/>
      <c r="CZ94" s="53" t="n"/>
      <c r="DA94" s="53" t="n"/>
      <c r="DB94" s="53" t="n"/>
      <c r="DC94" s="53" t="n"/>
      <c r="DD94" s="53" t="n"/>
      <c r="DE94" s="53" t="n"/>
      <c r="DF94" s="53" t="n"/>
      <c r="DG94" s="53" t="n"/>
      <c r="DH94" s="53" t="n"/>
      <c r="DI94" s="53" t="n"/>
      <c r="DJ94" s="53" t="n"/>
      <c r="DK94" s="53" t="n"/>
      <c r="DL94" s="53" t="n"/>
      <c r="DM94" s="53" t="n"/>
      <c r="DN94" s="53" t="n"/>
      <c r="DO94" s="53" t="n"/>
      <c r="DP94" s="53" t="n"/>
      <c r="DQ94" s="53" t="n"/>
      <c r="DR94" s="53" t="n"/>
      <c r="DS94" s="53" t="n"/>
      <c r="DT94" s="53" t="n"/>
      <c r="DU94" s="53" t="n"/>
      <c r="DV94" s="53" t="n"/>
      <c r="DW94" s="53" t="n"/>
      <c r="DX94" s="53" t="n"/>
      <c r="DY94" s="53" t="n"/>
      <c r="DZ94" s="53" t="n"/>
      <c r="EA94" s="53" t="n"/>
      <c r="EB94" s="53" t="n"/>
      <c r="EC94" s="53" t="n"/>
      <c r="ED94" s="53" t="n"/>
      <c r="EE94" s="53" t="n"/>
      <c r="EF94" s="53" t="n"/>
      <c r="EG94" s="53" t="n"/>
      <c r="EH94" s="53" t="n"/>
      <c r="EI94" s="53" t="n"/>
      <c r="EJ94" s="53" t="n"/>
      <c r="EK94" s="53" t="n"/>
      <c r="EL94" s="53" t="n"/>
      <c r="EM94" s="53" t="n"/>
      <c r="EN94" s="53" t="n"/>
      <c r="EO94" s="53" t="n"/>
      <c r="EP94" s="53" t="n"/>
      <c r="EQ94" s="53" t="n"/>
      <c r="ER94" s="53" t="n"/>
      <c r="ES94" s="53" t="n"/>
      <c r="ET94" s="53" t="n"/>
      <c r="EU94" s="53" t="n"/>
      <c r="EV94" s="53" t="n"/>
      <c r="EW94" s="52" t="n"/>
      <c r="EX94" s="53" t="inlineStr">
        <is>
          <t>• Role / sub-team: Digitizing Assisted Services.</t>
        </is>
      </c>
      <c r="EY94" s="53" t="inlineStr">
        <is>
          <t>• Key responsibilities include: ESEF QC, EU DM formatting and review the documents, HTML conversion from word document. MCA,CIPC conversion.
• Reported deliverables and outcomes include: EU DM files go to the services team once formatting is complete; UK, MCA and CIPC conversion files go to colleagues for QC.</t>
        </is>
      </c>
      <c r="EZ94" s="53" t="inlineStr">
        <is>
          <t>• Current capabilities: Co-ordination skills; Wait for clients updation; Tools / software used: Both | Abbyy FineReader, Microsoft Web Expression [Teams chat].</t>
        </is>
      </c>
      <c r="FA94" s="53" t="inlineStr">
        <is>
          <t>• Communications skills.
• Presentation skills.</t>
        </is>
      </c>
      <c r="FB94" s="53" t="inlineStr">
        <is>
          <t>• Key challenges: Quality of report, RDP issue.
• Support required: No input received.</t>
        </is>
      </c>
      <c r="FC94" s="53" t="n"/>
      <c r="FD94" s="53" t="n"/>
      <c r="FE94" s="57" t="inlineStr">
        <is>
          <t>1. Complete assigned conversion/formatting tasks with &gt;=99% accuracy · zero critical errors
2. Meet 100% of client filing deadlines · no SLA breaches
3. Maintain average turnaround per assignment within agreed TAT
4. Should be able to do Quality check process.
5. Develop capabilites to work in more than 2 mandates/products. Ultimate goal should be able to work in all OCR/Formatting mandates.</t>
        </is>
      </c>
      <c r="FF94" s="56" t="n"/>
      <c r="FG94" s="56" t="n"/>
      <c r="FH94" s="56" t="n"/>
      <c r="FI94" s="56" t="n"/>
      <c r="FJ94" s="56" t="inlineStr">
        <is>
          <t>Received · manager annual</t>
        </is>
      </c>
      <c r="FK94" s="56" t="inlineStr">
        <is>
          <t>CARBON Mapping Master</t>
        </is>
      </c>
      <c r="FL94" s="56" t="n">
        <v>20</v>
      </c>
      <c r="FM94" s="56" t="inlineStr">
        <is>
          <t>• Role / sub-team: Digitizing Assisted Services.</t>
        </is>
      </c>
      <c r="FN94" s="56" t="inlineStr">
        <is>
          <t>• Key responsibilities include: ESEF QC, EU DM formatting and review the documents, HTML conversion from word document. MCA,CIPC conversion.
• Reported deliverables and outcomes include: EU DM files go to the services team once formatting is complete; UK, MCA and CIPC conversion files go to colleagues for QC.</t>
        </is>
      </c>
      <c r="FO94" s="56" t="inlineStr">
        <is>
          <t>• Current capabilities: Co-ordination skills; Wait for clients updation; Tools / software used: Both | Abbyy FineReader, Microsoft Web Expression [Teams chat].</t>
        </is>
      </c>
      <c r="FP94" s="56" t="inlineStr">
        <is>
          <t>• Communications skills.
• Presentation skills.</t>
        </is>
      </c>
      <c r="FQ94" s="56" t="inlineStr">
        <is>
          <t>• Key challenges: Quality of report, RDP issue.
• Support required: No input received.</t>
        </is>
      </c>
      <c r="FR94" s="56" t="inlineStr">
        <is>
          <t>Business Impact: Moved +0.5: the survey / manager mapping marks it business-critical.</t>
        </is>
      </c>
      <c r="FS94" s="56" t="inlineStr">
        <is>
          <t>Common themes in role-holders' answers: purpose · core · quality · formatting · accuracy · information
Common themes in role-holders' answers: document · quality · formatting · accuracy · checks · conversion
Common themes in role-holders' answers: html · pdf · word · documents · deliver · formatted
Common themes in role-holders' answers: accountable · am · accuracy · quality · timely · every
Common themes in role-holders' answers: formatting · validate · check · handle · independently · html
If the work is missed · role-holders' themes: delays · rework · errors · quality · incorrect.</t>
        </is>
      </c>
      <c r="FT94" s="56" t="inlineStr">
        <is>
          <t>Self-identified: Project / programme management · Communication &amp; presentation · Broader exposure &amp; ownership
For the next role: Project / programme management · Communication &amp; presentation · Broader exposure &amp; ownership</t>
        </is>
      </c>
      <c r="FU94" s="56" t="inlineStr">
        <is>
          <t>Per-person summary · CARBON Mapping Master</t>
        </is>
      </c>
    </row>
    <row r="95" ht="90" customHeight="1">
      <c r="A95" s="51" t="inlineStr">
        <is>
          <t>◂ Back</t>
        </is>
      </c>
      <c r="B95" s="29" t="inlineStr">
        <is>
          <t>Mapped</t>
        </is>
      </c>
      <c r="C95" s="28" t="inlineStr">
        <is>
          <t>CARBON</t>
        </is>
      </c>
      <c r="D95" s="29" t="inlineStr">
        <is>
          <t>IRIS0393</t>
        </is>
      </c>
      <c r="E95" s="29" t="inlineStr">
        <is>
          <t>Mayur Zope</t>
        </is>
      </c>
      <c r="F95" s="29" t="inlineStr">
        <is>
          <t>Services</t>
        </is>
      </c>
      <c r="G95" s="29" t="inlineStr">
        <is>
          <t>Lead Financial Analyst</t>
        </is>
      </c>
      <c r="H95" s="29" t="inlineStr">
        <is>
          <t>Senior Manager – Assisted Services</t>
        </is>
      </c>
      <c r="I95" s="29" t="inlineStr">
        <is>
          <t>L5 – Lead · IC</t>
        </is>
      </c>
      <c r="J95" s="29" t="inlineStr">
        <is>
          <t>B2</t>
        </is>
      </c>
      <c r="K95" s="29" t="inlineStr">
        <is>
          <t>• Same level</t>
        </is>
      </c>
      <c r="L95" s="29" t="inlineStr">
        <is>
          <t>Consulting &amp; Professional Services</t>
        </is>
      </c>
      <c r="M95" s="29" t="inlineStr">
        <is>
          <t>XBRL Tagging, Conversion &amp; Filing</t>
        </is>
      </c>
      <c r="N95" s="29" t="inlineStr">
        <is>
          <t>• Confirm the reporting line — Manager</t>
        </is>
      </c>
      <c r="O95" s="29" t="n">
        <v>20</v>
      </c>
      <c r="P95" s="28" t="inlineStr">
        <is>
          <t>P4 / M3</t>
        </is>
      </c>
      <c r="Q95" s="29" t="inlineStr">
        <is>
          <t>Senior / Manager</t>
        </is>
      </c>
      <c r="R95" s="29" t="inlineStr">
        <is>
          <t>4–5</t>
        </is>
      </c>
      <c r="S95" s="29" t="inlineStr">
        <is>
          <t>6–9 yrs</t>
        </is>
      </c>
      <c r="T95" s="29" t="inlineStr">
        <is>
          <t>7–10 · 6–11</t>
        </is>
      </c>
      <c r="U95" s="29" t="inlineStr">
        <is>
          <t>Senior Manager</t>
        </is>
      </c>
      <c r="V95" s="29" t="inlineStr">
        <is>
          <t>Big Four: Manager · IRIS Vs Market Benchmark — XBRL US credential pathway: Certificate + review authority</t>
        </is>
      </c>
      <c r="W95" s="29" t="inlineStr">
        <is>
          <t>XBRL US GAAP Certificate · AICPA &amp; XBRL US; XBRL International specifications; IFRS / US GAAP / Ind AS</t>
        </is>
      </c>
      <c r="X95" s="29" t="inlineStr">
        <is>
          <t>Core 3 · Future 3 · Functional 4 · Leadership 3</t>
        </is>
      </c>
      <c r="Y95" s="52" t="n">
        <v>54</v>
      </c>
      <c r="Z95" s="53" t="inlineStr">
        <is>
          <t>IRIS0393</t>
        </is>
      </c>
      <c r="AA95" s="53" t="inlineStr">
        <is>
          <t>Employee</t>
        </is>
      </c>
      <c r="AB95" s="53" t="inlineStr">
        <is>
          <t>Active</t>
        </is>
      </c>
      <c r="AC95" s="53" t="inlineStr">
        <is>
          <t>Mayur Zope</t>
        </is>
      </c>
      <c r="AD95" s="54" t="n">
        <v>40317</v>
      </c>
      <c r="AE95" s="53" t="inlineStr">
        <is>
          <t>Lead Financial Analyst</t>
        </is>
      </c>
      <c r="AF95" s="53" t="inlineStr">
        <is>
          <t>CA</t>
        </is>
      </c>
      <c r="AG95" s="53" t="inlineStr">
        <is>
          <t>K Ashok Kumar</t>
        </is>
      </c>
      <c r="AH95" s="53" t="inlineStr">
        <is>
          <t>N-5</t>
        </is>
      </c>
      <c r="AI95" s="53" t="inlineStr">
        <is>
          <t>Manager</t>
        </is>
      </c>
      <c r="AJ95" s="53" t="inlineStr">
        <is>
          <t>3 years, 0 months, 0 days</t>
        </is>
      </c>
      <c r="AK95" s="53" t="inlineStr">
        <is>
          <t>16 years, 3 months, 6 days</t>
        </is>
      </c>
      <c r="AL95" s="53" t="inlineStr">
        <is>
          <t>Regtech</t>
        </is>
      </c>
      <c r="AM95" s="53" t="inlineStr">
        <is>
          <t>CARBON</t>
        </is>
      </c>
      <c r="AN95" s="53" t="inlineStr">
        <is>
          <t>Services</t>
        </is>
      </c>
      <c r="AO95" s="53" t="inlineStr">
        <is>
          <t>Expert Assisted services</t>
        </is>
      </c>
      <c r="AP95" s="53" t="inlineStr">
        <is>
          <t>No</t>
        </is>
      </c>
      <c r="AQ95" s="53" t="inlineStr">
        <is>
          <t>Professional Services</t>
        </is>
      </c>
      <c r="AR95" s="53" t="inlineStr">
        <is>
          <t>XBRL Domain</t>
        </is>
      </c>
      <c r="AS95" s="53" t="inlineStr">
        <is>
          <t>Non-technical</t>
        </is>
      </c>
      <c r="AT95" s="53" t="n">
        <v>20</v>
      </c>
      <c r="AU95" s="53" t="inlineStr">
        <is>
          <t>Covered</t>
        </is>
      </c>
      <c r="AV95" s="53" t="inlineStr">
        <is>
          <t>IRIS0393</t>
        </is>
      </c>
      <c r="AW95" s="53" t="inlineStr">
        <is>
          <t>Mayur Zope</t>
        </is>
      </c>
      <c r="AX95" s="53" t="inlineStr">
        <is>
          <t>Services</t>
        </is>
      </c>
      <c r="AY95" s="53" t="inlineStr">
        <is>
          <t>Professional Services</t>
        </is>
      </c>
      <c r="AZ95" s="53" t="inlineStr">
        <is>
          <t>XBRL / Regulatory Reporting</t>
        </is>
      </c>
      <c r="BA95" s="53" t="n"/>
      <c r="BB95" s="53" t="n"/>
      <c r="BC95" s="53" t="inlineStr">
        <is>
          <t>Employee</t>
        </is>
      </c>
      <c r="BD95" s="53" t="inlineStr">
        <is>
          <t>K Ashok Kumar</t>
        </is>
      </c>
      <c r="BE95" s="53" t="inlineStr">
        <is>
          <t>Shashikant Mudaliar</t>
        </is>
      </c>
      <c r="BF95" s="53" t="inlineStr">
        <is>
          <t>No</t>
        </is>
      </c>
      <c r="BG95" s="53" t="inlineStr">
        <is>
          <t>Lead Financial Analyst</t>
        </is>
      </c>
      <c r="BH95" s="53" t="inlineStr">
        <is>
          <t>Manager - Services</t>
        </is>
      </c>
      <c r="BI95" s="53" t="inlineStr">
        <is>
          <t>Yes</t>
        </is>
      </c>
      <c r="BJ95" s="53" t="n">
        <v>4</v>
      </c>
      <c r="BK95" s="53" t="n">
        <v>4</v>
      </c>
      <c r="BL95" s="53" t="n">
        <v>0</v>
      </c>
      <c r="BM95" s="53" t="inlineStr">
        <is>
          <t>Review</t>
        </is>
      </c>
      <c r="BN95" s="53" t="n">
        <v>4</v>
      </c>
      <c r="BO95" s="53" t="n">
        <v>4</v>
      </c>
      <c r="BP95" s="53" t="n">
        <v>0</v>
      </c>
      <c r="BQ95" s="53" t="inlineStr">
        <is>
          <t>Review</t>
        </is>
      </c>
      <c r="BR95" s="53" t="inlineStr">
        <is>
          <t>No</t>
        </is>
      </c>
      <c r="BS95" s="53" t="inlineStr">
        <is>
          <t>L5 – Lead · IC</t>
        </is>
      </c>
      <c r="BT95" s="53" t="inlineStr">
        <is>
          <t>L5</t>
        </is>
      </c>
      <c r="BU95" s="53" t="inlineStr">
        <is>
          <t>Matched from Title Hierarchy · new designation</t>
        </is>
      </c>
      <c r="BV95" s="53" t="inlineStr">
        <is>
          <t>1. Ensure files processed by team with &gt;=99% accuracy · zero critical errors.
2. Meet 100% of regulatory / client filing deadlines · no SLA breaches
3. Reduce average filing turnaround time by 10-20% by this year.
4. Identify and develop future team leads.
5. Deliver zero escalations from key clients.
6. Launch AI-assisted formatting/tagging and review suggestion engine · Give Logic to Engineering Team and Test it whenever developed</t>
        </is>
      </c>
      <c r="BW95" s="53" t="n"/>
      <c r="BX95" s="53" t="inlineStr">
        <is>
          <t>India - MCA; Nigeria - CBN; USA - SEC; South Africa - CIPC.</t>
        </is>
      </c>
      <c r="BY95" s="53" t="n"/>
      <c r="BZ95" s="53" t="inlineStr">
        <is>
          <t>IRIS0393</t>
        </is>
      </c>
      <c r="CA95" s="53" t="inlineStr">
        <is>
          <t>Employee</t>
        </is>
      </c>
      <c r="CB95" s="53" t="inlineStr">
        <is>
          <t>Active</t>
        </is>
      </c>
      <c r="CC95" s="53" t="inlineStr">
        <is>
          <t>Mayur Zope</t>
        </is>
      </c>
      <c r="CD95" s="54" t="n">
        <v>40317</v>
      </c>
      <c r="CE95" s="53" t="inlineStr">
        <is>
          <t>Lead Financial Analyst</t>
        </is>
      </c>
      <c r="CF95" s="53" t="n"/>
      <c r="CG95" s="53" t="inlineStr">
        <is>
          <t>Professional Services</t>
        </is>
      </c>
      <c r="CH95" s="53" t="inlineStr">
        <is>
          <t>XBRL / Regulatory Reporting</t>
        </is>
      </c>
      <c r="CI95" s="53" t="inlineStr">
        <is>
          <t>Manager Services</t>
        </is>
      </c>
      <c r="CJ95" s="53" t="inlineStr">
        <is>
          <t>L5 – Lead · IC</t>
        </is>
      </c>
      <c r="CK95" s="53" t="inlineStr">
        <is>
          <t>K Ashok Kumar</t>
        </is>
      </c>
      <c r="CL95" s="53" t="inlineStr">
        <is>
          <t>N-5</t>
        </is>
      </c>
      <c r="CM95" s="53" t="inlineStr">
        <is>
          <t>Manager</t>
        </is>
      </c>
      <c r="CN95" s="53" t="inlineStr">
        <is>
          <t>Regtech</t>
        </is>
      </c>
      <c r="CO95" s="53" t="inlineStr">
        <is>
          <t>Services</t>
        </is>
      </c>
      <c r="CP95" s="53" t="inlineStr">
        <is>
          <t>19 years, 1 months, 1 days</t>
        </is>
      </c>
      <c r="CQ95" s="53" t="inlineStr">
        <is>
          <t>Manager - Services</t>
        </is>
      </c>
      <c r="CR95" s="53" t="n"/>
      <c r="CS95" s="53" t="n">
        <v>4</v>
      </c>
      <c r="CT95" s="53" t="inlineStr">
        <is>
          <t>High</t>
        </is>
      </c>
      <c r="CU95" s="53" t="inlineStr">
        <is>
          <t>Core Contributor</t>
        </is>
      </c>
      <c r="CV95" s="53" t="inlineStr">
        <is>
          <t>Yes</t>
        </is>
      </c>
      <c r="CW95" s="53" t="inlineStr">
        <is>
          <t>No</t>
        </is>
      </c>
      <c r="CX95" s="53" t="inlineStr">
        <is>
          <t>Yes</t>
        </is>
      </c>
      <c r="CY95" s="53" t="n"/>
      <c r="CZ95" s="53" t="n"/>
      <c r="DA95" s="53" t="n"/>
      <c r="DB95" s="53" t="inlineStr">
        <is>
          <t>Title to be Standardized to : Manager - Services</t>
        </is>
      </c>
      <c r="DC95" s="53" t="n"/>
      <c r="DD95" s="53" t="n"/>
      <c r="DE95" s="53" t="n"/>
      <c r="DF95" s="53" t="n"/>
      <c r="DG95" s="53" t="n"/>
      <c r="DH95" s="53" t="n"/>
      <c r="DI95" s="53" t="n"/>
      <c r="DJ95" s="53" t="n"/>
      <c r="DK95" s="53" t="n"/>
      <c r="DL95" s="53" t="n"/>
      <c r="DM95" s="53" t="n"/>
      <c r="DN95" s="53" t="n"/>
      <c r="DO95" s="53" t="n"/>
      <c r="DP95" s="53" t="n"/>
      <c r="DQ95" s="53" t="n"/>
      <c r="DR95" s="53" t="n"/>
      <c r="DS95" s="53" t="n"/>
      <c r="DT95" s="53" t="n"/>
      <c r="DU95" s="53" t="n"/>
      <c r="DV95" s="53" t="n"/>
      <c r="DW95" s="53" t="n"/>
      <c r="DX95" s="53" t="n"/>
      <c r="DY95" s="53" t="n"/>
      <c r="DZ95" s="53" t="n"/>
      <c r="EA95" s="53" t="n"/>
      <c r="EB95" s="53" t="n"/>
      <c r="EC95" s="53" t="n"/>
      <c r="ED95" s="53" t="n"/>
      <c r="EE95" s="53" t="n"/>
      <c r="EF95" s="53" t="n"/>
      <c r="EG95" s="53" t="n"/>
      <c r="EH95" s="53" t="n"/>
      <c r="EI95" s="53" t="n"/>
      <c r="EJ95" s="53" t="n"/>
      <c r="EK95" s="53" t="n"/>
      <c r="EL95" s="53" t="n"/>
      <c r="EM95" s="53" t="n"/>
      <c r="EN95" s="53" t="n"/>
      <c r="EO95" s="53" t="n"/>
      <c r="EP95" s="53" t="n"/>
      <c r="EQ95" s="53" t="n"/>
      <c r="ER95" s="53" t="n"/>
      <c r="ES95" s="53" t="n"/>
      <c r="ET95" s="53" t="n"/>
      <c r="EU95" s="53" t="n"/>
      <c r="EV95" s="53" t="n"/>
      <c r="EW95" s="52" t="n"/>
      <c r="EX95" s="53" t="inlineStr">
        <is>
          <t>• Role / sub-team: XBRL conversion team handling.</t>
        </is>
      </c>
      <c r="EY95" s="53" t="inlineStr">
        <is>
          <t>• Key responsibilities include: Testing, billing, Doubt solving, Tagging, Mapping, Client doubt solving, Report preparation, Allocation, Working as backup for team Lead and PMO.
• Reported deliverables and outcomes include: Billing and files are shared with the client; reports are shared with the manager.
• Additional duties outside usual job: Collate AI machine learning data , work as back up for anyone on leave, co-ordinating with external vendor.</t>
        </is>
      </c>
      <c r="EZ95" s="53" t="inlineStr">
        <is>
          <t>• Current capabilities: Patience; Communication; Team bonding; Work experience; Accounting knowledge; Tools / software used: HTML - Editor | Ifile, Iris Instant.</t>
        </is>
      </c>
      <c r="FA95" s="53" t="inlineStr">
        <is>
          <t>• Development priorities: 
• Learning and Development Need: Time management; Better planning of work; Co-ordination with team., Communication and Presentation, AI Prompting</t>
        </is>
      </c>
      <c r="FB95" s="53" t="inlineStr">
        <is>
          <t>• Key challenges: Waiting for information; Slow work machines; Tool issues; Client revert.
• Support required: No input received.</t>
        </is>
      </c>
      <c r="FC95" s="53" t="n"/>
      <c r="FD95" s="53" t="n"/>
      <c r="FE95" s="57" t="inlineStr">
        <is>
          <t>1.  Ensure files processed by team  with &gt;=99% accuracy · zero critical errors.
2. Meet 100% of regulatory / client filing deadlines · no SLA breaches
3. Reduce average filing turnaround time by 10-20% by this year.
4. Identify and develop future team leads.
5. Deliver zero escalations from key clients.
6. Launch AI-assisted formatting/tagging and review suggestion engine · Give Logic to Engineering Team and Test it whenever developed</t>
        </is>
      </c>
      <c r="FF95" s="56" t="n"/>
      <c r="FG95" s="56" t="n"/>
      <c r="FH95" s="56" t="n"/>
      <c r="FI95" s="56" t="n"/>
      <c r="FJ95" s="56" t="inlineStr">
        <is>
          <t>Received · manager annual</t>
        </is>
      </c>
      <c r="FK95" s="56" t="inlineStr">
        <is>
          <t>CARBON Mapping Master</t>
        </is>
      </c>
      <c r="FL95" s="56" t="n">
        <v>20</v>
      </c>
      <c r="FM95" s="56" t="inlineStr">
        <is>
          <t>• Role / sub-team: XBRL conversion team handling.</t>
        </is>
      </c>
      <c r="FN95" s="56" t="inlineStr">
        <is>
          <t>• Key responsibilities include: Testing, billing, Doubt solving, Tagging, Mapping, Client doubt solving, Report preparation, Allocation, Working as backup for team Lead and PMO.
• Reported deliverables and outcomes include: Billing and files are shared with the client; reports are shared with the manager.
• Additional duties outside usual job: Collate AI machine learning data , work as back up for anyone on leave, co-ordinating with external vendor.</t>
        </is>
      </c>
      <c r="FO95" s="56" t="inlineStr">
        <is>
          <t>• Current capabilities: Patience; Communication; Team bonding; Work experience; Accounting knowledge; Tools / software used: HTML - Editor | Ifile, Iris Instant.</t>
        </is>
      </c>
      <c r="FP95" s="56" t="inlineStr">
        <is>
          <t>• Development priorities: 
• Learning and Development Need: Time management; Better planning of work; Co-ordination with team., Communication and Presentation, AI Prompting</t>
        </is>
      </c>
      <c r="FQ95" s="56" t="inlineStr">
        <is>
          <t>• Key challenges: Waiting for information; Slow work machines; Tool issues; Client revert.
• Support required: No input received.</t>
        </is>
      </c>
      <c r="FR95" s="56" t="inlineStr">
        <is>
          <t>Complexity: Evidence reads like B1: XBRL conversion for South Africa, India, Malaysia; billing, reports, process/product suggestions, AI training data testing → matches the start
Autonomy: Evidence reads like B2: Decides invoicing and all work-related matters for the team; allocates work → matches the start
Accountability: Evidence reads like B1: Timely, quality delivery of a four-person team's regulator filings, invoices and monthly reports → moved down 1
Leadership: Evidence reads like B1: Four direct reports; allocates work and acts as backup for team members → moved down 1
Business Impact: Moved +0.5: the survey / manager mapping marks it business-critical.</t>
        </is>
      </c>
      <c r="FS95" s="56" t="inlineStr">
        <is>
          <t>Common themes in role-holders' answers: manage · carbon · quality · deadlines · maintaining · smooth
Common themes in role-holders' answers: delivery · allocation · testing · quality · management · product
Common themes in role-holders' answers: xbrl · reports · word · files · deliver · pdf
Common themes in role-holders' answers: am · personally accountable · quality · delivery · timelines · allocation
Common themes in role-holders' answers: corrective · take · day-to-day · issues · allocate · quality
If the work is missed · role-holders' themes: client · escalation · effort · lead.</t>
        </is>
      </c>
      <c r="FT95" s="56" t="inlineStr">
        <is>
          <t>Self-identified: AI / automation · Product &amp; tool knowledge · Communication &amp; presentation
For the next role: AI / automation · Product &amp; tool knowledge · Communication &amp; presentation</t>
        </is>
      </c>
      <c r="FU95" s="56" t="inlineStr">
        <is>
          <t>Per-person summary · CARBON Mapping Master</t>
        </is>
      </c>
    </row>
    <row r="96" ht="90" customHeight="1">
      <c r="A96" s="51" t="inlineStr">
        <is>
          <t>◂ Back</t>
        </is>
      </c>
      <c r="B96" s="29" t="inlineStr">
        <is>
          <t>Mapped</t>
        </is>
      </c>
      <c r="C96" s="28" t="inlineStr">
        <is>
          <t>CARBON</t>
        </is>
      </c>
      <c r="D96" s="29" t="inlineStr">
        <is>
          <t>IRIS2071</t>
        </is>
      </c>
      <c r="E96" s="29" t="inlineStr">
        <is>
          <t>Priyanka Mehra</t>
        </is>
      </c>
      <c r="F96" s="29" t="inlineStr">
        <is>
          <t>Services</t>
        </is>
      </c>
      <c r="G96" s="29" t="inlineStr">
        <is>
          <t>Project Manager Officer</t>
        </is>
      </c>
      <c r="H96" s="29" t="inlineStr">
        <is>
          <t>PMO Manager</t>
        </is>
      </c>
      <c r="I96" s="29" t="inlineStr">
        <is>
          <t>L5 – Manager</t>
        </is>
      </c>
      <c r="J96" s="29" t="inlineStr">
        <is>
          <t>B2</t>
        </is>
      </c>
      <c r="K96" s="29" t="inlineStr">
        <is>
          <t>• Same level</t>
        </is>
      </c>
      <c r="L96" s="29" t="inlineStr">
        <is>
          <t>Project &amp; Program Management</t>
        </is>
      </c>
      <c r="M96" s="29" t="inlineStr">
        <is>
          <t>PMO &amp; Delivery Excellence</t>
        </is>
      </c>
      <c r="N96" s="29" t="n"/>
      <c r="O96" s="29" t="n">
        <v>20</v>
      </c>
      <c r="P96" s="28" t="inlineStr">
        <is>
          <t>P4 / M3</t>
        </is>
      </c>
      <c r="Q96" s="29" t="inlineStr">
        <is>
          <t>Senior / Manager</t>
        </is>
      </c>
      <c r="R96" s="29" t="inlineStr">
        <is>
          <t>4–5</t>
        </is>
      </c>
      <c r="S96" s="29" t="inlineStr">
        <is>
          <t>6–9 yrs</t>
        </is>
      </c>
      <c r="T96" s="29" t="inlineStr">
        <is>
          <t>7–10 · 6–11</t>
        </is>
      </c>
      <c r="U96" s="29" t="inlineStr">
        <is>
          <t>Manager</t>
        </is>
      </c>
      <c r="V96" s="29" t="inlineStr">
        <is>
          <t>IRIS Vs Competitor Benchmark — PMI pathway + SaaS delivery ladder: Senior PM</t>
        </is>
      </c>
      <c r="W96" s="29" t="inlineStr">
        <is>
          <t>PMI PMBOK and Talent Triangle; CAPM · entry → PMP → PgMP; Scrum / SAFe</t>
        </is>
      </c>
      <c r="X96" s="29" t="inlineStr">
        <is>
          <t>Core 3 · Future 3 · Functional 4 · Leadership 3</t>
        </is>
      </c>
      <c r="Y96" s="52" t="n">
        <v>247</v>
      </c>
      <c r="Z96" s="53" t="inlineStr">
        <is>
          <t>IRIS2071</t>
        </is>
      </c>
      <c r="AA96" s="53" t="inlineStr">
        <is>
          <t>Employee</t>
        </is>
      </c>
      <c r="AB96" s="53" t="inlineStr">
        <is>
          <t>Active</t>
        </is>
      </c>
      <c r="AC96" s="53" t="inlineStr">
        <is>
          <t>Priyanka Mehra</t>
        </is>
      </c>
      <c r="AD96" s="54" t="n">
        <v>44851</v>
      </c>
      <c r="AE96" s="53" t="inlineStr">
        <is>
          <t>Project Manager Officer</t>
        </is>
      </c>
      <c r="AF96" s="53" t="inlineStr">
        <is>
          <t>B.Com</t>
        </is>
      </c>
      <c r="AG96" s="53" t="inlineStr">
        <is>
          <t>Mayur Zope</t>
        </is>
      </c>
      <c r="AH96" s="53" t="inlineStr">
        <is>
          <t>N-6</t>
        </is>
      </c>
      <c r="AI96" s="53" t="inlineStr">
        <is>
          <t>Manager</t>
        </is>
      </c>
      <c r="AJ96" s="53" t="inlineStr">
        <is>
          <t>13 years, 1 months, 0 days</t>
        </is>
      </c>
      <c r="AK96" s="53" t="inlineStr">
        <is>
          <t>3 years, 10 months, 8 days</t>
        </is>
      </c>
      <c r="AL96" s="53" t="inlineStr">
        <is>
          <t>Regtech</t>
        </is>
      </c>
      <c r="AM96" s="53" t="inlineStr">
        <is>
          <t>CARBON</t>
        </is>
      </c>
      <c r="AN96" s="53" t="inlineStr">
        <is>
          <t>Services</t>
        </is>
      </c>
      <c r="AO96" s="53" t="inlineStr">
        <is>
          <t>Expert Assisted services</t>
        </is>
      </c>
      <c r="AP96" s="53" t="inlineStr">
        <is>
          <t>No</t>
        </is>
      </c>
      <c r="AQ96" s="53" t="inlineStr">
        <is>
          <t>Professional Services</t>
        </is>
      </c>
      <c r="AR96" s="53" t="inlineStr">
        <is>
          <t>Project Management_Jr</t>
        </is>
      </c>
      <c r="AS96" s="53" t="inlineStr">
        <is>
          <t>Non-technical</t>
        </is>
      </c>
      <c r="AT96" s="53" t="n">
        <v>20</v>
      </c>
      <c r="AU96" s="53" t="inlineStr">
        <is>
          <t>Covered</t>
        </is>
      </c>
      <c r="AV96" s="53" t="inlineStr">
        <is>
          <t>IRIS2071</t>
        </is>
      </c>
      <c r="AW96" s="53" t="inlineStr">
        <is>
          <t>Priyanka Mehra</t>
        </is>
      </c>
      <c r="AX96" s="53" t="inlineStr">
        <is>
          <t>Services</t>
        </is>
      </c>
      <c r="AY96" s="53" t="inlineStr">
        <is>
          <t>Professional Services</t>
        </is>
      </c>
      <c r="AZ96" s="53" t="inlineStr">
        <is>
          <t>XBRL / Regulatory Reporting</t>
        </is>
      </c>
      <c r="BA96" s="53" t="n"/>
      <c r="BB96" s="53" t="n"/>
      <c r="BC96" s="53" t="inlineStr">
        <is>
          <t>Employee</t>
        </is>
      </c>
      <c r="BD96" s="53" t="inlineStr">
        <is>
          <t>Mayur Zope</t>
        </is>
      </c>
      <c r="BE96" s="53" t="inlineStr">
        <is>
          <t>Mayur Zope</t>
        </is>
      </c>
      <c r="BF96" s="53" t="inlineStr">
        <is>
          <t>No</t>
        </is>
      </c>
      <c r="BG96" s="53" t="inlineStr">
        <is>
          <t>Project Manager Officer</t>
        </is>
      </c>
      <c r="BH96" s="53" t="inlineStr">
        <is>
          <t>Manager Services</t>
        </is>
      </c>
      <c r="BI96" s="53" t="inlineStr">
        <is>
          <t>Yes</t>
        </is>
      </c>
      <c r="BJ96" s="53" t="n">
        <v>6</v>
      </c>
      <c r="BK96" s="53" t="n">
        <v>4</v>
      </c>
      <c r="BL96" s="53" t="n">
        <v>2</v>
      </c>
      <c r="BM96" s="53" t="inlineStr">
        <is>
          <t>Healthy</t>
        </is>
      </c>
      <c r="BN96" s="53" t="n">
        <v>6</v>
      </c>
      <c r="BO96" s="53" t="n">
        <v>4</v>
      </c>
      <c r="BP96" s="53" t="n">
        <v>2</v>
      </c>
      <c r="BQ96" s="53" t="inlineStr">
        <is>
          <t>Healthy</t>
        </is>
      </c>
      <c r="BR96" s="53" t="inlineStr">
        <is>
          <t>No</t>
        </is>
      </c>
      <c r="BS96" s="53" t="inlineStr">
        <is>
          <t>L5 – Manager</t>
        </is>
      </c>
      <c r="BT96" s="53" t="inlineStr">
        <is>
          <t>L5</t>
        </is>
      </c>
      <c r="BU96" s="53" t="inlineStr">
        <is>
          <t>Designation refined from Raw tab Comments column · this update</t>
        </is>
      </c>
      <c r="BV96" s="53" t="inlineStr">
        <is>
          <t>1. Ensure files processed by team with &gt;=99% accuracy · zero critical errors.
2. Meet 100% of regulatory / client filing deadlines · no SLA breaches
3. Maintain average turnaround per assignment within agreed TAT
4. Ensure 0% regulatory rejections across all submitted filings · Excluding issues not highlighted by our validator.
5. Deliver/Resolve client queries within agreed TAT with client.
6. Process monthly billing ASAP after month closure.</t>
        </is>
      </c>
      <c r="BW96" s="53" t="n"/>
      <c r="BX96" s="53" t="inlineStr">
        <is>
          <t>South Africa - CIPC, Malaysia.</t>
        </is>
      </c>
      <c r="BY96" s="53" t="n"/>
      <c r="BZ96" s="53" t="inlineStr">
        <is>
          <t>IRIS2071</t>
        </is>
      </c>
      <c r="CA96" s="53" t="inlineStr">
        <is>
          <t>Employee</t>
        </is>
      </c>
      <c r="CB96" s="53" t="inlineStr">
        <is>
          <t>Active</t>
        </is>
      </c>
      <c r="CC96" s="53" t="inlineStr">
        <is>
          <t>Priyanka Mehra</t>
        </is>
      </c>
      <c r="CD96" s="54" t="n">
        <v>44851</v>
      </c>
      <c r="CE96" s="53" t="inlineStr">
        <is>
          <t>Project Manager Officer</t>
        </is>
      </c>
      <c r="CF96" s="53" t="n"/>
      <c r="CG96" s="53" t="inlineStr">
        <is>
          <t>Professional Services</t>
        </is>
      </c>
      <c r="CH96" s="53" t="inlineStr">
        <is>
          <t>XBRL / Regulatory Reporting</t>
        </is>
      </c>
      <c r="CI96" s="53" t="inlineStr">
        <is>
          <t>Manager Services</t>
        </is>
      </c>
      <c r="CJ96" s="53" t="inlineStr">
        <is>
          <t>L5 – Manager</t>
        </is>
      </c>
      <c r="CK96" s="53" t="inlineStr">
        <is>
          <t>Mayur Zope</t>
        </is>
      </c>
      <c r="CL96" s="53" t="inlineStr">
        <is>
          <t>N-6</t>
        </is>
      </c>
      <c r="CM96" s="53" t="inlineStr">
        <is>
          <t>Manager</t>
        </is>
      </c>
      <c r="CN96" s="53" t="inlineStr">
        <is>
          <t>Regtech</t>
        </is>
      </c>
      <c r="CO96" s="53" t="inlineStr">
        <is>
          <t>Services</t>
        </is>
      </c>
      <c r="CP96" s="53" t="inlineStr">
        <is>
          <t>16 years, 9 months, 3 days</t>
        </is>
      </c>
      <c r="CQ96" s="53" t="inlineStr">
        <is>
          <t>Manager - Services</t>
        </is>
      </c>
      <c r="CR96" s="53" t="n"/>
      <c r="CS96" s="53" t="n">
        <v>4</v>
      </c>
      <c r="CT96" s="53" t="inlineStr">
        <is>
          <t>High</t>
        </is>
      </c>
      <c r="CU96" s="53" t="inlineStr">
        <is>
          <t>Core Contributor</t>
        </is>
      </c>
      <c r="CV96" s="53" t="inlineStr">
        <is>
          <t>No</t>
        </is>
      </c>
      <c r="CW96" s="53" t="inlineStr">
        <is>
          <t>No</t>
        </is>
      </c>
      <c r="CX96" s="53" t="inlineStr">
        <is>
          <t>Yes</t>
        </is>
      </c>
      <c r="CY96" s="53" t="n"/>
      <c r="CZ96" s="53" t="n"/>
      <c r="DA96" s="53" t="n"/>
      <c r="DB96" s="53" t="inlineStr">
        <is>
          <t>Title to be changed to Manager Services</t>
        </is>
      </c>
      <c r="DC96" s="53" t="n"/>
      <c r="DD96" s="53" t="n"/>
      <c r="DE96" s="53" t="n"/>
      <c r="DF96" s="53" t="n"/>
      <c r="DG96" s="53" t="n"/>
      <c r="DH96" s="53" t="n"/>
      <c r="DI96" s="53" t="n"/>
      <c r="DJ96" s="53" t="n"/>
      <c r="DK96" s="53" t="n"/>
      <c r="DL96" s="53" t="n"/>
      <c r="DM96" s="53" t="n"/>
      <c r="DN96" s="53" t="n"/>
      <c r="DO96" s="53" t="n"/>
      <c r="DP96" s="53" t="n"/>
      <c r="DQ96" s="53" t="n"/>
      <c r="DR96" s="53" t="n"/>
      <c r="DS96" s="53" t="n"/>
      <c r="DT96" s="53" t="n"/>
      <c r="DU96" s="53" t="n"/>
      <c r="DV96" s="53" t="n"/>
      <c r="DW96" s="53" t="n"/>
      <c r="DX96" s="53" t="n"/>
      <c r="DY96" s="53" t="n"/>
      <c r="DZ96" s="53" t="n"/>
      <c r="EA96" s="53" t="n"/>
      <c r="EB96" s="53" t="n"/>
      <c r="EC96" s="53" t="n"/>
      <c r="ED96" s="53" t="n"/>
      <c r="EE96" s="53" t="n"/>
      <c r="EF96" s="53" t="n"/>
      <c r="EG96" s="53" t="n"/>
      <c r="EH96" s="53" t="n"/>
      <c r="EI96" s="53" t="n"/>
      <c r="EJ96" s="53" t="n"/>
      <c r="EK96" s="53" t="n"/>
      <c r="EL96" s="53" t="n"/>
      <c r="EM96" s="53" t="n"/>
      <c r="EN96" s="53" t="n"/>
      <c r="EO96" s="53" t="n"/>
      <c r="EP96" s="53" t="n"/>
      <c r="EQ96" s="53" t="n"/>
      <c r="ER96" s="53" t="n"/>
      <c r="ES96" s="53" t="n"/>
      <c r="ET96" s="53" t="n"/>
      <c r="EU96" s="53" t="n"/>
      <c r="EV96" s="53" t="n"/>
      <c r="EW96" s="52" t="n"/>
      <c r="EX96" s="53" t="inlineStr">
        <is>
          <t>• Role / sub-team: PMO.</t>
        </is>
      </c>
      <c r="EY96" s="53" t="inlineStr">
        <is>
          <t>• Key responsibilities include: Mailing to client, allocations of files, query reverts, upload and download of files, team meeting about work, etc.
• Reported deliverables and outcomes include: No handover for CIPC; for MBRS, work is handed over to a coworker.
• Additional duties outside usual job: Handles support mails on behalf of the team when needed.</t>
        </is>
      </c>
      <c r="EZ96" s="53" t="inlineStr">
        <is>
          <t>• Current capabilities: Bound with team members.</t>
        </is>
      </c>
      <c r="FA96" s="53" t="inlineStr">
        <is>
          <t>• Development priorities: No input received.
• Learning and Development Need: Client communication.</t>
        </is>
      </c>
      <c r="FB96" s="53" t="inlineStr">
        <is>
          <t>• Key challenges: No input received.
• Support required: No input received.</t>
        </is>
      </c>
      <c r="FC96" s="53" t="n"/>
      <c r="FD96" s="53" t="n"/>
      <c r="FE96" s="57" t="inlineStr">
        <is>
          <t>1.  Ensure files processed by team  with &gt;=99% accuracy · zero critical errors.
2. Meet 100% of regulatory / client filing deadlines · no SLA breaches
3. Maintain average turnaround per assignment within agreed TAT
4. Ensure 0% regulatory rejections across all submitted filings · Excluding issues not highlighted by our validator.
5. Deliver/Resolve client queries within agreed TAT with client.
6. Process monthly billing ASAP after month closure.</t>
        </is>
      </c>
      <c r="FF96" s="56" t="n"/>
      <c r="FG96" s="56" t="n"/>
      <c r="FH96" s="56" t="n"/>
      <c r="FI96" s="56" t="n"/>
      <c r="FJ96" s="56" t="inlineStr">
        <is>
          <t>Received · manager annual</t>
        </is>
      </c>
      <c r="FK96" s="56" t="inlineStr">
        <is>
          <t>CARBON Mapping Master</t>
        </is>
      </c>
      <c r="FL96" s="56" t="n">
        <v>20</v>
      </c>
      <c r="FM96" s="56" t="inlineStr">
        <is>
          <t>• Role / sub-team: PMO.</t>
        </is>
      </c>
      <c r="FN96" s="56" t="inlineStr">
        <is>
          <t>• Key responsibilities include: Mailing to client, allocations of files, query reverts, upload and download of files, team meeting about work, etc.
• Reported deliverables and outcomes include: No handover for CIPC; for MBRS, work is handed over to a coworker.
• Additional duties outside usual job: Handles support mails on behalf of the team when needed.</t>
        </is>
      </c>
      <c r="FO96" s="56" t="inlineStr">
        <is>
          <t>• Current capabilities: Bound with team members.</t>
        </is>
      </c>
      <c r="FP96" s="56" t="inlineStr">
        <is>
          <t>• Development priorities: No input received.
• Learning and Development Need: Client communication.</t>
        </is>
      </c>
      <c r="FQ96" s="56" t="inlineStr">
        <is>
          <t>• Key challenges: No input received.
• Support required: No input received.</t>
        </is>
      </c>
      <c r="FR96" s="56" t="inlineStr">
        <is>
          <t>Complexity: Evidence reads like A3: own survey / KRA answers · summarised by the rater; not quoted → moved down 0.5
Autonomy: Evidence reads like A2: Updates working-level process documents and follows up with clients; escalates bigger issues → moved down 0.5
Accountability: Evidence reads like A3: Accuracy of process documentation and client data; client mailing and file flow → moved down 0.5
Leadership: Evidence reads like A2: Seven reports in HR, but text only mentions understanding team problems and resolving queries → moved down 0.5
Business Impact: Moved +0.5: the survey / manager mapping marks it business-critical.</t>
        </is>
      </c>
      <c r="FS96" s="56" t="n"/>
      <c r="FT96" s="56" t="inlineStr">
        <is>
          <t>Self-identified: AI / automation · Project / programme management · Data, SQL &amp; analytics · Product &amp; tool knowledge · Strategy &amp; business acumen · Broader exposure &amp; ownership
For the next role: AI / automation · Project / programme management · Data, SQL &amp; analytics · Product &amp; tool knowledge · Strategy &amp; business acumen · Broader exposure &amp; ownership</t>
        </is>
      </c>
      <c r="FU96" s="56" t="inlineStr">
        <is>
          <t>Per-person summary · CARBON Mapping Master</t>
        </is>
      </c>
    </row>
    <row r="97" ht="90" customHeight="1">
      <c r="A97" s="51" t="inlineStr">
        <is>
          <t>◂ Back</t>
        </is>
      </c>
      <c r="B97" s="29" t="inlineStr">
        <is>
          <t>Mapped</t>
        </is>
      </c>
      <c r="C97" s="28" t="inlineStr">
        <is>
          <t>CARBON</t>
        </is>
      </c>
      <c r="D97" s="29" t="inlineStr">
        <is>
          <t>IRIS0143</t>
        </is>
      </c>
      <c r="E97" s="29" t="inlineStr">
        <is>
          <t>Ajinkya Dhumal</t>
        </is>
      </c>
      <c r="F97" s="29" t="inlineStr">
        <is>
          <t>Services</t>
        </is>
      </c>
      <c r="G97" s="29" t="inlineStr">
        <is>
          <t>Senior Financial Analyst</t>
        </is>
      </c>
      <c r="H97" s="29" t="inlineStr">
        <is>
          <t>Senior Financial Analyst</t>
        </is>
      </c>
      <c r="I97" s="29" t="inlineStr">
        <is>
          <t>L4 – Senior</t>
        </is>
      </c>
      <c r="J97" s="29" t="inlineStr">
        <is>
          <t>A3</t>
        </is>
      </c>
      <c r="K97" s="29" t="inlineStr">
        <is>
          <t>• Same level</t>
        </is>
      </c>
      <c r="L97" s="29" t="inlineStr">
        <is>
          <t>Consulting &amp; Professional Services</t>
        </is>
      </c>
      <c r="M97" s="29" t="inlineStr">
        <is>
          <t>XBRL Tagging, Conversion &amp; Filing</t>
        </is>
      </c>
      <c r="N97" s="29" t="n"/>
      <c r="O97" s="29" t="n">
        <v>20</v>
      </c>
      <c r="P97" s="28" t="inlineStr">
        <is>
          <t>P2</t>
        </is>
      </c>
      <c r="Q97" s="29" t="inlineStr">
        <is>
          <t>Developing</t>
        </is>
      </c>
      <c r="R97" s="29" t="inlineStr">
        <is>
          <t>3 Apply</t>
        </is>
      </c>
      <c r="S97" s="29" t="inlineStr">
        <is>
          <t>2–4 yrs</t>
        </is>
      </c>
      <c r="T97" s="29" t="inlineStr">
        <is>
          <t>3–5 · 2–5</t>
        </is>
      </c>
      <c r="U97" s="29" t="inlineStr">
        <is>
          <t>Senior Analyst / Associate</t>
        </is>
      </c>
      <c r="V97" s="29" t="inlineStr">
        <is>
          <t>DataTracks: Senior Associate · 2–5 yrs · Big Four: Consultant · IRIS Vs Market Benchmark — XBRL US credential pathway: XBRL US GAAP Certificate</t>
        </is>
      </c>
      <c r="W97" s="29" t="inlineStr">
        <is>
          <t>XBRL US GAAP Certificate · AICPA &amp; XBRL US; XBRL International specifications; IFRS / US GAAP / Ind AS</t>
        </is>
      </c>
      <c r="X97" s="29" t="inlineStr">
        <is>
          <t>Core 2 · Future 2 · Functional 3 · Leadership not scored</t>
        </is>
      </c>
      <c r="Y97" s="52" t="n">
        <v>31</v>
      </c>
      <c r="Z97" s="53" t="inlineStr">
        <is>
          <t>IRIS0143</t>
        </is>
      </c>
      <c r="AA97" s="53" t="inlineStr">
        <is>
          <t>Employee</t>
        </is>
      </c>
      <c r="AB97" s="53" t="inlineStr">
        <is>
          <t>Active</t>
        </is>
      </c>
      <c r="AC97" s="53" t="inlineStr">
        <is>
          <t>Ajinkya Dhumal</t>
        </is>
      </c>
      <c r="AD97" s="54" t="n">
        <v>39413</v>
      </c>
      <c r="AE97" s="53" t="inlineStr">
        <is>
          <t>Senior Financial Analyst</t>
        </is>
      </c>
      <c r="AF97" s="53" t="inlineStr">
        <is>
          <t>B.Com</t>
        </is>
      </c>
      <c r="AG97" s="53" t="inlineStr">
        <is>
          <t>Priyanka Mehra</t>
        </is>
      </c>
      <c r="AH97" s="53" t="inlineStr">
        <is>
          <t>N-7</t>
        </is>
      </c>
      <c r="AI97" s="53" t="inlineStr">
        <is>
          <t>Individual Contributor</t>
        </is>
      </c>
      <c r="AJ97" s="53" t="inlineStr">
        <is>
          <t>0 years, 0 months, 0 days</t>
        </is>
      </c>
      <c r="AK97" s="53" t="inlineStr">
        <is>
          <t>18 years, 8 months, 29 days</t>
        </is>
      </c>
      <c r="AL97" s="53" t="inlineStr">
        <is>
          <t>Regtech</t>
        </is>
      </c>
      <c r="AM97" s="53" t="inlineStr">
        <is>
          <t>CARBON</t>
        </is>
      </c>
      <c r="AN97" s="53" t="inlineStr">
        <is>
          <t>Services</t>
        </is>
      </c>
      <c r="AO97" s="53" t="inlineStr">
        <is>
          <t>Expert Assisted services</t>
        </is>
      </c>
      <c r="AP97" s="53" t="inlineStr">
        <is>
          <t>No</t>
        </is>
      </c>
      <c r="AQ97" s="53" t="inlineStr">
        <is>
          <t>Professional Services</t>
        </is>
      </c>
      <c r="AR97" s="53" t="inlineStr">
        <is>
          <t>XBRL Domain</t>
        </is>
      </c>
      <c r="AS97" s="53" t="inlineStr">
        <is>
          <t>Non-technical</t>
        </is>
      </c>
      <c r="AT97" s="53" t="n">
        <v>20</v>
      </c>
      <c r="AU97" s="53" t="inlineStr">
        <is>
          <t>Covered</t>
        </is>
      </c>
      <c r="AV97" s="53" t="inlineStr">
        <is>
          <t>IRIS0143</t>
        </is>
      </c>
      <c r="AW97" s="53" t="inlineStr">
        <is>
          <t>Ajinkya Dhumal</t>
        </is>
      </c>
      <c r="AX97" s="53" t="inlineStr">
        <is>
          <t>Services</t>
        </is>
      </c>
      <c r="AY97" s="53" t="inlineStr">
        <is>
          <t>Professional Services</t>
        </is>
      </c>
      <c r="AZ97" s="53" t="inlineStr">
        <is>
          <t>XBRL / Regulatory Reporting</t>
        </is>
      </c>
      <c r="BA97" s="53" t="n"/>
      <c r="BB97" s="53" t="n"/>
      <c r="BC97" s="53" t="inlineStr">
        <is>
          <t>Employee</t>
        </is>
      </c>
      <c r="BD97" s="53" t="inlineStr">
        <is>
          <t>Priyanka Mehra</t>
        </is>
      </c>
      <c r="BE97" s="53" t="inlineStr">
        <is>
          <t>Priyanka Mehra</t>
        </is>
      </c>
      <c r="BF97" s="53" t="inlineStr">
        <is>
          <t>No</t>
        </is>
      </c>
      <c r="BG97" s="53" t="inlineStr">
        <is>
          <t>Senior Financial Analyst</t>
        </is>
      </c>
      <c r="BH97" s="53" t="inlineStr">
        <is>
          <t>Senior Services Specialist</t>
        </is>
      </c>
      <c r="BI97" s="53" t="inlineStr">
        <is>
          <t>Yes</t>
        </is>
      </c>
      <c r="BJ97" s="53" t="inlineStr">
        <is>
          <t>—</t>
        </is>
      </c>
      <c r="BK97" s="53" t="inlineStr">
        <is>
          <t>—</t>
        </is>
      </c>
      <c r="BL97" s="53" t="inlineStr">
        <is>
          <t>—</t>
        </is>
      </c>
      <c r="BM97" s="53" t="inlineStr">
        <is>
          <t>Not a manager</t>
        </is>
      </c>
      <c r="BN97" s="53" t="inlineStr">
        <is>
          <t>—</t>
        </is>
      </c>
      <c r="BO97" s="53" t="inlineStr">
        <is>
          <t>—</t>
        </is>
      </c>
      <c r="BP97" s="53" t="inlineStr">
        <is>
          <t>—</t>
        </is>
      </c>
      <c r="BQ97" s="53" t="inlineStr">
        <is>
          <t>Not a manager</t>
        </is>
      </c>
      <c r="BR97" s="53" t="inlineStr">
        <is>
          <t>—</t>
        </is>
      </c>
      <c r="BS97" s="53" t="inlineStr">
        <is>
          <t>L4 – Senior</t>
        </is>
      </c>
      <c r="BT97" s="53" t="inlineStr">
        <is>
          <t>L4 – Senior</t>
        </is>
      </c>
      <c r="BU97" s="53" t="inlineStr">
        <is>
          <t>Designation refined from Raw tab Comments column · this update</t>
        </is>
      </c>
      <c r="BV97"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W97" s="53" t="n"/>
      <c r="BX97" s="53" t="inlineStr">
        <is>
          <t>South Africa - CIPC.</t>
        </is>
      </c>
      <c r="BY97" s="53" t="n"/>
      <c r="BZ97" s="53" t="inlineStr">
        <is>
          <t>IRIS0143</t>
        </is>
      </c>
      <c r="CA97" s="53" t="inlineStr">
        <is>
          <t>Employee</t>
        </is>
      </c>
      <c r="CB97" s="53" t="inlineStr">
        <is>
          <t>Active</t>
        </is>
      </c>
      <c r="CC97" s="53" t="inlineStr">
        <is>
          <t>Ajinkya Dhumal</t>
        </is>
      </c>
      <c r="CD97" s="54" t="n">
        <v>39413</v>
      </c>
      <c r="CE97" s="53" t="inlineStr">
        <is>
          <t>Senior Financial Analyst</t>
        </is>
      </c>
      <c r="CF97" s="53" t="n"/>
      <c r="CG97" s="53" t="inlineStr">
        <is>
          <t>Professional Services</t>
        </is>
      </c>
      <c r="CH97" s="53" t="inlineStr">
        <is>
          <t>XBRL / Regulatory Reporting</t>
        </is>
      </c>
      <c r="CI97" s="53" t="inlineStr">
        <is>
          <t>Senior Financial Analyst</t>
        </is>
      </c>
      <c r="CJ97" s="53" t="inlineStr">
        <is>
          <t>L4 – Senior</t>
        </is>
      </c>
      <c r="CK97" s="53" t="inlineStr">
        <is>
          <t>Priyanka Mehra</t>
        </is>
      </c>
      <c r="CL97" s="53" t="inlineStr">
        <is>
          <t>N-7</t>
        </is>
      </c>
      <c r="CM97" s="53" t="inlineStr">
        <is>
          <t>Individual Contributor</t>
        </is>
      </c>
      <c r="CN97" s="53" t="inlineStr">
        <is>
          <t>Regtech</t>
        </is>
      </c>
      <c r="CO97" s="53" t="inlineStr">
        <is>
          <t>Services</t>
        </is>
      </c>
      <c r="CP97" s="53" t="inlineStr">
        <is>
          <t>18 years, 6 months, 24 days</t>
        </is>
      </c>
      <c r="CQ97" s="53" t="inlineStr">
        <is>
          <t>Senior Services Specialst</t>
        </is>
      </c>
      <c r="CR97" s="53" t="n"/>
      <c r="CS97" s="53" t="n">
        <v>4</v>
      </c>
      <c r="CT97" s="53" t="inlineStr">
        <is>
          <t>High</t>
        </is>
      </c>
      <c r="CU97" s="53" t="inlineStr">
        <is>
          <t>Core Contributor</t>
        </is>
      </c>
      <c r="CV97" s="53" t="inlineStr">
        <is>
          <t>Yes</t>
        </is>
      </c>
      <c r="CW97" s="53" t="inlineStr">
        <is>
          <t>No</t>
        </is>
      </c>
      <c r="CX97" s="53" t="inlineStr">
        <is>
          <t>Yes</t>
        </is>
      </c>
      <c r="CY97" s="53" t="n"/>
      <c r="CZ97" s="53" t="n"/>
      <c r="DA97" s="53" t="n"/>
      <c r="DB97" s="53" t="inlineStr">
        <is>
          <t>Title to be standardized to: Senior Services Specialist</t>
        </is>
      </c>
      <c r="DC97" s="53" t="n"/>
      <c r="DD97" s="53" t="n"/>
      <c r="DE97" s="53" t="n"/>
      <c r="DF97" s="53" t="n"/>
      <c r="DG97" s="53" t="n"/>
      <c r="DH97" s="53" t="n"/>
      <c r="DI97" s="53" t="n"/>
      <c r="DJ97" s="53" t="n"/>
      <c r="DK97" s="53" t="n"/>
      <c r="DL97" s="53" t="n"/>
      <c r="DM97" s="53" t="n"/>
      <c r="DN97" s="53" t="n"/>
      <c r="DO97" s="53" t="n"/>
      <c r="DP97" s="53" t="n"/>
      <c r="DQ97" s="53" t="n"/>
      <c r="DR97" s="53" t="n"/>
      <c r="DS97" s="53" t="n"/>
      <c r="DT97" s="53" t="n"/>
      <c r="DU97" s="53" t="n"/>
      <c r="DV97" s="53" t="n"/>
      <c r="DW97" s="53" t="n"/>
      <c r="DX97" s="53" t="n"/>
      <c r="DY97" s="53" t="n"/>
      <c r="DZ97" s="53" t="n"/>
      <c r="EA97" s="53" t="n"/>
      <c r="EB97" s="53" t="n"/>
      <c r="EC97" s="53" t="n"/>
      <c r="ED97" s="53" t="n"/>
      <c r="EE97" s="53" t="n"/>
      <c r="EF97" s="53" t="n"/>
      <c r="EG97" s="53" t="n"/>
      <c r="EH97" s="53" t="n"/>
      <c r="EI97" s="53" t="n"/>
      <c r="EJ97" s="53" t="n"/>
      <c r="EK97" s="53" t="n"/>
      <c r="EL97" s="53" t="n"/>
      <c r="EM97" s="53" t="n"/>
      <c r="EN97" s="53" t="n"/>
      <c r="EO97" s="53" t="n"/>
      <c r="EP97" s="53" t="n"/>
      <c r="EQ97" s="53" t="n"/>
      <c r="ER97" s="53" t="n"/>
      <c r="ES97" s="53" t="n"/>
      <c r="ET97" s="53" t="n"/>
      <c r="EU97" s="53" t="n"/>
      <c r="EV97" s="53" t="n"/>
      <c r="EW97" s="52" t="n"/>
      <c r="EX97" s="53" t="inlineStr">
        <is>
          <t>• Role / sub-team: Cipc · carbon service department.</t>
        </is>
      </c>
      <c r="EY97" s="53" t="inlineStr">
        <is>
          <t>• Key responsibilities include: Cipc tagging, QC, training, doubt solving of tagging query and client queries when it is raised.
• Reported deliverables and outcomes include: Mail the final file to carbon SA PMO.</t>
        </is>
      </c>
      <c r="EZ97" s="53" t="inlineStr">
        <is>
          <t>• Current capabilities: Communication skill; Tools / software used: HTML - Editor.</t>
        </is>
      </c>
      <c r="FA97" s="53" t="inlineStr">
        <is>
          <t>• Development priorities: No input received.
• Learning and Development Need: Time management.</t>
        </is>
      </c>
      <c r="FB97" s="53" t="inlineStr">
        <is>
          <t>• Key challenges: No input received.
• Support required: No input received.</t>
        </is>
      </c>
      <c r="FC97" s="53" t="n"/>
      <c r="FD97" s="53" t="n"/>
      <c r="FE97"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FF97" s="56" t="n"/>
      <c r="FG97" s="56" t="n"/>
      <c r="FH97" s="56" t="n"/>
      <c r="FI97" s="56" t="n"/>
      <c r="FJ97" s="56" t="inlineStr">
        <is>
          <t>Received · manager annual</t>
        </is>
      </c>
      <c r="FK97" s="56" t="inlineStr">
        <is>
          <t>CARBON Mapping Master</t>
        </is>
      </c>
      <c r="FL97" s="56" t="n">
        <v>20</v>
      </c>
      <c r="FM97" s="56" t="inlineStr">
        <is>
          <t>• Role / sub-team: Cipc · carbon service department.</t>
        </is>
      </c>
      <c r="FN97" s="56" t="inlineStr">
        <is>
          <t>• Key responsibilities include: Cipc tagging, QC, training, doubt solving of tagging query and client queries when it is raised.
• Reported deliverables and outcomes include: Mail the final file to carbon SA PMO.</t>
        </is>
      </c>
      <c r="FO97" s="56" t="inlineStr">
        <is>
          <t>• Current capabilities: Communication skill; Tools / software used: HTML - Editor.</t>
        </is>
      </c>
      <c r="FP97" s="56" t="inlineStr">
        <is>
          <t>• Development priorities: No input received.
• Learning and Development Need: Time management.</t>
        </is>
      </c>
      <c r="FQ97" s="56" t="inlineStr">
        <is>
          <t>• Key challenges: No input received.
• Support required: No input received.</t>
        </is>
      </c>
      <c r="FR97" s="56" t="inlineStr">
        <is>
          <t>Complexity: Evidence reads like A3: CIPC iXBRL tagging, quality checking, validation-error investigation and doubt solving → matches the start
Autonomy: Evidence reads like A2: Selects tags from the taxonomy, investigates common validation errors, prioritises assigned work → moved down 0.5
Accountability: Evidence reads like A2: Accuracy and completeness of own tagging; final file mailed to SA PMO → moved down 0.5
Leadership: Evidence reads like A2: Manager note lists training and solving tagging doubts; survey gives no detail → matches the start
Business Impact: Moved +0.5: the survey / manager mapping marks it business-critical.</t>
        </is>
      </c>
      <c r="FS97" s="56"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FT97" s="56" t="inlineStr">
        <is>
          <t>Self-identified: Domain, regulatory &amp; XBRL
For the next role: AI / automation · Leadership &amp; people management · Testing &amp; quality · Data, SQL &amp; analytics · Domain, regulatory &amp; XBRL · Product &amp; tool knowledge · Broader exposure &amp; ownership</t>
        </is>
      </c>
      <c r="FU97" s="56" t="inlineStr">
        <is>
          <t>Per-person summary · CARBON Mapping Master</t>
        </is>
      </c>
    </row>
    <row r="98" ht="90" customHeight="1">
      <c r="A98" s="51" t="inlineStr">
        <is>
          <t>◂ Back</t>
        </is>
      </c>
      <c r="B98" s="29" t="inlineStr">
        <is>
          <t>Mapped</t>
        </is>
      </c>
      <c r="C98" s="28" t="inlineStr">
        <is>
          <t>CARBON</t>
        </is>
      </c>
      <c r="D98" s="29" t="inlineStr">
        <is>
          <t>IRIS2230</t>
        </is>
      </c>
      <c r="E98" s="29" t="inlineStr">
        <is>
          <t>Palak Verma</t>
        </is>
      </c>
      <c r="F98" s="29" t="inlineStr">
        <is>
          <t>Services</t>
        </is>
      </c>
      <c r="G98" s="29" t="inlineStr">
        <is>
          <t>Financial Analyst</t>
        </is>
      </c>
      <c r="H98" s="29" t="inlineStr">
        <is>
          <t>Senior Financial Analyst</t>
        </is>
      </c>
      <c r="I98" s="29" t="inlineStr">
        <is>
          <t>L3 – Professional / Associate</t>
        </is>
      </c>
      <c r="J98" s="29" t="inlineStr">
        <is>
          <t>A3</t>
        </is>
      </c>
      <c r="K98" s="29" t="inlineStr">
        <is>
          <t>▲ Up</t>
        </is>
      </c>
      <c r="L98" s="29" t="inlineStr">
        <is>
          <t>Consulting &amp; Professional Services</t>
        </is>
      </c>
      <c r="M98" s="29" t="inlineStr">
        <is>
          <t>XBRL Tagging, Conversion &amp; Filing</t>
        </is>
      </c>
      <c r="N98" s="29" t="n"/>
      <c r="O98" s="29" t="n">
        <v>0</v>
      </c>
      <c r="P98" s="28" t="inlineStr">
        <is>
          <t>P2</t>
        </is>
      </c>
      <c r="Q98" s="29" t="inlineStr">
        <is>
          <t>Developing</t>
        </is>
      </c>
      <c r="R98" s="29" t="inlineStr">
        <is>
          <t>3 Apply</t>
        </is>
      </c>
      <c r="S98" s="29" t="inlineStr">
        <is>
          <t>2–4 yrs</t>
        </is>
      </c>
      <c r="T98" s="29" t="inlineStr">
        <is>
          <t>3–5 · 2–5</t>
        </is>
      </c>
      <c r="U98" s="29" t="inlineStr">
        <is>
          <t>Senior Analyst / Associate</t>
        </is>
      </c>
      <c r="V98" s="29" t="inlineStr">
        <is>
          <t>DataTracks: Senior Associate · 2–5 yrs · Big Four: Consultant · IRIS Vs Market Benchmark — XBRL US credential pathway: XBRL US GAAP Certificate</t>
        </is>
      </c>
      <c r="W98" s="29" t="inlineStr">
        <is>
          <t>XBRL US GAAP Certificate · AICPA &amp; XBRL US; XBRL International specifications; IFRS / US GAAP / Ind AS</t>
        </is>
      </c>
      <c r="X98" s="29" t="inlineStr">
        <is>
          <t>Core 2 · Future 2 · Functional 3 · Leadership not scored</t>
        </is>
      </c>
      <c r="Y98" s="52" t="n">
        <v>310</v>
      </c>
      <c r="Z98" s="53" t="inlineStr">
        <is>
          <t>IRIS2230</t>
        </is>
      </c>
      <c r="AA98" s="53" t="inlineStr">
        <is>
          <t>Employee</t>
        </is>
      </c>
      <c r="AB98" s="53" t="inlineStr">
        <is>
          <t>Active</t>
        </is>
      </c>
      <c r="AC98" s="53" t="inlineStr">
        <is>
          <t>Palak Verma</t>
        </is>
      </c>
      <c r="AD98" s="54" t="n">
        <v>45362</v>
      </c>
      <c r="AE98" s="53" t="inlineStr">
        <is>
          <t>Financial Analyst</t>
        </is>
      </c>
      <c r="AF98" s="53" t="inlineStr">
        <is>
          <t>B.Com</t>
        </is>
      </c>
      <c r="AG98" s="53" t="inlineStr">
        <is>
          <t>Priyanka Mehra</t>
        </is>
      </c>
      <c r="AH98" s="53" t="inlineStr">
        <is>
          <t>N-7</t>
        </is>
      </c>
      <c r="AI98" s="53" t="inlineStr">
        <is>
          <t>Individual Contributor</t>
        </is>
      </c>
      <c r="AJ98" s="53" t="inlineStr">
        <is>
          <t>3 years, 0 months, 0 days</t>
        </is>
      </c>
      <c r="AK98" s="53" t="inlineStr">
        <is>
          <t>2 years, 5 months, 14 days</t>
        </is>
      </c>
      <c r="AL98" s="53" t="inlineStr">
        <is>
          <t>Regtech</t>
        </is>
      </c>
      <c r="AM98" s="53" t="inlineStr">
        <is>
          <t>CARBON</t>
        </is>
      </c>
      <c r="AN98" s="53" t="inlineStr">
        <is>
          <t>Services</t>
        </is>
      </c>
      <c r="AO98" s="53" t="inlineStr">
        <is>
          <t>Expert Assisted services</t>
        </is>
      </c>
      <c r="AP98" s="53" t="inlineStr">
        <is>
          <t>No</t>
        </is>
      </c>
      <c r="AQ98" s="53" t="inlineStr">
        <is>
          <t>Professional Services</t>
        </is>
      </c>
      <c r="AR98" s="53" t="inlineStr">
        <is>
          <t>XBRL Domain</t>
        </is>
      </c>
      <c r="AS98" s="53" t="inlineStr">
        <is>
          <t>Non-technical</t>
        </is>
      </c>
      <c r="AT98" s="53" t="n">
        <v>0</v>
      </c>
      <c r="AU98" s="53" t="inlineStr">
        <is>
          <t>E-Maternity</t>
        </is>
      </c>
      <c r="AV98" s="53" t="inlineStr">
        <is>
          <t>IRIS2230</t>
        </is>
      </c>
      <c r="AW98" s="53" t="inlineStr">
        <is>
          <t>Palak Verma</t>
        </is>
      </c>
      <c r="AX98" s="53" t="inlineStr">
        <is>
          <t>Services</t>
        </is>
      </c>
      <c r="AY98" s="53" t="inlineStr">
        <is>
          <t>Professional Services</t>
        </is>
      </c>
      <c r="AZ98" s="53" t="inlineStr">
        <is>
          <t>XBRL / Regulatory Reporting</t>
        </is>
      </c>
      <c r="BA98" s="53" t="n"/>
      <c r="BB98" s="53" t="n"/>
      <c r="BC98" s="53" t="inlineStr">
        <is>
          <t>Employee</t>
        </is>
      </c>
      <c r="BD98" s="53" t="inlineStr">
        <is>
          <t>Mohammed Dholkawala</t>
        </is>
      </c>
      <c r="BE98" s="53" t="inlineStr">
        <is>
          <t>Mohammed Dholkawala</t>
        </is>
      </c>
      <c r="BF98" s="53" t="inlineStr">
        <is>
          <t>No</t>
        </is>
      </c>
      <c r="BG98" s="53" t="inlineStr">
        <is>
          <t>Financial Analyst</t>
        </is>
      </c>
      <c r="BH98" s="53" t="inlineStr">
        <is>
          <t>Services Associate</t>
        </is>
      </c>
      <c r="BI98" s="53" t="inlineStr">
        <is>
          <t>Yes</t>
        </is>
      </c>
      <c r="BJ98" s="53" t="inlineStr">
        <is>
          <t>—</t>
        </is>
      </c>
      <c r="BK98" s="53" t="inlineStr">
        <is>
          <t>—</t>
        </is>
      </c>
      <c r="BL98" s="53" t="inlineStr">
        <is>
          <t>—</t>
        </is>
      </c>
      <c r="BM98" s="53" t="inlineStr">
        <is>
          <t>Not a manager</t>
        </is>
      </c>
      <c r="BN98" s="53" t="inlineStr">
        <is>
          <t>—</t>
        </is>
      </c>
      <c r="BO98" s="53" t="inlineStr">
        <is>
          <t>—</t>
        </is>
      </c>
      <c r="BP98" s="53" t="inlineStr">
        <is>
          <t>—</t>
        </is>
      </c>
      <c r="BQ98" s="53" t="inlineStr">
        <is>
          <t>Not a manager</t>
        </is>
      </c>
      <c r="BR98" s="53" t="inlineStr">
        <is>
          <t>—</t>
        </is>
      </c>
      <c r="BS98" s="53" t="inlineStr">
        <is>
          <t>L3 – Professional / Associate</t>
        </is>
      </c>
      <c r="BT98" s="53" t="inlineStr">
        <is>
          <t>L1</t>
        </is>
      </c>
      <c r="BU98" s="53" t="inlineStr">
        <is>
          <t>Matched from Title Hierarchy · new designation</t>
        </is>
      </c>
      <c r="BV98"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W98" s="53" t="n"/>
      <c r="BX98" s="53" t="inlineStr">
        <is>
          <t>South Africa - CIPC.</t>
        </is>
      </c>
      <c r="BY98" s="53" t="n"/>
      <c r="BZ98" s="53" t="inlineStr">
        <is>
          <t>IRIS2230</t>
        </is>
      </c>
      <c r="CA98" s="53" t="inlineStr">
        <is>
          <t>Employee</t>
        </is>
      </c>
      <c r="CB98" s="53" t="inlineStr">
        <is>
          <t>Active</t>
        </is>
      </c>
      <c r="CC98" s="53" t="inlineStr">
        <is>
          <t>Palak Verma</t>
        </is>
      </c>
      <c r="CD98" s="54" t="n">
        <v>45362</v>
      </c>
      <c r="CE98" s="53" t="inlineStr">
        <is>
          <t>Financial Analyst</t>
        </is>
      </c>
      <c r="CF98" s="53" t="n"/>
      <c r="CG98" s="53" t="inlineStr">
        <is>
          <t>Professional Services</t>
        </is>
      </c>
      <c r="CH98" s="53" t="inlineStr">
        <is>
          <t>XBRL / Regulatory Reporting</t>
        </is>
      </c>
      <c r="CI98" s="53" t="inlineStr">
        <is>
          <t>Financial Analyst</t>
        </is>
      </c>
      <c r="CJ98" s="53" t="inlineStr">
        <is>
          <t>L3 – Professional / Associate</t>
        </is>
      </c>
      <c r="CK98" s="53" t="inlineStr">
        <is>
          <t>Mohammed Dholkawala</t>
        </is>
      </c>
      <c r="CL98" s="53" t="inlineStr">
        <is>
          <t>N-7</t>
        </is>
      </c>
      <c r="CM98" s="53" t="inlineStr">
        <is>
          <t>Individual Contributor</t>
        </is>
      </c>
      <c r="CN98" s="53" t="inlineStr">
        <is>
          <t>Regtech</t>
        </is>
      </c>
      <c r="CO98" s="53" t="inlineStr">
        <is>
          <t>Services</t>
        </is>
      </c>
      <c r="CP98" s="53" t="inlineStr">
        <is>
          <t>5 years, 3 months, 9 days</t>
        </is>
      </c>
      <c r="CQ98" s="53" t="inlineStr">
        <is>
          <t>Services Associate</t>
        </is>
      </c>
      <c r="CR98" s="53" t="n"/>
      <c r="CS98" s="53" t="n">
        <v>3</v>
      </c>
      <c r="CT98" s="53" t="inlineStr">
        <is>
          <t>Medium</t>
        </is>
      </c>
      <c r="CU98" s="53" t="inlineStr">
        <is>
          <t>Core Contributor</t>
        </is>
      </c>
      <c r="CV98" s="53" t="inlineStr">
        <is>
          <t>No</t>
        </is>
      </c>
      <c r="CW98" s="53" t="inlineStr">
        <is>
          <t>No</t>
        </is>
      </c>
      <c r="CX98" s="53" t="inlineStr">
        <is>
          <t>Yes</t>
        </is>
      </c>
      <c r="CY98" s="53" t="n"/>
      <c r="CZ98" s="53" t="n"/>
      <c r="DA98" s="53" t="n"/>
      <c r="DB98" s="53" t="inlineStr">
        <is>
          <t>Title to be standardized to : Services Associate</t>
        </is>
      </c>
      <c r="DC98" s="53" t="n"/>
      <c r="DD98" s="53" t="n"/>
      <c r="DE98" s="53" t="n"/>
      <c r="DF98" s="53" t="n"/>
      <c r="DG98" s="53" t="n"/>
      <c r="DH98" s="53" t="n"/>
      <c r="DI98" s="53" t="n"/>
      <c r="DJ98" s="53" t="n"/>
      <c r="DK98" s="53" t="n"/>
      <c r="DL98" s="53" t="n"/>
      <c r="DM98" s="53" t="n"/>
      <c r="DN98" s="53" t="n"/>
      <c r="DO98" s="53" t="n"/>
      <c r="DP98" s="53" t="n"/>
      <c r="DQ98" s="53" t="n"/>
      <c r="DR98" s="53" t="n"/>
      <c r="DS98" s="53" t="n"/>
      <c r="DT98" s="53" t="n"/>
      <c r="DU98" s="53" t="n"/>
      <c r="DV98" s="53" t="n"/>
      <c r="DW98" s="53" t="n"/>
      <c r="DX98" s="53" t="n"/>
      <c r="DY98" s="53" t="n"/>
      <c r="DZ98" s="53" t="n"/>
      <c r="EA98" s="53" t="n"/>
      <c r="EB98" s="53" t="n"/>
      <c r="EC98" s="53" t="n"/>
      <c r="ED98" s="53" t="n"/>
      <c r="EE98" s="53" t="n"/>
      <c r="EF98" s="53" t="n"/>
      <c r="EG98" s="53" t="n"/>
      <c r="EH98" s="53" t="n"/>
      <c r="EI98" s="53" t="n"/>
      <c r="EJ98" s="53" t="n"/>
      <c r="EK98" s="53" t="n"/>
      <c r="EL98" s="53" t="n"/>
      <c r="EM98" s="53" t="n"/>
      <c r="EN98" s="53" t="n"/>
      <c r="EO98" s="53" t="n"/>
      <c r="EP98" s="53" t="n"/>
      <c r="EQ98" s="53" t="n"/>
      <c r="ER98" s="53" t="n"/>
      <c r="ES98" s="53" t="n"/>
      <c r="ET98" s="53" t="n"/>
      <c r="EU98" s="53" t="n"/>
      <c r="EV98" s="53" t="n"/>
      <c r="EW98" s="52" t="n"/>
      <c r="EX98" s="53" t="inlineStr">
        <is>
          <t>• Role / sub-team: CIPC tagging.</t>
        </is>
      </c>
      <c r="EY98" s="53" t="inlineStr">
        <is>
          <t>• Key responsibilities include: Tagging,QC,validations, sending the final mail,filling up the timesheet and wrapping up the work.
• Reported deliverables and outcomes include: Completed work is emailed to the respective PMO; handovers are given only when work cannot be finished on the final day.</t>
        </is>
      </c>
      <c r="EZ98" s="53" t="inlineStr">
        <is>
          <t>• Current capabilities: Good communication skills; Punctuality and availabil; Tools / software used: HTML editor.</t>
        </is>
      </c>
      <c r="FA98" s="53" t="inlineStr">
        <is>
          <t>• Development priorities: No input received.
• Learning and Development Need: Sincerity, Time Management.</t>
        </is>
      </c>
      <c r="FB98" s="53" t="inlineStr">
        <is>
          <t>• Key challenges: No input received.
• Support required: No input received.</t>
        </is>
      </c>
      <c r="FC98" s="53" t="n"/>
      <c r="FD98" s="53" t="n"/>
      <c r="FE98"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FF98" s="56" t="n"/>
      <c r="FG98" s="56" t="n"/>
      <c r="FH98" s="56" t="n"/>
      <c r="FI98" s="56" t="n"/>
      <c r="FJ98" s="56" t="inlineStr">
        <is>
          <t>Received · manager annual</t>
        </is>
      </c>
      <c r="FK98" s="56" t="inlineStr">
        <is>
          <t>CARBON Mapping Master</t>
        </is>
      </c>
      <c r="FL98" s="56" t="n">
        <v>0</v>
      </c>
      <c r="FM98" s="56" t="inlineStr">
        <is>
          <t>• Role / sub-team: CIPC tagging.</t>
        </is>
      </c>
      <c r="FN98" s="56" t="inlineStr">
        <is>
          <t>• Key responsibilities include: Tagging,QC,validations, sending the final mail,filling up the timesheet and wrapping up the work.
• Reported deliverables and outcomes include: Completed work is emailed to the respective PMO; handovers are given only when work cannot be finished on the final day.</t>
        </is>
      </c>
      <c r="FO98" s="56" t="inlineStr">
        <is>
          <t>• Current capabilities: Good communication skills; Punctuality and availabil; Tools / software used: HTML editor.</t>
        </is>
      </c>
      <c r="FP98" s="56" t="inlineStr">
        <is>
          <t>• Development priorities: No input received.
• Learning and Development Need: Sincerity, Time Management.</t>
        </is>
      </c>
      <c r="FQ98" s="56" t="inlineStr">
        <is>
          <t>• Key challenges: No input received.
• Support required: No input received.</t>
        </is>
      </c>
      <c r="FR98" s="56" t="inlineStr">
        <is>
          <t>Complexity: Evidence reads like A2: Manager note only: CIPC tagging, QC, validations and sending the final mail → matches the start
Autonomy: Evidence: no survey answers or KRAs on file → rating stays at the start
Accountability: Evidence reads like A2: Own completed CIPC files emailed to the PMO → matches the start
Leadership: Evidence reads like A1: Manager note mentions no guidance of others → matches the start
Business Impact: Moved +0.5: the survey / manager mapping marks it business-critical.</t>
        </is>
      </c>
      <c r="FS98" s="56"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FT98" s="56" t="inlineStr">
        <is>
          <t>Self-identified: Answered · no common topic</t>
        </is>
      </c>
      <c r="FU98" s="56" t="inlineStr">
        <is>
          <t>Per-person summary · CARBON Mapping Master</t>
        </is>
      </c>
    </row>
    <row r="99" ht="90" customHeight="1">
      <c r="A99" s="51" t="inlineStr">
        <is>
          <t>◂ Back</t>
        </is>
      </c>
      <c r="B99" s="29" t="inlineStr">
        <is>
          <t>Mapped</t>
        </is>
      </c>
      <c r="C99" s="28" t="inlineStr">
        <is>
          <t>CARBON</t>
        </is>
      </c>
      <c r="D99" s="29" t="inlineStr">
        <is>
          <t>IRIS1340</t>
        </is>
      </c>
      <c r="E99" s="29" t="inlineStr">
        <is>
          <t>Rajendra Gupta</t>
        </is>
      </c>
      <c r="F99" s="29" t="inlineStr">
        <is>
          <t>Services</t>
        </is>
      </c>
      <c r="G99" s="29" t="inlineStr">
        <is>
          <t>Financial Analyst</t>
        </is>
      </c>
      <c r="H99" s="29" t="inlineStr">
        <is>
          <t>Senior Financial Analyst</t>
        </is>
      </c>
      <c r="I99" s="29" t="inlineStr">
        <is>
          <t>L3 – Professional / Associate</t>
        </is>
      </c>
      <c r="J99" s="29" t="inlineStr">
        <is>
          <t>A3</t>
        </is>
      </c>
      <c r="K99" s="29" t="inlineStr">
        <is>
          <t>▲ Up</t>
        </is>
      </c>
      <c r="L99" s="29" t="inlineStr">
        <is>
          <t>Consulting &amp; Professional Services</t>
        </is>
      </c>
      <c r="M99" s="29" t="inlineStr">
        <is>
          <t>XBRL Tagging, Conversion &amp; Filing</t>
        </is>
      </c>
      <c r="N99" s="29" t="n"/>
      <c r="O99" s="29" t="n">
        <v>20</v>
      </c>
      <c r="P99" s="28" t="inlineStr">
        <is>
          <t>P2</t>
        </is>
      </c>
      <c r="Q99" s="29" t="inlineStr">
        <is>
          <t>Developing</t>
        </is>
      </c>
      <c r="R99" s="29" t="inlineStr">
        <is>
          <t>3 Apply</t>
        </is>
      </c>
      <c r="S99" s="29" t="inlineStr">
        <is>
          <t>2–4 yrs</t>
        </is>
      </c>
      <c r="T99" s="29" t="inlineStr">
        <is>
          <t>3–5 · 2–5</t>
        </is>
      </c>
      <c r="U99" s="29" t="inlineStr">
        <is>
          <t>Senior Analyst / Associate</t>
        </is>
      </c>
      <c r="V99" s="29" t="inlineStr">
        <is>
          <t>DataTracks: Senior Associate · 2–5 yrs · Big Four: Consultant · IRIS Vs Market Benchmark — XBRL US credential pathway: XBRL US GAAP Certificate</t>
        </is>
      </c>
      <c r="W99" s="29" t="inlineStr">
        <is>
          <t>XBRL US GAAP Certificate · AICPA &amp; XBRL US; XBRL International specifications; IFRS / US GAAP / Ind AS</t>
        </is>
      </c>
      <c r="X99" s="29" t="inlineStr">
        <is>
          <t>Core 2 · Future 2 · Functional 3 · Leadership not scored</t>
        </is>
      </c>
      <c r="Y99" s="52" t="n">
        <v>118</v>
      </c>
      <c r="Z99" s="53" t="inlineStr">
        <is>
          <t>IRIS1340</t>
        </is>
      </c>
      <c r="AA99" s="53" t="inlineStr">
        <is>
          <t>Employee</t>
        </is>
      </c>
      <c r="AB99" s="53" t="inlineStr">
        <is>
          <t>Active</t>
        </is>
      </c>
      <c r="AC99" s="53" t="inlineStr">
        <is>
          <t>Rajendra Gupta</t>
        </is>
      </c>
      <c r="AD99" s="54" t="n">
        <v>41437</v>
      </c>
      <c r="AE99" s="53" t="inlineStr">
        <is>
          <t>Financial Analyst</t>
        </is>
      </c>
      <c r="AF99" s="53" t="inlineStr">
        <is>
          <t>MBA</t>
        </is>
      </c>
      <c r="AG99" s="53" t="inlineStr">
        <is>
          <t>Priyanka Mehra</t>
        </is>
      </c>
      <c r="AH99" s="53" t="inlineStr">
        <is>
          <t>N-7</t>
        </is>
      </c>
      <c r="AI99" s="53" t="inlineStr">
        <is>
          <t>Individual Contributor</t>
        </is>
      </c>
      <c r="AJ99" s="53" t="inlineStr">
        <is>
          <t>1 years, 0 months, 0 days</t>
        </is>
      </c>
      <c r="AK99" s="53" t="inlineStr">
        <is>
          <t>13 years, 2 months, 13 days</t>
        </is>
      </c>
      <c r="AL99" s="53" t="inlineStr">
        <is>
          <t>Regtech</t>
        </is>
      </c>
      <c r="AM99" s="53" t="inlineStr">
        <is>
          <t>CARBON</t>
        </is>
      </c>
      <c r="AN99" s="53" t="inlineStr">
        <is>
          <t>Services</t>
        </is>
      </c>
      <c r="AO99" s="53" t="inlineStr">
        <is>
          <t>Expert Assisted services</t>
        </is>
      </c>
      <c r="AP99" s="53" t="inlineStr">
        <is>
          <t>No</t>
        </is>
      </c>
      <c r="AQ99" s="53" t="inlineStr">
        <is>
          <t>Professional Services</t>
        </is>
      </c>
      <c r="AR99" s="53" t="inlineStr">
        <is>
          <t>XBRL Domain</t>
        </is>
      </c>
      <c r="AS99" s="53" t="inlineStr">
        <is>
          <t>Non-technical</t>
        </is>
      </c>
      <c r="AT99" s="53" t="n">
        <v>20</v>
      </c>
      <c r="AU99" s="53" t="inlineStr">
        <is>
          <t>Covered</t>
        </is>
      </c>
      <c r="AV99" s="53" t="inlineStr">
        <is>
          <t>IRIS1340</t>
        </is>
      </c>
      <c r="AW99" s="53" t="inlineStr">
        <is>
          <t>Rajendra Gupta</t>
        </is>
      </c>
      <c r="AX99" s="53" t="inlineStr">
        <is>
          <t>Services</t>
        </is>
      </c>
      <c r="AY99" s="53" t="inlineStr">
        <is>
          <t>Professional Services</t>
        </is>
      </c>
      <c r="AZ99" s="53" t="inlineStr">
        <is>
          <t>XBRL / Regulatory Reporting</t>
        </is>
      </c>
      <c r="BA99" s="53" t="n"/>
      <c r="BB99" s="53" t="n"/>
      <c r="BC99" s="53" t="inlineStr">
        <is>
          <t>Employee</t>
        </is>
      </c>
      <c r="BD99" s="53" t="inlineStr">
        <is>
          <t>Priyanka Mehra</t>
        </is>
      </c>
      <c r="BE99" s="53" t="inlineStr">
        <is>
          <t>Priyanka Mehra</t>
        </is>
      </c>
      <c r="BF99" s="53" t="inlineStr">
        <is>
          <t>No</t>
        </is>
      </c>
      <c r="BG99" s="53" t="inlineStr">
        <is>
          <t>Financial Analyst</t>
        </is>
      </c>
      <c r="BH99" s="53" t="inlineStr">
        <is>
          <t>Services Specialist</t>
        </is>
      </c>
      <c r="BI99" s="53" t="inlineStr">
        <is>
          <t>Yes</t>
        </is>
      </c>
      <c r="BJ99" s="53" t="inlineStr">
        <is>
          <t>—</t>
        </is>
      </c>
      <c r="BK99" s="53" t="inlineStr">
        <is>
          <t>—</t>
        </is>
      </c>
      <c r="BL99" s="53" t="inlineStr">
        <is>
          <t>—</t>
        </is>
      </c>
      <c r="BM99" s="53" t="inlineStr">
        <is>
          <t>Not a manager</t>
        </is>
      </c>
      <c r="BN99" s="53" t="inlineStr">
        <is>
          <t>—</t>
        </is>
      </c>
      <c r="BO99" s="53" t="inlineStr">
        <is>
          <t>—</t>
        </is>
      </c>
      <c r="BP99" s="53" t="inlineStr">
        <is>
          <t>—</t>
        </is>
      </c>
      <c r="BQ99" s="53" t="inlineStr">
        <is>
          <t>Not a manager</t>
        </is>
      </c>
      <c r="BR99" s="53" t="inlineStr">
        <is>
          <t>—</t>
        </is>
      </c>
      <c r="BS99" s="53" t="inlineStr">
        <is>
          <t>L3 – Professional / Associate</t>
        </is>
      </c>
      <c r="BT99" s="53" t="inlineStr">
        <is>
          <t>L2</t>
        </is>
      </c>
      <c r="BU99" s="53" t="inlineStr">
        <is>
          <t>Matched from Title Hierarchy · new designation</t>
        </is>
      </c>
      <c r="BV99"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BW99" s="53" t="n"/>
      <c r="BX99" s="53" t="inlineStr">
        <is>
          <t>South Africa - CIPC; India - MCA.</t>
        </is>
      </c>
      <c r="BY99" s="53" t="n"/>
      <c r="BZ99" s="53" t="inlineStr">
        <is>
          <t>IRIS1340</t>
        </is>
      </c>
      <c r="CA99" s="53" t="inlineStr">
        <is>
          <t>Employee</t>
        </is>
      </c>
      <c r="CB99" s="53" t="inlineStr">
        <is>
          <t>Active</t>
        </is>
      </c>
      <c r="CC99" s="53" t="inlineStr">
        <is>
          <t>Rajendra Gupta</t>
        </is>
      </c>
      <c r="CD99" s="54" t="n">
        <v>41437</v>
      </c>
      <c r="CE99" s="53" t="inlineStr">
        <is>
          <t>Financial Analyst</t>
        </is>
      </c>
      <c r="CF99" s="53" t="n"/>
      <c r="CG99" s="53" t="inlineStr">
        <is>
          <t>Professional Services</t>
        </is>
      </c>
      <c r="CH99" s="53" t="inlineStr">
        <is>
          <t>XBRL / Regulatory Reporting</t>
        </is>
      </c>
      <c r="CI99" s="53" t="inlineStr">
        <is>
          <t>Financial Analyst</t>
        </is>
      </c>
      <c r="CJ99" s="53" t="inlineStr">
        <is>
          <t>L3 – Professional / Associate</t>
        </is>
      </c>
      <c r="CK99" s="53" t="inlineStr">
        <is>
          <t>Priyanka Mehra</t>
        </is>
      </c>
      <c r="CL99" s="53" t="inlineStr">
        <is>
          <t>N-7</t>
        </is>
      </c>
      <c r="CM99" s="53" t="inlineStr">
        <is>
          <t>Individual Contributor</t>
        </is>
      </c>
      <c r="CN99" s="53" t="inlineStr">
        <is>
          <t>Regtech</t>
        </is>
      </c>
      <c r="CO99" s="53" t="inlineStr">
        <is>
          <t>Services</t>
        </is>
      </c>
      <c r="CP99" s="53" t="inlineStr">
        <is>
          <t>14 years, 0 months, 8 days</t>
        </is>
      </c>
      <c r="CQ99" s="53" t="inlineStr">
        <is>
          <t>Services Specialist</t>
        </is>
      </c>
      <c r="CR99" s="53" t="n"/>
      <c r="CS99" s="53" t="n">
        <v>3</v>
      </c>
      <c r="CT99" s="53" t="inlineStr">
        <is>
          <t>Medium</t>
        </is>
      </c>
      <c r="CU99" s="53" t="inlineStr">
        <is>
          <t>Core Contributor</t>
        </is>
      </c>
      <c r="CV99" s="53" t="inlineStr">
        <is>
          <t>No</t>
        </is>
      </c>
      <c r="CW99" s="53" t="inlineStr">
        <is>
          <t>No</t>
        </is>
      </c>
      <c r="CX99" s="53" t="inlineStr">
        <is>
          <t>Yes</t>
        </is>
      </c>
      <c r="CY99" s="53" t="n"/>
      <c r="CZ99" s="53" t="n"/>
      <c r="DA99" s="53" t="n"/>
      <c r="DB99" s="53" t="inlineStr">
        <is>
          <t>Title to be standardized to : Services Specialist</t>
        </is>
      </c>
      <c r="DC99" s="53" t="n"/>
      <c r="DD99" s="53" t="n"/>
      <c r="DE99" s="53" t="n"/>
      <c r="DF99" s="53" t="n"/>
      <c r="DG99" s="53" t="n"/>
      <c r="DH99" s="53" t="n"/>
      <c r="DI99" s="53" t="n"/>
      <c r="DJ99" s="53" t="n"/>
      <c r="DK99" s="53" t="n"/>
      <c r="DL99" s="53" t="n"/>
      <c r="DM99" s="53" t="n"/>
      <c r="DN99" s="53" t="n"/>
      <c r="DO99" s="53" t="n"/>
      <c r="DP99" s="53" t="n"/>
      <c r="DQ99" s="53" t="n"/>
      <c r="DR99" s="53" t="n"/>
      <c r="DS99" s="53" t="n"/>
      <c r="DT99" s="53" t="n"/>
      <c r="DU99" s="53" t="n"/>
      <c r="DV99" s="53" t="n"/>
      <c r="DW99" s="53" t="n"/>
      <c r="DX99" s="53" t="n"/>
      <c r="DY99" s="53" t="n"/>
      <c r="DZ99" s="53" t="n"/>
      <c r="EA99" s="53" t="n"/>
      <c r="EB99" s="53" t="n"/>
      <c r="EC99" s="53" t="n"/>
      <c r="ED99" s="53" t="n"/>
      <c r="EE99" s="53" t="n"/>
      <c r="EF99" s="53" t="n"/>
      <c r="EG99" s="53" t="n"/>
      <c r="EH99" s="53" t="n"/>
      <c r="EI99" s="53" t="n"/>
      <c r="EJ99" s="53" t="n"/>
      <c r="EK99" s="53" t="n"/>
      <c r="EL99" s="53" t="n"/>
      <c r="EM99" s="53" t="n"/>
      <c r="EN99" s="53" t="n"/>
      <c r="EO99" s="53" t="n"/>
      <c r="EP99" s="53" t="n"/>
      <c r="EQ99" s="53" t="n"/>
      <c r="ER99" s="53" t="n"/>
      <c r="ES99" s="53" t="n"/>
      <c r="ET99" s="53" t="n"/>
      <c r="EU99" s="53" t="n"/>
      <c r="EV99" s="53" t="n"/>
      <c r="EW99" s="52" t="n"/>
      <c r="EX99" s="53" t="inlineStr">
        <is>
          <t>• Role / sub-team: Tagging.</t>
        </is>
      </c>
      <c r="EY99" s="53" t="inlineStr">
        <is>
          <t>• Key responsibilities include: Tagging, validation, client call ; doubt solving. [session recording].
• Reported deliverables and outcomes include: MCA file directly send to client and Cipc file send to Pmo file upload to client.
• Additional duties outside usual job: Qc or queries solve to client.</t>
        </is>
      </c>
      <c r="EZ99" s="53" t="inlineStr">
        <is>
          <t>• Current capabilities: Coordination.</t>
        </is>
      </c>
      <c r="FA99" s="53" t="inlineStr">
        <is>
          <t>• Development priorities: No input received.
• Learning and Development Need: No input received.</t>
        </is>
      </c>
      <c r="FB99" s="53" t="inlineStr">
        <is>
          <t>• Key challenges: Handled a client escalation where an automatically-calculated validation total did not match the client's own figure; resolved it by explaining the parent/child member and dimension value-chain concept to the client, escalating to the manager where needed. [session recording].
• Support required: No input received.</t>
        </is>
      </c>
      <c r="FC99" s="53" t="n"/>
      <c r="FD99" s="53" t="n"/>
      <c r="FE99"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
6. Conduct monthly knowledge sessions</t>
        </is>
      </c>
      <c r="FF99" s="56" t="n"/>
      <c r="FG99" s="56" t="n"/>
      <c r="FH99" s="56" t="n"/>
      <c r="FI99" s="56" t="n"/>
      <c r="FJ99" s="56" t="inlineStr">
        <is>
          <t>Received · manager annual</t>
        </is>
      </c>
      <c r="FK99" s="56" t="inlineStr">
        <is>
          <t>CARBON Mapping Master</t>
        </is>
      </c>
      <c r="FL99" s="56" t="n">
        <v>20</v>
      </c>
      <c r="FM99" s="56" t="inlineStr">
        <is>
          <t>• Role / sub-team: Tagging.</t>
        </is>
      </c>
      <c r="FN99" s="56" t="inlineStr">
        <is>
          <t>• Key responsibilities include: Tagging, validation, client call ; doubt solving. [session recording].
• Reported deliverables and outcomes include: MCA file directly send to client and Cipc file send to Pmo file upload to client.
• Additional duties outside usual job: Qc or queries solve to client.</t>
        </is>
      </c>
      <c r="FO99" s="56" t="inlineStr">
        <is>
          <t>• Current capabilities: Coordination.</t>
        </is>
      </c>
      <c r="FP99" s="56" t="inlineStr">
        <is>
          <t>• Development priorities: No input received.
• Learning and Development Need: No input received.</t>
        </is>
      </c>
      <c r="FQ99" s="56" t="inlineStr">
        <is>
          <t>• Key challenges: Handled a client escalation where an automatically-calculated validation total did not match the client's own figure; resolved it by explaining the parent/child member and dimension value-chain concept to the client, escalating to the manager where needed. [session recording].
• Support required: No input received.</t>
        </is>
      </c>
      <c r="FR99" s="56" t="inlineStr">
        <is>
          <t>Complexity: Evidence reads like A3: MCA and CIPC conversion: data mapping, XML generation, validation errors, client calls; IFRS, Ind AS → moved up 0.5
Autonomy: Evidence reads like A3: Maps, corrects and quality-checks without prior approval; refers interpretation changes to team or client → moved up 0.5
Accountability: Evidence reads like A3: Complete XBRL file start to finish; MCA files sent directly to client → moved up 0.5
Leadership: Evidence reads like A1: No guidance or leadership of colleagues described → matches the start
Business Impact: Moved +0.5: the survey / manager mapping marks it business-critical.</t>
        </is>
      </c>
      <c r="FS99" s="56"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FT99" s="56" t="inlineStr">
        <is>
          <t>Self-identified: Project / programme management · Domain, regulatory &amp; XBRL · Client, sales &amp; stakeholders · Broader exposure &amp; ownership
For the next role: Leadership &amp; people management · Project / programme management · Domain, regulatory &amp; XBRL · Client, sales &amp; stakeholders · Broader exposure &amp; ownership</t>
        </is>
      </c>
      <c r="FU99" s="56" t="inlineStr">
        <is>
          <t>Per-person summary · CARBON Mapping Master</t>
        </is>
      </c>
    </row>
    <row r="100" ht="90" customHeight="1">
      <c r="A100" s="51" t="inlineStr">
        <is>
          <t>◂ Back</t>
        </is>
      </c>
      <c r="B100" s="29" t="inlineStr">
        <is>
          <t>Mapped</t>
        </is>
      </c>
      <c r="C100" s="28" t="inlineStr">
        <is>
          <t>CARBON</t>
        </is>
      </c>
      <c r="D100" s="29" t="inlineStr">
        <is>
          <t>IRIS0075</t>
        </is>
      </c>
      <c r="E100" s="29" t="inlineStr">
        <is>
          <t>Sudarshan Vichare</t>
        </is>
      </c>
      <c r="F100" s="29" t="inlineStr">
        <is>
          <t>Services</t>
        </is>
      </c>
      <c r="G100" s="29" t="inlineStr">
        <is>
          <t>Junior Financial Analyst</t>
        </is>
      </c>
      <c r="H100" s="29" t="inlineStr">
        <is>
          <t>Senior Financial Analyst</t>
        </is>
      </c>
      <c r="I100" s="29" t="inlineStr">
        <is>
          <t>L3 – Professional / Associate</t>
        </is>
      </c>
      <c r="J100" s="29" t="inlineStr">
        <is>
          <t>A3</t>
        </is>
      </c>
      <c r="K100" s="29" t="inlineStr">
        <is>
          <t>▲ Up</t>
        </is>
      </c>
      <c r="L100" s="29" t="inlineStr">
        <is>
          <t>Consulting &amp; Professional Services</t>
        </is>
      </c>
      <c r="M100" s="29" t="inlineStr">
        <is>
          <t>XBRL Tagging, Conversion &amp; Filing</t>
        </is>
      </c>
      <c r="N100" s="29" t="n"/>
      <c r="O100" s="29" t="n">
        <v>20</v>
      </c>
      <c r="P100" s="28" t="inlineStr">
        <is>
          <t>P2</t>
        </is>
      </c>
      <c r="Q100" s="29" t="inlineStr">
        <is>
          <t>Developing</t>
        </is>
      </c>
      <c r="R100" s="29" t="inlineStr">
        <is>
          <t>3 Apply</t>
        </is>
      </c>
      <c r="S100" s="29" t="inlineStr">
        <is>
          <t>2–4 yrs</t>
        </is>
      </c>
      <c r="T100" s="29" t="inlineStr">
        <is>
          <t>3–5 · 2–5</t>
        </is>
      </c>
      <c r="U100" s="29" t="inlineStr">
        <is>
          <t>Senior Analyst / Associate</t>
        </is>
      </c>
      <c r="V100" s="29" t="inlineStr">
        <is>
          <t>DataTracks: Senior Associate · 2–5 yrs · Big Four: Consultant · IRIS Vs Market Benchmark — XBRL US credential pathway: XBRL US GAAP Certificate</t>
        </is>
      </c>
      <c r="W100" s="29" t="inlineStr">
        <is>
          <t>XBRL US GAAP Certificate · AICPA &amp; XBRL US; XBRL International specifications; IFRS / US GAAP / Ind AS</t>
        </is>
      </c>
      <c r="X100" s="29" t="inlineStr">
        <is>
          <t>Core 2 · Future 2 · Functional 3 · Leadership not scored</t>
        </is>
      </c>
      <c r="Y100" s="52" t="n">
        <v>21</v>
      </c>
      <c r="Z100" s="53" t="inlineStr">
        <is>
          <t>IRIS0075</t>
        </is>
      </c>
      <c r="AA100" s="53" t="inlineStr">
        <is>
          <t>Employee</t>
        </is>
      </c>
      <c r="AB100" s="53" t="inlineStr">
        <is>
          <t>Active</t>
        </is>
      </c>
      <c r="AC100" s="53" t="inlineStr">
        <is>
          <t>Sudarshan Vichare</t>
        </is>
      </c>
      <c r="AD100" s="54" t="n">
        <v>39142</v>
      </c>
      <c r="AE100" s="53" t="inlineStr">
        <is>
          <t>Junior Financial Analyst</t>
        </is>
      </c>
      <c r="AF100" s="53" t="inlineStr">
        <is>
          <t>B.Com</t>
        </is>
      </c>
      <c r="AG100" s="53" t="inlineStr">
        <is>
          <t>Priyanka Mehra</t>
        </is>
      </c>
      <c r="AH100" s="53" t="inlineStr">
        <is>
          <t>N-7</t>
        </is>
      </c>
      <c r="AI100" s="53" t="inlineStr">
        <is>
          <t>Individual Contributor</t>
        </is>
      </c>
      <c r="AJ100" s="53" t="inlineStr">
        <is>
          <t>0 years, 0 months, 0 days</t>
        </is>
      </c>
      <c r="AK100" s="53" t="inlineStr">
        <is>
          <t>19 years, 5 months, 24 days</t>
        </is>
      </c>
      <c r="AL100" s="53" t="inlineStr">
        <is>
          <t>Regtech</t>
        </is>
      </c>
      <c r="AM100" s="53" t="inlineStr">
        <is>
          <t>CARBON</t>
        </is>
      </c>
      <c r="AN100" s="53" t="inlineStr">
        <is>
          <t>Services</t>
        </is>
      </c>
      <c r="AO100" s="53" t="inlineStr">
        <is>
          <t>Expert Assisted services</t>
        </is>
      </c>
      <c r="AP100" s="53" t="inlineStr">
        <is>
          <t>No</t>
        </is>
      </c>
      <c r="AQ100" s="53" t="inlineStr">
        <is>
          <t>Professional Services</t>
        </is>
      </c>
      <c r="AR100" s="53" t="inlineStr">
        <is>
          <t>XBRL Domain</t>
        </is>
      </c>
      <c r="AS100" s="53" t="inlineStr">
        <is>
          <t>Non-technical</t>
        </is>
      </c>
      <c r="AT100" s="53" t="n">
        <v>20</v>
      </c>
      <c r="AU100" s="53" t="inlineStr">
        <is>
          <t>Covered</t>
        </is>
      </c>
      <c r="AV100" s="53" t="inlineStr">
        <is>
          <t>IRIS0075</t>
        </is>
      </c>
      <c r="AW100" s="53" t="inlineStr">
        <is>
          <t>Sudarshan Vichare</t>
        </is>
      </c>
      <c r="AX100" s="53" t="inlineStr">
        <is>
          <t>Services</t>
        </is>
      </c>
      <c r="AY100" s="53" t="inlineStr">
        <is>
          <t>Professional Services</t>
        </is>
      </c>
      <c r="AZ100" s="53" t="inlineStr">
        <is>
          <t>XBRL / Regulatory Reporting</t>
        </is>
      </c>
      <c r="BA100" s="53" t="n"/>
      <c r="BB100" s="53" t="n"/>
      <c r="BC100" s="53" t="inlineStr">
        <is>
          <t>Employee</t>
        </is>
      </c>
      <c r="BD100" s="53" t="inlineStr">
        <is>
          <t>Priyanka Mehra</t>
        </is>
      </c>
      <c r="BE100" s="53" t="inlineStr">
        <is>
          <t>Priyanka Mehra</t>
        </is>
      </c>
      <c r="BF100" s="53" t="inlineStr">
        <is>
          <t>No</t>
        </is>
      </c>
      <c r="BG100" s="53" t="inlineStr">
        <is>
          <t>Junior Financial Analyst</t>
        </is>
      </c>
      <c r="BH100" s="53" t="inlineStr">
        <is>
          <t>Senior Services Specialist</t>
        </is>
      </c>
      <c r="BI100" s="53" t="inlineStr">
        <is>
          <t>Yes</t>
        </is>
      </c>
      <c r="BJ100" s="53" t="inlineStr">
        <is>
          <t>—</t>
        </is>
      </c>
      <c r="BK100" s="53" t="inlineStr">
        <is>
          <t>—</t>
        </is>
      </c>
      <c r="BL100" s="53" t="inlineStr">
        <is>
          <t>—</t>
        </is>
      </c>
      <c r="BM100" s="53" t="inlineStr">
        <is>
          <t>Not a manager</t>
        </is>
      </c>
      <c r="BN100" s="53" t="inlineStr">
        <is>
          <t>—</t>
        </is>
      </c>
      <c r="BO100" s="53" t="inlineStr">
        <is>
          <t>—</t>
        </is>
      </c>
      <c r="BP100" s="53" t="inlineStr">
        <is>
          <t>—</t>
        </is>
      </c>
      <c r="BQ100" s="53" t="inlineStr">
        <is>
          <t>Not a manager</t>
        </is>
      </c>
      <c r="BR100" s="53" t="inlineStr">
        <is>
          <t>—</t>
        </is>
      </c>
      <c r="BS100" s="53" t="inlineStr">
        <is>
          <t>L3 – Professional / Associate</t>
        </is>
      </c>
      <c r="BT100" s="53" t="inlineStr">
        <is>
          <t>L2</t>
        </is>
      </c>
      <c r="BU100" s="53" t="inlineStr">
        <is>
          <t>Matched from Title Hierarchy · new designation</t>
        </is>
      </c>
      <c r="BV100"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W100" s="53" t="n"/>
      <c r="BX100" s="53" t="inlineStr">
        <is>
          <t>South Africa - CIPC</t>
        </is>
      </c>
      <c r="BY100" s="53" t="n"/>
      <c r="BZ100" s="53" t="inlineStr">
        <is>
          <t>IRIS0075</t>
        </is>
      </c>
      <c r="CA100" s="53" t="inlineStr">
        <is>
          <t>Employee</t>
        </is>
      </c>
      <c r="CB100" s="53" t="inlineStr">
        <is>
          <t>Active</t>
        </is>
      </c>
      <c r="CC100" s="53" t="inlineStr">
        <is>
          <t>Sudarshan Vichare</t>
        </is>
      </c>
      <c r="CD100" s="54" t="n">
        <v>39142</v>
      </c>
      <c r="CE100" s="53" t="inlineStr">
        <is>
          <t>Junior Financial Analyst</t>
        </is>
      </c>
      <c r="CF100" s="53" t="n"/>
      <c r="CG100" s="53" t="inlineStr">
        <is>
          <t>Professional Services</t>
        </is>
      </c>
      <c r="CH100" s="53" t="inlineStr">
        <is>
          <t>Digitization &amp; Image Processing</t>
        </is>
      </c>
      <c r="CI100" s="53" t="inlineStr">
        <is>
          <t>Junior Financial Analyst</t>
        </is>
      </c>
      <c r="CJ100" s="53" t="inlineStr">
        <is>
          <t>L3 – Professional / Associate</t>
        </is>
      </c>
      <c r="CK100" s="53" t="inlineStr">
        <is>
          <t>Priyanka Mehra</t>
        </is>
      </c>
      <c r="CL100" s="53" t="inlineStr">
        <is>
          <t>N-7</t>
        </is>
      </c>
      <c r="CM100" s="53" t="inlineStr">
        <is>
          <t>Individual Contributor</t>
        </is>
      </c>
      <c r="CN100" s="53" t="inlineStr">
        <is>
          <t>Regtech</t>
        </is>
      </c>
      <c r="CO100" s="53" t="inlineStr">
        <is>
          <t>Digitizing</t>
        </is>
      </c>
      <c r="CP100" s="53" t="inlineStr">
        <is>
          <t>19 years, 3 months, 19 days</t>
        </is>
      </c>
      <c r="CQ100" s="53" t="inlineStr">
        <is>
          <t>Senior Services Specialist</t>
        </is>
      </c>
      <c r="CR100" s="53" t="n"/>
      <c r="CS100" s="53" t="n">
        <v>3</v>
      </c>
      <c r="CT100" s="53" t="inlineStr">
        <is>
          <t>Medium</t>
        </is>
      </c>
      <c r="CU100" s="53" t="inlineStr">
        <is>
          <t>Core Contributor</t>
        </is>
      </c>
      <c r="CV100" s="53" t="inlineStr">
        <is>
          <t>No</t>
        </is>
      </c>
      <c r="CW100" s="53" t="inlineStr">
        <is>
          <t>No</t>
        </is>
      </c>
      <c r="CX100" s="53" t="inlineStr">
        <is>
          <t>Yes</t>
        </is>
      </c>
      <c r="CY100" s="53" t="n"/>
      <c r="CZ100" s="53" t="n"/>
      <c r="DA100" s="53" t="n"/>
      <c r="DB100" s="53" t="inlineStr">
        <is>
          <t>Moved to Tagging Team &amp; Title standardized to: Senior Services Specialist</t>
        </is>
      </c>
      <c r="DC100" s="53" t="n"/>
      <c r="DD100" s="53" t="n"/>
      <c r="DE100" s="53" t="n"/>
      <c r="DF100" s="53" t="n"/>
      <c r="DG100" s="53" t="n"/>
      <c r="DH100" s="53" t="n"/>
      <c r="DI100" s="53" t="n"/>
      <c r="DJ100" s="53" t="n"/>
      <c r="DK100" s="53" t="n"/>
      <c r="DL100" s="53" t="n"/>
      <c r="DM100" s="53" t="n"/>
      <c r="DN100" s="53" t="n"/>
      <c r="DO100" s="53" t="n"/>
      <c r="DP100" s="53" t="n"/>
      <c r="DQ100" s="53" t="n"/>
      <c r="DR100" s="53" t="n"/>
      <c r="DS100" s="53" t="n"/>
      <c r="DT100" s="53" t="n"/>
      <c r="DU100" s="53" t="n"/>
      <c r="DV100" s="53" t="n"/>
      <c r="DW100" s="53" t="n"/>
      <c r="DX100" s="53" t="n"/>
      <c r="DY100" s="53" t="n"/>
      <c r="DZ100" s="53" t="n"/>
      <c r="EA100" s="53" t="n"/>
      <c r="EB100" s="53" t="n"/>
      <c r="EC100" s="53" t="n"/>
      <c r="ED100" s="53" t="n"/>
      <c r="EE100" s="53" t="n"/>
      <c r="EF100" s="53" t="n"/>
      <c r="EG100" s="53" t="n"/>
      <c r="EH100" s="53" t="n"/>
      <c r="EI100" s="53" t="n"/>
      <c r="EJ100" s="53" t="n"/>
      <c r="EK100" s="53" t="n"/>
      <c r="EL100" s="53" t="n"/>
      <c r="EM100" s="53" t="n"/>
      <c r="EN100" s="53" t="n"/>
      <c r="EO100" s="53" t="n"/>
      <c r="EP100" s="53" t="n"/>
      <c r="EQ100" s="53" t="n"/>
      <c r="ER100" s="53" t="n"/>
      <c r="ES100" s="53" t="n"/>
      <c r="ET100" s="53" t="n"/>
      <c r="EU100" s="53" t="n"/>
      <c r="EV100" s="53" t="n"/>
      <c r="EW100" s="52" t="n"/>
      <c r="EX100" s="53" t="inlineStr">
        <is>
          <t>• Role / sub-team: CIPC Conversion Team and CIPC Tagging [Teams chat].</t>
        </is>
      </c>
      <c r="EY100" s="53" t="inlineStr">
        <is>
          <t>• Key responsibilities include: Cipc Tagging ., Conversion related issue.
• Reported deliverables and outcomes include: Files are mailed to the PMO for upload.</t>
        </is>
      </c>
      <c r="EZ100" s="53" t="inlineStr">
        <is>
          <t>• Current capabilities: Excel word knowledge; Tools / software used: Carbon [Teams chat].</t>
        </is>
      </c>
      <c r="FA100" s="53" t="inlineStr">
        <is>
          <t>• Development priorities: No input received.
• Learning and Development Need: Tool knowledge.</t>
        </is>
      </c>
      <c r="FB100" s="53" t="inlineStr">
        <is>
          <t>• Key challenges: No input received.
• Support required: No input received.</t>
        </is>
      </c>
      <c r="FC100" s="53" t="n"/>
      <c r="FD100" s="53" t="n"/>
      <c r="FE100"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FF100" s="56" t="n"/>
      <c r="FG100" s="56" t="n"/>
      <c r="FH100" s="56" t="n"/>
      <c r="FI100" s="56" t="n"/>
      <c r="FJ100" s="56" t="inlineStr">
        <is>
          <t>Received · manager annual</t>
        </is>
      </c>
      <c r="FK100" s="56" t="inlineStr">
        <is>
          <t>CARBON Mapping Master</t>
        </is>
      </c>
      <c r="FL100" s="56" t="n">
        <v>20</v>
      </c>
      <c r="FM100" s="56" t="inlineStr">
        <is>
          <t>• Role / sub-team: CIPC Conversion Team and CIPC Tagging [Teams chat].</t>
        </is>
      </c>
      <c r="FN100" s="56" t="inlineStr">
        <is>
          <t>• Key responsibilities include: Cipc Tagging ., Conversion related issue.
• Reported deliverables and outcomes include: Files are mailed to the PMO for upload.</t>
        </is>
      </c>
      <c r="FO100" s="56" t="inlineStr">
        <is>
          <t>• Current capabilities: Excel word knowledge; Tools / software used: Carbon [Teams chat].</t>
        </is>
      </c>
      <c r="FP100" s="56" t="inlineStr">
        <is>
          <t>• Development priorities: No input received.
• Learning and Development Need: Tool knowledge.</t>
        </is>
      </c>
      <c r="FQ100" s="56" t="inlineStr">
        <is>
          <t>• Key challenges: No input received.
• Support required: No input received.</t>
        </is>
      </c>
      <c r="FR100" s="56" t="inlineStr">
        <is>
          <t>Complexity: Evidence reads like A2: Routine CIPC HTML tagging, client file uploads and follow-up coordination → matches the start
Autonomy: Evidence reads like A2: Only stated independent decision is managing client file uploads → matches the start
Accountability: Evidence reads like A2: Own tagged client files and on-time completion; files mailed to PMO for upload → matches the start
Leadership: Evidence reads like A1: Coordinates and follows up with team members; no guiding or leading described → matches the start
Business Impact: Moved +0.5: the survey / manager mapping marks it business-critical.</t>
        </is>
      </c>
      <c r="FS100" s="56"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FT100" s="56" t="inlineStr">
        <is>
          <t>Self-identified: Leadership &amp; people management · Client, sales &amp; stakeholders
For the next role: Leadership &amp; people management · Client, sales &amp; stakeholders</t>
        </is>
      </c>
      <c r="FU100" s="56" t="inlineStr">
        <is>
          <t>Per-person summary · CARBON Mapping Master</t>
        </is>
      </c>
    </row>
    <row r="101" ht="90" customHeight="1">
      <c r="A101" s="51" t="inlineStr">
        <is>
          <t>◂ Back</t>
        </is>
      </c>
      <c r="B101" s="29" t="inlineStr">
        <is>
          <t>Mapped</t>
        </is>
      </c>
      <c r="C101" s="28" t="inlineStr">
        <is>
          <t>CARBON</t>
        </is>
      </c>
      <c r="D101" s="29" t="inlineStr">
        <is>
          <t>IRIS1897</t>
        </is>
      </c>
      <c r="E101" s="29" t="inlineStr">
        <is>
          <t>Sunil Bist</t>
        </is>
      </c>
      <c r="F101" s="29" t="inlineStr">
        <is>
          <t>Services</t>
        </is>
      </c>
      <c r="G101" s="29" t="inlineStr">
        <is>
          <t>Financial Analyst</t>
        </is>
      </c>
      <c r="H101" s="29" t="inlineStr">
        <is>
          <t>Senior Financial Analyst</t>
        </is>
      </c>
      <c r="I101" s="29" t="inlineStr">
        <is>
          <t>L3 – Professional / Associate</t>
        </is>
      </c>
      <c r="J101" s="29" t="inlineStr">
        <is>
          <t>A3</t>
        </is>
      </c>
      <c r="K101" s="29" t="inlineStr">
        <is>
          <t>▲ Up</t>
        </is>
      </c>
      <c r="L101" s="29" t="inlineStr">
        <is>
          <t>Consulting &amp; Professional Services</t>
        </is>
      </c>
      <c r="M101" s="29" t="inlineStr">
        <is>
          <t>XBRL Tagging, Conversion &amp; Filing</t>
        </is>
      </c>
      <c r="N101" s="29" t="n"/>
      <c r="O101" s="29" t="n">
        <v>20</v>
      </c>
      <c r="P101" s="28" t="inlineStr">
        <is>
          <t>P2</t>
        </is>
      </c>
      <c r="Q101" s="29" t="inlineStr">
        <is>
          <t>Developing</t>
        </is>
      </c>
      <c r="R101" s="29" t="inlineStr">
        <is>
          <t>3 Apply</t>
        </is>
      </c>
      <c r="S101" s="29" t="inlineStr">
        <is>
          <t>2–4 yrs</t>
        </is>
      </c>
      <c r="T101" s="29" t="inlineStr">
        <is>
          <t>3–5 · 2–5</t>
        </is>
      </c>
      <c r="U101" s="29" t="inlineStr">
        <is>
          <t>Senior Analyst / Associate</t>
        </is>
      </c>
      <c r="V101" s="29" t="inlineStr">
        <is>
          <t>DataTracks: Senior Associate · 2–5 yrs · Big Four: Consultant · IRIS Vs Market Benchmark — XBRL US credential pathway: XBRL US GAAP Certificate</t>
        </is>
      </c>
      <c r="W101" s="29" t="inlineStr">
        <is>
          <t>XBRL US GAAP Certificate · AICPA &amp; XBRL US; XBRL International specifications; IFRS / US GAAP / Ind AS</t>
        </is>
      </c>
      <c r="X101" s="29" t="inlineStr">
        <is>
          <t>Core 2 · Future 2 · Functional 3 · Leadership not scored</t>
        </is>
      </c>
      <c r="Y101" s="52" t="n">
        <v>176</v>
      </c>
      <c r="Z101" s="53" t="inlineStr">
        <is>
          <t>IRIS1897</t>
        </is>
      </c>
      <c r="AA101" s="53" t="inlineStr">
        <is>
          <t>Employee</t>
        </is>
      </c>
      <c r="AB101" s="53" t="inlineStr">
        <is>
          <t>Active</t>
        </is>
      </c>
      <c r="AC101" s="53" t="inlineStr">
        <is>
          <t>Sunil Bist</t>
        </is>
      </c>
      <c r="AD101" s="54" t="n">
        <v>44228</v>
      </c>
      <c r="AE101" s="53" t="inlineStr">
        <is>
          <t>Financial Analyst</t>
        </is>
      </c>
      <c r="AF101" s="53" t="inlineStr">
        <is>
          <t>B.Com</t>
        </is>
      </c>
      <c r="AG101" s="53" t="inlineStr">
        <is>
          <t>Priyanka Mehra</t>
        </is>
      </c>
      <c r="AH101" s="53" t="inlineStr">
        <is>
          <t>N-7</t>
        </is>
      </c>
      <c r="AI101" s="53" t="inlineStr">
        <is>
          <t>Individual Contributor</t>
        </is>
      </c>
      <c r="AJ101" s="53" t="inlineStr">
        <is>
          <t>8 years, 5 months, 0 days</t>
        </is>
      </c>
      <c r="AK101" s="53" t="inlineStr">
        <is>
          <t>5 years, 6 months, 24 days</t>
        </is>
      </c>
      <c r="AL101" s="53" t="inlineStr">
        <is>
          <t>Regtech</t>
        </is>
      </c>
      <c r="AM101" s="53" t="inlineStr">
        <is>
          <t>CARBON</t>
        </is>
      </c>
      <c r="AN101" s="53" t="inlineStr">
        <is>
          <t>Services</t>
        </is>
      </c>
      <c r="AO101" s="53" t="inlineStr">
        <is>
          <t>Expert Assisted services</t>
        </is>
      </c>
      <c r="AP101" s="53" t="inlineStr">
        <is>
          <t>No</t>
        </is>
      </c>
      <c r="AQ101" s="53" t="inlineStr">
        <is>
          <t>Professional Services</t>
        </is>
      </c>
      <c r="AR101" s="53" t="inlineStr">
        <is>
          <t>XBRL Domain</t>
        </is>
      </c>
      <c r="AS101" s="53" t="inlineStr">
        <is>
          <t>Non-technical</t>
        </is>
      </c>
      <c r="AT101" s="53" t="n">
        <v>20</v>
      </c>
      <c r="AU101" s="53" t="inlineStr">
        <is>
          <t>Covered</t>
        </is>
      </c>
      <c r="AV101" s="53" t="inlineStr">
        <is>
          <t>IRIS1897</t>
        </is>
      </c>
      <c r="AW101" s="53" t="inlineStr">
        <is>
          <t>Sunil Bist</t>
        </is>
      </c>
      <c r="AX101" s="53" t="inlineStr">
        <is>
          <t>Services</t>
        </is>
      </c>
      <c r="AY101" s="53" t="inlineStr">
        <is>
          <t>Professional Services</t>
        </is>
      </c>
      <c r="AZ101" s="53" t="inlineStr">
        <is>
          <t>XBRL / Regulatory Reporting</t>
        </is>
      </c>
      <c r="BA101" s="53" t="n"/>
      <c r="BB101" s="53" t="n"/>
      <c r="BC101" s="53" t="inlineStr">
        <is>
          <t>Employee</t>
        </is>
      </c>
      <c r="BD101" s="53" t="inlineStr">
        <is>
          <t>Priyanka Mehra</t>
        </is>
      </c>
      <c r="BE101" s="53" t="inlineStr">
        <is>
          <t>Priyanka Mehra</t>
        </is>
      </c>
      <c r="BF101" s="53" t="inlineStr">
        <is>
          <t>No</t>
        </is>
      </c>
      <c r="BG101" s="53" t="inlineStr">
        <is>
          <t>Financial Analyst</t>
        </is>
      </c>
      <c r="BH101" s="53" t="inlineStr">
        <is>
          <t>Services Specialist</t>
        </is>
      </c>
      <c r="BI101" s="53" t="inlineStr">
        <is>
          <t>Yes</t>
        </is>
      </c>
      <c r="BJ101" s="53" t="inlineStr">
        <is>
          <t>—</t>
        </is>
      </c>
      <c r="BK101" s="53" t="inlineStr">
        <is>
          <t>—</t>
        </is>
      </c>
      <c r="BL101" s="53" t="inlineStr">
        <is>
          <t>—</t>
        </is>
      </c>
      <c r="BM101" s="53" t="inlineStr">
        <is>
          <t>Not a manager</t>
        </is>
      </c>
      <c r="BN101" s="53" t="inlineStr">
        <is>
          <t>—</t>
        </is>
      </c>
      <c r="BO101" s="53" t="inlineStr">
        <is>
          <t>—</t>
        </is>
      </c>
      <c r="BP101" s="53" t="inlineStr">
        <is>
          <t>—</t>
        </is>
      </c>
      <c r="BQ101" s="53" t="inlineStr">
        <is>
          <t>Not a manager</t>
        </is>
      </c>
      <c r="BR101" s="53" t="inlineStr">
        <is>
          <t>—</t>
        </is>
      </c>
      <c r="BS101" s="53" t="inlineStr">
        <is>
          <t>L3 – Professional / Associate</t>
        </is>
      </c>
      <c r="BT101" s="53" t="inlineStr">
        <is>
          <t>L2</t>
        </is>
      </c>
      <c r="BU101" s="53" t="inlineStr">
        <is>
          <t>Matched from Title Hierarchy · new designation</t>
        </is>
      </c>
      <c r="BV101"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W101" s="53" t="n"/>
      <c r="BX101" s="53" t="inlineStr">
        <is>
          <t>South Africa - CIPC.</t>
        </is>
      </c>
      <c r="BY101" s="53" t="n"/>
      <c r="BZ101" s="53" t="inlineStr">
        <is>
          <t>IRIS1897</t>
        </is>
      </c>
      <c r="CA101" s="53" t="inlineStr">
        <is>
          <t>Employee</t>
        </is>
      </c>
      <c r="CB101" s="53" t="inlineStr">
        <is>
          <t>Active</t>
        </is>
      </c>
      <c r="CC101" s="53" t="inlineStr">
        <is>
          <t>Sunil Bist</t>
        </is>
      </c>
      <c r="CD101" s="54" t="n">
        <v>44228</v>
      </c>
      <c r="CE101" s="53" t="inlineStr">
        <is>
          <t>Financial Analyst</t>
        </is>
      </c>
      <c r="CF101" s="53" t="n"/>
      <c r="CG101" s="53" t="inlineStr">
        <is>
          <t>Professional Services</t>
        </is>
      </c>
      <c r="CH101" s="53" t="inlineStr">
        <is>
          <t>XBRL / Regulatory Reporting</t>
        </is>
      </c>
      <c r="CI101" s="53" t="inlineStr">
        <is>
          <t>Financial Analyst</t>
        </is>
      </c>
      <c r="CJ101" s="53" t="inlineStr">
        <is>
          <t>L3 – Professional / Associate</t>
        </is>
      </c>
      <c r="CK101" s="53" t="inlineStr">
        <is>
          <t>Priyanka Mehra</t>
        </is>
      </c>
      <c r="CL101" s="53" t="inlineStr">
        <is>
          <t>N-7</t>
        </is>
      </c>
      <c r="CM101" s="53" t="inlineStr">
        <is>
          <t>Individual Contributor</t>
        </is>
      </c>
      <c r="CN101" s="53" t="inlineStr">
        <is>
          <t>Regtech</t>
        </is>
      </c>
      <c r="CO101" s="53" t="inlineStr">
        <is>
          <t>Services</t>
        </is>
      </c>
      <c r="CP101" s="53" t="inlineStr">
        <is>
          <t>13 years, 9 months, 19 days</t>
        </is>
      </c>
      <c r="CQ101" s="53" t="inlineStr">
        <is>
          <t>Services Specialist</t>
        </is>
      </c>
      <c r="CR101" s="53" t="n"/>
      <c r="CS101" s="53" t="n">
        <v>4</v>
      </c>
      <c r="CT101" s="53" t="inlineStr">
        <is>
          <t>High</t>
        </is>
      </c>
      <c r="CU101" s="53" t="inlineStr">
        <is>
          <t>Core Contributor</t>
        </is>
      </c>
      <c r="CV101" s="53" t="inlineStr">
        <is>
          <t>Yes</t>
        </is>
      </c>
      <c r="CW101" s="53" t="inlineStr">
        <is>
          <t>No</t>
        </is>
      </c>
      <c r="CX101" s="53" t="inlineStr">
        <is>
          <t>Yes</t>
        </is>
      </c>
      <c r="CY101" s="53" t="n"/>
      <c r="CZ101" s="53" t="n"/>
      <c r="DA101" s="53" t="n"/>
      <c r="DB101" s="53" t="inlineStr">
        <is>
          <t>Title to be standardized to : Services Specialist</t>
        </is>
      </c>
      <c r="DC101" s="53" t="n"/>
      <c r="DD101" s="53" t="n"/>
      <c r="DE101" s="53" t="n"/>
      <c r="DF101" s="53" t="n"/>
      <c r="DG101" s="53" t="n"/>
      <c r="DH101" s="53" t="n"/>
      <c r="DI101" s="53" t="n"/>
      <c r="DJ101" s="53" t="n"/>
      <c r="DK101" s="53" t="n"/>
      <c r="DL101" s="53" t="n"/>
      <c r="DM101" s="53" t="n"/>
      <c r="DN101" s="53" t="n"/>
      <c r="DO101" s="53" t="n"/>
      <c r="DP101" s="53" t="n"/>
      <c r="DQ101" s="53" t="n"/>
      <c r="DR101" s="53" t="n"/>
      <c r="DS101" s="53" t="n"/>
      <c r="DT101" s="53" t="n"/>
      <c r="DU101" s="53" t="n"/>
      <c r="DV101" s="53" t="n"/>
      <c r="DW101" s="53" t="n"/>
      <c r="DX101" s="53" t="n"/>
      <c r="DY101" s="53" t="n"/>
      <c r="DZ101" s="53" t="n"/>
      <c r="EA101" s="53" t="n"/>
      <c r="EB101" s="53" t="n"/>
      <c r="EC101" s="53" t="n"/>
      <c r="ED101" s="53" t="n"/>
      <c r="EE101" s="53" t="n"/>
      <c r="EF101" s="53" t="n"/>
      <c r="EG101" s="53" t="n"/>
      <c r="EH101" s="53" t="n"/>
      <c r="EI101" s="53" t="n"/>
      <c r="EJ101" s="53" t="n"/>
      <c r="EK101" s="53" t="n"/>
      <c r="EL101" s="53" t="n"/>
      <c r="EM101" s="53" t="n"/>
      <c r="EN101" s="53" t="n"/>
      <c r="EO101" s="53" t="n"/>
      <c r="EP101" s="53" t="n"/>
      <c r="EQ101" s="53" t="n"/>
      <c r="ER101" s="53" t="n"/>
      <c r="ES101" s="53" t="n"/>
      <c r="ET101" s="53" t="n"/>
      <c r="EU101" s="53" t="n"/>
      <c r="EV101" s="53" t="n"/>
      <c r="EW101" s="52" t="n"/>
      <c r="EX101" s="53" t="inlineStr">
        <is>
          <t>• Role / sub-team: CIPC · Carbon Service Department.</t>
        </is>
      </c>
      <c r="EY101" s="53" t="inlineStr">
        <is>
          <t>• Key responsibilities include: Tagging and QC of files, Doubt Solving of Tagging query , Solving client queries when it is raised.
• Reported deliverables and outcomes include: Completed files are mailed to the Carbon SA PMO.</t>
        </is>
      </c>
      <c r="EZ101" s="53" t="inlineStr">
        <is>
          <t>• Current capabilities: Communication; Tools / software used: HTML - Editor.</t>
        </is>
      </c>
      <c r="FA101" s="53" t="inlineStr">
        <is>
          <t>• Development priorities: No input received.
• Learning and Development Need: Focus on time management.</t>
        </is>
      </c>
      <c r="FB101" s="53" t="inlineStr">
        <is>
          <t>• Key challenges: No input received.
• Support required: No input received.</t>
        </is>
      </c>
      <c r="FC101" s="53" t="n"/>
      <c r="FD101" s="53" t="n"/>
      <c r="FE101"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FF101" s="56" t="n"/>
      <c r="FG101" s="56" t="n"/>
      <c r="FH101" s="56" t="n"/>
      <c r="FI101" s="56" t="n"/>
      <c r="FJ101" s="56" t="inlineStr">
        <is>
          <t>Received · manager annual</t>
        </is>
      </c>
      <c r="FK101" s="56" t="inlineStr">
        <is>
          <t>CARBON Mapping Master</t>
        </is>
      </c>
      <c r="FL101" s="56" t="n">
        <v>20</v>
      </c>
      <c r="FM101" s="56" t="inlineStr">
        <is>
          <t>• Role / sub-team: CIPC · Carbon Service Department.</t>
        </is>
      </c>
      <c r="FN101" s="56" t="inlineStr">
        <is>
          <t>• Key responsibilities include: Tagging and QC of files, Doubt Solving of Tagging query , Solving client queries when it is raised.
• Reported deliverables and outcomes include: Completed files are mailed to the Carbon SA PMO.</t>
        </is>
      </c>
      <c r="FO101" s="56" t="inlineStr">
        <is>
          <t>• Current capabilities: Communication; Tools / software used: HTML - Editor.</t>
        </is>
      </c>
      <c r="FP101" s="56" t="inlineStr">
        <is>
          <t>• Development priorities: No input received.
• Learning and Development Need: Focus on time management.</t>
        </is>
      </c>
      <c r="FQ101" s="56" t="inlineStr">
        <is>
          <t>• Key challenges: No input received.
• Support required: No input received.</t>
        </is>
      </c>
      <c r="FR101" s="56" t="inlineStr">
        <is>
          <t>Complexity: Evidence reads like A3: CIPC iXBRL tagging plus quality checking, validation and solving tagging doubts and client queries → moved up 0.5
Autonomy: Evidence reads like A2: Selects tags from the taxonomy and prioritises assigned files by deadline; nothing wider described → matches the start
Accountability: Evidence reads like A2: Accuracy and completeness of own tagging; final file goes to the PMO → matches the start
Leadership: Evidence reads like A2: Solves colleagues' tagging doubts per manager note; no team responsibility → moved up 0.5
Business Impact: Moved +0.5: the survey / manager mapping marks it business-critical.</t>
        </is>
      </c>
      <c r="FS101" s="56"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FT101" s="56" t="inlineStr">
        <is>
          <t>Self-identified: Domain, regulatory &amp; XBRL
For the next role: AI / automation · Leadership &amp; people management · Data, SQL &amp; analytics · Domain, regulatory &amp; XBRL · Product &amp; tool knowledge · Broader exposure &amp; ownership</t>
        </is>
      </c>
      <c r="FU101" s="56" t="inlineStr">
        <is>
          <t>Per-person summary · CARBON Mapping Master</t>
        </is>
      </c>
    </row>
    <row r="102" ht="90" customHeight="1">
      <c r="A102" s="51" t="inlineStr">
        <is>
          <t>◂ Back</t>
        </is>
      </c>
      <c r="B102" s="29" t="inlineStr">
        <is>
          <t>Mapped</t>
        </is>
      </c>
      <c r="C102" s="28" t="inlineStr">
        <is>
          <t>CARBON</t>
        </is>
      </c>
      <c r="D102" s="29" t="inlineStr">
        <is>
          <t>IRISC212</t>
        </is>
      </c>
      <c r="E102" s="29" t="inlineStr">
        <is>
          <t>Vishakha Vitmal</t>
        </is>
      </c>
      <c r="F102" s="29" t="inlineStr">
        <is>
          <t>Services</t>
        </is>
      </c>
      <c r="G102" s="29" t="inlineStr">
        <is>
          <t>Consultant</t>
        </is>
      </c>
      <c r="H102" s="29" t="inlineStr">
        <is>
          <t>Senior Financial Analyst</t>
        </is>
      </c>
      <c r="I102" s="29" t="inlineStr">
        <is>
          <t>L3 – Professional / Associate</t>
        </is>
      </c>
      <c r="J102" s="29" t="inlineStr">
        <is>
          <t>A3</t>
        </is>
      </c>
      <c r="K102" s="29" t="inlineStr">
        <is>
          <t>▲ Up</t>
        </is>
      </c>
      <c r="L102" s="29" t="inlineStr">
        <is>
          <t>Consulting &amp; Professional Services</t>
        </is>
      </c>
      <c r="M102" s="29" t="inlineStr">
        <is>
          <t>XBRL Tagging, Conversion &amp; Filing</t>
        </is>
      </c>
      <c r="N102" s="29" t="inlineStr">
        <is>
          <t>• Correct the experience record — HR</t>
        </is>
      </c>
      <c r="O102" s="29" t="n">
        <v>19</v>
      </c>
      <c r="P102" s="28" t="inlineStr">
        <is>
          <t>P2</t>
        </is>
      </c>
      <c r="Q102" s="29" t="inlineStr">
        <is>
          <t>Developing</t>
        </is>
      </c>
      <c r="R102" s="29" t="inlineStr">
        <is>
          <t>3 Apply</t>
        </is>
      </c>
      <c r="S102" s="29" t="inlineStr">
        <is>
          <t>2–4 yrs</t>
        </is>
      </c>
      <c r="T102" s="29" t="inlineStr">
        <is>
          <t>3–5 · 2–5</t>
        </is>
      </c>
      <c r="U102" s="29" t="inlineStr">
        <is>
          <t>Senior Analyst / Associate</t>
        </is>
      </c>
      <c r="V102" s="29" t="inlineStr">
        <is>
          <t>DataTracks: Senior Associate · 2–5 yrs · Big Four: Consultant · IRIS Vs Market Benchmark — XBRL US credential pathway: XBRL US GAAP Certificate</t>
        </is>
      </c>
      <c r="W102" s="29" t="inlineStr">
        <is>
          <t>XBRL US GAAP Certificate · AICPA &amp; XBRL US; XBRL International specifications; IFRS / US GAAP / Ind AS</t>
        </is>
      </c>
      <c r="X102" s="29" t="inlineStr">
        <is>
          <t>Core 2 · Future 2 · Functional 3 · Leadership not scored</t>
        </is>
      </c>
      <c r="Y102" s="52" t="n">
        <v>188</v>
      </c>
      <c r="Z102" s="53" t="inlineStr">
        <is>
          <t>IRISC212</t>
        </is>
      </c>
      <c r="AA102" s="53" t="inlineStr">
        <is>
          <t>On Contract</t>
        </is>
      </c>
      <c r="AB102" s="53" t="inlineStr">
        <is>
          <t>Active</t>
        </is>
      </c>
      <c r="AC102" s="53" t="inlineStr">
        <is>
          <t>Vishakha Vitmal</t>
        </is>
      </c>
      <c r="AD102" s="54" t="n">
        <v>44385</v>
      </c>
      <c r="AE102" s="53" t="inlineStr">
        <is>
          <t>Consultant</t>
        </is>
      </c>
      <c r="AF102" s="53" t="inlineStr">
        <is>
          <t>B.Com</t>
        </is>
      </c>
      <c r="AG102" s="53" t="inlineStr">
        <is>
          <t>Priyanka Mehra</t>
        </is>
      </c>
      <c r="AH102" s="53" t="inlineStr">
        <is>
          <t>N-7</t>
        </is>
      </c>
      <c r="AI102" s="53" t="inlineStr">
        <is>
          <t>Individual Contributor</t>
        </is>
      </c>
      <c r="AJ102" s="53" t="inlineStr">
        <is>
          <t>0 years, 0 months, 0 days</t>
        </is>
      </c>
      <c r="AK102" s="53" t="inlineStr">
        <is>
          <t>5 years, 1 months, 17 days</t>
        </is>
      </c>
      <c r="AL102" s="53" t="inlineStr">
        <is>
          <t>Regtech</t>
        </is>
      </c>
      <c r="AM102" s="53" t="inlineStr">
        <is>
          <t>CARBON</t>
        </is>
      </c>
      <c r="AN102" s="53" t="inlineStr">
        <is>
          <t>Services</t>
        </is>
      </c>
      <c r="AO102" s="53" t="inlineStr">
        <is>
          <t>Expert Assisted services</t>
        </is>
      </c>
      <c r="AP102" s="53" t="inlineStr">
        <is>
          <t>No</t>
        </is>
      </c>
      <c r="AQ102" s="53" t="inlineStr">
        <is>
          <t>Professional Services</t>
        </is>
      </c>
      <c r="AR102" s="53" t="inlineStr">
        <is>
          <t>XBRL Domain</t>
        </is>
      </c>
      <c r="AS102" s="53" t="inlineStr">
        <is>
          <t>Non-technical</t>
        </is>
      </c>
      <c r="AT102" s="53" t="n">
        <v>20</v>
      </c>
      <c r="AU102" s="53" t="inlineStr">
        <is>
          <t>Covered</t>
        </is>
      </c>
      <c r="AV102" s="53" t="inlineStr">
        <is>
          <t>IRISC212</t>
        </is>
      </c>
      <c r="AW102" s="53" t="inlineStr">
        <is>
          <t>Vishakha Vitmal</t>
        </is>
      </c>
      <c r="AX102" s="53" t="inlineStr">
        <is>
          <t>Services</t>
        </is>
      </c>
      <c r="AY102" s="53" t="inlineStr">
        <is>
          <t>Professional Services</t>
        </is>
      </c>
      <c r="AZ102" s="53" t="inlineStr">
        <is>
          <t>XBRL / Regulatory Reporting</t>
        </is>
      </c>
      <c r="BA102" s="53" t="n"/>
      <c r="BB102" s="53" t="n"/>
      <c r="BC102" s="53" t="inlineStr">
        <is>
          <t>On Contract</t>
        </is>
      </c>
      <c r="BD102" s="53" t="inlineStr">
        <is>
          <t>Priyanka Mehra</t>
        </is>
      </c>
      <c r="BE102" s="53" t="inlineStr">
        <is>
          <t>Priyanka Mehra</t>
        </is>
      </c>
      <c r="BF102" s="53" t="inlineStr">
        <is>
          <t>No</t>
        </is>
      </c>
      <c r="BG102" s="53" t="inlineStr">
        <is>
          <t>Consultant</t>
        </is>
      </c>
      <c r="BH102" s="53" t="inlineStr">
        <is>
          <t>Consultant</t>
        </is>
      </c>
      <c r="BI102" s="53" t="inlineStr">
        <is>
          <t>No</t>
        </is>
      </c>
      <c r="BJ102" s="53" t="inlineStr">
        <is>
          <t>—</t>
        </is>
      </c>
      <c r="BK102" s="53" t="inlineStr">
        <is>
          <t>—</t>
        </is>
      </c>
      <c r="BL102" s="53" t="inlineStr">
        <is>
          <t>—</t>
        </is>
      </c>
      <c r="BM102" s="53" t="inlineStr">
        <is>
          <t>Not a manager</t>
        </is>
      </c>
      <c r="BN102" s="53" t="inlineStr">
        <is>
          <t>—</t>
        </is>
      </c>
      <c r="BO102" s="53" t="inlineStr">
        <is>
          <t>—</t>
        </is>
      </c>
      <c r="BP102" s="53" t="inlineStr">
        <is>
          <t>—</t>
        </is>
      </c>
      <c r="BQ102" s="53" t="inlineStr">
        <is>
          <t>Not a manager</t>
        </is>
      </c>
      <c r="BR102" s="53" t="inlineStr">
        <is>
          <t>—</t>
        </is>
      </c>
      <c r="BS102" s="53" t="inlineStr">
        <is>
          <t>L3 – Professional / Associate</t>
        </is>
      </c>
      <c r="BT102" s="53" t="inlineStr">
        <is>
          <t>L3 – Professional / Associate</t>
        </is>
      </c>
      <c r="BU102" s="53" t="inlineStr">
        <is>
          <t>No designation change — current record value carried forward</t>
        </is>
      </c>
      <c r="BV102"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W102" s="53" t="n"/>
      <c r="BX102" s="53" t="inlineStr">
        <is>
          <t>South Africa - CIPC; India - MCA.</t>
        </is>
      </c>
      <c r="BY102" s="53" t="n"/>
      <c r="BZ102" s="53" t="inlineStr">
        <is>
          <t>IRISC212</t>
        </is>
      </c>
      <c r="CA102" s="53" t="inlineStr">
        <is>
          <t>On Contract</t>
        </is>
      </c>
      <c r="CB102" s="53" t="inlineStr">
        <is>
          <t>Active</t>
        </is>
      </c>
      <c r="CC102" s="53" t="inlineStr">
        <is>
          <t>Vishakha Vitmal</t>
        </is>
      </c>
      <c r="CD102" s="54" t="n">
        <v>44385</v>
      </c>
      <c r="CE102" s="53" t="inlineStr">
        <is>
          <t>Consultant</t>
        </is>
      </c>
      <c r="CF102" s="53" t="inlineStr">
        <is>
          <t>Tagging</t>
        </is>
      </c>
      <c r="CG102" s="53" t="inlineStr">
        <is>
          <t>Professional Services</t>
        </is>
      </c>
      <c r="CH102" s="53" t="inlineStr">
        <is>
          <t>XBRL / Regulatory Reporting</t>
        </is>
      </c>
      <c r="CI102" s="53" t="inlineStr">
        <is>
          <t>Consultant</t>
        </is>
      </c>
      <c r="CJ102" s="53" t="inlineStr">
        <is>
          <t>L3 – Professional / Associate</t>
        </is>
      </c>
      <c r="CK102" s="53" t="inlineStr">
        <is>
          <t>Priyanka Mehra</t>
        </is>
      </c>
      <c r="CL102" s="53" t="inlineStr">
        <is>
          <t>N-7</t>
        </is>
      </c>
      <c r="CM102" s="53" t="inlineStr">
        <is>
          <t>Individual Contributor</t>
        </is>
      </c>
      <c r="CN102" s="53" t="inlineStr">
        <is>
          <t>Regtech</t>
        </is>
      </c>
      <c r="CO102" s="53" t="inlineStr">
        <is>
          <t>Services</t>
        </is>
      </c>
      <c r="CP102" s="53" t="inlineStr">
        <is>
          <t>4 years, 11 months, 12 days</t>
        </is>
      </c>
      <c r="CQ102" s="53" t="n"/>
      <c r="CR102" s="53" t="n"/>
      <c r="CS102" s="53" t="n">
        <v>3</v>
      </c>
      <c r="CT102" s="53" t="inlineStr">
        <is>
          <t>Medium</t>
        </is>
      </c>
      <c r="CU102" s="53" t="inlineStr">
        <is>
          <t>Core Contributor</t>
        </is>
      </c>
      <c r="CV102" s="53" t="inlineStr">
        <is>
          <t>No</t>
        </is>
      </c>
      <c r="CW102" s="53" t="inlineStr">
        <is>
          <t>No</t>
        </is>
      </c>
      <c r="CX102" s="53" t="inlineStr">
        <is>
          <t>Yes</t>
        </is>
      </c>
      <c r="CY102" s="53" t="n"/>
      <c r="CZ102" s="53" t="n"/>
      <c r="DA102" s="53" t="n"/>
      <c r="DB102" s="53" t="n"/>
      <c r="DC102" s="53" t="n"/>
      <c r="DD102" s="53" t="n"/>
      <c r="DE102" s="53" t="n"/>
      <c r="DF102" s="53" t="n"/>
      <c r="DG102" s="53" t="n"/>
      <c r="DH102" s="53" t="n"/>
      <c r="DI102" s="53" t="n"/>
      <c r="DJ102" s="53" t="n"/>
      <c r="DK102" s="53" t="n"/>
      <c r="DL102" s="53" t="n"/>
      <c r="DM102" s="53" t="n"/>
      <c r="DN102" s="53" t="n"/>
      <c r="DO102" s="53" t="n"/>
      <c r="DP102" s="53" t="n"/>
      <c r="DQ102" s="53" t="n"/>
      <c r="DR102" s="53" t="n"/>
      <c r="DS102" s="53" t="n"/>
      <c r="DT102" s="53" t="n"/>
      <c r="DU102" s="53" t="n"/>
      <c r="DV102" s="53" t="n"/>
      <c r="DW102" s="53" t="n"/>
      <c r="DX102" s="53" t="n"/>
      <c r="DY102" s="53" t="n"/>
      <c r="DZ102" s="53" t="n"/>
      <c r="EA102" s="53" t="n"/>
      <c r="EB102" s="53" t="n"/>
      <c r="EC102" s="53" t="n"/>
      <c r="ED102" s="53" t="n"/>
      <c r="EE102" s="53" t="n"/>
      <c r="EF102" s="53" t="n"/>
      <c r="EG102" s="53" t="n"/>
      <c r="EH102" s="53" t="n"/>
      <c r="EI102" s="53" t="n"/>
      <c r="EJ102" s="53" t="n"/>
      <c r="EK102" s="53" t="n"/>
      <c r="EL102" s="53" t="n"/>
      <c r="EM102" s="53" t="n"/>
      <c r="EN102" s="53" t="n"/>
      <c r="EO102" s="53" t="n"/>
      <c r="EP102" s="53" t="n"/>
      <c r="EQ102" s="53" t="n"/>
      <c r="ER102" s="53" t="n"/>
      <c r="ES102" s="53" t="n"/>
      <c r="ET102" s="53" t="n"/>
      <c r="EU102" s="53" t="n"/>
      <c r="EV102" s="53" t="n"/>
      <c r="EW102" s="52" t="n"/>
      <c r="EX102" s="53" t="inlineStr">
        <is>
          <t>• Role / sub-team: Tagging.</t>
        </is>
      </c>
      <c r="EY102" s="53" t="inlineStr">
        <is>
          <t>• Key responsibilities include: Tagging, validation, client call ; doubt solving. [session recording].
• Reported deliverables and outcomes include: MCA file directly send to client and Cipc file send to Pmo file upload to client.
• Additional duties outside usual job: Qc or queries solve to client.</t>
        </is>
      </c>
      <c r="EZ102" s="53" t="inlineStr">
        <is>
          <t>• Current capabilities: Coordination.</t>
        </is>
      </c>
      <c r="FA102" s="53" t="inlineStr">
        <is>
          <t>• Development priorities: No input received.
• Learning and Development Need: No input received.</t>
        </is>
      </c>
      <c r="FB102" s="53" t="inlineStr">
        <is>
          <t>• Key challenges: When 5-6 files are uploaded in a single day there is a delay in work, because the team is on continuous client calls.
• Support required: No input received.</t>
        </is>
      </c>
      <c r="FC102" s="53" t="n"/>
      <c r="FD102" s="53" t="n"/>
      <c r="FE102"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FF102" s="56" t="n"/>
      <c r="FG102" s="56" t="n"/>
      <c r="FH102" s="56" t="n"/>
      <c r="FI102" s="56" t="inlineStr">
        <is>
          <t>Tagging</t>
        </is>
      </c>
      <c r="FJ102" s="56" t="inlineStr">
        <is>
          <t>Received · manager annual</t>
        </is>
      </c>
      <c r="FK102" s="56" t="inlineStr">
        <is>
          <t>CARBON Mapping Master · CARBON Talent Mapping · Raw</t>
        </is>
      </c>
      <c r="FL102" s="56" t="n">
        <v>19</v>
      </c>
      <c r="FM102" s="56" t="inlineStr">
        <is>
          <t>• Role / sub-team: Tagging.</t>
        </is>
      </c>
      <c r="FN102" s="56" t="inlineStr">
        <is>
          <t>• Key responsibilities include: Tagging, validation, client call ; doubt solving. [session recording].
• Reported deliverables and outcomes include: MCA file directly send to client and Cipc file send to Pmo file upload to client.
• Additional duties outside usual job: Qc or queries solve to client.</t>
        </is>
      </c>
      <c r="FO102" s="56" t="inlineStr">
        <is>
          <t>• Current capabilities: Coordination.</t>
        </is>
      </c>
      <c r="FP102" s="56" t="inlineStr">
        <is>
          <t>• Development priorities: No input received.
• Learning and Development Need: No input received.</t>
        </is>
      </c>
      <c r="FQ102" s="56" t="inlineStr">
        <is>
          <t>• Key challenges: When 5-6 files are uploaded in a single day there is a delay in work, because the team is on continuous client calls.
• Support required: No input received.</t>
        </is>
      </c>
      <c r="FR102" s="56" t="inlineStr">
        <is>
          <t>Complexity: Evidence reads like A3: MCA taxonomy tagging, QA, troubleshooting validation errors, advising clients on taxonomy rules → moved up 0.5
Autonomy: Evidence reads like A3: Selects tags, resolves validation errors, finalises files for upload; MCA files go straight to client → moved up 0.5
Accountability: Evidence reads like A3: Own files sent directly to clients; wrong guidance or late filing means client penalties → moved up 0.5
Leadership: Evidence reads like A1: No guidance or leadership of others described → matches the start
Business Impact: Moved +0.5: the survey / manager mapping marks it business-critical.</t>
        </is>
      </c>
      <c r="FS102" s="56"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FT102" s="56" t="inlineStr">
        <is>
          <t>Self-identified: Project / programme management
For the next role: Project / programme management</t>
        </is>
      </c>
      <c r="FU102" s="56" t="inlineStr">
        <is>
          <t>Per-person summary · CARBON Mapping Master</t>
        </is>
      </c>
    </row>
    <row r="103" ht="90" customHeight="1">
      <c r="A103" s="51" t="inlineStr">
        <is>
          <t>◂ Back</t>
        </is>
      </c>
      <c r="B103" s="29" t="inlineStr">
        <is>
          <t>Mapped</t>
        </is>
      </c>
      <c r="C103" s="28" t="inlineStr">
        <is>
          <t>CARBON</t>
        </is>
      </c>
      <c r="D103" s="29" t="inlineStr">
        <is>
          <t>IRISC341</t>
        </is>
      </c>
      <c r="E103" s="29" t="inlineStr">
        <is>
          <t>Anjali Singh</t>
        </is>
      </c>
      <c r="F103" s="29" t="inlineStr">
        <is>
          <t>Services</t>
        </is>
      </c>
      <c r="G103" s="29" t="inlineStr">
        <is>
          <t>Consultant</t>
        </is>
      </c>
      <c r="H103" s="29" t="inlineStr">
        <is>
          <t>Financial Analyst</t>
        </is>
      </c>
      <c r="I103" s="29" t="inlineStr">
        <is>
          <t>L3 – Professional / Associate</t>
        </is>
      </c>
      <c r="J103" s="29" t="inlineStr">
        <is>
          <t>A2</t>
        </is>
      </c>
      <c r="K103" s="29" t="inlineStr">
        <is>
          <t>• Same level</t>
        </is>
      </c>
      <c r="L103" s="29" t="inlineStr">
        <is>
          <t>Consulting &amp; Professional Services</t>
        </is>
      </c>
      <c r="M103" s="29" t="inlineStr">
        <is>
          <t>XBRL Tagging, Conversion &amp; Filing</t>
        </is>
      </c>
      <c r="N103" s="29" t="n"/>
      <c r="O103" s="29" t="n">
        <v>20</v>
      </c>
      <c r="P103" s="28" t="inlineStr">
        <is>
          <t>P1–P2</t>
        </is>
      </c>
      <c r="Q103" s="29" t="inlineStr">
        <is>
          <t>Entry / Developing</t>
        </is>
      </c>
      <c r="R103" s="29" t="inlineStr">
        <is>
          <t>2 Assist</t>
        </is>
      </c>
      <c r="S103" s="29" t="inlineStr">
        <is>
          <t>0–2 yrs</t>
        </is>
      </c>
      <c r="T103" s="29" t="inlineStr">
        <is>
          <t>1–3 · 0–3</t>
        </is>
      </c>
      <c r="U103" s="29" t="inlineStr">
        <is>
          <t>Analyst / Senior Analyst / Associate</t>
        </is>
      </c>
      <c r="V103" s="29" t="inlineStr">
        <is>
          <t>Toppan Merrill: XBRL Financial Analyst, Associate · DataTracks: Associate · Big Four: Analyst</t>
        </is>
      </c>
      <c r="W103" s="29" t="inlineStr">
        <is>
          <t>XBRL US GAAP Certificate · AICPA &amp; XBRL US; XBRL International specifications; IFRS / US GAAP / Ind AS</t>
        </is>
      </c>
      <c r="X103" s="29" t="inlineStr">
        <is>
          <t>Core 2 · Future 2 · Functional 2 · Leadership not scored</t>
        </is>
      </c>
      <c r="Y103" s="52" t="n">
        <v>449</v>
      </c>
      <c r="Z103" s="53" t="inlineStr">
        <is>
          <t>IRISC341</t>
        </is>
      </c>
      <c r="AA103" s="53" t="inlineStr">
        <is>
          <t>On Contract</t>
        </is>
      </c>
      <c r="AB103" s="53" t="inlineStr">
        <is>
          <t>Active</t>
        </is>
      </c>
      <c r="AC103" s="53" t="inlineStr">
        <is>
          <t>Anjali Singh</t>
        </is>
      </c>
      <c r="AD103" s="54" t="n">
        <v>46056</v>
      </c>
      <c r="AE103" s="53" t="inlineStr">
        <is>
          <t>Consultant</t>
        </is>
      </c>
      <c r="AF103" s="53" t="inlineStr">
        <is>
          <t>M.Com</t>
        </is>
      </c>
      <c r="AG103" s="53" t="inlineStr">
        <is>
          <t>Priyanka Mehra</t>
        </is>
      </c>
      <c r="AH103" s="53" t="inlineStr">
        <is>
          <t>N-7</t>
        </is>
      </c>
      <c r="AI103" s="53" t="inlineStr">
        <is>
          <t>Individual Contributor</t>
        </is>
      </c>
      <c r="AJ103" s="53" t="inlineStr">
        <is>
          <t>0 years, 8 months, 0 days</t>
        </is>
      </c>
      <c r="AK103" s="53" t="inlineStr">
        <is>
          <t>0 years, 6 months, 22 days</t>
        </is>
      </c>
      <c r="AL103" s="53" t="inlineStr">
        <is>
          <t>Regtech</t>
        </is>
      </c>
      <c r="AM103" s="53" t="inlineStr">
        <is>
          <t>CARBON</t>
        </is>
      </c>
      <c r="AN103" s="53" t="inlineStr">
        <is>
          <t>Services</t>
        </is>
      </c>
      <c r="AO103" s="53" t="inlineStr">
        <is>
          <t>Expert Assisted services</t>
        </is>
      </c>
      <c r="AP103" s="53" t="inlineStr">
        <is>
          <t>No</t>
        </is>
      </c>
      <c r="AQ103" s="53" t="inlineStr">
        <is>
          <t>Professional Services</t>
        </is>
      </c>
      <c r="AR103" s="53" t="inlineStr">
        <is>
          <t>XBRL Domain</t>
        </is>
      </c>
      <c r="AS103" s="53" t="inlineStr">
        <is>
          <t>Non-technical</t>
        </is>
      </c>
      <c r="AT103" s="53" t="n">
        <v>20</v>
      </c>
      <c r="AU103" s="53" t="inlineStr">
        <is>
          <t>Covered</t>
        </is>
      </c>
      <c r="AV103" s="53" t="inlineStr">
        <is>
          <t>IRISC341</t>
        </is>
      </c>
      <c r="AW103" s="53" t="inlineStr">
        <is>
          <t>Anjali Singh</t>
        </is>
      </c>
      <c r="AX103" s="53" t="inlineStr">
        <is>
          <t>Services</t>
        </is>
      </c>
      <c r="AY103" s="53" t="inlineStr">
        <is>
          <t>Professional Services</t>
        </is>
      </c>
      <c r="AZ103" s="53" t="inlineStr">
        <is>
          <t>XBRL / Regulatory Reporting</t>
        </is>
      </c>
      <c r="BA103" s="53" t="n"/>
      <c r="BB103" s="53" t="n"/>
      <c r="BC103" s="53" t="inlineStr">
        <is>
          <t>On Contract</t>
        </is>
      </c>
      <c r="BD103" s="53" t="inlineStr">
        <is>
          <t>Priyanka Mehra</t>
        </is>
      </c>
      <c r="BE103" s="53" t="inlineStr">
        <is>
          <t>Priyanka Mehra</t>
        </is>
      </c>
      <c r="BF103" s="53" t="inlineStr">
        <is>
          <t>No</t>
        </is>
      </c>
      <c r="BG103" s="53" t="inlineStr">
        <is>
          <t>Consultant</t>
        </is>
      </c>
      <c r="BH103" s="53" t="inlineStr">
        <is>
          <t>Consultant</t>
        </is>
      </c>
      <c r="BI103" s="53" t="inlineStr">
        <is>
          <t>No</t>
        </is>
      </c>
      <c r="BJ103" s="53" t="inlineStr">
        <is>
          <t>—</t>
        </is>
      </c>
      <c r="BK103" s="53" t="inlineStr">
        <is>
          <t>—</t>
        </is>
      </c>
      <c r="BL103" s="53" t="inlineStr">
        <is>
          <t>—</t>
        </is>
      </c>
      <c r="BM103" s="53" t="inlineStr">
        <is>
          <t>Not a manager</t>
        </is>
      </c>
      <c r="BN103" s="53" t="inlineStr">
        <is>
          <t>—</t>
        </is>
      </c>
      <c r="BO103" s="53" t="inlineStr">
        <is>
          <t>—</t>
        </is>
      </c>
      <c r="BP103" s="53" t="inlineStr">
        <is>
          <t>—</t>
        </is>
      </c>
      <c r="BQ103" s="53" t="inlineStr">
        <is>
          <t>Not a manager</t>
        </is>
      </c>
      <c r="BR103" s="53" t="inlineStr">
        <is>
          <t>—</t>
        </is>
      </c>
      <c r="BS103" s="53" t="inlineStr">
        <is>
          <t>L3 – Professional / Associate</t>
        </is>
      </c>
      <c r="BT103" s="53" t="inlineStr">
        <is>
          <t>L3 – Professional / Associate</t>
        </is>
      </c>
      <c r="BU103" s="53" t="inlineStr">
        <is>
          <t>No designation change — current record value carried forward</t>
        </is>
      </c>
      <c r="BV103"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W103" s="53" t="n"/>
      <c r="BX103" s="53" t="inlineStr">
        <is>
          <t>South Africa - CIPC · On Contract.</t>
        </is>
      </c>
      <c r="BY103" s="53" t="n"/>
      <c r="BZ103" s="53" t="inlineStr">
        <is>
          <t>IRISC341</t>
        </is>
      </c>
      <c r="CA103" s="53" t="inlineStr">
        <is>
          <t>On Contract</t>
        </is>
      </c>
      <c r="CB103" s="53" t="inlineStr">
        <is>
          <t>Active</t>
        </is>
      </c>
      <c r="CC103" s="53" t="inlineStr">
        <is>
          <t>Anjali Singh</t>
        </is>
      </c>
      <c r="CD103" s="54" t="n">
        <v>46056</v>
      </c>
      <c r="CE103" s="53" t="inlineStr">
        <is>
          <t>Consultant</t>
        </is>
      </c>
      <c r="CF103" s="53" t="n"/>
      <c r="CG103" s="53" t="inlineStr">
        <is>
          <t>Professional Services</t>
        </is>
      </c>
      <c r="CH103" s="53" t="inlineStr">
        <is>
          <t>XBRL / Regulatory Reporting</t>
        </is>
      </c>
      <c r="CI103" s="53" t="inlineStr">
        <is>
          <t>Consultant</t>
        </is>
      </c>
      <c r="CJ103" s="53" t="inlineStr">
        <is>
          <t>L3 – Professional / Associate</t>
        </is>
      </c>
      <c r="CK103" s="53" t="inlineStr">
        <is>
          <t>Priyanka Mehra</t>
        </is>
      </c>
      <c r="CL103" s="53" t="inlineStr">
        <is>
          <t>N-7</t>
        </is>
      </c>
      <c r="CM103" s="53" t="inlineStr">
        <is>
          <t>Individual Contributor</t>
        </is>
      </c>
      <c r="CN103" s="53" t="inlineStr">
        <is>
          <t>Regtech</t>
        </is>
      </c>
      <c r="CO103" s="53" t="inlineStr">
        <is>
          <t>Services</t>
        </is>
      </c>
      <c r="CP103" s="53" t="inlineStr">
        <is>
          <t>1 years, 0 months, 17 days</t>
        </is>
      </c>
      <c r="CQ103" s="53" t="n"/>
      <c r="CR103" s="53" t="n"/>
      <c r="CS103" s="53" t="n">
        <v>2</v>
      </c>
      <c r="CT103" s="53" t="inlineStr">
        <is>
          <t>Low</t>
        </is>
      </c>
      <c r="CU103" s="53" t="inlineStr">
        <is>
          <t>Reliable Specialist</t>
        </is>
      </c>
      <c r="CV103" s="53" t="inlineStr">
        <is>
          <t>No</t>
        </is>
      </c>
      <c r="CW103" s="53" t="inlineStr">
        <is>
          <t>No</t>
        </is>
      </c>
      <c r="CX103" s="53" t="inlineStr">
        <is>
          <t>Yes</t>
        </is>
      </c>
      <c r="CY103" s="53" t="n"/>
      <c r="CZ103" s="53" t="n"/>
      <c r="DA103" s="53" t="n"/>
      <c r="DB103" s="53" t="n"/>
      <c r="DC103" s="53" t="n"/>
      <c r="DD103" s="53" t="n"/>
      <c r="DE103" s="53" t="n"/>
      <c r="DF103" s="53" t="n"/>
      <c r="DG103" s="53" t="n"/>
      <c r="DH103" s="53" t="n"/>
      <c r="DI103" s="53" t="n"/>
      <c r="DJ103" s="53" t="n"/>
      <c r="DK103" s="53" t="n"/>
      <c r="DL103" s="53" t="n"/>
      <c r="DM103" s="53" t="n"/>
      <c r="DN103" s="53" t="n"/>
      <c r="DO103" s="53" t="n"/>
      <c r="DP103" s="53" t="n"/>
      <c r="DQ103" s="53" t="n"/>
      <c r="DR103" s="53" t="n"/>
      <c r="DS103" s="53" t="n"/>
      <c r="DT103" s="53" t="n"/>
      <c r="DU103" s="53" t="n"/>
      <c r="DV103" s="53" t="n"/>
      <c r="DW103" s="53" t="n"/>
      <c r="DX103" s="53" t="n"/>
      <c r="DY103" s="53" t="n"/>
      <c r="DZ103" s="53" t="n"/>
      <c r="EA103" s="53" t="n"/>
      <c r="EB103" s="53" t="n"/>
      <c r="EC103" s="53" t="n"/>
      <c r="ED103" s="53" t="n"/>
      <c r="EE103" s="53" t="n"/>
      <c r="EF103" s="53" t="n"/>
      <c r="EG103" s="53" t="n"/>
      <c r="EH103" s="53" t="n"/>
      <c r="EI103" s="53" t="n"/>
      <c r="EJ103" s="53" t="n"/>
      <c r="EK103" s="53" t="n"/>
      <c r="EL103" s="53" t="n"/>
      <c r="EM103" s="53" t="n"/>
      <c r="EN103" s="53" t="n"/>
      <c r="EO103" s="53" t="n"/>
      <c r="EP103" s="53" t="n"/>
      <c r="EQ103" s="53" t="n"/>
      <c r="ER103" s="53" t="n"/>
      <c r="ES103" s="53" t="n"/>
      <c r="ET103" s="53" t="n"/>
      <c r="EU103" s="53" t="n"/>
      <c r="EV103" s="53" t="n"/>
      <c r="EW103" s="52" t="inlineStr">
        <is>
          <t>Last working month is October — exiting; flag for handover before departure.</t>
        </is>
      </c>
      <c r="EX103" s="53" t="inlineStr">
        <is>
          <t>• Role / sub-team: CIPC.</t>
        </is>
      </c>
      <c r="EY103" s="53" t="inlineStr">
        <is>
          <t>• Key responsibilities include: Formatting, tagging, validation.
• Reported deliverables and outcomes include: Mail the final file to PMO.</t>
        </is>
      </c>
      <c r="EZ103" s="53" t="inlineStr">
        <is>
          <t>• Current capabilities: No input received.</t>
        </is>
      </c>
      <c r="FA103" s="53" t="inlineStr">
        <is>
          <t>• Development priorities: No input received.
• Learning and Development Need: Time management.</t>
        </is>
      </c>
      <c r="FB103" s="53" t="inlineStr">
        <is>
          <t>• Key challenges: No input received.
• Support required: No input received.</t>
        </is>
      </c>
      <c r="FC103" s="53" t="n"/>
      <c r="FD103" s="53" t="n"/>
      <c r="FE103"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FF103" s="56" t="n"/>
      <c r="FG103" s="56" t="n"/>
      <c r="FH103" s="56" t="n"/>
      <c r="FI103" s="56" t="n"/>
      <c r="FJ103" s="56" t="inlineStr">
        <is>
          <t>Received · manager annual</t>
        </is>
      </c>
      <c r="FK103" s="56" t="inlineStr">
        <is>
          <t>CARBON Mapping Master</t>
        </is>
      </c>
      <c r="FL103" s="56" t="n">
        <v>20</v>
      </c>
      <c r="FM103" s="56" t="inlineStr">
        <is>
          <t>• Role / sub-team: CIPC.</t>
        </is>
      </c>
      <c r="FN103" s="56" t="inlineStr">
        <is>
          <t>• Key responsibilities include: Formatting, tagging, validation.
• Reported deliverables and outcomes include: Mail the final file to PMO.</t>
        </is>
      </c>
      <c r="FO103" s="56" t="inlineStr">
        <is>
          <t>• Current capabilities: No input received.</t>
        </is>
      </c>
      <c r="FP103" s="56" t="inlineStr">
        <is>
          <t>• Development priorities: No input received.
• Learning and Development Need: Time management.</t>
        </is>
      </c>
      <c r="FQ103" s="56" t="inlineStr">
        <is>
          <t>• Key challenges: No input received.
• Support required: No input received.</t>
        </is>
      </c>
      <c r="FR103" s="56" t="inlineStr">
        <is>
          <t>Complexity: Evidence reads like A2: Data mapping, XBRL tagging and validation of CIPC files to a defined process → matches the start
Autonomy: Evidence reads like A2: Does tagging and checks basic errors on own → matches the start
Accountability: Evidence reads like A2: Accurate tagging and mapping; errors cause validation failures and team rework → matches the start
Leadership: Evidence reads like A1: No guidance or leadership of others described → matches the start
Business Impact: Moved +0.5: the survey / manager mapping marks it business-critical.</t>
        </is>
      </c>
      <c r="FS103" s="56" t="inlineStr">
        <is>
          <t>Common themes in role-holders' answers: xbrl · format · data · financial · convert · accurately
Common themes in role-holders' answers: tagging · data validation · mapping · xbrl · financial
Common themes in role-holders' answers: xbrl · reports
Common themes in role-holders' answers: xbrl · mapping · tagging · reports · accuracy
Common themes in role-holders' answers: errors · tagging
If the work is missed · role-holders' themes: errors · validation · extra · incorrect.
Measured on · manager-set KRA themes: complete iris · resolve · cycle full · accuracy targets · maintained · logs document.</t>
        </is>
      </c>
      <c r="FT103" s="56" t="inlineStr">
        <is>
          <t>Self-identified: Domain, regulatory &amp; XBRL
For the next role: Domain, regulatory &amp; XBRL</t>
        </is>
      </c>
      <c r="FU103" s="56" t="inlineStr">
        <is>
          <t>Per-person summary · CARBON Mapping Master</t>
        </is>
      </c>
    </row>
    <row r="104" ht="90" customHeight="1">
      <c r="A104" s="51" t="inlineStr">
        <is>
          <t>◂ Back</t>
        </is>
      </c>
      <c r="B104" s="29" t="inlineStr">
        <is>
          <t>Mapped</t>
        </is>
      </c>
      <c r="C104" s="28" t="inlineStr">
        <is>
          <t>CARBON</t>
        </is>
      </c>
      <c r="D104" s="29" t="inlineStr">
        <is>
          <t>IRIS1705</t>
        </is>
      </c>
      <c r="E104" s="29" t="inlineStr">
        <is>
          <t>Lalita Waghmare</t>
        </is>
      </c>
      <c r="F104" s="29" t="inlineStr">
        <is>
          <t>Services</t>
        </is>
      </c>
      <c r="G104" s="29" t="inlineStr">
        <is>
          <t>Financial Analyst</t>
        </is>
      </c>
      <c r="H104" s="29" t="inlineStr">
        <is>
          <t>Team Lead – Assisted Services</t>
        </is>
      </c>
      <c r="I104" s="29" t="inlineStr">
        <is>
          <t>L3 – Professional / Associate</t>
        </is>
      </c>
      <c r="J104" s="29" t="inlineStr">
        <is>
          <t>B1</t>
        </is>
      </c>
      <c r="K104" s="29" t="inlineStr">
        <is>
          <t>▲ Up</t>
        </is>
      </c>
      <c r="L104" s="29" t="inlineStr">
        <is>
          <t>Consulting &amp; Professional Services</t>
        </is>
      </c>
      <c r="M104" s="29" t="inlineStr">
        <is>
          <t>XBRL Tagging, Conversion &amp; Filing</t>
        </is>
      </c>
      <c r="N104" s="29" t="inlineStr">
        <is>
          <t>• Confirm the reporting line — Manager</t>
        </is>
      </c>
      <c r="O104" s="29" t="n">
        <v>20</v>
      </c>
      <c r="P104" s="28" t="inlineStr">
        <is>
          <t>P3 / M2</t>
        </is>
      </c>
      <c r="Q104" s="29" t="inlineStr">
        <is>
          <t>Career / · Team Lead</t>
        </is>
      </c>
      <c r="R104" s="29" t="inlineStr">
        <is>
          <t>4 Enable</t>
        </is>
      </c>
      <c r="S104" s="29" t="inlineStr">
        <is>
          <t>4–7 yrs</t>
        </is>
      </c>
      <c r="T104" s="29" t="inlineStr">
        <is>
          <t>5–8 · 4–8</t>
        </is>
      </c>
      <c r="U104" s="29" t="inlineStr">
        <is>
          <t>Team Lead / Assistant Manager</t>
        </is>
      </c>
      <c r="V104" s="29" t="inlineStr">
        <is>
          <t>Big Four: Senior Consultant · IRIS Vs Market Benchmark — XBRL US credential pathway: Certificate + specialist taxonomy</t>
        </is>
      </c>
      <c r="W104" s="29" t="inlineStr">
        <is>
          <t>XBRL US GAAP Certificate · AICPA &amp; XBRL US; XBRL International specifications; IFRS / US GAAP / Ind AS</t>
        </is>
      </c>
      <c r="X104" s="29" t="inlineStr">
        <is>
          <t>Core 3 · Future 3 · Functional 3 · Leadership 2</t>
        </is>
      </c>
      <c r="Y104" s="52" t="n">
        <v>145</v>
      </c>
      <c r="Z104" s="53" t="inlineStr">
        <is>
          <t>IRIS1705</t>
        </is>
      </c>
      <c r="AA104" s="53" t="inlineStr">
        <is>
          <t>Employee</t>
        </is>
      </c>
      <c r="AB104" s="53" t="inlineStr">
        <is>
          <t>Active</t>
        </is>
      </c>
      <c r="AC104" s="53" t="inlineStr">
        <is>
          <t>Lalita Waghmare</t>
        </is>
      </c>
      <c r="AD104" s="54" t="n">
        <v>43130</v>
      </c>
      <c r="AE104" s="53" t="inlineStr">
        <is>
          <t>Financial Analyst</t>
        </is>
      </c>
      <c r="AF104" s="53" t="inlineStr">
        <is>
          <t>B.Com</t>
        </is>
      </c>
      <c r="AG104" s="53" t="inlineStr">
        <is>
          <t>Mayur Zope</t>
        </is>
      </c>
      <c r="AH104" s="53" t="inlineStr">
        <is>
          <t>N-6</t>
        </is>
      </c>
      <c r="AI104" s="53" t="inlineStr">
        <is>
          <t>Manager</t>
        </is>
      </c>
      <c r="AJ104" s="53" t="inlineStr">
        <is>
          <t>9 years, 8 months, 0 days</t>
        </is>
      </c>
      <c r="AK104" s="53" t="inlineStr">
        <is>
          <t>8 years, 6 months, 26 days</t>
        </is>
      </c>
      <c r="AL104" s="53" t="inlineStr">
        <is>
          <t>Regtech</t>
        </is>
      </c>
      <c r="AM104" s="53" t="inlineStr">
        <is>
          <t>CARBON</t>
        </is>
      </c>
      <c r="AN104" s="53" t="inlineStr">
        <is>
          <t>Services</t>
        </is>
      </c>
      <c r="AO104" s="53" t="inlineStr">
        <is>
          <t>Expert Assisted services</t>
        </is>
      </c>
      <c r="AP104" s="53" t="inlineStr">
        <is>
          <t>No</t>
        </is>
      </c>
      <c r="AQ104" s="53" t="inlineStr">
        <is>
          <t>Professional Services</t>
        </is>
      </c>
      <c r="AR104" s="53" t="inlineStr">
        <is>
          <t>XBRL Domain</t>
        </is>
      </c>
      <c r="AS104" s="53" t="inlineStr">
        <is>
          <t>Non-technical</t>
        </is>
      </c>
      <c r="AT104" s="53" t="n">
        <v>20</v>
      </c>
      <c r="AU104" s="53" t="inlineStr">
        <is>
          <t>Covered</t>
        </is>
      </c>
      <c r="AV104" s="53" t="inlineStr">
        <is>
          <t>IRIS1705</t>
        </is>
      </c>
      <c r="AW104" s="53" t="inlineStr">
        <is>
          <t>Lalita Waghmare</t>
        </is>
      </c>
      <c r="AX104" s="53" t="inlineStr">
        <is>
          <t>Services</t>
        </is>
      </c>
      <c r="AY104" s="53" t="inlineStr">
        <is>
          <t>Professional Services</t>
        </is>
      </c>
      <c r="AZ104" s="53" t="inlineStr">
        <is>
          <t>XBRL / Regulatory Reporting</t>
        </is>
      </c>
      <c r="BA104" s="53" t="n"/>
      <c r="BB104" s="53" t="n"/>
      <c r="BC104" s="53" t="inlineStr">
        <is>
          <t>Employee</t>
        </is>
      </c>
      <c r="BD104" s="53" t="inlineStr">
        <is>
          <t>Mayur Zope</t>
        </is>
      </c>
      <c r="BE104" s="53" t="inlineStr">
        <is>
          <t>Mayur Zope</t>
        </is>
      </c>
      <c r="BF104" s="53" t="inlineStr">
        <is>
          <t>No</t>
        </is>
      </c>
      <c r="BG104" s="53" t="inlineStr">
        <is>
          <t>Financial Analyst</t>
        </is>
      </c>
      <c r="BH104" s="53" t="inlineStr">
        <is>
          <t>Professional Services Lead</t>
        </is>
      </c>
      <c r="BI104" s="53" t="inlineStr">
        <is>
          <t>Yes</t>
        </is>
      </c>
      <c r="BJ104" s="53" t="n">
        <v>4</v>
      </c>
      <c r="BK104" s="53" t="n">
        <v>3</v>
      </c>
      <c r="BL104" s="53" t="n">
        <v>1</v>
      </c>
      <c r="BM104" s="53" t="inlineStr">
        <is>
          <t>Review</t>
        </is>
      </c>
      <c r="BN104" s="53" t="n">
        <v>4</v>
      </c>
      <c r="BO104" s="53" t="n">
        <v>3</v>
      </c>
      <c r="BP104" s="53" t="n">
        <v>1</v>
      </c>
      <c r="BQ104" s="53" t="inlineStr">
        <is>
          <t>Review</t>
        </is>
      </c>
      <c r="BR104" s="53" t="inlineStr">
        <is>
          <t>No</t>
        </is>
      </c>
      <c r="BS104" s="53" t="inlineStr">
        <is>
          <t>L3 – Professional / Associate</t>
        </is>
      </c>
      <c r="BT104" s="53" t="inlineStr">
        <is>
          <t>L4</t>
        </is>
      </c>
      <c r="BU104" s="53" t="inlineStr">
        <is>
          <t>Matched from Title Hierarchy · new designation</t>
        </is>
      </c>
      <c r="BV104"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W104" s="53" t="n"/>
      <c r="BX104" s="53" t="inlineStr">
        <is>
          <t>Europe - ESEF; India - MCA.</t>
        </is>
      </c>
      <c r="BY104" s="53" t="n"/>
      <c r="BZ104" s="53" t="inlineStr">
        <is>
          <t>IRIS1705</t>
        </is>
      </c>
      <c r="CA104" s="53" t="inlineStr">
        <is>
          <t>Employee</t>
        </is>
      </c>
      <c r="CB104" s="53" t="inlineStr">
        <is>
          <t>Active</t>
        </is>
      </c>
      <c r="CC104" s="53" t="inlineStr">
        <is>
          <t>Lalita Waghmare</t>
        </is>
      </c>
      <c r="CD104" s="54" t="n">
        <v>43130</v>
      </c>
      <c r="CE104" s="53" t="inlineStr">
        <is>
          <t>Financial Analyst</t>
        </is>
      </c>
      <c r="CF104" s="53" t="n"/>
      <c r="CG104" s="53" t="inlineStr">
        <is>
          <t>Professional Services</t>
        </is>
      </c>
      <c r="CH104" s="53" t="inlineStr">
        <is>
          <t>XBRL / Regulatory Reporting</t>
        </is>
      </c>
      <c r="CI104" s="53" t="inlineStr">
        <is>
          <t>Financial Analyst</t>
        </is>
      </c>
      <c r="CJ104" s="53" t="inlineStr">
        <is>
          <t>L3 – Professional / Associate</t>
        </is>
      </c>
      <c r="CK104" s="53" t="inlineStr">
        <is>
          <t>Mayur Zope</t>
        </is>
      </c>
      <c r="CL104" s="53" t="inlineStr">
        <is>
          <t>N-6</t>
        </is>
      </c>
      <c r="CM104" s="53" t="inlineStr">
        <is>
          <t>Player Cum Coach</t>
        </is>
      </c>
      <c r="CN104" s="53" t="inlineStr">
        <is>
          <t>Regtech</t>
        </is>
      </c>
      <c r="CO104" s="53" t="inlineStr">
        <is>
          <t>Services</t>
        </is>
      </c>
      <c r="CP104" s="53" t="inlineStr">
        <is>
          <t>18 years, 0 months, 21 days</t>
        </is>
      </c>
      <c r="CQ104" s="53" t="inlineStr">
        <is>
          <t>Professional Services Lead</t>
        </is>
      </c>
      <c r="CR104" s="53" t="n"/>
      <c r="CS104" s="53" t="n">
        <v>3</v>
      </c>
      <c r="CT104" s="53" t="inlineStr">
        <is>
          <t>Medium</t>
        </is>
      </c>
      <c r="CU104" s="53" t="inlineStr">
        <is>
          <t>Core Contributor</t>
        </is>
      </c>
      <c r="CV104" s="53" t="inlineStr">
        <is>
          <t>No</t>
        </is>
      </c>
      <c r="CW104" s="53" t="inlineStr">
        <is>
          <t>No</t>
        </is>
      </c>
      <c r="CX104" s="53" t="inlineStr">
        <is>
          <t>Yes</t>
        </is>
      </c>
      <c r="CY104" s="53" t="n"/>
      <c r="CZ104" s="53" t="n"/>
      <c r="DA104" s="53" t="n"/>
      <c r="DB104" s="53" t="inlineStr">
        <is>
          <t>Title to be standardized to: Professional Services Lead</t>
        </is>
      </c>
      <c r="DC104" s="53" t="n"/>
      <c r="DD104" s="53" t="n"/>
      <c r="DE104" s="53" t="n"/>
      <c r="DF104" s="53" t="n"/>
      <c r="DG104" s="53" t="n"/>
      <c r="DH104" s="53" t="n"/>
      <c r="DI104" s="53" t="n"/>
      <c r="DJ104" s="53" t="n"/>
      <c r="DK104" s="53" t="n"/>
      <c r="DL104" s="53" t="n"/>
      <c r="DM104" s="53" t="n"/>
      <c r="DN104" s="53" t="n"/>
      <c r="DO104" s="53" t="n"/>
      <c r="DP104" s="53" t="n"/>
      <c r="DQ104" s="53" t="n"/>
      <c r="DR104" s="53" t="n"/>
      <c r="DS104" s="53" t="n"/>
      <c r="DT104" s="53" t="n"/>
      <c r="DU104" s="53" t="n"/>
      <c r="DV104" s="53" t="n"/>
      <c r="DW104" s="53" t="n"/>
      <c r="DX104" s="53" t="n"/>
      <c r="DY104" s="53" t="n"/>
      <c r="DZ104" s="53" t="n"/>
      <c r="EA104" s="53" t="n"/>
      <c r="EB104" s="53" t="n"/>
      <c r="EC104" s="53" t="n"/>
      <c r="ED104" s="53" t="n"/>
      <c r="EE104" s="53" t="n"/>
      <c r="EF104" s="53" t="n"/>
      <c r="EG104" s="53" t="n"/>
      <c r="EH104" s="53" t="n"/>
      <c r="EI104" s="53" t="n"/>
      <c r="EJ104" s="53" t="n"/>
      <c r="EK104" s="53" t="n"/>
      <c r="EL104" s="53" t="n"/>
      <c r="EM104" s="53" t="n"/>
      <c r="EN104" s="53" t="n"/>
      <c r="EO104" s="53" t="n"/>
      <c r="EP104" s="53" t="n"/>
      <c r="EQ104" s="53" t="n"/>
      <c r="ER104" s="53" t="n"/>
      <c r="ES104" s="53" t="n"/>
      <c r="ET104" s="53" t="n"/>
      <c r="EU104" s="53" t="n"/>
      <c r="EV104" s="53" t="n"/>
      <c r="EW104" s="52" t="n"/>
      <c r="EX104" s="53" t="inlineStr">
        <is>
          <t>• Role / sub-team: MCA and ESMA.</t>
        </is>
      </c>
      <c r="EY104" s="53" t="inlineStr">
        <is>
          <t>• Key responsibilities include: Handles client calls and queries, delivers files, and works across multiple MCA projects; manages roughly 150 files a month · 5-6 files a day.
• Reported deliverables and outcomes include: On the MCA project, work is completed and finalised solely by this employee, with no handover to others.</t>
        </is>
      </c>
      <c r="EZ104" s="53" t="inlineStr">
        <is>
          <t>• Current capabilities: Good communication and patience with clients · handles direct client contact/escalations; tool knowledge and knowledge of taxonomy; very honest in her work -- the client has never faced an issue because of her. [Teams chat / session recording].</t>
        </is>
      </c>
      <c r="FA104" s="53" t="inlineStr">
        <is>
          <t>• Development priorities: No input received.
• Learning and Development Need: Time Mangaement.</t>
        </is>
      </c>
      <c r="FB104" s="53" t="inlineStr">
        <is>
          <t>• Key challenges: No input received.
• Support required: No input received.</t>
        </is>
      </c>
      <c r="FC104" s="53" t="n"/>
      <c r="FD104" s="53" t="n"/>
      <c r="FE104"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FF104" s="56" t="n"/>
      <c r="FG104" s="56" t="n"/>
      <c r="FH104" s="56" t="n"/>
      <c r="FI104" s="56" t="n"/>
      <c r="FJ104" s="56" t="inlineStr">
        <is>
          <t>Received · manager annual</t>
        </is>
      </c>
      <c r="FK104" s="56" t="inlineStr">
        <is>
          <t>CARBON Mapping Master</t>
        </is>
      </c>
      <c r="FL104" s="56" t="n">
        <v>20</v>
      </c>
      <c r="FM104" s="56" t="inlineStr">
        <is>
          <t>• Role / sub-team: MCA and ESMA.</t>
        </is>
      </c>
      <c r="FN104" s="56" t="inlineStr">
        <is>
          <t>• Key responsibilities include: Handles client calls and queries, delivers files, and works across multiple MCA projects; manages roughly 150 files a month · 5-6 files a day.
• Reported deliverables and outcomes include: On the MCA project, work is completed and finalised solely by this employee, with no handover to others.</t>
        </is>
      </c>
      <c r="FO104" s="56" t="inlineStr">
        <is>
          <t>• Current capabilities: Good communication and patience with clients · handles direct client contact/escalations; tool knowledge and knowledge of taxonomy; very honest in her work -- the client has never faced an issue because of her. [Teams chat / session recording].</t>
        </is>
      </c>
      <c r="FP104" s="56" t="inlineStr">
        <is>
          <t>• Development priorities: No input received.
• Learning and Development Need: Time Mangaement.</t>
        </is>
      </c>
      <c r="FQ104" s="56" t="inlineStr">
        <is>
          <t>• Key challenges: No input received.
• Support required: No input received.</t>
        </is>
      </c>
      <c r="FR104" s="56" t="inlineStr">
        <is>
          <t>Complexity: Evidence reads like A3: Tagging, QC, client queries and delivery for multiple MCA projects, about 150 files a month → moved up 0.5
Autonomy: Evidence reads like A3: Finalises MCA files alone, with client communication and no handover → matches the start
Accountability: Evidence reads like A3: File from start to end, delivered to clients for MCA portal filing → moved down 0.5
Leadership: Evidence reads like A2: Four direct reports in HR data, but no leading or guiding described → moved down 1
Business Impact: Moved +0.5: the survey / manager mapping marks it business-critical.</t>
        </is>
      </c>
      <c r="FS104" s="56" t="inlineStr">
        <is>
          <t>Common themes in sub-family holders, all levels' answers: financial · reporting · xbrl · us · accurate · quality
Common themes in sub-family holders, all levels' answers: tagging · quality · validation · filing · resolution · financial
Common themes in sub-family holders, all levels' answers: xbrl · reports · financial · files · documents · quality
Common themes in sub-family holders, all levels' answers: quality · accountable · am · tagging · accuracy · validation
Common themes in sub-family holders, all levels' answers: issues · tagging · independently · quality · routine · resolve
If the work is missed · role-holders' themes: rework · delays · quality · errors.</t>
        </is>
      </c>
      <c r="FT104" s="56" t="inlineStr">
        <is>
          <t>Self-identified: Project / programme management
For the next role: Project / programme management</t>
        </is>
      </c>
      <c r="FU104" s="56" t="inlineStr">
        <is>
          <t>Per-person summary · CARBON Mapping Master</t>
        </is>
      </c>
    </row>
    <row r="105" ht="90" customHeight="1">
      <c r="A105" s="51" t="inlineStr">
        <is>
          <t>◂ Back</t>
        </is>
      </c>
      <c r="B105" s="29" t="inlineStr">
        <is>
          <t>Mapped</t>
        </is>
      </c>
      <c r="C105" s="28" t="inlineStr">
        <is>
          <t>CARBON</t>
        </is>
      </c>
      <c r="D105" s="29" t="inlineStr">
        <is>
          <t>IRIS0574</t>
        </is>
      </c>
      <c r="E105" s="29" t="inlineStr">
        <is>
          <t>Sandeep Dhere</t>
        </is>
      </c>
      <c r="F105" s="29" t="inlineStr">
        <is>
          <t>Services</t>
        </is>
      </c>
      <c r="G105" s="29" t="inlineStr">
        <is>
          <t>Senior Financial Analyst</t>
        </is>
      </c>
      <c r="H105" s="29" t="inlineStr">
        <is>
          <t>XBRL Specialist</t>
        </is>
      </c>
      <c r="I105" s="29" t="inlineStr">
        <is>
          <t>L4 – Senior</t>
        </is>
      </c>
      <c r="J105" s="29" t="inlineStr">
        <is>
          <t>B1</t>
        </is>
      </c>
      <c r="K105" s="29" t="inlineStr">
        <is>
          <t>▲ Up</t>
        </is>
      </c>
      <c r="L105" s="29" t="inlineStr">
        <is>
          <t>Consulting &amp; Professional Services</t>
        </is>
      </c>
      <c r="M105" s="29" t="inlineStr">
        <is>
          <t>XBRL Tagging, Conversion &amp; Filing</t>
        </is>
      </c>
      <c r="N105" s="29" t="n"/>
      <c r="O105" s="29" t="n">
        <v>20</v>
      </c>
      <c r="P105" s="28" t="inlineStr">
        <is>
          <t>P3 / M2</t>
        </is>
      </c>
      <c r="Q105" s="29" t="inlineStr">
        <is>
          <t>Career / · Team Lead</t>
        </is>
      </c>
      <c r="R105" s="29" t="inlineStr">
        <is>
          <t>4 Enable</t>
        </is>
      </c>
      <c r="S105" s="29" t="inlineStr">
        <is>
          <t>4–7 yrs</t>
        </is>
      </c>
      <c r="T105" s="29" t="inlineStr">
        <is>
          <t>5–8 · 4–8</t>
        </is>
      </c>
      <c r="U105" s="29" t="inlineStr">
        <is>
          <t>Consultant / Senior Associate</t>
        </is>
      </c>
      <c r="V105" s="29" t="inlineStr">
        <is>
          <t>Big Four: Senior Consultant · IRIS Vs Market Benchmark — XBRL US credential pathway: Certificate + specialist taxonomy</t>
        </is>
      </c>
      <c r="W105" s="29" t="inlineStr">
        <is>
          <t>XBRL US GAAP Certificate · AICPA &amp; XBRL US; XBRL International specifications; IFRS / US GAAP / Ind AS</t>
        </is>
      </c>
      <c r="X105" s="29" t="inlineStr">
        <is>
          <t>Core 3 · Future 3 · Functional 3 · Leadership 1</t>
        </is>
      </c>
      <c r="Y105" s="52" t="n">
        <v>77</v>
      </c>
      <c r="Z105" s="53" t="inlineStr">
        <is>
          <t>IRIS0574</t>
        </is>
      </c>
      <c r="AA105" s="53" t="inlineStr">
        <is>
          <t>Employee</t>
        </is>
      </c>
      <c r="AB105" s="53" t="inlineStr">
        <is>
          <t>Active</t>
        </is>
      </c>
      <c r="AC105" s="53" t="inlineStr">
        <is>
          <t>Sandeep Dhere</t>
        </is>
      </c>
      <c r="AD105" s="54" t="n">
        <v>40638</v>
      </c>
      <c r="AE105" s="53" t="inlineStr">
        <is>
          <t>Senior Financial Analyst</t>
        </is>
      </c>
      <c r="AF105" s="53" t="inlineStr">
        <is>
          <t>B.Com</t>
        </is>
      </c>
      <c r="AG105" s="53" t="inlineStr">
        <is>
          <t>Lalita Waghmare</t>
        </is>
      </c>
      <c r="AH105" s="53" t="inlineStr">
        <is>
          <t>N-7</t>
        </is>
      </c>
      <c r="AI105" s="53" t="inlineStr">
        <is>
          <t>Individual Contributor</t>
        </is>
      </c>
      <c r="AJ105" s="53" t="inlineStr">
        <is>
          <t>0 years, 0 months, 0 days</t>
        </is>
      </c>
      <c r="AK105" s="53" t="inlineStr">
        <is>
          <t>15 years, 4 months, 20 days</t>
        </is>
      </c>
      <c r="AL105" s="53" t="inlineStr">
        <is>
          <t>Regtech</t>
        </is>
      </c>
      <c r="AM105" s="53" t="inlineStr">
        <is>
          <t>CARBON</t>
        </is>
      </c>
      <c r="AN105" s="53" t="inlineStr">
        <is>
          <t>Services</t>
        </is>
      </c>
      <c r="AO105" s="53" t="inlineStr">
        <is>
          <t>Expert Assisted services</t>
        </is>
      </c>
      <c r="AP105" s="53" t="inlineStr">
        <is>
          <t>No</t>
        </is>
      </c>
      <c r="AQ105" s="53" t="inlineStr">
        <is>
          <t>Professional Services</t>
        </is>
      </c>
      <c r="AR105" s="53" t="inlineStr">
        <is>
          <t>XBRL Domain</t>
        </is>
      </c>
      <c r="AS105" s="53" t="inlineStr">
        <is>
          <t>Non-technical</t>
        </is>
      </c>
      <c r="AT105" s="53" t="n">
        <v>20</v>
      </c>
      <c r="AU105" s="53" t="inlineStr">
        <is>
          <t>Covered</t>
        </is>
      </c>
      <c r="AV105" s="53" t="inlineStr">
        <is>
          <t>IRIS0574</t>
        </is>
      </c>
      <c r="AW105" s="53" t="inlineStr">
        <is>
          <t>Sandeep Dhere</t>
        </is>
      </c>
      <c r="AX105" s="53" t="inlineStr">
        <is>
          <t>Services</t>
        </is>
      </c>
      <c r="AY105" s="53" t="inlineStr">
        <is>
          <t>Professional Services</t>
        </is>
      </c>
      <c r="AZ105" s="53" t="inlineStr">
        <is>
          <t>XBRL / Regulatory Reporting</t>
        </is>
      </c>
      <c r="BA105" s="53" t="n"/>
      <c r="BB105" s="53" t="n"/>
      <c r="BC105" s="53" t="inlineStr">
        <is>
          <t>Employee</t>
        </is>
      </c>
      <c r="BD105" s="53" t="inlineStr">
        <is>
          <t>Lalita Waghmare</t>
        </is>
      </c>
      <c r="BE105" s="53" t="inlineStr">
        <is>
          <t>Lalita Waghmare</t>
        </is>
      </c>
      <c r="BF105" s="53" t="inlineStr">
        <is>
          <t>No</t>
        </is>
      </c>
      <c r="BG105" s="53" t="inlineStr">
        <is>
          <t>Senior Financial Analyst</t>
        </is>
      </c>
      <c r="BH105" s="53" t="inlineStr">
        <is>
          <t>Senior Services Specialist</t>
        </is>
      </c>
      <c r="BI105" s="53" t="inlineStr">
        <is>
          <t>Yes</t>
        </is>
      </c>
      <c r="BJ105" s="53" t="inlineStr">
        <is>
          <t>—</t>
        </is>
      </c>
      <c r="BK105" s="53" t="inlineStr">
        <is>
          <t>—</t>
        </is>
      </c>
      <c r="BL105" s="53" t="inlineStr">
        <is>
          <t>—</t>
        </is>
      </c>
      <c r="BM105" s="53" t="inlineStr">
        <is>
          <t>Not a manager</t>
        </is>
      </c>
      <c r="BN105" s="53" t="inlineStr">
        <is>
          <t>—</t>
        </is>
      </c>
      <c r="BO105" s="53" t="inlineStr">
        <is>
          <t>—</t>
        </is>
      </c>
      <c r="BP105" s="53" t="inlineStr">
        <is>
          <t>—</t>
        </is>
      </c>
      <c r="BQ105" s="53" t="inlineStr">
        <is>
          <t>Not a manager</t>
        </is>
      </c>
      <c r="BR105" s="53" t="inlineStr">
        <is>
          <t>—</t>
        </is>
      </c>
      <c r="BS105" s="53" t="inlineStr">
        <is>
          <t>L4 – Senior</t>
        </is>
      </c>
      <c r="BT105" s="53" t="inlineStr">
        <is>
          <t>L4 – Senior</t>
        </is>
      </c>
      <c r="BU105" s="53" t="inlineStr">
        <is>
          <t>Designation refined from Raw tab Comments column · this update</t>
        </is>
      </c>
      <c r="BV105"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W105" s="53" t="n"/>
      <c r="BX105" s="53" t="inlineStr">
        <is>
          <t>India - MCA; Europe - ESEF.</t>
        </is>
      </c>
      <c r="BY105" s="53" t="n"/>
      <c r="BZ105" s="53" t="inlineStr">
        <is>
          <t>IRIS0574</t>
        </is>
      </c>
      <c r="CA105" s="53" t="inlineStr">
        <is>
          <t>Employee</t>
        </is>
      </c>
      <c r="CB105" s="53" t="inlineStr">
        <is>
          <t>Active</t>
        </is>
      </c>
      <c r="CC105" s="53" t="inlineStr">
        <is>
          <t>Sandeep Dhere</t>
        </is>
      </c>
      <c r="CD105" s="54" t="n">
        <v>40638</v>
      </c>
      <c r="CE105" s="53" t="inlineStr">
        <is>
          <t>Senior Financial Analyst</t>
        </is>
      </c>
      <c r="CF105" s="53" t="n"/>
      <c r="CG105" s="53" t="inlineStr">
        <is>
          <t>Professional Services</t>
        </is>
      </c>
      <c r="CH105" s="53" t="inlineStr">
        <is>
          <t>XBRL / Regulatory Reporting</t>
        </is>
      </c>
      <c r="CI105" s="53" t="inlineStr">
        <is>
          <t>Senior Financial Analyst</t>
        </is>
      </c>
      <c r="CJ105" s="53" t="inlineStr">
        <is>
          <t>L4 – Senior</t>
        </is>
      </c>
      <c r="CK105" s="53" t="inlineStr">
        <is>
          <t>Lalita Waghmare</t>
        </is>
      </c>
      <c r="CL105" s="53" t="inlineStr">
        <is>
          <t>N-7</t>
        </is>
      </c>
      <c r="CM105" s="53" t="inlineStr">
        <is>
          <t>Individual Contributor</t>
        </is>
      </c>
      <c r="CN105" s="53" t="inlineStr">
        <is>
          <t>Regtech</t>
        </is>
      </c>
      <c r="CO105" s="53" t="inlineStr">
        <is>
          <t>Services</t>
        </is>
      </c>
      <c r="CP105" s="53" t="inlineStr">
        <is>
          <t>15 years, 2 months, 15 days</t>
        </is>
      </c>
      <c r="CQ105" s="53" t="inlineStr">
        <is>
          <t>Senior Services Specialst</t>
        </is>
      </c>
      <c r="CR105" s="53" t="n"/>
      <c r="CS105" s="53" t="n">
        <v>3</v>
      </c>
      <c r="CT105" s="53" t="inlineStr">
        <is>
          <t>Medium</t>
        </is>
      </c>
      <c r="CU105" s="53" t="inlineStr">
        <is>
          <t>Core Contributor</t>
        </is>
      </c>
      <c r="CV105" s="53" t="inlineStr">
        <is>
          <t>No</t>
        </is>
      </c>
      <c r="CW105" s="53" t="inlineStr">
        <is>
          <t>No</t>
        </is>
      </c>
      <c r="CX105" s="53" t="inlineStr">
        <is>
          <t>Yes</t>
        </is>
      </c>
      <c r="CY105" s="53" t="n"/>
      <c r="CZ105" s="53" t="n"/>
      <c r="DA105" s="53" t="n"/>
      <c r="DB105" s="53" t="inlineStr">
        <is>
          <t>Title to be standardized to: Senior Services Specialist</t>
        </is>
      </c>
      <c r="DC105" s="53" t="n"/>
      <c r="DD105" s="53" t="n"/>
      <c r="DE105" s="53" t="n"/>
      <c r="DF105" s="53" t="n"/>
      <c r="DG105" s="53" t="n"/>
      <c r="DH105" s="53" t="n"/>
      <c r="DI105" s="53" t="n"/>
      <c r="DJ105" s="53" t="n"/>
      <c r="DK105" s="53" t="n"/>
      <c r="DL105" s="53" t="n"/>
      <c r="DM105" s="53" t="n"/>
      <c r="DN105" s="53" t="n"/>
      <c r="DO105" s="53" t="n"/>
      <c r="DP105" s="53" t="n"/>
      <c r="DQ105" s="53" t="n"/>
      <c r="DR105" s="53" t="n"/>
      <c r="DS105" s="53" t="n"/>
      <c r="DT105" s="53" t="n"/>
      <c r="DU105" s="53" t="n"/>
      <c r="DV105" s="53" t="n"/>
      <c r="DW105" s="53" t="n"/>
      <c r="DX105" s="53" t="n"/>
      <c r="DY105" s="53" t="n"/>
      <c r="DZ105" s="53" t="n"/>
      <c r="EA105" s="53" t="n"/>
      <c r="EB105" s="53" t="n"/>
      <c r="EC105" s="53" t="n"/>
      <c r="ED105" s="53" t="n"/>
      <c r="EE105" s="53" t="n"/>
      <c r="EF105" s="53" t="n"/>
      <c r="EG105" s="53" t="n"/>
      <c r="EH105" s="53" t="n"/>
      <c r="EI105" s="53" t="n"/>
      <c r="EJ105" s="53" t="n"/>
      <c r="EK105" s="53" t="n"/>
      <c r="EL105" s="53" t="n"/>
      <c r="EM105" s="53" t="n"/>
      <c r="EN105" s="53" t="n"/>
      <c r="EO105" s="53" t="n"/>
      <c r="EP105" s="53" t="n"/>
      <c r="EQ105" s="53" t="n"/>
      <c r="ER105" s="53" t="n"/>
      <c r="ES105" s="53" t="n"/>
      <c r="ET105" s="53" t="n"/>
      <c r="EU105" s="53" t="n"/>
      <c r="EV105" s="53" t="n"/>
      <c r="EW105" s="52" t="n"/>
      <c r="EX105" s="53" t="inlineStr">
        <is>
          <t>• Role / sub-team: Xbrl tagging in EU and MCA.</t>
        </is>
      </c>
      <c r="EY105" s="53" t="inlineStr">
        <is>
          <t>• Key responsibilities include: Xbrl tagging.
• Reported deliverables and outcomes include: Deliverables sent directly to Client.</t>
        </is>
      </c>
      <c r="EZ105" s="53" t="inlineStr">
        <is>
          <t>• Current capabilities: Input not given by Participant; Tools / software used: Carbon, Ifile.</t>
        </is>
      </c>
      <c r="FA105" s="53" t="inlineStr">
        <is>
          <t>• Development priorities: Communication skills.
• Learning and Development Need: Time Mangement.</t>
        </is>
      </c>
      <c r="FB105" s="53" t="inlineStr">
        <is>
          <t>• Key challenges: No input received.
• Support required: No input received.</t>
        </is>
      </c>
      <c r="FC105" s="53" t="n"/>
      <c r="FD105" s="53" t="n"/>
      <c r="FE105"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FF105" s="56" t="n"/>
      <c r="FG105" s="56" t="n"/>
      <c r="FH105" s="56" t="n"/>
      <c r="FI105" s="56" t="n"/>
      <c r="FJ105" s="56" t="inlineStr">
        <is>
          <t>Received · manager annual</t>
        </is>
      </c>
      <c r="FK105" s="56" t="inlineStr">
        <is>
          <t>CARBON Mapping Master</t>
        </is>
      </c>
      <c r="FL105" s="56" t="n">
        <v>20</v>
      </c>
      <c r="FM105" s="56" t="inlineStr">
        <is>
          <t>• Role / sub-team: Xbrl tagging in EU and MCA.</t>
        </is>
      </c>
      <c r="FN105" s="56" t="inlineStr">
        <is>
          <t>• Key responsibilities include: Xbrl tagging.
• Reported deliverables and outcomes include: Deliverables sent directly to Client.</t>
        </is>
      </c>
      <c r="FO105" s="56" t="inlineStr">
        <is>
          <t>• Current capabilities: Input not given by Participant; Tools / software used: Carbon, Ifile.</t>
        </is>
      </c>
      <c r="FP105" s="56" t="inlineStr">
        <is>
          <t>• Development priorities: Communication skills.
• Learning and Development Need: Time Mangement.</t>
        </is>
      </c>
      <c r="FQ105" s="56" t="inlineStr">
        <is>
          <t>• Key challenges: No input received.
• Support required: No input received.</t>
        </is>
      </c>
      <c r="FR105" s="56" t="inlineStr">
        <is>
          <t>Complexity: Evidence reads like A3: MCA and ESMA tagging, HTML/XBRL conversion for several countries, client issue resolution, tool testing → matches the start
Autonomy: Evidence reads like A3: Prioritises own work by client deadlines; resolves routine client issues without approval → matches the start
Accountability: Evidence reads like A3: Accuracy and on-time delivery of own conversions sent directly to clients; resolves client concerns → matches the start
Leadership: Evidence reads like A1: No guiding or leading of others described → moved down 0.5
Business Impact: Moved +0.5: the survey / manager mapping marks it business-critical.</t>
        </is>
      </c>
      <c r="FS105" s="56" t="inlineStr">
        <is>
          <t>Common themes in role-holders' answers: reporting · financial · mandate · timely · while · us
Common themes in role-holders' answers: tagging · validation · quality · mapping · management · filing
Common themes in role-holders' answers: documents · xbrl · quality · timely · overall · filings
Common themes in role-holders' answers: quality · validation · timely · am · tagging · delivery
Common themes in role-holders' answers: resolving · independently · issues · routine · file · analysis
If the work is missed · role-holders' themes: rework · quality · delays · filing.</t>
        </is>
      </c>
      <c r="FT105" s="56" t="inlineStr">
        <is>
          <t>Self-identified: Testing &amp; quality · Domain, regulatory &amp; XBRL · Product &amp; tool knowledge
For the next role: Testing &amp; quality · Domain, regulatory &amp; XBRL · Product &amp; tool knowledge</t>
        </is>
      </c>
      <c r="FU105" s="56" t="inlineStr">
        <is>
          <t>Per-person summary · CARBON Mapping Master</t>
        </is>
      </c>
    </row>
    <row r="106" ht="90" customHeight="1">
      <c r="A106" s="51" t="inlineStr">
        <is>
          <t>◂ Back</t>
        </is>
      </c>
      <c r="B106" s="29" t="inlineStr">
        <is>
          <t>Mapped</t>
        </is>
      </c>
      <c r="C106" s="28" t="inlineStr">
        <is>
          <t>CARBON</t>
        </is>
      </c>
      <c r="D106" s="29" t="inlineStr">
        <is>
          <t>IRIS1703</t>
        </is>
      </c>
      <c r="E106" s="29" t="inlineStr">
        <is>
          <t>Atul Paradkar</t>
        </is>
      </c>
      <c r="F106" s="29" t="inlineStr">
        <is>
          <t>Services</t>
        </is>
      </c>
      <c r="G106" s="29" t="inlineStr">
        <is>
          <t>Financial Analyst</t>
        </is>
      </c>
      <c r="H106" s="29" t="inlineStr">
        <is>
          <t>Senior Financial Analyst</t>
        </is>
      </c>
      <c r="I106" s="29" t="inlineStr">
        <is>
          <t>L3 – Professional / Associate</t>
        </is>
      </c>
      <c r="J106" s="29" t="inlineStr">
        <is>
          <t>A3</t>
        </is>
      </c>
      <c r="K106" s="29" t="inlineStr">
        <is>
          <t>▲ Up</t>
        </is>
      </c>
      <c r="L106" s="29" t="inlineStr">
        <is>
          <t>Consulting &amp; Professional Services</t>
        </is>
      </c>
      <c r="M106" s="29" t="inlineStr">
        <is>
          <t>XBRL Tagging, Conversion &amp; Filing</t>
        </is>
      </c>
      <c r="N106" s="29" t="n"/>
      <c r="O106" s="29" t="n">
        <v>19</v>
      </c>
      <c r="P106" s="28" t="inlineStr">
        <is>
          <t>P2</t>
        </is>
      </c>
      <c r="Q106" s="29" t="inlineStr">
        <is>
          <t>Developing</t>
        </is>
      </c>
      <c r="R106" s="29" t="inlineStr">
        <is>
          <t>3 Apply</t>
        </is>
      </c>
      <c r="S106" s="29" t="inlineStr">
        <is>
          <t>2–4 yrs</t>
        </is>
      </c>
      <c r="T106" s="29" t="inlineStr">
        <is>
          <t>3–5 · 2–5</t>
        </is>
      </c>
      <c r="U106" s="29" t="inlineStr">
        <is>
          <t>Senior Analyst / Associate</t>
        </is>
      </c>
      <c r="V106" s="29" t="inlineStr">
        <is>
          <t>DataTracks: Senior Associate · 2–5 yrs · Big Four: Consultant · IRIS Vs Market Benchmark — XBRL US credential pathway: XBRL US GAAP Certificate</t>
        </is>
      </c>
      <c r="W106" s="29" t="inlineStr">
        <is>
          <t>XBRL US GAAP Certificate · AICPA &amp; XBRL US; XBRL International specifications; IFRS / US GAAP / Ind AS</t>
        </is>
      </c>
      <c r="X106" s="29" t="inlineStr">
        <is>
          <t>Core 2 · Future 2 · Functional 3 · Leadership not scored</t>
        </is>
      </c>
      <c r="Y106" s="52" t="n">
        <v>143</v>
      </c>
      <c r="Z106" s="53" t="inlineStr">
        <is>
          <t>IRIS1703</t>
        </is>
      </c>
      <c r="AA106" s="53" t="inlineStr">
        <is>
          <t>Employee</t>
        </is>
      </c>
      <c r="AB106" s="53" t="inlineStr">
        <is>
          <t>Active</t>
        </is>
      </c>
      <c r="AC106" s="53" t="inlineStr">
        <is>
          <t>Atul Paradkar</t>
        </is>
      </c>
      <c r="AD106" s="54" t="n">
        <v>43129</v>
      </c>
      <c r="AE106" s="53" t="inlineStr">
        <is>
          <t>Financial Analyst</t>
        </is>
      </c>
      <c r="AF106" s="53" t="inlineStr">
        <is>
          <t>PGDM</t>
        </is>
      </c>
      <c r="AG106" s="53" t="inlineStr">
        <is>
          <t>Lalita Waghmare</t>
        </is>
      </c>
      <c r="AH106" s="53" t="inlineStr">
        <is>
          <t>N-7</t>
        </is>
      </c>
      <c r="AI106" s="53" t="inlineStr">
        <is>
          <t>Individual Contributor</t>
        </is>
      </c>
      <c r="AJ106" s="53" t="inlineStr">
        <is>
          <t>8 years, 7 months, 0 days</t>
        </is>
      </c>
      <c r="AK106" s="53" t="inlineStr">
        <is>
          <t>8 years, 6 months, 27 days</t>
        </is>
      </c>
      <c r="AL106" s="53" t="inlineStr">
        <is>
          <t>Regtech</t>
        </is>
      </c>
      <c r="AM106" s="53" t="inlineStr">
        <is>
          <t>CARBON</t>
        </is>
      </c>
      <c r="AN106" s="53" t="inlineStr">
        <is>
          <t>Services</t>
        </is>
      </c>
      <c r="AO106" s="53" t="inlineStr">
        <is>
          <t>Expert Assisted services</t>
        </is>
      </c>
      <c r="AP106" s="53" t="inlineStr">
        <is>
          <t>No</t>
        </is>
      </c>
      <c r="AQ106" s="53" t="inlineStr">
        <is>
          <t>Professional Services</t>
        </is>
      </c>
      <c r="AR106" s="53" t="inlineStr">
        <is>
          <t>XBRL Domain</t>
        </is>
      </c>
      <c r="AS106" s="53" t="inlineStr">
        <is>
          <t>Non-technical</t>
        </is>
      </c>
      <c r="AT106" s="53" t="n">
        <v>20</v>
      </c>
      <c r="AU106" s="53" t="inlineStr">
        <is>
          <t>Covered</t>
        </is>
      </c>
      <c r="AV106" s="53" t="inlineStr">
        <is>
          <t>IRIS1703</t>
        </is>
      </c>
      <c r="AW106" s="53" t="inlineStr">
        <is>
          <t>Atul Paradkar</t>
        </is>
      </c>
      <c r="AX106" s="53" t="inlineStr">
        <is>
          <t>Services</t>
        </is>
      </c>
      <c r="AY106" s="53" t="inlineStr">
        <is>
          <t>Professional Services</t>
        </is>
      </c>
      <c r="AZ106" s="53" t="inlineStr">
        <is>
          <t>XBRL / Regulatory Reporting</t>
        </is>
      </c>
      <c r="BA106" s="53" t="n"/>
      <c r="BB106" s="53" t="n"/>
      <c r="BC106" s="53" t="inlineStr">
        <is>
          <t>Employee</t>
        </is>
      </c>
      <c r="BD106" s="53" t="inlineStr">
        <is>
          <t>Lalita Waghmare</t>
        </is>
      </c>
      <c r="BE106" s="53" t="inlineStr">
        <is>
          <t>Lalita Waghmare</t>
        </is>
      </c>
      <c r="BF106" s="53" t="inlineStr">
        <is>
          <t>No</t>
        </is>
      </c>
      <c r="BG106" s="53" t="inlineStr">
        <is>
          <t>Financial Analyst</t>
        </is>
      </c>
      <c r="BH106" s="53" t="inlineStr">
        <is>
          <t>Services Specialist</t>
        </is>
      </c>
      <c r="BI106" s="53" t="inlineStr">
        <is>
          <t>Yes</t>
        </is>
      </c>
      <c r="BJ106" s="53" t="inlineStr">
        <is>
          <t>—</t>
        </is>
      </c>
      <c r="BK106" s="53" t="inlineStr">
        <is>
          <t>—</t>
        </is>
      </c>
      <c r="BL106" s="53" t="inlineStr">
        <is>
          <t>—</t>
        </is>
      </c>
      <c r="BM106" s="53" t="inlineStr">
        <is>
          <t>Not a manager</t>
        </is>
      </c>
      <c r="BN106" s="53" t="inlineStr">
        <is>
          <t>—</t>
        </is>
      </c>
      <c r="BO106" s="53" t="inlineStr">
        <is>
          <t>—</t>
        </is>
      </c>
      <c r="BP106" s="53" t="inlineStr">
        <is>
          <t>—</t>
        </is>
      </c>
      <c r="BQ106" s="53" t="inlineStr">
        <is>
          <t>Not a manager</t>
        </is>
      </c>
      <c r="BR106" s="53" t="inlineStr">
        <is>
          <t>—</t>
        </is>
      </c>
      <c r="BS106" s="53" t="inlineStr">
        <is>
          <t>L3 – Professional / Associate</t>
        </is>
      </c>
      <c r="BT106" s="53" t="inlineStr">
        <is>
          <t>L2</t>
        </is>
      </c>
      <c r="BU106" s="53" t="inlineStr">
        <is>
          <t>Matched from Title Hierarchy · new designation</t>
        </is>
      </c>
      <c r="BV106"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W106" s="53" t="n"/>
      <c r="BX106" s="53" t="inlineStr">
        <is>
          <t>India - MCA; Europe - ESEF; Netherland - KVK.</t>
        </is>
      </c>
      <c r="BY106" s="53" t="n"/>
      <c r="BZ106" s="53" t="inlineStr">
        <is>
          <t>IRIS1703</t>
        </is>
      </c>
      <c r="CA106" s="53" t="inlineStr">
        <is>
          <t>Employee</t>
        </is>
      </c>
      <c r="CB106" s="53" t="inlineStr">
        <is>
          <t>Active</t>
        </is>
      </c>
      <c r="CC106" s="53" t="inlineStr">
        <is>
          <t>Atul Paradkar</t>
        </is>
      </c>
      <c r="CD106" s="54" t="n">
        <v>43129</v>
      </c>
      <c r="CE106" s="53" t="inlineStr">
        <is>
          <t>Financial Analyst</t>
        </is>
      </c>
      <c r="CF106" s="53" t="n"/>
      <c r="CG106" s="53" t="inlineStr">
        <is>
          <t>Professional Services</t>
        </is>
      </c>
      <c r="CH106" s="53" t="inlineStr">
        <is>
          <t>XBRL / Regulatory Reporting</t>
        </is>
      </c>
      <c r="CI106" s="53" t="inlineStr">
        <is>
          <t>Financial Analyst</t>
        </is>
      </c>
      <c r="CJ106" s="53" t="inlineStr">
        <is>
          <t>L3 – Professional / Associate</t>
        </is>
      </c>
      <c r="CK106" s="53" t="inlineStr">
        <is>
          <t>Lalita Waghmare</t>
        </is>
      </c>
      <c r="CL106" s="53" t="inlineStr">
        <is>
          <t>N-7</t>
        </is>
      </c>
      <c r="CM106" s="53" t="inlineStr">
        <is>
          <t>Individual Contributor</t>
        </is>
      </c>
      <c r="CN106" s="53" t="inlineStr">
        <is>
          <t>Regtech</t>
        </is>
      </c>
      <c r="CO106" s="53" t="inlineStr">
        <is>
          <t>Services</t>
        </is>
      </c>
      <c r="CP106" s="53" t="inlineStr">
        <is>
          <t>16 years, 11 months, 22 days</t>
        </is>
      </c>
      <c r="CQ106" s="53" t="inlineStr">
        <is>
          <t>Services Specialist</t>
        </is>
      </c>
      <c r="CR106" s="53" t="n"/>
      <c r="CS106" s="53" t="n">
        <v>3</v>
      </c>
      <c r="CT106" s="53" t="inlineStr">
        <is>
          <t>Medium</t>
        </is>
      </c>
      <c r="CU106" s="53" t="inlineStr">
        <is>
          <t>Core Contributor</t>
        </is>
      </c>
      <c r="CV106" s="53" t="inlineStr">
        <is>
          <t>No</t>
        </is>
      </c>
      <c r="CW106" s="53" t="inlineStr">
        <is>
          <t>No</t>
        </is>
      </c>
      <c r="CX106" s="53" t="inlineStr">
        <is>
          <t>Yes</t>
        </is>
      </c>
      <c r="CY106" s="53" t="n"/>
      <c r="CZ106" s="53" t="n"/>
      <c r="DA106" s="53" t="n"/>
      <c r="DB106" s="53" t="inlineStr">
        <is>
          <t>Title to be standardized to : Services Specialist</t>
        </is>
      </c>
      <c r="DC106" s="53" t="n"/>
      <c r="DD106" s="53" t="n"/>
      <c r="DE106" s="53" t="n"/>
      <c r="DF106" s="53" t="n"/>
      <c r="DG106" s="53" t="n"/>
      <c r="DH106" s="53" t="n"/>
      <c r="DI106" s="53" t="n"/>
      <c r="DJ106" s="53" t="n"/>
      <c r="DK106" s="53" t="n"/>
      <c r="DL106" s="53" t="n"/>
      <c r="DM106" s="53" t="n"/>
      <c r="DN106" s="53" t="n"/>
      <c r="DO106" s="53" t="n"/>
      <c r="DP106" s="53" t="n"/>
      <c r="DQ106" s="53" t="n"/>
      <c r="DR106" s="53" t="n"/>
      <c r="DS106" s="53" t="n"/>
      <c r="DT106" s="53" t="n"/>
      <c r="DU106" s="53" t="n"/>
      <c r="DV106" s="53" t="n"/>
      <c r="DW106" s="53" t="n"/>
      <c r="DX106" s="53" t="n"/>
      <c r="DY106" s="53" t="n"/>
      <c r="DZ106" s="53" t="n"/>
      <c r="EA106" s="53" t="n"/>
      <c r="EB106" s="53" t="n"/>
      <c r="EC106" s="53" t="n"/>
      <c r="ED106" s="53" t="n"/>
      <c r="EE106" s="53" t="n"/>
      <c r="EF106" s="53" t="n"/>
      <c r="EG106" s="53" t="n"/>
      <c r="EH106" s="53" t="n"/>
      <c r="EI106" s="53" t="n"/>
      <c r="EJ106" s="53" t="n"/>
      <c r="EK106" s="53" t="n"/>
      <c r="EL106" s="53" t="n"/>
      <c r="EM106" s="53" t="n"/>
      <c r="EN106" s="53" t="n"/>
      <c r="EO106" s="53" t="n"/>
      <c r="EP106" s="53" t="n"/>
      <c r="EQ106" s="53" t="n"/>
      <c r="ER106" s="53" t="n"/>
      <c r="ES106" s="53" t="n"/>
      <c r="ET106" s="53" t="n"/>
      <c r="EU106" s="53" t="n"/>
      <c r="EV106" s="53" t="n"/>
      <c r="EW106" s="52" t="n"/>
      <c r="EX106" s="53" t="inlineStr">
        <is>
          <t>• Role / sub-team: Xbrl conversion service.</t>
        </is>
      </c>
      <c r="EY106" s="53" t="inlineStr">
        <is>
          <t>• Key responsibilities include: Tagging and Qc of Mca, Esma and kvk files, client interaction.
• Reported deliverables and outcomes include: Share with client.</t>
        </is>
      </c>
      <c r="EZ106" s="53" t="inlineStr">
        <is>
          <t>• Current capabilities: Time management; Tools / software used: Carbon, I-file [Teams chat].</t>
        </is>
      </c>
      <c r="FA106" s="53" t="inlineStr">
        <is>
          <t>• Development priorities: No input received.
• Learning and Development Need: Time and work management.</t>
        </is>
      </c>
      <c r="FB106" s="53" t="inlineStr">
        <is>
          <t>• Key challenges: Tool issue.
• Support required: No input received.</t>
        </is>
      </c>
      <c r="FC106" s="53" t="n"/>
      <c r="FD106" s="53" t="n"/>
      <c r="FE106"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FF106" s="56" t="n"/>
      <c r="FG106" s="56" t="n"/>
      <c r="FH106" s="56" t="n"/>
      <c r="FI106" s="56" t="n"/>
      <c r="FJ106" s="56" t="inlineStr">
        <is>
          <t>Received · manager annual</t>
        </is>
      </c>
      <c r="FK106" s="56" t="inlineStr">
        <is>
          <t>CARBON Mapping Master</t>
        </is>
      </c>
      <c r="FL106" s="56" t="n">
        <v>19</v>
      </c>
      <c r="FM106" s="56" t="inlineStr">
        <is>
          <t>• Role / sub-team: Xbrl conversion service.</t>
        </is>
      </c>
      <c r="FN106" s="56" t="inlineStr">
        <is>
          <t>• Key responsibilities include: Tagging and Qc of Mca, Esma and kvk files, client interaction.
• Reported deliverables and outcomes include: Share with client.</t>
        </is>
      </c>
      <c r="FO106" s="56" t="inlineStr">
        <is>
          <t>• Current capabilities: Time management; Tools / software used: Carbon, I-file [Teams chat].</t>
        </is>
      </c>
      <c r="FP106" s="56" t="inlineStr">
        <is>
          <t>• Development priorities: No input received.
• Learning and Development Need: Time and work management.</t>
        </is>
      </c>
      <c r="FQ106" s="56" t="inlineStr">
        <is>
          <t>• Key challenges: Tool issue.
• Support required: No input received.</t>
        </is>
      </c>
      <c r="FR106" s="56" t="inlineStr">
        <is>
          <t>Complexity: Evidence reads like A3: End-to-end MCA and ESMA filings with QC, validation, client queries; KVK; Carbon tool testing → moved up 0.5
Autonomy: Evidence reads like A2: No decisions stated; manages filings end to end within the process → matches the start
Accountability: Evidence reads like A3: Timely, accurate files shared with clients for MCA and ESMA filing → moved up 0.5
Leadership: Evidence reads like A1: No guidance or leadership of others described → matches the start
Business Impact: Moved +0.5: the survey / manager mapping marks it business-critical.</t>
        </is>
      </c>
      <c r="FS106" s="56"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FT106" s="56" t="inlineStr">
        <is>
          <t>Self-identified: Product &amp; tool knowledge
For the next role: Product &amp; tool knowledge</t>
        </is>
      </c>
      <c r="FU106" s="56" t="inlineStr">
        <is>
          <t>Per-person summary · CARBON Mapping Master</t>
        </is>
      </c>
    </row>
    <row r="107" ht="90" customHeight="1">
      <c r="A107" s="51" t="inlineStr">
        <is>
          <t>◂ Back</t>
        </is>
      </c>
      <c r="B107" s="29" t="inlineStr">
        <is>
          <t>Mapped</t>
        </is>
      </c>
      <c r="C107" s="28" t="inlineStr">
        <is>
          <t>CARBON</t>
        </is>
      </c>
      <c r="D107" s="29" t="inlineStr">
        <is>
          <t>IRISC267</t>
        </is>
      </c>
      <c r="E107" s="29" t="inlineStr">
        <is>
          <t>Chaitali Chatterjee</t>
        </is>
      </c>
      <c r="F107" s="29" t="inlineStr">
        <is>
          <t>Services</t>
        </is>
      </c>
      <c r="G107" s="29" t="inlineStr">
        <is>
          <t>Consultant</t>
        </is>
      </c>
      <c r="H107" s="29" t="inlineStr">
        <is>
          <t>Senior Financial Analyst</t>
        </is>
      </c>
      <c r="I107" s="29" t="inlineStr">
        <is>
          <t>L3 – Professional / Associate</t>
        </is>
      </c>
      <c r="J107" s="29" t="inlineStr">
        <is>
          <t>A3</t>
        </is>
      </c>
      <c r="K107" s="29" t="inlineStr">
        <is>
          <t>▲ Up</t>
        </is>
      </c>
      <c r="L107" s="29" t="inlineStr">
        <is>
          <t>Consulting &amp; Professional Services</t>
        </is>
      </c>
      <c r="M107" s="29" t="inlineStr">
        <is>
          <t>XBRL Tagging, Conversion &amp; Filing</t>
        </is>
      </c>
      <c r="N107" s="29" t="n"/>
      <c r="O107" s="29" t="n">
        <v>0</v>
      </c>
      <c r="P107" s="28" t="inlineStr">
        <is>
          <t>P2</t>
        </is>
      </c>
      <c r="Q107" s="29" t="inlineStr">
        <is>
          <t>Developing</t>
        </is>
      </c>
      <c r="R107" s="29" t="inlineStr">
        <is>
          <t>3 Apply</t>
        </is>
      </c>
      <c r="S107" s="29" t="inlineStr">
        <is>
          <t>2–4 yrs</t>
        </is>
      </c>
      <c r="T107" s="29" t="inlineStr">
        <is>
          <t>3–5 · 2–5</t>
        </is>
      </c>
      <c r="U107" s="29" t="inlineStr">
        <is>
          <t>Senior Analyst / Associate</t>
        </is>
      </c>
      <c r="V107" s="29" t="inlineStr">
        <is>
          <t>DataTracks: Senior Associate · 2–5 yrs · Big Four: Consultant · IRIS Vs Market Benchmark — XBRL US credential pathway: XBRL US GAAP Certificate</t>
        </is>
      </c>
      <c r="W107" s="29" t="inlineStr">
        <is>
          <t>XBRL US GAAP Certificate · AICPA &amp; XBRL US; XBRL International specifications; IFRS / US GAAP / Ind AS</t>
        </is>
      </c>
      <c r="X107" s="29" t="inlineStr">
        <is>
          <t>Core 2 · Future 2 · Functional 3 · Leadership not scored</t>
        </is>
      </c>
      <c r="Y107" s="52" t="n">
        <v>9001</v>
      </c>
      <c r="Z107" s="53" t="inlineStr">
        <is>
          <t>IRISC267</t>
        </is>
      </c>
      <c r="AA107" s="53" t="inlineStr">
        <is>
          <t>On Contract</t>
        </is>
      </c>
      <c r="AB107" s="53" t="n"/>
      <c r="AC107" s="53" t="inlineStr">
        <is>
          <t>Chaitali Chatterjee</t>
        </is>
      </c>
      <c r="AD107" s="53" t="n"/>
      <c r="AE107" s="53" t="inlineStr">
        <is>
          <t>Consultant</t>
        </is>
      </c>
      <c r="AF107" s="53" t="n"/>
      <c r="AG107" s="53" t="inlineStr">
        <is>
          <t>Lalita Waghmare</t>
        </is>
      </c>
      <c r="AH107" s="53" t="n"/>
      <c r="AI107" s="53" t="n"/>
      <c r="AJ107" s="53" t="n"/>
      <c r="AK107" s="53" t="n"/>
      <c r="AL107" s="53" t="n"/>
      <c r="AM107" s="53" t="inlineStr">
        <is>
          <t>CARBON</t>
        </is>
      </c>
      <c r="AN107" s="53" t="inlineStr">
        <is>
          <t>Services</t>
        </is>
      </c>
      <c r="AO107" s="53" t="n"/>
      <c r="AP107" s="53" t="n"/>
      <c r="AQ107" s="53" t="n"/>
      <c r="AR107" s="53" t="n"/>
      <c r="AS107" s="53" t="n"/>
      <c r="AT107" s="53" t="n"/>
      <c r="AU107" s="53" t="n"/>
      <c r="AV107" s="53" t="inlineStr">
        <is>
          <t>IRISC267</t>
        </is>
      </c>
      <c r="AW107" s="53" t="inlineStr">
        <is>
          <t>Chaitali Chatterjee</t>
        </is>
      </c>
      <c r="AX107" s="53" t="inlineStr">
        <is>
          <t>Services</t>
        </is>
      </c>
      <c r="AY107" s="53" t="inlineStr">
        <is>
          <t>Professional Services</t>
        </is>
      </c>
      <c r="AZ107" s="53" t="inlineStr">
        <is>
          <t>XBRL / Regulatory Reporting</t>
        </is>
      </c>
      <c r="BA107" s="53" t="n"/>
      <c r="BB107" s="53" t="n"/>
      <c r="BC107" s="53" t="inlineStr">
        <is>
          <t>On Contract</t>
        </is>
      </c>
      <c r="BD107" s="53" t="inlineStr">
        <is>
          <t>Lalita Waghmare</t>
        </is>
      </c>
      <c r="BE107" s="53" t="inlineStr">
        <is>
          <t>Lalita Waghmare</t>
        </is>
      </c>
      <c r="BF107" s="53" t="inlineStr">
        <is>
          <t>No</t>
        </is>
      </c>
      <c r="BG107" s="53" t="inlineStr">
        <is>
          <t>Consultant</t>
        </is>
      </c>
      <c r="BH107" s="53" t="inlineStr">
        <is>
          <t>Consultant</t>
        </is>
      </c>
      <c r="BI107" s="53" t="inlineStr">
        <is>
          <t>No</t>
        </is>
      </c>
      <c r="BJ107" s="53" t="inlineStr">
        <is>
          <t>—</t>
        </is>
      </c>
      <c r="BK107" s="53" t="inlineStr">
        <is>
          <t>—</t>
        </is>
      </c>
      <c r="BL107" s="53" t="inlineStr">
        <is>
          <t>—</t>
        </is>
      </c>
      <c r="BM107" s="53" t="inlineStr">
        <is>
          <t>Not a manager</t>
        </is>
      </c>
      <c r="BN107" s="53" t="inlineStr">
        <is>
          <t>—</t>
        </is>
      </c>
      <c r="BO107" s="53" t="inlineStr">
        <is>
          <t>—</t>
        </is>
      </c>
      <c r="BP107" s="53" t="inlineStr">
        <is>
          <t>—</t>
        </is>
      </c>
      <c r="BQ107" s="53" t="inlineStr">
        <is>
          <t>Not a manager</t>
        </is>
      </c>
      <c r="BR107" s="53" t="inlineStr">
        <is>
          <t>—</t>
        </is>
      </c>
      <c r="BS107" s="53" t="inlineStr">
        <is>
          <t>L3 – Professional / Associate</t>
        </is>
      </c>
      <c r="BT107" s="53" t="inlineStr">
        <is>
          <t>L3 – Professional / Associate</t>
        </is>
      </c>
      <c r="BU107" s="53" t="inlineStr">
        <is>
          <t>No designation change — current record value carried forward</t>
        </is>
      </c>
      <c r="BV107"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W107" s="53" t="n"/>
      <c r="BX107" s="53" t="n"/>
      <c r="BY107" s="53" t="n"/>
      <c r="BZ107" s="53" t="inlineStr">
        <is>
          <t>IRISC267</t>
        </is>
      </c>
      <c r="CA107" s="53" t="inlineStr">
        <is>
          <t>On Contract</t>
        </is>
      </c>
      <c r="CB107" s="53" t="inlineStr">
        <is>
          <t>Active</t>
        </is>
      </c>
      <c r="CC107" s="53" t="inlineStr">
        <is>
          <t>Chaitali Chatterjee</t>
        </is>
      </c>
      <c r="CD107" s="54" t="n">
        <v>45148</v>
      </c>
      <c r="CE107" s="53" t="inlineStr">
        <is>
          <t>Consultant</t>
        </is>
      </c>
      <c r="CF107" s="53" t="n"/>
      <c r="CG107" s="53" t="inlineStr">
        <is>
          <t>Professional Services</t>
        </is>
      </c>
      <c r="CH107" s="53" t="inlineStr">
        <is>
          <t>XBRL / Regulatory Reporting</t>
        </is>
      </c>
      <c r="CI107" s="53" t="inlineStr">
        <is>
          <t>Consultant</t>
        </is>
      </c>
      <c r="CJ107" s="53" t="inlineStr">
        <is>
          <t>L3 – Professional / Associate</t>
        </is>
      </c>
      <c r="CK107" s="53" t="inlineStr">
        <is>
          <t>Lalita Waghmare</t>
        </is>
      </c>
      <c r="CL107" s="53" t="inlineStr">
        <is>
          <t>N-7</t>
        </is>
      </c>
      <c r="CM107" s="53" t="inlineStr">
        <is>
          <t>Individual Contributor</t>
        </is>
      </c>
      <c r="CN107" s="53" t="inlineStr">
        <is>
          <t>Regtech</t>
        </is>
      </c>
      <c r="CO107" s="53" t="inlineStr">
        <is>
          <t>Services</t>
        </is>
      </c>
      <c r="CP107" s="53" t="inlineStr">
        <is>
          <t>11 years, 1 months, 10 days</t>
        </is>
      </c>
      <c r="CQ107" s="53" t="n"/>
      <c r="CR107" s="53" t="n"/>
      <c r="CS107" s="53" t="n">
        <v>2</v>
      </c>
      <c r="CT107" s="53" t="inlineStr">
        <is>
          <t>Low</t>
        </is>
      </c>
      <c r="CU107" s="53" t="inlineStr">
        <is>
          <t>Reliable Specialist</t>
        </is>
      </c>
      <c r="CV107" s="53" t="inlineStr">
        <is>
          <t>No</t>
        </is>
      </c>
      <c r="CW107" s="53" t="inlineStr">
        <is>
          <t>No</t>
        </is>
      </c>
      <c r="CX107" s="53" t="inlineStr">
        <is>
          <t>Yes</t>
        </is>
      </c>
      <c r="CY107" s="53" t="n"/>
      <c r="CZ107" s="53" t="n"/>
      <c r="DA107" s="53" t="n"/>
      <c r="DB107" s="53" t="n"/>
      <c r="DC107" s="53" t="n"/>
      <c r="DD107" s="53" t="n"/>
      <c r="DE107" s="53" t="n"/>
      <c r="DF107" s="53" t="n"/>
      <c r="DG107" s="53" t="n"/>
      <c r="DH107" s="53" t="n"/>
      <c r="DI107" s="53" t="n"/>
      <c r="DJ107" s="53" t="n"/>
      <c r="DK107" s="53" t="n"/>
      <c r="DL107" s="53" t="n"/>
      <c r="DM107" s="53" t="n"/>
      <c r="DN107" s="53" t="n"/>
      <c r="DO107" s="53" t="n"/>
      <c r="DP107" s="53" t="n"/>
      <c r="DQ107" s="53" t="n"/>
      <c r="DR107" s="53" t="n"/>
      <c r="DS107" s="53" t="n"/>
      <c r="DT107" s="53" t="n"/>
      <c r="DU107" s="53" t="n"/>
      <c r="DV107" s="53" t="n"/>
      <c r="DW107" s="53" t="n"/>
      <c r="DX107" s="53" t="n"/>
      <c r="DY107" s="53" t="n"/>
      <c r="DZ107" s="53" t="n"/>
      <c r="EA107" s="53" t="n"/>
      <c r="EB107" s="53" t="n"/>
      <c r="EC107" s="53" t="n"/>
      <c r="ED107" s="53" t="n"/>
      <c r="EE107" s="53" t="n"/>
      <c r="EF107" s="53" t="n"/>
      <c r="EG107" s="53" t="n"/>
      <c r="EH107" s="53" t="n"/>
      <c r="EI107" s="53" t="n"/>
      <c r="EJ107" s="53" t="n"/>
      <c r="EK107" s="53" t="n"/>
      <c r="EL107" s="53" t="n"/>
      <c r="EM107" s="53" t="n"/>
      <c r="EN107" s="53" t="n"/>
      <c r="EO107" s="53" t="n"/>
      <c r="EP107" s="53" t="n"/>
      <c r="EQ107" s="53" t="n"/>
      <c r="ER107" s="53" t="n"/>
      <c r="ES107" s="53" t="n"/>
      <c r="ET107" s="53" t="n"/>
      <c r="EU107" s="53" t="n"/>
      <c r="EV107" s="53" t="n"/>
      <c r="EW107" s="52" t="inlineStr">
        <is>
          <t>Demised — excluded from active roster.</t>
        </is>
      </c>
      <c r="EX107" s="53" t="n"/>
      <c r="EY107" s="53" t="n"/>
      <c r="EZ107" s="53" t="n"/>
      <c r="FA107" s="53" t="n"/>
      <c r="FB107" s="53" t="n"/>
      <c r="FC107" s="53" t="n"/>
      <c r="FD107" s="53" t="n"/>
      <c r="FE107"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FF107" s="56" t="n"/>
      <c r="FG107" s="56" t="n"/>
      <c r="FH107" s="56" t="n"/>
      <c r="FI107" s="56" t="n"/>
      <c r="FJ107" s="56" t="inlineStr">
        <is>
          <t>Received · manager annual</t>
        </is>
      </c>
      <c r="FK107" s="56" t="inlineStr">
        <is>
          <t>CARBON Mapping Master</t>
        </is>
      </c>
      <c r="FL107" s="56" t="n">
        <v>0</v>
      </c>
      <c r="FM107" s="32" t="inlineStr">
        <is>
          <t>No survey response on file</t>
        </is>
      </c>
      <c r="FN107" s="56" t="inlineStr">
        <is>
          <t>—</t>
        </is>
      </c>
      <c r="FO107" s="56" t="inlineStr">
        <is>
          <t>—</t>
        </is>
      </c>
      <c r="FP107" s="56" t="inlineStr">
        <is>
          <t>—</t>
        </is>
      </c>
      <c r="FQ107" s="56" t="inlineStr">
        <is>
          <t>—</t>
        </is>
      </c>
      <c r="FR107" s="56" t="inlineStr">
        <is>
          <t>Business Impact: Moved +0.5: the survey / manager mapping marks it business-critical.</t>
        </is>
      </c>
      <c r="FS107" s="56"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FT107" s="56" t="n"/>
      <c r="FU107" s="32" t="inlineStr">
        <is>
          <t>No survey response on file</t>
        </is>
      </c>
    </row>
    <row r="108" ht="90" customHeight="1">
      <c r="A108" s="51" t="inlineStr">
        <is>
          <t>◂ Back</t>
        </is>
      </c>
      <c r="B108" s="29" t="inlineStr">
        <is>
          <t>Mapped</t>
        </is>
      </c>
      <c r="C108" s="28" t="inlineStr">
        <is>
          <t>CARBON</t>
        </is>
      </c>
      <c r="D108" s="29" t="inlineStr">
        <is>
          <t>IRIS1247</t>
        </is>
      </c>
      <c r="E108" s="29" t="inlineStr">
        <is>
          <t>Sushma Shinde</t>
        </is>
      </c>
      <c r="F108" s="29" t="inlineStr">
        <is>
          <t>Services</t>
        </is>
      </c>
      <c r="G108" s="29" t="inlineStr">
        <is>
          <t>Financial Analyst</t>
        </is>
      </c>
      <c r="H108" s="29" t="inlineStr">
        <is>
          <t>Senior Financial Analyst</t>
        </is>
      </c>
      <c r="I108" s="29" t="inlineStr">
        <is>
          <t>L3 – Professional / Associate</t>
        </is>
      </c>
      <c r="J108" s="29" t="inlineStr">
        <is>
          <t>A3</t>
        </is>
      </c>
      <c r="K108" s="29" t="inlineStr">
        <is>
          <t>▲ Up</t>
        </is>
      </c>
      <c r="L108" s="29" t="inlineStr">
        <is>
          <t>Consulting &amp; Professional Services</t>
        </is>
      </c>
      <c r="M108" s="29" t="inlineStr">
        <is>
          <t>XBRL Tagging, Conversion &amp; Filing</t>
        </is>
      </c>
      <c r="N108" s="29" t="n"/>
      <c r="O108" s="29" t="n">
        <v>18</v>
      </c>
      <c r="P108" s="28" t="inlineStr">
        <is>
          <t>P2</t>
        </is>
      </c>
      <c r="Q108" s="29" t="inlineStr">
        <is>
          <t>Developing</t>
        </is>
      </c>
      <c r="R108" s="29" t="inlineStr">
        <is>
          <t>3 Apply</t>
        </is>
      </c>
      <c r="S108" s="29" t="inlineStr">
        <is>
          <t>2–4 yrs</t>
        </is>
      </c>
      <c r="T108" s="29" t="inlineStr">
        <is>
          <t>3–5 · 2–5</t>
        </is>
      </c>
      <c r="U108" s="29" t="inlineStr">
        <is>
          <t>Senior Analyst / Associate</t>
        </is>
      </c>
      <c r="V108" s="29" t="inlineStr">
        <is>
          <t>DataTracks: Senior Associate · 2–5 yrs · Big Four: Consultant · IRIS Vs Market Benchmark — XBRL US credential pathway: XBRL US GAAP Certificate</t>
        </is>
      </c>
      <c r="W108" s="29" t="inlineStr">
        <is>
          <t>XBRL US GAAP Certificate · AICPA &amp; XBRL US; XBRL International specifications; IFRS / US GAAP / Ind AS</t>
        </is>
      </c>
      <c r="X108" s="29" t="inlineStr">
        <is>
          <t>Core 2 · Future 2 · Functional 3 · Leadership not scored</t>
        </is>
      </c>
      <c r="Y108" s="52" t="n">
        <v>113</v>
      </c>
      <c r="Z108" s="53" t="inlineStr">
        <is>
          <t>IRIS1247</t>
        </is>
      </c>
      <c r="AA108" s="53" t="inlineStr">
        <is>
          <t>Employee</t>
        </is>
      </c>
      <c r="AB108" s="53" t="inlineStr">
        <is>
          <t>Active</t>
        </is>
      </c>
      <c r="AC108" s="53" t="inlineStr">
        <is>
          <t>Sushma Shinde</t>
        </is>
      </c>
      <c r="AD108" s="54" t="n">
        <v>41134</v>
      </c>
      <c r="AE108" s="53" t="inlineStr">
        <is>
          <t>Financial Analyst</t>
        </is>
      </c>
      <c r="AF108" s="53" t="inlineStr">
        <is>
          <t>M.Com</t>
        </is>
      </c>
      <c r="AG108" s="53" t="inlineStr">
        <is>
          <t>Lalita Waghmare</t>
        </is>
      </c>
      <c r="AH108" s="53" t="inlineStr">
        <is>
          <t>N-7</t>
        </is>
      </c>
      <c r="AI108" s="53" t="inlineStr">
        <is>
          <t>Individual Contributor</t>
        </is>
      </c>
      <c r="AJ108" s="53" t="inlineStr">
        <is>
          <t>0 years, 0 months, 0 days</t>
        </is>
      </c>
      <c r="AK108" s="53" t="inlineStr">
        <is>
          <t>14 years, 0 months, 12 days</t>
        </is>
      </c>
      <c r="AL108" s="53" t="inlineStr">
        <is>
          <t>Regtech</t>
        </is>
      </c>
      <c r="AM108" s="53" t="inlineStr">
        <is>
          <t>CARBON</t>
        </is>
      </c>
      <c r="AN108" s="53" t="inlineStr">
        <is>
          <t>Services</t>
        </is>
      </c>
      <c r="AO108" s="53" t="inlineStr">
        <is>
          <t>Expert Assisted services</t>
        </is>
      </c>
      <c r="AP108" s="53" t="inlineStr">
        <is>
          <t>No</t>
        </is>
      </c>
      <c r="AQ108" s="53" t="inlineStr">
        <is>
          <t>Professional Services</t>
        </is>
      </c>
      <c r="AR108" s="53" t="inlineStr">
        <is>
          <t>XBRL Domain</t>
        </is>
      </c>
      <c r="AS108" s="53" t="inlineStr">
        <is>
          <t>Non-technical</t>
        </is>
      </c>
      <c r="AT108" s="53" t="n">
        <v>20</v>
      </c>
      <c r="AU108" s="53" t="inlineStr">
        <is>
          <t>Covered</t>
        </is>
      </c>
      <c r="AV108" s="53" t="inlineStr">
        <is>
          <t>IRIS1247</t>
        </is>
      </c>
      <c r="AW108" s="53" t="inlineStr">
        <is>
          <t>Sushma Shinde</t>
        </is>
      </c>
      <c r="AX108" s="53" t="inlineStr">
        <is>
          <t>Services</t>
        </is>
      </c>
      <c r="AY108" s="53" t="inlineStr">
        <is>
          <t>Professional Services</t>
        </is>
      </c>
      <c r="AZ108" s="53" t="inlineStr">
        <is>
          <t>XBRL / Regulatory Reporting</t>
        </is>
      </c>
      <c r="BA108" s="53" t="n"/>
      <c r="BB108" s="53" t="n"/>
      <c r="BC108" s="53" t="inlineStr">
        <is>
          <t>Employee</t>
        </is>
      </c>
      <c r="BD108" s="53" t="inlineStr">
        <is>
          <t>Lalita Waghmare</t>
        </is>
      </c>
      <c r="BE108" s="53" t="inlineStr">
        <is>
          <t>Lalita Waghmare</t>
        </is>
      </c>
      <c r="BF108" s="53" t="inlineStr">
        <is>
          <t>No</t>
        </is>
      </c>
      <c r="BG108" s="53" t="inlineStr">
        <is>
          <t>Financial Analyst</t>
        </is>
      </c>
      <c r="BH108" s="53" t="inlineStr">
        <is>
          <t>Services Specialist</t>
        </is>
      </c>
      <c r="BI108" s="53" t="inlineStr">
        <is>
          <t>Yes</t>
        </is>
      </c>
      <c r="BJ108" s="53" t="inlineStr">
        <is>
          <t>—</t>
        </is>
      </c>
      <c r="BK108" s="53" t="inlineStr">
        <is>
          <t>—</t>
        </is>
      </c>
      <c r="BL108" s="53" t="inlineStr">
        <is>
          <t>—</t>
        </is>
      </c>
      <c r="BM108" s="53" t="inlineStr">
        <is>
          <t>Not a manager</t>
        </is>
      </c>
      <c r="BN108" s="53" t="inlineStr">
        <is>
          <t>—</t>
        </is>
      </c>
      <c r="BO108" s="53" t="inlineStr">
        <is>
          <t>—</t>
        </is>
      </c>
      <c r="BP108" s="53" t="inlineStr">
        <is>
          <t>—</t>
        </is>
      </c>
      <c r="BQ108" s="53" t="inlineStr">
        <is>
          <t>Not a manager</t>
        </is>
      </c>
      <c r="BR108" s="53" t="inlineStr">
        <is>
          <t>—</t>
        </is>
      </c>
      <c r="BS108" s="53" t="inlineStr">
        <is>
          <t>L3 – Professional / Associate</t>
        </is>
      </c>
      <c r="BT108" s="53" t="inlineStr">
        <is>
          <t>L2</t>
        </is>
      </c>
      <c r="BU108" s="53" t="inlineStr">
        <is>
          <t>Matched from Title Hierarchy · new designation</t>
        </is>
      </c>
      <c r="BV108"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W108" s="53" t="n"/>
      <c r="BX108" s="53" t="inlineStr">
        <is>
          <t>India - MCA; Netherland - KVK, Europe - ESEF.</t>
        </is>
      </c>
      <c r="BY108" s="53" t="n"/>
      <c r="BZ108" s="53" t="inlineStr">
        <is>
          <t>IRIS1247</t>
        </is>
      </c>
      <c r="CA108" s="53" t="inlineStr">
        <is>
          <t>Employee</t>
        </is>
      </c>
      <c r="CB108" s="53" t="inlineStr">
        <is>
          <t>Active</t>
        </is>
      </c>
      <c r="CC108" s="53" t="inlineStr">
        <is>
          <t>Sushma Shinde</t>
        </is>
      </c>
      <c r="CD108" s="54" t="n">
        <v>41134</v>
      </c>
      <c r="CE108" s="53" t="inlineStr">
        <is>
          <t>Financial Analyst</t>
        </is>
      </c>
      <c r="CF108" s="53" t="n"/>
      <c r="CG108" s="53" t="inlineStr">
        <is>
          <t>Professional Services</t>
        </is>
      </c>
      <c r="CH108" s="53" t="inlineStr">
        <is>
          <t>XBRL / Regulatory Reporting</t>
        </is>
      </c>
      <c r="CI108" s="53" t="inlineStr">
        <is>
          <t>Financial Analyst</t>
        </is>
      </c>
      <c r="CJ108" s="53" t="inlineStr">
        <is>
          <t>L3 – Professional / Associate</t>
        </is>
      </c>
      <c r="CK108" s="53" t="inlineStr">
        <is>
          <t>Lalita Waghmare</t>
        </is>
      </c>
      <c r="CL108" s="53" t="inlineStr">
        <is>
          <t>N-7</t>
        </is>
      </c>
      <c r="CM108" s="53" t="inlineStr">
        <is>
          <t>Individual Contributor</t>
        </is>
      </c>
      <c r="CN108" s="53" t="inlineStr">
        <is>
          <t>Regtech</t>
        </is>
      </c>
      <c r="CO108" s="53" t="inlineStr">
        <is>
          <t>Services</t>
        </is>
      </c>
      <c r="CP108" s="53" t="inlineStr">
        <is>
          <t>13 years, 10 months, 7 days</t>
        </is>
      </c>
      <c r="CQ108" s="53" t="inlineStr">
        <is>
          <t>Services Specialist</t>
        </is>
      </c>
      <c r="CR108" s="53" t="n"/>
      <c r="CS108" s="53" t="n">
        <v>5</v>
      </c>
      <c r="CT108" s="53" t="inlineStr">
        <is>
          <t>High</t>
        </is>
      </c>
      <c r="CU108" s="53" t="inlineStr">
        <is>
          <t>Emerging Talent</t>
        </is>
      </c>
      <c r="CV108" s="53" t="inlineStr">
        <is>
          <t>No</t>
        </is>
      </c>
      <c r="CW108" s="53" t="inlineStr">
        <is>
          <t>Yes</t>
        </is>
      </c>
      <c r="CX108" s="53" t="inlineStr">
        <is>
          <t>Yes</t>
        </is>
      </c>
      <c r="CY108" s="53" t="n"/>
      <c r="CZ108" s="53" t="n"/>
      <c r="DA108" s="53" t="n"/>
      <c r="DB108" s="53" t="inlineStr">
        <is>
          <t>Title to be standardized to : Services Specialist</t>
        </is>
      </c>
      <c r="DC108" s="53" t="n"/>
      <c r="DD108" s="53" t="n"/>
      <c r="DE108" s="53" t="n"/>
      <c r="DF108" s="53" t="n"/>
      <c r="DG108" s="53" t="n"/>
      <c r="DH108" s="53" t="n"/>
      <c r="DI108" s="53" t="n"/>
      <c r="DJ108" s="53" t="n"/>
      <c r="DK108" s="53" t="n"/>
      <c r="DL108" s="53" t="n"/>
      <c r="DM108" s="53" t="n"/>
      <c r="DN108" s="53" t="n"/>
      <c r="DO108" s="53" t="n"/>
      <c r="DP108" s="53" t="n"/>
      <c r="DQ108" s="53" t="n"/>
      <c r="DR108" s="53" t="n"/>
      <c r="DS108" s="53" t="n"/>
      <c r="DT108" s="53" t="n"/>
      <c r="DU108" s="53" t="n"/>
      <c r="DV108" s="53" t="n"/>
      <c r="DW108" s="53" t="n"/>
      <c r="DX108" s="53" t="n"/>
      <c r="DY108" s="53" t="n"/>
      <c r="DZ108" s="53" t="n"/>
      <c r="EA108" s="53" t="n"/>
      <c r="EB108" s="53" t="n"/>
      <c r="EC108" s="53" t="n"/>
      <c r="ED108" s="53" t="n"/>
      <c r="EE108" s="53" t="n"/>
      <c r="EF108" s="53" t="n"/>
      <c r="EG108" s="53" t="n"/>
      <c r="EH108" s="53" t="n"/>
      <c r="EI108" s="53" t="n"/>
      <c r="EJ108" s="53" t="n"/>
      <c r="EK108" s="53" t="n"/>
      <c r="EL108" s="53" t="n"/>
      <c r="EM108" s="53" t="n"/>
      <c r="EN108" s="53" t="n"/>
      <c r="EO108" s="53" t="n"/>
      <c r="EP108" s="53" t="n"/>
      <c r="EQ108" s="53" t="n"/>
      <c r="ER108" s="53" t="n"/>
      <c r="ES108" s="53" t="n"/>
      <c r="ET108" s="53" t="n"/>
      <c r="EU108" s="53" t="n"/>
      <c r="EV108" s="53" t="n"/>
      <c r="EW108" s="52" t="n"/>
      <c r="EX108" s="53" t="inlineStr">
        <is>
          <t>• Role / sub-team: Tagging Analyst</t>
        </is>
      </c>
      <c r="EY108" s="53" t="inlineStr">
        <is>
          <t>• Key responsibilities include: Tagging of the files, QC of the file, Client changes, Client interaction etc.
• Reported deliverables and outcomes include: MCA - output file direct send to the client.</t>
        </is>
      </c>
      <c r="EZ108" s="53" t="inlineStr">
        <is>
          <t>• Current capabilities: Handel multiple things; Tools / software used: Disclosure Management - DM - Word editor | Ifile [Teams chat], HTML Editor.</t>
        </is>
      </c>
      <c r="FA108" s="53" t="inlineStr">
        <is>
          <t>• Development priorities: No input received.
• Learning and Development Need: Time and work management.</t>
        </is>
      </c>
      <c r="FB108" s="53" t="inlineStr">
        <is>
          <t>• Key challenges: No input received.
• Support required: No input received.</t>
        </is>
      </c>
      <c r="FC108" s="53" t="n"/>
      <c r="FD108" s="53" t="n"/>
      <c r="FE108"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FF108" s="56" t="n"/>
      <c r="FG108" s="56" t="n"/>
      <c r="FH108" s="56" t="n"/>
      <c r="FI108" s="56" t="n"/>
      <c r="FJ108" s="56" t="inlineStr">
        <is>
          <t>Received · manager annual</t>
        </is>
      </c>
      <c r="FK108" s="56" t="inlineStr">
        <is>
          <t>CARBON Mapping Master</t>
        </is>
      </c>
      <c r="FL108" s="56" t="n">
        <v>18</v>
      </c>
      <c r="FM108" s="56" t="inlineStr">
        <is>
          <t>• Role / sub-team: Tagging Analyst</t>
        </is>
      </c>
      <c r="FN108" s="56" t="inlineStr">
        <is>
          <t>• Key responsibilities include: Tagging of the files, QC of the file, Client changes, Client interaction etc.
• Reported deliverables and outcomes include: MCA - output file direct send to the client.</t>
        </is>
      </c>
      <c r="FO108" s="56" t="inlineStr">
        <is>
          <t>• Current capabilities: Handel multiple things; Tools / software used: Disclosure Management - DM - Word editor | Ifile [Teams chat], HTML Editor.</t>
        </is>
      </c>
      <c r="FP108" s="56" t="inlineStr">
        <is>
          <t>• Development priorities: No input received.
• Learning and Development Need: Time and work management.</t>
        </is>
      </c>
      <c r="FQ108" s="56" t="inlineStr">
        <is>
          <t>• Key challenges: No input received.
• Support required: No input received.</t>
        </is>
      </c>
      <c r="FR108" s="56" t="inlineStr">
        <is>
          <t>Complexity: Evidence reads like A3: MCA tagging and QC, error identification, and resolving errors directly with clients on calls → moved up 0.5
Autonomy: Evidence reads like A2: No decision list given; judges resolutions during client calls within the MCA process → matches the start
Accountability: Evidence reads like A3: Tagging accuracy, QC results and final XML/PDF deliverables sent directly to the client → moved up 0.5
Leadership: Evidence reads like A1: No guiding or leading of others described → matches the start
Business Impact: Moved +0.5: the survey / manager mapping marks it business-critical.</t>
        </is>
      </c>
      <c r="FS108" s="56"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FT108" s="56" t="inlineStr">
        <is>
          <t>Self-identified: Testing &amp; quality · Domain, regulatory &amp; XBRL · Client, sales &amp; stakeholders · Communication &amp; presentation · Broader exposure &amp; ownership
For the next role: Testing &amp; quality · Domain, regulatory &amp; XBRL · Client, sales &amp; stakeholders · Communication &amp; presentation · Broader exposure &amp; ownership</t>
        </is>
      </c>
      <c r="FU108" s="56" t="inlineStr">
        <is>
          <t>Per-person summary · CARBON Mapping Master</t>
        </is>
      </c>
    </row>
    <row r="109" ht="90" customHeight="1">
      <c r="A109" s="51" t="inlineStr">
        <is>
          <t>◂ Back</t>
        </is>
      </c>
      <c r="B109" s="29" t="inlineStr">
        <is>
          <t>Mapped</t>
        </is>
      </c>
      <c r="C109" s="28" t="inlineStr">
        <is>
          <t>CARBON</t>
        </is>
      </c>
      <c r="D109" s="29" t="inlineStr">
        <is>
          <t>IRIS1704</t>
        </is>
      </c>
      <c r="E109" s="29" t="inlineStr">
        <is>
          <t>Lucy Fernandes</t>
        </is>
      </c>
      <c r="F109" s="29" t="inlineStr">
        <is>
          <t>Services</t>
        </is>
      </c>
      <c r="G109" s="29" t="inlineStr">
        <is>
          <t>Senior Financial Analyst</t>
        </is>
      </c>
      <c r="H109" s="29" t="inlineStr">
        <is>
          <t>XBRL Specialist – POD Lead</t>
        </is>
      </c>
      <c r="I109" s="29" t="inlineStr">
        <is>
          <t>L4 – Senior</t>
        </is>
      </c>
      <c r="J109" s="29" t="inlineStr">
        <is>
          <t>B1</t>
        </is>
      </c>
      <c r="K109" s="29" t="inlineStr">
        <is>
          <t>▲ Up</t>
        </is>
      </c>
      <c r="L109" s="29" t="inlineStr">
        <is>
          <t>Consulting &amp; Professional Services</t>
        </is>
      </c>
      <c r="M109" s="29" t="inlineStr">
        <is>
          <t>XBRL Tagging, Conversion &amp; Filing</t>
        </is>
      </c>
      <c r="N109" s="29" t="n"/>
      <c r="O109" s="29" t="n">
        <v>20</v>
      </c>
      <c r="P109" s="28" t="inlineStr">
        <is>
          <t>P3 / M2</t>
        </is>
      </c>
      <c r="Q109" s="29" t="inlineStr">
        <is>
          <t>Career / · Team Lead</t>
        </is>
      </c>
      <c r="R109" s="29" t="inlineStr">
        <is>
          <t>4 Enable</t>
        </is>
      </c>
      <c r="S109" s="29" t="inlineStr">
        <is>
          <t>4–7 yrs</t>
        </is>
      </c>
      <c r="T109" s="29" t="inlineStr">
        <is>
          <t>5–8 · 4–8</t>
        </is>
      </c>
      <c r="U109" s="29" t="inlineStr">
        <is>
          <t>Consultant / Senior Associate</t>
        </is>
      </c>
      <c r="V109" s="29" t="inlineStr">
        <is>
          <t>Big Four: Senior Consultant · IRIS Vs Market Benchmark — XBRL US credential pathway: Certificate + specialist taxonomy</t>
        </is>
      </c>
      <c r="W109" s="29" t="inlineStr">
        <is>
          <t>XBRL US GAAP Certificate · AICPA &amp; XBRL US; XBRL International specifications; IFRS / US GAAP / Ind AS</t>
        </is>
      </c>
      <c r="X109" s="29" t="inlineStr">
        <is>
          <t>Core 3 · Future 3 · Functional 3 · Leadership 2</t>
        </is>
      </c>
      <c r="Y109" s="52" t="n">
        <v>144</v>
      </c>
      <c r="Z109" s="53" t="inlineStr">
        <is>
          <t>IRIS1704</t>
        </is>
      </c>
      <c r="AA109" s="53" t="inlineStr">
        <is>
          <t>Employee</t>
        </is>
      </c>
      <c r="AB109" s="53" t="inlineStr">
        <is>
          <t>Active</t>
        </is>
      </c>
      <c r="AC109" s="53" t="inlineStr">
        <is>
          <t>Lucy Fernandes</t>
        </is>
      </c>
      <c r="AD109" s="54" t="n">
        <v>43129</v>
      </c>
      <c r="AE109" s="53" t="inlineStr">
        <is>
          <t>Senior Financial Analyst</t>
        </is>
      </c>
      <c r="AF109" s="53" t="inlineStr">
        <is>
          <t>MBA</t>
        </is>
      </c>
      <c r="AG109" s="53" t="inlineStr">
        <is>
          <t>Mayur Zope</t>
        </is>
      </c>
      <c r="AH109" s="53" t="inlineStr">
        <is>
          <t>N-6</t>
        </is>
      </c>
      <c r="AI109" s="53" t="inlineStr">
        <is>
          <t>Manager</t>
        </is>
      </c>
      <c r="AJ109" s="53" t="inlineStr">
        <is>
          <t>6 years, 1 months, 0 days</t>
        </is>
      </c>
      <c r="AK109" s="53" t="inlineStr">
        <is>
          <t>8 years, 6 months, 27 days</t>
        </is>
      </c>
      <c r="AL109" s="53" t="inlineStr">
        <is>
          <t>Regtech</t>
        </is>
      </c>
      <c r="AM109" s="53" t="inlineStr">
        <is>
          <t>CARBON</t>
        </is>
      </c>
      <c r="AN109" s="53" t="inlineStr">
        <is>
          <t>Services</t>
        </is>
      </c>
      <c r="AO109" s="53" t="inlineStr">
        <is>
          <t>Expert Assisted services</t>
        </is>
      </c>
      <c r="AP109" s="53" t="inlineStr">
        <is>
          <t>No</t>
        </is>
      </c>
      <c r="AQ109" s="53" t="inlineStr">
        <is>
          <t>Professional Services</t>
        </is>
      </c>
      <c r="AR109" s="53" t="inlineStr">
        <is>
          <t>XBRL Domain</t>
        </is>
      </c>
      <c r="AS109" s="53" t="inlineStr">
        <is>
          <t>Non-technical</t>
        </is>
      </c>
      <c r="AT109" s="53" t="n">
        <v>20</v>
      </c>
      <c r="AU109" s="53" t="inlineStr">
        <is>
          <t>Covered</t>
        </is>
      </c>
      <c r="AV109" s="53" t="inlineStr">
        <is>
          <t>IRIS1704</t>
        </is>
      </c>
      <c r="AW109" s="53" t="inlineStr">
        <is>
          <t>Lucy Fernandes</t>
        </is>
      </c>
      <c r="AX109" s="53" t="inlineStr">
        <is>
          <t>Services</t>
        </is>
      </c>
      <c r="AY109" s="53" t="inlineStr">
        <is>
          <t>Professional Services</t>
        </is>
      </c>
      <c r="AZ109" s="53" t="inlineStr">
        <is>
          <t>XBRL / Regulatory Reporting</t>
        </is>
      </c>
      <c r="BA109" s="53" t="n"/>
      <c r="BB109" s="53" t="n"/>
      <c r="BC109" s="53" t="inlineStr">
        <is>
          <t>Employee</t>
        </is>
      </c>
      <c r="BD109" s="53" t="inlineStr">
        <is>
          <t>Mayur Zope</t>
        </is>
      </c>
      <c r="BE109" s="53" t="inlineStr">
        <is>
          <t>Mayur Zope</t>
        </is>
      </c>
      <c r="BF109" s="53" t="inlineStr">
        <is>
          <t>No</t>
        </is>
      </c>
      <c r="BG109" s="53" t="inlineStr">
        <is>
          <t>Senior Financial Analyst</t>
        </is>
      </c>
      <c r="BH109" s="53" t="inlineStr">
        <is>
          <t>Senior Services Specialist</t>
        </is>
      </c>
      <c r="BI109" s="53" t="inlineStr">
        <is>
          <t>Yes</t>
        </is>
      </c>
      <c r="BJ109" s="53" t="n">
        <v>1</v>
      </c>
      <c r="BK109" s="53" t="n">
        <v>0</v>
      </c>
      <c r="BL109" s="53" t="n">
        <v>1</v>
      </c>
      <c r="BM109" s="53" t="inlineStr">
        <is>
          <t>Consolidate / flatten</t>
        </is>
      </c>
      <c r="BN109" s="53" t="n">
        <v>1</v>
      </c>
      <c r="BO109" s="53" t="n">
        <v>0</v>
      </c>
      <c r="BP109" s="53" t="n">
        <v>1</v>
      </c>
      <c r="BQ109" s="53" t="inlineStr">
        <is>
          <t>Consolidate / flatten</t>
        </is>
      </c>
      <c r="BR109" s="53" t="inlineStr">
        <is>
          <t>No</t>
        </is>
      </c>
      <c r="BS109" s="53" t="inlineStr">
        <is>
          <t>L4 – Senior</t>
        </is>
      </c>
      <c r="BT109" s="53" t="inlineStr">
        <is>
          <t>L4 – Senior</t>
        </is>
      </c>
      <c r="BU109" s="53" t="inlineStr">
        <is>
          <t>Designation refined from Raw tab Comments column · this update</t>
        </is>
      </c>
      <c r="BV109"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W109" s="53" t="inlineStr">
        <is>
          <t>Differentiate - only DM, DM+ESG,, PMO</t>
        </is>
      </c>
      <c r="BX109" s="53" t="inlineStr">
        <is>
          <t>India - MCA; Europe - ESEF.</t>
        </is>
      </c>
      <c r="BY109" s="53" t="n"/>
      <c r="BZ109" s="53" t="inlineStr">
        <is>
          <t>IRIS1704</t>
        </is>
      </c>
      <c r="CA109" s="53" t="inlineStr">
        <is>
          <t>Employee</t>
        </is>
      </c>
      <c r="CB109" s="53" t="inlineStr">
        <is>
          <t>Active</t>
        </is>
      </c>
      <c r="CC109" s="53" t="inlineStr">
        <is>
          <t>Lucy Fernandes</t>
        </is>
      </c>
      <c r="CD109" s="54" t="n">
        <v>43129</v>
      </c>
      <c r="CE109" s="53" t="inlineStr">
        <is>
          <t>Senior Financial Analyst</t>
        </is>
      </c>
      <c r="CF109" s="53" t="n"/>
      <c r="CG109" s="53" t="inlineStr">
        <is>
          <t>Professional Services</t>
        </is>
      </c>
      <c r="CH109" s="53" t="inlineStr">
        <is>
          <t>XBRL / Regulatory Reporting</t>
        </is>
      </c>
      <c r="CI109" s="53" t="inlineStr">
        <is>
          <t>Senior Financial Analyst</t>
        </is>
      </c>
      <c r="CJ109" s="53" t="inlineStr">
        <is>
          <t>L4 – Senior</t>
        </is>
      </c>
      <c r="CK109" s="53" t="inlineStr">
        <is>
          <t>Mayur Zope</t>
        </is>
      </c>
      <c r="CL109" s="53" t="inlineStr">
        <is>
          <t>N-6</t>
        </is>
      </c>
      <c r="CM109" s="53" t="inlineStr">
        <is>
          <t>Individual Contributor</t>
        </is>
      </c>
      <c r="CN109" s="53" t="inlineStr">
        <is>
          <t>Regtech</t>
        </is>
      </c>
      <c r="CO109" s="53" t="inlineStr">
        <is>
          <t>Services</t>
        </is>
      </c>
      <c r="CP109" s="53" t="inlineStr">
        <is>
          <t>14 years, 5 months, 22 days</t>
        </is>
      </c>
      <c r="CQ109" s="53" t="inlineStr">
        <is>
          <t>Senior Services Specialst</t>
        </is>
      </c>
      <c r="CR109" s="53" t="n"/>
      <c r="CS109" s="53" t="n">
        <v>4</v>
      </c>
      <c r="CT109" s="53" t="inlineStr">
        <is>
          <t>High</t>
        </is>
      </c>
      <c r="CU109" s="53" t="inlineStr">
        <is>
          <t>Core Contributor</t>
        </is>
      </c>
      <c r="CV109" s="53" t="inlineStr">
        <is>
          <t>Yes</t>
        </is>
      </c>
      <c r="CW109" s="53" t="inlineStr">
        <is>
          <t>No</t>
        </is>
      </c>
      <c r="CX109" s="53" t="inlineStr">
        <is>
          <t>Yes</t>
        </is>
      </c>
      <c r="CY109" s="53" t="n"/>
      <c r="CZ109" s="53" t="n"/>
      <c r="DA109" s="53" t="n"/>
      <c r="DB109" s="53" t="inlineStr">
        <is>
          <t>Title to be standardized to: Senior Services Specialist</t>
        </is>
      </c>
      <c r="DC109" s="53" t="n"/>
      <c r="DD109" s="53" t="n"/>
      <c r="DE109" s="53" t="n"/>
      <c r="DF109" s="53" t="n"/>
      <c r="DG109" s="53" t="n"/>
      <c r="DH109" s="53" t="n"/>
      <c r="DI109" s="53" t="n"/>
      <c r="DJ109" s="53" t="n"/>
      <c r="DK109" s="53" t="n"/>
      <c r="DL109" s="53" t="n"/>
      <c r="DM109" s="53" t="n"/>
      <c r="DN109" s="53" t="n"/>
      <c r="DO109" s="53" t="n"/>
      <c r="DP109" s="53" t="n"/>
      <c r="DQ109" s="53" t="n"/>
      <c r="DR109" s="53" t="n"/>
      <c r="DS109" s="53" t="n"/>
      <c r="DT109" s="53" t="n"/>
      <c r="DU109" s="53" t="n"/>
      <c r="DV109" s="53" t="n"/>
      <c r="DW109" s="53" t="n"/>
      <c r="DX109" s="53" t="n"/>
      <c r="DY109" s="53" t="n"/>
      <c r="DZ109" s="53" t="n"/>
      <c r="EA109" s="53" t="n"/>
      <c r="EB109" s="53" t="n"/>
      <c r="EC109" s="53" t="n"/>
      <c r="ED109" s="53" t="n"/>
      <c r="EE109" s="53" t="n"/>
      <c r="EF109" s="53" t="n"/>
      <c r="EG109" s="53" t="n"/>
      <c r="EH109" s="53" t="n"/>
      <c r="EI109" s="53" t="n"/>
      <c r="EJ109" s="53" t="n"/>
      <c r="EK109" s="53" t="n"/>
      <c r="EL109" s="53" t="n"/>
      <c r="EM109" s="53" t="n"/>
      <c r="EN109" s="53" t="n"/>
      <c r="EO109" s="53" t="n"/>
      <c r="EP109" s="53" t="n"/>
      <c r="EQ109" s="53" t="n"/>
      <c r="ER109" s="53" t="n"/>
      <c r="ES109" s="53" t="n"/>
      <c r="ET109" s="53" t="n"/>
      <c r="EU109" s="53" t="n"/>
      <c r="EV109" s="53" t="n"/>
      <c r="EW109" s="52" t="n"/>
      <c r="EX109" s="53" t="inlineStr">
        <is>
          <t>• Role / sub-team: Mca and esma.</t>
        </is>
      </c>
      <c r="EY109" s="53" t="inlineStr">
        <is>
          <t>• Key responsibilities include: Ensuring client queries raised during calls are addressed and resolved.
• Reported deliverables and outcomes include: MCA: work is completed and the next client responds accordingly. ESMA: work is handed over to the next stage.</t>
        </is>
      </c>
      <c r="EZ109" s="53" t="inlineStr">
        <is>
          <t>• Current capabilities: Communication; Tools / software used: HTML - Editor, iFile.</t>
        </is>
      </c>
      <c r="FA109" s="53" t="inlineStr">
        <is>
          <t>• Development priorities: No input received.
• Learning and Development Need: No input received.</t>
        </is>
      </c>
      <c r="FB109" s="53" t="inlineStr">
        <is>
          <t>• Key challenges: No input received.
• Support required: No input received.</t>
        </is>
      </c>
      <c r="FC109" s="53" t="n"/>
      <c r="FD109" s="53" t="n"/>
      <c r="FE109"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FF109" s="56" t="n"/>
      <c r="FG109" s="56" t="n"/>
      <c r="FH109" s="56" t="n"/>
      <c r="FI109" s="56" t="n"/>
      <c r="FJ109" s="56" t="inlineStr">
        <is>
          <t>Received · manager annual</t>
        </is>
      </c>
      <c r="FK109" s="56" t="inlineStr">
        <is>
          <t>CARBON Mapping Master</t>
        </is>
      </c>
      <c r="FL109" s="56" t="n">
        <v>20</v>
      </c>
      <c r="FM109" s="56" t="inlineStr">
        <is>
          <t>• Role / sub-team: Mca and esma.</t>
        </is>
      </c>
      <c r="FN109" s="56" t="inlineStr">
        <is>
          <t>• Key responsibilities include: Ensuring client queries raised during calls are addressed and resolved.
• Reported deliverables and outcomes include: MCA: work is completed and the next client responds accordingly. ESMA: work is handed over to the next stage.</t>
        </is>
      </c>
      <c r="FO109" s="56" t="inlineStr">
        <is>
          <t>• Current capabilities: Communication; Tools / software used: HTML - Editor, iFile.</t>
        </is>
      </c>
      <c r="FP109" s="56" t="inlineStr">
        <is>
          <t>• Development priorities: No input received.
• Learning and Development Need: No input received.</t>
        </is>
      </c>
      <c r="FQ109" s="56" t="inlineStr">
        <is>
          <t>• Key challenges: No input received.
• Support required: No input received.</t>
        </is>
      </c>
      <c r="FR109" s="56" t="inlineStr">
        <is>
          <t>Complexity: Evidence reads like A3: MCA and ESMA conversion: data mapping, extension concepts, calculation review, validation errors, client queries → matches the start
Autonomy: Evidence reads like A3: Makes file-related decisions independently; escalates some issues to the manager → matches the start
Accountability: Evidence reads like A3: Solely responsible for conversion accuracy; outputs go to client/certification, resolves client queries → moved down 0.5
Leadership: Evidence reads like A1: No guiding or leading described despite one HR report → moved down 1
Business Impact: Moved +0.5: the survey / manager mapping marks it business-critical.</t>
        </is>
      </c>
      <c r="FS109" s="56" t="inlineStr">
        <is>
          <t>Common themes in role-holders' answers: reporting · financial · mandate · timely · while · us
Common themes in role-holders' answers: tagging · validation · quality · mapping · management · filing
Common themes in role-holders' answers: documents · xbrl · quality · timely · overall · filings
Common themes in role-holders' answers: quality · validation · timely · am · tagging · delivery
Common themes in role-holders' answers: resolving · independently · issues · routine · file · analysis
If the work is missed · role-holders' themes: rework · quality · delays · filing.</t>
        </is>
      </c>
      <c r="FT109" s="56" t="inlineStr">
        <is>
          <t>Self-identified: Project / programme management · Domain, regulatory &amp; XBRL · Client, sales &amp; stakeholders · Broader exposure &amp; ownership
For the next role: Project / programme management · Domain, regulatory &amp; XBRL · Client, sales &amp; stakeholders · Communication &amp; presentation · Broader exposure &amp; ownership</t>
        </is>
      </c>
      <c r="FU109" s="56" t="inlineStr">
        <is>
          <t>Per-person summary · CARBON Mapping Master</t>
        </is>
      </c>
    </row>
    <row r="110" ht="90" customHeight="1">
      <c r="A110" s="51" t="inlineStr">
        <is>
          <t>◂ Back</t>
        </is>
      </c>
      <c r="B110" s="29" t="inlineStr">
        <is>
          <t>Mapped</t>
        </is>
      </c>
      <c r="C110" s="28" t="inlineStr">
        <is>
          <t>CARBON</t>
        </is>
      </c>
      <c r="D110" s="29" t="inlineStr">
        <is>
          <t>IRISC265</t>
        </is>
      </c>
      <c r="E110" s="29" t="inlineStr">
        <is>
          <t>Roshni Surve</t>
        </is>
      </c>
      <c r="F110" s="29" t="inlineStr">
        <is>
          <t>Services</t>
        </is>
      </c>
      <c r="G110" s="29" t="inlineStr">
        <is>
          <t>Consultant</t>
        </is>
      </c>
      <c r="H110" s="29" t="inlineStr">
        <is>
          <t>Senior Financial Analyst</t>
        </is>
      </c>
      <c r="I110" s="29" t="inlineStr">
        <is>
          <t>L3 – Professional / Associate</t>
        </is>
      </c>
      <c r="J110" s="29" t="inlineStr">
        <is>
          <t>A3</t>
        </is>
      </c>
      <c r="K110" s="29" t="inlineStr">
        <is>
          <t>▲ Up</t>
        </is>
      </c>
      <c r="L110" s="29" t="inlineStr">
        <is>
          <t>Consulting &amp; Professional Services</t>
        </is>
      </c>
      <c r="M110" s="29" t="inlineStr">
        <is>
          <t>XBRL Tagging, Conversion &amp; Filing</t>
        </is>
      </c>
      <c r="N110" s="29" t="n"/>
      <c r="O110" s="29" t="n">
        <v>20</v>
      </c>
      <c r="P110" s="28" t="inlineStr">
        <is>
          <t>P2</t>
        </is>
      </c>
      <c r="Q110" s="29" t="inlineStr">
        <is>
          <t>Developing</t>
        </is>
      </c>
      <c r="R110" s="29" t="inlineStr">
        <is>
          <t>3 Apply</t>
        </is>
      </c>
      <c r="S110" s="29" t="inlineStr">
        <is>
          <t>2–4 yrs</t>
        </is>
      </c>
      <c r="T110" s="29" t="inlineStr">
        <is>
          <t>3–5 · 2–5</t>
        </is>
      </c>
      <c r="U110" s="29" t="inlineStr">
        <is>
          <t>Senior Analyst / Associate</t>
        </is>
      </c>
      <c r="V110" s="29" t="inlineStr">
        <is>
          <t>DataTracks: Senior Associate · 2–5 yrs · Big Four: Consultant · IRIS Vs Market Benchmark — XBRL US credential pathway: XBRL US GAAP Certificate</t>
        </is>
      </c>
      <c r="W110" s="29" t="inlineStr">
        <is>
          <t>XBRL US GAAP Certificate · AICPA &amp; XBRL US; XBRL International specifications; IFRS / US GAAP / Ind AS</t>
        </is>
      </c>
      <c r="X110" s="29" t="inlineStr">
        <is>
          <t>Core 2 · Future 2 · Functional 3 · Leadership not scored</t>
        </is>
      </c>
      <c r="Y110" s="52" t="n">
        <v>280</v>
      </c>
      <c r="Z110" s="53" t="inlineStr">
        <is>
          <t>IRISC265</t>
        </is>
      </c>
      <c r="AA110" s="53" t="inlineStr">
        <is>
          <t>On Contract</t>
        </is>
      </c>
      <c r="AB110" s="53" t="inlineStr">
        <is>
          <t>Active</t>
        </is>
      </c>
      <c r="AC110" s="53" t="inlineStr">
        <is>
          <t>Roshni Surve</t>
        </is>
      </c>
      <c r="AD110" s="54" t="n">
        <v>45084</v>
      </c>
      <c r="AE110" s="53" t="inlineStr">
        <is>
          <t>Consultant</t>
        </is>
      </c>
      <c r="AF110" s="53" t="inlineStr">
        <is>
          <t>B.Com</t>
        </is>
      </c>
      <c r="AG110" s="53" t="inlineStr">
        <is>
          <t>Lucy Fernandes</t>
        </is>
      </c>
      <c r="AH110" s="53" t="inlineStr">
        <is>
          <t>N-7</t>
        </is>
      </c>
      <c r="AI110" s="53" t="inlineStr">
        <is>
          <t>Individual Contributor</t>
        </is>
      </c>
      <c r="AJ110" s="53" t="inlineStr">
        <is>
          <t>0 years, 0 months, 0 days</t>
        </is>
      </c>
      <c r="AK110" s="53" t="inlineStr">
        <is>
          <t>3 years, 2 months, 18 days</t>
        </is>
      </c>
      <c r="AL110" s="53" t="inlineStr">
        <is>
          <t>Regtech</t>
        </is>
      </c>
      <c r="AM110" s="53" t="inlineStr">
        <is>
          <t>CARBON</t>
        </is>
      </c>
      <c r="AN110" s="53" t="inlineStr">
        <is>
          <t>Services</t>
        </is>
      </c>
      <c r="AO110" s="53" t="inlineStr">
        <is>
          <t>Expert Assisted services</t>
        </is>
      </c>
      <c r="AP110" s="53" t="inlineStr">
        <is>
          <t>No</t>
        </is>
      </c>
      <c r="AQ110" s="53" t="inlineStr">
        <is>
          <t>Professional Services</t>
        </is>
      </c>
      <c r="AR110" s="53" t="inlineStr">
        <is>
          <t>XBRL Domain</t>
        </is>
      </c>
      <c r="AS110" s="53" t="inlineStr">
        <is>
          <t>Non-technical</t>
        </is>
      </c>
      <c r="AT110" s="53" t="n">
        <v>20</v>
      </c>
      <c r="AU110" s="53" t="inlineStr">
        <is>
          <t>Covered</t>
        </is>
      </c>
      <c r="AV110" s="53" t="inlineStr">
        <is>
          <t>IRISC265</t>
        </is>
      </c>
      <c r="AW110" s="53" t="inlineStr">
        <is>
          <t>Roshni Surve</t>
        </is>
      </c>
      <c r="AX110" s="53" t="inlineStr">
        <is>
          <t>Services</t>
        </is>
      </c>
      <c r="AY110" s="53" t="inlineStr">
        <is>
          <t>Professional Services</t>
        </is>
      </c>
      <c r="AZ110" s="53" t="inlineStr">
        <is>
          <t>XBRL / Regulatory Reporting</t>
        </is>
      </c>
      <c r="BA110" s="53" t="n"/>
      <c r="BB110" s="53" t="n"/>
      <c r="BC110" s="53" t="inlineStr">
        <is>
          <t>On Contract</t>
        </is>
      </c>
      <c r="BD110" s="53" t="inlineStr">
        <is>
          <t>Lucy Fernandes</t>
        </is>
      </c>
      <c r="BE110" s="53" t="inlineStr">
        <is>
          <t>Lucy Fernandes</t>
        </is>
      </c>
      <c r="BF110" s="53" t="inlineStr">
        <is>
          <t>No</t>
        </is>
      </c>
      <c r="BG110" s="53" t="inlineStr">
        <is>
          <t>Consultant</t>
        </is>
      </c>
      <c r="BH110" s="53" t="inlineStr">
        <is>
          <t>Consultant</t>
        </is>
      </c>
      <c r="BI110" s="53" t="inlineStr">
        <is>
          <t>No</t>
        </is>
      </c>
      <c r="BJ110" s="53" t="inlineStr">
        <is>
          <t>—</t>
        </is>
      </c>
      <c r="BK110" s="53" t="inlineStr">
        <is>
          <t>—</t>
        </is>
      </c>
      <c r="BL110" s="53" t="inlineStr">
        <is>
          <t>—</t>
        </is>
      </c>
      <c r="BM110" s="53" t="inlineStr">
        <is>
          <t>Not a manager</t>
        </is>
      </c>
      <c r="BN110" s="53" t="inlineStr">
        <is>
          <t>—</t>
        </is>
      </c>
      <c r="BO110" s="53" t="inlineStr">
        <is>
          <t>—</t>
        </is>
      </c>
      <c r="BP110" s="53" t="inlineStr">
        <is>
          <t>—</t>
        </is>
      </c>
      <c r="BQ110" s="53" t="inlineStr">
        <is>
          <t>Not a manager</t>
        </is>
      </c>
      <c r="BR110" s="53" t="inlineStr">
        <is>
          <t>—</t>
        </is>
      </c>
      <c r="BS110" s="53" t="inlineStr">
        <is>
          <t>L3 – Professional / Associate</t>
        </is>
      </c>
      <c r="BT110" s="53" t="inlineStr">
        <is>
          <t>L3 – Professional / Associate</t>
        </is>
      </c>
      <c r="BU110" s="53" t="inlineStr">
        <is>
          <t>No designation change — current record value carried forward</t>
        </is>
      </c>
      <c r="BV110" s="53"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BW110" s="53" t="n"/>
      <c r="BX110" s="53" t="inlineStr">
        <is>
          <t>India - MCA; Europe - ESEF; Netherland - KVK · On Contract.</t>
        </is>
      </c>
      <c r="BY110" s="53" t="n"/>
      <c r="BZ110" s="53" t="inlineStr">
        <is>
          <t>IRISC265</t>
        </is>
      </c>
      <c r="CA110" s="53" t="inlineStr">
        <is>
          <t>On Contract</t>
        </is>
      </c>
      <c r="CB110" s="53" t="inlineStr">
        <is>
          <t>Active</t>
        </is>
      </c>
      <c r="CC110" s="53" t="inlineStr">
        <is>
          <t>Roshni Surve</t>
        </is>
      </c>
      <c r="CD110" s="54" t="n">
        <v>45084</v>
      </c>
      <c r="CE110" s="53" t="inlineStr">
        <is>
          <t>Consultant</t>
        </is>
      </c>
      <c r="CF110" s="53" t="n"/>
      <c r="CG110" s="53" t="inlineStr">
        <is>
          <t>Professional Services</t>
        </is>
      </c>
      <c r="CH110" s="53" t="inlineStr">
        <is>
          <t>XBRL / Regulatory Reporting</t>
        </is>
      </c>
      <c r="CI110" s="53" t="inlineStr">
        <is>
          <t>Consultant</t>
        </is>
      </c>
      <c r="CJ110" s="53" t="inlineStr">
        <is>
          <t>L3 – Professional / Associate</t>
        </is>
      </c>
      <c r="CK110" s="53" t="inlineStr">
        <is>
          <t>Lucy Fernandes</t>
        </is>
      </c>
      <c r="CL110" s="53" t="inlineStr">
        <is>
          <t>N-7</t>
        </is>
      </c>
      <c r="CM110" s="53" t="inlineStr">
        <is>
          <t>Individual Contributor</t>
        </is>
      </c>
      <c r="CN110" s="53" t="inlineStr">
        <is>
          <t>Regtech</t>
        </is>
      </c>
      <c r="CO110" s="53" t="inlineStr">
        <is>
          <t>Services</t>
        </is>
      </c>
      <c r="CP110" s="53" t="inlineStr">
        <is>
          <t>3 years, 0 months, 13 days</t>
        </is>
      </c>
      <c r="CQ110" s="53" t="n"/>
      <c r="CR110" s="53" t="n"/>
      <c r="CS110" s="53" t="n">
        <v>4</v>
      </c>
      <c r="CT110" s="53" t="inlineStr">
        <is>
          <t>High</t>
        </is>
      </c>
      <c r="CU110" s="53" t="inlineStr">
        <is>
          <t>Core Contributor</t>
        </is>
      </c>
      <c r="CV110" s="53" t="inlineStr">
        <is>
          <t>No</t>
        </is>
      </c>
      <c r="CW110" s="53" t="inlineStr">
        <is>
          <t>No</t>
        </is>
      </c>
      <c r="CX110" s="53" t="inlineStr">
        <is>
          <t>Yes</t>
        </is>
      </c>
      <c r="CY110" s="53" t="n"/>
      <c r="CZ110" s="53" t="n"/>
      <c r="DA110" s="53" t="n"/>
      <c r="DB110" s="53" t="n"/>
      <c r="DC110" s="53" t="n"/>
      <c r="DD110" s="53" t="n"/>
      <c r="DE110" s="53" t="n"/>
      <c r="DF110" s="53" t="n"/>
      <c r="DG110" s="53" t="n"/>
      <c r="DH110" s="53" t="n"/>
      <c r="DI110" s="53" t="n"/>
      <c r="DJ110" s="53" t="n"/>
      <c r="DK110" s="53" t="n"/>
      <c r="DL110" s="53" t="n"/>
      <c r="DM110" s="53" t="n"/>
      <c r="DN110" s="53" t="n"/>
      <c r="DO110" s="53" t="n"/>
      <c r="DP110" s="53" t="n"/>
      <c r="DQ110" s="53" t="n"/>
      <c r="DR110" s="53" t="n"/>
      <c r="DS110" s="53" t="n"/>
      <c r="DT110" s="53" t="n"/>
      <c r="DU110" s="53" t="n"/>
      <c r="DV110" s="53" t="n"/>
      <c r="DW110" s="53" t="n"/>
      <c r="DX110" s="53" t="n"/>
      <c r="DY110" s="53" t="n"/>
      <c r="DZ110" s="53" t="n"/>
      <c r="EA110" s="53" t="n"/>
      <c r="EB110" s="53" t="n"/>
      <c r="EC110" s="53" t="n"/>
      <c r="ED110" s="53" t="n"/>
      <c r="EE110" s="53" t="n"/>
      <c r="EF110" s="53" t="n"/>
      <c r="EG110" s="53" t="n"/>
      <c r="EH110" s="53" t="n"/>
      <c r="EI110" s="53" t="n"/>
      <c r="EJ110" s="53" t="n"/>
      <c r="EK110" s="53" t="n"/>
      <c r="EL110" s="53" t="n"/>
      <c r="EM110" s="53" t="n"/>
      <c r="EN110" s="53" t="n"/>
      <c r="EO110" s="53" t="n"/>
      <c r="EP110" s="53" t="n"/>
      <c r="EQ110" s="53" t="n"/>
      <c r="ER110" s="53" t="n"/>
      <c r="ES110" s="53" t="n"/>
      <c r="ET110" s="53" t="n"/>
      <c r="EU110" s="53" t="n"/>
      <c r="EV110" s="53" t="n"/>
      <c r="EW110" s="52" t="n"/>
      <c r="EX110" s="53" t="inlineStr">
        <is>
          <t>• Role / sub-team: Xbrl tagging in EU and MCA.</t>
        </is>
      </c>
      <c r="EY110" s="53" t="inlineStr">
        <is>
          <t>• Key responsibilities include: Xbrl tagging.
• Reported deliverables and outcomes include: Deliverables sent directly to Client.</t>
        </is>
      </c>
      <c r="EZ110" s="53" t="inlineStr">
        <is>
          <t>• Current capabilities: Time management; Tools / software used: Carbon, Ifile [Teams chat].</t>
        </is>
      </c>
      <c r="FA110" s="53" t="inlineStr">
        <is>
          <t>• Development priorities: No input received.
• Learning and Development Need: Time management.</t>
        </is>
      </c>
      <c r="FB110" s="53" t="inlineStr">
        <is>
          <t>• Key challenges: No input received.
• Support required: No input received.</t>
        </is>
      </c>
      <c r="FC110" s="53" t="n"/>
      <c r="FD110" s="53" t="n"/>
      <c r="FE110" s="57" t="inlineStr">
        <is>
          <t>1. Complete assigned XBRL/conversion/filing tasks with &gt;=99% accuracy · zero critical errors
2. Meet 100% of regulatory / client filing deadlines · no SLA breaches
3. Maintain average turnaround per assignment within agreed TAT
4. 0% regulatory rejections across all submitted filings · Excluding issues not highlighted by our validator.
5. Handle assigned client queries within agreed TAT with client.</t>
        </is>
      </c>
      <c r="FF110" s="56" t="n"/>
      <c r="FG110" s="56" t="n"/>
      <c r="FH110" s="56" t="n"/>
      <c r="FI110" s="56" t="n"/>
      <c r="FJ110" s="56" t="inlineStr">
        <is>
          <t>Received · manager annual</t>
        </is>
      </c>
      <c r="FK110" s="56" t="inlineStr">
        <is>
          <t>CARBON Mapping Master</t>
        </is>
      </c>
      <c r="FL110" s="56" t="n">
        <v>20</v>
      </c>
      <c r="FM110" s="56" t="inlineStr">
        <is>
          <t>• Role / sub-team: Xbrl tagging in EU and MCA.</t>
        </is>
      </c>
      <c r="FN110" s="56" t="inlineStr">
        <is>
          <t>• Key responsibilities include: Xbrl tagging.
• Reported deliverables and outcomes include: Deliverables sent directly to Client.</t>
        </is>
      </c>
      <c r="FO110" s="56" t="inlineStr">
        <is>
          <t>• Current capabilities: Time management; Tools / software used: Carbon, Ifile [Teams chat].</t>
        </is>
      </c>
      <c r="FP110" s="56" t="inlineStr">
        <is>
          <t>• Development priorities: No input received.
• Learning and Development Need: Time management.</t>
        </is>
      </c>
      <c r="FQ110" s="56" t="inlineStr">
        <is>
          <t>• Key challenges: No input received.
• Support required: No input received.</t>
        </is>
      </c>
      <c r="FR110" s="56" t="inlineStr">
        <is>
          <t>Complexity: Evidence reads like A3: MCA and ESMA mapping with extensions, dimensions, calculations; resolves validation errors and client queries → moved up 0.5
Autonomy: Evidence reads like A3: Decides mapping and corrections on own files; deliverables go directly to client → moved up 0.5
Accountability: Evidence reads like A3: Accuracy of own conversions delivered directly to clients for filing → moved up 0.5
Leadership: Evidence reads like A1: No guidance or leadership of others described → matches the start
Business Impact: Moved +0.5: the survey / manager mapping marks it business-critical.</t>
        </is>
      </c>
      <c r="FS110" s="56"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FT110" s="56" t="inlineStr">
        <is>
          <t>Self-identified: Project / programme management · Domain, regulatory &amp; XBRL · Broader exposure &amp; ownership
For the next role: Project / programme management · Domain, regulatory &amp; XBRL · Client, sales &amp; stakeholders · Communication &amp; presentation · Broader exposure &amp; ownership</t>
        </is>
      </c>
      <c r="FU110" s="56" t="inlineStr">
        <is>
          <t>Per-person summary · CARBON Mapping Master</t>
        </is>
      </c>
    </row>
    <row r="111" ht="90" customHeight="1">
      <c r="A111" s="51" t="inlineStr">
        <is>
          <t>◂ Back</t>
        </is>
      </c>
      <c r="B111" s="29" t="inlineStr">
        <is>
          <t>Mapped</t>
        </is>
      </c>
      <c r="C111" s="28" t="inlineStr">
        <is>
          <t>CARBON</t>
        </is>
      </c>
      <c r="D111" s="29" t="inlineStr">
        <is>
          <t>IRIS0014</t>
        </is>
      </c>
      <c r="E111" s="29" t="inlineStr">
        <is>
          <t>Jayavant Bhabal</t>
        </is>
      </c>
      <c r="F111" s="29" t="inlineStr">
        <is>
          <t>Services</t>
        </is>
      </c>
      <c r="G111" s="29" t="inlineStr">
        <is>
          <t>Financial Analyst</t>
        </is>
      </c>
      <c r="H111" s="29" t="inlineStr">
        <is>
          <t>Senior Service Delivery Analyst</t>
        </is>
      </c>
      <c r="I111" s="29" t="inlineStr">
        <is>
          <t>L3 – Professional / Associate</t>
        </is>
      </c>
      <c r="J111" s="29" t="inlineStr">
        <is>
          <t>A3</t>
        </is>
      </c>
      <c r="K111" s="29" t="inlineStr">
        <is>
          <t>▲ Up</t>
        </is>
      </c>
      <c r="L111" s="29" t="inlineStr">
        <is>
          <t>Consulting &amp; Professional Services</t>
        </is>
      </c>
      <c r="M111" s="29" t="inlineStr">
        <is>
          <t>Service Delivery Operations</t>
        </is>
      </c>
      <c r="N111" s="29" t="n"/>
      <c r="O111" s="29" t="n">
        <v>18</v>
      </c>
      <c r="P111" s="28" t="inlineStr">
        <is>
          <t>P2</t>
        </is>
      </c>
      <c r="Q111" s="29" t="inlineStr">
        <is>
          <t>Developing</t>
        </is>
      </c>
      <c r="R111" s="29" t="inlineStr">
        <is>
          <t>3 Apply</t>
        </is>
      </c>
      <c r="S111" s="29" t="inlineStr">
        <is>
          <t>2–4 yrs</t>
        </is>
      </c>
      <c r="T111" s="29" t="inlineStr">
        <is>
          <t>3–5 · 2–5</t>
        </is>
      </c>
      <c r="U111" s="29" t="inlineStr">
        <is>
          <t>Senior Analyst / Associate</t>
        </is>
      </c>
      <c r="V111" s="29" t="inlineStr">
        <is>
          <t>DataTracks: Senior Associate · 2–5 yrs · Big Four: Consultant · IRIS Vs Market Benchmark — XBRL US credential pathway: XBRL US GAAP Certificate</t>
        </is>
      </c>
      <c r="W111" s="29" t="inlineStr">
        <is>
          <t>XBRL US GAAP Certificate · AICPA &amp; XBRL US; XBRL International specifications; IFRS / US GAAP / Ind AS</t>
        </is>
      </c>
      <c r="X111" s="29" t="inlineStr">
        <is>
          <t>Core 2 · Future 2 · Functional 3 · Leadership not scored</t>
        </is>
      </c>
      <c r="Y111" s="52" t="n">
        <v>7</v>
      </c>
      <c r="Z111" s="53" t="inlineStr">
        <is>
          <t>IRIS0014</t>
        </is>
      </c>
      <c r="AA111" s="53" t="inlineStr">
        <is>
          <t>Employee</t>
        </is>
      </c>
      <c r="AB111" s="53" t="inlineStr">
        <is>
          <t>Active</t>
        </is>
      </c>
      <c r="AC111" s="53" t="inlineStr">
        <is>
          <t>Jayavant Bhabal</t>
        </is>
      </c>
      <c r="AD111" s="54" t="n">
        <v>38266</v>
      </c>
      <c r="AE111" s="53" t="inlineStr">
        <is>
          <t>Financial Analyst</t>
        </is>
      </c>
      <c r="AF111" s="53" t="inlineStr">
        <is>
          <t>B.Com</t>
        </is>
      </c>
      <c r="AG111" s="53" t="inlineStr">
        <is>
          <t>Mayur Zope</t>
        </is>
      </c>
      <c r="AH111" s="53" t="inlineStr">
        <is>
          <t>N-6</t>
        </is>
      </c>
      <c r="AI111" s="53" t="inlineStr">
        <is>
          <t>Individual Contributor</t>
        </is>
      </c>
      <c r="AJ111" s="53" t="inlineStr">
        <is>
          <t>2 years, 5 months, 0 days</t>
        </is>
      </c>
      <c r="AK111" s="53" t="inlineStr">
        <is>
          <t>21 years, 10 months, 19 days</t>
        </is>
      </c>
      <c r="AL111" s="53" t="inlineStr">
        <is>
          <t>Regtech</t>
        </is>
      </c>
      <c r="AM111" s="53" t="inlineStr">
        <is>
          <t>CARBON</t>
        </is>
      </c>
      <c r="AN111" s="53" t="inlineStr">
        <is>
          <t>Services</t>
        </is>
      </c>
      <c r="AO111" s="53" t="inlineStr">
        <is>
          <t>Expert Assisted services</t>
        </is>
      </c>
      <c r="AP111" s="53" t="inlineStr">
        <is>
          <t>No</t>
        </is>
      </c>
      <c r="AQ111" s="53" t="inlineStr">
        <is>
          <t>Professional Services</t>
        </is>
      </c>
      <c r="AR111" s="53" t="inlineStr">
        <is>
          <t>XBRL Domain</t>
        </is>
      </c>
      <c r="AS111" s="53" t="inlineStr">
        <is>
          <t>Non-technical</t>
        </is>
      </c>
      <c r="AT111" s="53" t="n">
        <v>20</v>
      </c>
      <c r="AU111" s="53" t="inlineStr">
        <is>
          <t>Covered</t>
        </is>
      </c>
      <c r="AV111" s="53" t="inlineStr">
        <is>
          <t>IRIS0014</t>
        </is>
      </c>
      <c r="AW111" s="53" t="inlineStr">
        <is>
          <t>Jayavant Bhabal</t>
        </is>
      </c>
      <c r="AX111" s="53" t="inlineStr">
        <is>
          <t>Services</t>
        </is>
      </c>
      <c r="AY111" s="53" t="inlineStr">
        <is>
          <t>Professional Services</t>
        </is>
      </c>
      <c r="AZ111" s="53" t="inlineStr">
        <is>
          <t>XBRL / Regulatory Reporting</t>
        </is>
      </c>
      <c r="BA111" s="53" t="n"/>
      <c r="BB111" s="53" t="n"/>
      <c r="BC111" s="53" t="inlineStr">
        <is>
          <t>Employee</t>
        </is>
      </c>
      <c r="BD111" s="53" t="inlineStr">
        <is>
          <t>Mayur Zope</t>
        </is>
      </c>
      <c r="BE111" s="53" t="inlineStr">
        <is>
          <t>Mayur Zope</t>
        </is>
      </c>
      <c r="BF111" s="53" t="inlineStr">
        <is>
          <t>No</t>
        </is>
      </c>
      <c r="BG111" s="53" t="inlineStr">
        <is>
          <t>Financial Analyst</t>
        </is>
      </c>
      <c r="BH111" s="53" t="inlineStr">
        <is>
          <t>Services Specialist</t>
        </is>
      </c>
      <c r="BI111" s="53" t="inlineStr">
        <is>
          <t>Yes</t>
        </is>
      </c>
      <c r="BJ111" s="53" t="inlineStr">
        <is>
          <t>—</t>
        </is>
      </c>
      <c r="BK111" s="53" t="inlineStr">
        <is>
          <t>—</t>
        </is>
      </c>
      <c r="BL111" s="53" t="inlineStr">
        <is>
          <t>—</t>
        </is>
      </c>
      <c r="BM111" s="53" t="inlineStr">
        <is>
          <t>Not a manager</t>
        </is>
      </c>
      <c r="BN111" s="53" t="inlineStr">
        <is>
          <t>—</t>
        </is>
      </c>
      <c r="BO111" s="53" t="inlineStr">
        <is>
          <t>—</t>
        </is>
      </c>
      <c r="BP111" s="53" t="inlineStr">
        <is>
          <t>—</t>
        </is>
      </c>
      <c r="BQ111" s="53" t="inlineStr">
        <is>
          <t>Not a manager</t>
        </is>
      </c>
      <c r="BR111" s="53" t="inlineStr">
        <is>
          <t>—</t>
        </is>
      </c>
      <c r="BS111" s="53" t="inlineStr">
        <is>
          <t>L3 – Professional / Associate</t>
        </is>
      </c>
      <c r="BT111" s="53" t="inlineStr">
        <is>
          <t>L2</t>
        </is>
      </c>
      <c r="BU111" s="53" t="inlineStr">
        <is>
          <t>Matched from Title Hierarchy · new designation</t>
        </is>
      </c>
      <c r="BV111" s="53" t="inlineStr">
        <is>
          <t>1. Ensure files processed by team with &gt;=99% accuracy · zero critical errors.
2. Meet 100% of regulatory / client filing deadlines · no SLA breaches
3. Maintain average turnaround per assignment within agreed TAT
4. Ensure 0% regulatory rejections across all submitted filings · Excluding issues not highlighted by our validator.
5. Deliver/Resolve client queries within agreed TAT with client.
6. Process monthly billing ASAP after month closure.</t>
        </is>
      </c>
      <c r="BW111" s="53" t="n"/>
      <c r="BX111" s="53" t="inlineStr">
        <is>
          <t>UK - HMRC; India - MCA; South Africa - CIPC, SARB.</t>
        </is>
      </c>
      <c r="BY111" s="53" t="n"/>
      <c r="BZ111" s="53" t="inlineStr">
        <is>
          <t>IRIS0014</t>
        </is>
      </c>
      <c r="CA111" s="53" t="inlineStr">
        <is>
          <t>Employee</t>
        </is>
      </c>
      <c r="CB111" s="53" t="inlineStr">
        <is>
          <t>Active</t>
        </is>
      </c>
      <c r="CC111" s="53" t="inlineStr">
        <is>
          <t>Jayavant Bhabal</t>
        </is>
      </c>
      <c r="CD111" s="54" t="n">
        <v>38266</v>
      </c>
      <c r="CE111" s="53" t="inlineStr">
        <is>
          <t>Financial Analyst</t>
        </is>
      </c>
      <c r="CF111" s="53" t="n"/>
      <c r="CG111" s="53" t="inlineStr">
        <is>
          <t>Professional Services</t>
        </is>
      </c>
      <c r="CH111" s="53" t="inlineStr">
        <is>
          <t>XBRL / Regulatory Reporting</t>
        </is>
      </c>
      <c r="CI111" s="53" t="inlineStr">
        <is>
          <t>Financial Analyst</t>
        </is>
      </c>
      <c r="CJ111" s="53" t="inlineStr">
        <is>
          <t>L3 – Professional / Associate</t>
        </is>
      </c>
      <c r="CK111" s="53" t="inlineStr">
        <is>
          <t>Mayur Zope</t>
        </is>
      </c>
      <c r="CL111" s="53" t="inlineStr">
        <is>
          <t>N-6</t>
        </is>
      </c>
      <c r="CM111" s="53" t="inlineStr">
        <is>
          <t>Individual Contributor</t>
        </is>
      </c>
      <c r="CN111" s="53" t="inlineStr">
        <is>
          <t>Regtech</t>
        </is>
      </c>
      <c r="CO111" s="53" t="inlineStr">
        <is>
          <t>Services</t>
        </is>
      </c>
      <c r="CP111" s="53" t="inlineStr">
        <is>
          <t>24 years, 1 months, 14 days</t>
        </is>
      </c>
      <c r="CQ111" s="53" t="inlineStr">
        <is>
          <t>Services Specialist</t>
        </is>
      </c>
      <c r="CR111" s="53" t="n"/>
      <c r="CS111" s="53" t="n">
        <v>4</v>
      </c>
      <c r="CT111" s="53" t="inlineStr">
        <is>
          <t>High</t>
        </is>
      </c>
      <c r="CU111" s="53" t="inlineStr">
        <is>
          <t>Core Contributor</t>
        </is>
      </c>
      <c r="CV111" s="53" t="inlineStr">
        <is>
          <t>No</t>
        </is>
      </c>
      <c r="CW111" s="53" t="inlineStr">
        <is>
          <t>No</t>
        </is>
      </c>
      <c r="CX111" s="53" t="inlineStr">
        <is>
          <t>Yes</t>
        </is>
      </c>
      <c r="CY111" s="53" t="n"/>
      <c r="CZ111" s="53" t="n"/>
      <c r="DA111" s="53" t="n"/>
      <c r="DB111" s="53" t="inlineStr">
        <is>
          <t>Title to be standardized to : Services Specialist</t>
        </is>
      </c>
      <c r="DC111" s="53" t="n"/>
      <c r="DD111" s="53" t="n"/>
      <c r="DE111" s="53" t="n"/>
      <c r="DF111" s="53" t="n"/>
      <c r="DG111" s="53" t="n"/>
      <c r="DH111" s="53" t="n"/>
      <c r="DI111" s="53" t="n"/>
      <c r="DJ111" s="53" t="n"/>
      <c r="DK111" s="53" t="n"/>
      <c r="DL111" s="53" t="n"/>
      <c r="DM111" s="53" t="n"/>
      <c r="DN111" s="53" t="n"/>
      <c r="DO111" s="53" t="n"/>
      <c r="DP111" s="53" t="n"/>
      <c r="DQ111" s="53" t="n"/>
      <c r="DR111" s="53" t="n"/>
      <c r="DS111" s="53" t="n"/>
      <c r="DT111" s="53" t="n"/>
      <c r="DU111" s="53" t="n"/>
      <c r="DV111" s="53" t="n"/>
      <c r="DW111" s="53" t="n"/>
      <c r="DX111" s="53" t="n"/>
      <c r="DY111" s="53" t="n"/>
      <c r="DZ111" s="53" t="n"/>
      <c r="EA111" s="53" t="n"/>
      <c r="EB111" s="53" t="n"/>
      <c r="EC111" s="53" t="n"/>
      <c r="ED111" s="53" t="n"/>
      <c r="EE111" s="53" t="n"/>
      <c r="EF111" s="53" t="n"/>
      <c r="EG111" s="53" t="n"/>
      <c r="EH111" s="53" t="n"/>
      <c r="EI111" s="53" t="n"/>
      <c r="EJ111" s="53" t="n"/>
      <c r="EK111" s="53" t="n"/>
      <c r="EL111" s="53" t="n"/>
      <c r="EM111" s="53" t="n"/>
      <c r="EN111" s="53" t="n"/>
      <c r="EO111" s="53" t="n"/>
      <c r="EP111" s="53" t="n"/>
      <c r="EQ111" s="53" t="n"/>
      <c r="ER111" s="53" t="n"/>
      <c r="ES111" s="53" t="n"/>
      <c r="ET111" s="53" t="n"/>
      <c r="EU111" s="53" t="n"/>
      <c r="EV111" s="53" t="n"/>
      <c r="EW111" s="52" t="n"/>
      <c r="EX111" s="53" t="inlineStr">
        <is>
          <t>• Role / sub-team: PMO, MIS and Billing.</t>
        </is>
      </c>
      <c r="EY111" s="53" t="inlineStr">
        <is>
          <t>• Key responsibilities include: Record all files received from client, Allocate within the team, Getting work done within stipulated time period. Prepare Billing and MIS reports for multiple clients.
• Additional duties outside usual job: Handling Vetting Process for SARB team. Other activities as and when required by the manager.</t>
        </is>
      </c>
      <c r="EZ111" s="53" t="inlineStr">
        <is>
          <t>• Current capabilities: Process optimization; Tools / software used: Excel [Teams chat].</t>
        </is>
      </c>
      <c r="FA111" s="53" t="inlineStr">
        <is>
          <t>• Development priorities: No input received.
• Learning and Development Need: Client communication.</t>
        </is>
      </c>
      <c r="FB111" s="53" t="inlineStr">
        <is>
          <t>• Key challenges: No input received.
• Support required: No input received.</t>
        </is>
      </c>
      <c r="FC111" s="53" t="n"/>
      <c r="FD111" s="53" t="n"/>
      <c r="FE111" s="57" t="inlineStr">
        <is>
          <t>1.  Ensure files processed by team  with &gt;=99% accuracy · zero critical errors.
2. Meet 100% of regulatory / client filing deadlines · no SLA breaches
3. Maintain average turnaround per assignment within agreed TAT
4. Ensure 0% regulatory rejections across all submitted filings · Excluding issues not highlighted by our validator.
5. Deliver/Resolve client queries within agreed TAT with client.
6. Process monthly billing ASAP after month closure.</t>
        </is>
      </c>
      <c r="FF111" s="56" t="n"/>
      <c r="FG111" s="56" t="n"/>
      <c r="FH111" s="56" t="n"/>
      <c r="FI111" s="56" t="n"/>
      <c r="FJ111" s="56" t="inlineStr">
        <is>
          <t>Received · manager annual</t>
        </is>
      </c>
      <c r="FK111" s="56" t="inlineStr">
        <is>
          <t>CARBON Mapping Master</t>
        </is>
      </c>
      <c r="FL111" s="56" t="n">
        <v>18</v>
      </c>
      <c r="FM111" s="56" t="inlineStr">
        <is>
          <t>• Role / sub-team: PMO, MIS and Billing.</t>
        </is>
      </c>
      <c r="FN111" s="56" t="inlineStr">
        <is>
          <t>• Key responsibilities include: Record all files received from client, Allocate within the team, Getting work done within stipulated time period. Prepare Billing and MIS reports for multiple clients.
• Additional duties outside usual job: Handling Vetting Process for SARB team. Other activities as and when required by the manager.</t>
        </is>
      </c>
      <c r="FO111" s="56" t="inlineStr">
        <is>
          <t>• Current capabilities: Process optimization; Tools / software used: Excel [Teams chat].</t>
        </is>
      </c>
      <c r="FP111" s="56" t="inlineStr">
        <is>
          <t>• Development priorities: No input received.
• Learning and Development Need: Client communication.</t>
        </is>
      </c>
      <c r="FQ111" s="56" t="inlineStr">
        <is>
          <t>• Key challenges: No input received.
• Support required: No input received.</t>
        </is>
      </c>
      <c r="FR111" s="56" t="inlineStr">
        <is>
          <t>Complexity: Evidence reads like A3: Project monitoring, client billing, MIS for multiple clients, SARB vetting process → moved up 0.5
Autonomy: Evidence reads like A3: Prioritises tasks, validates billing data; manager note: allocates received files within the team → moved up 0.5
Accountability: Evidence reads like A3: Billing and MIS reporting end to end for multiple clients → moved up 0.5
Leadership: Evidence reads like A2: Allocates incoming files to the team; no guiding or training described → moved up 0.5
Business Impact: Moved +0.5: the survey / manager mapping marks it business-critical.</t>
        </is>
      </c>
      <c r="FS111" s="56" t="inlineStr">
        <is>
          <t>Common themes in sub-family holders, all levels' answers: timely
Common themes in sub-family holders, all levels' answers: monitoring · management · project · handling
Common themes in sub-family holders, all levels' answers: delivery · performance
Common themes in sub-family holders, all levels' answers: project
If the work is missed · role-holders' themes: client · delays.</t>
        </is>
      </c>
      <c r="FT111" s="56" t="inlineStr">
        <is>
          <t>Self-identified: Answered · no common topic
For the next role: Answered · no common topic</t>
        </is>
      </c>
      <c r="FU111" s="56" t="inlineStr">
        <is>
          <t>Per-person summary · CARBON Mapping Master</t>
        </is>
      </c>
    </row>
    <row r="112" ht="90" customHeight="1">
      <c r="A112" s="51" t="inlineStr">
        <is>
          <t>◂ Back</t>
        </is>
      </c>
      <c r="B112" s="29" t="inlineStr">
        <is>
          <t>Mapped</t>
        </is>
      </c>
      <c r="C112" s="28" t="inlineStr">
        <is>
          <t>CARBON</t>
        </is>
      </c>
      <c r="D112" s="29" t="inlineStr">
        <is>
          <t>IRIS2475</t>
        </is>
      </c>
      <c r="E112" s="29" t="inlineStr">
        <is>
          <t>Yadavar Velumurgan S.</t>
        </is>
      </c>
      <c r="F112" s="29" t="inlineStr">
        <is>
          <t>Services</t>
        </is>
      </c>
      <c r="G112" s="29" t="inlineStr">
        <is>
          <t>Senior Financial Analyst</t>
        </is>
      </c>
      <c r="H112" s="29" t="inlineStr">
        <is>
          <t>Senior QA Engineer</t>
        </is>
      </c>
      <c r="I112" s="29" t="inlineStr">
        <is>
          <t>L4 – Senior</t>
        </is>
      </c>
      <c r="J112" s="29" t="inlineStr">
        <is>
          <t>A3</t>
        </is>
      </c>
      <c r="K112" s="29" t="inlineStr">
        <is>
          <t>• Same level</t>
        </is>
      </c>
      <c r="L112" s="29" t="inlineStr">
        <is>
          <t>Quality Assurance</t>
        </is>
      </c>
      <c r="M112" s="29" t="inlineStr">
        <is>
          <t>Functional &amp; Domain Testing</t>
        </is>
      </c>
      <c r="N112" s="29" t="inlineStr">
        <is>
          <t>• Correct the experience record — HR</t>
        </is>
      </c>
      <c r="O112" s="29" t="n">
        <v>20</v>
      </c>
      <c r="P112" s="28" t="inlineStr">
        <is>
          <t>P2</t>
        </is>
      </c>
      <c r="Q112" s="29" t="inlineStr">
        <is>
          <t>Developing</t>
        </is>
      </c>
      <c r="R112" s="29" t="inlineStr">
        <is>
          <t>3 Apply</t>
        </is>
      </c>
      <c r="S112" s="29" t="inlineStr">
        <is>
          <t>2–4 yrs</t>
        </is>
      </c>
      <c r="T112" s="29" t="inlineStr">
        <is>
          <t>3–5 · 2–5</t>
        </is>
      </c>
      <c r="U112" s="29" t="inlineStr">
        <is>
          <t>QA Engineer</t>
        </is>
      </c>
      <c r="V112" s="29" t="inlineStr">
        <is>
          <t>Workiva: SE · Broadridge India: SE · Nasdaq / AxiomSL: SE · IRIS Vs Market Benchmark — ISTQB certification pathway: Foundation</t>
        </is>
      </c>
      <c r="W112" s="29" t="inlineStr">
        <is>
          <t>ISTQB Foundation → Advanced → Expert; SFIA testing</t>
        </is>
      </c>
      <c r="X112" s="29" t="inlineStr">
        <is>
          <t>Core 2 · Future 2 · Functional 3 · Leadership not scored</t>
        </is>
      </c>
      <c r="Y112" s="52" t="n">
        <v>450</v>
      </c>
      <c r="Z112" s="53" t="inlineStr">
        <is>
          <t>IRIS2475</t>
        </is>
      </c>
      <c r="AA112" s="53" t="inlineStr">
        <is>
          <t>Employee</t>
        </is>
      </c>
      <c r="AB112" s="53" t="inlineStr">
        <is>
          <t>Active</t>
        </is>
      </c>
      <c r="AC112" s="53" t="inlineStr">
        <is>
          <t>Yadavar Velumurgan S.</t>
        </is>
      </c>
      <c r="AD112" s="54" t="n">
        <v>46058</v>
      </c>
      <c r="AE112" s="53" t="inlineStr">
        <is>
          <t>Senior Financial Analyst</t>
        </is>
      </c>
      <c r="AF112" s="53" t="inlineStr">
        <is>
          <t>B.Com</t>
        </is>
      </c>
      <c r="AG112" s="53" t="inlineStr">
        <is>
          <t>K Ashok Kumar</t>
        </is>
      </c>
      <c r="AH112" s="53" t="inlineStr">
        <is>
          <t>N-5</t>
        </is>
      </c>
      <c r="AI112" s="53" t="inlineStr">
        <is>
          <t>Individual Contributor</t>
        </is>
      </c>
      <c r="AJ112" s="53" t="inlineStr">
        <is>
          <t>2 years, 8 months, 0 days</t>
        </is>
      </c>
      <c r="AK112" s="53" t="inlineStr">
        <is>
          <t>0 years, 6 months, 20 days</t>
        </is>
      </c>
      <c r="AL112" s="53" t="inlineStr">
        <is>
          <t>Regtech</t>
        </is>
      </c>
      <c r="AM112" s="53" t="inlineStr">
        <is>
          <t>CARBON</t>
        </is>
      </c>
      <c r="AN112" s="53" t="inlineStr">
        <is>
          <t>Services</t>
        </is>
      </c>
      <c r="AO112" s="53" t="inlineStr">
        <is>
          <t>Expert Assisted services</t>
        </is>
      </c>
      <c r="AP112" s="53" t="inlineStr">
        <is>
          <t>No</t>
        </is>
      </c>
      <c r="AQ112" s="53" t="inlineStr">
        <is>
          <t>Professional Services</t>
        </is>
      </c>
      <c r="AR112" s="53" t="inlineStr">
        <is>
          <t>XBRL Domain</t>
        </is>
      </c>
      <c r="AS112" s="53" t="inlineStr">
        <is>
          <t>Non-technical</t>
        </is>
      </c>
      <c r="AT112" s="53" t="n">
        <v>20</v>
      </c>
      <c r="AU112" s="53" t="inlineStr">
        <is>
          <t>Covered</t>
        </is>
      </c>
      <c r="AV112" s="53" t="inlineStr">
        <is>
          <t>IRIS2475</t>
        </is>
      </c>
      <c r="AW112" s="53" t="inlineStr">
        <is>
          <t>Yadavar Velumurgan S.</t>
        </is>
      </c>
      <c r="AX112" s="53" t="inlineStr">
        <is>
          <t>Services</t>
        </is>
      </c>
      <c r="AY112" s="53" t="inlineStr">
        <is>
          <t>Professional Services</t>
        </is>
      </c>
      <c r="AZ112" s="53" t="inlineStr">
        <is>
          <t>AI /Domain Testing</t>
        </is>
      </c>
      <c r="BA112" s="53" t="n"/>
      <c r="BB112" s="53" t="n"/>
      <c r="BC112" s="53" t="inlineStr">
        <is>
          <t>Employee</t>
        </is>
      </c>
      <c r="BD112" s="53" t="inlineStr">
        <is>
          <t>Mohammed Sameer Shamsudin</t>
        </is>
      </c>
      <c r="BE112" s="53" t="inlineStr">
        <is>
          <t>Mohammed Sameer Shamsudin</t>
        </is>
      </c>
      <c r="BF112" s="53" t="inlineStr">
        <is>
          <t>No</t>
        </is>
      </c>
      <c r="BG112" s="53" t="inlineStr">
        <is>
          <t>Senior Financial Analyst</t>
        </is>
      </c>
      <c r="BH112" s="53" t="inlineStr">
        <is>
          <t>Senior Services Specialist</t>
        </is>
      </c>
      <c r="BI112" s="53" t="inlineStr">
        <is>
          <t>Yes</t>
        </is>
      </c>
      <c r="BJ112" s="53" t="inlineStr">
        <is>
          <t>—</t>
        </is>
      </c>
      <c r="BK112" s="53" t="inlineStr">
        <is>
          <t>—</t>
        </is>
      </c>
      <c r="BL112" s="53" t="inlineStr">
        <is>
          <t>—</t>
        </is>
      </c>
      <c r="BM112" s="53" t="inlineStr">
        <is>
          <t>Not a manager</t>
        </is>
      </c>
      <c r="BN112" s="53" t="inlineStr">
        <is>
          <t>—</t>
        </is>
      </c>
      <c r="BO112" s="53" t="inlineStr">
        <is>
          <t>—</t>
        </is>
      </c>
      <c r="BP112" s="53" t="inlineStr">
        <is>
          <t>—</t>
        </is>
      </c>
      <c r="BQ112" s="53" t="inlineStr">
        <is>
          <t>Not a manager</t>
        </is>
      </c>
      <c r="BR112" s="53" t="inlineStr">
        <is>
          <t>—</t>
        </is>
      </c>
      <c r="BS112" s="53" t="inlineStr">
        <is>
          <t>L4 – Senior</t>
        </is>
      </c>
      <c r="BT112" s="53" t="inlineStr">
        <is>
          <t>L4 – Senior</t>
        </is>
      </c>
      <c r="BU112" s="53" t="inlineStr">
        <is>
          <t>Designation refined from Raw tab Comments column · this update</t>
        </is>
      </c>
      <c r="BV112" s="53" t="inlineStr">
        <is>
          <t>1. Testing of AI related features.
2. Providing suggestions/Corrections in new and existing functionality of AI related features.
3. Providing Enhancements required in new and existing functionality of AI related features.
4. CBCR and other testing allocated to Ashok and team
5. If live file is allocated, Complete assigned XBRL/conversion/filing tasks with &gt;=99% accuracy · zero critical errors</t>
        </is>
      </c>
      <c r="BW112" s="53" t="n"/>
      <c r="BX112" s="53" t="inlineStr">
        <is>
          <t>India - MCA; UK - HMRC; Europe - ESEF; USA - SEC.</t>
        </is>
      </c>
      <c r="BY112" s="53" t="inlineStr">
        <is>
          <t>Ashok Kumar</t>
        </is>
      </c>
      <c r="BZ112" s="53" t="inlineStr">
        <is>
          <t>IRIS2475</t>
        </is>
      </c>
      <c r="CA112" s="53" t="inlineStr">
        <is>
          <t>Employee</t>
        </is>
      </c>
      <c r="CB112" s="53" t="inlineStr">
        <is>
          <t>Active</t>
        </is>
      </c>
      <c r="CC112" s="53" t="inlineStr">
        <is>
          <t>Yadavar Velumurgan S.</t>
        </is>
      </c>
      <c r="CD112" s="54" t="n">
        <v>46058</v>
      </c>
      <c r="CE112" s="53" t="inlineStr">
        <is>
          <t>Senior Financial Analyst</t>
        </is>
      </c>
      <c r="CF112" s="53" t="n"/>
      <c r="CG112" s="53" t="inlineStr">
        <is>
          <t>Professional Services</t>
        </is>
      </c>
      <c r="CH112" s="53" t="inlineStr">
        <is>
          <t>XBRL / Regulatory Reporting</t>
        </is>
      </c>
      <c r="CI112" s="53" t="inlineStr">
        <is>
          <t>Senior Financial Analyst</t>
        </is>
      </c>
      <c r="CJ112" s="53" t="inlineStr">
        <is>
          <t>L4 – Senior</t>
        </is>
      </c>
      <c r="CK112" s="53" t="inlineStr">
        <is>
          <t>Mohammed Sameer Shamsudin</t>
        </is>
      </c>
      <c r="CL112" s="53" t="inlineStr">
        <is>
          <t>N-7</t>
        </is>
      </c>
      <c r="CM112" s="53" t="inlineStr">
        <is>
          <t>Individual Contributor</t>
        </is>
      </c>
      <c r="CN112" s="53" t="inlineStr">
        <is>
          <t>Regtech</t>
        </is>
      </c>
      <c r="CO112" s="53" t="inlineStr">
        <is>
          <t>Services</t>
        </is>
      </c>
      <c r="CP112" s="53" t="inlineStr">
        <is>
          <t>3 years, 0 months, 15 days</t>
        </is>
      </c>
      <c r="CQ112" s="53" t="inlineStr">
        <is>
          <t>Senior Services Specialst</t>
        </is>
      </c>
      <c r="CR112" s="53" t="n"/>
      <c r="CS112" s="53" t="n">
        <v>3</v>
      </c>
      <c r="CT112" s="53" t="inlineStr">
        <is>
          <t>Medium</t>
        </is>
      </c>
      <c r="CU112" s="53" t="inlineStr">
        <is>
          <t>Core Contributor</t>
        </is>
      </c>
      <c r="CV112" s="53" t="inlineStr">
        <is>
          <t>No</t>
        </is>
      </c>
      <c r="CW112" s="53" t="inlineStr">
        <is>
          <t>No</t>
        </is>
      </c>
      <c r="CX112" s="53" t="inlineStr">
        <is>
          <t>Yes</t>
        </is>
      </c>
      <c r="CY112" s="53" t="n"/>
      <c r="CZ112" s="53" t="n"/>
      <c r="DA112" s="53" t="n"/>
      <c r="DB112" s="53" t="inlineStr">
        <is>
          <t>Title to be standardized to: Senior Services Specialist</t>
        </is>
      </c>
      <c r="DC112" s="53" t="n"/>
      <c r="DD112" s="53" t="n"/>
      <c r="DE112" s="53" t="n"/>
      <c r="DF112" s="53" t="n"/>
      <c r="DG112" s="53" t="n"/>
      <c r="DH112" s="53" t="n"/>
      <c r="DI112" s="53" t="n"/>
      <c r="DJ112" s="53" t="n"/>
      <c r="DK112" s="53" t="n"/>
      <c r="DL112" s="53" t="n"/>
      <c r="DM112" s="53" t="n"/>
      <c r="DN112" s="53" t="n"/>
      <c r="DO112" s="53" t="n"/>
      <c r="DP112" s="53" t="n"/>
      <c r="DQ112" s="53" t="n"/>
      <c r="DR112" s="53" t="n"/>
      <c r="DS112" s="53" t="n"/>
      <c r="DT112" s="53" t="n"/>
      <c r="DU112" s="53" t="n"/>
      <c r="DV112" s="53" t="n"/>
      <c r="DW112" s="53" t="n"/>
      <c r="DX112" s="53" t="n"/>
      <c r="DY112" s="53" t="n"/>
      <c r="DZ112" s="53" t="n"/>
      <c r="EA112" s="53" t="n"/>
      <c r="EB112" s="53" t="n"/>
      <c r="EC112" s="53" t="n"/>
      <c r="ED112" s="53" t="n"/>
      <c r="EE112" s="53" t="n"/>
      <c r="EF112" s="53" t="n"/>
      <c r="EG112" s="53" t="n"/>
      <c r="EH112" s="53" t="n"/>
      <c r="EI112" s="53" t="n"/>
      <c r="EJ112" s="53" t="n"/>
      <c r="EK112" s="53" t="n"/>
      <c r="EL112" s="53" t="n"/>
      <c r="EM112" s="53" t="n"/>
      <c r="EN112" s="53" t="n"/>
      <c r="EO112" s="53" t="n"/>
      <c r="EP112" s="53" t="n"/>
      <c r="EQ112" s="53" t="n"/>
      <c r="ER112" s="53" t="n"/>
      <c r="ES112" s="53" t="n"/>
      <c r="ET112" s="53" t="n"/>
      <c r="EU112" s="53" t="n"/>
      <c r="EV112" s="53" t="n"/>
      <c r="EW112" s="52" t="n"/>
      <c r="EX112" s="53" t="inlineStr">
        <is>
          <t>• Role / sub-team: AI Testing.</t>
        </is>
      </c>
      <c r="EY112" s="53" t="inlineStr">
        <is>
          <t>• Key responsibilities include: Testing and accurately identifying issues across data, tagging, calculations, and system functionality.
• Reported deliverables and outcomes include: Completed AI testing is documented and shared with the development team, including feedback on errors or unexpected AI behaviour; fixes are retested and confirmed before closing out.
• Additional duties outside usual job: MCA client communication and uploading files.</t>
        </is>
      </c>
      <c r="EZ112" s="53" t="inlineStr">
        <is>
          <t>• Current capabilities: I am patient and detail; oriented which helps me; Tools / software used: HTML - Editor.</t>
        </is>
      </c>
      <c r="FA112" s="53" t="inlineStr">
        <is>
          <t>• Development priorities: No input received.
• Learning and Development Need: More training on AI tools, testing techniques, and understanding AI-generated results would help the most.
• AI Enablement Need: AI prompt engineering and using AI to increase efficiency, given their reported use of AI.</t>
        </is>
      </c>
      <c r="FB112" s="53" t="inlineStr">
        <is>
          <t>• Key challenges: Yes sometimes work gets; delayed while waiting; for issue fixes updated; builds or clarification; from the team.
• Support required: No input received.</t>
        </is>
      </c>
      <c r="FC112" s="53" t="n"/>
      <c r="FD112" s="53" t="n"/>
      <c r="FE112" s="57" t="inlineStr">
        <is>
          <t>1. Testing of AI related features.
2. Providing suggestions/Corrections in new and existing functionality of AI related features.
3. Providing Enhancements required in new and existing functionality of AI related features.
4. CBCR and other testing allocated to Ashok and team
5. If live file is allocated, Complete assigned XBRL/conversion/filing tasks with &gt;=99% accuracy · zero critical errors</t>
        </is>
      </c>
      <c r="FF112" s="56" t="n"/>
      <c r="FG112" s="56" t="n"/>
      <c r="FH112" s="56" t="n"/>
      <c r="FI112" s="56" t="n"/>
      <c r="FJ112" s="56" t="inlineStr">
        <is>
          <t>Received · manager annual</t>
        </is>
      </c>
      <c r="FK112" s="56" t="inlineStr">
        <is>
          <t>CARBON Mapping Master</t>
        </is>
      </c>
      <c r="FL112" s="56" t="n">
        <v>20</v>
      </c>
      <c r="FM112" s="56" t="inlineStr">
        <is>
          <t>• Role / sub-team: AI Testing.</t>
        </is>
      </c>
      <c r="FN112" s="56" t="inlineStr">
        <is>
          <t>• Key responsibilities include: Testing and accurately identifying issues across data, tagging, calculations, and system functionality.
• Reported deliverables and outcomes include: Completed AI testing is documented and shared with the development team, including feedback on errors or unexpected AI behaviour; fixes are retested and confirmed before closing out.
• Additional duties outside usual job: MCA client communication and uploading files.</t>
        </is>
      </c>
      <c r="FO112" s="56" t="inlineStr">
        <is>
          <t>• Current capabilities: I am patient and detail; oriented which helps me; Tools / software used: HTML - Editor.</t>
        </is>
      </c>
      <c r="FP112" s="56" t="inlineStr">
        <is>
          <t>• Development priorities: No input received.
• Learning and Development Need: More training on AI tools, testing techniques, and understanding AI-generated results would help the most.
• AI Enablement Need: AI prompt engineering and using AI to increase efficiency, given their reported use of AI.</t>
        </is>
      </c>
      <c r="FQ112" s="56" t="inlineStr">
        <is>
          <t>• Key challenges: Yes sometimes work gets; delayed while waiting; for issue fixes updated; builds or clarification; from the team.
• Support required: No input received.</t>
        </is>
      </c>
      <c r="FR112" s="56" t="inlineStr">
        <is>
          <t>Complexity: Evidence reads like A3: Designs test cases; validates AI-extracted financial data and anomaly detection against source filings → matches the start
Autonomy: Evidence reads like A3: Plans own testing, prioritises test cases, raises quality concerns without prior approval → matches the start
Accountability: Evidence reads like A2: Accuracy of own data validation and test results; defect reports go to developers → moved down 0.5
Leadership: Evidence reads like A1: No guidance or leadership of others described → moved down 0.5
Business Impact: Moved +0.5: the survey / manager mapping marks it business-critical.</t>
        </is>
      </c>
      <c r="FS112" s="56"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FT112" s="56" t="inlineStr">
        <is>
          <t>Self-identified: AI / automation · Testing &amp; quality · Product &amp; tool knowledge · Broader exposure &amp; ownership
For the next role: AI / automation · Testing &amp; quality · Product &amp; tool knowledge · Strategy &amp; business acumen · Broader exposure &amp; ownership</t>
        </is>
      </c>
      <c r="FU112" s="56" t="inlineStr">
        <is>
          <t>Per-person summary · CARBON Mapping Master</t>
        </is>
      </c>
    </row>
    <row r="113" ht="90" customHeight="1">
      <c r="A113" s="51" t="inlineStr">
        <is>
          <t>◂ Back</t>
        </is>
      </c>
      <c r="B113" s="29" t="inlineStr">
        <is>
          <t>Mapped</t>
        </is>
      </c>
      <c r="C113" s="28" t="inlineStr">
        <is>
          <t>CARBON</t>
        </is>
      </c>
      <c r="D113" s="29" t="inlineStr">
        <is>
          <t>IRIS1272</t>
        </is>
      </c>
      <c r="E113" s="29" t="inlineStr">
        <is>
          <t>Aaron Michael</t>
        </is>
      </c>
      <c r="F113" s="29" t="inlineStr">
        <is>
          <t>Technology</t>
        </is>
      </c>
      <c r="G113" s="29" t="inlineStr">
        <is>
          <t>Project Manager</t>
        </is>
      </c>
      <c r="H113" s="29" t="inlineStr">
        <is>
          <t>Project Manager</t>
        </is>
      </c>
      <c r="I113" s="29" t="inlineStr">
        <is>
          <t>L5 – Manager</t>
        </is>
      </c>
      <c r="J113" s="29" t="inlineStr">
        <is>
          <t>B2</t>
        </is>
      </c>
      <c r="K113" s="29" t="inlineStr">
        <is>
          <t>• Same level</t>
        </is>
      </c>
      <c r="L113" s="29" t="inlineStr">
        <is>
          <t>Project &amp; Program Management</t>
        </is>
      </c>
      <c r="M113" s="29" t="inlineStr">
        <is>
          <t>Project &amp; Program Delivery</t>
        </is>
      </c>
      <c r="N113" s="29" t="inlineStr">
        <is>
          <t>• Confirm the reporting line — Manager</t>
        </is>
      </c>
      <c r="O113" s="29" t="n">
        <v>20</v>
      </c>
      <c r="P113" s="28" t="inlineStr">
        <is>
          <t>P4 / M3</t>
        </is>
      </c>
      <c r="Q113" s="29" t="inlineStr">
        <is>
          <t>Senior / Manager</t>
        </is>
      </c>
      <c r="R113" s="29" t="inlineStr">
        <is>
          <t>4–5</t>
        </is>
      </c>
      <c r="S113" s="29" t="inlineStr">
        <is>
          <t>6–9 yrs</t>
        </is>
      </c>
      <c r="T113" s="29" t="inlineStr">
        <is>
          <t>7–10 · 6–11</t>
        </is>
      </c>
      <c r="U113" s="29" t="inlineStr">
        <is>
          <t>Senior Project / Program Manager</t>
        </is>
      </c>
      <c r="V113" s="29" t="inlineStr">
        <is>
          <t>IRIS Vs Competitor Benchmark — PMI pathway + SaaS delivery ladder: Senior PM</t>
        </is>
      </c>
      <c r="W113" s="29" t="inlineStr">
        <is>
          <t>PMI PMBOK and Talent Triangle; CAPM · entry → PMP → PgMP; Scrum / SAFe</t>
        </is>
      </c>
      <c r="X113" s="29" t="inlineStr">
        <is>
          <t>Core 3 · Future 3 · Functional 4 · Leadership 2</t>
        </is>
      </c>
      <c r="Y113" s="52" t="n">
        <v>115</v>
      </c>
      <c r="Z113" s="53" t="inlineStr">
        <is>
          <t>IRIS1272</t>
        </is>
      </c>
      <c r="AA113" s="53" t="inlineStr">
        <is>
          <t>Employee</t>
        </is>
      </c>
      <c r="AB113" s="53" t="inlineStr">
        <is>
          <t>Active</t>
        </is>
      </c>
      <c r="AC113" s="53" t="inlineStr">
        <is>
          <t>Aaron Michael</t>
        </is>
      </c>
      <c r="AD113" s="54" t="n">
        <v>41162</v>
      </c>
      <c r="AE113" s="53" t="inlineStr">
        <is>
          <t>Project Manager</t>
        </is>
      </c>
      <c r="AF113" s="53" t="inlineStr">
        <is>
          <t>MMS</t>
        </is>
      </c>
      <c r="AG113" s="53" t="inlineStr">
        <is>
          <t>Suman Adhikary</t>
        </is>
      </c>
      <c r="AH113" s="53" t="inlineStr">
        <is>
          <t>N-4</t>
        </is>
      </c>
      <c r="AI113" s="53" t="inlineStr">
        <is>
          <t>Individual Contributor</t>
        </is>
      </c>
      <c r="AJ113" s="53" t="inlineStr">
        <is>
          <t>1 years, 5 months, 0 days</t>
        </is>
      </c>
      <c r="AK113" s="53" t="inlineStr">
        <is>
          <t>13 years, 11 months, 15 days</t>
        </is>
      </c>
      <c r="AL113" s="53" t="inlineStr">
        <is>
          <t>Regtech</t>
        </is>
      </c>
      <c r="AM113" s="53" t="inlineStr">
        <is>
          <t>CARBON</t>
        </is>
      </c>
      <c r="AN113" s="53" t="inlineStr">
        <is>
          <t>Technology</t>
        </is>
      </c>
      <c r="AO113" s="53" t="inlineStr">
        <is>
          <t>Project Management</t>
        </is>
      </c>
      <c r="AP113" s="53" t="inlineStr">
        <is>
          <t>No</t>
        </is>
      </c>
      <c r="AQ113" s="53" t="inlineStr">
        <is>
          <t>Product/Project</t>
        </is>
      </c>
      <c r="AR113" s="53" t="inlineStr">
        <is>
          <t>Project Management</t>
        </is>
      </c>
      <c r="AS113" s="53" t="inlineStr">
        <is>
          <t>Technical · BA, PM and QA</t>
        </is>
      </c>
      <c r="AT113" s="53" t="n">
        <v>20</v>
      </c>
      <c r="AU113" s="53" t="inlineStr">
        <is>
          <t>Covered</t>
        </is>
      </c>
      <c r="AV113" s="53" t="inlineStr">
        <is>
          <t>IRIS1272</t>
        </is>
      </c>
      <c r="AW113" s="53" t="inlineStr">
        <is>
          <t>Aaron Michael</t>
        </is>
      </c>
      <c r="AX113" s="53" t="inlineStr">
        <is>
          <t>Functional</t>
        </is>
      </c>
      <c r="AY113" s="53" t="inlineStr">
        <is>
          <t>Consulting</t>
        </is>
      </c>
      <c r="AZ113" s="53" t="inlineStr">
        <is>
          <t>Project Management</t>
        </is>
      </c>
      <c r="BA113" s="53" t="inlineStr">
        <is>
          <t>Consulting</t>
        </is>
      </c>
      <c r="BB113" s="53" t="n"/>
      <c r="BC113" s="53" t="inlineStr">
        <is>
          <t>Employee</t>
        </is>
      </c>
      <c r="BD113" s="53" t="inlineStr">
        <is>
          <t>Suman Adhikary</t>
        </is>
      </c>
      <c r="BE113" s="53" t="inlineStr">
        <is>
          <t>Suman Adhikary</t>
        </is>
      </c>
      <c r="BF113" s="53" t="inlineStr">
        <is>
          <t>Yes</t>
        </is>
      </c>
      <c r="BG113" s="53" t="inlineStr">
        <is>
          <t>Project Manager</t>
        </is>
      </c>
      <c r="BH113" s="53" t="inlineStr">
        <is>
          <t>Project Manager</t>
        </is>
      </c>
      <c r="BI113" s="53" t="inlineStr">
        <is>
          <t>No</t>
        </is>
      </c>
      <c r="BJ113" s="53" t="inlineStr">
        <is>
          <t>—</t>
        </is>
      </c>
      <c r="BK113" s="53" t="inlineStr">
        <is>
          <t>—</t>
        </is>
      </c>
      <c r="BL113" s="53" t="inlineStr">
        <is>
          <t>—</t>
        </is>
      </c>
      <c r="BM113" s="53" t="inlineStr">
        <is>
          <t>Not a manager</t>
        </is>
      </c>
      <c r="BN113" s="53" t="inlineStr">
        <is>
          <t>—</t>
        </is>
      </c>
      <c r="BO113" s="53" t="inlineStr">
        <is>
          <t>—</t>
        </is>
      </c>
      <c r="BP113" s="53" t="inlineStr">
        <is>
          <t>—</t>
        </is>
      </c>
      <c r="BQ113" s="53" t="inlineStr">
        <is>
          <t>Not a manager</t>
        </is>
      </c>
      <c r="BR113" s="53" t="inlineStr">
        <is>
          <t>—</t>
        </is>
      </c>
      <c r="BS113" s="53" t="inlineStr">
        <is>
          <t>L5 – Manager</t>
        </is>
      </c>
      <c r="BT113" s="53" t="inlineStr">
        <is>
          <t>L5 – Manager</t>
        </is>
      </c>
      <c r="BU113" s="53" t="inlineStr">
        <is>
          <t>No designation change — current record value carried forward</t>
        </is>
      </c>
      <c r="BV113" s="53" t="inlineStr">
        <is>
          <t>On-time delivery: ≥95%
Budget adherence: ≥90%
Project CSAT: ≥4.7/5
Implementation NPS: &gt;70
First-time go-live success: ≥95%
Average implementation duration: -20% YoY
Resource utilization: 80–85%
Project gross margin: Target as per finance
Escalations: &lt;5% of projects
Critical defects after go-live: -40%</t>
        </is>
      </c>
      <c r="BW113" s="53" t="n"/>
      <c r="BX113" s="53" t="inlineStr">
        <is>
          <t>Europe and LATAM.</t>
        </is>
      </c>
      <c r="BY113" s="53" t="n"/>
      <c r="BZ113" s="53" t="inlineStr">
        <is>
          <t>IRIS1272</t>
        </is>
      </c>
      <c r="CA113" s="53" t="inlineStr">
        <is>
          <t>Employee</t>
        </is>
      </c>
      <c r="CB113" s="53" t="inlineStr">
        <is>
          <t>Active</t>
        </is>
      </c>
      <c r="CC113" s="53" t="inlineStr">
        <is>
          <t>Aaron Michael</t>
        </is>
      </c>
      <c r="CD113" s="54" t="n">
        <v>41162</v>
      </c>
      <c r="CE113" s="53" t="inlineStr">
        <is>
          <t>Project Manager</t>
        </is>
      </c>
      <c r="CF113" s="53" t="inlineStr">
        <is>
          <t>Project Manager</t>
        </is>
      </c>
      <c r="CG113" s="53" t="inlineStr">
        <is>
          <t>Consulting  Services</t>
        </is>
      </c>
      <c r="CH113" s="53" t="inlineStr">
        <is>
          <t>Financial Reporting Advisory</t>
        </is>
      </c>
      <c r="CI113" s="53" t="inlineStr">
        <is>
          <t>Project Manager</t>
        </is>
      </c>
      <c r="CJ113" s="53" t="inlineStr">
        <is>
          <t>L5 – Manager</t>
        </is>
      </c>
      <c r="CK113" s="53" t="inlineStr">
        <is>
          <t>Anuradha RK</t>
        </is>
      </c>
      <c r="CL113" s="53" t="inlineStr">
        <is>
          <t>N-4</t>
        </is>
      </c>
      <c r="CM113" s="53" t="inlineStr">
        <is>
          <t>Individual Contributor</t>
        </is>
      </c>
      <c r="CN113" s="53" t="inlineStr">
        <is>
          <t>Regtech</t>
        </is>
      </c>
      <c r="CO113" s="53" t="inlineStr">
        <is>
          <t>Functional</t>
        </is>
      </c>
      <c r="CP113" s="53" t="inlineStr">
        <is>
          <t>15 years, 2 months, 10 days</t>
        </is>
      </c>
      <c r="CQ113" s="53" t="inlineStr">
        <is>
          <t>Project Manager</t>
        </is>
      </c>
      <c r="CR113" s="53" t="inlineStr">
        <is>
          <t>No</t>
        </is>
      </c>
      <c r="CS113" s="53" t="n">
        <v>3</v>
      </c>
      <c r="CT113" s="53" t="inlineStr">
        <is>
          <t>Medium</t>
        </is>
      </c>
      <c r="CU113" s="53" t="inlineStr">
        <is>
          <t>Core Contributor</t>
        </is>
      </c>
      <c r="CV113" s="53" t="n"/>
      <c r="CW113" s="53" t="n"/>
      <c r="CX113" s="53" t="inlineStr">
        <is>
          <t>Yes</t>
        </is>
      </c>
      <c r="CY113" s="53" t="n"/>
      <c r="CZ113" s="53" t="inlineStr">
        <is>
          <t>Agile/Scrum &amp; PMP fundamentals; risk &amp; stakeholder management; estimation; reporting/governance tools</t>
        </is>
      </c>
      <c r="DA113" s="53" t="inlineStr">
        <is>
          <t>Transition to leadership: people management &amp; delegation, mentoring/coaching, project ownership &amp; stakeholder management, prioritisation under ambiguity, presentation &amp; influence skills</t>
        </is>
      </c>
      <c r="DB113" s="53" t="n"/>
      <c r="DC113" s="53" t="n"/>
      <c r="DD113" s="53" t="n"/>
      <c r="DE113" s="53" t="n"/>
      <c r="DF113" s="53" t="n"/>
      <c r="DG113" s="53" t="n"/>
      <c r="DH113" s="53" t="n"/>
      <c r="DI113" s="53" t="n"/>
      <c r="DJ113" s="53" t="n"/>
      <c r="DK113" s="53" t="n"/>
      <c r="DL113" s="53" t="n"/>
      <c r="DM113" s="53" t="n"/>
      <c r="DN113" s="53" t="n"/>
      <c r="DO113" s="53" t="n"/>
      <c r="DP113" s="53" t="n"/>
      <c r="DQ113" s="53" t="n"/>
      <c r="DR113" s="53" t="n"/>
      <c r="DS113" s="53" t="n"/>
      <c r="DT113" s="53" t="n"/>
      <c r="DU113" s="53" t="n"/>
      <c r="DV113" s="53" t="n"/>
      <c r="DW113" s="53" t="n"/>
      <c r="DX113" s="53" t="n"/>
      <c r="DY113" s="53" t="n"/>
      <c r="DZ113" s="53" t="n"/>
      <c r="EA113" s="53" t="n"/>
      <c r="EB113" s="53" t="n"/>
      <c r="EC113" s="53" t="n"/>
      <c r="ED113" s="53" t="n"/>
      <c r="EE113" s="53" t="n"/>
      <c r="EF113" s="53" t="n"/>
      <c r="EG113" s="53" t="n"/>
      <c r="EH113" s="53" t="n"/>
      <c r="EI113" s="53" t="n"/>
      <c r="EJ113" s="53" t="n"/>
      <c r="EK113" s="53" t="n"/>
      <c r="EL113" s="53" t="n"/>
      <c r="EM113" s="53" t="n"/>
      <c r="EN113" s="53" t="n"/>
      <c r="EO113" s="53" t="n"/>
      <c r="EP113" s="53" t="n"/>
      <c r="EQ113" s="53" t="n"/>
      <c r="ER113" s="53" t="n"/>
      <c r="ES113" s="53" t="n"/>
      <c r="ET113" s="53" t="n"/>
      <c r="EU113" s="53" t="n"/>
      <c r="EV113" s="53" t="n"/>
      <c r="EW113" s="52" t="n"/>
      <c r="EX113" s="53" t="inlineStr">
        <is>
          <t>• Role / sub-team: Functional — Project Manager.
• Core purpose: A project manager is bridge between the product, teams, stakeholders and client which helps to deliver end goals of the customer as well as the organization.
• Decision-making autonomy: Can independently client engagement; Assigning Tasks.
• Is this something only they do: Most of us.
• What's different about this role: Better Process implementation which helps in smooth execution along with balanced team workload; Clear and transparent goals and deliverables enabling less iterations; Timely and frequent guidance to both team and the client leading to transparency and confidence in the deliverables.</t>
        </is>
      </c>
      <c r="EY113" s="53" t="inlineStr">
        <is>
          <t>• Key responsibilities include: Define and protect scope; Plan and manage schedule; Identify mitigate risk; Communicate Align clients; Keep project moving; Set priorities for team.
• Personally accountable for: I am accountable personally for Planning and Execution along with end to end delivery which includes invoicing and payments.
• Impact if missed or done wrong: Deadlines will not get met. Client may not be happy. Delay in execution of the other sequential activities leading to overall project delivery.
• How measured: Partially same as not every project is the same so different scenarios can occur with different clients so should be dependent on how good you have managed a difficult client.</t>
        </is>
      </c>
      <c r="EZ113" s="53" t="inlineStr">
        <is>
          <t>• Current capabilities: People and Process; Agile Scrum Kanban; Domain literacy.
• Tools / software used: Microsoft Project MPP; Jira for Agile; Kanban boards; RACI matrix; Claude for research; Quickscrum.
• Workload: Rated a moderate load · 3/5 in a typical week.
• Judgment/way of working: Vast and different experience gained by working with different clients and managing different scenarios.</t>
        </is>
      </c>
      <c r="FA113" s="53" t="inlineStr">
        <is>
          <t>• Development priorities: PMP and Agile; How to use AI tools for automation in day to day tasks.
• Learning and Development Need: DiverseClient interaction; PMP training. Complete product and offerings knowledge and why it is beneficial for the client and what makes it sell; Knowledge of what can help me be more visible.
• Role evolving toward: The role is tilting towards strategy and goverance; AI fluency is becoming a certified skill, not just a nice-to-have; Agentic AI is moving from "tool" to "teammate".</t>
        </is>
      </c>
      <c r="FB113" s="53" t="inlineStr">
        <is>
          <t>• Key challenges: Stubborn Developers; improper team structuring; improper resource allocat; Bad contracts.
• Support required: PM should get complete authority to run the project and all resources working for the project should report to the PM directly.; Better resourcing structure.</t>
        </is>
      </c>
      <c r="FC113" s="53" t="n"/>
      <c r="FD113" s="53" t="n"/>
      <c r="FE113" s="57" t="inlineStr">
        <is>
          <t>On-time delivery: ≥95%
Budget adherence: ≥90%
Project CSAT: ≥4.7/5
Implementation NPS: &gt;70
First-time go-live success: ≥95%
Average implementation duration: -20% YoY
Resource utilization: 80–85%
Project gross margin: Target as per finance
Escalations: &lt;5% of projects
Critical defects after go-live: -40%</t>
        </is>
      </c>
      <c r="FF113" s="56" t="n"/>
      <c r="FG113" s="56" t="n"/>
      <c r="FH113" s="56" t="n"/>
      <c r="FI113" s="56" t="inlineStr">
        <is>
          <t>Project Manager</t>
        </is>
      </c>
      <c r="FJ113" s="56" t="inlineStr">
        <is>
          <t>Received · manager annual</t>
        </is>
      </c>
      <c r="FK113" s="56" t="inlineStr">
        <is>
          <t>CARBON Mapping Master · CARBON Talent Mapping · Raw</t>
        </is>
      </c>
      <c r="FL113" s="56" t="n">
        <v>20</v>
      </c>
      <c r="FM113" s="56" t="inlineStr">
        <is>
          <t>• Role / sub-team: Functional — Project Manager.
• Core purpose: A project manager is bridge between the product, teams, stakeholders and client which helps to deliver end goals of the customer as well as the organization.
• Decision-making autonomy: Can independently client engagement; Assigning Tasks.
• Is this something only they do: Most of us.
• What's different about this role: Better Process implementation which helps in smooth execution along with balanced team workload; Clear and transparent goals and deliverables enabling less iterations; Timely and frequent guidance to both team and the client leading to transparency and confidence in the deliverables.</t>
        </is>
      </c>
      <c r="FN113" s="56" t="inlineStr">
        <is>
          <t>• Key responsibilities include: Define and protect scope; Plan and manage schedule; Identify mitigate risk; Communicate Align clients; Keep project moving; Set priorities for team.
• Personally accountable for: I am accountable personally for Planning and Execution along with end to end delivery which includes invoicing and payments.
• Impact if missed or done wrong: Deadlines will not get met. Client may not be happy. Delay in execution of the other sequential activities leading to overall project delivery.
• How measured: Partially same as not every project is the same so different scenarios can occur with different clients so should be dependent on how good you have managed a difficult client.</t>
        </is>
      </c>
      <c r="FO113" s="56" t="inlineStr">
        <is>
          <t>• Current capabilities: People and Process; Agile Scrum Kanban; Domain literacy.
• Tools / software used: Microsoft Project MPP; Jira for Agile; Kanban boards; RACI matrix; Claude for research; Quickscrum.
• Workload: Rated a moderate load · 3/5 in a typical week.
• Judgment/way of working: Vast and different experience gained by working with different clients and managing different scenarios.</t>
        </is>
      </c>
      <c r="FP113" s="56" t="inlineStr">
        <is>
          <t>• Development priorities: PMP and Agile; How to use AI tools for automation in day to day tasks.
• Learning and Development Need: DiverseClient interaction; PMP training. Complete product and offerings knowledge and why it is beneficial for the client and what makes it sell; Knowledge of what can help me be more visible.
• Role evolving toward: The role is tilting towards strategy and goverance; AI fluency is becoming a certified skill, not just a nice-to-have; Agentic AI is moving from "tool" to "teammate".</t>
        </is>
      </c>
      <c r="FQ113" s="56" t="inlineStr">
        <is>
          <t>• Key challenges: Stubborn Developers; improper team structuring; improper resource allocat; Bad contracts.
• Support required: PM should get complete authority to run the project and all resources working for the project should report to the PM directly.; Better resourcing structure.</t>
        </is>
      </c>
      <c r="FR113" s="56" t="inlineStr">
        <is>
          <t>Complexity: Evidence reads like B1: Scope, schedule, risk and client alignment for projects, including invoicing and payments → moved down 0.5
Autonomy: Evidence reads like B2: Decides client engagement and task assignment; sets team priorities → matches the start
Accountability: Evidence reads like B2: Planning, execution and end-to-end delivery including invoicing and payments → matches the start
Leadership: Evidence reads like B1: Assigns tasks, sets priorities and guides the team; 0 direct reports → matches the start
Business Impact: Moved +0.5: the survey / manager mapping marks it business-critical.</t>
        </is>
      </c>
      <c r="FS113" s="56" t="inlineStr">
        <is>
          <t>Common themes in sub-family holders, all levels' answers: project · business · client · manager · management · bridge
Common themes in sub-family holders, all levels' answers: management · project · delivery · client · define · priorities
Common themes in sub-family holders, all levels' answers: project · delivery · product · client · transformation · timely
Common themes in sub-family holders, all levels' answers: delivery · project · accountable · timelines · quality · management
Common themes in sub-family holders, all levels' answers: client · project · issue · product · allocation · delivery
If the work is missed · role-holders' themes: client · delivery · delays · project.</t>
        </is>
      </c>
      <c r="FT113" s="56" t="inlineStr">
        <is>
          <t>Self-identified: AI / automation · Project / programme management · Product &amp; tool knowledge
For the next role: AI / automation · Project / programme management · Product &amp; tool knowledge</t>
        </is>
      </c>
      <c r="FU113" s="56" t="inlineStr">
        <is>
          <t>Per-person summary · CARBON Mapping Master</t>
        </is>
      </c>
    </row>
    <row r="114" ht="90" customHeight="1">
      <c r="A114" s="51" t="inlineStr">
        <is>
          <t>◂ Back</t>
        </is>
      </c>
      <c r="B114" s="29" t="inlineStr">
        <is>
          <t>Mapped</t>
        </is>
      </c>
      <c r="C114" s="28" t="inlineStr">
        <is>
          <t>CARBON</t>
        </is>
      </c>
      <c r="D114" s="29" t="inlineStr">
        <is>
          <t>IRIS0662</t>
        </is>
      </c>
      <c r="E114" s="29" t="inlineStr">
        <is>
          <t>Harshal Shah</t>
        </is>
      </c>
      <c r="F114" s="29" t="inlineStr">
        <is>
          <t>Support</t>
        </is>
      </c>
      <c r="G114" s="29" t="inlineStr">
        <is>
          <t>Support Lead</t>
        </is>
      </c>
      <c r="H114" s="29" t="inlineStr">
        <is>
          <t>Support Manager</t>
        </is>
      </c>
      <c r="I114" s="29" t="inlineStr">
        <is>
          <t>L5 – Lead · IC</t>
        </is>
      </c>
      <c r="J114" s="29" t="inlineStr">
        <is>
          <t>B2</t>
        </is>
      </c>
      <c r="K114" s="29" t="inlineStr">
        <is>
          <t>▼ Down · protected</t>
        </is>
      </c>
      <c r="L114" s="29" t="inlineStr">
        <is>
          <t>Customer Success &amp; Support</t>
        </is>
      </c>
      <c r="M114" s="29" t="inlineStr">
        <is>
          <t>Application &amp; Product Support</t>
        </is>
      </c>
      <c r="N114" s="29" t="n"/>
      <c r="O114" s="29" t="n">
        <v>20</v>
      </c>
      <c r="P114" s="28" t="inlineStr">
        <is>
          <t>P4 / M3</t>
        </is>
      </c>
      <c r="Q114" s="29" t="inlineStr">
        <is>
          <t>Senior / Manager</t>
        </is>
      </c>
      <c r="R114" s="29" t="inlineStr">
        <is>
          <t>4–5</t>
        </is>
      </c>
      <c r="S114" s="29" t="inlineStr">
        <is>
          <t>6–9 yrs</t>
        </is>
      </c>
      <c r="T114" s="29" t="inlineStr">
        <is>
          <t>7–10 · 6–11</t>
        </is>
      </c>
      <c r="U114" s="29" t="inlineStr">
        <is>
          <t>Manager</t>
        </is>
      </c>
      <c r="V114" s="29" t="inlineStr">
        <is>
          <t>Workiva: Product Success Manager · IRIS Vs Competitor Benchmark — SaaS customer-success ladder: Senior CSM · IRIS Vs Competitor Benchmark — support tiers: Support Team Manager</t>
        </is>
      </c>
      <c r="W114" s="29" t="inlineStr">
        <is>
          <t>TSIA frameworks and benchmarks; ITIL 4 service desk; Gainsight customer-success practice</t>
        </is>
      </c>
      <c r="X114" s="29" t="inlineStr">
        <is>
          <t>Core 3 · Future 3 · Functional 4 · Leadership 3</t>
        </is>
      </c>
      <c r="Y114" s="52" t="n">
        <v>87</v>
      </c>
      <c r="Z114" s="53" t="inlineStr">
        <is>
          <t>IRIS0662</t>
        </is>
      </c>
      <c r="AA114" s="53" t="inlineStr">
        <is>
          <t>Employee</t>
        </is>
      </c>
      <c r="AB114" s="53" t="inlineStr">
        <is>
          <t>Active</t>
        </is>
      </c>
      <c r="AC114" s="53" t="inlineStr">
        <is>
          <t>Harshal Shah</t>
        </is>
      </c>
      <c r="AD114" s="54" t="n">
        <v>40686</v>
      </c>
      <c r="AE114" s="53" t="inlineStr">
        <is>
          <t>Support Lead</t>
        </is>
      </c>
      <c r="AF114" s="53" t="inlineStr">
        <is>
          <t>B.Com</t>
        </is>
      </c>
      <c r="AG114" s="53" t="inlineStr">
        <is>
          <t>Suman Adhikary</t>
        </is>
      </c>
      <c r="AH114" s="53" t="inlineStr">
        <is>
          <t>N-4</t>
        </is>
      </c>
      <c r="AI114" s="53" t="inlineStr">
        <is>
          <t>Manager</t>
        </is>
      </c>
      <c r="AJ114" s="53" t="inlineStr">
        <is>
          <t>0 years, 0 months, 0 days</t>
        </is>
      </c>
      <c r="AK114" s="53" t="inlineStr">
        <is>
          <t>15 years, 3 months, 2 days</t>
        </is>
      </c>
      <c r="AL114" s="53" t="inlineStr">
        <is>
          <t>Regtech</t>
        </is>
      </c>
      <c r="AM114" s="53" t="inlineStr">
        <is>
          <t>CARBON</t>
        </is>
      </c>
      <c r="AN114" s="53" t="inlineStr">
        <is>
          <t>Support</t>
        </is>
      </c>
      <c r="AO114" s="53" t="inlineStr">
        <is>
          <t>Product Support</t>
        </is>
      </c>
      <c r="AP114" s="53" t="inlineStr">
        <is>
          <t>No</t>
        </is>
      </c>
      <c r="AQ114" s="53" t="inlineStr">
        <is>
          <t>Product/Project</t>
        </is>
      </c>
      <c r="AR114" s="53" t="inlineStr">
        <is>
          <t>Domain Support</t>
        </is>
      </c>
      <c r="AS114" s="53" t="inlineStr">
        <is>
          <t>Non-technical</t>
        </is>
      </c>
      <c r="AT114" s="53" t="n">
        <v>20</v>
      </c>
      <c r="AU114" s="53" t="inlineStr">
        <is>
          <t>Covered</t>
        </is>
      </c>
      <c r="AV114" s="53" t="inlineStr">
        <is>
          <t>IRIS0662</t>
        </is>
      </c>
      <c r="AW114" s="53" t="inlineStr">
        <is>
          <t>Harshal Shah</t>
        </is>
      </c>
      <c r="AX114" s="53" t="inlineStr">
        <is>
          <t>Support</t>
        </is>
      </c>
      <c r="AY114" s="53" t="inlineStr">
        <is>
          <t>Customer Success &amp; Support</t>
        </is>
      </c>
      <c r="AZ114" s="53" t="inlineStr">
        <is>
          <t>Customer Success</t>
        </is>
      </c>
      <c r="BA114" s="53" t="n"/>
      <c r="BB114" s="53" t="n"/>
      <c r="BC114" s="53" t="inlineStr">
        <is>
          <t>Employee</t>
        </is>
      </c>
      <c r="BD114" s="53" t="inlineStr">
        <is>
          <t>Suman Adhikary</t>
        </is>
      </c>
      <c r="BE114" s="53" t="inlineStr">
        <is>
          <t>Suman Adhikary</t>
        </is>
      </c>
      <c r="BF114" s="53" t="inlineStr">
        <is>
          <t>No</t>
        </is>
      </c>
      <c r="BG114" s="53" t="inlineStr">
        <is>
          <t>Support Lead</t>
        </is>
      </c>
      <c r="BH114" s="53" t="inlineStr">
        <is>
          <t>Sr. Manager - Customer Support</t>
        </is>
      </c>
      <c r="BI114" s="53" t="inlineStr">
        <is>
          <t>Yes</t>
        </is>
      </c>
      <c r="BJ114" s="53" t="n">
        <v>4</v>
      </c>
      <c r="BK114" s="53" t="n">
        <v>4</v>
      </c>
      <c r="BL114" s="53" t="n">
        <v>0</v>
      </c>
      <c r="BM114" s="53" t="inlineStr">
        <is>
          <t>Review</t>
        </is>
      </c>
      <c r="BN114" s="53" t="n">
        <v>4</v>
      </c>
      <c r="BO114" s="53" t="n">
        <v>4</v>
      </c>
      <c r="BP114" s="53" t="n">
        <v>0</v>
      </c>
      <c r="BQ114" s="53" t="inlineStr">
        <is>
          <t>Review</t>
        </is>
      </c>
      <c r="BR114" s="53" t="inlineStr">
        <is>
          <t>No</t>
        </is>
      </c>
      <c r="BS114" s="53" t="inlineStr">
        <is>
          <t>L5 – Lead · IC</t>
        </is>
      </c>
      <c r="BT114" s="53" t="inlineStr">
        <is>
          <t>L4</t>
        </is>
      </c>
      <c r="BU114" s="53" t="inlineStr">
        <is>
          <t>Matched from Title Hierarchy · new designation</t>
        </is>
      </c>
      <c r="BV114" s="53"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Provide structured feedback on at least 5 recurring product issues to Product/Engineering per quarter.</t>
        </is>
      </c>
      <c r="BW114" s="53" t="n"/>
      <c r="BX114" s="53" t="inlineStr">
        <is>
          <t>Global.</t>
        </is>
      </c>
      <c r="BY114" s="53" t="n"/>
      <c r="BZ114" s="53" t="inlineStr">
        <is>
          <t>IRIS0662</t>
        </is>
      </c>
      <c r="CA114" s="53" t="inlineStr">
        <is>
          <t>Employee</t>
        </is>
      </c>
      <c r="CB114" s="53" t="inlineStr">
        <is>
          <t>Active</t>
        </is>
      </c>
      <c r="CC114" s="53" t="inlineStr">
        <is>
          <t>Harshal Shah</t>
        </is>
      </c>
      <c r="CD114" s="54" t="n">
        <v>40686</v>
      </c>
      <c r="CE114" s="53" t="inlineStr">
        <is>
          <t>Support Lead</t>
        </is>
      </c>
      <c r="CF114" s="53" t="inlineStr">
        <is>
          <t>Leads L1 Support</t>
        </is>
      </c>
      <c r="CG114" s="53" t="inlineStr">
        <is>
          <t>Customer Success &amp; Support</t>
        </is>
      </c>
      <c r="CH114" s="53" t="inlineStr">
        <is>
          <t>Customer Support</t>
        </is>
      </c>
      <c r="CI114" s="53" t="inlineStr">
        <is>
          <t>Support Lead</t>
        </is>
      </c>
      <c r="CJ114" s="53" t="inlineStr">
        <is>
          <t>L5 – Lead · IC</t>
        </is>
      </c>
      <c r="CK114" s="53" t="inlineStr">
        <is>
          <t>Suman Adhikary</t>
        </is>
      </c>
      <c r="CL114" s="53" t="inlineStr">
        <is>
          <t>N-4</t>
        </is>
      </c>
      <c r="CM114" s="53" t="inlineStr">
        <is>
          <t>Manager</t>
        </is>
      </c>
      <c r="CN114" s="53" t="inlineStr">
        <is>
          <t>Regtech</t>
        </is>
      </c>
      <c r="CO114" s="53" t="inlineStr">
        <is>
          <t>Support</t>
        </is>
      </c>
      <c r="CP114" s="53" t="inlineStr">
        <is>
          <t>15 years, 0 months, 28 days</t>
        </is>
      </c>
      <c r="CQ114" s="53" t="inlineStr">
        <is>
          <t>Sr. Manager - Customer Support</t>
        </is>
      </c>
      <c r="CR114" s="53" t="inlineStr">
        <is>
          <t>Yes</t>
        </is>
      </c>
      <c r="CS114" s="53" t="n">
        <v>4</v>
      </c>
      <c r="CT114" s="53" t="inlineStr">
        <is>
          <t>Medium</t>
        </is>
      </c>
      <c r="CU114" s="53" t="inlineStr">
        <is>
          <t>High Impact / Growth Talent</t>
        </is>
      </c>
      <c r="CV114" s="53" t="n"/>
      <c r="CW114" s="53" t="n"/>
      <c r="CX114" s="53" t="inlineStr">
        <is>
          <t>Yes</t>
        </is>
      </c>
      <c r="CY114" s="53" t="inlineStr">
        <is>
          <t>Nelson Paul</t>
        </is>
      </c>
      <c r="CZ114" s="53" t="inlineStr">
        <is>
          <t>Customer success methods; communication &amp; de-escalation; People management: goal-setting &amp; feedback, 1:1 coaching, performance conversations</t>
        </is>
      </c>
      <c r="DA114" s="53" t="inlineStr">
        <is>
          <t>Leadership development: strategic thinking, cross-functional influence, financial/business acumen, succession &amp; talent development, change management, client  communication</t>
        </is>
      </c>
      <c r="DB114" s="53" t="inlineStr">
        <is>
          <t>Title to be standardized to:: Sr. Manager - Customer Support</t>
        </is>
      </c>
      <c r="DC114" s="53" t="n"/>
      <c r="DD114" s="53" t="n"/>
      <c r="DE114" s="53" t="n"/>
      <c r="DF114" s="53" t="n"/>
      <c r="DG114" s="53" t="n"/>
      <c r="DH114" s="53" t="n"/>
      <c r="DI114" s="53" t="n"/>
      <c r="DJ114" s="53" t="n"/>
      <c r="DK114" s="53" t="n"/>
      <c r="DL114" s="53" t="n"/>
      <c r="DM114" s="53" t="n"/>
      <c r="DN114" s="53" t="n"/>
      <c r="DO114" s="53" t="n"/>
      <c r="DP114" s="53" t="n"/>
      <c r="DQ114" s="53" t="n"/>
      <c r="DR114" s="53" t="n"/>
      <c r="DS114" s="53" t="n"/>
      <c r="DT114" s="53" t="n"/>
      <c r="DU114" s="53" t="n"/>
      <c r="DV114" s="53" t="n"/>
      <c r="DW114" s="53" t="n"/>
      <c r="DX114" s="53" t="n"/>
      <c r="DY114" s="53" t="n"/>
      <c r="DZ114" s="53" t="n"/>
      <c r="EA114" s="53" t="n"/>
      <c r="EB114" s="53" t="n"/>
      <c r="EC114" s="53" t="n"/>
      <c r="ED114" s="53" t="n"/>
      <c r="EE114" s="53" t="n"/>
      <c r="EF114" s="53" t="n"/>
      <c r="EG114" s="53" t="n"/>
      <c r="EH114" s="53" t="n"/>
      <c r="EI114" s="53" t="n"/>
      <c r="EJ114" s="53" t="n"/>
      <c r="EK114" s="53" t="n"/>
      <c r="EL114" s="53" t="n"/>
      <c r="EM114" s="53" t="n"/>
      <c r="EN114" s="53" t="n"/>
      <c r="EO114" s="53" t="n"/>
      <c r="EP114" s="53" t="n"/>
      <c r="EQ114" s="53" t="n"/>
      <c r="ER114" s="53" t="n"/>
      <c r="ES114" s="53" t="n"/>
      <c r="ET114" s="53" t="n"/>
      <c r="EU114" s="53" t="n"/>
      <c r="EV114" s="53" t="n"/>
      <c r="EW114" s="52" t="n"/>
      <c r="EX114" s="53" t="inlineStr">
        <is>
          <t>• Role / sub-team: Client Success / Support — Support Lead.
• Core purpose: Handling customer queries, resolving issues, and ensuring timely and accurate customer support.
• Decision-making autonomy: Can independently handle domain support and escalation management; takes ownership, risk, and decision-making — manages the team, handles critical escalations, and ensures customer issues and regulatory filings are resolved accurately and on time.
• Is this something only he does: Currently, yes — only him.
• What's different about this role: Domain expertise; communication; troubleshooting; leadership; ownership.</t>
        </is>
      </c>
      <c r="EY114" s="53" t="inlineStr">
        <is>
          <t>• Key responsibilities include: Deciding priorities; coordinating with other teams.
• Personally accountable for: Fully responsible for the resolution given and the communication provided to the end user.
• Impact if missed or done wrong: Missed deadlines, delays, filing errors, customer impact, and escalations.
• How measured: Different from the rest of the team — measured mainly by team performance, resolution quality, SLA adherence, escalations, and customer satisfaction.</t>
        </is>
      </c>
      <c r="EZ114" s="53" t="inlineStr">
        <is>
          <t>• Current capabilities: Cross-team dependencies management; on-the-job experience-based judgment.
• Tools / software used: MS Office; Faveo; Arelle; Copilot; MS Teams.
• Workload: Rated a manageable load · 2/5 in a typical week.
• Judgment/way of working: Strong judgment, clear prioritization, ownership of issues, and proactive, clear communication.</t>
        </is>
      </c>
      <c r="FA114" s="53" t="inlineStr">
        <is>
          <t>• Development priorities: Wants communication and advanced leadership responsibilities to move into the next role.
• Learning and Development Need: Domain training cited as making a difference; advises new joiners to understand the processes, learn the products, and take ownership from day one.
• AI Enablement Need: Notes the role currently lacks AI adoption as a challenge · see below.
• Role evolving toward: New software features, stronger data-privacy requirements, evolving customer-support processes, and changing priorities that require continuous learning and adaptability.</t>
        </is>
      </c>
      <c r="FB114" s="53" t="inlineStr">
        <is>
          <t>• Key challenges: Cross-team dependencies; lack of AI · tooling; use of multiple RDPs.
• Support required: More automation and streamlined processes.</t>
        </is>
      </c>
      <c r="FC114" s="53" t="n"/>
      <c r="FD114" s="53" t="n"/>
      <c r="FE114" s="57"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Provide structured feedback on at least 5 recurring product issues to Product/Engineering per quarter.</t>
        </is>
      </c>
      <c r="FF114" s="56" t="n"/>
      <c r="FG114" s="56" t="n"/>
      <c r="FH114" s="56" t="n"/>
      <c r="FI114" s="56" t="inlineStr">
        <is>
          <t>Leads L1 Support</t>
        </is>
      </c>
      <c r="FJ114" s="56" t="inlineStr">
        <is>
          <t>Received · manager annual</t>
        </is>
      </c>
      <c r="FK114" s="56" t="inlineStr">
        <is>
          <t>CARBON Mapping Master · CARBON Talent Mapping · Raw</t>
        </is>
      </c>
      <c r="FL114" s="56" t="n">
        <v>20</v>
      </c>
      <c r="FM114" s="56" t="inlineStr">
        <is>
          <t>• Role / sub-team: Client Success / Support — Support Lead.
• Core purpose: Handling customer queries, resolving issues, and ensuring timely and accurate customer support.
• Decision-making autonomy: Can independently handle domain support and escalation management; takes ownership, risk, and decision-making — manages the team, handles critical escalations, and ensures customer issues and regulatory filings are resolved accurately and on time.
• Is this something only he does: Currently, yes — only him.
• What's different about this role: Domain expertise; communication; troubleshooting; leadership; ownership.</t>
        </is>
      </c>
      <c r="FN114" s="56" t="inlineStr">
        <is>
          <t>• Key responsibilities include: Deciding priorities; coordinating with other teams.
• Personally accountable for: Fully responsible for the resolution given and the communication provided to the end user.
• Impact if missed or done wrong: Missed deadlines, delays, filing errors, customer impact, and escalations.
• How measured: Different from the rest of the team — measured mainly by team performance, resolution quality, SLA adherence, escalations, and customer satisfaction.</t>
        </is>
      </c>
      <c r="FO114" s="56" t="inlineStr">
        <is>
          <t>• Current capabilities: Cross-team dependencies management; on-the-job experience-based judgment.
• Tools / software used: MS Office; Faveo; Arelle; Copilot; MS Teams.
• Workload: Rated a manageable load · 2/5 in a typical week.
• Judgment/way of working: Strong judgment, clear prioritization, ownership of issues, and proactive, clear communication.</t>
        </is>
      </c>
      <c r="FP114" s="56" t="inlineStr">
        <is>
          <t>• Development priorities: Wants communication and advanced leadership responsibilities to move into the next role.
• Learning and Development Need: Domain training cited as making a difference; advises new joiners to understand the processes, learn the products, and take ownership from day one.
• AI Enablement Need: Notes the role currently lacks AI adoption as a challenge · see below.
• Role evolving toward: New software features, stronger data-privacy requirements, evolving customer-support processes, and changing priorities that require continuous learning and adaptability.</t>
        </is>
      </c>
      <c r="FQ114" s="56" t="inlineStr">
        <is>
          <t>• Key challenges: Cross-team dependencies; lack of AI · tooling; use of multiple RDPs.
• Support required: More automation and streamlined processes.</t>
        </is>
      </c>
      <c r="FR114" s="56" t="inlineStr">
        <is>
          <t>Complexity: Evidence reads like B1: Domain support and critical escalations; ensures regulatory filings are accurate and on time → matches the start
Autonomy: Evidence reads like B1: Decides priorities, coordinates other teams, makes calls on escalations for the team → matches the start
Accountability: Evidence reads like B1: Fully responsible for resolutions and customer communication; manages a four-person team → matches the start
Leadership: Evidence reads like B1: States he manages the team and handles its escalations; four reports → matches the start
Business Impact: Moved +1: the survey / manager mapping marks it business-critical and it does work no one else does.</t>
        </is>
      </c>
      <c r="FS114" s="56" t="inlineStr">
        <is>
          <t>Common themes in sub-family holders, all levels' answers: support · clients · queries · provide · issues · resolving
Common themes in sub-family holders, all levels' answers: support · issue · testing · communication · customer · ticket
Common themes in sub-family holders, all levels' answers: support · customer · product · provide · testing · deliver
Common themes in sub-family holders, all levels' answers: client · resolution · am · accountable · timely · if
Common themes in sub-family holders, all levels' answers: issues · resolving · tickets · handle · erro · validation
If the work is missed · role-holders' themes: customer · rework · client · delays · incorrect.</t>
        </is>
      </c>
      <c r="FT114" s="56" t="inlineStr">
        <is>
          <t>Self-identified: Leadership &amp; people management · Communication &amp; presentation · Broader exposure &amp; ownership
For the next role: Leadership &amp; people management · Communication &amp; presentation · Broader exposure &amp; ownership</t>
        </is>
      </c>
      <c r="FU114" s="56" t="inlineStr">
        <is>
          <t>Per-person summary · CARBON Mapping Master</t>
        </is>
      </c>
    </row>
    <row r="115" ht="90" customHeight="1">
      <c r="A115" s="51" t="inlineStr">
        <is>
          <t>◂ Back</t>
        </is>
      </c>
      <c r="B115" s="29" t="inlineStr">
        <is>
          <t>Mapped</t>
        </is>
      </c>
      <c r="C115" s="28" t="inlineStr">
        <is>
          <t>CARBON</t>
        </is>
      </c>
      <c r="D115" s="29" t="inlineStr">
        <is>
          <t>IRIS2081</t>
        </is>
      </c>
      <c r="E115" s="29" t="inlineStr">
        <is>
          <t>Chandra Sekhar Sahu</t>
        </is>
      </c>
      <c r="F115" s="29" t="inlineStr">
        <is>
          <t>Support</t>
        </is>
      </c>
      <c r="G115" s="29" t="inlineStr">
        <is>
          <t>Executive- Customer Support</t>
        </is>
      </c>
      <c r="H115" s="29" t="inlineStr">
        <is>
          <t>Senior Support Executive</t>
        </is>
      </c>
      <c r="I115" s="29" t="inlineStr">
        <is>
          <t>L3 – Professional / Associate</t>
        </is>
      </c>
      <c r="J115" s="29" t="inlineStr">
        <is>
          <t>A3</t>
        </is>
      </c>
      <c r="K115" s="29" t="inlineStr">
        <is>
          <t>▲ Up</t>
        </is>
      </c>
      <c r="L115" s="29" t="inlineStr">
        <is>
          <t>Customer Success &amp; Support</t>
        </is>
      </c>
      <c r="M115" s="29" t="inlineStr">
        <is>
          <t>Application &amp; Product Support</t>
        </is>
      </c>
      <c r="N115" s="29" t="n"/>
      <c r="O115" s="29" t="n">
        <v>20</v>
      </c>
      <c r="P115" s="28" t="inlineStr">
        <is>
          <t>P2</t>
        </is>
      </c>
      <c r="Q115" s="29" t="inlineStr">
        <is>
          <t>Developing</t>
        </is>
      </c>
      <c r="R115" s="29" t="inlineStr">
        <is>
          <t>3 Apply</t>
        </is>
      </c>
      <c r="S115" s="29" t="inlineStr">
        <is>
          <t>2–4 yrs</t>
        </is>
      </c>
      <c r="T115" s="29" t="inlineStr">
        <is>
          <t>3–5 · 2–5</t>
        </is>
      </c>
      <c r="U115" s="29" t="inlineStr">
        <is>
          <t>Support / CS Executive</t>
        </is>
      </c>
      <c r="V115" s="29" t="inlineStr">
        <is>
          <t>IRIS Vs Competitor Benchmark — SaaS customer-success ladder: Associate CSM · Regnology: Product Support Specialist · Reg Reporting · IRIS Vs Competitor Benchmark — support tiers: L2 Application Support</t>
        </is>
      </c>
      <c r="W115" s="29" t="inlineStr">
        <is>
          <t>TSIA frameworks and benchmarks; ITIL 4 service desk; Gainsight customer-success practice</t>
        </is>
      </c>
      <c r="X115" s="29" t="inlineStr">
        <is>
          <t>Core 2 · Future 2 · Functional 3 · Leadership not scored</t>
        </is>
      </c>
      <c r="Y115" s="52" t="n">
        <v>254</v>
      </c>
      <c r="Z115" s="53" t="inlineStr">
        <is>
          <t>IRIS2081</t>
        </is>
      </c>
      <c r="AA115" s="53" t="inlineStr">
        <is>
          <t>Employee</t>
        </is>
      </c>
      <c r="AB115" s="53" t="inlineStr">
        <is>
          <t>Active</t>
        </is>
      </c>
      <c r="AC115" s="53" t="inlineStr">
        <is>
          <t>Chandra Sekhar Sahu</t>
        </is>
      </c>
      <c r="AD115" s="54" t="n">
        <v>44893</v>
      </c>
      <c r="AE115" s="53" t="inlineStr">
        <is>
          <t>Executive- Customer Support</t>
        </is>
      </c>
      <c r="AF115" s="53" t="inlineStr">
        <is>
          <t>B.Com</t>
        </is>
      </c>
      <c r="AG115" s="53" t="inlineStr">
        <is>
          <t>Harshal Shah</t>
        </is>
      </c>
      <c r="AH115" s="53" t="inlineStr">
        <is>
          <t>N-5</t>
        </is>
      </c>
      <c r="AI115" s="53" t="inlineStr">
        <is>
          <t>Individual Contributor</t>
        </is>
      </c>
      <c r="AJ115" s="53" t="inlineStr">
        <is>
          <t>1 years, 8 months, 0 days</t>
        </is>
      </c>
      <c r="AK115" s="53" t="inlineStr">
        <is>
          <t>3 years, 8 months, 28 days</t>
        </is>
      </c>
      <c r="AL115" s="53" t="inlineStr">
        <is>
          <t>Regtech</t>
        </is>
      </c>
      <c r="AM115" s="53" t="inlineStr">
        <is>
          <t>CARBON</t>
        </is>
      </c>
      <c r="AN115" s="53" t="inlineStr">
        <is>
          <t>Support</t>
        </is>
      </c>
      <c r="AO115" s="53" t="inlineStr">
        <is>
          <t>Product Support</t>
        </is>
      </c>
      <c r="AP115" s="53" t="inlineStr">
        <is>
          <t>No</t>
        </is>
      </c>
      <c r="AQ115" s="53" t="inlineStr">
        <is>
          <t>Product/Project</t>
        </is>
      </c>
      <c r="AR115" s="53" t="inlineStr">
        <is>
          <t>Domain Support</t>
        </is>
      </c>
      <c r="AS115" s="53" t="inlineStr">
        <is>
          <t>Non-technical</t>
        </is>
      </c>
      <c r="AT115" s="53" t="n">
        <v>20</v>
      </c>
      <c r="AU115" s="53" t="inlineStr">
        <is>
          <t>Covered</t>
        </is>
      </c>
      <c r="AV115" s="53" t="inlineStr">
        <is>
          <t>IRIS2081</t>
        </is>
      </c>
      <c r="AW115" s="53" t="inlineStr">
        <is>
          <t>Chandra Sekhar Sahu</t>
        </is>
      </c>
      <c r="AX115" s="53" t="inlineStr">
        <is>
          <t>Support</t>
        </is>
      </c>
      <c r="AY115" s="53" t="inlineStr">
        <is>
          <t>Customer Success &amp; Support</t>
        </is>
      </c>
      <c r="AZ115" s="53" t="inlineStr">
        <is>
          <t>Customer Support</t>
        </is>
      </c>
      <c r="BA115" s="53" t="n"/>
      <c r="BB115" s="53" t="n"/>
      <c r="BC115" s="53" t="inlineStr">
        <is>
          <t>Employee</t>
        </is>
      </c>
      <c r="BD115" s="53" t="inlineStr">
        <is>
          <t>Harshal Shah</t>
        </is>
      </c>
      <c r="BE115" s="53" t="inlineStr">
        <is>
          <t>Harshal Shah</t>
        </is>
      </c>
      <c r="BF115" s="53" t="inlineStr">
        <is>
          <t>No</t>
        </is>
      </c>
      <c r="BG115" s="53" t="inlineStr">
        <is>
          <t>Executive- Customer Support</t>
        </is>
      </c>
      <c r="BH115" s="53" t="inlineStr">
        <is>
          <t>Customer Support Specialist</t>
        </is>
      </c>
      <c r="BI115" s="53" t="inlineStr">
        <is>
          <t>Yes</t>
        </is>
      </c>
      <c r="BJ115" s="53" t="inlineStr">
        <is>
          <t>—</t>
        </is>
      </c>
      <c r="BK115" s="53" t="inlineStr">
        <is>
          <t>—</t>
        </is>
      </c>
      <c r="BL115" s="53" t="inlineStr">
        <is>
          <t>—</t>
        </is>
      </c>
      <c r="BM115" s="53" t="inlineStr">
        <is>
          <t>Not a manager</t>
        </is>
      </c>
      <c r="BN115" s="53" t="inlineStr">
        <is>
          <t>—</t>
        </is>
      </c>
      <c r="BO115" s="53" t="inlineStr">
        <is>
          <t>—</t>
        </is>
      </c>
      <c r="BP115" s="53" t="inlineStr">
        <is>
          <t>—</t>
        </is>
      </c>
      <c r="BQ115" s="53" t="inlineStr">
        <is>
          <t>Not a manager</t>
        </is>
      </c>
      <c r="BR115" s="53" t="inlineStr">
        <is>
          <t>—</t>
        </is>
      </c>
      <c r="BS115" s="53" t="inlineStr">
        <is>
          <t>L3 – Professional / Associate</t>
        </is>
      </c>
      <c r="BT115" s="53" t="inlineStr">
        <is>
          <t>L2</t>
        </is>
      </c>
      <c r="BU115" s="53" t="inlineStr">
        <is>
          <t>Matched from Title Hierarchy · new designation</t>
        </is>
      </c>
      <c r="BV115" s="53"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Provide structured feedback on at least 5 recurring product issues to Product/Engineering per quarter."</t>
        </is>
      </c>
      <c r="BW115" s="53" t="n"/>
      <c r="BX115" s="53" t="inlineStr">
        <is>
          <t>Global.</t>
        </is>
      </c>
      <c r="BY115" s="53" t="n"/>
      <c r="BZ115" s="53" t="inlineStr">
        <is>
          <t>IRIS2081</t>
        </is>
      </c>
      <c r="CA115" s="53" t="inlineStr">
        <is>
          <t>Employee</t>
        </is>
      </c>
      <c r="CB115" s="53" t="inlineStr">
        <is>
          <t>Active</t>
        </is>
      </c>
      <c r="CC115" s="53" t="inlineStr">
        <is>
          <t>Chandra Sekhar Sahu</t>
        </is>
      </c>
      <c r="CD115" s="54" t="n">
        <v>44893</v>
      </c>
      <c r="CE115" s="53" t="inlineStr">
        <is>
          <t>Executive- Customer Support</t>
        </is>
      </c>
      <c r="CF115" s="53" t="inlineStr">
        <is>
          <t>L1 support</t>
        </is>
      </c>
      <c r="CG115" s="53" t="inlineStr">
        <is>
          <t>Customer Success &amp; Support</t>
        </is>
      </c>
      <c r="CH115" s="53" t="inlineStr">
        <is>
          <t>Customer Support</t>
        </is>
      </c>
      <c r="CI115" s="53" t="inlineStr">
        <is>
          <t>Customer Support Specialist</t>
        </is>
      </c>
      <c r="CJ115" s="53" t="inlineStr">
        <is>
          <t>L3 – Professional / Associate</t>
        </is>
      </c>
      <c r="CK115" s="53" t="inlineStr">
        <is>
          <t>Harshal Shah</t>
        </is>
      </c>
      <c r="CL115" s="53" t="inlineStr">
        <is>
          <t>N-5</t>
        </is>
      </c>
      <c r="CM115" s="53" t="inlineStr">
        <is>
          <t>Individual Contributor</t>
        </is>
      </c>
      <c r="CN115" s="53" t="inlineStr">
        <is>
          <t>Regtech</t>
        </is>
      </c>
      <c r="CO115" s="53" t="inlineStr">
        <is>
          <t>Support</t>
        </is>
      </c>
      <c r="CP115" s="53" t="inlineStr">
        <is>
          <t>5 years, 2 months, 23 days</t>
        </is>
      </c>
      <c r="CQ115" s="53" t="inlineStr">
        <is>
          <t>Customer Support Specialist</t>
        </is>
      </c>
      <c r="CR115" s="53" t="inlineStr">
        <is>
          <t>Yes</t>
        </is>
      </c>
      <c r="CS115" s="53" t="n">
        <v>3</v>
      </c>
      <c r="CT115" s="53" t="inlineStr">
        <is>
          <t>Medium</t>
        </is>
      </c>
      <c r="CU115" s="53" t="inlineStr">
        <is>
          <t>Trusted Professional</t>
        </is>
      </c>
      <c r="CV115" s="53" t="n"/>
      <c r="CW115" s="53" t="n"/>
      <c r="CX115" s="53" t="n"/>
      <c r="CY115" s="53" t="n"/>
      <c r="CZ115" s="53" t="inlineStr">
        <is>
          <t>Customer success methods; communication &amp; de-escalation; product/domain depth; ticketing &amp; SLA tools</t>
        </is>
      </c>
      <c r="DA115" s="53" t="inlineStr">
        <is>
          <t>Transition to leadership: people management &amp; delegation, mentoring/coaching, project ownership &amp; stakeholder management, prioritisation under ambiguity, presentation &amp; influence skills</t>
        </is>
      </c>
      <c r="DB115" s="53" t="inlineStr">
        <is>
          <t>Title to be changed to Customer Support Specialist</t>
        </is>
      </c>
      <c r="DC115" s="53" t="n"/>
      <c r="DD115" s="53" t="n"/>
      <c r="DE115" s="53" t="n"/>
      <c r="DF115" s="53" t="n"/>
      <c r="DG115" s="53" t="n"/>
      <c r="DH115" s="53" t="n"/>
      <c r="DI115" s="53" t="n"/>
      <c r="DJ115" s="53" t="n"/>
      <c r="DK115" s="53" t="n"/>
      <c r="DL115" s="53" t="n"/>
      <c r="DM115" s="53" t="n"/>
      <c r="DN115" s="53" t="n"/>
      <c r="DO115" s="53" t="n"/>
      <c r="DP115" s="53" t="n"/>
      <c r="DQ115" s="53" t="n"/>
      <c r="DR115" s="53" t="n"/>
      <c r="DS115" s="53" t="n"/>
      <c r="DT115" s="53" t="n"/>
      <c r="DU115" s="53" t="n"/>
      <c r="DV115" s="53" t="n"/>
      <c r="DW115" s="53" t="n"/>
      <c r="DX115" s="53" t="n"/>
      <c r="DY115" s="53" t="n"/>
      <c r="DZ115" s="53" t="n"/>
      <c r="EA115" s="53" t="n"/>
      <c r="EB115" s="53" t="n"/>
      <c r="EC115" s="53" t="n"/>
      <c r="ED115" s="53" t="n"/>
      <c r="EE115" s="53" t="n"/>
      <c r="EF115" s="53" t="n"/>
      <c r="EG115" s="53" t="n"/>
      <c r="EH115" s="53" t="n"/>
      <c r="EI115" s="53" t="n"/>
      <c r="EJ115" s="53" t="n"/>
      <c r="EK115" s="53" t="n"/>
      <c r="EL115" s="53" t="n"/>
      <c r="EM115" s="53" t="n"/>
      <c r="EN115" s="53" t="n"/>
      <c r="EO115" s="53" t="n"/>
      <c r="EP115" s="53" t="n"/>
      <c r="EQ115" s="53" t="n"/>
      <c r="ER115" s="53" t="n"/>
      <c r="ES115" s="53" t="n"/>
      <c r="ET115" s="53" t="n"/>
      <c r="EU115" s="53" t="n"/>
      <c r="EV115" s="53" t="n"/>
      <c r="EW115" s="52" t="n"/>
      <c r="EX115" s="53" t="inlineStr">
        <is>
          <t>• Role / sub-team: Client Success / Support — Executive, Customer Support.
• Core purpose: Provide support to internal teams and external clients, along with testing and troubleshooting the platform to identify and resolve issues efficiently.
• Decision-making autonomy: Can independently handle client support, issue troubleshooting, platform testing, and issue research.
• Is this something only he does: Largely his alone.
• What's different about this role: Platform knowledge; disclosure management knowledge; HTML editor and validation tools knowledge.</t>
        </is>
      </c>
      <c r="EY115" s="53" t="inlineStr">
        <is>
          <t>• Key responsibilities include: Customer support; testing; researching and resolving issues; feature suggestions.
• Impact if missed or done wrong: An incorrect resolution can cause frustration, loss of trust, repeated issues, and delays.
• How measured: KPI described as partially different — expectations increase with tenure, product knowledge, independence, and ability to handle complex issues.</t>
        </is>
      </c>
      <c r="EZ115" s="53" t="inlineStr">
        <is>
          <t>• Current capabilities: XBRL knowledge; HTML knowledge.
• Tools / software used: Google Chrome; MS Office; Arelle.
• Workload: Rated a moderate load · 3/5 in a typical week.
• Judgment/way of working: Continuous feedback from the team lead; does R&amp;D on the DM platform using AI tools like Copilot to research issues, identify solutions, and implement fixes; direct client interaction.</t>
        </is>
      </c>
      <c r="FA115" s="53" t="inlineStr">
        <is>
          <t>• Development priorities: Wants complete XBRL knowledge to move into the next role.
• Learning and Development Need: Building complete product knowledge by learning from seniors, asking questions, and practising regularly cited as making a difference.</t>
        </is>
      </c>
      <c r="FB115" s="53" t="inlineStr">
        <is>
          <t>• Key challenges: Slow laptop; using RDP.
• Support required: Training sessions arranged for product knowledge and personal development.</t>
        </is>
      </c>
      <c r="FC115" s="53" t="n"/>
      <c r="FD115" s="53" t="n"/>
      <c r="FE115" s="57"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Provide structured feedback on at least 5 recurring product issues to Product/Engineering per quarter."</t>
        </is>
      </c>
      <c r="FF115" s="56" t="n"/>
      <c r="FG115" s="56" t="n"/>
      <c r="FH115" s="56" t="n"/>
      <c r="FI115" s="56" t="inlineStr">
        <is>
          <t>L1 support</t>
        </is>
      </c>
      <c r="FJ115" s="56" t="inlineStr">
        <is>
          <t>Received · manager annual</t>
        </is>
      </c>
      <c r="FK115" s="56" t="inlineStr">
        <is>
          <t>CARBON Mapping Master · CARBON Talent Mapping · Raw</t>
        </is>
      </c>
      <c r="FL115" s="56" t="n">
        <v>20</v>
      </c>
      <c r="FM115" s="56" t="inlineStr">
        <is>
          <t>• Role / sub-team: Client Success / Support — Executive, Customer Support.
• Core purpose: Provide support to internal teams and external clients, along with testing and troubleshooting the platform to identify and resolve issues efficiently.
• Decision-making autonomy: Can independently handle client support, issue troubleshooting, platform testing, and issue research.
• Is this something only he does: Largely his alone.
• What's different about this role: Platform knowledge; disclosure management knowledge; HTML editor and validation tools knowledge.</t>
        </is>
      </c>
      <c r="FN115" s="56" t="inlineStr">
        <is>
          <t>• Key responsibilities include: Customer support; testing; researching and resolving issues; feature suggestions.
• Impact if missed or done wrong: An incorrect resolution can cause frustration, loss of trust, repeated issues, and delays.
• How measured: KPI described as partially different — expectations increase with tenure, product knowledge, independence, and ability to handle complex issues.</t>
        </is>
      </c>
      <c r="FO115" s="56" t="inlineStr">
        <is>
          <t>• Current capabilities: XBRL knowledge; HTML knowledge.
• Tools / software used: Google Chrome; MS Office; Arelle.
• Workload: Rated a moderate load · 3/5 in a typical week.
• Judgment/way of working: Continuous feedback from the team lead; does R&amp;D on the DM platform using AI tools like Copilot to research issues, identify solutions, and implement fixes; direct client interaction.</t>
        </is>
      </c>
      <c r="FP115" s="56" t="inlineStr">
        <is>
          <t>• Development priorities: Wants complete XBRL knowledge to move into the next role.
• Learning and Development Need: Building complete product knowledge by learning from seniors, asking questions, and practising regularly cited as making a difference.</t>
        </is>
      </c>
      <c r="FQ115" s="56" t="inlineStr">
        <is>
          <t>• Key challenges: Slow laptop; using RDP.
• Support required: Training sessions arranged for product knowledge and personal development.</t>
        </is>
      </c>
      <c r="FR115" s="56" t="inlineStr">
        <is>
          <t>Complexity: Evidence reads like A3: Researches and troubleshoots DM platform issues, tests platform, suggests features; HTML and XBRL knowledge → moved up 0.5
Autonomy: Evidence reads like A2: Researches and resolves issues independently; no wider decisions stated → matches the start
Accountability: Evidence reads like A2: Correctness of own resolutions to clients and internal teams → matches the start
Leadership: Evidence reads like A1: No guidance of others described → matches the start
Business Impact: No survey or manager-mapping signal on criticality: kept at the start point.</t>
        </is>
      </c>
      <c r="FS115" s="56"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FT115" s="56" t="inlineStr">
        <is>
          <t>Self-identified: Domain, regulatory &amp; XBRL · Client, sales &amp; stakeholders
For the next role: Domain, regulatory &amp; XBRL · Client, sales &amp; stakeholders</t>
        </is>
      </c>
      <c r="FU115" s="56" t="inlineStr">
        <is>
          <t>Per-person summary · CARBON Mapping Master</t>
        </is>
      </c>
    </row>
    <row r="116" ht="90" customHeight="1">
      <c r="A116" s="51" t="inlineStr">
        <is>
          <t>◂ Back</t>
        </is>
      </c>
      <c r="B116" s="29" t="inlineStr">
        <is>
          <t>Mapped</t>
        </is>
      </c>
      <c r="C116" s="28" t="inlineStr">
        <is>
          <t>CARBON</t>
        </is>
      </c>
      <c r="D116" s="29" t="inlineStr">
        <is>
          <t>IRIS1951</t>
        </is>
      </c>
      <c r="E116" s="29" t="inlineStr">
        <is>
          <t>Kiran Pawar</t>
        </is>
      </c>
      <c r="F116" s="29" t="inlineStr">
        <is>
          <t>Support</t>
        </is>
      </c>
      <c r="G116" s="29" t="inlineStr">
        <is>
          <t>Executive- Product Support</t>
        </is>
      </c>
      <c r="H116" s="29" t="inlineStr">
        <is>
          <t>Senior Support Executive</t>
        </is>
      </c>
      <c r="I116" s="29" t="inlineStr">
        <is>
          <t>L3 – Professional / Associate</t>
        </is>
      </c>
      <c r="J116" s="29" t="inlineStr">
        <is>
          <t>A3</t>
        </is>
      </c>
      <c r="K116" s="29" t="inlineStr">
        <is>
          <t>▲ Up</t>
        </is>
      </c>
      <c r="L116" s="29" t="inlineStr">
        <is>
          <t>Customer Success &amp; Support</t>
        </is>
      </c>
      <c r="M116" s="29" t="inlineStr">
        <is>
          <t>Application &amp; Product Support</t>
        </is>
      </c>
      <c r="N116" s="29" t="inlineStr">
        <is>
          <t>• Confirm the reporting line — Manager</t>
        </is>
      </c>
      <c r="O116" s="29" t="n">
        <v>20</v>
      </c>
      <c r="P116" s="28" t="inlineStr">
        <is>
          <t>P2</t>
        </is>
      </c>
      <c r="Q116" s="29" t="inlineStr">
        <is>
          <t>Developing</t>
        </is>
      </c>
      <c r="R116" s="29" t="inlineStr">
        <is>
          <t>3 Apply</t>
        </is>
      </c>
      <c r="S116" s="29" t="inlineStr">
        <is>
          <t>2–4 yrs</t>
        </is>
      </c>
      <c r="T116" s="29" t="inlineStr">
        <is>
          <t>3–5 · 2–5</t>
        </is>
      </c>
      <c r="U116" s="29" t="inlineStr">
        <is>
          <t>Support / CS Executive</t>
        </is>
      </c>
      <c r="V116" s="29" t="inlineStr">
        <is>
          <t>IRIS Vs Competitor Benchmark — SaaS customer-success ladder: Associate CSM · Regnology: Product Support Specialist · Reg Reporting · IRIS Vs Competitor Benchmark — support tiers: L2 Application Support</t>
        </is>
      </c>
      <c r="W116" s="29" t="inlineStr">
        <is>
          <t>TSIA frameworks and benchmarks; ITIL 4 service desk; Gainsight customer-success practice</t>
        </is>
      </c>
      <c r="X116" s="29" t="inlineStr">
        <is>
          <t>Core 2 · Future 2 · Functional 3 · Leadership not scored</t>
        </is>
      </c>
      <c r="Y116" s="52" t="n">
        <v>197</v>
      </c>
      <c r="Z116" s="53" t="inlineStr">
        <is>
          <t>IRIS1951</t>
        </is>
      </c>
      <c r="AA116" s="53" t="inlineStr">
        <is>
          <t>Employee</t>
        </is>
      </c>
      <c r="AB116" s="53" t="inlineStr">
        <is>
          <t>Active</t>
        </is>
      </c>
      <c r="AC116" s="53" t="inlineStr">
        <is>
          <t>Kiran Pawar</t>
        </is>
      </c>
      <c r="AD116" s="54" t="n">
        <v>44445</v>
      </c>
      <c r="AE116" s="53" t="inlineStr">
        <is>
          <t>Executive- Product Support</t>
        </is>
      </c>
      <c r="AF116" s="53" t="inlineStr">
        <is>
          <t>B.Com</t>
        </is>
      </c>
      <c r="AG116" s="53" t="inlineStr">
        <is>
          <t>Harshal Shah</t>
        </is>
      </c>
      <c r="AH116" s="53" t="inlineStr">
        <is>
          <t>N-5</t>
        </is>
      </c>
      <c r="AI116" s="53" t="inlineStr">
        <is>
          <t>Manager</t>
        </is>
      </c>
      <c r="AJ116" s="53" t="inlineStr">
        <is>
          <t>3 years, 7 months, 0 days</t>
        </is>
      </c>
      <c r="AK116" s="53" t="inlineStr">
        <is>
          <t>4 years, 11 months, 19 days</t>
        </is>
      </c>
      <c r="AL116" s="53" t="inlineStr">
        <is>
          <t>Regtech</t>
        </is>
      </c>
      <c r="AM116" s="53" t="inlineStr">
        <is>
          <t>CARBON</t>
        </is>
      </c>
      <c r="AN116" s="53" t="inlineStr">
        <is>
          <t>Support</t>
        </is>
      </c>
      <c r="AO116" s="53" t="inlineStr">
        <is>
          <t>Product Support</t>
        </is>
      </c>
      <c r="AP116" s="53" t="inlineStr">
        <is>
          <t>No</t>
        </is>
      </c>
      <c r="AQ116" s="53" t="inlineStr">
        <is>
          <t>Product/Project</t>
        </is>
      </c>
      <c r="AR116" s="53" t="inlineStr">
        <is>
          <t>Domain Support</t>
        </is>
      </c>
      <c r="AS116" s="53" t="inlineStr">
        <is>
          <t>Non-technical</t>
        </is>
      </c>
      <c r="AT116" s="53" t="n">
        <v>20</v>
      </c>
      <c r="AU116" s="53" t="inlineStr">
        <is>
          <t>Covered</t>
        </is>
      </c>
      <c r="AV116" s="53" t="inlineStr">
        <is>
          <t>IRIS1951</t>
        </is>
      </c>
      <c r="AW116" s="53" t="inlineStr">
        <is>
          <t>Kiran Pawar</t>
        </is>
      </c>
      <c r="AX116" s="53" t="inlineStr">
        <is>
          <t>Support</t>
        </is>
      </c>
      <c r="AY116" s="53" t="inlineStr">
        <is>
          <t>Customer Success &amp; Support</t>
        </is>
      </c>
      <c r="AZ116" s="53" t="inlineStr">
        <is>
          <t>Customer Success</t>
        </is>
      </c>
      <c r="BA116" s="53" t="n"/>
      <c r="BB116" s="53" t="n"/>
      <c r="BC116" s="53" t="inlineStr">
        <is>
          <t>Employee</t>
        </is>
      </c>
      <c r="BD116" s="53" t="inlineStr">
        <is>
          <t>Harshal Shah</t>
        </is>
      </c>
      <c r="BE116" s="53" t="inlineStr">
        <is>
          <t>Harshal Shah</t>
        </is>
      </c>
      <c r="BF116" s="53" t="inlineStr">
        <is>
          <t>No</t>
        </is>
      </c>
      <c r="BG116" s="53" t="inlineStr">
        <is>
          <t>Executive- Product Support</t>
        </is>
      </c>
      <c r="BH116" s="53" t="inlineStr">
        <is>
          <t>Sr.Customer Support Specialist</t>
        </is>
      </c>
      <c r="BI116" s="53" t="inlineStr">
        <is>
          <t>Yes</t>
        </is>
      </c>
      <c r="BJ116" s="53" t="n">
        <v>1</v>
      </c>
      <c r="BK116" s="53" t="n">
        <v>1</v>
      </c>
      <c r="BL116" s="53" t="n">
        <v>0</v>
      </c>
      <c r="BM116" s="53" t="inlineStr">
        <is>
          <t>Consolidate / flatten</t>
        </is>
      </c>
      <c r="BN116" s="53" t="n">
        <v>1</v>
      </c>
      <c r="BO116" s="53" t="n">
        <v>1</v>
      </c>
      <c r="BP116" s="53" t="n">
        <v>0</v>
      </c>
      <c r="BQ116" s="53" t="inlineStr">
        <is>
          <t>Consolidate / flatten</t>
        </is>
      </c>
      <c r="BR116" s="53" t="inlineStr">
        <is>
          <t>No</t>
        </is>
      </c>
      <c r="BS116" s="53" t="inlineStr">
        <is>
          <t>L3 – Professional / Associate</t>
        </is>
      </c>
      <c r="BT116" s="53" t="inlineStr">
        <is>
          <t>L2</t>
        </is>
      </c>
      <c r="BU116" s="53" t="inlineStr">
        <is>
          <t>Designation refined from Raw tab Comments column · this update</t>
        </is>
      </c>
      <c r="BV116" s="53"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Provide structured feedback on at least 5 recurring product issues to Product/Engineering per quarter.</t>
        </is>
      </c>
      <c r="BW116" s="53" t="n"/>
      <c r="BX116" s="53" t="inlineStr">
        <is>
          <t>Global.</t>
        </is>
      </c>
      <c r="BY116" s="53" t="n"/>
      <c r="BZ116" s="53" t="inlineStr">
        <is>
          <t>IRIS1951</t>
        </is>
      </c>
      <c r="CA116" s="53" t="inlineStr">
        <is>
          <t>Employee</t>
        </is>
      </c>
      <c r="CB116" s="53" t="inlineStr">
        <is>
          <t>Active</t>
        </is>
      </c>
      <c r="CC116" s="53" t="inlineStr">
        <is>
          <t>Kiran Pawar</t>
        </is>
      </c>
      <c r="CD116" s="54" t="n">
        <v>44445</v>
      </c>
      <c r="CE116" s="53" t="inlineStr">
        <is>
          <t>Executive- Product Support</t>
        </is>
      </c>
      <c r="CF116" s="53" t="inlineStr">
        <is>
          <t>L1 support</t>
        </is>
      </c>
      <c r="CG116" s="53" t="inlineStr">
        <is>
          <t>Customer Success &amp; Support</t>
        </is>
      </c>
      <c r="CH116" s="53" t="inlineStr">
        <is>
          <t>Customer Support</t>
        </is>
      </c>
      <c r="CI116" s="53" t="inlineStr">
        <is>
          <t>Sr.Customer Support Specialist</t>
        </is>
      </c>
      <c r="CJ116" s="53" t="inlineStr">
        <is>
          <t>L3 – Professional / Associate</t>
        </is>
      </c>
      <c r="CK116" s="53" t="inlineStr">
        <is>
          <t>Harshal Shah</t>
        </is>
      </c>
      <c r="CL116" s="53" t="inlineStr">
        <is>
          <t>N-5</t>
        </is>
      </c>
      <c r="CM116" s="53" t="inlineStr">
        <is>
          <t>Individual Contributor</t>
        </is>
      </c>
      <c r="CN116" s="53" t="inlineStr">
        <is>
          <t>Regtech</t>
        </is>
      </c>
      <c r="CO116" s="53" t="inlineStr">
        <is>
          <t>Support</t>
        </is>
      </c>
      <c r="CP116" s="53" t="inlineStr">
        <is>
          <t>8 years, 4 months, 14 days</t>
        </is>
      </c>
      <c r="CQ116" s="53" t="inlineStr">
        <is>
          <t>Senior Customer Support Specialist</t>
        </is>
      </c>
      <c r="CR116" s="53" t="inlineStr">
        <is>
          <t>Yes</t>
        </is>
      </c>
      <c r="CS116" s="53" t="n">
        <v>4</v>
      </c>
      <c r="CT116" s="53" t="inlineStr">
        <is>
          <t>Medium</t>
        </is>
      </c>
      <c r="CU116" s="53" t="inlineStr">
        <is>
          <t>High Impact / Growth Talent</t>
        </is>
      </c>
      <c r="CV116" s="53" t="n"/>
      <c r="CW116" s="53" t="inlineStr">
        <is>
          <t>No</t>
        </is>
      </c>
      <c r="CX116" s="53" t="inlineStr">
        <is>
          <t>Yes</t>
        </is>
      </c>
      <c r="CY116" s="53" t="n"/>
      <c r="CZ116" s="53" t="inlineStr">
        <is>
          <t>Customer success methods; communication &amp; de-escalation; product/domain depth; ticketing &amp; SLA tools | People management: goal-setting &amp; feedback, 1:1 coaching, performance conversations</t>
        </is>
      </c>
      <c r="DA116" s="53" t="inlineStr">
        <is>
          <t>Leadership development: strategic thinking, cross-functional influence, financial/business acumen, succession &amp; talent development, change management, executive communication</t>
        </is>
      </c>
      <c r="DB116" s="53" t="inlineStr">
        <is>
          <t>IC Role - Not a MANAGER, He should take up additional responsibilities. Title to be standardized to: Sr.Customer Support Specialist</t>
        </is>
      </c>
      <c r="DC116" s="53" t="n"/>
      <c r="DD116" s="53" t="n"/>
      <c r="DE116" s="53" t="n"/>
      <c r="DF116" s="53" t="n"/>
      <c r="DG116" s="53" t="n"/>
      <c r="DH116" s="53" t="n"/>
      <c r="DI116" s="53" t="n"/>
      <c r="DJ116" s="53" t="n"/>
      <c r="DK116" s="53" t="n"/>
      <c r="DL116" s="53" t="n"/>
      <c r="DM116" s="53" t="n"/>
      <c r="DN116" s="53" t="n"/>
      <c r="DO116" s="53" t="n"/>
      <c r="DP116" s="53" t="n"/>
      <c r="DQ116" s="53" t="n"/>
      <c r="DR116" s="53" t="n"/>
      <c r="DS116" s="53" t="n"/>
      <c r="DT116" s="53" t="n"/>
      <c r="DU116" s="53" t="n"/>
      <c r="DV116" s="53" t="n"/>
      <c r="DW116" s="53" t="n"/>
      <c r="DX116" s="53" t="n"/>
      <c r="DY116" s="53" t="n"/>
      <c r="DZ116" s="53" t="n"/>
      <c r="EA116" s="53" t="n"/>
      <c r="EB116" s="53" t="n"/>
      <c r="EC116" s="53" t="n"/>
      <c r="ED116" s="53" t="n"/>
      <c r="EE116" s="53" t="n"/>
      <c r="EF116" s="53" t="n"/>
      <c r="EG116" s="53" t="n"/>
      <c r="EH116" s="53" t="n"/>
      <c r="EI116" s="53" t="n"/>
      <c r="EJ116" s="53" t="n"/>
      <c r="EK116" s="53" t="n"/>
      <c r="EL116" s="53" t="n"/>
      <c r="EM116" s="53" t="n"/>
      <c r="EN116" s="53" t="n"/>
      <c r="EO116" s="53" t="n"/>
      <c r="EP116" s="53" t="n"/>
      <c r="EQ116" s="53" t="n"/>
      <c r="ER116" s="53" t="n"/>
      <c r="ES116" s="53" t="n"/>
      <c r="ET116" s="53" t="n"/>
      <c r="EU116" s="53" t="n"/>
      <c r="EV116" s="53" t="n"/>
      <c r="EW116" s="52" t="n"/>
      <c r="EX116" s="53" t="inlineStr">
        <is>
          <t>• Role / sub-team: Client Success / Support — Executive, Product Support.
• Core purpose: Resolving client queries related to the CARBON product as well as XBRL regulatory requirements, supporting clients across markets including ESMA, SEC, CIPC, and the UK.
• Decision-making autonomy: Can independently manage ticket handling, issue troubleshooting, customer communication, issue replication, root-cause identification, and knowledge-base articles; for most requirements shared with the product team, is usually held responsible, and handles client-facing requests independently — escalating to the team lead only when needed.
• Is this something only he does: Largely his alone.
• What's different about this role: Basic XBRL knowledge; MS Office knowledge.</t>
        </is>
      </c>
      <c r="EY116" s="53" t="inlineStr">
        <is>
          <t>• Key responsibilities include: Handling initial troubleshooting; handles high-priority and R&amp;D-related tickets, performs root-cause analysis, communicates directly with customers, stays updated on new rules and regulations, and conducts testing.
• Impact if missed or done wrong: Risk of losing the customer and damaging the product's rating in the market.
• How measured: Described as different, depending on the work; values strong problem-solving, prioritization, ownership, and proactive communication, plus the ability to identify root causes and prevent recurring issues.</t>
        </is>
      </c>
      <c r="EZ116" s="53" t="inlineStr">
        <is>
          <t>• Current capabilities: Hands-on testing; R&amp;D collaboration; leadership in critical escalations.
• Tools / software used: Faveo; Arelle; QuickScrum; MS Office.
• Workload: Rated a moderate load · 3/5 in a typical week.
• Judgment/way of working: Knowledge-sharing sessions with the team.</t>
        </is>
      </c>
      <c r="FA116" s="53" t="inlineStr">
        <is>
          <t>• Development priorities: Wants faster collaboration and response from dependent teams, and stronger product-process knowledge and proactive communication skills.</t>
        </is>
      </c>
      <c r="FB116" s="53" t="inlineStr">
        <is>
          <t>• Key challenges: Dependency on other teams; supporting new DM product features.
• Support required: Faster collaboration and response from dependent teams.</t>
        </is>
      </c>
      <c r="FC116" s="53" t="n"/>
      <c r="FD116" s="53" t="n"/>
      <c r="FE116" s="57"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Provide structured feedback on at least 5 recurring product issues to Product/Engineering per quarter.</t>
        </is>
      </c>
      <c r="FF116" s="56" t="n"/>
      <c r="FG116" s="56" t="n"/>
      <c r="FH116" s="56" t="n"/>
      <c r="FI116" s="56" t="inlineStr">
        <is>
          <t>L1 support</t>
        </is>
      </c>
      <c r="FJ116" s="56" t="inlineStr">
        <is>
          <t>Received · manager annual</t>
        </is>
      </c>
      <c r="FK116" s="56" t="inlineStr">
        <is>
          <t>CARBON Mapping Master · CARBON Talent Mapping · Raw</t>
        </is>
      </c>
      <c r="FL116" s="56" t="n">
        <v>20</v>
      </c>
      <c r="FM116" s="56" t="inlineStr">
        <is>
          <t>• Role / sub-team: Client Success / Support — Executive, Product Support.
• Core purpose: Resolving client queries related to the CARBON product as well as XBRL regulatory requirements, supporting clients across markets including ESMA, SEC, CIPC, and the UK.
• Decision-making autonomy: Can independently manage ticket handling, issue troubleshooting, customer communication, issue replication, root-cause identification, and knowledge-base articles; for most requirements shared with the product team, is usually held responsible, and handles client-facing requests independently — escalating to the team lead only when needed.
• Is this something only he does: Largely his alone.
• What's different about this role: Basic XBRL knowledge; MS Office knowledge.</t>
        </is>
      </c>
      <c r="FN116" s="56" t="inlineStr">
        <is>
          <t>• Key responsibilities include: Handling initial troubleshooting; handles high-priority and R&amp;D-related tickets, performs root-cause analysis, communicates directly with customers, stays updated on new rules and regulations, and conducts testing.
• Impact if missed or done wrong: Risk of losing the customer and damaging the product's rating in the market.
• How measured: Described as different, depending on the work; values strong problem-solving, prioritization, ownership, and proactive communication, plus the ability to identify root causes and prevent recurring issues.</t>
        </is>
      </c>
      <c r="FO116" s="56" t="inlineStr">
        <is>
          <t>• Current capabilities: Hands-on testing; R&amp;D collaboration; leadership in critical escalations.
• Tools / software used: Faveo; Arelle; QuickScrum; MS Office.
• Workload: Rated a moderate load · 3/5 in a typical week.
• Judgment/way of working: Knowledge-sharing sessions with the team.</t>
        </is>
      </c>
      <c r="FP116" s="56" t="inlineStr">
        <is>
          <t>• Development priorities: Wants faster collaboration and response from dependent teams, and stronger product-process knowledge and proactive communication skills.</t>
        </is>
      </c>
      <c r="FQ116" s="56" t="inlineStr">
        <is>
          <t>• Key challenges: Dependency on other teams; supporting new DM product features.
• Support required: Faster collaboration and response from dependent teams.</t>
        </is>
      </c>
      <c r="FR116" s="56" t="inlineStr">
        <is>
          <t>Complexity: Evidence reads like A3: own survey / KRA answers · summarised by the rater; not quoted → moved up 0.5
Autonomy: Evidence reads like A3: Handles client requests independently; goes to team lead only on escalation → moved up 0.5
Accountability: Evidence reads like A3: Answerable for requirements passed to Product and high-priority client tickets → moved down 0.5
Leadership: Evidence reads like A1: Writes knowledge-base articles; no guidance of others described despite one report → moved down 1
Business Impact: Moved +0.5: the survey / manager mapping marks it business-critical.</t>
        </is>
      </c>
      <c r="FS116" s="56"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FT116" s="56" t="inlineStr">
        <is>
          <t>Self-identified: Leadership &amp; people management · Technical depth &amp; architecture
For the next role: Leadership &amp; people management · Technical depth &amp; architecture</t>
        </is>
      </c>
      <c r="FU116" s="56" t="inlineStr">
        <is>
          <t>Per-person summary · CARBON Mapping Master</t>
        </is>
      </c>
    </row>
    <row r="117" ht="90" customHeight="1">
      <c r="A117" s="51" t="inlineStr">
        <is>
          <t>◂ Back</t>
        </is>
      </c>
      <c r="B117" s="29" t="inlineStr">
        <is>
          <t>Mapped</t>
        </is>
      </c>
      <c r="C117" s="28" t="inlineStr">
        <is>
          <t>CARBON</t>
        </is>
      </c>
      <c r="D117" s="29" t="inlineStr">
        <is>
          <t>IRIS2346</t>
        </is>
      </c>
      <c r="E117" s="29" t="inlineStr">
        <is>
          <t>Ravindra Kanojiya</t>
        </is>
      </c>
      <c r="F117" s="29" t="inlineStr">
        <is>
          <t>Support</t>
        </is>
      </c>
      <c r="G117" s="29" t="inlineStr">
        <is>
          <t>Client Support Executive</t>
        </is>
      </c>
      <c r="H117" s="29" t="inlineStr">
        <is>
          <t>Senior Support Executive</t>
        </is>
      </c>
      <c r="I117" s="29" t="inlineStr">
        <is>
          <t>L3 – Professional / Associate</t>
        </is>
      </c>
      <c r="J117" s="29" t="inlineStr">
        <is>
          <t>A3</t>
        </is>
      </c>
      <c r="K117" s="29" t="inlineStr">
        <is>
          <t>▲ Up</t>
        </is>
      </c>
      <c r="L117" s="29" t="inlineStr">
        <is>
          <t>Customer Success &amp; Support</t>
        </is>
      </c>
      <c r="M117" s="29" t="inlineStr">
        <is>
          <t>Application &amp; Product Support</t>
        </is>
      </c>
      <c r="N117" s="29" t="n"/>
      <c r="O117" s="29" t="n">
        <v>20</v>
      </c>
      <c r="P117" s="28" t="inlineStr">
        <is>
          <t>P2</t>
        </is>
      </c>
      <c r="Q117" s="29" t="inlineStr">
        <is>
          <t>Developing</t>
        </is>
      </c>
      <c r="R117" s="29" t="inlineStr">
        <is>
          <t>3 Apply</t>
        </is>
      </c>
      <c r="S117" s="29" t="inlineStr">
        <is>
          <t>2–4 yrs</t>
        </is>
      </c>
      <c r="T117" s="29" t="inlineStr">
        <is>
          <t>3–5 · 2–5</t>
        </is>
      </c>
      <c r="U117" s="29" t="inlineStr">
        <is>
          <t>Support / CS Executive</t>
        </is>
      </c>
      <c r="V117" s="29" t="inlineStr">
        <is>
          <t>IRIS Vs Competitor Benchmark — SaaS customer-success ladder: Associate CSM · Regnology: Product Support Specialist · Reg Reporting · IRIS Vs Competitor Benchmark — support tiers: L2 Application Support</t>
        </is>
      </c>
      <c r="W117" s="29" t="inlineStr">
        <is>
          <t>TSIA frameworks and benchmarks; ITIL 4 service desk; Gainsight customer-success practice</t>
        </is>
      </c>
      <c r="X117" s="29" t="inlineStr">
        <is>
          <t>Core 2 · Future 2 · Functional 3 · Leadership not scored</t>
        </is>
      </c>
      <c r="Y117" s="52" t="n">
        <v>360</v>
      </c>
      <c r="Z117" s="53" t="inlineStr">
        <is>
          <t>IRIS2346</t>
        </is>
      </c>
      <c r="AA117" s="53" t="inlineStr">
        <is>
          <t>Employee</t>
        </is>
      </c>
      <c r="AB117" s="53" t="inlineStr">
        <is>
          <t>Active</t>
        </is>
      </c>
      <c r="AC117" s="53" t="inlineStr">
        <is>
          <t>Ravindra Kanojiya</t>
        </is>
      </c>
      <c r="AD117" s="54" t="n">
        <v>45719</v>
      </c>
      <c r="AE117" s="53" t="inlineStr">
        <is>
          <t>Client Support Executive</t>
        </is>
      </c>
      <c r="AF117" s="53" t="inlineStr">
        <is>
          <t>MBA</t>
        </is>
      </c>
      <c r="AG117" s="53" t="inlineStr">
        <is>
          <t>Kiran Pawar</t>
        </is>
      </c>
      <c r="AH117" s="53" t="inlineStr">
        <is>
          <t>N-6</t>
        </is>
      </c>
      <c r="AI117" s="53" t="inlineStr">
        <is>
          <t>Individual Contributor</t>
        </is>
      </c>
      <c r="AJ117" s="53" t="inlineStr">
        <is>
          <t>6 years, 8 months, 0 days</t>
        </is>
      </c>
      <c r="AK117" s="53" t="inlineStr">
        <is>
          <t>1 years, 5 months, 22 days</t>
        </is>
      </c>
      <c r="AL117" s="53" t="inlineStr">
        <is>
          <t>Regtech</t>
        </is>
      </c>
      <c r="AM117" s="53" t="inlineStr">
        <is>
          <t>CARBON</t>
        </is>
      </c>
      <c r="AN117" s="53" t="inlineStr">
        <is>
          <t>Support</t>
        </is>
      </c>
      <c r="AO117" s="53" t="inlineStr">
        <is>
          <t>Product Support</t>
        </is>
      </c>
      <c r="AP117" s="53" t="inlineStr">
        <is>
          <t>No</t>
        </is>
      </c>
      <c r="AQ117" s="53" t="inlineStr">
        <is>
          <t>Client Engagement</t>
        </is>
      </c>
      <c r="AR117" s="53" t="inlineStr">
        <is>
          <t>Domain Support</t>
        </is>
      </c>
      <c r="AS117" s="53" t="inlineStr">
        <is>
          <t>Non-technical</t>
        </is>
      </c>
      <c r="AT117" s="53" t="n">
        <v>20</v>
      </c>
      <c r="AU117" s="53" t="inlineStr">
        <is>
          <t>Covered</t>
        </is>
      </c>
      <c r="AV117" s="53" t="inlineStr">
        <is>
          <t>IRIS2346</t>
        </is>
      </c>
      <c r="AW117" s="53" t="inlineStr">
        <is>
          <t>Ravindra Kanojiya</t>
        </is>
      </c>
      <c r="AX117" s="53" t="inlineStr">
        <is>
          <t>Support</t>
        </is>
      </c>
      <c r="AY117" s="53" t="inlineStr">
        <is>
          <t>Customer Success &amp; Support</t>
        </is>
      </c>
      <c r="AZ117" s="53" t="inlineStr">
        <is>
          <t>Customer Success</t>
        </is>
      </c>
      <c r="BA117" s="53" t="n"/>
      <c r="BB117" s="53" t="n"/>
      <c r="BC117" s="53" t="inlineStr">
        <is>
          <t>Employee</t>
        </is>
      </c>
      <c r="BD117" s="53" t="inlineStr">
        <is>
          <t>Kiran Pawar</t>
        </is>
      </c>
      <c r="BE117" s="53" t="inlineStr">
        <is>
          <t>Kiran Pawar</t>
        </is>
      </c>
      <c r="BF117" s="53" t="inlineStr">
        <is>
          <t>No</t>
        </is>
      </c>
      <c r="BG117" s="53" t="inlineStr">
        <is>
          <t>Client Support Executive</t>
        </is>
      </c>
      <c r="BH117" s="53" t="inlineStr">
        <is>
          <t>Customer Support Specialist</t>
        </is>
      </c>
      <c r="BI117" s="53" t="inlineStr">
        <is>
          <t>Yes</t>
        </is>
      </c>
      <c r="BJ117" s="53" t="inlineStr">
        <is>
          <t>—</t>
        </is>
      </c>
      <c r="BK117" s="53" t="inlineStr">
        <is>
          <t>—</t>
        </is>
      </c>
      <c r="BL117" s="53" t="inlineStr">
        <is>
          <t>—</t>
        </is>
      </c>
      <c r="BM117" s="53" t="inlineStr">
        <is>
          <t>Not a manager</t>
        </is>
      </c>
      <c r="BN117" s="53" t="inlineStr">
        <is>
          <t>—</t>
        </is>
      </c>
      <c r="BO117" s="53" t="inlineStr">
        <is>
          <t>—</t>
        </is>
      </c>
      <c r="BP117" s="53" t="inlineStr">
        <is>
          <t>—</t>
        </is>
      </c>
      <c r="BQ117" s="53" t="inlineStr">
        <is>
          <t>Not a manager</t>
        </is>
      </c>
      <c r="BR117" s="53" t="inlineStr">
        <is>
          <t>—</t>
        </is>
      </c>
      <c r="BS117" s="53" t="inlineStr">
        <is>
          <t>L3 – Professional / Associate</t>
        </is>
      </c>
      <c r="BT117" s="53" t="inlineStr">
        <is>
          <t>L2</t>
        </is>
      </c>
      <c r="BU117" s="53" t="inlineStr">
        <is>
          <t>Matched from Title Hierarchy · new designation</t>
        </is>
      </c>
      <c r="BV117" s="53"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Reported 5+ product issues identified through customer cases and product testing to the Product team.</t>
        </is>
      </c>
      <c r="BW117" s="53" t="n"/>
      <c r="BX117" s="53" t="inlineStr">
        <is>
          <t>Global.</t>
        </is>
      </c>
      <c r="BY117" s="53" t="n"/>
      <c r="BZ117" s="53" t="inlineStr">
        <is>
          <t>IRIS2346</t>
        </is>
      </c>
      <c r="CA117" s="53" t="inlineStr">
        <is>
          <t>Employee</t>
        </is>
      </c>
      <c r="CB117" s="53" t="inlineStr">
        <is>
          <t>Active</t>
        </is>
      </c>
      <c r="CC117" s="53" t="inlineStr">
        <is>
          <t>Ravindra Kanojiya</t>
        </is>
      </c>
      <c r="CD117" s="54" t="n">
        <v>45719</v>
      </c>
      <c r="CE117" s="53" t="inlineStr">
        <is>
          <t>Client Support Executive</t>
        </is>
      </c>
      <c r="CF117" s="53" t="inlineStr">
        <is>
          <t>L1 support</t>
        </is>
      </c>
      <c r="CG117" s="53" t="inlineStr">
        <is>
          <t>Customer Success &amp; Support</t>
        </is>
      </c>
      <c r="CH117" s="53" t="inlineStr">
        <is>
          <t>Customer Support</t>
        </is>
      </c>
      <c r="CI117" s="53" t="inlineStr">
        <is>
          <t>Client Support Executive</t>
        </is>
      </c>
      <c r="CJ117" s="53" t="inlineStr">
        <is>
          <t>L3 – Professional / Associate</t>
        </is>
      </c>
      <c r="CK117" s="53" t="inlineStr">
        <is>
          <t>Kiran Pawar</t>
        </is>
      </c>
      <c r="CL117" s="53" t="inlineStr">
        <is>
          <t>N-6</t>
        </is>
      </c>
      <c r="CM117" s="53" t="inlineStr">
        <is>
          <t>Individual Contributor</t>
        </is>
      </c>
      <c r="CN117" s="53" t="inlineStr">
        <is>
          <t>Regtech</t>
        </is>
      </c>
      <c r="CO117" s="53" t="inlineStr">
        <is>
          <t>Support</t>
        </is>
      </c>
      <c r="CP117" s="53" t="inlineStr">
        <is>
          <t>7 years, 11 months, 17 days</t>
        </is>
      </c>
      <c r="CQ117" s="53" t="inlineStr">
        <is>
          <t>Customer Support Specialist</t>
        </is>
      </c>
      <c r="CR117" s="53" t="inlineStr">
        <is>
          <t>Yes</t>
        </is>
      </c>
      <c r="CS117" s="53" t="n">
        <v>3</v>
      </c>
      <c r="CT117" s="53" t="inlineStr">
        <is>
          <t>Low</t>
        </is>
      </c>
      <c r="CU117" s="53" t="inlineStr">
        <is>
          <t>Core Contributor</t>
        </is>
      </c>
      <c r="CV117" s="53" t="n"/>
      <c r="CW117" s="53" t="n"/>
      <c r="CX117" s="53" t="n"/>
      <c r="CY117" s="53" t="n"/>
      <c r="CZ117" s="53" t="inlineStr">
        <is>
          <t>Customer success methods; communication &amp; de-escalation; product/domain depth; ticketing &amp; SLA tools</t>
        </is>
      </c>
      <c r="DA117" s="53" t="inlineStr">
        <is>
          <t>Transition to leadership: people management &amp; delegation, mentoring/coaching, project ownership &amp; stakeholder management, prioritisation under ambiguity, presentation &amp; influence skills</t>
        </is>
      </c>
      <c r="DB117" s="53" t="inlineStr">
        <is>
          <t>Title to be standardized to: Customer Support Specialist</t>
        </is>
      </c>
      <c r="DC117" s="53" t="n"/>
      <c r="DD117" s="53" t="n"/>
      <c r="DE117" s="53" t="n"/>
      <c r="DF117" s="53" t="n"/>
      <c r="DG117" s="53" t="n"/>
      <c r="DH117" s="53" t="n"/>
      <c r="DI117" s="53" t="n"/>
      <c r="DJ117" s="53" t="n"/>
      <c r="DK117" s="53" t="n"/>
      <c r="DL117" s="53" t="n"/>
      <c r="DM117" s="53" t="n"/>
      <c r="DN117" s="53" t="n"/>
      <c r="DO117" s="53" t="n"/>
      <c r="DP117" s="53" t="n"/>
      <c r="DQ117" s="53" t="n"/>
      <c r="DR117" s="53" t="n"/>
      <c r="DS117" s="53" t="n"/>
      <c r="DT117" s="53" t="n"/>
      <c r="DU117" s="53" t="n"/>
      <c r="DV117" s="53" t="n"/>
      <c r="DW117" s="53" t="n"/>
      <c r="DX117" s="53" t="n"/>
      <c r="DY117" s="53" t="n"/>
      <c r="DZ117" s="53" t="n"/>
      <c r="EA117" s="53" t="n"/>
      <c r="EB117" s="53" t="n"/>
      <c r="EC117" s="53" t="n"/>
      <c r="ED117" s="53" t="n"/>
      <c r="EE117" s="53" t="n"/>
      <c r="EF117" s="53" t="n"/>
      <c r="EG117" s="53" t="n"/>
      <c r="EH117" s="53" t="n"/>
      <c r="EI117" s="53" t="n"/>
      <c r="EJ117" s="53" t="n"/>
      <c r="EK117" s="53" t="n"/>
      <c r="EL117" s="53" t="n"/>
      <c r="EM117" s="53" t="n"/>
      <c r="EN117" s="53" t="n"/>
      <c r="EO117" s="53" t="n"/>
      <c r="EP117" s="53" t="n"/>
      <c r="EQ117" s="53" t="n"/>
      <c r="ER117" s="53" t="n"/>
      <c r="ES117" s="53" t="n"/>
      <c r="ET117" s="53" t="n"/>
      <c r="EU117" s="53" t="n"/>
      <c r="EV117" s="53" t="n"/>
      <c r="EW117" s="52" t="n"/>
      <c r="EX117" s="53" t="inlineStr">
        <is>
          <t>• Role / sub-team: Client Success / Support — Client Support Executive.
• Core purpose: Support clients using DM and Carbon, understand their concerns, provide solutions, and coordinate with the Product team when needed.
• Decision-making autonomy: Can independently handle client support, issue resolution, query handling, client communication, team coordination, and XBRL support.
• Is this something only he does: Largely his alone.
• What's different about this role: Knowledge of XBRL tagging.</t>
        </is>
      </c>
      <c r="EY117" s="53" t="inlineStr">
        <is>
          <t>• Key responsibilities include: Delivering timely support; handling known issues; using SEC.gov and the Dashboard to review previously filed documents for tagging styles, formatting, and tagging approaches.
• Impact if missed or done wrong: Incorrect solutions or delays, especially during critical filing deadlines.
• How measured: Partially different from the rest of the team; timely responses and understanding client queries are central.</t>
        </is>
      </c>
      <c r="EZ117" s="53" t="inlineStr">
        <is>
          <t>• Current capabilities: Knowledge of XML; knowledge of HTML; product knowledge; complete XBRL knowledge, including backend processes and tagging · XBRL/iXBRL.
• Tools / software used: MS Office; Arelle Validation; Faveo; Copilot; taxonomy tools.
• Workload: Rated a moderate load · 3/5 in a typical week.
• Judgment/way of working: Experience-based judgment.</t>
        </is>
      </c>
      <c r="FA117" s="53" t="inlineStr">
        <is>
          <t>• Development priorities: Wants better training, and a stronger understanding of processes, tools, and tagging requirements, to move into the next role.</t>
        </is>
      </c>
      <c r="FB117" s="53" t="inlineStr">
        <is>
          <t>• Key challenges: Slow laptop performance; RAM upgrade needed; new tools; evolving XBRL requirements; shifting priorities; product upgrades · DM and Carbon; new SEC form types; using RDP.
• Support required: Fixed roles and responsibilities; better training.</t>
        </is>
      </c>
      <c r="FC117" s="53" t="n"/>
      <c r="FD117" s="53" t="n"/>
      <c r="FE117" s="57"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Reported 5+ product issues identified through customer cases and product testing to the Product team.</t>
        </is>
      </c>
      <c r="FF117" s="56" t="n"/>
      <c r="FG117" s="56" t="n"/>
      <c r="FH117" s="56" t="n"/>
      <c r="FI117" s="56" t="inlineStr">
        <is>
          <t>L1 support</t>
        </is>
      </c>
      <c r="FJ117" s="56" t="inlineStr">
        <is>
          <t>Received · manager annual</t>
        </is>
      </c>
      <c r="FK117" s="56" t="inlineStr">
        <is>
          <t>CARBON Mapping Master · CARBON Talent Mapping · Raw</t>
        </is>
      </c>
      <c r="FL117" s="56" t="n">
        <v>20</v>
      </c>
      <c r="FM117" s="56" t="inlineStr">
        <is>
          <t>• Role / sub-team: Client Success / Support — Client Support Executive.
• Core purpose: Support clients using DM and Carbon, understand their concerns, provide solutions, and coordinate with the Product team when needed.
• Decision-making autonomy: Can independently handle client support, issue resolution, query handling, client communication, team coordination, and XBRL support.
• Is this something only he does: Largely his alone.
• What's different about this role: Knowledge of XBRL tagging.</t>
        </is>
      </c>
      <c r="FN117" s="56" t="inlineStr">
        <is>
          <t>• Key responsibilities include: Delivering timely support; handling known issues; using SEC.gov and the Dashboard to review previously filed documents for tagging styles, formatting, and tagging approaches.
• Impact if missed or done wrong: Incorrect solutions or delays, especially during critical filing deadlines.
• How measured: Partially different from the rest of the team; timely responses and understanding client queries are central.</t>
        </is>
      </c>
      <c r="FO117" s="56" t="inlineStr">
        <is>
          <t>• Current capabilities: Knowledge of XML; knowledge of HTML; product knowledge; complete XBRL knowledge, including backend processes and tagging · XBRL/iXBRL.
• Tools / software used: MS Office; Arelle Validation; Faveo; Copilot; taxonomy tools.
• Workload: Rated a moderate load · 3/5 in a typical week.
• Judgment/way of working: Experience-based judgment.</t>
        </is>
      </c>
      <c r="FP117" s="56" t="inlineStr">
        <is>
          <t>• Development priorities: Wants better training, and a stronger understanding of processes, tools, and tagging requirements, to move into the next role.</t>
        </is>
      </c>
      <c r="FQ117" s="56" t="inlineStr">
        <is>
          <t>• Key challenges: Slow laptop performance; RAM upgrade needed; new tools; evolving XBRL requirements; shifting priorities; product upgrades · DM and Carbon; new SEC form types; using RDP.
• Support required: Fixed roles and responsibilities; better training.</t>
        </is>
      </c>
      <c r="FR117" s="56" t="inlineStr">
        <is>
          <t>Complexity: Evidence reads like A2: Handles known issues on DM and Carbon; checks prior SEC filings for tagging styles → matches the start
Autonomy: Evidence reads like A2: Handles known issues; coordinates with Product team for others → matches the start
Accountability: Evidence reads like A2: Timely responses to client queries; errors matter at filing deadlines → matches the start
Leadership: Evidence reads like A1: No guidance of others described → matches the start
Business Impact: No survey or manager-mapping signal on criticality: kept at the start point.</t>
        </is>
      </c>
      <c r="FS117" s="56"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FT117" s="56" t="inlineStr">
        <is>
          <t>Self-identified: Domain, regulatory &amp; XBRL · Product &amp; tool knowledge
For the next role: Domain, regulatory &amp; XBRL · Product &amp; tool knowledge</t>
        </is>
      </c>
      <c r="FU117" s="56" t="inlineStr">
        <is>
          <t>Per-person summary · CARBON Mapping Master</t>
        </is>
      </c>
    </row>
    <row r="118" ht="90" customHeight="1">
      <c r="A118" s="51" t="inlineStr">
        <is>
          <t>◂ Back</t>
        </is>
      </c>
      <c r="B118" s="29" t="inlineStr">
        <is>
          <t>Mapped</t>
        </is>
      </c>
      <c r="C118" s="28" t="inlineStr">
        <is>
          <t>CARBON</t>
        </is>
      </c>
      <c r="D118" s="29" t="inlineStr">
        <is>
          <t>IRIS0341</t>
        </is>
      </c>
      <c r="E118" s="29" t="inlineStr">
        <is>
          <t>Nelson Paul Koonan</t>
        </is>
      </c>
      <c r="F118" s="29" t="inlineStr">
        <is>
          <t>Support</t>
        </is>
      </c>
      <c r="G118" s="29" t="inlineStr">
        <is>
          <t>Client Solutions Executive</t>
        </is>
      </c>
      <c r="H118" s="29" t="inlineStr">
        <is>
          <t>Senior Support Executive</t>
        </is>
      </c>
      <c r="I118" s="29" t="inlineStr">
        <is>
          <t>L3 – Professional / Associate</t>
        </is>
      </c>
      <c r="J118" s="29" t="inlineStr">
        <is>
          <t>A3</t>
        </is>
      </c>
      <c r="K118" s="29" t="inlineStr">
        <is>
          <t>▲ Up</t>
        </is>
      </c>
      <c r="L118" s="29" t="inlineStr">
        <is>
          <t>Customer Success &amp; Support</t>
        </is>
      </c>
      <c r="M118" s="29" t="inlineStr">
        <is>
          <t>Application &amp; Product Support</t>
        </is>
      </c>
      <c r="N118" s="29" t="inlineStr">
        <is>
          <t>• Confirm the reporting line — Manager</t>
        </is>
      </c>
      <c r="O118" s="29" t="n">
        <v>20</v>
      </c>
      <c r="P118" s="28" t="inlineStr">
        <is>
          <t>P2</t>
        </is>
      </c>
      <c r="Q118" s="29" t="inlineStr">
        <is>
          <t>Developing</t>
        </is>
      </c>
      <c r="R118" s="29" t="inlineStr">
        <is>
          <t>3 Apply</t>
        </is>
      </c>
      <c r="S118" s="29" t="inlineStr">
        <is>
          <t>2–4 yrs</t>
        </is>
      </c>
      <c r="T118" s="29" t="inlineStr">
        <is>
          <t>3–5 · 2–5</t>
        </is>
      </c>
      <c r="U118" s="29" t="inlineStr">
        <is>
          <t>Support / CS Executive</t>
        </is>
      </c>
      <c r="V118" s="29" t="inlineStr">
        <is>
          <t>IRIS Vs Competitor Benchmark — SaaS customer-success ladder: Associate CSM · Regnology: Product Support Specialist · Reg Reporting · IRIS Vs Competitor Benchmark — support tiers: L2 Application Support</t>
        </is>
      </c>
      <c r="W118" s="29" t="inlineStr">
        <is>
          <t>TSIA frameworks and benchmarks; ITIL 4 service desk; Gainsight customer-success practice</t>
        </is>
      </c>
      <c r="X118" s="29" t="inlineStr">
        <is>
          <t>Core 2 · Future 2 · Functional 3 · Leadership not scored</t>
        </is>
      </c>
      <c r="Y118" s="52" t="n">
        <v>57</v>
      </c>
      <c r="Z118" s="53" t="inlineStr">
        <is>
          <t>IRIS0341</t>
        </is>
      </c>
      <c r="AA118" s="53" t="inlineStr">
        <is>
          <t>Employee</t>
        </is>
      </c>
      <c r="AB118" s="53" t="inlineStr">
        <is>
          <t>Active</t>
        </is>
      </c>
      <c r="AC118" s="53" t="inlineStr">
        <is>
          <t>Nelson Paul Koonan</t>
        </is>
      </c>
      <c r="AD118" s="54" t="n">
        <v>40329</v>
      </c>
      <c r="AE118" s="53" t="inlineStr">
        <is>
          <t>Client Solutions Executive</t>
        </is>
      </c>
      <c r="AF118" s="53" t="inlineStr">
        <is>
          <t>B.Com</t>
        </is>
      </c>
      <c r="AG118" s="53" t="inlineStr">
        <is>
          <t>Harshal Shah</t>
        </is>
      </c>
      <c r="AH118" s="53" t="inlineStr">
        <is>
          <t>N-5</t>
        </is>
      </c>
      <c r="AI118" s="53" t="inlineStr">
        <is>
          <t>Manager</t>
        </is>
      </c>
      <c r="AJ118" s="53" t="inlineStr">
        <is>
          <t>0 years, 0 months, 0 days</t>
        </is>
      </c>
      <c r="AK118" s="53" t="inlineStr">
        <is>
          <t>16 years, 2 months, 25 days</t>
        </is>
      </c>
      <c r="AL118" s="53" t="inlineStr">
        <is>
          <t>Regtech</t>
        </is>
      </c>
      <c r="AM118" s="53" t="inlineStr">
        <is>
          <t>CARBON</t>
        </is>
      </c>
      <c r="AN118" s="53" t="inlineStr">
        <is>
          <t>Support</t>
        </is>
      </c>
      <c r="AO118" s="53" t="inlineStr">
        <is>
          <t>Product Support</t>
        </is>
      </c>
      <c r="AP118" s="53" t="inlineStr">
        <is>
          <t>No</t>
        </is>
      </c>
      <c r="AQ118" s="53" t="inlineStr">
        <is>
          <t>Product/Project</t>
        </is>
      </c>
      <c r="AR118" s="53" t="inlineStr">
        <is>
          <t>Domain Support</t>
        </is>
      </c>
      <c r="AS118" s="53" t="inlineStr">
        <is>
          <t>Non-technical</t>
        </is>
      </c>
      <c r="AT118" s="53" t="n">
        <v>20</v>
      </c>
      <c r="AU118" s="53" t="inlineStr">
        <is>
          <t>Covered</t>
        </is>
      </c>
      <c r="AV118" s="53" t="inlineStr">
        <is>
          <t>IRIS0341</t>
        </is>
      </c>
      <c r="AW118" s="53" t="inlineStr">
        <is>
          <t>Nelson Paul Koonan</t>
        </is>
      </c>
      <c r="AX118" s="53" t="inlineStr">
        <is>
          <t>Support</t>
        </is>
      </c>
      <c r="AY118" s="53" t="inlineStr">
        <is>
          <t>Customer Success &amp; Support</t>
        </is>
      </c>
      <c r="AZ118" s="53" t="inlineStr">
        <is>
          <t>Customer Success</t>
        </is>
      </c>
      <c r="BA118" s="53" t="n"/>
      <c r="BB118" s="53" t="n"/>
      <c r="BC118" s="53" t="inlineStr">
        <is>
          <t>Employee</t>
        </is>
      </c>
      <c r="BD118" s="53" t="inlineStr">
        <is>
          <t>Harshal Shah</t>
        </is>
      </c>
      <c r="BE118" s="53" t="inlineStr">
        <is>
          <t>Harshal Shah</t>
        </is>
      </c>
      <c r="BF118" s="53" t="inlineStr">
        <is>
          <t>No</t>
        </is>
      </c>
      <c r="BG118" s="53" t="inlineStr">
        <is>
          <t>Client Solutions Executive</t>
        </is>
      </c>
      <c r="BH118" s="53" t="inlineStr">
        <is>
          <t>Manager Customer Support</t>
        </is>
      </c>
      <c r="BI118" s="53" t="inlineStr">
        <is>
          <t>Yes</t>
        </is>
      </c>
      <c r="BJ118" s="53" t="n">
        <v>2</v>
      </c>
      <c r="BK118" s="53" t="n">
        <v>2</v>
      </c>
      <c r="BL118" s="53" t="n">
        <v>0</v>
      </c>
      <c r="BM118" s="53" t="inlineStr">
        <is>
          <t>Consolidate / flatten</t>
        </is>
      </c>
      <c r="BN118" s="53" t="n">
        <v>2</v>
      </c>
      <c r="BO118" s="53" t="n">
        <v>2</v>
      </c>
      <c r="BP118" s="53" t="n">
        <v>0</v>
      </c>
      <c r="BQ118" s="53" t="inlineStr">
        <is>
          <t>Consolidate / flatten</t>
        </is>
      </c>
      <c r="BR118" s="53" t="inlineStr">
        <is>
          <t>No</t>
        </is>
      </c>
      <c r="BS118" s="53" t="inlineStr">
        <is>
          <t>L3 – Professional / Associate</t>
        </is>
      </c>
      <c r="BT118" s="53" t="inlineStr">
        <is>
          <t>L4</t>
        </is>
      </c>
      <c r="BU118" s="53" t="inlineStr">
        <is>
          <t>Matched from Title Hierarchy · new designation</t>
        </is>
      </c>
      <c r="BV118" s="53"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Provide structured feedback on at least 5 recurring product issues to Product/Engineering per quarter.</t>
        </is>
      </c>
      <c r="BW118" s="53" t="n"/>
      <c r="BX118" s="53" t="inlineStr">
        <is>
          <t>Global.</t>
        </is>
      </c>
      <c r="BY118" s="53" t="n"/>
      <c r="BZ118" s="53" t="inlineStr">
        <is>
          <t>IRIS0341</t>
        </is>
      </c>
      <c r="CA118" s="53" t="inlineStr">
        <is>
          <t>Employee</t>
        </is>
      </c>
      <c r="CB118" s="53" t="inlineStr">
        <is>
          <t>Active</t>
        </is>
      </c>
      <c r="CC118" s="53" t="inlineStr">
        <is>
          <t>Nelson Paul Koonan</t>
        </is>
      </c>
      <c r="CD118" s="54" t="n">
        <v>40329</v>
      </c>
      <c r="CE118" s="53" t="inlineStr">
        <is>
          <t>Client Solutions Executive</t>
        </is>
      </c>
      <c r="CF118" s="53" t="inlineStr">
        <is>
          <t>L1 support</t>
        </is>
      </c>
      <c r="CG118" s="53" t="inlineStr">
        <is>
          <t>Customer Success &amp; Support</t>
        </is>
      </c>
      <c r="CH118" s="53" t="inlineStr">
        <is>
          <t>Customer Support</t>
        </is>
      </c>
      <c r="CI118" s="53" t="inlineStr">
        <is>
          <t>Customer Support Lead</t>
        </is>
      </c>
      <c r="CJ118" s="53" t="inlineStr">
        <is>
          <t>L3 – Professional / Associate</t>
        </is>
      </c>
      <c r="CK118" s="53" t="inlineStr">
        <is>
          <t>Harshal Shah</t>
        </is>
      </c>
      <c r="CL118" s="53" t="inlineStr">
        <is>
          <t>N-5</t>
        </is>
      </c>
      <c r="CM118" s="53" t="inlineStr">
        <is>
          <t>Player Cum Coach</t>
        </is>
      </c>
      <c r="CN118" s="53" t="inlineStr">
        <is>
          <t>Regtech</t>
        </is>
      </c>
      <c r="CO118" s="53" t="inlineStr">
        <is>
          <t>Support</t>
        </is>
      </c>
      <c r="CP118" s="53" t="inlineStr">
        <is>
          <t>16 years, 0 months, 20 days</t>
        </is>
      </c>
      <c r="CQ118" s="53" t="inlineStr">
        <is>
          <t>Customer Support Lead</t>
        </is>
      </c>
      <c r="CR118" s="53" t="inlineStr">
        <is>
          <t>Yes</t>
        </is>
      </c>
      <c r="CS118" s="53" t="n">
        <v>3</v>
      </c>
      <c r="CT118" s="53" t="inlineStr">
        <is>
          <t>Medium</t>
        </is>
      </c>
      <c r="CU118" s="53" t="inlineStr">
        <is>
          <t>High Impact / Growth Talent</t>
        </is>
      </c>
      <c r="CV118" s="53" t="n"/>
      <c r="CW118" s="53" t="inlineStr">
        <is>
          <t>No</t>
        </is>
      </c>
      <c r="CX118" s="53" t="inlineStr">
        <is>
          <t>Yes</t>
        </is>
      </c>
      <c r="CY118" s="53" t="n"/>
      <c r="CZ118" s="53" t="inlineStr">
        <is>
          <t>Customer success methods; communication &amp; de-escalation; product/domain depth; ticketing &amp; SLA tools | People management: goal-setting &amp; feedback, 1:1 coaching, performance conversations</t>
        </is>
      </c>
      <c r="DA118" s="53" t="inlineStr">
        <is>
          <t>Leadership development: strategic thinking, cross-functional influence, financial/business acumen, succession &amp; talent development, change management, executive communication, Client conversations</t>
        </is>
      </c>
      <c r="DB118" s="53" t="inlineStr">
        <is>
          <t>IC Role - Not a MANAGER, He should take up additional responsibilities. Title to be standardized to: Customer Support Lead</t>
        </is>
      </c>
      <c r="DC118" s="53" t="n"/>
      <c r="DD118" s="53" t="n"/>
      <c r="DE118" s="53" t="n"/>
      <c r="DF118" s="53" t="n"/>
      <c r="DG118" s="53" t="n"/>
      <c r="DH118" s="53" t="n"/>
      <c r="DI118" s="53" t="n"/>
      <c r="DJ118" s="53" t="n"/>
      <c r="DK118" s="53" t="n"/>
      <c r="DL118" s="53" t="n"/>
      <c r="DM118" s="53" t="n"/>
      <c r="DN118" s="53" t="n"/>
      <c r="DO118" s="53" t="n"/>
      <c r="DP118" s="53" t="n"/>
      <c r="DQ118" s="53" t="n"/>
      <c r="DR118" s="53" t="n"/>
      <c r="DS118" s="53" t="n"/>
      <c r="DT118" s="53" t="n"/>
      <c r="DU118" s="53" t="n"/>
      <c r="DV118" s="53" t="n"/>
      <c r="DW118" s="53" t="n"/>
      <c r="DX118" s="53" t="n"/>
      <c r="DY118" s="53" t="n"/>
      <c r="DZ118" s="53" t="n"/>
      <c r="EA118" s="53" t="n"/>
      <c r="EB118" s="53" t="n"/>
      <c r="EC118" s="53" t="n"/>
      <c r="ED118" s="53" t="n"/>
      <c r="EE118" s="53" t="n"/>
      <c r="EF118" s="53" t="n"/>
      <c r="EG118" s="53" t="n"/>
      <c r="EH118" s="53" t="n"/>
      <c r="EI118" s="53" t="n"/>
      <c r="EJ118" s="53" t="n"/>
      <c r="EK118" s="53" t="n"/>
      <c r="EL118" s="53" t="n"/>
      <c r="EM118" s="53" t="n"/>
      <c r="EN118" s="53" t="n"/>
      <c r="EO118" s="53" t="n"/>
      <c r="EP118" s="53" t="n"/>
      <c r="EQ118" s="53" t="n"/>
      <c r="ER118" s="53" t="n"/>
      <c r="ES118" s="53" t="n"/>
      <c r="ET118" s="53" t="n"/>
      <c r="EU118" s="53" t="n"/>
      <c r="EV118" s="53" t="n"/>
      <c r="EW118" s="52" t="n"/>
      <c r="EX118" s="53" t="inlineStr">
        <is>
          <t>• Role / sub-team: Client Success / Support — Client Solutions Executive.
• Core purpose: Handling external client queries · support requests via email and calls, and internal team requests via email, calls, and Teams chat.
• Decision-making autonomy: Can independently handle customer support and mentoring the team.
• Is this something only he does: Roles and responsibilities change according to seniority and experience, with expectations differing accordingly.
• What's different about this role: Communication focus; preparing reports.</t>
        </is>
      </c>
      <c r="EY118" s="53" t="inlineStr">
        <is>
          <t>• Key responsibilities include: Solving reported concerns; tickets handled; preparing stats reports; maintaining ticket data.
• Impact if missed or done wrong: Unsatisfied customers and bad ratings.
• How measured: KPI described as partially different from the rest of the team, since expectations change with seniority and experience.</t>
        </is>
      </c>
      <c r="EZ118" s="53" t="inlineStr">
        <is>
          <t>• Current capabilities: Basic XBRL knowledge; DM platform knowledge; time management, which helps prioritise requests and speed up resolutions.
• Tools / software used: Arelle; MS Office.
• Workload: Rated a moderate load · 3/5 in a typical week.
• Judgment/way of working: Uses shortcuts for quicker resolution and coordinates with teams easily.</t>
        </is>
      </c>
      <c r="FA118" s="53" t="inlineStr">
        <is>
          <t>• Development priorities: Wants in-depth product knowledge, more advanced technical skills, and man-management exposure to move into the next role.</t>
        </is>
      </c>
      <c r="FB118" s="53" t="inlineStr">
        <is>
          <t>• Key challenges: System issues; needing a RAM upgrade; cross-team dependency; product upgrades.
• Support required: More fixed/defined roles and responsibilities.</t>
        </is>
      </c>
      <c r="FC118" s="53" t="n"/>
      <c r="FD118" s="53" t="n"/>
      <c r="FE118" s="57"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Provide structured feedback on at least 5 recurring product issues to Product/Engineering per quarter.</t>
        </is>
      </c>
      <c r="FF118" s="56" t="n"/>
      <c r="FG118" s="56" t="n"/>
      <c r="FH118" s="56" t="n"/>
      <c r="FI118" s="56" t="inlineStr">
        <is>
          <t>L1 support</t>
        </is>
      </c>
      <c r="FJ118" s="56" t="inlineStr">
        <is>
          <t>Received · manager annual</t>
        </is>
      </c>
      <c r="FK118" s="56" t="inlineStr">
        <is>
          <t>CARBON Mapping Master · CARBON Talent Mapping · Raw</t>
        </is>
      </c>
      <c r="FL118" s="56" t="n">
        <v>20</v>
      </c>
      <c r="FM118" s="56" t="inlineStr">
        <is>
          <t>• Role / sub-team: Client Success / Support — Client Solutions Executive.
• Core purpose: Handling external client queries · support requests via email and calls, and internal team requests via email, calls, and Teams chat.
• Decision-making autonomy: Can independently handle customer support and mentoring the team.
• Is this something only he does: Roles and responsibilities change according to seniority and experience, with expectations differing accordingly.
• What's different about this role: Communication focus; preparing reports.</t>
        </is>
      </c>
      <c r="FN118" s="56" t="inlineStr">
        <is>
          <t>• Key responsibilities include: Solving reported concerns; tickets handled; preparing stats reports; maintaining ticket data.
• Impact if missed or done wrong: Unsatisfied customers and bad ratings.
• How measured: KPI described as partially different from the rest of the team, since expectations change with seniority and experience.</t>
        </is>
      </c>
      <c r="FO118" s="56" t="inlineStr">
        <is>
          <t>• Current capabilities: Basic XBRL knowledge; DM platform knowledge; time management, which helps prioritise requests and speed up resolutions.
• Tools / software used: Arelle; MS Office.
• Workload: Rated a moderate load · 3/5 in a typical week.
• Judgment/way of working: Uses shortcuts for quicker resolution and coordinates with teams easily.</t>
        </is>
      </c>
      <c r="FP118" s="56" t="inlineStr">
        <is>
          <t>• Development priorities: Wants in-depth product knowledge, more advanced technical skills, and man-management exposure to move into the next role.</t>
        </is>
      </c>
      <c r="FQ118" s="56" t="inlineStr">
        <is>
          <t>• Key challenges: System issues; needing a RAM upgrade; cross-team dependency; product upgrades.
• Support required: More fixed/defined roles and responsibilities.</t>
        </is>
      </c>
      <c r="FR118" s="56" t="inlineStr">
        <is>
          <t>Complexity: Evidence reads like A2: Handles support requests by chat, email and calls; prepares ticket stats reports; basic XBRL → matches the start
Autonomy: Evidence reads like A2: own survey / KRA answers · summarised by the rater; not quoted → moved down 0.5
Accountability: Evidence reads like A2: own survey / KRA answers · summarised by the rater; not quoted → moved down 1
Leadership: Evidence reads like A3: Lists mentoring the team as a main responsibility; two reports → moved down 0.5
Business Impact: Moved +0.5: the survey / manager mapping marks it business-critical.</t>
        </is>
      </c>
      <c r="FS118" s="56"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FT118" s="56" t="inlineStr">
        <is>
          <t>Self-identified: Product &amp; tool knowledge
For the next role: Product &amp; tool knowledge</t>
        </is>
      </c>
      <c r="FU118" s="56" t="inlineStr">
        <is>
          <t>Per-person summary · CARBON Mapping Master</t>
        </is>
      </c>
    </row>
    <row r="119" ht="90" customHeight="1">
      <c r="A119" s="51" t="inlineStr">
        <is>
          <t>◂ Back</t>
        </is>
      </c>
      <c r="B119" s="29" t="inlineStr">
        <is>
          <t>Mapped</t>
        </is>
      </c>
      <c r="C119" s="28" t="inlineStr">
        <is>
          <t>CARBON</t>
        </is>
      </c>
      <c r="D119" s="29" t="inlineStr">
        <is>
          <t>IRIS2331</t>
        </is>
      </c>
      <c r="E119" s="29" t="inlineStr">
        <is>
          <t>Pritam Kadam</t>
        </is>
      </c>
      <c r="F119" s="29" t="inlineStr">
        <is>
          <t>Support</t>
        </is>
      </c>
      <c r="G119" s="29" t="inlineStr">
        <is>
          <t>Client Support Executive</t>
        </is>
      </c>
      <c r="H119" s="29" t="inlineStr">
        <is>
          <t>Senior Support Executive</t>
        </is>
      </c>
      <c r="I119" s="29" t="inlineStr">
        <is>
          <t>L3 – Professional / Associate</t>
        </is>
      </c>
      <c r="J119" s="29" t="inlineStr">
        <is>
          <t>A3</t>
        </is>
      </c>
      <c r="K119" s="29" t="inlineStr">
        <is>
          <t>▲ Up</t>
        </is>
      </c>
      <c r="L119" s="29" t="inlineStr">
        <is>
          <t>Customer Success &amp; Support</t>
        </is>
      </c>
      <c r="M119" s="29" t="inlineStr">
        <is>
          <t>Application &amp; Product Support</t>
        </is>
      </c>
      <c r="N119" s="29" t="n"/>
      <c r="O119" s="29" t="n">
        <v>20</v>
      </c>
      <c r="P119" s="28" t="inlineStr">
        <is>
          <t>P2</t>
        </is>
      </c>
      <c r="Q119" s="29" t="inlineStr">
        <is>
          <t>Developing</t>
        </is>
      </c>
      <c r="R119" s="29" t="inlineStr">
        <is>
          <t>3 Apply</t>
        </is>
      </c>
      <c r="S119" s="29" t="inlineStr">
        <is>
          <t>2–4 yrs</t>
        </is>
      </c>
      <c r="T119" s="29" t="inlineStr">
        <is>
          <t>3–5 · 2–5</t>
        </is>
      </c>
      <c r="U119" s="29" t="inlineStr">
        <is>
          <t>Support / CS Executive</t>
        </is>
      </c>
      <c r="V119" s="29" t="inlineStr">
        <is>
          <t>IRIS Vs Competitor Benchmark — SaaS customer-success ladder: Associate CSM · Regnology: Product Support Specialist · Reg Reporting · IRIS Vs Competitor Benchmark — support tiers: L2 Application Support</t>
        </is>
      </c>
      <c r="W119" s="29" t="inlineStr">
        <is>
          <t>TSIA frameworks and benchmarks; ITIL 4 service desk; Gainsight customer-success practice</t>
        </is>
      </c>
      <c r="X119" s="29" t="inlineStr">
        <is>
          <t>Core 2 · Future 2 · Functional 3 · Leadership not scored</t>
        </is>
      </c>
      <c r="Y119" s="52" t="n">
        <v>355</v>
      </c>
      <c r="Z119" s="53" t="inlineStr">
        <is>
          <t>IRIS2331</t>
        </is>
      </c>
      <c r="AA119" s="53" t="inlineStr">
        <is>
          <t>Employee</t>
        </is>
      </c>
      <c r="AB119" s="53" t="inlineStr">
        <is>
          <t>Active</t>
        </is>
      </c>
      <c r="AC119" s="53" t="inlineStr">
        <is>
          <t>Pritam Kadam</t>
        </is>
      </c>
      <c r="AD119" s="54" t="n">
        <v>45663</v>
      </c>
      <c r="AE119" s="53" t="inlineStr">
        <is>
          <t>Client Support Executive</t>
        </is>
      </c>
      <c r="AF119" s="53" t="inlineStr">
        <is>
          <t>MBA</t>
        </is>
      </c>
      <c r="AG119" s="53" t="inlineStr">
        <is>
          <t>Nelson Paul Koonan</t>
        </is>
      </c>
      <c r="AH119" s="53" t="inlineStr">
        <is>
          <t>N-6</t>
        </is>
      </c>
      <c r="AI119" s="53" t="inlineStr">
        <is>
          <t>Individual Contributor</t>
        </is>
      </c>
      <c r="AJ119" s="53" t="inlineStr">
        <is>
          <t>4 years, 0 months, 0 days</t>
        </is>
      </c>
      <c r="AK119" s="53" t="inlineStr">
        <is>
          <t>1 years, 7 months, 19 days</t>
        </is>
      </c>
      <c r="AL119" s="53" t="inlineStr">
        <is>
          <t>Regtech</t>
        </is>
      </c>
      <c r="AM119" s="53" t="inlineStr">
        <is>
          <t>CARBON</t>
        </is>
      </c>
      <c r="AN119" s="53" t="inlineStr">
        <is>
          <t>Support</t>
        </is>
      </c>
      <c r="AO119" s="53" t="inlineStr">
        <is>
          <t>Product Support</t>
        </is>
      </c>
      <c r="AP119" s="53" t="inlineStr">
        <is>
          <t>No</t>
        </is>
      </c>
      <c r="AQ119" s="53" t="inlineStr">
        <is>
          <t>Client Engagement</t>
        </is>
      </c>
      <c r="AR119" s="53" t="inlineStr">
        <is>
          <t>Domain Support</t>
        </is>
      </c>
      <c r="AS119" s="53" t="inlineStr">
        <is>
          <t>Non-technical</t>
        </is>
      </c>
      <c r="AT119" s="53" t="n">
        <v>20</v>
      </c>
      <c r="AU119" s="53" t="inlineStr">
        <is>
          <t>Covered</t>
        </is>
      </c>
      <c r="AV119" s="53" t="inlineStr">
        <is>
          <t>IRIS2331</t>
        </is>
      </c>
      <c r="AW119" s="53" t="inlineStr">
        <is>
          <t>Pritam Kadam</t>
        </is>
      </c>
      <c r="AX119" s="53" t="inlineStr">
        <is>
          <t>Support</t>
        </is>
      </c>
      <c r="AY119" s="53" t="inlineStr">
        <is>
          <t>Customer Success &amp; Support</t>
        </is>
      </c>
      <c r="AZ119" s="53" t="inlineStr">
        <is>
          <t>Customer Success</t>
        </is>
      </c>
      <c r="BA119" s="53" t="n"/>
      <c r="BB119" s="53" t="n"/>
      <c r="BC119" s="53" t="inlineStr">
        <is>
          <t>Employee</t>
        </is>
      </c>
      <c r="BD119" s="53" t="inlineStr">
        <is>
          <t>Nelson Paul Koonan</t>
        </is>
      </c>
      <c r="BE119" s="53" t="inlineStr">
        <is>
          <t>Nelson Paul Koonan</t>
        </is>
      </c>
      <c r="BF119" s="53" t="inlineStr">
        <is>
          <t>No</t>
        </is>
      </c>
      <c r="BG119" s="53" t="inlineStr">
        <is>
          <t>Client Support Executive</t>
        </is>
      </c>
      <c r="BH119" s="53" t="inlineStr">
        <is>
          <t>Customer Support Specialist</t>
        </is>
      </c>
      <c r="BI119" s="53" t="inlineStr">
        <is>
          <t>Yes</t>
        </is>
      </c>
      <c r="BJ119" s="53" t="inlineStr">
        <is>
          <t>—</t>
        </is>
      </c>
      <c r="BK119" s="53" t="inlineStr">
        <is>
          <t>—</t>
        </is>
      </c>
      <c r="BL119" s="53" t="inlineStr">
        <is>
          <t>—</t>
        </is>
      </c>
      <c r="BM119" s="53" t="inlineStr">
        <is>
          <t>Not a manager</t>
        </is>
      </c>
      <c r="BN119" s="53" t="inlineStr">
        <is>
          <t>—</t>
        </is>
      </c>
      <c r="BO119" s="53" t="inlineStr">
        <is>
          <t>—</t>
        </is>
      </c>
      <c r="BP119" s="53" t="inlineStr">
        <is>
          <t>—</t>
        </is>
      </c>
      <c r="BQ119" s="53" t="inlineStr">
        <is>
          <t>Not a manager</t>
        </is>
      </c>
      <c r="BR119" s="53" t="inlineStr">
        <is>
          <t>—</t>
        </is>
      </c>
      <c r="BS119" s="53" t="inlineStr">
        <is>
          <t>L3 – Professional / Associate</t>
        </is>
      </c>
      <c r="BT119" s="53" t="inlineStr">
        <is>
          <t>L2</t>
        </is>
      </c>
      <c r="BU119" s="53" t="inlineStr">
        <is>
          <t>Matched from Title Hierarchy · new designation</t>
        </is>
      </c>
      <c r="BV119" s="53"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Provide structured feedback on at least 5 recurring product issues to Product/Engineering per quarter.</t>
        </is>
      </c>
      <c r="BW119" s="53" t="n"/>
      <c r="BX119" s="53" t="inlineStr">
        <is>
          <t>Global.</t>
        </is>
      </c>
      <c r="BY119" s="53" t="n"/>
      <c r="BZ119" s="53" t="inlineStr">
        <is>
          <t>IRIS2331</t>
        </is>
      </c>
      <c r="CA119" s="53" t="inlineStr">
        <is>
          <t>Employee</t>
        </is>
      </c>
      <c r="CB119" s="53" t="inlineStr">
        <is>
          <t>Active</t>
        </is>
      </c>
      <c r="CC119" s="53" t="inlineStr">
        <is>
          <t>Pritam Kadam</t>
        </is>
      </c>
      <c r="CD119" s="54" t="n">
        <v>45663</v>
      </c>
      <c r="CE119" s="53" t="inlineStr">
        <is>
          <t>Client Support Executive</t>
        </is>
      </c>
      <c r="CF119" s="53" t="inlineStr">
        <is>
          <t>L1 support</t>
        </is>
      </c>
      <c r="CG119" s="53" t="inlineStr">
        <is>
          <t>Customer Success &amp; Support</t>
        </is>
      </c>
      <c r="CH119" s="53" t="inlineStr">
        <is>
          <t>Customer Support</t>
        </is>
      </c>
      <c r="CI119" s="53" t="inlineStr">
        <is>
          <t>Customer Support Specialist</t>
        </is>
      </c>
      <c r="CJ119" s="53" t="inlineStr">
        <is>
          <t>L3 – Professional / Associate</t>
        </is>
      </c>
      <c r="CK119" s="53" t="inlineStr">
        <is>
          <t>Nelson Paul Koonan</t>
        </is>
      </c>
      <c r="CL119" s="53" t="inlineStr">
        <is>
          <t>N-6</t>
        </is>
      </c>
      <c r="CM119" s="53" t="inlineStr">
        <is>
          <t>Individual Contributor</t>
        </is>
      </c>
      <c r="CN119" s="53" t="inlineStr">
        <is>
          <t>Regtech</t>
        </is>
      </c>
      <c r="CO119" s="53" t="inlineStr">
        <is>
          <t>Support</t>
        </is>
      </c>
      <c r="CP119" s="53" t="inlineStr">
        <is>
          <t>5 years, 5 months, 14 days</t>
        </is>
      </c>
      <c r="CQ119" s="53" t="inlineStr">
        <is>
          <t>Customer Support Specialist</t>
        </is>
      </c>
      <c r="CR119" s="53" t="inlineStr">
        <is>
          <t>Yes</t>
        </is>
      </c>
      <c r="CS119" s="53" t="n">
        <v>3</v>
      </c>
      <c r="CT119" s="53" t="inlineStr">
        <is>
          <t>Medium</t>
        </is>
      </c>
      <c r="CU119" s="53" t="inlineStr">
        <is>
          <t>Core Contributor</t>
        </is>
      </c>
      <c r="CV119" s="53" t="n"/>
      <c r="CW119" s="53" t="n"/>
      <c r="CX119" s="53" t="n"/>
      <c r="CY119" s="53" t="n"/>
      <c r="CZ119" s="53" t="inlineStr">
        <is>
          <t>Customer success methods; communication &amp; de-escalation; product/domain depth; ticketing &amp; SLA tools</t>
        </is>
      </c>
      <c r="DA119" s="53" t="inlineStr">
        <is>
          <t>Transition to leadership: people management &amp; delegation, mentoring/coaching, project ownership &amp; stakeholder management, prioritisation under ambiguity, presentation &amp; influence skills</t>
        </is>
      </c>
      <c r="DB119" s="53" t="inlineStr">
        <is>
          <t>Title to be standardized to: Customer Support Specialist</t>
        </is>
      </c>
      <c r="DC119" s="53" t="n"/>
      <c r="DD119" s="53" t="n"/>
      <c r="DE119" s="53" t="n"/>
      <c r="DF119" s="53" t="n"/>
      <c r="DG119" s="53" t="n"/>
      <c r="DH119" s="53" t="n"/>
      <c r="DI119" s="53" t="n"/>
      <c r="DJ119" s="53" t="n"/>
      <c r="DK119" s="53" t="n"/>
      <c r="DL119" s="53" t="n"/>
      <c r="DM119" s="53" t="n"/>
      <c r="DN119" s="53" t="n"/>
      <c r="DO119" s="53" t="n"/>
      <c r="DP119" s="53" t="n"/>
      <c r="DQ119" s="53" t="n"/>
      <c r="DR119" s="53" t="n"/>
      <c r="DS119" s="53" t="n"/>
      <c r="DT119" s="53" t="n"/>
      <c r="DU119" s="53" t="n"/>
      <c r="DV119" s="53" t="n"/>
      <c r="DW119" s="53" t="n"/>
      <c r="DX119" s="53" t="n"/>
      <c r="DY119" s="53" t="n"/>
      <c r="DZ119" s="53" t="n"/>
      <c r="EA119" s="53" t="n"/>
      <c r="EB119" s="53" t="n"/>
      <c r="EC119" s="53" t="n"/>
      <c r="ED119" s="53" t="n"/>
      <c r="EE119" s="53" t="n"/>
      <c r="EF119" s="53" t="n"/>
      <c r="EG119" s="53" t="n"/>
      <c r="EH119" s="53" t="n"/>
      <c r="EI119" s="53" t="n"/>
      <c r="EJ119" s="53" t="n"/>
      <c r="EK119" s="53" t="n"/>
      <c r="EL119" s="53" t="n"/>
      <c r="EM119" s="53" t="n"/>
      <c r="EN119" s="53" t="n"/>
      <c r="EO119" s="53" t="n"/>
      <c r="EP119" s="53" t="n"/>
      <c r="EQ119" s="53" t="n"/>
      <c r="ER119" s="53" t="n"/>
      <c r="ES119" s="53" t="n"/>
      <c r="ET119" s="53" t="n"/>
      <c r="EU119" s="53" t="n"/>
      <c r="EV119" s="53" t="n"/>
      <c r="EW119" s="52" t="n"/>
      <c r="EX119" s="53" t="inlineStr">
        <is>
          <t>• Role / sub-team: Client Success / Support — Client Support Executive.
• Core purpose: Assist customers with their queries, identify and resolve issues, and ensure a smooth support experience through timely follow-ups.
• Decision-making autonomy: Can independently handle customer queries.
• Is this something only he does: Largely his alone.</t>
        </is>
      </c>
      <c r="EY119" s="53" t="inlineStr">
        <is>
          <t>• Key responsibilities include: Resolving common issues.
• How measured: No input received.</t>
        </is>
      </c>
      <c r="EZ119" s="53" t="inlineStr">
        <is>
          <t>• Current capabilities: No input received.
• Tools / software used: Faveo.
• Workload: Rated a manageable load · 2/5 in a typical week.</t>
        </is>
      </c>
      <c r="FA119" s="53" t="inlineStr">
        <is>
          <t>• Learning and Development Need: No input received.</t>
        </is>
      </c>
      <c r="FB119" s="53" t="inlineStr">
        <is>
          <t>• Key challenges: Slow laptop.
• Support required: No input received.</t>
        </is>
      </c>
      <c r="FC119" s="53" t="n"/>
      <c r="FD119" s="53" t="n"/>
      <c r="FE119" s="57"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Provide structured feedback on at least 5 recurring product issues to Product/Engineering per quarter.</t>
        </is>
      </c>
      <c r="FF119" s="56" t="n"/>
      <c r="FG119" s="56" t="n"/>
      <c r="FH119" s="56" t="n"/>
      <c r="FI119" s="56" t="inlineStr">
        <is>
          <t>L1 support</t>
        </is>
      </c>
      <c r="FJ119" s="56" t="inlineStr">
        <is>
          <t>Received · manager annual</t>
        </is>
      </c>
      <c r="FK119" s="56" t="inlineStr">
        <is>
          <t>CARBON Mapping Master · CARBON Talent Mapping · Raw</t>
        </is>
      </c>
      <c r="FL119" s="56" t="n">
        <v>20</v>
      </c>
      <c r="FM119" s="56" t="inlineStr">
        <is>
          <t>• Role / sub-team: Client Success / Support — Client Support Executive.
• Core purpose: Assist customers with their queries, identify and resolve issues, and ensure a smooth support experience through timely follow-ups.
• Decision-making autonomy: Can independently handle customer queries.
• Is this something only he does: Largely his alone.</t>
        </is>
      </c>
      <c r="FN119" s="56" t="inlineStr">
        <is>
          <t>• Key responsibilities include: Resolving common issues.
• How measured: No input received.</t>
        </is>
      </c>
      <c r="FO119" s="56" t="inlineStr">
        <is>
          <t>• Current capabilities: No input received.
• Tools / software used: Faveo.
• Workload: Rated a manageable load · 2/5 in a typical week.</t>
        </is>
      </c>
      <c r="FP119" s="56" t="inlineStr">
        <is>
          <t>• Learning and Development Need: No input received.</t>
        </is>
      </c>
      <c r="FQ119" s="56" t="inlineStr">
        <is>
          <t>• Key challenges: Slow laptop.
• Support required: No input received.</t>
        </is>
      </c>
      <c r="FR119" s="56" t="inlineStr">
        <is>
          <t>Complexity: Evidence reads like A2: First-line support: troubleshoots L1 product issues and follows up escalated tickets → matches the start
Autonomy: Evidence reads like A2: Troubleshoots L1 issues and updates tickets without approval; escalates to L2/Product → matches the start
Accountability: Evidence reads like A2: Timely resolution of own tickets, SLAs and follow-up on escalations → matches the start
Leadership: Evidence reads like A1: No guidance of others described → matches the start
Business Impact: No survey or manager-mapping signal on criticality: kept at the start point.</t>
        </is>
      </c>
      <c r="FS119" s="56"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FT119" s="56" t="inlineStr">
        <is>
          <t>Self-identified: Product &amp; tool knowledge · Broader exposure &amp; ownership
For the next role: Product &amp; tool knowledge · Broader exposure &amp; ownership</t>
        </is>
      </c>
      <c r="FU119" s="56" t="inlineStr">
        <is>
          <t>Per-person summary · CARBON Mapping Master</t>
        </is>
      </c>
    </row>
    <row r="120" ht="90" customHeight="1">
      <c r="A120" s="51" t="inlineStr">
        <is>
          <t>◂ Back</t>
        </is>
      </c>
      <c r="B120" s="29" t="inlineStr">
        <is>
          <t>Mapped</t>
        </is>
      </c>
      <c r="C120" s="28" t="inlineStr">
        <is>
          <t>CARBON</t>
        </is>
      </c>
      <c r="D120" s="29" t="inlineStr">
        <is>
          <t>IRIS2494</t>
        </is>
      </c>
      <c r="E120" s="29" t="inlineStr">
        <is>
          <t>Shruti Samant</t>
        </is>
      </c>
      <c r="F120" s="29" t="inlineStr">
        <is>
          <t>Support</t>
        </is>
      </c>
      <c r="G120" s="29" t="inlineStr">
        <is>
          <t>Executive- Customer Support</t>
        </is>
      </c>
      <c r="H120" s="29" t="inlineStr">
        <is>
          <t>Senior Support Executive</t>
        </is>
      </c>
      <c r="I120" s="29" t="inlineStr">
        <is>
          <t>L3 – Professional / Associate</t>
        </is>
      </c>
      <c r="J120" s="29" t="inlineStr">
        <is>
          <t>A3</t>
        </is>
      </c>
      <c r="K120" s="29" t="inlineStr">
        <is>
          <t>▲ Up</t>
        </is>
      </c>
      <c r="L120" s="29" t="inlineStr">
        <is>
          <t>Customer Success &amp; Support</t>
        </is>
      </c>
      <c r="M120" s="29" t="inlineStr">
        <is>
          <t>Application &amp; Product Support</t>
        </is>
      </c>
      <c r="N120" s="29" t="n"/>
      <c r="O120" s="29" t="n">
        <v>19</v>
      </c>
      <c r="P120" s="28" t="inlineStr">
        <is>
          <t>P2</t>
        </is>
      </c>
      <c r="Q120" s="29" t="inlineStr">
        <is>
          <t>Developing</t>
        </is>
      </c>
      <c r="R120" s="29" t="inlineStr">
        <is>
          <t>3 Apply</t>
        </is>
      </c>
      <c r="S120" s="29" t="inlineStr">
        <is>
          <t>2–4 yrs</t>
        </is>
      </c>
      <c r="T120" s="29" t="inlineStr">
        <is>
          <t>3–5 · 2–5</t>
        </is>
      </c>
      <c r="U120" s="29" t="inlineStr">
        <is>
          <t>Support / CS Executive</t>
        </is>
      </c>
      <c r="V120" s="29" t="inlineStr">
        <is>
          <t>IRIS Vs Competitor Benchmark — SaaS customer-success ladder: Associate CSM · Regnology: Product Support Specialist · Reg Reporting · IRIS Vs Competitor Benchmark — support tiers: L2 Application Support</t>
        </is>
      </c>
      <c r="W120" s="29" t="inlineStr">
        <is>
          <t>TSIA frameworks and benchmarks; ITIL 4 service desk; Gainsight customer-success practice</t>
        </is>
      </c>
      <c r="X120" s="29" t="inlineStr">
        <is>
          <t>Core 2 · Future 2 · Functional 3 · Leadership not scored</t>
        </is>
      </c>
      <c r="Y120" s="52" t="n">
        <v>467</v>
      </c>
      <c r="Z120" s="53" t="inlineStr">
        <is>
          <t>IRIS2494</t>
        </is>
      </c>
      <c r="AA120" s="53" t="inlineStr">
        <is>
          <t>Employee</t>
        </is>
      </c>
      <c r="AB120" s="53" t="inlineStr">
        <is>
          <t>Active</t>
        </is>
      </c>
      <c r="AC120" s="53" t="inlineStr">
        <is>
          <t>Shruti Samant</t>
        </is>
      </c>
      <c r="AD120" s="54" t="n">
        <v>46097</v>
      </c>
      <c r="AE120" s="53" t="inlineStr">
        <is>
          <t>Executive- Customer Support</t>
        </is>
      </c>
      <c r="AF120" s="53" t="inlineStr">
        <is>
          <t>PGDM</t>
        </is>
      </c>
      <c r="AG120" s="53" t="inlineStr">
        <is>
          <t>Nelson Paul Koonan</t>
        </is>
      </c>
      <c r="AH120" s="53" t="inlineStr">
        <is>
          <t>N-6</t>
        </is>
      </c>
      <c r="AI120" s="53" t="inlineStr">
        <is>
          <t>Individual Contributor</t>
        </is>
      </c>
      <c r="AJ120" s="53" t="inlineStr">
        <is>
          <t>3 years, 0 months, 0 days</t>
        </is>
      </c>
      <c r="AK120" s="53" t="inlineStr">
        <is>
          <t>0 years, 5 months, 9 days</t>
        </is>
      </c>
      <c r="AL120" s="53" t="inlineStr">
        <is>
          <t>Regtech</t>
        </is>
      </c>
      <c r="AM120" s="53" t="inlineStr">
        <is>
          <t>CARBON</t>
        </is>
      </c>
      <c r="AN120" s="53" t="inlineStr">
        <is>
          <t>Support</t>
        </is>
      </c>
      <c r="AO120" s="53" t="inlineStr">
        <is>
          <t>Product Support</t>
        </is>
      </c>
      <c r="AP120" s="53" t="inlineStr">
        <is>
          <t>No</t>
        </is>
      </c>
      <c r="AQ120" s="53" t="inlineStr">
        <is>
          <t>Product/Project</t>
        </is>
      </c>
      <c r="AR120" s="53" t="inlineStr">
        <is>
          <t>Domain Support</t>
        </is>
      </c>
      <c r="AS120" s="53" t="inlineStr">
        <is>
          <t>Non-technical</t>
        </is>
      </c>
      <c r="AT120" s="53" t="n">
        <v>20</v>
      </c>
      <c r="AU120" s="53" t="inlineStr">
        <is>
          <t>Covered</t>
        </is>
      </c>
      <c r="AV120" s="53" t="inlineStr">
        <is>
          <t>IRIS2494</t>
        </is>
      </c>
      <c r="AW120" s="53" t="inlineStr">
        <is>
          <t>Shruti Samant</t>
        </is>
      </c>
      <c r="AX120" s="53" t="inlineStr">
        <is>
          <t>Support</t>
        </is>
      </c>
      <c r="AY120" s="53" t="inlineStr">
        <is>
          <t>Customer Success &amp; Support</t>
        </is>
      </c>
      <c r="AZ120" s="53" t="inlineStr">
        <is>
          <t>Customer Success</t>
        </is>
      </c>
      <c r="BA120" s="53" t="n"/>
      <c r="BB120" s="53" t="n"/>
      <c r="BC120" s="53" t="inlineStr">
        <is>
          <t>Employee</t>
        </is>
      </c>
      <c r="BD120" s="53" t="inlineStr">
        <is>
          <t>Nelson Paul Koonan</t>
        </is>
      </c>
      <c r="BE120" s="53" t="inlineStr">
        <is>
          <t>Nelson Paul Koonan</t>
        </is>
      </c>
      <c r="BF120" s="53" t="inlineStr">
        <is>
          <t>No</t>
        </is>
      </c>
      <c r="BG120" s="53" t="inlineStr">
        <is>
          <t>Executive- Customer Support</t>
        </is>
      </c>
      <c r="BH120" s="53" t="inlineStr">
        <is>
          <t>Customer Support Associate</t>
        </is>
      </c>
      <c r="BI120" s="53" t="inlineStr">
        <is>
          <t>Yes</t>
        </is>
      </c>
      <c r="BJ120" s="53" t="inlineStr">
        <is>
          <t>—</t>
        </is>
      </c>
      <c r="BK120" s="53" t="inlineStr">
        <is>
          <t>—</t>
        </is>
      </c>
      <c r="BL120" s="53" t="inlineStr">
        <is>
          <t>—</t>
        </is>
      </c>
      <c r="BM120" s="53" t="inlineStr">
        <is>
          <t>Not a manager</t>
        </is>
      </c>
      <c r="BN120" s="53" t="inlineStr">
        <is>
          <t>—</t>
        </is>
      </c>
      <c r="BO120" s="53" t="inlineStr">
        <is>
          <t>—</t>
        </is>
      </c>
      <c r="BP120" s="53" t="inlineStr">
        <is>
          <t>—</t>
        </is>
      </c>
      <c r="BQ120" s="53" t="inlineStr">
        <is>
          <t>Not a manager</t>
        </is>
      </c>
      <c r="BR120" s="53" t="inlineStr">
        <is>
          <t>—</t>
        </is>
      </c>
      <c r="BS120" s="53" t="inlineStr">
        <is>
          <t>L3 – Professional / Associate</t>
        </is>
      </c>
      <c r="BT120" s="53" t="inlineStr">
        <is>
          <t>L1</t>
        </is>
      </c>
      <c r="BU120" s="53" t="inlineStr">
        <is>
          <t>Matched from Title Hierarchy · new designation</t>
        </is>
      </c>
      <c r="BV120" s="53"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Provide structured feedback on at least 5 recurring product issues to Product/Engineering per quarter.</t>
        </is>
      </c>
      <c r="BW120" s="53" t="n"/>
      <c r="BX120" s="53" t="inlineStr">
        <is>
          <t>Global.</t>
        </is>
      </c>
      <c r="BY120" s="53" t="n"/>
      <c r="BZ120" s="53" t="inlineStr">
        <is>
          <t>IRIS2494</t>
        </is>
      </c>
      <c r="CA120" s="53" t="inlineStr">
        <is>
          <t>Employee</t>
        </is>
      </c>
      <c r="CB120" s="53" t="inlineStr">
        <is>
          <t>Active</t>
        </is>
      </c>
      <c r="CC120" s="53" t="inlineStr">
        <is>
          <t>Shruti Samant</t>
        </is>
      </c>
      <c r="CD120" s="54" t="n">
        <v>46097</v>
      </c>
      <c r="CE120" s="53" t="inlineStr">
        <is>
          <t>Executive- Customer Support</t>
        </is>
      </c>
      <c r="CF120" s="53" t="inlineStr">
        <is>
          <t>L1 support</t>
        </is>
      </c>
      <c r="CG120" s="53" t="inlineStr">
        <is>
          <t>Customer Success &amp; Support</t>
        </is>
      </c>
      <c r="CH120" s="53" t="inlineStr">
        <is>
          <t>Customer Support</t>
        </is>
      </c>
      <c r="CI120" s="53" t="inlineStr">
        <is>
          <t>Customer Support Associate</t>
        </is>
      </c>
      <c r="CJ120" s="53" t="inlineStr">
        <is>
          <t>L3 – Professional / Associate</t>
        </is>
      </c>
      <c r="CK120" s="53" t="inlineStr">
        <is>
          <t>Nelson Paul Koonan</t>
        </is>
      </c>
      <c r="CL120" s="53" t="inlineStr">
        <is>
          <t>N-6</t>
        </is>
      </c>
      <c r="CM120" s="53" t="inlineStr">
        <is>
          <t>Individual Contributor</t>
        </is>
      </c>
      <c r="CN120" s="53" t="inlineStr">
        <is>
          <t>Regtech</t>
        </is>
      </c>
      <c r="CO120" s="53" t="inlineStr">
        <is>
          <t>Support</t>
        </is>
      </c>
      <c r="CP120" s="53" t="inlineStr">
        <is>
          <t>3 years, 3 months, 4 days</t>
        </is>
      </c>
      <c r="CQ120" s="53" t="inlineStr">
        <is>
          <t>Customer Support Associate</t>
        </is>
      </c>
      <c r="CR120" s="53" t="inlineStr">
        <is>
          <t>Yes</t>
        </is>
      </c>
      <c r="CS120" s="53" t="n">
        <v>2</v>
      </c>
      <c r="CT120" s="53" t="inlineStr">
        <is>
          <t>Medium</t>
        </is>
      </c>
      <c r="CU120" s="53" t="inlineStr">
        <is>
          <t>Emerging Talent</t>
        </is>
      </c>
      <c r="CV120" s="53" t="n"/>
      <c r="CW120" s="53" t="n"/>
      <c r="CX120" s="53" t="n"/>
      <c r="CY120" s="53" t="n"/>
      <c r="CZ120" s="53" t="inlineStr">
        <is>
          <t>Communication &amp; de-escalation; product/domain depth; ticketing &amp; SLA tools</t>
        </is>
      </c>
      <c r="DA120" s="53" t="inlineStr">
        <is>
          <t>Transition to leadership: people management &amp; delegation, mentoring/coaching, project ownership &amp; stakeholder management, prioritisation under ambiguity, presentation &amp; influence skills</t>
        </is>
      </c>
      <c r="DB120" s="53" t="inlineStr">
        <is>
          <t>07/16: Joined recently. Title to be standardized to; Customer Support Associate</t>
        </is>
      </c>
      <c r="DC120" s="53" t="n"/>
      <c r="DD120" s="53" t="n"/>
      <c r="DE120" s="53" t="n"/>
      <c r="DF120" s="53" t="n"/>
      <c r="DG120" s="53" t="n"/>
      <c r="DH120" s="53" t="n"/>
      <c r="DI120" s="53" t="n"/>
      <c r="DJ120" s="53" t="n"/>
      <c r="DK120" s="53" t="n"/>
      <c r="DL120" s="53" t="n"/>
      <c r="DM120" s="53" t="n"/>
      <c r="DN120" s="53" t="n"/>
      <c r="DO120" s="53" t="n"/>
      <c r="DP120" s="53" t="n"/>
      <c r="DQ120" s="53" t="n"/>
      <c r="DR120" s="53" t="n"/>
      <c r="DS120" s="53" t="n"/>
      <c r="DT120" s="53" t="n"/>
      <c r="DU120" s="53" t="n"/>
      <c r="DV120" s="53" t="n"/>
      <c r="DW120" s="53" t="n"/>
      <c r="DX120" s="53" t="n"/>
      <c r="DY120" s="53" t="n"/>
      <c r="DZ120" s="53" t="n"/>
      <c r="EA120" s="53" t="n"/>
      <c r="EB120" s="53" t="n"/>
      <c r="EC120" s="53" t="n"/>
      <c r="ED120" s="53" t="n"/>
      <c r="EE120" s="53" t="n"/>
      <c r="EF120" s="53" t="n"/>
      <c r="EG120" s="53" t="n"/>
      <c r="EH120" s="53" t="n"/>
      <c r="EI120" s="53" t="n"/>
      <c r="EJ120" s="53" t="n"/>
      <c r="EK120" s="53" t="n"/>
      <c r="EL120" s="53" t="n"/>
      <c r="EM120" s="53" t="n"/>
      <c r="EN120" s="53" t="n"/>
      <c r="EO120" s="53" t="n"/>
      <c r="EP120" s="53" t="n"/>
      <c r="EQ120" s="53" t="n"/>
      <c r="ER120" s="53" t="n"/>
      <c r="ES120" s="53" t="n"/>
      <c r="ET120" s="53" t="n"/>
      <c r="EU120" s="53" t="n"/>
      <c r="EV120" s="53" t="n"/>
      <c r="EW120" s="52" t="n"/>
      <c r="EX120" s="53" t="inlineStr">
        <is>
          <t>• Role / sub-team: Client Success / Support — Executive, Customer Support.
• Core purpose: Provide effective first-level support to customers by resolving related issues and ensuring a smooth user experience — the first point of contact between customers and the team.
• Decision-making autonomy: Can independently handle support tickets and resolve issues.
• Is this something only she does: Largely her alone.
• What's different about this role: Platform knowledge.</t>
        </is>
      </c>
      <c r="EY120" s="53" t="inlineStr">
        <is>
          <t>• Key responsibilities include: Issue resolutions; prioritizing tickets.
• Personally accountable for: Resolution accuracy and customer experience.
• Impact if missed or done wrong: Delay, rework, and customer dissatisfaction.
• How measured: Different from the rest of the team — measured by ticket handling, resolution, and turnaround time.</t>
        </is>
      </c>
      <c r="EZ120" s="53" t="inlineStr">
        <is>
          <t>• Current capabilities: Good communication; problem-solving; understanding the issue and giving the right solution.
• Tools / software used: Arelle; QuickScrum; Faveo.
• Workload: Rated a manageable load · 2/5 in a typical week.
• Judgment/way of working: Mentoring from seniors; product training.</t>
        </is>
      </c>
      <c r="FA120" s="53" t="inlineStr">
        <is>
          <t>• Development priorities: Wants advanced product knowledge, technical skills, and leadership experience to move into the next role.</t>
        </is>
      </c>
      <c r="FB120" s="53" t="inlineStr">
        <is>
          <t>• Key challenges: Unclear issue details; changing customer requirements; new platform features.
• Support required: Automating routine responses and ticket categorization; balancing speed and accuracy.</t>
        </is>
      </c>
      <c r="FC120" s="53" t="n"/>
      <c r="FD120" s="53" t="n"/>
      <c r="FE120" s="57"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Provide structured feedback on at least 5 recurring product issues to Product/Engineering per quarter.</t>
        </is>
      </c>
      <c r="FF120" s="56" t="n"/>
      <c r="FG120" s="56" t="n"/>
      <c r="FH120" s="56" t="n"/>
      <c r="FI120" s="56" t="inlineStr">
        <is>
          <t>L1 support</t>
        </is>
      </c>
      <c r="FJ120" s="56" t="inlineStr">
        <is>
          <t>Received · manager annual</t>
        </is>
      </c>
      <c r="FK120" s="56" t="inlineStr">
        <is>
          <t>CARBON Mapping Master · CARBON Talent Mapping · Raw</t>
        </is>
      </c>
      <c r="FL120" s="56" t="n">
        <v>19</v>
      </c>
      <c r="FM120" s="56" t="inlineStr">
        <is>
          <t>• Role / sub-team: Client Success / Support — Executive, Customer Support.
• Core purpose: Provide effective first-level support to customers by resolving related issues and ensuring a smooth user experience — the first point of contact between customers and the team.
• Decision-making autonomy: Can independently handle support tickets and resolve issues.
• Is this something only she does: Largely her alone.
• What's different about this role: Platform knowledge.</t>
        </is>
      </c>
      <c r="FN120" s="56" t="inlineStr">
        <is>
          <t>• Key responsibilities include: Issue resolutions; prioritizing tickets.
• Personally accountable for: Resolution accuracy and customer experience.
• Impact if missed or done wrong: Delay, rework, and customer dissatisfaction.
• How measured: Different from the rest of the team — measured by ticket handling, resolution, and turnaround time.</t>
        </is>
      </c>
      <c r="FO120" s="56" t="inlineStr">
        <is>
          <t>• Current capabilities: Good communication; problem-solving; understanding the issue and giving the right solution.
• Tools / software used: Arelle; QuickScrum; Faveo.
• Workload: Rated a manageable load · 2/5 in a typical week.
• Judgment/way of working: Mentoring from seniors; product training.</t>
        </is>
      </c>
      <c r="FP120" s="56" t="inlineStr">
        <is>
          <t>• Development priorities: Wants advanced product knowledge, technical skills, and leadership experience to move into the next role.</t>
        </is>
      </c>
      <c r="FQ120" s="56" t="inlineStr">
        <is>
          <t>• Key challenges: Unclear issue details; changing customer requirements; new platform features.
• Support required: Automating routine responses and ticket categorization; balancing speed and accuracy.</t>
        </is>
      </c>
      <c r="FR120" s="56" t="inlineStr">
        <is>
          <t>Complexity: Evidence reads like A2: First-level support: handles tickets and resolves issues using platform knowledge → matches the start
Autonomy: Evidence reads like A2: Prioritises tickets; no other decisions stated → matches the start
Accountability: Evidence reads like A2: own survey / KRA answers · summarised by the rater; not quoted → matches the start
Leadership: Evidence reads like A1: No guidance of others described → matches the start
Business Impact: No survey or manager-mapping signal on criticality: kept at the start point.</t>
        </is>
      </c>
      <c r="FS120" s="56"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FT120" s="56" t="inlineStr">
        <is>
          <t>Self-identified: Leadership &amp; people management · Product &amp; tool knowledge
For the next role: Leadership &amp; people management · Product &amp; tool knowledge</t>
        </is>
      </c>
      <c r="FU120" s="56" t="inlineStr">
        <is>
          <t>Per-person summary · CARBON Mapping Master</t>
        </is>
      </c>
    </row>
    <row r="121" ht="90" customHeight="1">
      <c r="A121" s="51" t="inlineStr">
        <is>
          <t>◂ Back</t>
        </is>
      </c>
      <c r="B121" s="29" t="inlineStr">
        <is>
          <t>Mapped</t>
        </is>
      </c>
      <c r="C121" s="28" t="inlineStr">
        <is>
          <t>CARBON</t>
        </is>
      </c>
      <c r="D121" s="29" t="inlineStr">
        <is>
          <t>IRIS2096</t>
        </is>
      </c>
      <c r="E121" s="29" t="inlineStr">
        <is>
          <t>Sweety Mukherjee</t>
        </is>
      </c>
      <c r="F121" s="29" t="inlineStr">
        <is>
          <t>Support</t>
        </is>
      </c>
      <c r="G121" s="29" t="inlineStr">
        <is>
          <t>Executive- Customer Support</t>
        </is>
      </c>
      <c r="H121" s="29" t="inlineStr">
        <is>
          <t>Senior Support Executive</t>
        </is>
      </c>
      <c r="I121" s="29" t="inlineStr">
        <is>
          <t>L3 – Professional / Associate</t>
        </is>
      </c>
      <c r="J121" s="29" t="inlineStr">
        <is>
          <t>A3</t>
        </is>
      </c>
      <c r="K121" s="29" t="inlineStr">
        <is>
          <t>▲ Up</t>
        </is>
      </c>
      <c r="L121" s="29" t="inlineStr">
        <is>
          <t>Customer Success &amp; Support</t>
        </is>
      </c>
      <c r="M121" s="29" t="inlineStr">
        <is>
          <t>Application &amp; Product Support</t>
        </is>
      </c>
      <c r="N121" s="29" t="n"/>
      <c r="O121" s="29" t="n">
        <v>20</v>
      </c>
      <c r="P121" s="28" t="inlineStr">
        <is>
          <t>P2</t>
        </is>
      </c>
      <c r="Q121" s="29" t="inlineStr">
        <is>
          <t>Developing</t>
        </is>
      </c>
      <c r="R121" s="29" t="inlineStr">
        <is>
          <t>3 Apply</t>
        </is>
      </c>
      <c r="S121" s="29" t="inlineStr">
        <is>
          <t>2–4 yrs</t>
        </is>
      </c>
      <c r="T121" s="29" t="inlineStr">
        <is>
          <t>3–5 · 2–5</t>
        </is>
      </c>
      <c r="U121" s="29" t="inlineStr">
        <is>
          <t>Support / CS Executive</t>
        </is>
      </c>
      <c r="V121" s="29" t="inlineStr">
        <is>
          <t>IRIS Vs Competitor Benchmark — SaaS customer-success ladder: Associate CSM · Regnology: Product Support Specialist · Reg Reporting · IRIS Vs Competitor Benchmark — support tiers: L2 Application Support</t>
        </is>
      </c>
      <c r="W121" s="29" t="inlineStr">
        <is>
          <t>TSIA frameworks and benchmarks; ITIL 4 service desk; Gainsight customer-success practice</t>
        </is>
      </c>
      <c r="X121" s="29" t="inlineStr">
        <is>
          <t>Core 2 · Future 2 · Functional 3 · Leadership not scored</t>
        </is>
      </c>
      <c r="Y121" s="52" t="n">
        <v>259</v>
      </c>
      <c r="Z121" s="53" t="inlineStr">
        <is>
          <t>IRIS2096</t>
        </is>
      </c>
      <c r="AA121" s="53" t="inlineStr">
        <is>
          <t>Employee</t>
        </is>
      </c>
      <c r="AB121" s="53" t="inlineStr">
        <is>
          <t>Active</t>
        </is>
      </c>
      <c r="AC121" s="53" t="inlineStr">
        <is>
          <t>Sweety Mukherjee</t>
        </is>
      </c>
      <c r="AD121" s="54" t="n">
        <v>44949</v>
      </c>
      <c r="AE121" s="53" t="inlineStr">
        <is>
          <t>Executive- Customer Support</t>
        </is>
      </c>
      <c r="AF121" s="53" t="inlineStr">
        <is>
          <t>BCA</t>
        </is>
      </c>
      <c r="AG121" s="53" t="inlineStr">
        <is>
          <t>Harshal Shah</t>
        </is>
      </c>
      <c r="AH121" s="53" t="inlineStr">
        <is>
          <t>N-5</t>
        </is>
      </c>
      <c r="AI121" s="53" t="inlineStr">
        <is>
          <t>Individual Contributor</t>
        </is>
      </c>
      <c r="AJ121" s="53" t="inlineStr">
        <is>
          <t>3 years, 4 months, 0 days</t>
        </is>
      </c>
      <c r="AK121" s="53" t="inlineStr">
        <is>
          <t>3 years, 7 months, 2 days</t>
        </is>
      </c>
      <c r="AL121" s="53" t="inlineStr">
        <is>
          <t>Regtech</t>
        </is>
      </c>
      <c r="AM121" s="53" t="inlineStr">
        <is>
          <t>CARBON</t>
        </is>
      </c>
      <c r="AN121" s="53" t="inlineStr">
        <is>
          <t>Support</t>
        </is>
      </c>
      <c r="AO121" s="53" t="inlineStr">
        <is>
          <t>Product Support</t>
        </is>
      </c>
      <c r="AP121" s="53" t="inlineStr">
        <is>
          <t>No</t>
        </is>
      </c>
      <c r="AQ121" s="53" t="inlineStr">
        <is>
          <t>Product/Project</t>
        </is>
      </c>
      <c r="AR121" s="53" t="inlineStr">
        <is>
          <t>Domain Support</t>
        </is>
      </c>
      <c r="AS121" s="53" t="inlineStr">
        <is>
          <t>Non-technical</t>
        </is>
      </c>
      <c r="AT121" s="53" t="n">
        <v>20</v>
      </c>
      <c r="AU121" s="53" t="inlineStr">
        <is>
          <t>Covered</t>
        </is>
      </c>
      <c r="AV121" s="53" t="inlineStr">
        <is>
          <t>IRIS2096</t>
        </is>
      </c>
      <c r="AW121" s="53" t="inlineStr">
        <is>
          <t>Sweety Mukherjee</t>
        </is>
      </c>
      <c r="AX121" s="53" t="inlineStr">
        <is>
          <t>Support</t>
        </is>
      </c>
      <c r="AY121" s="53" t="inlineStr">
        <is>
          <t>Customer Success &amp; Support</t>
        </is>
      </c>
      <c r="AZ121" s="53" t="inlineStr">
        <is>
          <t>Customer Success</t>
        </is>
      </c>
      <c r="BA121" s="53" t="n"/>
      <c r="BB121" s="53" t="n"/>
      <c r="BC121" s="53" t="inlineStr">
        <is>
          <t>Employee</t>
        </is>
      </c>
      <c r="BD121" s="53" t="inlineStr">
        <is>
          <t>Harshal Shah</t>
        </is>
      </c>
      <c r="BE121" s="53" t="inlineStr">
        <is>
          <t>Harshal Shah</t>
        </is>
      </c>
      <c r="BF121" s="53" t="inlineStr">
        <is>
          <t>No</t>
        </is>
      </c>
      <c r="BG121" s="53" t="inlineStr">
        <is>
          <t>Executive- Customer Support</t>
        </is>
      </c>
      <c r="BH121" s="53" t="inlineStr">
        <is>
          <t>Customer Support Specialist</t>
        </is>
      </c>
      <c r="BI121" s="53" t="inlineStr">
        <is>
          <t>Yes</t>
        </is>
      </c>
      <c r="BJ121" s="53" t="inlineStr">
        <is>
          <t>—</t>
        </is>
      </c>
      <c r="BK121" s="53" t="inlineStr">
        <is>
          <t>—</t>
        </is>
      </c>
      <c r="BL121" s="53" t="inlineStr">
        <is>
          <t>—</t>
        </is>
      </c>
      <c r="BM121" s="53" t="inlineStr">
        <is>
          <t>Not a manager</t>
        </is>
      </c>
      <c r="BN121" s="53" t="inlineStr">
        <is>
          <t>—</t>
        </is>
      </c>
      <c r="BO121" s="53" t="inlineStr">
        <is>
          <t>—</t>
        </is>
      </c>
      <c r="BP121" s="53" t="inlineStr">
        <is>
          <t>—</t>
        </is>
      </c>
      <c r="BQ121" s="53" t="inlineStr">
        <is>
          <t>Not a manager</t>
        </is>
      </c>
      <c r="BR121" s="53" t="inlineStr">
        <is>
          <t>—</t>
        </is>
      </c>
      <c r="BS121" s="53" t="inlineStr">
        <is>
          <t>L3 – Professional / Associate</t>
        </is>
      </c>
      <c r="BT121" s="53" t="inlineStr">
        <is>
          <t>L2</t>
        </is>
      </c>
      <c r="BU121" s="53" t="inlineStr">
        <is>
          <t>Matched from Title Hierarchy · new designation</t>
        </is>
      </c>
      <c r="BV121" s="53"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Provide structured feedback on at least 5 recurring product issues to Product/Engineering per quarter."</t>
        </is>
      </c>
      <c r="BW121" s="53" t="n"/>
      <c r="BX121" s="53" t="inlineStr">
        <is>
          <t>No input received.</t>
        </is>
      </c>
      <c r="BY121" s="53" t="n"/>
      <c r="BZ121" s="53" t="inlineStr">
        <is>
          <t>IRIS2096</t>
        </is>
      </c>
      <c r="CA121" s="53" t="inlineStr">
        <is>
          <t>Employee</t>
        </is>
      </c>
      <c r="CB121" s="53" t="inlineStr">
        <is>
          <t>Active</t>
        </is>
      </c>
      <c r="CC121" s="53" t="inlineStr">
        <is>
          <t>Sweety Mukherjee</t>
        </is>
      </c>
      <c r="CD121" s="54" t="n">
        <v>44949</v>
      </c>
      <c r="CE121" s="53" t="inlineStr">
        <is>
          <t>Executive- Customer Support</t>
        </is>
      </c>
      <c r="CF121" s="53" t="inlineStr">
        <is>
          <t>L1 support</t>
        </is>
      </c>
      <c r="CG121" s="53" t="inlineStr">
        <is>
          <t>Customer Success &amp; Support</t>
        </is>
      </c>
      <c r="CH121" s="53" t="inlineStr">
        <is>
          <t>Customer Support</t>
        </is>
      </c>
      <c r="CI121" s="53" t="inlineStr">
        <is>
          <t>Customer Support Specialist</t>
        </is>
      </c>
      <c r="CJ121" s="53" t="inlineStr">
        <is>
          <t>L3 – Professional / Associate</t>
        </is>
      </c>
      <c r="CK121" s="53" t="inlineStr">
        <is>
          <t>Harshal Shah</t>
        </is>
      </c>
      <c r="CL121" s="53" t="inlineStr">
        <is>
          <t>N-5</t>
        </is>
      </c>
      <c r="CM121" s="53" t="inlineStr">
        <is>
          <t>Individual Contributor</t>
        </is>
      </c>
      <c r="CN121" s="53" t="inlineStr">
        <is>
          <t>Regtech</t>
        </is>
      </c>
      <c r="CO121" s="53" t="inlineStr">
        <is>
          <t>Support</t>
        </is>
      </c>
      <c r="CP121" s="53" t="inlineStr">
        <is>
          <t>6 years, 8 months, 28 days</t>
        </is>
      </c>
      <c r="CQ121" s="53" t="inlineStr">
        <is>
          <t>Customer Support Specialist</t>
        </is>
      </c>
      <c r="CR121" s="53" t="inlineStr">
        <is>
          <t>Yes</t>
        </is>
      </c>
      <c r="CS121" s="53" t="n">
        <v>3</v>
      </c>
      <c r="CT121" s="53" t="inlineStr">
        <is>
          <t>Medium</t>
        </is>
      </c>
      <c r="CU121" s="53" t="inlineStr">
        <is>
          <t>Core Contributor</t>
        </is>
      </c>
      <c r="CV121" s="53" t="n"/>
      <c r="CW121" s="53" t="n"/>
      <c r="CX121" s="53" t="n"/>
      <c r="CY121" s="53" t="n"/>
      <c r="CZ121" s="53" t="inlineStr">
        <is>
          <t>Customer success methods; communication &amp; de-escalation; product/domain depth; ticketing &amp; SLA tools</t>
        </is>
      </c>
      <c r="DA121" s="53" t="inlineStr">
        <is>
          <t>Transition to leadership: people management &amp; delegation, mentoring/coaching, project ownership &amp; stakeholder management, prioritisation under ambiguity, presentation &amp; influence skills</t>
        </is>
      </c>
      <c r="DB121" s="53" t="inlineStr">
        <is>
          <t>Title to be changed to Customer Support Specialist</t>
        </is>
      </c>
      <c r="DC121" s="53" t="n"/>
      <c r="DD121" s="53" t="n"/>
      <c r="DE121" s="53" t="n"/>
      <c r="DF121" s="53" t="n"/>
      <c r="DG121" s="53" t="n"/>
      <c r="DH121" s="53" t="n"/>
      <c r="DI121" s="53" t="n"/>
      <c r="DJ121" s="53" t="n"/>
      <c r="DK121" s="53" t="n"/>
      <c r="DL121" s="53" t="n"/>
      <c r="DM121" s="53" t="n"/>
      <c r="DN121" s="53" t="n"/>
      <c r="DO121" s="53" t="n"/>
      <c r="DP121" s="53" t="n"/>
      <c r="DQ121" s="53" t="n"/>
      <c r="DR121" s="53" t="n"/>
      <c r="DS121" s="53" t="n"/>
      <c r="DT121" s="53" t="n"/>
      <c r="DU121" s="53" t="n"/>
      <c r="DV121" s="53" t="n"/>
      <c r="DW121" s="53" t="n"/>
      <c r="DX121" s="53" t="n"/>
      <c r="DY121" s="53" t="n"/>
      <c r="DZ121" s="53" t="n"/>
      <c r="EA121" s="53" t="n"/>
      <c r="EB121" s="53" t="n"/>
      <c r="EC121" s="53" t="n"/>
      <c r="ED121" s="53" t="n"/>
      <c r="EE121" s="53" t="n"/>
      <c r="EF121" s="53" t="n"/>
      <c r="EG121" s="53" t="n"/>
      <c r="EH121" s="53" t="n"/>
      <c r="EI121" s="53" t="n"/>
      <c r="EJ121" s="53" t="n"/>
      <c r="EK121" s="53" t="n"/>
      <c r="EL121" s="53" t="n"/>
      <c r="EM121" s="53" t="n"/>
      <c r="EN121" s="53" t="n"/>
      <c r="EO121" s="53" t="n"/>
      <c r="EP121" s="53" t="n"/>
      <c r="EQ121" s="53" t="n"/>
      <c r="ER121" s="53" t="n"/>
      <c r="ES121" s="53" t="n"/>
      <c r="ET121" s="53" t="n"/>
      <c r="EU121" s="53" t="n"/>
      <c r="EV121" s="53" t="n"/>
      <c r="EW121" s="52" t="n"/>
      <c r="EX121" s="53" t="inlineStr">
        <is>
          <t>• Role / sub-team: Client Success / Support — Executive, Customer Support.
• Core purpose: Build and maintain strong customer relationships, ensuring customers receive a positive experience and their needs are effectively met.
• Decision-making autonomy: Can independently handle customer complaints.
• Is this something only she does: Resolving routine customer issues and handling basic complaints — largely hers alone.
• What's different about this role: Domain knowledge and knowledge of disclosure management.</t>
        </is>
      </c>
      <c r="EY121" s="53" t="inlineStr">
        <is>
          <t>• Key responsibilities include: Solving problems; testing; product development input; providing standard solutions; resolving routine customer issues; handling basic complaints.
• Impact if missed or done wrong: Not providing a timely and accurate response; customer dissatisfaction, complaints, and escalation.
• How measured: Understanding the point at issue and drafting accurate mails to convey it clearly to the customer.</t>
        </is>
      </c>
      <c r="EZ121" s="53" t="inlineStr">
        <is>
          <t>• Current capabilities: Dependency on team members for certain issues.
• Tools / software used: Bushchat; Copilot; Carbon.
• Workload: Rated a moderate load · 3/5 in a typical week.
• Judgment/way of working: Uses support tools such as Copilot for R&amp;D purposes; handles direct customer interaction when a customer can't follow email explanations.</t>
        </is>
      </c>
      <c r="FA121" s="53" t="inlineStr">
        <is>
          <t>• Development priorities: Wants deep product knowledge, technical skills, and direct client interaction exposure.
• Learning and Development Need: Mentoring from the reporting manager, and better training with faster issue escalation, cited as making a difference.
• Role evolving toward: New features and greater use of AI tools.</t>
        </is>
      </c>
      <c r="FB121" s="53" t="inlineStr">
        <is>
          <t>• Support required: No input received.</t>
        </is>
      </c>
      <c r="FC121" s="53" t="n"/>
      <c r="FD121" s="53" t="n"/>
      <c r="FE121" s="57" t="inlineStr">
        <is>
          <t>"•	Maintain an average First Response Time · FRT of &lt; 30 minutes for all inbound tickets.
•	Achieve ≥ 80% First Contact Resolution · FCR rate.
•	Resolve 90% of L1 tickets within our internal agreement or SLA.
•	Maintain a CSAT score of ≥ 90% on resolved L1 tickets.
•	Keep ticket reopening rate under 5%.
•	Document at least 5 new knowledge base articles or FAQ updates per quarter.
•	Improve average handling time · AHT by 10% without compromising quality
•	Complete 100% of required product and process trainings each quarter.
•	Conduct at least 1 peer knowledge-sharing session per month.
•	Provide structured feedback on at least 5 recurring product issues to Product/Engineering per quarter."</t>
        </is>
      </c>
      <c r="FF121" s="56" t="n"/>
      <c r="FG121" s="56" t="n"/>
      <c r="FH121" s="56" t="n"/>
      <c r="FI121" s="56" t="inlineStr">
        <is>
          <t>L1 support</t>
        </is>
      </c>
      <c r="FJ121" s="56" t="inlineStr">
        <is>
          <t>Received · manager annual</t>
        </is>
      </c>
      <c r="FK121" s="56" t="inlineStr">
        <is>
          <t>CARBON Mapping Master · CARBON Talent Mapping · Raw</t>
        </is>
      </c>
      <c r="FL121" s="56" t="n">
        <v>20</v>
      </c>
      <c r="FM121" s="56" t="inlineStr">
        <is>
          <t>• Role / sub-team: Client Success / Support — Executive, Customer Support.
• Core purpose: Build and maintain strong customer relationships, ensuring customers receive a positive experience and their needs are effectively met.
• Decision-making autonomy: Can independently handle customer complaints.
• Is this something only she does: Resolving routine customer issues and handling basic complaints — largely hers alone.
• What's different about this role: Domain knowledge and knowledge of disclosure management.</t>
        </is>
      </c>
      <c r="FN121" s="56" t="inlineStr">
        <is>
          <t>• Key responsibilities include: Solving problems; testing; product development input; providing standard solutions; resolving routine customer issues; handling basic complaints.
• Impact if missed or done wrong: Not providing a timely and accurate response; customer dissatisfaction, complaints, and escalation.
• How measured: Understanding the point at issue and drafting accurate mails to convey it clearly to the customer.</t>
        </is>
      </c>
      <c r="FO121" s="56" t="inlineStr">
        <is>
          <t>• Current capabilities: Dependency on team members for certain issues.
• Tools / software used: Bushchat; Copilot; Carbon.
• Workload: Rated a moderate load · 3/5 in a typical week.
• Judgment/way of working: Uses support tools such as Copilot for R&amp;D purposes; handles direct customer interaction when a customer can't follow email explanations.</t>
        </is>
      </c>
      <c r="FP121" s="56" t="inlineStr">
        <is>
          <t>• Development priorities: Wants deep product knowledge, technical skills, and direct client interaction exposure.
• Learning and Development Need: Mentoring from the reporting manager, and better training with faster issue escalation, cited as making a difference.
• Role evolving toward: New features and greater use of AI tools.</t>
        </is>
      </c>
      <c r="FQ121" s="56" t="inlineStr">
        <is>
          <t>• Support required: No input received.</t>
        </is>
      </c>
      <c r="FR121" s="56" t="inlineStr">
        <is>
          <t>Complexity: Evidence reads like A2: Resolves routine customer issues and basic complaints with standard solutions; some testing → matches the start
Autonomy: Evidence reads like A2: Resolves routine issues, handles basic complaints, gives standard solutions → matches the start
Accountability: Evidence reads like A2: Timely, accurate responses on own customer complaints → matches the start
Leadership: Evidence reads like A1: No guidance of others described → matches the start
Business Impact: No survey or manager-mapping signal on criticality: kept at the start point.</t>
        </is>
      </c>
      <c r="FS121" s="56"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FT121" s="56" t="inlineStr">
        <is>
          <t>Self-identified: Product &amp; tool knowledge · Client, sales &amp; stakeholders
For the next role: Product &amp; tool knowledge · Client, sales &amp; stakeholders</t>
        </is>
      </c>
      <c r="FU121" s="56" t="inlineStr">
        <is>
          <t>Per-person summary · CARBON Mapping Master</t>
        </is>
      </c>
    </row>
    <row r="122" ht="90" customHeight="1">
      <c r="A122" s="51" t="inlineStr">
        <is>
          <t>◂ Back</t>
        </is>
      </c>
      <c r="B122" s="29" t="inlineStr">
        <is>
          <t>Mapped</t>
        </is>
      </c>
      <c r="C122" s="28" t="inlineStr">
        <is>
          <t>CARBON</t>
        </is>
      </c>
      <c r="D122" s="29" t="inlineStr">
        <is>
          <t>IRIS2372</t>
        </is>
      </c>
      <c r="E122" s="29" t="inlineStr">
        <is>
          <t>Aakanksha Swaminathan</t>
        </is>
      </c>
      <c r="F122" s="29" t="inlineStr">
        <is>
          <t>Functional</t>
        </is>
      </c>
      <c r="G122" s="29" t="inlineStr">
        <is>
          <t>Functional Specialist</t>
        </is>
      </c>
      <c r="H122" s="29" t="inlineStr">
        <is>
          <t>Senior Customer Success Specialist – POD Lead</t>
        </is>
      </c>
      <c r="I122" s="29" t="inlineStr">
        <is>
          <t>L3 – Professional / Associate</t>
        </is>
      </c>
      <c r="J122" s="29" t="inlineStr">
        <is>
          <t>B1</t>
        </is>
      </c>
      <c r="K122" s="29" t="inlineStr">
        <is>
          <t>▲ Up</t>
        </is>
      </c>
      <c r="L122" s="29" t="inlineStr">
        <is>
          <t>Customer Success &amp; Support</t>
        </is>
      </c>
      <c r="M122" s="29" t="inlineStr">
        <is>
          <t>Customer Success &amp; Account Management</t>
        </is>
      </c>
      <c r="N122" s="29" t="n"/>
      <c r="O122" s="29" t="n">
        <v>16</v>
      </c>
      <c r="P122" s="28" t="inlineStr">
        <is>
          <t>P3 / M2</t>
        </is>
      </c>
      <c r="Q122" s="29" t="inlineStr">
        <is>
          <t>Career / · Team Lead</t>
        </is>
      </c>
      <c r="R122" s="29" t="inlineStr">
        <is>
          <t>4 Enable</t>
        </is>
      </c>
      <c r="S122" s="29" t="inlineStr">
        <is>
          <t>4–7 yrs</t>
        </is>
      </c>
      <c r="T122" s="29" t="inlineStr">
        <is>
          <t>5–8 · 4–8</t>
        </is>
      </c>
      <c r="U122" s="29" t="inlineStr">
        <is>
          <t>Senior CSM / Support Specialist</t>
        </is>
      </c>
      <c r="V122" s="29" t="inlineStr">
        <is>
          <t>Workiva: Customer Success Manager · IRIS Vs Competitor Benchmark — SaaS customer-success ladder: CSM · IRIS Vs Competitor Benchmark — support tiers: L3 / Problem Analyst</t>
        </is>
      </c>
      <c r="W122" s="29" t="inlineStr">
        <is>
          <t>TSIA frameworks and benchmarks; ITIL 4 service desk; Gainsight customer-success practice</t>
        </is>
      </c>
      <c r="X122" s="29" t="inlineStr">
        <is>
          <t>Core 3 · Future 3 · Functional 3 · Leadership 2</t>
        </is>
      </c>
      <c r="Y122" s="52" t="n">
        <v>369</v>
      </c>
      <c r="Z122" s="53" t="inlineStr">
        <is>
          <t>IRIS2372</t>
        </is>
      </c>
      <c r="AA122" s="53" t="inlineStr">
        <is>
          <t>Employee</t>
        </is>
      </c>
      <c r="AB122" s="53" t="inlineStr">
        <is>
          <t>Active</t>
        </is>
      </c>
      <c r="AC122" s="53" t="inlineStr">
        <is>
          <t>Aakanksha Swaminathan</t>
        </is>
      </c>
      <c r="AD122" s="54" t="n">
        <v>45782</v>
      </c>
      <c r="AE122" s="53" t="inlineStr">
        <is>
          <t>Functional Specialist</t>
        </is>
      </c>
      <c r="AF122" s="53" t="inlineStr">
        <is>
          <t>CA</t>
        </is>
      </c>
      <c r="AG122" s="53" t="inlineStr">
        <is>
          <t>Suman Adhikary</t>
        </is>
      </c>
      <c r="AH122" s="53" t="inlineStr">
        <is>
          <t>N-4</t>
        </is>
      </c>
      <c r="AI122" s="53" t="inlineStr">
        <is>
          <t>Manager</t>
        </is>
      </c>
      <c r="AJ122" s="53" t="inlineStr">
        <is>
          <t>6 years, 10 months, 0 days</t>
        </is>
      </c>
      <c r="AK122" s="53" t="inlineStr">
        <is>
          <t>1 years, 3 months, 20 days</t>
        </is>
      </c>
      <c r="AL122" s="53" t="inlineStr">
        <is>
          <t>Regtech</t>
        </is>
      </c>
      <c r="AM122" s="53" t="inlineStr">
        <is>
          <t>CARBON</t>
        </is>
      </c>
      <c r="AN122" s="53" t="inlineStr">
        <is>
          <t>Functional</t>
        </is>
      </c>
      <c r="AO122" s="53" t="inlineStr">
        <is>
          <t>Client Engagement</t>
        </is>
      </c>
      <c r="AP122" s="53" t="inlineStr">
        <is>
          <t>No</t>
        </is>
      </c>
      <c r="AQ122" s="53" t="inlineStr">
        <is>
          <t>Client Engagement</t>
        </is>
      </c>
      <c r="AR122" s="53" t="inlineStr">
        <is>
          <t>CA + CE</t>
        </is>
      </c>
      <c r="AS122" s="53" t="inlineStr">
        <is>
          <t>Non-technical</t>
        </is>
      </c>
      <c r="AT122" s="53" t="n">
        <v>20</v>
      </c>
      <c r="AU122" s="53" t="inlineStr">
        <is>
          <t>Covered</t>
        </is>
      </c>
      <c r="AV122" s="53" t="inlineStr">
        <is>
          <t>IRIS2372</t>
        </is>
      </c>
      <c r="AW122" s="53" t="inlineStr">
        <is>
          <t>Aakanksha Swaminathan</t>
        </is>
      </c>
      <c r="AX122" s="53" t="inlineStr">
        <is>
          <t>Functional</t>
        </is>
      </c>
      <c r="AY122" s="53" t="inlineStr">
        <is>
          <t>Consulting</t>
        </is>
      </c>
      <c r="AZ122" s="53" t="inlineStr">
        <is>
          <t>GTM &amp; Business Develoment</t>
        </is>
      </c>
      <c r="BA122" s="53" t="inlineStr">
        <is>
          <t>Consulting</t>
        </is>
      </c>
      <c r="BB122" s="53" t="inlineStr">
        <is>
          <t>Product Management</t>
        </is>
      </c>
      <c r="BC122" s="53" t="inlineStr">
        <is>
          <t>Employee</t>
        </is>
      </c>
      <c r="BD122" s="53" t="inlineStr">
        <is>
          <t>Suman Adhikary</t>
        </is>
      </c>
      <c r="BE122" s="53" t="inlineStr">
        <is>
          <t>Anuradha RK</t>
        </is>
      </c>
      <c r="BF122" s="53" t="inlineStr">
        <is>
          <t>Yes</t>
        </is>
      </c>
      <c r="BG122" s="53" t="inlineStr">
        <is>
          <t>Functional Specialist</t>
        </is>
      </c>
      <c r="BH122" s="53" t="inlineStr">
        <is>
          <t>Lead - Growth Strategy &amp; GTM, Office of CFO Solutions</t>
        </is>
      </c>
      <c r="BI122" s="53" t="inlineStr">
        <is>
          <t>Yes</t>
        </is>
      </c>
      <c r="BJ122" s="53" t="n">
        <v>1</v>
      </c>
      <c r="BK122" s="53" t="n">
        <v>1</v>
      </c>
      <c r="BL122" s="53" t="n">
        <v>0</v>
      </c>
      <c r="BM122" s="53" t="inlineStr">
        <is>
          <t>Consolidate / flatten</t>
        </is>
      </c>
      <c r="BN122" s="53" t="n">
        <v>1</v>
      </c>
      <c r="BO122" s="53" t="n">
        <v>1</v>
      </c>
      <c r="BP122" s="53" t="n">
        <v>0</v>
      </c>
      <c r="BQ122" s="53" t="inlineStr">
        <is>
          <t>Consolidate / flatten</t>
        </is>
      </c>
      <c r="BR122" s="53" t="inlineStr">
        <is>
          <t>No</t>
        </is>
      </c>
      <c r="BS122" s="53" t="inlineStr">
        <is>
          <t>L3 – Professional / Associate</t>
        </is>
      </c>
      <c r="BT122" s="53" t="inlineStr">
        <is>
          <t>L3</t>
        </is>
      </c>
      <c r="BU122" s="53" t="inlineStr">
        <is>
          <t>Matched from Title Hierarchy · new designation</t>
        </is>
      </c>
      <c r="BV122" s="53" t="inlineStr">
        <is>
          <t>1. Annual Target · ARR - INR 1 Cr from India Cross-Sell / Net-New - 100%
2. Support or own customer marketing initiatives - 4 
3. Own India solution demos for sales / move to - closed-won - 8 
4. Establish a repeatable and effective market entry pitch, pricing and closing the deals - Convert at least 5 opportunities from these pitches into qualified pipeline or active deals. 
5. Contribute to at least 1 domain centric use case / quarter and take it to our existing customer base and create a new revenue stream for us e.g. IFRS 18 --&gt; 4
6. Institutionalize an L&amp;D framework covering domain, product and tech competencies and roll out role-based learning journeys --&gt; &gt;=80% enrollment
7. Lead and enable to train employees on core product and domain competencies through video based training and assessment --&gt; Train&gt;=70% target team are trained and assessed
8. Track and report monthly cohort-wise performance · Trained vs Untrained --&gt; 100%
9. Complete Mid Market and SMB implementation projects on or before agreed timelines. Also work with PM to define, institutionalize and take back Northstar metrics back to product --&gt; 100%
10. Ensure demos · India are fully customized to prospect context while maximizing reuse of existing demo assets to improve efficiency and consistency. --&gt; ≥ 70% demos advancing to Next stage · Proposal Sent
11. Maintain post-demo feedback score · Directly taken on Client calls --&gt; ≥ 4.0 / 5 · Avg feedback score · out of 5</t>
        </is>
      </c>
      <c r="BW122" s="53" t="n"/>
      <c r="BX122" s="53" t="n"/>
      <c r="BY122" s="53" t="n"/>
      <c r="BZ122" s="53" t="inlineStr">
        <is>
          <t>IRIS2372</t>
        </is>
      </c>
      <c r="CA122" s="53" t="inlineStr">
        <is>
          <t>Employee</t>
        </is>
      </c>
      <c r="CB122" s="53" t="inlineStr">
        <is>
          <t>Active</t>
        </is>
      </c>
      <c r="CC122" s="53" t="inlineStr">
        <is>
          <t>Aakanksha Swaminathan</t>
        </is>
      </c>
      <c r="CD122" s="54" t="n">
        <v>45782</v>
      </c>
      <c r="CE122" s="53" t="inlineStr">
        <is>
          <t>Functional Specialist</t>
        </is>
      </c>
      <c r="CF122" s="53" t="n"/>
      <c r="CG122" s="53" t="inlineStr">
        <is>
          <t>Consulting  Services</t>
        </is>
      </c>
      <c r="CH122" s="53" t="inlineStr">
        <is>
          <t>Financial Reporting Advisory</t>
        </is>
      </c>
      <c r="CI122" s="53" t="inlineStr">
        <is>
          <t>Functional Specialist</t>
        </is>
      </c>
      <c r="CJ122" s="53" t="inlineStr">
        <is>
          <t>L3 – Professional / Associate</t>
        </is>
      </c>
      <c r="CK122" s="53" t="inlineStr">
        <is>
          <t>Anuradha RK</t>
        </is>
      </c>
      <c r="CL122" s="53" t="inlineStr">
        <is>
          <t>N-4</t>
        </is>
      </c>
      <c r="CM122" s="53" t="inlineStr">
        <is>
          <t>Individual Contributor</t>
        </is>
      </c>
      <c r="CN122" s="53" t="inlineStr">
        <is>
          <t>Regtech</t>
        </is>
      </c>
      <c r="CO122" s="53" t="inlineStr">
        <is>
          <t>Functional</t>
        </is>
      </c>
      <c r="CP122" s="53" t="inlineStr">
        <is>
          <t>7 years, 11 months, 15 days</t>
        </is>
      </c>
      <c r="CQ122" s="53" t="inlineStr">
        <is>
          <t>Lead - GTM &amp; Strategic Initiatives</t>
        </is>
      </c>
      <c r="CR122" s="53" t="inlineStr">
        <is>
          <t>No</t>
        </is>
      </c>
      <c r="CS122" s="53" t="n">
        <v>5</v>
      </c>
      <c r="CT122" s="53" t="inlineStr">
        <is>
          <t>High</t>
        </is>
      </c>
      <c r="CU122" s="53" t="inlineStr">
        <is>
          <t>Future Leader</t>
        </is>
      </c>
      <c r="CV122" s="53" t="n"/>
      <c r="CW122" s="53" t="n"/>
      <c r="CX122" s="53" t="n"/>
      <c r="CY122" s="53" t="n"/>
      <c r="CZ122" s="53" t="inlineStr">
        <is>
          <t>Customer success methods; communication &amp; de-escalation; Team work</t>
        </is>
      </c>
      <c r="DA122" s="53" t="inlineStr">
        <is>
          <t>Transition to leadership: people management &amp; delegation, mentoring/coaching, prioritisation under ambiguity, Customer Management, influence skills</t>
        </is>
      </c>
      <c r="DB122" s="53" t="inlineStr">
        <is>
          <t>Suggested for GTM Role as additional role. Title to be standardized as : Strategic &amp; Learning Initiative Owner</t>
        </is>
      </c>
      <c r="DC122" s="53" t="n"/>
      <c r="DD122" s="53" t="n"/>
      <c r="DE122" s="53" t="n"/>
      <c r="DF122" s="53" t="n"/>
      <c r="DG122" s="53" t="n"/>
      <c r="DH122" s="53" t="n"/>
      <c r="DI122" s="53" t="n"/>
      <c r="DJ122" s="53" t="n"/>
      <c r="DK122" s="53" t="n"/>
      <c r="DL122" s="53" t="n"/>
      <c r="DM122" s="53" t="n"/>
      <c r="DN122" s="53" t="n"/>
      <c r="DO122" s="53" t="n"/>
      <c r="DP122" s="53" t="n"/>
      <c r="DQ122" s="53" t="n"/>
      <c r="DR122" s="53" t="n"/>
      <c r="DS122" s="53" t="n"/>
      <c r="DT122" s="53" t="n"/>
      <c r="DU122" s="53" t="n"/>
      <c r="DV122" s="53" t="n"/>
      <c r="DW122" s="53" t="n"/>
      <c r="DX122" s="53" t="n"/>
      <c r="DY122" s="53" t="n"/>
      <c r="DZ122" s="53" t="n"/>
      <c r="EA122" s="53" t="n"/>
      <c r="EB122" s="53" t="n"/>
      <c r="EC122" s="53" t="n"/>
      <c r="ED122" s="53" t="n"/>
      <c r="EE122" s="53" t="n"/>
      <c r="EF122" s="53" t="n"/>
      <c r="EG122" s="53" t="n"/>
      <c r="EH122" s="53" t="n"/>
      <c r="EI122" s="53" t="n"/>
      <c r="EJ122" s="53" t="n"/>
      <c r="EK122" s="53" t="n"/>
      <c r="EL122" s="53" t="n"/>
      <c r="EM122" s="53" t="n"/>
      <c r="EN122" s="53" t="n"/>
      <c r="EO122" s="53" t="n"/>
      <c r="EP122" s="53" t="n"/>
      <c r="EQ122" s="53" t="n"/>
      <c r="ER122" s="53" t="n"/>
      <c r="ES122" s="53" t="n"/>
      <c r="ET122" s="53" t="n"/>
      <c r="EU122" s="53" t="n"/>
      <c r="EV122" s="53" t="n"/>
      <c r="EW122" s="52" t="n"/>
      <c r="EX122" s="53" t="n"/>
      <c r="EY122" s="53" t="n"/>
      <c r="EZ122" s="53" t="n"/>
      <c r="FA122" s="53" t="n"/>
      <c r="FB122" s="53" t="n"/>
      <c r="FC122" s="53" t="n"/>
      <c r="FD122" s="53" t="n"/>
      <c r="FE122" s="57" t="inlineStr">
        <is>
          <t>1. Annual Target · ARR - INR 1 Cr from India Cross-Sell / Net-New - 100%
2. Support or own customer marketing initiatives - 4 
3. Own India solution demos for sales / move to - closed-won - 8 
4. Establish a repeatable and effective market entry pitch, pricing and closing the deals - Convert at least 5 opportunities from these pitches into qualified pipeline or active deals. 
5. Contribute to at least 1 domain centric use case / quarter and take it to our existing customer base and create a new revenue stream for us e.g. IFRS 18 --&gt; 4
6. Institutionalize an L&amp;D framework covering domain, product and tech competencies and roll out role-based learning journeys --&gt; &gt;=80% enrollment
7. Lead and enable to train employees on core product and domain competencies through video based training and assessment --&gt; Train&gt;=70% target team are trained and assessed
8. Track and report monthly cohort-wise performance · Trained vs Untrained --&gt; 100%
9. Complete Mid Market and SMB implementation projects on or before agreed timelines. Also work with PM to define, institutionalize and take back Northstar metrics back to product --&gt; 100%
10. Ensure demos · India are fully customized to prospect context while maximizing reuse of existing demo assets to improve efficiency and consistency. --&gt; ≥ 70% demos advancing to Next stage · Proposal Sent
11. Maintain post-demo feedback score · Directly taken on Client calls --&gt; ≥ 4.0 / 5 · Avg feedback score · out of 5</t>
        </is>
      </c>
      <c r="FF122" s="56" t="n"/>
      <c r="FG122" s="56" t="n"/>
      <c r="FH122" s="56" t="n"/>
      <c r="FI122" s="56" t="n"/>
      <c r="FJ122" s="56" t="inlineStr">
        <is>
          <t>Received · manager annual</t>
        </is>
      </c>
      <c r="FK122" s="56" t="inlineStr">
        <is>
          <t>CARBON Mapping Master</t>
        </is>
      </c>
      <c r="FL122" s="56" t="n">
        <v>16</v>
      </c>
      <c r="FM122" s="32" t="inlineStr">
        <is>
          <t>Full survey answers not in the files received · How We Grow export needed · HR</t>
        </is>
      </c>
      <c r="FN122" s="56" t="inlineStr">
        <is>
          <t>—</t>
        </is>
      </c>
      <c r="FO122" s="56" t="inlineStr">
        <is>
          <t>—</t>
        </is>
      </c>
      <c r="FP122" s="56" t="inlineStr">
        <is>
          <t>—</t>
        </is>
      </c>
      <c r="FQ122" s="56" t="inlineStr">
        <is>
          <t>—</t>
        </is>
      </c>
      <c r="FR122" s="56" t="inlineStr">
        <is>
          <t>Complexity: Evidence reads like B1: Names complex implementations, new-market GTM, Asia sales, partnerships; no specifics → matches the start
Autonomy: Evidence reads like B1: Claims 'Everything'; no concrete decisions named → matches the start
Accountability: Evidence reads like B2: New business and sales for Asia plus existing complex clients; states 'All' → moved up 0.5
Leadership: Evidence reads like A3: Upskilling of department listed; 2 direct reports → moved down 0.5
Business Impact: No survey or manager-mapping signal on criticality: kept at the start point.</t>
        </is>
      </c>
      <c r="FS122" s="56" t="inlineStr">
        <is>
          <t>Common themes in sub-family holders, all levels' answers: cross improve · upsell cross · nps follow · tech · improve nps · us market
Common themes in sub-family holders, all levels' answers: product · renewals · testing · upsell · cross sell · training
Common themes in sub-family holders, all levels' answers: customer · csat · product · esef · client
Common themes in sub-family holders, all levels' answers: retention · renewals · sell · cross · invoicing · outstanding
Common themes in sub-family holders, all levels' answers: trainings
If the work is missed · role-holders' themes: business · impact · revenue.</t>
        </is>
      </c>
      <c r="FT122" s="56" t="inlineStr">
        <is>
          <t>Self-identified: Leadership &amp; people management
For the next role: Leadership &amp; people management</t>
        </is>
      </c>
      <c r="FU122" s="32" t="inlineStr">
        <is>
          <t>Full survey answers not in the files received · How We Grow export needed · HR</t>
        </is>
      </c>
    </row>
    <row r="123" ht="90" customHeight="1">
      <c r="A123" s="51" t="inlineStr">
        <is>
          <t>◂ Back</t>
        </is>
      </c>
      <c r="B123" s="29" t="inlineStr">
        <is>
          <t>Mapped</t>
        </is>
      </c>
      <c r="C123" s="28" t="inlineStr">
        <is>
          <t>CARBON</t>
        </is>
      </c>
      <c r="D123" s="29" t="inlineStr">
        <is>
          <t>IRIS2510</t>
        </is>
      </c>
      <c r="E123" s="29" t="inlineStr">
        <is>
          <t>Chirag Shah</t>
        </is>
      </c>
      <c r="F123" s="29" t="inlineStr">
        <is>
          <t>Functional</t>
        </is>
      </c>
      <c r="G123" s="29" t="inlineStr">
        <is>
          <t>Functional Specialist</t>
        </is>
      </c>
      <c r="H123" s="29" t="inlineStr">
        <is>
          <t>Functional Specialist</t>
        </is>
      </c>
      <c r="I123" s="29" t="inlineStr">
        <is>
          <t>L3 – Professional / Associate</t>
        </is>
      </c>
      <c r="J123" s="29" t="inlineStr">
        <is>
          <t>B1</t>
        </is>
      </c>
      <c r="K123" s="29" t="inlineStr">
        <is>
          <t>▲ Up</t>
        </is>
      </c>
      <c r="L123" s="29" t="inlineStr">
        <is>
          <t>Solution Consulting &amp; Implementation</t>
        </is>
      </c>
      <c r="M123" s="29" t="inlineStr">
        <is>
          <t>Solution Consulting &amp; Implementation</t>
        </is>
      </c>
      <c r="N123" s="29" t="n"/>
      <c r="O123" s="29" t="n">
        <v>20</v>
      </c>
      <c r="P123" s="28" t="inlineStr">
        <is>
          <t>P3 / M2</t>
        </is>
      </c>
      <c r="Q123" s="29" t="inlineStr">
        <is>
          <t>Career / · Team Lead</t>
        </is>
      </c>
      <c r="R123" s="29" t="inlineStr">
        <is>
          <t>4 Enable</t>
        </is>
      </c>
      <c r="S123" s="29" t="inlineStr">
        <is>
          <t>4–7 yrs</t>
        </is>
      </c>
      <c r="T123" s="29" t="inlineStr">
        <is>
          <t>5–8 · 4–8</t>
        </is>
      </c>
      <c r="U123" s="29" t="inlineStr">
        <is>
          <t>Senior Consultant</t>
        </is>
      </c>
      <c r="V123" s="29" t="inlineStr">
        <is>
          <t>Big Four: Senior Consultant · Regnology: BA · Reg Reporting</t>
        </is>
      </c>
      <c r="W123" s="29" t="inlineStr">
        <is>
          <t>TSIA professional services; PMI; BABOK</t>
        </is>
      </c>
      <c r="X123" s="29" t="inlineStr">
        <is>
          <t>Core 3 · Future 3 · Functional 3 · Leadership 1</t>
        </is>
      </c>
      <c r="Y123" s="52" t="n">
        <v>481</v>
      </c>
      <c r="Z123" s="53" t="inlineStr">
        <is>
          <t>IRIS2510</t>
        </is>
      </c>
      <c r="AA123" s="53" t="inlineStr">
        <is>
          <t>Employee</t>
        </is>
      </c>
      <c r="AB123" s="53" t="inlineStr">
        <is>
          <t>Active</t>
        </is>
      </c>
      <c r="AC123" s="53" t="inlineStr">
        <is>
          <t>Chirag Shah</t>
        </is>
      </c>
      <c r="AD123" s="54" t="n">
        <v>46125</v>
      </c>
      <c r="AE123" s="53" t="inlineStr">
        <is>
          <t>Functional Specialist</t>
        </is>
      </c>
      <c r="AF123" s="53" t="inlineStr">
        <is>
          <t>CA</t>
        </is>
      </c>
      <c r="AG123" s="53" t="inlineStr">
        <is>
          <t>Aakanksha Swaminathan</t>
        </is>
      </c>
      <c r="AH123" s="53" t="inlineStr">
        <is>
          <t>N-5</t>
        </is>
      </c>
      <c r="AI123" s="53" t="inlineStr">
        <is>
          <t>Individual Contributor</t>
        </is>
      </c>
      <c r="AJ123" s="53" t="inlineStr">
        <is>
          <t>4 years, 0 months, 0 days</t>
        </is>
      </c>
      <c r="AK123" s="53" t="inlineStr">
        <is>
          <t>0 years, 4 months, 12 days</t>
        </is>
      </c>
      <c r="AL123" s="53" t="inlineStr">
        <is>
          <t>Regtech</t>
        </is>
      </c>
      <c r="AM123" s="53" t="inlineStr">
        <is>
          <t>CARBON</t>
        </is>
      </c>
      <c r="AN123" s="53" t="inlineStr">
        <is>
          <t>Functional</t>
        </is>
      </c>
      <c r="AO123" s="53" t="inlineStr">
        <is>
          <t>Client Engagement</t>
        </is>
      </c>
      <c r="AP123" s="53" t="inlineStr">
        <is>
          <t>No</t>
        </is>
      </c>
      <c r="AQ123" s="53" t="inlineStr">
        <is>
          <t>Client Engagement</t>
        </is>
      </c>
      <c r="AR123" s="53" t="inlineStr">
        <is>
          <t>CE</t>
        </is>
      </c>
      <c r="AS123" s="53" t="inlineStr">
        <is>
          <t>Non-technical</t>
        </is>
      </c>
      <c r="AT123" s="53" t="n">
        <v>20</v>
      </c>
      <c r="AU123" s="53" t="inlineStr">
        <is>
          <t>Covered</t>
        </is>
      </c>
      <c r="AV123" s="53" t="inlineStr">
        <is>
          <t>IRIS2510</t>
        </is>
      </c>
      <c r="AW123" s="53" t="inlineStr">
        <is>
          <t>Chirag Shah</t>
        </is>
      </c>
      <c r="AX123" s="53" t="inlineStr">
        <is>
          <t>Functional</t>
        </is>
      </c>
      <c r="AY123" s="53" t="inlineStr">
        <is>
          <t>Consulting</t>
        </is>
      </c>
      <c r="AZ123" s="53" t="inlineStr">
        <is>
          <t>Implementation &amp; Solutions Consulting</t>
        </is>
      </c>
      <c r="BA123" s="53" t="inlineStr">
        <is>
          <t>Consulting</t>
        </is>
      </c>
      <c r="BB123" s="53" t="inlineStr">
        <is>
          <t>Product Management</t>
        </is>
      </c>
      <c r="BC123" s="53" t="inlineStr">
        <is>
          <t>Employee</t>
        </is>
      </c>
      <c r="BD123" s="53" t="inlineStr">
        <is>
          <t>Suman Adhikary</t>
        </is>
      </c>
      <c r="BE123" s="53" t="n"/>
      <c r="BF123" s="53" t="inlineStr">
        <is>
          <t>Yes</t>
        </is>
      </c>
      <c r="BG123" s="53" t="inlineStr">
        <is>
          <t>Functional Specialist</t>
        </is>
      </c>
      <c r="BH123" s="53" t="inlineStr">
        <is>
          <t>Functional Specialist</t>
        </is>
      </c>
      <c r="BI123" s="53" t="inlineStr">
        <is>
          <t>No</t>
        </is>
      </c>
      <c r="BJ123" s="53" t="inlineStr">
        <is>
          <t>—</t>
        </is>
      </c>
      <c r="BK123" s="53" t="inlineStr">
        <is>
          <t>—</t>
        </is>
      </c>
      <c r="BL123" s="53" t="inlineStr">
        <is>
          <t>—</t>
        </is>
      </c>
      <c r="BM123" s="53" t="inlineStr">
        <is>
          <t>Not a manager</t>
        </is>
      </c>
      <c r="BN123" s="53" t="inlineStr">
        <is>
          <t>—</t>
        </is>
      </c>
      <c r="BO123" s="53" t="inlineStr">
        <is>
          <t>—</t>
        </is>
      </c>
      <c r="BP123" s="53" t="inlineStr">
        <is>
          <t>—</t>
        </is>
      </c>
      <c r="BQ123" s="53" t="inlineStr">
        <is>
          <t>Not a manager</t>
        </is>
      </c>
      <c r="BR123" s="53" t="inlineStr">
        <is>
          <t>—</t>
        </is>
      </c>
      <c r="BS123" s="53" t="inlineStr">
        <is>
          <t>L3 – Professional / Associate</t>
        </is>
      </c>
      <c r="BT123" s="53" t="inlineStr">
        <is>
          <t>L3 – Professional / Associate</t>
        </is>
      </c>
      <c r="BU123" s="53" t="inlineStr">
        <is>
          <t>No designation change — current record value carried forward</t>
        </is>
      </c>
      <c r="BV123" s="53" t="inlineStr">
        <is>
          <t>1. Drive Mid-Market and SMB implementation projects on or before agreed timelines. --&gt; 100%
2. Maintain a high CSAT score during the onboarding/implementation phase. --&gt; 90%
3. Drive high active user adoption post go-live --&gt; % Users active at 15 days post go-live - ≥ 80%
4. "Have at least one formal strategic advisory session per project to align on long-term platform usage, roadmap fit, and business goals beyond initial implementation. This is basically a session which Implementation consultant will take with the customer" --&gt; " ≥ 1 per quarter · 4 per year"
5. Track training-to-adoption correlation --&gt; % Trained users becoming active system users within 30 days - ≥ 80%
6. "Achieve high post-training knowledge assessment scores · Based on Training Feedback forms" --&gt; Avg score on post-training knowledge assessment - ≥ 80%
7. Support Sales / BD with pre-sales technical consultations  --&gt; 10 / quarter
8. Ensure demos · outside India are fully customized to prospect context while maximizing reuse of existing demo assets to improve efficiency and consistency. --&gt; ≥ 70% demos advancing to Next stage · Proposal Sent
9. Facilitate at least one internal knowledge-sharing session per quarter covering delivery learnings, industry trends, or methodology/process improvements. --&gt; # Knowledge sessions per quarter ≥ 1
10. Drive performance driven culture - Identify, Build, Mentor and Support - Build more team who can run effective sales support, including training our SDRs or sales professionals --&gt; 5 / quarter</t>
        </is>
      </c>
      <c r="BW123" s="53" t="n"/>
      <c r="BX123" s="53" t="inlineStr">
        <is>
          <t>EU and India.</t>
        </is>
      </c>
      <c r="BY123" s="53" t="n"/>
      <c r="BZ123" s="53" t="inlineStr">
        <is>
          <t>IRIS2510</t>
        </is>
      </c>
      <c r="CA123" s="53" t="inlineStr">
        <is>
          <t>Employee</t>
        </is>
      </c>
      <c r="CB123" s="53" t="inlineStr">
        <is>
          <t>Active</t>
        </is>
      </c>
      <c r="CC123" s="53" t="inlineStr">
        <is>
          <t>Chirag Shah</t>
        </is>
      </c>
      <c r="CD123" s="54" t="n">
        <v>46125</v>
      </c>
      <c r="CE123" s="53" t="inlineStr">
        <is>
          <t>Functional Specialist</t>
        </is>
      </c>
      <c r="CF123" s="53" t="inlineStr">
        <is>
          <t>Tag with Sales team to give product demo to the clients and post onboarding of customers, they help in implementation</t>
        </is>
      </c>
      <c r="CG123" s="53" t="inlineStr">
        <is>
          <t>Consulting  Services</t>
        </is>
      </c>
      <c r="CH123" s="53" t="inlineStr">
        <is>
          <t>Financial Reporting Advisory</t>
        </is>
      </c>
      <c r="CI123" s="53" t="inlineStr">
        <is>
          <t>Functional Specialist</t>
        </is>
      </c>
      <c r="CJ123" s="53" t="inlineStr">
        <is>
          <t>L3 – Professional / Associate</t>
        </is>
      </c>
      <c r="CK123" s="53" t="inlineStr">
        <is>
          <t>Anuradha RK</t>
        </is>
      </c>
      <c r="CL123" s="53" t="inlineStr">
        <is>
          <t>N-4</t>
        </is>
      </c>
      <c r="CM123" s="53" t="inlineStr">
        <is>
          <t>Individual Contributor</t>
        </is>
      </c>
      <c r="CN123" s="53" t="inlineStr">
        <is>
          <t>Regtech</t>
        </is>
      </c>
      <c r="CO123" s="53" t="inlineStr">
        <is>
          <t>Functional</t>
        </is>
      </c>
      <c r="CP123" s="53" t="inlineStr">
        <is>
          <t>4 years, 2 months, 7 days</t>
        </is>
      </c>
      <c r="CQ123" s="53" t="n"/>
      <c r="CR123" s="53" t="inlineStr">
        <is>
          <t>No</t>
        </is>
      </c>
      <c r="CS123" s="53" t="n">
        <v>3</v>
      </c>
      <c r="CT123" s="53" t="inlineStr">
        <is>
          <t>Medium</t>
        </is>
      </c>
      <c r="CU123" s="53" t="inlineStr">
        <is>
          <t>Core Contributor</t>
        </is>
      </c>
      <c r="CV123" s="53" t="n"/>
      <c r="CW123" s="53" t="n"/>
      <c r="CX123" s="53" t="n"/>
      <c r="CY123" s="53" t="n"/>
      <c r="CZ123" s="53" t="inlineStr">
        <is>
          <t>Customer success methods; communication &amp; de-escalation; product/domain depth; ticketing &amp; SLA tools</t>
        </is>
      </c>
      <c r="DA123" s="53" t="inlineStr">
        <is>
          <t>Transition to leadership: people management &amp; delegation, mentoring/coaching, project ownership &amp; stakeholder management, prioritisation under ambiguity, presentation &amp; influence skills</t>
        </is>
      </c>
      <c r="DB123" s="53" t="n"/>
      <c r="DC123" s="53" t="n"/>
      <c r="DD123" s="53" t="n"/>
      <c r="DE123" s="53" t="n"/>
      <c r="DF123" s="53" t="n"/>
      <c r="DG123" s="53" t="n"/>
      <c r="DH123" s="53" t="n"/>
      <c r="DI123" s="53" t="n"/>
      <c r="DJ123" s="53" t="n"/>
      <c r="DK123" s="53" t="n"/>
      <c r="DL123" s="53" t="n"/>
      <c r="DM123" s="53" t="n"/>
      <c r="DN123" s="53" t="n"/>
      <c r="DO123" s="53" t="n"/>
      <c r="DP123" s="53" t="n"/>
      <c r="DQ123" s="53" t="n"/>
      <c r="DR123" s="53" t="n"/>
      <c r="DS123" s="53" t="n"/>
      <c r="DT123" s="53" t="n"/>
      <c r="DU123" s="53" t="n"/>
      <c r="DV123" s="53" t="n"/>
      <c r="DW123" s="53" t="n"/>
      <c r="DX123" s="53" t="n"/>
      <c r="DY123" s="53" t="n"/>
      <c r="DZ123" s="53" t="n"/>
      <c r="EA123" s="53" t="n"/>
      <c r="EB123" s="53" t="n"/>
      <c r="EC123" s="53" t="n"/>
      <c r="ED123" s="53" t="n"/>
      <c r="EE123" s="53" t="n"/>
      <c r="EF123" s="53" t="n"/>
      <c r="EG123" s="53" t="n"/>
      <c r="EH123" s="53" t="n"/>
      <c r="EI123" s="53" t="n"/>
      <c r="EJ123" s="53" t="n"/>
      <c r="EK123" s="53" t="n"/>
      <c r="EL123" s="53" t="n"/>
      <c r="EM123" s="53" t="n"/>
      <c r="EN123" s="53" t="n"/>
      <c r="EO123" s="53" t="n"/>
      <c r="EP123" s="53" t="n"/>
      <c r="EQ123" s="53" t="n"/>
      <c r="ER123" s="53" t="n"/>
      <c r="ES123" s="53" t="n"/>
      <c r="ET123" s="53" t="n"/>
      <c r="EU123" s="53" t="n"/>
      <c r="EV123" s="53" t="n"/>
      <c r="EW123" s="52" t="n"/>
      <c r="EX123" s="53" t="inlineStr">
        <is>
          <t>• Role / sub-team: Functional — Functional Specialist.
• Core purpose: Understand client's reporting requirements, then showcase the Iris Carbon DM  platform to address their reporting needs. Explain all the features which will address the pain points faced by clients; To capture the clients needs and address their requirements so we can convert the lead and contribute to revenue. Help client implement their reports post conversion.
• Decision-making autonomy: Can independently features to focus in demo.
• Is this something only they do: Entire team more or less follows the same process.
• What's different about this role: 1. Addressing the pain points in demo which are known to us previously
2. Financial knowledge to understand reporting needs
3. Make the demo interactive by asking questions.</t>
        </is>
      </c>
      <c r="EY123" s="53" t="inlineStr">
        <is>
          <t>• Key responsibilities include: Understand the need; showacse the demo; Forward client feedback; test the new features.
• Personally accountable for: Pre-sales Demo and implementation.
• Impact if missed or done wrong: Unpleasant experience for client. Opportunity for conversion to sales can get missed.
• How measured: Demos and implementations.</t>
        </is>
      </c>
      <c r="EZ123" s="53" t="inlineStr">
        <is>
          <t>• Current capabilities: Financial knowledge; understand clients issues.
• Tools / software used: Adobe InDesign; hubspot.
• Workload: Rated a heavy load · 4/5 in a typical week.
• Judgment/way of working: Good judgement.</t>
        </is>
      </c>
      <c r="FA123" s="53" t="inlineStr">
        <is>
          <t>• Development priorities: No input received.
• Learning and Development Need: Knowledge transfer; previous demo recordings. Some sort of go to manual.</t>
        </is>
      </c>
      <c r="FB123" s="53" t="inlineStr">
        <is>
          <t>• Key challenges: Back 2 back meetings; last minute invite 4 call.
• Support required: Better team structure; Clear distinction of responsibilities.</t>
        </is>
      </c>
      <c r="FC123" s="53" t="n"/>
      <c r="FD123" s="53" t="n"/>
      <c r="FE123" s="57" t="inlineStr">
        <is>
          <t>1. Drive Mid-Market and SMB implementation projects on or before agreed timelines. --&gt; 100%
2. Maintain a high CSAT score during the onboarding/implementation phase. --&gt; 90%
3. Drive high active user adoption post go-live --&gt; % Users active at 15 days post go-live - ≥ 80%
4. "Have at least one formal strategic advisory session per project to align on long-term platform usage, roadmap fit, and business goals beyond initial implementation. This is basically a session which Implementation consultant will take with the customer" --&gt; " ≥ 1 per quarter · 4 per year"
5. Track training-to-adoption correlation --&gt; % Trained users becoming active system users within 30 days - ≥ 80%
6. "Achieve high post-training knowledge assessment scores · Based on Training Feedback forms" --&gt; Avg score on post-training knowledge assessment - ≥ 80%
7. Support Sales / BD with pre-sales technical consultations  --&gt; 10 / quarter
8. Ensure demos · outside India are fully customized to prospect context while maximizing reuse of existing demo assets to improve efficiency and consistency. --&gt; ≥ 70% demos advancing to Next stage · Proposal Sent
9. Facilitate at least one internal knowledge-sharing session per quarter covering delivery learnings, industry trends, or methodology/process improvements. --&gt; # Knowledge sessions per quarter ≥ 1
10. Drive performance driven culture - Identify, Build, Mentor and Support - Build more team who can run effective sales support, including training our SDRs or sales professionals --&gt; 5 / quarter</t>
        </is>
      </c>
      <c r="FF123" s="56" t="n"/>
      <c r="FG123" s="56" t="n"/>
      <c r="FH123" s="56" t="n"/>
      <c r="FI123" s="56" t="inlineStr">
        <is>
          <t>Tag with Sales team to give product demo to the clients and post onboarding of customers, they help in implementation</t>
        </is>
      </c>
      <c r="FJ123" s="56" t="inlineStr">
        <is>
          <t>Received · manager annual</t>
        </is>
      </c>
      <c r="FK123" s="56" t="inlineStr">
        <is>
          <t>CARBON Mapping Master · CARBON Talent Mapping · Raw</t>
        </is>
      </c>
      <c r="FL123" s="56" t="n">
        <v>20</v>
      </c>
      <c r="FM123" s="56" t="inlineStr">
        <is>
          <t>• Role / sub-team: Functional — Functional Specialist.
• Core purpose: Understand client's reporting requirements, then showcase the Iris Carbon DM  platform to address their reporting needs. Explain all the features which will address the pain points faced by clients; To capture the clients needs and address their requirements so we can convert the lead and contribute to revenue. Help client implement their reports post conversion.
• Decision-making autonomy: Can independently features to focus in demo.
• Is this something only they do: Entire team more or less follows the same process.
• What's different about this role: 1. Addressing the pain points in demo which are known to us previously
2. Financial knowledge to understand reporting needs
3. Make the demo interactive by asking questions.</t>
        </is>
      </c>
      <c r="FN123" s="56" t="inlineStr">
        <is>
          <t>• Key responsibilities include: Understand the need; showacse the demo; Forward client feedback; test the new features.
• Personally accountable for: Pre-sales Demo and implementation.
• Impact if missed or done wrong: Unpleasant experience for client. Opportunity for conversion to sales can get missed.
• How measured: Demos and implementations.</t>
        </is>
      </c>
      <c r="FO123" s="56" t="inlineStr">
        <is>
          <t>• Current capabilities: Financial knowledge; understand clients issues.
• Tools / software used: Adobe InDesign; hubspot.
• Workload: Rated a heavy load · 4/5 in a typical week.
• Judgment/way of working: Good judgement.</t>
        </is>
      </c>
      <c r="FP123" s="56" t="inlineStr">
        <is>
          <t>• Development priorities: No input received.
• Learning and Development Need: Knowledge transfer; previous demo recordings. Some sort of go to manual.</t>
        </is>
      </c>
      <c r="FQ123" s="56" t="inlineStr">
        <is>
          <t>• Key challenges: Back 2 back meetings; last minute invite 4 call.
• Support required: Better team structure; Clear distinction of responsibilities.</t>
        </is>
      </c>
      <c r="FR123" s="56" t="inlineStr">
        <is>
          <t>Complexity: Evidence reads like A3: Understands client reporting needs, tailors DM platform demos, tests features, helps implement reports → moved down 0.5
Autonomy: Evidence reads like A3: Decides which features to focus on in demos → moved down 0.5
Accountability: Evidence reads like A3: Pre-sales demos and implementation; a poor demo can lose the conversion → moved down 0.5
Leadership: Evidence reads like A1: No guidance of others described; only forwards client feedback → moved down 1
Business Impact: No survey or manager-mapping signal on criticality: kept at the start point.</t>
        </is>
      </c>
      <c r="FS123" s="56" t="inlineStr">
        <is>
          <t>Common themes in role-holders' answers: iris · product · clients · platform · carbon · dm
Common themes in role-holders' answers: delivery · demos · implementation · testing · client
Common themes in role-holders' answers: implementation · marketing · product
Common themes in role-holders' answers: client · accountable · demos · implementation · training
Common themes in role-holders' answers: project · activities · features
If the work is missed · role-holders' themes: client · market.</t>
        </is>
      </c>
      <c r="FT123" s="56" t="inlineStr">
        <is>
          <t>Self-identified: Product &amp; tool knowledge
For the next role: Product &amp; tool knowledge</t>
        </is>
      </c>
      <c r="FU123" s="56" t="inlineStr">
        <is>
          <t>Per-person summary · CARBON Mapping Master</t>
        </is>
      </c>
    </row>
    <row r="124" ht="90" customHeight="1">
      <c r="A124" s="51" t="inlineStr">
        <is>
          <t>◂ Back</t>
        </is>
      </c>
      <c r="B124" s="29" t="inlineStr">
        <is>
          <t>Mapped</t>
        </is>
      </c>
      <c r="C124" s="28" t="inlineStr">
        <is>
          <t>CARBON</t>
        </is>
      </c>
      <c r="D124" s="29" t="inlineStr">
        <is>
          <t>IRIS2515</t>
        </is>
      </c>
      <c r="E124" s="29" t="inlineStr">
        <is>
          <t>Aashima Singh</t>
        </is>
      </c>
      <c r="F124" s="29" t="inlineStr">
        <is>
          <t>Marketing</t>
        </is>
      </c>
      <c r="G124" s="29" t="inlineStr">
        <is>
          <t>Marketing Associate</t>
        </is>
      </c>
      <c r="H124" s="29" t="inlineStr">
        <is>
          <t>Marketing Associate</t>
        </is>
      </c>
      <c r="I124" s="29" t="inlineStr">
        <is>
          <t>L3 – Professional / Associate</t>
        </is>
      </c>
      <c r="J124" s="29" t="inlineStr">
        <is>
          <t>A2</t>
        </is>
      </c>
      <c r="K124" s="29" t="inlineStr">
        <is>
          <t>• Same level</t>
        </is>
      </c>
      <c r="L124" s="29" t="inlineStr">
        <is>
          <t>Marketing &amp; Communications</t>
        </is>
      </c>
      <c r="M124" s="29" t="inlineStr">
        <is>
          <t>Demand Generation, Brand &amp; Events</t>
        </is>
      </c>
      <c r="N124" s="29" t="n"/>
      <c r="O124" s="29" t="n">
        <v>19</v>
      </c>
      <c r="P124" s="28" t="inlineStr">
        <is>
          <t>P1–P2</t>
        </is>
      </c>
      <c r="Q124" s="29" t="inlineStr">
        <is>
          <t>Entry / Developing</t>
        </is>
      </c>
      <c r="R124" s="29" t="inlineStr">
        <is>
          <t>2 Assist</t>
        </is>
      </c>
      <c r="S124" s="29" t="inlineStr">
        <is>
          <t>0–2 yrs</t>
        </is>
      </c>
      <c r="T124" s="29" t="inlineStr">
        <is>
          <t>1–3 · 0–3</t>
        </is>
      </c>
      <c r="U124" s="29" t="inlineStr">
        <is>
          <t>Marketing Associate / Marketing Executive</t>
        </is>
      </c>
      <c r="V124" s="29" t="inlineStr">
        <is>
          <t>IRIS Vs Market Benchmark — CIM proficiency scale: 2 Active learner · IRIS Vs Competitor Benchmark — SaaS marketing ladder: Marketing Associate</t>
        </is>
      </c>
      <c r="W124" s="29" t="inlineStr">
        <is>
          <t>CIM Global Professional Marketing Framework — proficiency Aware → Active learner → Able → Accomplished → Authoritative</t>
        </is>
      </c>
      <c r="X124" s="29" t="inlineStr">
        <is>
          <t>Core 2 · Future 2 · Functional 2 · Leadership not scored</t>
        </is>
      </c>
      <c r="Y124" s="52" t="n">
        <v>486</v>
      </c>
      <c r="Z124" s="53" t="inlineStr">
        <is>
          <t>IRIS2515</t>
        </is>
      </c>
      <c r="AA124" s="53" t="inlineStr">
        <is>
          <t>Employee</t>
        </is>
      </c>
      <c r="AB124" s="53" t="inlineStr">
        <is>
          <t>Active</t>
        </is>
      </c>
      <c r="AC124" s="53" t="inlineStr">
        <is>
          <t>Aashima Singh</t>
        </is>
      </c>
      <c r="AD124" s="54" t="n">
        <v>46125</v>
      </c>
      <c r="AE124" s="53" t="inlineStr">
        <is>
          <t>Marketing Associate</t>
        </is>
      </c>
      <c r="AF124" s="53" t="inlineStr">
        <is>
          <t>MBA</t>
        </is>
      </c>
      <c r="AG124" s="53" t="inlineStr">
        <is>
          <t>Aakanksha Swaminathan</t>
        </is>
      </c>
      <c r="AH124" s="53" t="inlineStr">
        <is>
          <t>N-5</t>
        </is>
      </c>
      <c r="AI124" s="53" t="inlineStr">
        <is>
          <t>Individual Contributor</t>
        </is>
      </c>
      <c r="AJ124" s="53" t="inlineStr">
        <is>
          <t>0 years, 0 months, 0 days</t>
        </is>
      </c>
      <c r="AK124" s="53" t="inlineStr">
        <is>
          <t>0 years, 4 months, 12 days</t>
        </is>
      </c>
      <c r="AL124" s="53" t="inlineStr">
        <is>
          <t>Regtech</t>
        </is>
      </c>
      <c r="AM124" s="53" t="inlineStr">
        <is>
          <t>CARBON</t>
        </is>
      </c>
      <c r="AN124" s="53" t="inlineStr">
        <is>
          <t>Marketing</t>
        </is>
      </c>
      <c r="AO124" s="53" t="inlineStr">
        <is>
          <t>Marketing</t>
        </is>
      </c>
      <c r="AP124" s="53" t="inlineStr">
        <is>
          <t>No</t>
        </is>
      </c>
      <c r="AQ124" s="53" t="inlineStr">
        <is>
          <t>Sales, Marketing &amp; Support</t>
        </is>
      </c>
      <c r="AR124" s="53" t="inlineStr">
        <is>
          <t>Marketing</t>
        </is>
      </c>
      <c r="AS124" s="53" t="inlineStr">
        <is>
          <t>Non-technical</t>
        </is>
      </c>
      <c r="AT124" s="53" t="n">
        <v>20</v>
      </c>
      <c r="AU124" s="53" t="inlineStr">
        <is>
          <t>Covered</t>
        </is>
      </c>
      <c r="AV124" s="53" t="inlineStr">
        <is>
          <t>IRIS2515</t>
        </is>
      </c>
      <c r="AW124" s="53" t="inlineStr">
        <is>
          <t>Aashima Singh</t>
        </is>
      </c>
      <c r="AX124" s="53" t="inlineStr">
        <is>
          <t>Functional</t>
        </is>
      </c>
      <c r="AY124" s="53" t="inlineStr">
        <is>
          <t>Consulting</t>
        </is>
      </c>
      <c r="AZ124" s="53" t="inlineStr">
        <is>
          <t>GTM &amp; Business Develoment</t>
        </is>
      </c>
      <c r="BA124" s="53" t="n"/>
      <c r="BB124" s="53" t="n"/>
      <c r="BC124" s="53" t="inlineStr">
        <is>
          <t>Employee</t>
        </is>
      </c>
      <c r="BD124" s="53" t="inlineStr">
        <is>
          <t>Aakanksha Swaminathan</t>
        </is>
      </c>
      <c r="BE124" s="53" t="inlineStr">
        <is>
          <t>Aakanksha Swaminathan</t>
        </is>
      </c>
      <c r="BF124" s="53" t="inlineStr">
        <is>
          <t>No</t>
        </is>
      </c>
      <c r="BG124" s="53" t="inlineStr">
        <is>
          <t>Marketing Associate</t>
        </is>
      </c>
      <c r="BH124" s="53" t="inlineStr">
        <is>
          <t>GTM Associate - New Initiatives</t>
        </is>
      </c>
      <c r="BI124" s="53" t="inlineStr">
        <is>
          <t>No</t>
        </is>
      </c>
      <c r="BJ124" s="53" t="inlineStr">
        <is>
          <t>—</t>
        </is>
      </c>
      <c r="BK124" s="53" t="inlineStr">
        <is>
          <t>—</t>
        </is>
      </c>
      <c r="BL124" s="53" t="inlineStr">
        <is>
          <t>—</t>
        </is>
      </c>
      <c r="BM124" s="53" t="inlineStr">
        <is>
          <t>Not a manager</t>
        </is>
      </c>
      <c r="BN124" s="53" t="inlineStr">
        <is>
          <t>—</t>
        </is>
      </c>
      <c r="BO124" s="53" t="inlineStr">
        <is>
          <t>—</t>
        </is>
      </c>
      <c r="BP124" s="53" t="inlineStr">
        <is>
          <t>—</t>
        </is>
      </c>
      <c r="BQ124" s="53" t="inlineStr">
        <is>
          <t>Not a manager</t>
        </is>
      </c>
      <c r="BR124" s="53" t="inlineStr">
        <is>
          <t>—</t>
        </is>
      </c>
      <c r="BS124" s="53" t="inlineStr">
        <is>
          <t>L3 – Professional / Associate</t>
        </is>
      </c>
      <c r="BT124" s="53" t="inlineStr">
        <is>
          <t>L3 – Professional / Associate</t>
        </is>
      </c>
      <c r="BU124" s="53" t="inlineStr">
        <is>
          <t>No designation change — current record value carried forward</t>
        </is>
      </c>
      <c r="BV124" s="53" t="inlineStr">
        <is>
          <t>1. Deliver committed marketing/content calendar with &gt;=90% on-time publishing
2. Meet campaign KPIs · leads/MQLs/engagement at &gt;=90% of targets
3. Grow owned channel metric · traffic / followers / engagement by &gt;=15%
4. Keep creative/content rework cycles to &lt;=2 per deliverable on average
5. Support sales with collateral/assets within agreed turnaround · 100% on time
6. Track and report campaign ROI/performance monthly with full accuracy</t>
        </is>
      </c>
      <c r="BW124" s="53" t="n"/>
      <c r="BX124" s="53" t="inlineStr">
        <is>
          <t>Global; global - DM.</t>
        </is>
      </c>
      <c r="BY124" s="53" t="n"/>
      <c r="BZ124" s="53" t="inlineStr">
        <is>
          <t>IRIS2515</t>
        </is>
      </c>
      <c r="CA124" s="53" t="inlineStr">
        <is>
          <t>Employee</t>
        </is>
      </c>
      <c r="CB124" s="53" t="inlineStr">
        <is>
          <t>Active</t>
        </is>
      </c>
      <c r="CC124" s="53" t="inlineStr">
        <is>
          <t>Aashima Singh</t>
        </is>
      </c>
      <c r="CD124" s="54" t="n">
        <v>46125</v>
      </c>
      <c r="CE124" s="53" t="inlineStr">
        <is>
          <t>Marketing Associate</t>
        </is>
      </c>
      <c r="CF124" s="53" t="inlineStr">
        <is>
          <t>GTM role - works with Aakanksha - department changed to Functional</t>
        </is>
      </c>
      <c r="CG124" s="53" t="inlineStr">
        <is>
          <t>Marketing &amp; Communications</t>
        </is>
      </c>
      <c r="CH124" s="53" t="inlineStr">
        <is>
          <t>Marketing Operations</t>
        </is>
      </c>
      <c r="CI124" s="53" t="inlineStr">
        <is>
          <t>Marketing Associate</t>
        </is>
      </c>
      <c r="CJ124" s="53" t="inlineStr">
        <is>
          <t>L3 – Professional / Associate</t>
        </is>
      </c>
      <c r="CK124" s="53" t="inlineStr">
        <is>
          <t>Aakanksha Swaminathan</t>
        </is>
      </c>
      <c r="CL124" s="53" t="inlineStr">
        <is>
          <t>N-4</t>
        </is>
      </c>
      <c r="CM124" s="53" t="inlineStr">
        <is>
          <t>Individual Contributor</t>
        </is>
      </c>
      <c r="CN124" s="53" t="inlineStr">
        <is>
          <t>Regtech</t>
        </is>
      </c>
      <c r="CO124" s="53" t="inlineStr">
        <is>
          <t>Marketing</t>
        </is>
      </c>
      <c r="CP124" s="53" t="inlineStr">
        <is>
          <t>0 years, 2 months, 7 days</t>
        </is>
      </c>
      <c r="CQ124" s="53" t="inlineStr">
        <is>
          <t>Marketing Associate</t>
        </is>
      </c>
      <c r="CR124" s="53" t="inlineStr">
        <is>
          <t>No</t>
        </is>
      </c>
      <c r="CS124" s="53" t="n">
        <v>3</v>
      </c>
      <c r="CT124" s="53" t="inlineStr">
        <is>
          <t>Medium</t>
        </is>
      </c>
      <c r="CU124" s="53" t="inlineStr">
        <is>
          <t>Core Contributor</t>
        </is>
      </c>
      <c r="CV124" s="53" t="n"/>
      <c r="CW124" s="53" t="n"/>
      <c r="CX124" s="53" t="n"/>
      <c r="CY124" s="53" t="n"/>
      <c r="CZ124" s="53" t="inlineStr">
        <is>
          <t>Digital marketing &amp; analytics; content/SEO; campaign tooling; brand &amp; creative best practices</t>
        </is>
      </c>
      <c r="DA124" s="53" t="inlineStr">
        <is>
          <t>Transition to leadership: people management &amp; delegation, mentoring/coaching, project ownership &amp; stakeholder management, prioritisation under ambiguity, presentation &amp; influence skills</t>
        </is>
      </c>
      <c r="DB124" s="53" t="inlineStr">
        <is>
          <t>Ashima's dept to be changed to Functional</t>
        </is>
      </c>
      <c r="DC124" s="53" t="n"/>
      <c r="DD124" s="53" t="n"/>
      <c r="DE124" s="53" t="n"/>
      <c r="DF124" s="53" t="n"/>
      <c r="DG124" s="53" t="n"/>
      <c r="DH124" s="53" t="n"/>
      <c r="DI124" s="53" t="n"/>
      <c r="DJ124" s="53" t="n"/>
      <c r="DK124" s="53" t="n"/>
      <c r="DL124" s="53" t="n"/>
      <c r="DM124" s="53" t="n"/>
      <c r="DN124" s="53" t="n"/>
      <c r="DO124" s="53" t="n"/>
      <c r="DP124" s="53" t="n"/>
      <c r="DQ124" s="53" t="n"/>
      <c r="DR124" s="53" t="n"/>
      <c r="DS124" s="53" t="n"/>
      <c r="DT124" s="53" t="n"/>
      <c r="DU124" s="53" t="n"/>
      <c r="DV124" s="53" t="n"/>
      <c r="DW124" s="53" t="n"/>
      <c r="DX124" s="53" t="n"/>
      <c r="DY124" s="53" t="n"/>
      <c r="DZ124" s="53" t="n"/>
      <c r="EA124" s="53" t="n"/>
      <c r="EB124" s="53" t="n"/>
      <c r="EC124" s="53" t="n"/>
      <c r="ED124" s="53" t="n"/>
      <c r="EE124" s="53" t="n"/>
      <c r="EF124" s="53" t="n"/>
      <c r="EG124" s="53" t="n"/>
      <c r="EH124" s="53" t="n"/>
      <c r="EI124" s="53" t="n"/>
      <c r="EJ124" s="53" t="n"/>
      <c r="EK124" s="53" t="n"/>
      <c r="EL124" s="53" t="n"/>
      <c r="EM124" s="53" t="n"/>
      <c r="EN124" s="53" t="n"/>
      <c r="EO124" s="53" t="n"/>
      <c r="EP124" s="53" t="n"/>
      <c r="EQ124" s="53" t="n"/>
      <c r="ER124" s="53" t="n"/>
      <c r="ES124" s="53" t="n"/>
      <c r="ET124" s="53" t="n"/>
      <c r="EU124" s="53" t="n"/>
      <c r="EV124" s="53" t="n"/>
      <c r="EW124" s="52" t="n"/>
      <c r="EX124" s="53" t="inlineStr">
        <is>
          <t>• Role / sub-team: Functional — Marketing Associate.
• Core purpose: Drive IRIS's go-to-market growth by continuously scouting new market/regulatory opportunities and converting that intelligence into concrete GTM initiatives and outreach.
• Decision-making autonomy: Can independently strategy development.
• Is this something only they do: Only my team.
• What's different about this role: Find the plays · research, decide what's worth pursuing, build systems so others can repeat it — strategy + research + enablement, not just execution.</t>
        </is>
      </c>
      <c r="EY124" s="53" t="inlineStr">
        <is>
          <t>• Key responsibilities include: New GTM initiatives; Competitor Analysis; Outreach improvement.
• Personally accountable for: GTM Initiatives, Outreach initiatives, Market &amp; competitor research.
• Impact if missed or done wrong: Business moves slower to spot where growth actually is, so competitors or regulatory windows get taken by someone else before IRIS even reacts.
• How measured: Same.</t>
        </is>
      </c>
      <c r="EZ124" s="53" t="inlineStr">
        <is>
          <t>• Current capabilities: Domain knowledge; market knowledge.
• Tools / software used: Excel; Claude.
• Workload: Rated a heavy load · 4/5 in a typical week.
• Judgment/way of working: Time management.</t>
        </is>
      </c>
      <c r="FA124" s="53" t="inlineStr">
        <is>
          <t>• Development priorities: How initiatives get greenlit and resourced, Deeper product roadmap involvement.
• Learning and Development Need: Mentoring. Better knowledge of product, market and OKRs.
• Role evolving toward: NA.</t>
        </is>
      </c>
      <c r="FB124" s="53" t="inlineStr">
        <is>
          <t>• Key challenges: Waiting for approvals.
• Support required: Structured approach.</t>
        </is>
      </c>
      <c r="FC124" s="53" t="n"/>
      <c r="FD124" s="53" t="n"/>
      <c r="FE124" s="57" t="inlineStr">
        <is>
          <t>1. Deliver committed marketing/content calendar with &gt;=90% on-time publishing
2. Meet campaign KPIs · leads/MQLs/engagement at &gt;=90% of targets
3. Grow owned channel metric · traffic / followers / engagement by &gt;=15%
4. Keep creative/content rework cycles to &lt;=2 per deliverable on average
5. Support sales with collateral/assets within agreed turnaround · 100% on time
6. Track and report campaign ROI/performance monthly with full accuracy</t>
        </is>
      </c>
      <c r="FF124" s="56" t="n"/>
      <c r="FG124" s="56" t="n"/>
      <c r="FH124" s="56" t="n"/>
      <c r="FI124" s="56" t="inlineStr">
        <is>
          <t>GTM role - works with Aakanksha - department changed to Functional</t>
        </is>
      </c>
      <c r="FJ124" s="56" t="inlineStr">
        <is>
          <t>Received · manager annual</t>
        </is>
      </c>
      <c r="FK124" s="56" t="inlineStr">
        <is>
          <t>CARBON Mapping Master · CARBON Talent Mapping · Raw</t>
        </is>
      </c>
      <c r="FL124" s="56" t="n">
        <v>19</v>
      </c>
      <c r="FM124" s="56" t="inlineStr">
        <is>
          <t>• Role / sub-team: Functional — Marketing Associate.
• Core purpose: Drive IRIS's go-to-market growth by continuously scouting new market/regulatory opportunities and converting that intelligence into concrete GTM initiatives and outreach.
• Decision-making autonomy: Can independently strategy development.
• Is this something only they do: Only my team.
• What's different about this role: Find the plays · research, decide what's worth pursuing, build systems so others can repeat it — strategy + research + enablement, not just execution.</t>
        </is>
      </c>
      <c r="FN124" s="56" t="inlineStr">
        <is>
          <t>• Key responsibilities include: New GTM initiatives; Competitor Analysis; Outreach improvement.
• Personally accountable for: GTM Initiatives, Outreach initiatives, Market &amp; competitor research.
• Impact if missed or done wrong: Business moves slower to spot where growth actually is, so competitors or regulatory windows get taken by someone else before IRIS even reacts.
• How measured: Same.</t>
        </is>
      </c>
      <c r="FO124" s="56" t="inlineStr">
        <is>
          <t>• Current capabilities: Domain knowledge; market knowledge.
• Tools / software used: Excel; Claude.
• Workload: Rated a heavy load · 4/5 in a typical week.
• Judgment/way of working: Time management.</t>
        </is>
      </c>
      <c r="FP124" s="56" t="inlineStr">
        <is>
          <t>• Development priorities: How initiatives get greenlit and resourced, Deeper product roadmap involvement.
• Learning and Development Need: Mentoring. Better knowledge of product, market and OKRs.
• Role evolving toward: NA.</t>
        </is>
      </c>
      <c r="FQ124" s="56" t="inlineStr">
        <is>
          <t>• Key challenges: Waiting for approvals.
• Support required: Structured approach.</t>
        </is>
      </c>
      <c r="FR124" s="56" t="inlineStr">
        <is>
          <t>Complexity: Evidence reads like A3: Market, regulatory and competitor research turned into GTM and outreach initiatives; no concrete examples → moved up 0.5
Autonomy: Evidence reads like A2: Claims 'strategy development' and choosing what to pursue; no concrete decision named → matches the start
Accountability: Evidence reads like A2: own survey / KRA answers · summarised by the rater; not quoted → matches the start
Leadership: Evidence reads like A2: Says builds systems so others can repeat plays; no guiding of people described → moved up 0.5
Business Impact: No survey or manager-mapping signal on criticality: kept at the start point.</t>
        </is>
      </c>
      <c r="FS124" s="56" t="inlineStr">
        <is>
          <t>Common themes in sub-family holders, all levels' answers: iris · management · gtm · drive · initiatives · growth
Common themes in sub-family holders, all levels' answers: event · management
Common themes in sub-family holders, all levels' answers: gtm
Common themes in sub-family holders, all levels' answers: strategy
If the work is missed · role-holders' themes: pipeline.</t>
        </is>
      </c>
      <c r="FT124" s="56" t="inlineStr">
        <is>
          <t>Self-identified: Product &amp; tool knowledge
For the next role: Product &amp; tool knowledge</t>
        </is>
      </c>
      <c r="FU124" s="56" t="inlineStr">
        <is>
          <t>Per-person summary · CARBON Mapping Master</t>
        </is>
      </c>
    </row>
    <row r="125" ht="90" customHeight="1">
      <c r="A125" s="51" t="inlineStr">
        <is>
          <t>◂ Back</t>
        </is>
      </c>
      <c r="B125" s="29" t="inlineStr">
        <is>
          <t>Mapped</t>
        </is>
      </c>
      <c r="C125" s="28" t="inlineStr">
        <is>
          <t>CARBON</t>
        </is>
      </c>
      <c r="D125" s="29" t="inlineStr">
        <is>
          <t>IRIS2344</t>
        </is>
      </c>
      <c r="E125" s="29" t="inlineStr">
        <is>
          <t>Medha Ganti</t>
        </is>
      </c>
      <c r="F125" s="29" t="inlineStr">
        <is>
          <t>Functional</t>
        </is>
      </c>
      <c r="G125" s="29" t="inlineStr">
        <is>
          <t>Functional Specialist</t>
        </is>
      </c>
      <c r="H125" s="29" t="inlineStr">
        <is>
          <t>Associate Product Manager – POD Lead</t>
        </is>
      </c>
      <c r="I125" s="29" t="inlineStr">
        <is>
          <t>L3 – Professional / Associate</t>
        </is>
      </c>
      <c r="J125" s="29" t="inlineStr">
        <is>
          <t>B1</t>
        </is>
      </c>
      <c r="K125" s="29" t="inlineStr">
        <is>
          <t>▲ Up</t>
        </is>
      </c>
      <c r="L125" s="29" t="inlineStr">
        <is>
          <t>Product Management</t>
        </is>
      </c>
      <c r="M125" s="29" t="inlineStr">
        <is>
          <t>Product Management</t>
        </is>
      </c>
      <c r="N125" s="29" t="n"/>
      <c r="O125" s="29" t="n">
        <v>20</v>
      </c>
      <c r="P125" s="28" t="inlineStr">
        <is>
          <t>P3 / M2</t>
        </is>
      </c>
      <c r="Q125" s="29" t="inlineStr">
        <is>
          <t>Career / · Team Lead</t>
        </is>
      </c>
      <c r="R125" s="29" t="inlineStr">
        <is>
          <t>4 Enable</t>
        </is>
      </c>
      <c r="S125" s="29" t="inlineStr">
        <is>
          <t>4–7 yrs</t>
        </is>
      </c>
      <c r="T125" s="29" t="inlineStr">
        <is>
          <t>5–8 · 4–8</t>
        </is>
      </c>
      <c r="U125" s="29" t="inlineStr">
        <is>
          <t>Product Manager</t>
        </is>
      </c>
      <c r="V125" s="29" t="inlineStr">
        <is>
          <t>IRIS Vs Competitor Benchmark — SaaS product ladder: Product Manager</t>
        </is>
      </c>
      <c r="W125" s="29" t="inlineStr">
        <is>
          <t>Pragmatic Institute Framework · 37 activities, 7 categories; AIPMM</t>
        </is>
      </c>
      <c r="X125" s="29" t="inlineStr">
        <is>
          <t>Core 3 · Future 3 · Functional 3 · Leadership 2</t>
        </is>
      </c>
      <c r="Y125" s="52" t="n">
        <v>357</v>
      </c>
      <c r="Z125" s="53" t="inlineStr">
        <is>
          <t>IRIS2344</t>
        </is>
      </c>
      <c r="AA125" s="53" t="inlineStr">
        <is>
          <t>Employee</t>
        </is>
      </c>
      <c r="AB125" s="53" t="inlineStr">
        <is>
          <t>Active</t>
        </is>
      </c>
      <c r="AC125" s="53" t="inlineStr">
        <is>
          <t>Medha Ganti</t>
        </is>
      </c>
      <c r="AD125" s="54" t="n">
        <v>45698</v>
      </c>
      <c r="AE125" s="53" t="inlineStr">
        <is>
          <t>Functional Specialist</t>
        </is>
      </c>
      <c r="AF125" s="53" t="inlineStr">
        <is>
          <t>CA</t>
        </is>
      </c>
      <c r="AG125" s="53" t="inlineStr">
        <is>
          <t>Suman Adhikary</t>
        </is>
      </c>
      <c r="AH125" s="53" t="inlineStr">
        <is>
          <t>N-4</t>
        </is>
      </c>
      <c r="AI125" s="53" t="inlineStr">
        <is>
          <t>Manager</t>
        </is>
      </c>
      <c r="AJ125" s="53" t="inlineStr">
        <is>
          <t>4 years, 0 months, 0 days</t>
        </is>
      </c>
      <c r="AK125" s="53" t="inlineStr">
        <is>
          <t>1 years, 6 months, 15 days</t>
        </is>
      </c>
      <c r="AL125" s="53" t="inlineStr">
        <is>
          <t>Regtech</t>
        </is>
      </c>
      <c r="AM125" s="53" t="inlineStr">
        <is>
          <t>CARBON</t>
        </is>
      </c>
      <c r="AN125" s="53" t="inlineStr">
        <is>
          <t>Functional</t>
        </is>
      </c>
      <c r="AO125" s="53" t="inlineStr">
        <is>
          <t>Client Engagement</t>
        </is>
      </c>
      <c r="AP125" s="53" t="inlineStr">
        <is>
          <t>No</t>
        </is>
      </c>
      <c r="AQ125" s="53" t="inlineStr">
        <is>
          <t>Client Engagement</t>
        </is>
      </c>
      <c r="AR125" s="53" t="inlineStr">
        <is>
          <t>CA + CE</t>
        </is>
      </c>
      <c r="AS125" s="53" t="inlineStr">
        <is>
          <t>Non-technical</t>
        </is>
      </c>
      <c r="AT125" s="53" t="n">
        <v>20</v>
      </c>
      <c r="AU125" s="53" t="inlineStr">
        <is>
          <t>Covered</t>
        </is>
      </c>
      <c r="AV125" s="53" t="inlineStr">
        <is>
          <t>IRIS2344</t>
        </is>
      </c>
      <c r="AW125" s="53" t="inlineStr">
        <is>
          <t>Medha Ganti</t>
        </is>
      </c>
      <c r="AX125" s="53" t="inlineStr">
        <is>
          <t>Functional</t>
        </is>
      </c>
      <c r="AY125" s="53" t="inlineStr">
        <is>
          <t>Consulting</t>
        </is>
      </c>
      <c r="AZ125" s="53" t="inlineStr">
        <is>
          <t>Product Management</t>
        </is>
      </c>
      <c r="BA125" s="53" t="inlineStr">
        <is>
          <t>Consulting</t>
        </is>
      </c>
      <c r="BB125" s="53" t="inlineStr">
        <is>
          <t>Product Management</t>
        </is>
      </c>
      <c r="BC125" s="53" t="inlineStr">
        <is>
          <t>Employee</t>
        </is>
      </c>
      <c r="BD125" s="53" t="inlineStr">
        <is>
          <t>Suman Adhikary</t>
        </is>
      </c>
      <c r="BE125" s="53" t="inlineStr">
        <is>
          <t>Sharanya Balachandran</t>
        </is>
      </c>
      <c r="BF125" s="53" t="inlineStr">
        <is>
          <t>Yes</t>
        </is>
      </c>
      <c r="BG125" s="53" t="inlineStr">
        <is>
          <t>Functional Specialist</t>
        </is>
      </c>
      <c r="BH125" s="53" t="inlineStr">
        <is>
          <t>Product Manager - Disclosure Management, Office of CFO Solutions</t>
        </is>
      </c>
      <c r="BI125" s="53" t="inlineStr">
        <is>
          <t>Yes</t>
        </is>
      </c>
      <c r="BJ125" s="53" t="n">
        <v>1</v>
      </c>
      <c r="BK125" s="53" t="n">
        <v>1</v>
      </c>
      <c r="BL125" s="53" t="n">
        <v>0</v>
      </c>
      <c r="BM125" s="53" t="inlineStr">
        <is>
          <t>Consolidate / flatten</t>
        </is>
      </c>
      <c r="BN125" s="53" t="n">
        <v>1</v>
      </c>
      <c r="BO125" s="53" t="n">
        <v>1</v>
      </c>
      <c r="BP125" s="53" t="n">
        <v>0</v>
      </c>
      <c r="BQ125" s="53" t="inlineStr">
        <is>
          <t>Consolidate / flatten</t>
        </is>
      </c>
      <c r="BR125" s="53" t="inlineStr">
        <is>
          <t>No</t>
        </is>
      </c>
      <c r="BS125" s="53" t="inlineStr">
        <is>
          <t>L3 – Professional / Associate</t>
        </is>
      </c>
      <c r="BT125" s="53" t="inlineStr">
        <is>
          <t>L4</t>
        </is>
      </c>
      <c r="BU125" s="53" t="inlineStr">
        <is>
          <t>Matched from Title Hierarchy · new designation</t>
        </is>
      </c>
      <c r="BV125" s="53" t="inlineStr">
        <is>
          <t>1. Complete Enterprise implementation projects e.g. Petrobras on or before agreed timelines. Also define, institutionalize and take back Northstar metrics back to product 
2. The roadmap around "Applied AI" should be tied to measurable business outcomes in terms of revenue contribution · New Gross ARR Target or customer usage applicability · from NN or EN clients. Each AI use cases must have a clearly articulated customer problem, and business case. By working with PM, jointly review and re-prioritise the roadmap every quarter based on new data, customer feedback, and competitive signals.
3. Define and communicate quarterly product roadmap around "AI" with 100% stakeholder alignment by working closely with PM - Monthly MOM - 100%
4. Deliver committed roadmap items on AI on schedule and provide inputs to PM --&gt; % Quarterly commitments shipped on time - ≥ 80%
5. Build capacity in extended team · CEM, Services, Support with AI use case enablement --&gt; 1 training/month
6. Lead a minimum of 3 internal product/impl/sales enablement sessions per quarter related to DM and AI usage in DM --&gt; 12
7. Support Sales with at least 5 pre-sales technical consultations per quarter. --&gt; 20
8. Ensure demos · outside India are fully customized to prospect context while maximizing reuse of existing demo assets to improve efficiency and consistency.--&gt; ≥ 70% demos advancing to Next stage · Proposal Sent</t>
        </is>
      </c>
      <c r="BW125" s="53" t="n"/>
      <c r="BX125" s="53" t="n"/>
      <c r="BY125" s="53" t="n"/>
      <c r="BZ125" s="53" t="inlineStr">
        <is>
          <t>IRIS2344</t>
        </is>
      </c>
      <c r="CA125" s="53" t="inlineStr">
        <is>
          <t>Employee</t>
        </is>
      </c>
      <c r="CB125" s="53" t="inlineStr">
        <is>
          <t>Active</t>
        </is>
      </c>
      <c r="CC125" s="53" t="inlineStr">
        <is>
          <t>Medha Ganti</t>
        </is>
      </c>
      <c r="CD125" s="54" t="n">
        <v>45698</v>
      </c>
      <c r="CE125" s="53" t="inlineStr">
        <is>
          <t>Functional Specialist</t>
        </is>
      </c>
      <c r="CF125" s="53" t="inlineStr">
        <is>
          <t>Stakeholder Management and Product Roadmap for DM product.</t>
        </is>
      </c>
      <c r="CG125" s="53" t="inlineStr">
        <is>
          <t>Consulting  Services</t>
        </is>
      </c>
      <c r="CH125" s="53" t="inlineStr">
        <is>
          <t>Product Management</t>
        </is>
      </c>
      <c r="CI125" s="53" t="inlineStr">
        <is>
          <t>Functional Specialist</t>
        </is>
      </c>
      <c r="CJ125" s="53" t="inlineStr">
        <is>
          <t>L3 – Professional / Associate</t>
        </is>
      </c>
      <c r="CK125" s="53" t="inlineStr">
        <is>
          <t>Sharanya Balachandran</t>
        </is>
      </c>
      <c r="CL125" s="53" t="inlineStr">
        <is>
          <t>N-4</t>
        </is>
      </c>
      <c r="CM125" s="53" t="inlineStr">
        <is>
          <t>Manager</t>
        </is>
      </c>
      <c r="CN125" s="53" t="inlineStr">
        <is>
          <t>Regtech</t>
        </is>
      </c>
      <c r="CO125" s="53" t="inlineStr">
        <is>
          <t>Functional</t>
        </is>
      </c>
      <c r="CP125" s="53" t="inlineStr">
        <is>
          <t>5 years, 4 months, 10 days</t>
        </is>
      </c>
      <c r="CQ125" s="53" t="inlineStr">
        <is>
          <t>Sr.Product Specialist</t>
        </is>
      </c>
      <c r="CR125" s="53" t="inlineStr">
        <is>
          <t>No</t>
        </is>
      </c>
      <c r="CS125" s="53" t="n">
        <v>3</v>
      </c>
      <c r="CT125" s="53" t="inlineStr">
        <is>
          <t>Medium</t>
        </is>
      </c>
      <c r="CU125" s="53" t="inlineStr">
        <is>
          <t>High Impact / Growth Talent</t>
        </is>
      </c>
      <c r="CV125" s="53" t="n"/>
      <c r="CW125" s="53" t="n"/>
      <c r="CX125" s="53" t="inlineStr">
        <is>
          <t>Yes</t>
        </is>
      </c>
      <c r="CY125" s="53" t="n"/>
      <c r="CZ125" s="53" t="inlineStr">
        <is>
          <t>Customer success methods; communication &amp; de-escalation; product/domain depth; ticketing &amp; SLA tools | People management: goal-setting &amp; feedback, 1:1 coaching, performance conversations</t>
        </is>
      </c>
      <c r="DA125" s="53" t="inlineStr">
        <is>
          <t>Leadership development: strategic thinking, cross-functional influence, financial/business acumen, succession &amp; talent development, change management, executive communication</t>
        </is>
      </c>
      <c r="DB125" s="53" t="inlineStr">
        <is>
          <t>Aligned to Prod role as additional now</t>
        </is>
      </c>
      <c r="DC125" s="53" t="n"/>
      <c r="DD125" s="53" t="n"/>
      <c r="DE125" s="53" t="n"/>
      <c r="DF125" s="53" t="n"/>
      <c r="DG125" s="53" t="n"/>
      <c r="DH125" s="53" t="n"/>
      <c r="DI125" s="53" t="n"/>
      <c r="DJ125" s="53" t="n"/>
      <c r="DK125" s="53" t="n"/>
      <c r="DL125" s="53" t="n"/>
      <c r="DM125" s="53" t="n"/>
      <c r="DN125" s="53" t="n"/>
      <c r="DO125" s="53" t="n"/>
      <c r="DP125" s="53" t="n"/>
      <c r="DQ125" s="53" t="n"/>
      <c r="DR125" s="53" t="n"/>
      <c r="DS125" s="53" t="n"/>
      <c r="DT125" s="53" t="n"/>
      <c r="DU125" s="53" t="n"/>
      <c r="DV125" s="53" t="n"/>
      <c r="DW125" s="53" t="n"/>
      <c r="DX125" s="53" t="n"/>
      <c r="DY125" s="53" t="n"/>
      <c r="DZ125" s="53" t="n"/>
      <c r="EA125" s="53" t="n"/>
      <c r="EB125" s="53" t="n"/>
      <c r="EC125" s="53" t="n"/>
      <c r="ED125" s="53" t="n"/>
      <c r="EE125" s="53" t="n"/>
      <c r="EF125" s="53" t="n"/>
      <c r="EG125" s="53" t="n"/>
      <c r="EH125" s="53" t="n"/>
      <c r="EI125" s="53" t="n"/>
      <c r="EJ125" s="53" t="n"/>
      <c r="EK125" s="53" t="n"/>
      <c r="EL125" s="53" t="n"/>
      <c r="EM125" s="53" t="n"/>
      <c r="EN125" s="53" t="n"/>
      <c r="EO125" s="53" t="n"/>
      <c r="EP125" s="53" t="n"/>
      <c r="EQ125" s="53" t="n"/>
      <c r="ER125" s="53" t="n"/>
      <c r="ES125" s="53" t="n"/>
      <c r="ET125" s="53" t="n"/>
      <c r="EU125" s="53" t="n"/>
      <c r="EV125" s="53" t="n"/>
      <c r="EW125" s="52" t="n"/>
      <c r="EX125" s="53" t="n"/>
      <c r="EY125" s="53" t="n"/>
      <c r="EZ125" s="53" t="n"/>
      <c r="FA125" s="53" t="n"/>
      <c r="FB125" s="53" t="n"/>
      <c r="FC125" s="53" t="n"/>
      <c r="FD125" s="53" t="n"/>
      <c r="FE125" s="57" t="inlineStr">
        <is>
          <t>1. Complete Enterprise implementation projects e.g. Petrobras on or before agreed timelines. Also define, institutionalize and take back Northstar metrics back to product 
2. The roadmap around "Applied AI" should be tied to measurable business outcomes in terms of  revenue contribution · New Gross ARR Target or customer usage applicability · from NN or EN clients. Each AI use cases must have a clearly articulated customer problem, and business case. By working with PM, jointly review and re-prioritise the roadmap every quarter based on new data, customer feedback, and competitive signals.
3. Define and communicate quarterly product roadmap around "AI" with 100% stakeholder alignment by working closely with PM - Monthly MOM - 100%
4. Deliver committed roadmap items on AI on schedule and provide inputs to PM --&gt; % Quarterly commitments shipped on time - ≥ 80%
5. Build capacity in extended team · CEM, Services, Support with AI use case enablement --&gt; 1 training/month
6. Lead a minimum of 3 internal product/impl/sales enablement sessions per quarter related to DM and AI usage in DM --&gt; 12
7. Support Sales with at least 5 pre-sales technical consultations per quarter. --&gt; 20
8. Ensure demos · outside India are fully customized to prospect context while maximizing reuse of existing demo assets to improve efficiency and consistency.--&gt; ≥ 70% demos advancing to Next stage · Proposal Sent</t>
        </is>
      </c>
      <c r="FF125" s="56" t="n"/>
      <c r="FG125" s="56" t="n"/>
      <c r="FH125" s="56" t="n"/>
      <c r="FI125" s="56" t="inlineStr">
        <is>
          <t>Stakeholder Management and Product Roadmap for DM product.</t>
        </is>
      </c>
      <c r="FJ125" s="56" t="inlineStr">
        <is>
          <t>Received · manager annual</t>
        </is>
      </c>
      <c r="FK125" s="56" t="inlineStr">
        <is>
          <t>CARBON Mapping Master · CARBON Talent Mapping · Raw</t>
        </is>
      </c>
      <c r="FL125" s="56" t="n">
        <v>20</v>
      </c>
      <c r="FM125" s="32" t="inlineStr">
        <is>
          <t>Full survey answers not in the files received · How We Grow export needed · HR</t>
        </is>
      </c>
      <c r="FN125" s="56" t="inlineStr">
        <is>
          <t>—</t>
        </is>
      </c>
      <c r="FO125" s="56" t="inlineStr">
        <is>
          <t>—</t>
        </is>
      </c>
      <c r="FP125" s="56" t="inlineStr">
        <is>
          <t>—</t>
        </is>
      </c>
      <c r="FQ125" s="56" t="inlineStr">
        <is>
          <t>—</t>
        </is>
      </c>
      <c r="FR125" s="56" t="inlineStr">
        <is>
          <t>Complexity: Evidence reads like B1: Product roadmap planning, end-to-end RFP management, competitive intelligence, demos and POCs → matches the start
Autonomy: Evidence reads like B1: Decides RFP answers, demo flow and competitive research priorities → matches the start
Accountability: Evidence reads like B1: own survey / KRA answers · summarised by the rater; not quoted → moved up 0.2
Leadership: Evidence reads like A3: Aligns stakeholders on the roadmap; 1 direct report → moved down 0.5
Business Impact: Moved +0.5: the survey / manager mapping marks it business-critical.</t>
        </is>
      </c>
      <c r="FS125" s="56" t="inlineStr">
        <is>
          <t>Common themes in role-holders' answers: product · management · customers · roadmap · shape · stakeholder
Common themes in role-holders' answers: research · demos · product · management · customer · analysis
Common themes in role-holders' answers: product
If the work is missed · role-holders' themes: delayed · roadmap · customer.</t>
        </is>
      </c>
      <c r="FT125" s="56" t="inlineStr">
        <is>
          <t>Self-identified: Product &amp; tool knowledge
For the next role: Product &amp; tool knowledge</t>
        </is>
      </c>
      <c r="FU125" s="32" t="inlineStr">
        <is>
          <t>Full survey answers not in the files received · How We Grow export needed · HR</t>
        </is>
      </c>
    </row>
    <row r="126" ht="90" customHeight="1">
      <c r="A126" s="51" t="inlineStr">
        <is>
          <t>◂ Back</t>
        </is>
      </c>
      <c r="B126" s="29" t="inlineStr">
        <is>
          <t>Mapped</t>
        </is>
      </c>
      <c r="C126" s="28" t="inlineStr">
        <is>
          <t>CARBON</t>
        </is>
      </c>
      <c r="D126" s="29" t="inlineStr">
        <is>
          <t>IRIS2308</t>
        </is>
      </c>
      <c r="E126" s="29" t="inlineStr">
        <is>
          <t>Smriti Priya</t>
        </is>
      </c>
      <c r="F126" s="29" t="inlineStr">
        <is>
          <t>Sales</t>
        </is>
      </c>
      <c r="G126" s="29" t="inlineStr">
        <is>
          <t>Senior Analyst, Strategy and Operations</t>
        </is>
      </c>
      <c r="H126" s="29" t="inlineStr">
        <is>
          <t>Senior Sales Operations Analyst</t>
        </is>
      </c>
      <c r="I126" s="29" t="inlineStr">
        <is>
          <t>L4 – Senior</t>
        </is>
      </c>
      <c r="J126" s="29" t="inlineStr">
        <is>
          <t>A3</t>
        </is>
      </c>
      <c r="K126" s="29" t="inlineStr">
        <is>
          <t>• Same level</t>
        </is>
      </c>
      <c r="L126" s="29" t="inlineStr">
        <is>
          <t>Sales &amp; Business Development</t>
        </is>
      </c>
      <c r="M126" s="29" t="inlineStr">
        <is>
          <t>Bids, RFP &amp; Sales Operations</t>
        </is>
      </c>
      <c r="N126" s="29" t="n"/>
      <c r="O126" s="29" t="n">
        <v>20</v>
      </c>
      <c r="P126" s="28" t="inlineStr">
        <is>
          <t>P2</t>
        </is>
      </c>
      <c r="Q126" s="29" t="inlineStr">
        <is>
          <t>Developing</t>
        </is>
      </c>
      <c r="R126" s="29" t="inlineStr">
        <is>
          <t>3 Apply</t>
        </is>
      </c>
      <c r="S126" s="29" t="inlineStr">
        <is>
          <t>2–4 yrs</t>
        </is>
      </c>
      <c r="T126" s="29" t="inlineStr">
        <is>
          <t>3–5 · 2–5</t>
        </is>
      </c>
      <c r="U126" s="29" t="inlineStr">
        <is>
          <t>SDR / Inside Sales</t>
        </is>
      </c>
      <c r="V126" s="29" t="inlineStr">
        <is>
          <t>IRIS Vs Competitor Benchmark — SaaS sales ladder — IC: Senior SDR</t>
        </is>
      </c>
      <c r="W126" s="29" t="inlineStr">
        <is>
          <t>SaaS sales ladder · SDR → AE → Enterprise AE → VP / CRO; MEDDICC-style qualification</t>
        </is>
      </c>
      <c r="X126" s="29" t="inlineStr">
        <is>
          <t>Core 2 · Future 2 · Functional 3 · Leadership not scored</t>
        </is>
      </c>
      <c r="Y126" s="52" t="n">
        <v>343</v>
      </c>
      <c r="Z126" s="53" t="inlineStr">
        <is>
          <t>IRIS2308</t>
        </is>
      </c>
      <c r="AA126" s="53" t="inlineStr">
        <is>
          <t>Employee</t>
        </is>
      </c>
      <c r="AB126" s="53" t="inlineStr">
        <is>
          <t>Active</t>
        </is>
      </c>
      <c r="AC126" s="53" t="inlineStr">
        <is>
          <t>Smriti Priya</t>
        </is>
      </c>
      <c r="AD126" s="54" t="n">
        <v>45551</v>
      </c>
      <c r="AE126" s="53" t="inlineStr">
        <is>
          <t>Senior Analyst, Strategy and Operations</t>
        </is>
      </c>
      <c r="AF126" s="53" t="inlineStr">
        <is>
          <t>MBA</t>
        </is>
      </c>
      <c r="AG126" s="53" t="inlineStr">
        <is>
          <t>Medha Ganti</t>
        </is>
      </c>
      <c r="AH126" s="53" t="inlineStr">
        <is>
          <t>N-5</t>
        </is>
      </c>
      <c r="AI126" s="53" t="inlineStr">
        <is>
          <t>Individual Contributor</t>
        </is>
      </c>
      <c r="AJ126" s="53" t="inlineStr">
        <is>
          <t>2 years, 0 months, 0 days</t>
        </is>
      </c>
      <c r="AK126" s="53" t="inlineStr">
        <is>
          <t>1 years, 11 months, 9 days</t>
        </is>
      </c>
      <c r="AL126" s="53" t="inlineStr">
        <is>
          <t>Regtech</t>
        </is>
      </c>
      <c r="AM126" s="53" t="inlineStr">
        <is>
          <t>CARBON</t>
        </is>
      </c>
      <c r="AN126" s="53" t="inlineStr">
        <is>
          <t>Sales</t>
        </is>
      </c>
      <c r="AO126" s="53" t="inlineStr">
        <is>
          <t>Sales</t>
        </is>
      </c>
      <c r="AP126" s="53" t="inlineStr">
        <is>
          <t>No</t>
        </is>
      </c>
      <c r="AQ126" s="53" t="inlineStr">
        <is>
          <t>Sales, Marketing &amp; Support</t>
        </is>
      </c>
      <c r="AR126" s="53" t="inlineStr">
        <is>
          <t>Sales</t>
        </is>
      </c>
      <c r="AS126" s="53" t="inlineStr">
        <is>
          <t>Non-technical</t>
        </is>
      </c>
      <c r="AT126" s="53" t="n">
        <v>20</v>
      </c>
      <c r="AU126" s="53" t="inlineStr">
        <is>
          <t>Covered</t>
        </is>
      </c>
      <c r="AV126" s="53" t="inlineStr">
        <is>
          <t>IRIS2308</t>
        </is>
      </c>
      <c r="AW126" s="53" t="inlineStr">
        <is>
          <t>Smriti Priya</t>
        </is>
      </c>
      <c r="AX126" s="53" t="inlineStr">
        <is>
          <t>Sales</t>
        </is>
      </c>
      <c r="AY126" s="53" t="inlineStr">
        <is>
          <t>Sales &amp; Business Development</t>
        </is>
      </c>
      <c r="AZ126" s="53" t="inlineStr">
        <is>
          <t>Sales Enablement / Bid Management</t>
        </is>
      </c>
      <c r="BA126" s="53" t="inlineStr">
        <is>
          <t>Sales Operations</t>
        </is>
      </c>
      <c r="BB126" s="53" t="inlineStr">
        <is>
          <t>Strategy &amp; Operations</t>
        </is>
      </c>
      <c r="BC126" s="53" t="inlineStr">
        <is>
          <t>Employee</t>
        </is>
      </c>
      <c r="BD126" s="53" t="inlineStr">
        <is>
          <t>Medha Ganti</t>
        </is>
      </c>
      <c r="BE126" s="53" t="inlineStr">
        <is>
          <t>Medha Ganti</t>
        </is>
      </c>
      <c r="BF126" s="53" t="inlineStr">
        <is>
          <t>No</t>
        </is>
      </c>
      <c r="BG126" s="53" t="inlineStr">
        <is>
          <t>Senior Analyst, Strategy and Operations</t>
        </is>
      </c>
      <c r="BH126" s="53" t="inlineStr">
        <is>
          <t>Senior Associate - Strategy &amp; Operations</t>
        </is>
      </c>
      <c r="BI126" s="53" t="inlineStr">
        <is>
          <t>Yes</t>
        </is>
      </c>
      <c r="BJ126" s="53" t="inlineStr">
        <is>
          <t>—</t>
        </is>
      </c>
      <c r="BK126" s="53" t="inlineStr">
        <is>
          <t>—</t>
        </is>
      </c>
      <c r="BL126" s="53" t="inlineStr">
        <is>
          <t>—</t>
        </is>
      </c>
      <c r="BM126" s="53" t="inlineStr">
        <is>
          <t>Not a manager</t>
        </is>
      </c>
      <c r="BN126" s="53" t="inlineStr">
        <is>
          <t>—</t>
        </is>
      </c>
      <c r="BO126" s="53" t="inlineStr">
        <is>
          <t>—</t>
        </is>
      </c>
      <c r="BP126" s="53" t="inlineStr">
        <is>
          <t>—</t>
        </is>
      </c>
      <c r="BQ126" s="53" t="inlineStr">
        <is>
          <t>Not a manager</t>
        </is>
      </c>
      <c r="BR126" s="53" t="inlineStr">
        <is>
          <t>—</t>
        </is>
      </c>
      <c r="BS126" s="53" t="inlineStr">
        <is>
          <t>L4 – Senior</t>
        </is>
      </c>
      <c r="BT126" s="53" t="inlineStr">
        <is>
          <t>L4 – Senior</t>
        </is>
      </c>
      <c r="BU126" s="53" t="inlineStr">
        <is>
          <t>No exact Title Hierarchy match — retained current record value</t>
        </is>
      </c>
      <c r="BV126" s="53" t="inlineStr">
        <is>
          <t>1. Achieve assigned annual sales / revenue quota · target: 100% of number
2. Build and maintain qualified pipeline of &gt;=3x quota coverage
3. Maintain healthy win rate on qualified opportunities
4. Keep CRM hygiene at 100% · all opportunities &amp; activities logged &amp; current
5. Drive new logo acquisition: meet assigned new-account target for the year
6. Achieve forecast accuracy within +/-15% each quarter
7. Maintain average sales cycle within target band for the segment</t>
        </is>
      </c>
      <c r="BW126" s="53" t="n"/>
      <c r="BX126" s="53" t="inlineStr">
        <is>
          <t>Global</t>
        </is>
      </c>
      <c r="BY126" s="53" t="n"/>
      <c r="BZ126" s="53" t="inlineStr">
        <is>
          <t>IRIS2308</t>
        </is>
      </c>
      <c r="CA126" s="53" t="inlineStr">
        <is>
          <t>Employee</t>
        </is>
      </c>
      <c r="CB126" s="53" t="inlineStr">
        <is>
          <t>Active</t>
        </is>
      </c>
      <c r="CC126" s="53" t="inlineStr">
        <is>
          <t>Smriti Priya</t>
        </is>
      </c>
      <c r="CD126" s="54" t="n">
        <v>45551</v>
      </c>
      <c r="CE126" s="53" t="inlineStr">
        <is>
          <t>Senior Analyst, Strategy and Operations</t>
        </is>
      </c>
      <c r="CF126" s="53" t="inlineStr">
        <is>
          <t>Actual - mostly coordinates and furnishes data in RFP, volume of RFP is not high - 2-3 RFT in a month max</t>
        </is>
      </c>
      <c r="CG126" s="53" t="inlineStr">
        <is>
          <t>Sales Operations</t>
        </is>
      </c>
      <c r="CH126" s="53" t="inlineStr">
        <is>
          <t>Strategy &amp; Operations</t>
        </is>
      </c>
      <c r="CI126" s="53" t="inlineStr">
        <is>
          <t>Senior Analyst, Strategy and Operations</t>
        </is>
      </c>
      <c r="CJ126" s="53" t="inlineStr">
        <is>
          <t>L4 – Senior</t>
        </is>
      </c>
      <c r="CK126" s="53" t="inlineStr">
        <is>
          <t>Medha Ganti</t>
        </is>
      </c>
      <c r="CL126" s="53" t="inlineStr">
        <is>
          <t>N-5</t>
        </is>
      </c>
      <c r="CM126" s="53" t="inlineStr">
        <is>
          <t>Individual Contributor</t>
        </is>
      </c>
      <c r="CN126" s="53" t="inlineStr">
        <is>
          <t>Regtech</t>
        </is>
      </c>
      <c r="CO126" s="53" t="inlineStr">
        <is>
          <t>Sales</t>
        </is>
      </c>
      <c r="CP126" s="53" t="inlineStr">
        <is>
          <t>3 years, 9 months, 4 days</t>
        </is>
      </c>
      <c r="CQ126" s="53" t="inlineStr">
        <is>
          <t>Senior Associate - Strategy &amp; Operations</t>
        </is>
      </c>
      <c r="CR126" s="53" t="inlineStr">
        <is>
          <t>No</t>
        </is>
      </c>
      <c r="CS126" s="53" t="n">
        <v>3</v>
      </c>
      <c r="CT126" s="53" t="inlineStr">
        <is>
          <t>Low</t>
        </is>
      </c>
      <c r="CU126" s="53" t="inlineStr">
        <is>
          <t>Reliable Specialist</t>
        </is>
      </c>
      <c r="CV126" s="53" t="n"/>
      <c r="CW126" s="53" t="n"/>
      <c r="CX126" s="53" t="n"/>
      <c r="CY126" s="53" t="n"/>
      <c r="CZ126" s="53" t="inlineStr">
        <is>
          <t>Consultative &amp; solution selling; negotiation; CRM discipline; SaaS/RegTech product &amp; domain knowledge</t>
        </is>
      </c>
      <c r="DA126" s="53" t="inlineStr">
        <is>
          <t>Transition to leadership: people management &amp; delegation, mentoring/coaching, project ownership &amp; stakeholder management, prioritisation under ambiguity, presentation &amp; influence skills</t>
        </is>
      </c>
      <c r="DB126" s="53" t="inlineStr">
        <is>
          <t>Title to be standardized to: Senior Associate - Strategy &amp; Operations</t>
        </is>
      </c>
      <c r="DC126" s="53" t="n"/>
      <c r="DD126" s="53" t="n"/>
      <c r="DE126" s="53" t="n"/>
      <c r="DF126" s="53" t="n"/>
      <c r="DG126" s="53" t="n"/>
      <c r="DH126" s="53" t="n"/>
      <c r="DI126" s="53" t="n"/>
      <c r="DJ126" s="53" t="n"/>
      <c r="DK126" s="53" t="n"/>
      <c r="DL126" s="53" t="n"/>
      <c r="DM126" s="53" t="n"/>
      <c r="DN126" s="53" t="n"/>
      <c r="DO126" s="53" t="n"/>
      <c r="DP126" s="53" t="n"/>
      <c r="DQ126" s="53" t="n"/>
      <c r="DR126" s="53" t="n"/>
      <c r="DS126" s="53" t="n"/>
      <c r="DT126" s="53" t="n"/>
      <c r="DU126" s="53" t="n"/>
      <c r="DV126" s="53" t="n"/>
      <c r="DW126" s="53" t="n"/>
      <c r="DX126" s="53" t="n"/>
      <c r="DY126" s="53" t="n"/>
      <c r="DZ126" s="53" t="n"/>
      <c r="EA126" s="53" t="n"/>
      <c r="EB126" s="53" t="n"/>
      <c r="EC126" s="53" t="n"/>
      <c r="ED126" s="53" t="n"/>
      <c r="EE126" s="53" t="n"/>
      <c r="EF126" s="53" t="n"/>
      <c r="EG126" s="53" t="n"/>
      <c r="EH126" s="53" t="n"/>
      <c r="EI126" s="53" t="n"/>
      <c r="EJ126" s="53" t="n"/>
      <c r="EK126" s="53" t="n"/>
      <c r="EL126" s="53" t="n"/>
      <c r="EM126" s="53" t="n"/>
      <c r="EN126" s="53" t="n"/>
      <c r="EO126" s="53" t="n"/>
      <c r="EP126" s="53" t="n"/>
      <c r="EQ126" s="53" t="n"/>
      <c r="ER126" s="53" t="n"/>
      <c r="ES126" s="53" t="n"/>
      <c r="ET126" s="53" t="n"/>
      <c r="EU126" s="53" t="n"/>
      <c r="EV126" s="53" t="n"/>
      <c r="EW126" s="52" t="n"/>
      <c r="EX126" s="53" t="inlineStr">
        <is>
          <t>Streamline and support the sales process by coordinating cross-functional inputs, managing RFPs/tenders and commercial requirements, and ensuring timely, accurate execution.; RFP Tracking Response consolidation Process Improvement Deadline Management</t>
        </is>
      </c>
      <c r="EY126" s="53" t="inlineStr">
        <is>
          <t>RFP Responses Vendor Registration Compliance documentation Legal Coordination; For ensuring that my deliverables are accurate, complete and submitted on time, particularly for RFPs/Tenders, Commission Calculation, Compliance Requirements, Vendor Registration and Questionnaires.; RFx Management Bid Compliance Legal Coordination Cross-Functional inputs Exec reporting Vendor Management; Affect the quality and completeness of the final RFP response submission, create last minute rework and potentially impact our participation in the active opportunities, Thus, impacting new bus</t>
        </is>
      </c>
      <c r="EZ126" s="53" t="inlineStr">
        <is>
          <t>Preparing Business Docs Product Knowledge Info sec knowledge; HubSpot TendersOnTime Claude; Technically, it’s about knowing the compliance requirements and having a solid repository to draw from. But doing it well is knowing when to deviate from that repository, reading what is required</t>
        </is>
      </c>
      <c r="FA126" s="53" t="inlineStr">
        <is>
          <t>I wish I’d known earlier how much the role would require balancing structured processes with constantly changing priorities. Understanding the stakeholders, decision-making process, and where to find the right information upfront would have made the transition much smoother.; Learning by doing Hands on experience Learnt from a failure Working with tenured peop Product knowledge Understanding the need; I would like greater exposure to strategic planning, commercial decision-making, and end-to-end ownership, along with opportunities to develop leadership and stakeholder-management skills.</t>
        </is>
      </c>
      <c r="FB126" s="53" t="inlineStr">
        <is>
          <t>Cross functional inputs Multiple urgent requests Competitive priorities Too many parallel tasks Unclear ownership; Clearer ownership and prioritization of cross-team requests, so urgent work can be handled without constantly switching between priorities.</t>
        </is>
      </c>
      <c r="FC126" s="53" t="n"/>
      <c r="FD126" s="53" t="n"/>
      <c r="FE126" s="57" t="inlineStr">
        <is>
          <t>1. Achieve assigned annual sales / revenue quota · target: 100% of number
2. Build and maintain qualified pipeline of &gt;=3x quota coverage
3. Maintain healthy win rate · &gt;=20% on qualified opportunities
4. Keep CRM hygiene at 100% · all opportunities &amp; activities logged &amp; current
5. Drive new logo acquisition: meet assigned new-account target for the year
6. Achieve forecast accuracy within +/-15% each quarter
7. Maintain average sales cycle within target band for the segment</t>
        </is>
      </c>
      <c r="FF126" s="56" t="n"/>
      <c r="FG126" s="56" t="n"/>
      <c r="FH126" s="56" t="n"/>
      <c r="FI126" s="56" t="inlineStr">
        <is>
          <t>Actual - mostly coordinates and furnishes data in RFP, volume of RFP is not high - 2-3 RFT in a month max</t>
        </is>
      </c>
      <c r="FJ126" s="56" t="inlineStr">
        <is>
          <t>Received · manager annual</t>
        </is>
      </c>
      <c r="FK126" s="56" t="inlineStr">
        <is>
          <t>CARBON Mapping Master · CARBON Talent Mapping · Raw</t>
        </is>
      </c>
      <c r="FL126" s="56" t="n">
        <v>20</v>
      </c>
      <c r="FM126" s="56" t="inlineStr">
        <is>
          <t>Streamline and support the sales process by coordinating cross-functional inputs, managing RFPs/tenders and commercial requirements, and ensuring timely, accurate execution.; RFP Tracking Response consolidation Process Improvement Deadline Management</t>
        </is>
      </c>
      <c r="FN126" s="56" t="inlineStr">
        <is>
          <t>RFP Responses Vendor Registration Compliance documentation Legal Coordination; For ensuring that my deliverables are accurate, complete and submitted on time, particularly for RFPs/Tenders, Commission Calculation, Compliance Requirements, Vendor Registration and Questionnaires.; RFx Management Bid Compliance Legal Coordination Cross-Functional inputs Exec reporting Vendor Management; Affect the quality and completeness of the final RFP response submission, create last minute rework and potentially impact our participation in the active opportunities, Thus, impacting new bus</t>
        </is>
      </c>
      <c r="FO126" s="56" t="inlineStr">
        <is>
          <t>Preparing Business Docs Product Knowledge Info sec knowledge; HubSpot TendersOnTime Claude; Technically, it’s about knowing the compliance requirements and having a solid repository to draw from. But doing it well is knowing when to deviate from that repository, reading what is required</t>
        </is>
      </c>
      <c r="FP126" s="56" t="inlineStr">
        <is>
          <t>I wish I’d known earlier how much the role would require balancing structured processes with constantly changing priorities. Understanding the stakeholders, decision-making process, and where to find the right information upfront would have made the transition much smoother.; Learning by doing Hands on experience Learnt from a failure Working with tenured peop Product knowledge Understanding the need; I would like greater exposure to strategic planning, commercial decision-making, and end-to-end ownership, along with opportunities to develop leadership and stakeholder-management skills.</t>
        </is>
      </c>
      <c r="FQ126" s="56" t="inlineStr">
        <is>
          <t>Cross functional inputs Multiple urgent requests Competitive priorities Too many parallel tasks Unclear ownership; Clearer ownership and prioritization of cross-team requests, so urgent work can be handled without constantly switching between priorities.</t>
        </is>
      </c>
      <c r="FR126" s="56" t="inlineStr">
        <is>
          <t>Complexity: Evidence reads like A3: Manages RFPs/tenders, bid compliance, vendor registration, questionnaires, commission calculation and legal coordination → matches the start
Autonomy: Evidence reads like A3: Decides RFP tracking, response consolidation, process improvement; judges when to deviate from the repository → matches the start
Accountability: Evidence reads like A3: Accuracy and on-time submission of RFP responses; errors can cost participation in opportunities → matches the start
Leadership: Evidence reads like A1: Coordinates cross-functional inputs; no guidance of others described → moved down 0.5
Business Impact: No survey or manager-mapping signal on criticality: kept at the start point.</t>
        </is>
      </c>
      <c r="FS126" s="56" t="n"/>
      <c r="FT126" s="56" t="inlineStr">
        <is>
          <t>Self-identified: Leadership &amp; people management · Strategy &amp; business acumen · Broader exposure &amp; ownership
For the next role: Leadership &amp; people management · Client, sales &amp; stakeholders · Strategy &amp; business acumen · Broader exposure &amp; ownership</t>
        </is>
      </c>
      <c r="FU126" s="56" t="inlineStr">
        <is>
          <t>Per-person summary · CARBON Mapping Master</t>
        </is>
      </c>
    </row>
    <row r="127" ht="90" customHeight="1">
      <c r="A127" s="51" t="inlineStr">
        <is>
          <t>◂ Back</t>
        </is>
      </c>
      <c r="B127" s="29" t="inlineStr">
        <is>
          <t>Mapped</t>
        </is>
      </c>
      <c r="C127" s="28" t="inlineStr">
        <is>
          <t>CARBON</t>
        </is>
      </c>
      <c r="D127" s="29" t="inlineStr">
        <is>
          <t>IRIS2301</t>
        </is>
      </c>
      <c r="E127" s="29" t="inlineStr">
        <is>
          <t>Priyadarsini Kairali</t>
        </is>
      </c>
      <c r="F127" s="29" t="inlineStr">
        <is>
          <t>Functional</t>
        </is>
      </c>
      <c r="G127" s="29" t="inlineStr">
        <is>
          <t>Functional Specialist</t>
        </is>
      </c>
      <c r="H127" s="29" t="inlineStr">
        <is>
          <t>Associate Product Manager – POD Lead</t>
        </is>
      </c>
      <c r="I127" s="29" t="inlineStr">
        <is>
          <t>L3 – Professional / Associate</t>
        </is>
      </c>
      <c r="J127" s="29" t="inlineStr">
        <is>
          <t>B1</t>
        </is>
      </c>
      <c r="K127" s="29" t="inlineStr">
        <is>
          <t>▲ Up</t>
        </is>
      </c>
      <c r="L127" s="29" t="inlineStr">
        <is>
          <t>Product Management</t>
        </is>
      </c>
      <c r="M127" s="29" t="inlineStr">
        <is>
          <t>Product Management</t>
        </is>
      </c>
      <c r="N127" s="29" t="n"/>
      <c r="O127" s="29" t="n">
        <v>20</v>
      </c>
      <c r="P127" s="28" t="inlineStr">
        <is>
          <t>P3 / M2</t>
        </is>
      </c>
      <c r="Q127" s="29" t="inlineStr">
        <is>
          <t>Career / · Team Lead</t>
        </is>
      </c>
      <c r="R127" s="29" t="inlineStr">
        <is>
          <t>4 Enable</t>
        </is>
      </c>
      <c r="S127" s="29" t="inlineStr">
        <is>
          <t>4–7 yrs</t>
        </is>
      </c>
      <c r="T127" s="29" t="inlineStr">
        <is>
          <t>5–8 · 4–8</t>
        </is>
      </c>
      <c r="U127" s="29" t="inlineStr">
        <is>
          <t>Product Manager</t>
        </is>
      </c>
      <c r="V127" s="29" t="inlineStr">
        <is>
          <t>IRIS Vs Competitor Benchmark — SaaS product ladder: Product Manager</t>
        </is>
      </c>
      <c r="W127" s="29" t="inlineStr">
        <is>
          <t>Pragmatic Institute Framework · 37 activities, 7 categories; AIPMM</t>
        </is>
      </c>
      <c r="X127" s="29" t="inlineStr">
        <is>
          <t>Core 3 · Future 3 · Functional 3 · Leadership 2</t>
        </is>
      </c>
      <c r="Y127" s="52" t="n">
        <v>339</v>
      </c>
      <c r="Z127" s="53" t="inlineStr">
        <is>
          <t>IRIS2301</t>
        </is>
      </c>
      <c r="AA127" s="53" t="inlineStr">
        <is>
          <t>Employee</t>
        </is>
      </c>
      <c r="AB127" s="53" t="inlineStr">
        <is>
          <t>Active</t>
        </is>
      </c>
      <c r="AC127" s="53" t="inlineStr">
        <is>
          <t>Priyadarsini Kairali</t>
        </is>
      </c>
      <c r="AD127" s="54" t="n">
        <v>45537</v>
      </c>
      <c r="AE127" s="53" t="inlineStr">
        <is>
          <t>Functional Specialist</t>
        </is>
      </c>
      <c r="AF127" s="53" t="inlineStr">
        <is>
          <t>MBA</t>
        </is>
      </c>
      <c r="AG127" s="53" t="inlineStr">
        <is>
          <t>Suman Adhikary</t>
        </is>
      </c>
      <c r="AH127" s="53" t="inlineStr">
        <is>
          <t>N-4</t>
        </is>
      </c>
      <c r="AI127" s="53" t="inlineStr">
        <is>
          <t>Manager</t>
        </is>
      </c>
      <c r="AJ127" s="53" t="inlineStr">
        <is>
          <t>5 years, 9 months, 0 days</t>
        </is>
      </c>
      <c r="AK127" s="53" t="inlineStr">
        <is>
          <t>1 years, 11 months, 23 days</t>
        </is>
      </c>
      <c r="AL127" s="53" t="inlineStr">
        <is>
          <t>Regtech</t>
        </is>
      </c>
      <c r="AM127" s="53" t="inlineStr">
        <is>
          <t>CARBON</t>
        </is>
      </c>
      <c r="AN127" s="53" t="inlineStr">
        <is>
          <t>Functional</t>
        </is>
      </c>
      <c r="AO127" s="53" t="inlineStr">
        <is>
          <t>Client Engagement</t>
        </is>
      </c>
      <c r="AP127" s="53" t="inlineStr">
        <is>
          <t>No</t>
        </is>
      </c>
      <c r="AQ127" s="53" t="inlineStr">
        <is>
          <t>Client Engagement</t>
        </is>
      </c>
      <c r="AR127" s="53" t="inlineStr">
        <is>
          <t>CA + CE</t>
        </is>
      </c>
      <c r="AS127" s="53" t="inlineStr">
        <is>
          <t>Non-technical</t>
        </is>
      </c>
      <c r="AT127" s="53" t="n">
        <v>20</v>
      </c>
      <c r="AU127" s="53" t="inlineStr">
        <is>
          <t>Covered</t>
        </is>
      </c>
      <c r="AV127" s="53" t="inlineStr">
        <is>
          <t>IRIS2301</t>
        </is>
      </c>
      <c r="AW127" s="53" t="inlineStr">
        <is>
          <t>Priyadarsini Kairali</t>
        </is>
      </c>
      <c r="AX127" s="53" t="inlineStr">
        <is>
          <t>Functional</t>
        </is>
      </c>
      <c r="AY127" s="53" t="inlineStr">
        <is>
          <t>Consulting</t>
        </is>
      </c>
      <c r="AZ127" s="53" t="inlineStr">
        <is>
          <t>Implementation &amp; Solutions Consulting</t>
        </is>
      </c>
      <c r="BA127" s="53" t="inlineStr">
        <is>
          <t>Consulting</t>
        </is>
      </c>
      <c r="BB127" s="53" t="inlineStr">
        <is>
          <t>Product Management</t>
        </is>
      </c>
      <c r="BC127" s="53" t="inlineStr">
        <is>
          <t>Employee</t>
        </is>
      </c>
      <c r="BD127" s="53" t="inlineStr">
        <is>
          <t>Suman Adhikary</t>
        </is>
      </c>
      <c r="BE127" s="53" t="inlineStr">
        <is>
          <t>Anuradha RK</t>
        </is>
      </c>
      <c r="BF127" s="53" t="inlineStr">
        <is>
          <t>Yes</t>
        </is>
      </c>
      <c r="BG127" s="53" t="inlineStr">
        <is>
          <t>Functional Specialist</t>
        </is>
      </c>
      <c r="BH127" s="53" t="inlineStr">
        <is>
          <t>Lead Strategy &amp; Solutions Consultant - Disclosure Management, Office of CFO Solutions</t>
        </is>
      </c>
      <c r="BI127" s="53" t="inlineStr">
        <is>
          <t>Yes</t>
        </is>
      </c>
      <c r="BJ127" s="53" t="n">
        <v>3</v>
      </c>
      <c r="BK127" s="53" t="n">
        <v>3</v>
      </c>
      <c r="BL127" s="53" t="n">
        <v>0</v>
      </c>
      <c r="BM127" s="53" t="inlineStr">
        <is>
          <t>Review</t>
        </is>
      </c>
      <c r="BN127" s="53" t="n">
        <v>2</v>
      </c>
      <c r="BO127" s="53" t="n">
        <v>2</v>
      </c>
      <c r="BP127" s="53" t="n">
        <v>0</v>
      </c>
      <c r="BQ127" s="53" t="inlineStr">
        <is>
          <t>Consolidate / flatten</t>
        </is>
      </c>
      <c r="BR127" s="53" t="inlineStr">
        <is>
          <t>Yes</t>
        </is>
      </c>
      <c r="BS127" s="53" t="inlineStr">
        <is>
          <t>L3 – Professional / Associate</t>
        </is>
      </c>
      <c r="BT127" s="53" t="inlineStr">
        <is>
          <t>L3</t>
        </is>
      </c>
      <c r="BU127" s="53" t="inlineStr">
        <is>
          <t>Matched from Title Hierarchy · new designation</t>
        </is>
      </c>
      <c r="BV127" s="53" t="inlineStr">
        <is>
          <t>1. Drive Mid-Market and SMB implementation projects on or before agreed timelines. --&gt; 100%
2. Maintain a high CSAT score during the onboarding/implementation phase. --&gt; 90%
3. Drive high active user adoption post go-live --&gt; % Users active at 15 days post go-live - ≥ 80%
4. "Have at least one formal strategic advisory session per project to align on long-term platform usage, roadmap fit, and business goals beyond initial implementation. This is basically a session which Implementation consultant will take with the customer" --&gt; " ≥ 1 per quarter · 4 per year"
5. Track training-to-adoption correlation --&gt; % Trained users becoming active system users within 30 days - ≥ 80%
6. "Achieve high post-training knowledge assessment scores · Based on Training Feedback forms" --&gt; Avg score on post-training knowledge assessment - ≥ 80%
7. Support Sales / BD with pre-sales technical consultations  --&gt; 10 / quarter
8. Ensure demos · outside India are fully customized to prospect context while maximizing reuse of existing demo assets to improve efficiency and consistency. --&gt; ≥ 70% demos advancing to Next stage · Proposal Sent
9. Facilitate at least one internal knowledge-sharing session per quarter covering delivery learnings, industry trends, or methodology/process improvements. --&gt; # Knowledge sessions per quarter ≥ 1
10. Drive performance driven culture - Identify, Build, Mentor and Support - Build more team who can run effective sales support, including training our SDRs or sales professionals --&gt; 5 / quarter</t>
        </is>
      </c>
      <c r="BW127" s="53" t="n"/>
      <c r="BX127" s="53" t="inlineStr">
        <is>
          <t>EU; APAC; US.</t>
        </is>
      </c>
      <c r="BY127" s="53" t="n"/>
      <c r="BZ127" s="53" t="inlineStr">
        <is>
          <t>IRIS2301</t>
        </is>
      </c>
      <c r="CA127" s="53" t="inlineStr">
        <is>
          <t>Employee</t>
        </is>
      </c>
      <c r="CB127" s="53" t="inlineStr">
        <is>
          <t>Active</t>
        </is>
      </c>
      <c r="CC127" s="53" t="inlineStr">
        <is>
          <t>Priyadarsini Kairali</t>
        </is>
      </c>
      <c r="CD127" s="54" t="n">
        <v>45537</v>
      </c>
      <c r="CE127" s="53" t="inlineStr">
        <is>
          <t>Functional Specialist</t>
        </is>
      </c>
      <c r="CF127" s="53" t="inlineStr">
        <is>
          <t>. Revenue impact: Handle the pre-sales process where we can represent our product and solutions effectively to prospects, which leads to deal closures.</t>
        </is>
      </c>
      <c r="CG127" s="53" t="inlineStr">
        <is>
          <t>Consulting  Services</t>
        </is>
      </c>
      <c r="CH127" s="53" t="inlineStr">
        <is>
          <t>Financial Reporting Advisory</t>
        </is>
      </c>
      <c r="CI127" s="53" t="inlineStr">
        <is>
          <t>Functional Specialist</t>
        </is>
      </c>
      <c r="CJ127" s="53" t="inlineStr">
        <is>
          <t>L3 – Professional / Associate</t>
        </is>
      </c>
      <c r="CK127" s="53" t="inlineStr">
        <is>
          <t>Anuradha RK</t>
        </is>
      </c>
      <c r="CL127" s="53" t="inlineStr">
        <is>
          <t>N-4</t>
        </is>
      </c>
      <c r="CM127" s="53" t="inlineStr">
        <is>
          <t>Manager</t>
        </is>
      </c>
      <c r="CN127" s="53" t="inlineStr">
        <is>
          <t>Regtech</t>
        </is>
      </c>
      <c r="CO127" s="53" t="inlineStr">
        <is>
          <t>Functional</t>
        </is>
      </c>
      <c r="CP127" s="53" t="inlineStr">
        <is>
          <t>7 years, 6 months, 18 days</t>
        </is>
      </c>
      <c r="CQ127" s="53" t="inlineStr">
        <is>
          <t>Lead Strategy &amp; Solutions Consulting</t>
        </is>
      </c>
      <c r="CR127" s="53" t="inlineStr">
        <is>
          <t>No</t>
        </is>
      </c>
      <c r="CS127" s="53" t="n">
        <v>3</v>
      </c>
      <c r="CT127" s="53" t="inlineStr">
        <is>
          <t>Medium</t>
        </is>
      </c>
      <c r="CU127" s="53" t="inlineStr">
        <is>
          <t>High Impact / Growth Talent</t>
        </is>
      </c>
      <c r="CV127" s="53" t="n"/>
      <c r="CW127" s="53" t="n"/>
      <c r="CX127" s="53" t="inlineStr">
        <is>
          <t>Yes</t>
        </is>
      </c>
      <c r="CY127" s="53" t="n"/>
      <c r="CZ127" s="53" t="inlineStr">
        <is>
          <t>Customer success methods; communication &amp; de-escalation; product/domain depth; ticketing &amp; SLA tools | People management: goal-setting &amp; feedback, 1:1 coaching, performance conversations</t>
        </is>
      </c>
      <c r="DA127" s="53" t="inlineStr">
        <is>
          <t>Leadership development: strategic thinking, cross-functional influence, financial/business acumen, succession &amp; talent development, change management, executive communication</t>
        </is>
      </c>
      <c r="DB127" s="53" t="inlineStr">
        <is>
          <t>Suggested a designation of "Solutions &amp; Strategy Lead"</t>
        </is>
      </c>
      <c r="DC127" s="53" t="n"/>
      <c r="DD127" s="53" t="n"/>
      <c r="DE127" s="53" t="n"/>
      <c r="DF127" s="53" t="n"/>
      <c r="DG127" s="53" t="n"/>
      <c r="DH127" s="53" t="n"/>
      <c r="DI127" s="53" t="n"/>
      <c r="DJ127" s="53" t="n"/>
      <c r="DK127" s="53" t="n"/>
      <c r="DL127" s="53" t="n"/>
      <c r="DM127" s="53" t="n"/>
      <c r="DN127" s="53" t="n"/>
      <c r="DO127" s="53" t="n"/>
      <c r="DP127" s="53" t="n"/>
      <c r="DQ127" s="53" t="n"/>
      <c r="DR127" s="53" t="n"/>
      <c r="DS127" s="53" t="n"/>
      <c r="DT127" s="53" t="n"/>
      <c r="DU127" s="53" t="n"/>
      <c r="DV127" s="53" t="n"/>
      <c r="DW127" s="53" t="n"/>
      <c r="DX127" s="53" t="n"/>
      <c r="DY127" s="53" t="n"/>
      <c r="DZ127" s="53" t="n"/>
      <c r="EA127" s="53" t="n"/>
      <c r="EB127" s="53" t="n"/>
      <c r="EC127" s="53" t="n"/>
      <c r="ED127" s="53" t="n"/>
      <c r="EE127" s="53" t="n"/>
      <c r="EF127" s="53" t="n"/>
      <c r="EG127" s="53" t="n"/>
      <c r="EH127" s="53" t="n"/>
      <c r="EI127" s="53" t="n"/>
      <c r="EJ127" s="53" t="n"/>
      <c r="EK127" s="53" t="n"/>
      <c r="EL127" s="53" t="n"/>
      <c r="EM127" s="53" t="n"/>
      <c r="EN127" s="53" t="n"/>
      <c r="EO127" s="53" t="n"/>
      <c r="EP127" s="53" t="n"/>
      <c r="EQ127" s="53" t="n"/>
      <c r="ER127" s="53" t="n"/>
      <c r="ES127" s="53" t="n"/>
      <c r="ET127" s="53" t="n"/>
      <c r="EU127" s="53" t="n"/>
      <c r="EV127" s="53" t="n"/>
      <c r="EW127" s="52" t="n"/>
      <c r="EX127" s="53" t="inlineStr">
        <is>
          <t>• Role / sub-team: Functional — Functional Specialist.
• Core purpose: Expand the Disclosure Management revenue, improve the adoption of the product amongst customers and enhance the quality of the features offered.
• Decision-making autonomy: Can independently approach for client calls; How to pitch; What feedback I give.
• Is this something only they do: Few of us do parts of it · different permutations &amp; combinations.
• What's different about this role: Process; Quality; Level of Risk; Enterprise customer with potential for upsell.</t>
        </is>
      </c>
      <c r="EY127" s="53" t="inlineStr">
        <is>
          <t>• Key responsibilities include: DC and Demos; Pricing Inputs; Partner Enablement; Customer Enablement; Product Feedback.
• Personally accountable for: Customer clarity on what product can do.
• Impact if missed or done wrong: Customer can be irritated; Prospect can go cold; Revenue can be delayed.
• How measured: KPI should be Different.</t>
        </is>
      </c>
      <c r="EZ127" s="53" t="inlineStr">
        <is>
          <t>• Current capabilities: PreSales; AI; Project Management; Product Management; Solution Consulting.
• Tools / software used: Claude; HubSpot; SAP; ETL; MS365.
• Workload: Rated a very heavy load · 5/5 in a typical week.
• Judgment/way of working: Yes absolutely; Process alone does not work here; Have to be creative to get great results.</t>
        </is>
      </c>
      <c r="FA127" s="53" t="inlineStr">
        <is>
          <t>• Development priorities: AI based workflows; Product Management.
• Learning and Development Need: Domain training; Implementation. Culture and information dissemination in the company; That visibility is more rewarded than impact of work; Cyclical nature of work; Would have done KPIs setting in the first week itself.
• Role evolving toward: AI based tools save time; Partner enablement is an increasing priority; Resources crunch; Attrition causing more people to be hired and trained.</t>
        </is>
      </c>
      <c r="FB127" s="53" t="inlineStr">
        <is>
          <t>• Key challenges: Too much workload; Constant doubts; Quality checks; Uneven distribution of wo.
• Support required: Clear job description; Map roles based on past performance, skills and interest; Do NOT make everyone do everything; Make solid KPIs and revisit them from time to time; Clear plan of action agreed and acted upon and do not leave initiatives mid way.</t>
        </is>
      </c>
      <c r="FC127" s="53" t="n"/>
      <c r="FD127" s="53" t="n"/>
      <c r="FE127" s="57" t="inlineStr">
        <is>
          <t>1. Drive Mid-Market and SMB implementation projects on or before agreed timelines. --&gt; 100%
2. Maintain a high CSAT score during the onboarding/implementation phase. --&gt; 90%
3. Drive high active user adoption post go-live --&gt; % Users active at 15 days post go-live - ≥ 80%
4. "Have at least one formal strategic advisory session per project to align on long-term platform usage, roadmap fit, and business goals beyond initial implementation. This is basically a session which Implementation consultant will take with the customer" --&gt; " ≥ 1 per quarter · 4 per year"
5. Track training-to-adoption correlation --&gt; % Trained users becoming active system users within 30 days - ≥ 80%
6. "Achieve high post-training knowledge assessment scores · Based on Training Feedback forms" --&gt; Avg score on post-training knowledge assessment - ≥ 80%
7. Support Sales / BD with pre-sales technical consultations  --&gt; 10 / quarter
8. Ensure demos · outside India are fully customized to prospect context while maximizing reuse of existing demo assets to improve efficiency and consistency. --&gt; ≥ 70% demos advancing to Next stage · Proposal Sent
9. Facilitate at least one internal knowledge-sharing session per quarter covering delivery learnings, industry trends, or methodology/process improvements. --&gt; # Knowledge sessions per quarter ≥ 1
10. Drive performance driven culture - Identify, Build, Mentor and Support - Build more team who can run effective sales support, including training our SDRs or sales professionals --&gt; 5 / quarter</t>
        </is>
      </c>
      <c r="FF127" s="56" t="n"/>
      <c r="FG127" s="56" t="n"/>
      <c r="FH127" s="56" t="n"/>
      <c r="FI127" s="56" t="inlineStr">
        <is>
          <t>. Revenue impact: Handle the pre-sales process where we can represent our product and solutions effectively to prospects, which leads to deal closures.</t>
        </is>
      </c>
      <c r="FJ127" s="56" t="inlineStr">
        <is>
          <t>Received · manager annual</t>
        </is>
      </c>
      <c r="FK127" s="56" t="inlineStr">
        <is>
          <t>CARBON Mapping Master · CARBON Talent Mapping · Raw</t>
        </is>
      </c>
      <c r="FL127" s="56" t="n">
        <v>20</v>
      </c>
      <c r="FM127" s="56" t="inlineStr">
        <is>
          <t>• Role / sub-team: Functional — Functional Specialist.
• Core purpose: Expand the Disclosure Management revenue, improve the adoption of the product amongst customers and enhance the quality of the features offered.
• Decision-making autonomy: Can independently approach for client calls; How to pitch; What feedback I give.
• Is this something only they do: Few of us do parts of it · different permutations &amp; combinations.
• What's different about this role: Process; Quality; Level of Risk; Enterprise customer with potential for upsell.</t>
        </is>
      </c>
      <c r="FN127" s="56" t="inlineStr">
        <is>
          <t>• Key responsibilities include: DC and Demos; Pricing Inputs; Partner Enablement; Customer Enablement; Product Feedback.
• Personally accountable for: Customer clarity on what product can do.
• Impact if missed or done wrong: Customer can be irritated; Prospect can go cold; Revenue can be delayed.
• How measured: KPI should be Different.</t>
        </is>
      </c>
      <c r="FO127" s="56" t="inlineStr">
        <is>
          <t>• Current capabilities: PreSales; AI; Project Management; Product Management; Solution Consulting.
• Tools / software used: Claude; HubSpot; SAP; ETL; MS365.
• Workload: Rated a very heavy load · 5/5 in a typical week.
• Judgment/way of working: Yes absolutely; Process alone does not work here; Have to be creative to get great results.</t>
        </is>
      </c>
      <c r="FP127" s="56" t="inlineStr">
        <is>
          <t>• Development priorities: AI based workflows; Product Management.
• Learning and Development Need: Domain training; Implementation. Culture and information dissemination in the company; That visibility is more rewarded than impact of work; Cyclical nature of work; Would have done KPIs setting in the first week itself.
• Role evolving toward: AI based tools save time; Partner enablement is an increasing priority; Resources crunch; Attrition causing more people to be hired and trained.</t>
        </is>
      </c>
      <c r="FQ127" s="56" t="inlineStr">
        <is>
          <t>• Key challenges: Too much workload; Constant doubts; Quality checks; Uneven distribution of wo.
• Support required: Clear job description; Map roles based on past performance, skills and interest; Do NOT make everyone do everything; Make solid KPIs and revisit them from time to time; Clear plan of action agreed and acted upon and do not leave initiatives mid way.</t>
        </is>
      </c>
      <c r="FR127" s="56" t="inlineStr">
        <is>
          <t>Complexity: Evidence reads like B1: Discovery calls and demos for enterprise customers, pricing inputs, partner and customer enablement → matches the start
Autonomy: Evidence reads like A3: Decides approach for client calls, how to pitch and feedback given → moved down 0.5
Accountability: Evidence reads like A3: Customer clarity on product capability; errors delay revenue or cool prospects → moved down 0.5
Leadership: Evidence reads like A3: Enables partners and customers; 2 direct reports → moved down 0.5
Business Impact: Moved +0.5: the survey / manager mapping marks it business-critical.</t>
        </is>
      </c>
      <c r="FS127" s="56" t="inlineStr">
        <is>
          <t>Common themes in role-holders' answers: product · management · customers · roadmap · shape · stakeholder
Common themes in role-holders' answers: research · demos · product · management · customer · analysis
Common themes in role-holders' answers: product
If the work is missed · role-holders' themes: delayed · roadmap · customer.</t>
        </is>
      </c>
      <c r="FT127" s="56" t="inlineStr">
        <is>
          <t>Self-identified: AI / automation · Product &amp; tool knowledge
For the next role: AI / automation · Product &amp; tool knowledge</t>
        </is>
      </c>
      <c r="FU127" s="56" t="inlineStr">
        <is>
          <t>Per-person summary · CARBON Mapping Master</t>
        </is>
      </c>
    </row>
    <row r="128" ht="90" customHeight="1">
      <c r="A128" s="51" t="inlineStr">
        <is>
          <t>◂ Back</t>
        </is>
      </c>
      <c r="B128" s="29" t="inlineStr">
        <is>
          <t>Mapped</t>
        </is>
      </c>
      <c r="C128" s="28" t="inlineStr">
        <is>
          <t>CARBON</t>
        </is>
      </c>
      <c r="D128" s="29" t="inlineStr">
        <is>
          <t>IRIS2463</t>
        </is>
      </c>
      <c r="E128" s="29" t="inlineStr">
        <is>
          <t>Nandit Verma</t>
        </is>
      </c>
      <c r="F128" s="29" t="inlineStr">
        <is>
          <t>Functional</t>
        </is>
      </c>
      <c r="G128" s="29" t="inlineStr">
        <is>
          <t>Functional Specialist</t>
        </is>
      </c>
      <c r="H128" s="29" t="inlineStr">
        <is>
          <t>Functional Specialist</t>
        </is>
      </c>
      <c r="I128" s="29" t="inlineStr">
        <is>
          <t>L3 – Professional / Associate</t>
        </is>
      </c>
      <c r="J128" s="29" t="inlineStr">
        <is>
          <t>B1</t>
        </is>
      </c>
      <c r="K128" s="29" t="inlineStr">
        <is>
          <t>▲ Up</t>
        </is>
      </c>
      <c r="L128" s="29" t="inlineStr">
        <is>
          <t>Solution Consulting &amp; Implementation</t>
        </is>
      </c>
      <c r="M128" s="29" t="inlineStr">
        <is>
          <t>Solution Consulting &amp; Implementation</t>
        </is>
      </c>
      <c r="N128" s="29" t="n"/>
      <c r="O128" s="29" t="n">
        <v>20</v>
      </c>
      <c r="P128" s="28" t="inlineStr">
        <is>
          <t>P3 / M2</t>
        </is>
      </c>
      <c r="Q128" s="29" t="inlineStr">
        <is>
          <t>Career / · Team Lead</t>
        </is>
      </c>
      <c r="R128" s="29" t="inlineStr">
        <is>
          <t>4 Enable</t>
        </is>
      </c>
      <c r="S128" s="29" t="inlineStr">
        <is>
          <t>4–7 yrs</t>
        </is>
      </c>
      <c r="T128" s="29" t="inlineStr">
        <is>
          <t>5–8 · 4–8</t>
        </is>
      </c>
      <c r="U128" s="29" t="inlineStr">
        <is>
          <t>Senior Consultant</t>
        </is>
      </c>
      <c r="V128" s="29" t="inlineStr">
        <is>
          <t>Big Four: Senior Consultant · Regnology: BA · Reg Reporting</t>
        </is>
      </c>
      <c r="W128" s="29" t="inlineStr">
        <is>
          <t>TSIA professional services; PMI; BABOK</t>
        </is>
      </c>
      <c r="X128" s="29" t="inlineStr">
        <is>
          <t>Core 3 · Future 3 · Functional 3 · Leadership 1</t>
        </is>
      </c>
      <c r="Y128" s="52" t="n">
        <v>435</v>
      </c>
      <c r="Z128" s="53" t="inlineStr">
        <is>
          <t>IRIS2463</t>
        </is>
      </c>
      <c r="AA128" s="53" t="inlineStr">
        <is>
          <t>Employee</t>
        </is>
      </c>
      <c r="AB128" s="53" t="inlineStr">
        <is>
          <t>Active</t>
        </is>
      </c>
      <c r="AC128" s="53" t="inlineStr">
        <is>
          <t>Nandit Verma</t>
        </is>
      </c>
      <c r="AD128" s="54" t="n">
        <v>46030</v>
      </c>
      <c r="AE128" s="53" t="inlineStr">
        <is>
          <t>Functional Specialist</t>
        </is>
      </c>
      <c r="AF128" s="53" t="inlineStr">
        <is>
          <t>B.E</t>
        </is>
      </c>
      <c r="AG128" s="53" t="inlineStr">
        <is>
          <t>Priyadarsini Kairali</t>
        </is>
      </c>
      <c r="AH128" s="53" t="inlineStr">
        <is>
          <t>N-5</t>
        </is>
      </c>
      <c r="AI128" s="53" t="inlineStr">
        <is>
          <t>Individual Contributor</t>
        </is>
      </c>
      <c r="AJ128" s="53" t="inlineStr">
        <is>
          <t>4 years, 3 months, 0 days</t>
        </is>
      </c>
      <c r="AK128" s="53" t="inlineStr">
        <is>
          <t>0 years, 7 months, 17 days</t>
        </is>
      </c>
      <c r="AL128" s="53" t="inlineStr">
        <is>
          <t>Regtech</t>
        </is>
      </c>
      <c r="AM128" s="53" t="inlineStr">
        <is>
          <t>CARBON</t>
        </is>
      </c>
      <c r="AN128" s="53" t="inlineStr">
        <is>
          <t>Functional</t>
        </is>
      </c>
      <c r="AO128" s="53" t="inlineStr">
        <is>
          <t>Client Engagement</t>
        </is>
      </c>
      <c r="AP128" s="53" t="inlineStr">
        <is>
          <t>No</t>
        </is>
      </c>
      <c r="AQ128" s="53" t="inlineStr">
        <is>
          <t>Client Engagement</t>
        </is>
      </c>
      <c r="AR128" s="53" t="inlineStr">
        <is>
          <t>CE</t>
        </is>
      </c>
      <c r="AS128" s="53" t="inlineStr">
        <is>
          <t>Non-technical</t>
        </is>
      </c>
      <c r="AT128" s="53" t="n">
        <v>20</v>
      </c>
      <c r="AU128" s="53" t="inlineStr">
        <is>
          <t>Covered</t>
        </is>
      </c>
      <c r="AV128" s="53" t="inlineStr">
        <is>
          <t>IRIS2463</t>
        </is>
      </c>
      <c r="AW128" s="53" t="inlineStr">
        <is>
          <t>Nandit Verma</t>
        </is>
      </c>
      <c r="AX128" s="53" t="inlineStr">
        <is>
          <t>Functional</t>
        </is>
      </c>
      <c r="AY128" s="53" t="inlineStr">
        <is>
          <t>Consulting</t>
        </is>
      </c>
      <c r="AZ128" s="53" t="inlineStr">
        <is>
          <t>Implementation &amp; Solutions Consulting</t>
        </is>
      </c>
      <c r="BA128" s="53" t="inlineStr">
        <is>
          <t>Consulting</t>
        </is>
      </c>
      <c r="BB128" s="53" t="n"/>
      <c r="BC128" s="53" t="inlineStr">
        <is>
          <t>Employee</t>
        </is>
      </c>
      <c r="BD128" s="53" t="inlineStr">
        <is>
          <t>Priyadarsini Kairali</t>
        </is>
      </c>
      <c r="BE128" s="53" t="inlineStr">
        <is>
          <t>Priyadarsini Kairali</t>
        </is>
      </c>
      <c r="BF128" s="53" t="inlineStr">
        <is>
          <t>No</t>
        </is>
      </c>
      <c r="BG128" s="53" t="inlineStr">
        <is>
          <t>Functional Specialist</t>
        </is>
      </c>
      <c r="BH128" s="53" t="inlineStr">
        <is>
          <t>Functional Specialist</t>
        </is>
      </c>
      <c r="BI128" s="53" t="inlineStr">
        <is>
          <t>No</t>
        </is>
      </c>
      <c r="BJ128" s="53" t="inlineStr">
        <is>
          <t>—</t>
        </is>
      </c>
      <c r="BK128" s="53" t="inlineStr">
        <is>
          <t>—</t>
        </is>
      </c>
      <c r="BL128" s="53" t="inlineStr">
        <is>
          <t>—</t>
        </is>
      </c>
      <c r="BM128" s="53" t="inlineStr">
        <is>
          <t>Not a manager</t>
        </is>
      </c>
      <c r="BN128" s="53" t="inlineStr">
        <is>
          <t>—</t>
        </is>
      </c>
      <c r="BO128" s="53" t="inlineStr">
        <is>
          <t>—</t>
        </is>
      </c>
      <c r="BP128" s="53" t="inlineStr">
        <is>
          <t>—</t>
        </is>
      </c>
      <c r="BQ128" s="53" t="inlineStr">
        <is>
          <t>Not a manager</t>
        </is>
      </c>
      <c r="BR128" s="53" t="inlineStr">
        <is>
          <t>—</t>
        </is>
      </c>
      <c r="BS128" s="53" t="inlineStr">
        <is>
          <t>L3 – Professional / Associate</t>
        </is>
      </c>
      <c r="BT128" s="53" t="inlineStr">
        <is>
          <t>L3 – Professional / Associate</t>
        </is>
      </c>
      <c r="BU128" s="53" t="inlineStr">
        <is>
          <t>No designation change — current record value carried forward</t>
        </is>
      </c>
      <c r="BV128" s="53" t="inlineStr">
        <is>
          <t>OKR Link</t>
        </is>
      </c>
      <c r="BW128" s="53" t="n"/>
      <c r="BX128" s="53" t="inlineStr">
        <is>
          <t>Global - DM.</t>
        </is>
      </c>
      <c r="BY128" s="53" t="n"/>
      <c r="BZ128" s="53" t="inlineStr">
        <is>
          <t>IRIS2463</t>
        </is>
      </c>
      <c r="CA128" s="53" t="inlineStr">
        <is>
          <t>Employee</t>
        </is>
      </c>
      <c r="CB128" s="53" t="inlineStr">
        <is>
          <t>Active</t>
        </is>
      </c>
      <c r="CC128" s="53" t="inlineStr">
        <is>
          <t>Nandit Verma</t>
        </is>
      </c>
      <c r="CD128" s="54" t="n">
        <v>46030</v>
      </c>
      <c r="CE128" s="53" t="inlineStr">
        <is>
          <t>Functional Specialist</t>
        </is>
      </c>
      <c r="CF128" s="53" t="inlineStr">
        <is>
          <t>Tag with Sales team to give product demo to the clients and post onboarding of customers, they help in implementation</t>
        </is>
      </c>
      <c r="CG128" s="53" t="inlineStr">
        <is>
          <t>Consulting  Services</t>
        </is>
      </c>
      <c r="CH128" s="53" t="inlineStr">
        <is>
          <t>Financial Reporting Advisory</t>
        </is>
      </c>
      <c r="CI128" s="53" t="inlineStr">
        <is>
          <t>Functional Specialist</t>
        </is>
      </c>
      <c r="CJ128" s="53" t="inlineStr">
        <is>
          <t>L3 – Professional / Associate</t>
        </is>
      </c>
      <c r="CK128" s="53" t="inlineStr">
        <is>
          <t>Priyadarsini Kairali</t>
        </is>
      </c>
      <c r="CL128" s="53" t="inlineStr">
        <is>
          <t>N-5</t>
        </is>
      </c>
      <c r="CM128" s="53" t="inlineStr">
        <is>
          <t>Individual Contributor</t>
        </is>
      </c>
      <c r="CN128" s="53" t="inlineStr">
        <is>
          <t>Regtech</t>
        </is>
      </c>
      <c r="CO128" s="53" t="inlineStr">
        <is>
          <t>Functional</t>
        </is>
      </c>
      <c r="CP128" s="53" t="inlineStr">
        <is>
          <t>4 years, 8 months, 12 days</t>
        </is>
      </c>
      <c r="CQ128" s="53" t="inlineStr">
        <is>
          <t>Functional Specialist</t>
        </is>
      </c>
      <c r="CR128" s="53" t="inlineStr">
        <is>
          <t>No</t>
        </is>
      </c>
      <c r="CS128" s="53" t="n">
        <v>4</v>
      </c>
      <c r="CT128" s="53" t="inlineStr">
        <is>
          <t>Medium</t>
        </is>
      </c>
      <c r="CU128" s="53" t="inlineStr">
        <is>
          <t>High Impact / Growth Talent</t>
        </is>
      </c>
      <c r="CV128" s="53" t="n"/>
      <c r="CW128" s="53" t="n"/>
      <c r="CX128" s="53" t="n"/>
      <c r="CY128" s="53" t="n"/>
      <c r="CZ128" s="53" t="inlineStr">
        <is>
          <t>Customer success methods; communication &amp; de-escalation; product/domain depth; ticketing &amp; SLA tools</t>
        </is>
      </c>
      <c r="DA128" s="53" t="inlineStr">
        <is>
          <t>Transition to leadership: people management &amp; delegation, mentoring/coaching, project ownership &amp; stakeholder management, prioritisation under ambiguity, presentation &amp; influence skills</t>
        </is>
      </c>
      <c r="DB128" s="53" t="n"/>
      <c r="DC128" s="53" t="n"/>
      <c r="DD128" s="53" t="n"/>
      <c r="DE128" s="53" t="n"/>
      <c r="DF128" s="53" t="n"/>
      <c r="DG128" s="53" t="n"/>
      <c r="DH128" s="53" t="n"/>
      <c r="DI128" s="53" t="n"/>
      <c r="DJ128" s="53" t="n"/>
      <c r="DK128" s="53" t="n"/>
      <c r="DL128" s="53" t="n"/>
      <c r="DM128" s="53" t="n"/>
      <c r="DN128" s="53" t="n"/>
      <c r="DO128" s="53" t="n"/>
      <c r="DP128" s="53" t="n"/>
      <c r="DQ128" s="53" t="n"/>
      <c r="DR128" s="53" t="n"/>
      <c r="DS128" s="53" t="n"/>
      <c r="DT128" s="53" t="n"/>
      <c r="DU128" s="53" t="n"/>
      <c r="DV128" s="53" t="n"/>
      <c r="DW128" s="53" t="n"/>
      <c r="DX128" s="53" t="n"/>
      <c r="DY128" s="53" t="n"/>
      <c r="DZ128" s="53" t="n"/>
      <c r="EA128" s="53" t="n"/>
      <c r="EB128" s="53" t="n"/>
      <c r="EC128" s="53" t="n"/>
      <c r="ED128" s="53" t="n"/>
      <c r="EE128" s="53" t="n"/>
      <c r="EF128" s="53" t="n"/>
      <c r="EG128" s="53" t="n"/>
      <c r="EH128" s="53" t="n"/>
      <c r="EI128" s="53" t="n"/>
      <c r="EJ128" s="53" t="n"/>
      <c r="EK128" s="53" t="n"/>
      <c r="EL128" s="53" t="n"/>
      <c r="EM128" s="53" t="n"/>
      <c r="EN128" s="53" t="n"/>
      <c r="EO128" s="53" t="n"/>
      <c r="EP128" s="53" t="n"/>
      <c r="EQ128" s="53" t="n"/>
      <c r="ER128" s="53" t="n"/>
      <c r="ES128" s="53" t="n"/>
      <c r="ET128" s="53" t="n"/>
      <c r="EU128" s="53" t="n"/>
      <c r="EV128" s="53" t="n"/>
      <c r="EW128" s="52" t="n"/>
      <c r="EX128" s="53" t="inlineStr">
        <is>
          <t>• Role / sub-team: Functional — Functional Specialist.
• Core purpose: My role involves working directly with clients after they onboard as customers. I understand their requirements, help implement the solution based on their needs, train users on the platform; and support them during adoption. I also coordinate with internal teams to resolve bugs, address any solution gaps, and ensure clients have a smooth and positive experience using the product.; To ensure customers successfully realize value from the solution by translating their business requirements into an effective implementation, driving adoption. Contribute to the product growth; To ensure customers successfully realize value from the solution by translating their business requirements into an effective implementation, driving adoption.
• Decision-making autonomy: Can independently project setup activities; New product features sugg.
• Is this something only they do: Only us, our team only is responsible for those set of activities and tasks.
• What's different about this role: Pre Sales Activities, Discovery calls, Demos, Product feature bug testing.</t>
        </is>
      </c>
      <c r="EY128" s="53" t="inlineStr">
        <is>
          <t>• Key responsibilities include: Implementation Delivery; Successful Supp Handover; whitepaper and blogs; Customer Adoption.
• Personally accountable for: Successful on time project delivery, client training and adoption. Identifying product bugs.
• Impact if missed or done wrong: Errors or delays in implementation, training, or issue resolution impacts the client's ability to prepare, review, and file reports accurately and on time. filing delays, increased compliance risks.
• How measured: Within the team, it is same as everyone.</t>
        </is>
      </c>
      <c r="EZ128" s="53" t="inlineStr">
        <is>
          <t>• Current capabilities: Requirements Gathering; Stakeholder Management; Customer Onboarding; Project Implementation; Solution Design; Product Adoption; Functional Testing.
• Tools / software used: Excel word Powerpoint; Adobe inDesign; Microsoft Copilot.
• Workload: Rated a heavy load · 4/5 in a typical week.
• Judgment/way of working: Domain knowledge - Financial Reporting for US and EMEA markets, their specific XBRL tagging
Mandates, taxonomies; Translating customer feedback into actionable product improvements.; Building trust and credibility with clients; Prioritizing issues based on business impact rather than just urgency.; Identifying risks early and proactively addressing them before they impact reporting or filing deadlines.</t>
        </is>
      </c>
      <c r="FA128" s="53" t="inlineStr">
        <is>
          <t>• Development priorities: Own Discovery Calls, Engage more into Demos, Handle RFPs.
• Learning and Development Need: Project delivery; Stakeholder management. Getting Proper KPI alignment and focus on them while learning and understanding about the product.; Proper Product training and onboarding.
• Role evolving toward: Alignment of KPIs/ OKRs are changing frequently. Moving into the new role requires to be proficient in the tasks which are not part of our OKRs.</t>
        </is>
      </c>
      <c r="FB128" s="53" t="inlineStr">
        <is>
          <t>• Key challenges: Random tasks assigned.
• Support required: Introduce more roles which define proper responsibilities. Eg. Designated Pre Sales Consultant, Designated QA Tester. Solution Architect etc.</t>
        </is>
      </c>
      <c r="FC128" s="53" t="n"/>
      <c r="FD128" s="53" t="n"/>
      <c r="FE128" s="57" t="inlineStr">
        <is>
          <t>OKR Link</t>
        </is>
      </c>
      <c r="FF128" s="56" t="n"/>
      <c r="FG128" s="56" t="n"/>
      <c r="FH128" s="56" t="n"/>
      <c r="FI128" s="56" t="inlineStr">
        <is>
          <t>Tag with Sales team to give product demo to the clients and post onboarding of customers, they help in implementation</t>
        </is>
      </c>
      <c r="FJ128" s="56" t="inlineStr">
        <is>
          <t>Received · manager annual</t>
        </is>
      </c>
      <c r="FK128" s="56" t="inlineStr">
        <is>
          <t>CARBON Mapping Master · CARBON Talent Mapping · Raw</t>
        </is>
      </c>
      <c r="FL128" s="56" t="n">
        <v>20</v>
      </c>
      <c r="FM128" s="56" t="inlineStr">
        <is>
          <t>• Role / sub-team: Functional — Functional Specialist.
• Core purpose: My role involves working directly with clients after they onboard as customers. I understand their requirements, help implement the solution based on their needs, train users on the platform; and support them during adoption. I also coordinate with internal teams to resolve bugs, address any solution gaps, and ensure clients have a smooth and positive experience using the product.; To ensure customers successfully realize value from the solution by translating their business requirements into an effective implementation, driving adoption. Contribute to the product growth; To ensure customers successfully realize value from the solution by translating their business requirements into an effective implementation, driving adoption.
• Decision-making autonomy: Can independently project setup activities; New product features sugg.
• Is this something only they do: Only us, our team only is responsible for those set of activities and tasks.
• What's different about this role: Pre Sales Activities, Discovery calls, Demos, Product feature bug testing.</t>
        </is>
      </c>
      <c r="FN128" s="56" t="inlineStr">
        <is>
          <t>• Key responsibilities include: Implementation Delivery; Successful Supp Handover; whitepaper and blogs; Customer Adoption.
• Personally accountable for: Successful on time project delivery, client training and adoption. Identifying product bugs.
• Impact if missed or done wrong: Errors or delays in implementation, training, or issue resolution impacts the client's ability to prepare, review, and file reports accurately and on time. filing delays, increased compliance risks.
• How measured: Within the team, it is same as everyone.</t>
        </is>
      </c>
      <c r="FO128" s="56" t="inlineStr">
        <is>
          <t>• Current capabilities: Requirements Gathering; Stakeholder Management; Customer Onboarding; Project Implementation; Solution Design; Product Adoption; Functional Testing.
• Tools / software used: Excel word Powerpoint; Adobe inDesign; Microsoft Copilot.
• Workload: Rated a heavy load · 4/5 in a typical week.
• Judgment/way of working: Domain knowledge - Financial Reporting for US and EMEA markets, their specific XBRL tagging
Mandates, taxonomies; Translating customer feedback into actionable product improvements.; Building trust and credibility with clients; Prioritizing issues based on business impact rather than just urgency.; Identifying risks early and proactively addressing them before they impact reporting or filing deadlines.</t>
        </is>
      </c>
      <c r="FP128" s="56" t="inlineStr">
        <is>
          <t>• Development priorities: Own Discovery Calls, Engage more into Demos, Handle RFPs.
• Learning and Development Need: Project delivery; Stakeholder management. Getting Proper KPI alignment and focus on them while learning and understanding about the product.; Proper Product training and onboarding.
• Role evolving toward: Alignment of KPIs/ OKRs are changing frequently. Moving into the new role requires to be proficient in the tasks which are not part of our OKRs.</t>
        </is>
      </c>
      <c r="FQ128" s="56" t="inlineStr">
        <is>
          <t>• Key challenges: Random tasks assigned.
• Support required: Introduce more roles which define proper responsibilities. Eg. Designated Pre Sales Consultant, Designated QA Tester. Solution Architect etc.</t>
        </is>
      </c>
      <c r="FR128" s="56" t="inlineStr">
        <is>
          <t>Complexity: Evidence reads like B1: Translates client requirements into implementations; US/EMEA financial reporting and XBRL mandate knowledge; bug testing → matches the start
Autonomy: Evidence reads like A3: Decides project set-up activities; suggests product features → moved down 0.5
Accountability: Evidence reads like B1: own survey / KRA answers · summarised by the rater; not quoted → matches the start
Leadership: Evidence reads like A2: Coordinates internal teams on bugs and gaps; no juniors guided → moved down 0.5
Business Impact: No survey or manager-mapping signal on criticality: kept at the start point.</t>
        </is>
      </c>
      <c r="FS128" s="56" t="inlineStr">
        <is>
          <t>Common themes in role-holders' answers: iris · product · clients · platform · carbon · dm
Common themes in role-holders' answers: delivery · demos · implementation · testing · client
Common themes in role-holders' answers: implementation · marketing · product
Common themes in role-holders' answers: client · accountable · demos · implementation · training
Common themes in role-holders' answers: project · activities · features
If the work is missed · role-holders' themes: client · market.</t>
        </is>
      </c>
      <c r="FT128" s="56" t="inlineStr">
        <is>
          <t>Self-identified: Client, sales &amp; stakeholders
For the next role: Client, sales &amp; stakeholders</t>
        </is>
      </c>
      <c r="FU128" s="56" t="inlineStr">
        <is>
          <t>Per-person summary · CARBON Mapping Master</t>
        </is>
      </c>
    </row>
    <row r="129" ht="90" customHeight="1">
      <c r="A129" s="51" t="inlineStr">
        <is>
          <t>◂ Back</t>
        </is>
      </c>
      <c r="B129" s="29" t="inlineStr">
        <is>
          <t>Mapped</t>
        </is>
      </c>
      <c r="C129" s="28" t="inlineStr">
        <is>
          <t>CARBON</t>
        </is>
      </c>
      <c r="D129" s="29" t="inlineStr">
        <is>
          <t>IRIS2421</t>
        </is>
      </c>
      <c r="E129" s="29" t="inlineStr">
        <is>
          <t>Prathamesh Patil</t>
        </is>
      </c>
      <c r="F129" s="29" t="inlineStr">
        <is>
          <t>Functional</t>
        </is>
      </c>
      <c r="G129" s="29" t="inlineStr">
        <is>
          <t>Functional Analyst</t>
        </is>
      </c>
      <c r="H129" s="29" t="inlineStr">
        <is>
          <t>Senior Functional Analyst</t>
        </is>
      </c>
      <c r="I129" s="29" t="inlineStr">
        <is>
          <t>L3 – Professional / Associate</t>
        </is>
      </c>
      <c r="J129" s="29" t="inlineStr">
        <is>
          <t>A3</t>
        </is>
      </c>
      <c r="K129" s="29" t="inlineStr">
        <is>
          <t>▲ Up</t>
        </is>
      </c>
      <c r="L129" s="29" t="inlineStr">
        <is>
          <t>Solution Consulting &amp; Implementation</t>
        </is>
      </c>
      <c r="M129" s="29" t="inlineStr">
        <is>
          <t>Solution Consulting &amp; Implementation</t>
        </is>
      </c>
      <c r="N129" s="29" t="n"/>
      <c r="O129" s="29" t="n">
        <v>19</v>
      </c>
      <c r="P129" s="28" t="inlineStr">
        <is>
          <t>P2</t>
        </is>
      </c>
      <c r="Q129" s="29" t="inlineStr">
        <is>
          <t>Developing</t>
        </is>
      </c>
      <c r="R129" s="29" t="inlineStr">
        <is>
          <t>3 Apply</t>
        </is>
      </c>
      <c r="S129" s="29" t="inlineStr">
        <is>
          <t>2–4 yrs</t>
        </is>
      </c>
      <c r="T129" s="29" t="inlineStr">
        <is>
          <t>3–5 · 2–5</t>
        </is>
      </c>
      <c r="U129" s="29" t="inlineStr">
        <is>
          <t>Implementation Consultant</t>
        </is>
      </c>
      <c r="V129" s="29" t="inlineStr">
        <is>
          <t>Big Four: Consultant · Regnology: Junior BA</t>
        </is>
      </c>
      <c r="W129" s="29" t="inlineStr">
        <is>
          <t>TSIA professional services; PMI; BABOK</t>
        </is>
      </c>
      <c r="X129" s="29" t="inlineStr">
        <is>
          <t>Core 2 · Future 2 · Functional 3 · Leadership not scored</t>
        </is>
      </c>
      <c r="Y129" s="52" t="n">
        <v>392</v>
      </c>
      <c r="Z129" s="53" t="inlineStr">
        <is>
          <t>IRIS2421</t>
        </is>
      </c>
      <c r="AA129" s="53" t="inlineStr">
        <is>
          <t>Employee</t>
        </is>
      </c>
      <c r="AB129" s="53" t="inlineStr">
        <is>
          <t>Active</t>
        </is>
      </c>
      <c r="AC129" s="53" t="inlineStr">
        <is>
          <t>Prathamesh Patil</t>
        </is>
      </c>
      <c r="AD129" s="54" t="n">
        <v>45881</v>
      </c>
      <c r="AE129" s="53" t="inlineStr">
        <is>
          <t>Functional Analyst</t>
        </is>
      </c>
      <c r="AF129" s="53" t="inlineStr">
        <is>
          <t>MMS</t>
        </is>
      </c>
      <c r="AG129" s="53" t="inlineStr">
        <is>
          <t>Priyadarsini Kairali</t>
        </is>
      </c>
      <c r="AH129" s="53" t="inlineStr">
        <is>
          <t>N-5</t>
        </is>
      </c>
      <c r="AI129" s="53" t="inlineStr">
        <is>
          <t>Individual Contributor</t>
        </is>
      </c>
      <c r="AJ129" s="53" t="inlineStr">
        <is>
          <t>0 years, 6 months, 0 days</t>
        </is>
      </c>
      <c r="AK129" s="53" t="inlineStr">
        <is>
          <t>1 years, 0 months, 13 days</t>
        </is>
      </c>
      <c r="AL129" s="53" t="inlineStr">
        <is>
          <t>Regtech</t>
        </is>
      </c>
      <c r="AM129" s="53" t="inlineStr">
        <is>
          <t>CARBON</t>
        </is>
      </c>
      <c r="AN129" s="53" t="inlineStr">
        <is>
          <t>Functional</t>
        </is>
      </c>
      <c r="AO129" s="53" t="inlineStr">
        <is>
          <t>Client Engagement</t>
        </is>
      </c>
      <c r="AP129" s="53" t="inlineStr">
        <is>
          <t>No</t>
        </is>
      </c>
      <c r="AQ129" s="53" t="inlineStr">
        <is>
          <t>Client Engagement</t>
        </is>
      </c>
      <c r="AR129" s="53" t="inlineStr">
        <is>
          <t>CE</t>
        </is>
      </c>
      <c r="AS129" s="53" t="inlineStr">
        <is>
          <t>Non-technical</t>
        </is>
      </c>
      <c r="AT129" s="53" t="n">
        <v>20</v>
      </c>
      <c r="AU129" s="53" t="inlineStr">
        <is>
          <t>Covered</t>
        </is>
      </c>
      <c r="AV129" s="53" t="inlineStr">
        <is>
          <t>IRIS2421</t>
        </is>
      </c>
      <c r="AW129" s="53" t="inlineStr">
        <is>
          <t>Prathamesh Patil</t>
        </is>
      </c>
      <c r="AX129" s="53" t="inlineStr">
        <is>
          <t>Functional</t>
        </is>
      </c>
      <c r="AY129" s="53" t="inlineStr">
        <is>
          <t>Consulting</t>
        </is>
      </c>
      <c r="AZ129" s="53" t="inlineStr">
        <is>
          <t>Implementation &amp; Solutions Consulting</t>
        </is>
      </c>
      <c r="BA129" s="53" t="inlineStr">
        <is>
          <t>Consulting</t>
        </is>
      </c>
      <c r="BB129" s="53" t="n"/>
      <c r="BC129" s="53" t="inlineStr">
        <is>
          <t>Employee</t>
        </is>
      </c>
      <c r="BD129" s="53" t="inlineStr">
        <is>
          <t>Priyadarsini Kairali</t>
        </is>
      </c>
      <c r="BE129" s="53" t="inlineStr">
        <is>
          <t>Priyadarsini Kairali</t>
        </is>
      </c>
      <c r="BF129" s="53" t="inlineStr">
        <is>
          <t>No</t>
        </is>
      </c>
      <c r="BG129" s="53" t="inlineStr">
        <is>
          <t>Functional Analyst</t>
        </is>
      </c>
      <c r="BH129" s="53" t="inlineStr">
        <is>
          <t>Functional Specialist</t>
        </is>
      </c>
      <c r="BI129" s="53" t="inlineStr">
        <is>
          <t>Yes</t>
        </is>
      </c>
      <c r="BJ129" s="53" t="inlineStr">
        <is>
          <t>—</t>
        </is>
      </c>
      <c r="BK129" s="53" t="inlineStr">
        <is>
          <t>—</t>
        </is>
      </c>
      <c r="BL129" s="53" t="inlineStr">
        <is>
          <t>—</t>
        </is>
      </c>
      <c r="BM129" s="53" t="inlineStr">
        <is>
          <t>Not a manager</t>
        </is>
      </c>
      <c r="BN129" s="53" t="inlineStr">
        <is>
          <t>—</t>
        </is>
      </c>
      <c r="BO129" s="53" t="inlineStr">
        <is>
          <t>—</t>
        </is>
      </c>
      <c r="BP129" s="53" t="inlineStr">
        <is>
          <t>—</t>
        </is>
      </c>
      <c r="BQ129" s="53" t="inlineStr">
        <is>
          <t>Not a manager</t>
        </is>
      </c>
      <c r="BR129" s="53" t="inlineStr">
        <is>
          <t>—</t>
        </is>
      </c>
      <c r="BS129" s="53" t="inlineStr">
        <is>
          <t>L3 – Professional / Associate</t>
        </is>
      </c>
      <c r="BT129" s="53" t="inlineStr">
        <is>
          <t>L1</t>
        </is>
      </c>
      <c r="BU129" s="53" t="inlineStr">
        <is>
          <t>Matched from Title Hierarchy · new designation</t>
        </is>
      </c>
      <c r="BV129" s="53" t="n"/>
      <c r="BW129" s="53" t="n"/>
      <c r="BX129" s="53" t="inlineStr">
        <is>
          <t>Global DM.</t>
        </is>
      </c>
      <c r="BY129" s="53" t="n"/>
      <c r="BZ129" s="53" t="inlineStr">
        <is>
          <t>IRIS2421</t>
        </is>
      </c>
      <c r="CA129" s="53" t="inlineStr">
        <is>
          <t>Employee</t>
        </is>
      </c>
      <c r="CB129" s="53" t="inlineStr">
        <is>
          <t>Active</t>
        </is>
      </c>
      <c r="CC129" s="53" t="inlineStr">
        <is>
          <t>Prathamesh Patil</t>
        </is>
      </c>
      <c r="CD129" s="54" t="n">
        <v>45881</v>
      </c>
      <c r="CE129" s="53" t="inlineStr">
        <is>
          <t>Functional Analyst</t>
        </is>
      </c>
      <c r="CF129" s="53" t="inlineStr">
        <is>
          <t>pre and post sales support</t>
        </is>
      </c>
      <c r="CG129" s="53" t="inlineStr">
        <is>
          <t>Consulting  Services</t>
        </is>
      </c>
      <c r="CH129" s="53" t="inlineStr">
        <is>
          <t>Financial Reporting Advisory</t>
        </is>
      </c>
      <c r="CI129" s="53" t="inlineStr">
        <is>
          <t>Functional Analyst</t>
        </is>
      </c>
      <c r="CJ129" s="53" t="inlineStr">
        <is>
          <t>L3 – Professional / Associate</t>
        </is>
      </c>
      <c r="CK129" s="53" t="inlineStr">
        <is>
          <t>Priyadarsini Kairali</t>
        </is>
      </c>
      <c r="CL129" s="53" t="inlineStr">
        <is>
          <t>N-5</t>
        </is>
      </c>
      <c r="CM129" s="53" t="inlineStr">
        <is>
          <t>Individual Contributor</t>
        </is>
      </c>
      <c r="CN129" s="53" t="inlineStr">
        <is>
          <t>Regtech</t>
        </is>
      </c>
      <c r="CO129" s="53" t="inlineStr">
        <is>
          <t>Functional</t>
        </is>
      </c>
      <c r="CP129" s="53" t="inlineStr">
        <is>
          <t>1 years, 4 months, 8 days</t>
        </is>
      </c>
      <c r="CQ129" s="53" t="inlineStr">
        <is>
          <t>Functional Specialist</t>
        </is>
      </c>
      <c r="CR129" s="53" t="n"/>
      <c r="CS129" s="53" t="n"/>
      <c r="CT129" s="53" t="n"/>
      <c r="CU129" s="53" t="n"/>
      <c r="CV129" s="53" t="n"/>
      <c r="CW129" s="53" t="n"/>
      <c r="CX129" s="53" t="n"/>
      <c r="CY129" s="53" t="n"/>
      <c r="CZ129" s="53" t="inlineStr">
        <is>
          <t>Customer success methods; communication &amp; de-escalation; product/domain depth; ticketing &amp; SLA tools</t>
        </is>
      </c>
      <c r="DA129" s="53" t="inlineStr">
        <is>
          <t>Transition to leadership: people management &amp; delegation, mentoring/coaching, project ownership &amp; stakeholder management, prioritisation under ambiguity, presentation &amp; influence skills</t>
        </is>
      </c>
      <c r="DB129" s="53" t="n"/>
      <c r="DC129" s="53" t="n"/>
      <c r="DD129" s="53" t="n"/>
      <c r="DE129" s="53" t="n"/>
      <c r="DF129" s="53" t="n"/>
      <c r="DG129" s="53" t="n"/>
      <c r="DH129" s="53" t="n"/>
      <c r="DI129" s="53" t="n"/>
      <c r="DJ129" s="53" t="n"/>
      <c r="DK129" s="53" t="n"/>
      <c r="DL129" s="53" t="n"/>
      <c r="DM129" s="53" t="n"/>
      <c r="DN129" s="53" t="n"/>
      <c r="DO129" s="53" t="n"/>
      <c r="DP129" s="53" t="n"/>
      <c r="DQ129" s="53" t="n"/>
      <c r="DR129" s="53" t="n"/>
      <c r="DS129" s="53" t="n"/>
      <c r="DT129" s="53" t="n"/>
      <c r="DU129" s="53" t="n"/>
      <c r="DV129" s="53" t="n"/>
      <c r="DW129" s="53" t="n"/>
      <c r="DX129" s="53" t="n"/>
      <c r="DY129" s="53" t="n"/>
      <c r="DZ129" s="53" t="n"/>
      <c r="EA129" s="53" t="n"/>
      <c r="EB129" s="53" t="n"/>
      <c r="EC129" s="53" t="n"/>
      <c r="ED129" s="53" t="n"/>
      <c r="EE129" s="53" t="n"/>
      <c r="EF129" s="53" t="n"/>
      <c r="EG129" s="53" t="n"/>
      <c r="EH129" s="53" t="n"/>
      <c r="EI129" s="53" t="n"/>
      <c r="EJ129" s="53" t="n"/>
      <c r="EK129" s="53" t="n"/>
      <c r="EL129" s="53" t="n"/>
      <c r="EM129" s="53" t="n"/>
      <c r="EN129" s="53" t="n"/>
      <c r="EO129" s="53" t="n"/>
      <c r="EP129" s="53" t="n"/>
      <c r="EQ129" s="53" t="n"/>
      <c r="ER129" s="53" t="n"/>
      <c r="ES129" s="53" t="n"/>
      <c r="ET129" s="53" t="n"/>
      <c r="EU129" s="53" t="n"/>
      <c r="EV129" s="53" t="n"/>
      <c r="EW129" s="52" t="n"/>
      <c r="EX129" s="53" t="inlineStr">
        <is>
          <t>• Role / sub-team: Functional — Functional Analyst.
• Core purpose: Functional analyst - Implementation of the product to the clients - plan, design, test, implement, understand the problems of the product users, Train the users for the product usability,; Work as a bridge between client and the product or services team regarding the requirements of the client; In demos  - Structure the demo report/flow as the pain points of the prospects.
• Decision-making autonomy: Can independently project setup strategies.
• Is this something only they do: Product testing.
• What's different about this role: Workarounds for implementations; Global DM.</t>
        </is>
      </c>
      <c r="EY129" s="53" t="inlineStr">
        <is>
          <t>• Key responsibilities include: Implementations; Demos report structure; Functional testing; Successful handover cem.
• Personally accountable for: Implementations, Communicate requirement to product; Product setup strategies; Project setup strategies.
• Impact if missed or done wrong: If the Project setup strategies are not appropriately designed then it can to effect the user adoption for the product which eventually can lead to churn of client.
• How measured: Within the team, it's same as everyone.</t>
        </is>
      </c>
      <c r="EZ129" s="53" t="inlineStr">
        <is>
          <t>• Current capabilities: Finance domain; Advance Excel; Problem solving; Product understanding; Customer facing skills; Communication skills; Training internalexternal; Team collaboration; Cross functional.
• Tools / software used: DM Platform; Excel and Word; Internal; Laptops; Teams; Outlook; Co pilot; Iris wifi; Headsets.
• Workload: Rated a very heavy load · 5/5 in a typical week.
• Judgment/way of working: Product design; Time management; Raport building; Problem solving; Understanding the product; Cross functional working; Solution oriented thinking.</t>
        </is>
      </c>
      <c r="FA129" s="53" t="inlineStr">
        <is>
          <t>• Development priorities: Time is required - randomly assigned tasks to me becoz of someone else wrong time management stretches my bandwidth.
• Learning and Development Need: Processes. Knowing OKRs earlier; Understanding the current processes within the organisation.
• Role evolving toward: NA.</t>
        </is>
      </c>
      <c r="FB129" s="53" t="inlineStr">
        <is>
          <t>• Key challenges: Serviceteam Excelknowled; Multiple tasks assigned.
• Support required: Training services team with excel; Improvement in processes.</t>
        </is>
      </c>
      <c r="FC129" s="53" t="n"/>
      <c r="FD129" s="53" t="n"/>
      <c r="FE129" s="55" t="inlineStr">
        <is>
          <t>KRAs not received · manager to supply</t>
        </is>
      </c>
      <c r="FF129" s="56" t="n"/>
      <c r="FG129" s="56" t="n"/>
      <c r="FH129" s="56" t="n"/>
      <c r="FI129" s="56" t="inlineStr">
        <is>
          <t>pre and post sales support</t>
        </is>
      </c>
      <c r="FJ129" s="32" t="inlineStr">
        <is>
          <t>KRAs not received · manager to supply</t>
        </is>
      </c>
      <c r="FK129" s="56" t="inlineStr">
        <is>
          <t>CARBON Talent Mapping · Raw</t>
        </is>
      </c>
      <c r="FL129" s="56" t="n">
        <v>19</v>
      </c>
      <c r="FM129" s="56" t="inlineStr">
        <is>
          <t>• Role / sub-team: Functional — Functional Analyst.
• Core purpose: Functional analyst - Implementation of the product to the clients - plan, design, test, implement, understand the problems of the product users, Train the users for the product usability,; Work as a bridge between client and the product or services team regarding the requirements of the client; In demos  - Structure the demo report/flow as the pain points of the prospects.
• Decision-making autonomy: Can independently project setup strategies.
• Is this something only they do: Product testing.
• What's different about this role: Workarounds for implementations; Global DM.</t>
        </is>
      </c>
      <c r="FN129" s="56" t="inlineStr">
        <is>
          <t>• Key responsibilities include: Implementations; Demos report structure; Functional testing; Successful handover cem.
• Personally accountable for: Implementations, Communicate requirement to product; Product setup strategies; Project setup strategies.
• Impact if missed or done wrong: If the Project setup strategies are not appropriately designed then it can to effect the user adoption for the product which eventually can lead to churn of client.
• How measured: Within the team, it's same as everyone.</t>
        </is>
      </c>
      <c r="FO129" s="56" t="inlineStr">
        <is>
          <t>• Current capabilities: Finance domain; Advance Excel; Problem solving; Product understanding; Customer facing skills; Communication skills; Training internalexternal; Team collaboration; Cross functional.
• Tools / software used: DM Platform; Excel and Word; Internal; Laptops; Teams; Outlook; Co pilot; Iris wifi; Headsets.
• Workload: Rated a very heavy load · 5/5 in a typical week.
• Judgment/way of working: Product design; Time management; Raport building; Problem solving; Understanding the product; Cross functional working; Solution oriented thinking.</t>
        </is>
      </c>
      <c r="FP129" s="56" t="inlineStr">
        <is>
          <t>• Development priorities: Time is required - randomly assigned tasks to me becoz of someone else wrong time management stretches my bandwidth.
• Learning and Development Need: Processes. Knowing OKRs earlier; Understanding the current processes within the organisation.
• Role evolving toward: NA.</t>
        </is>
      </c>
      <c r="FQ129" s="56" t="inlineStr">
        <is>
          <t>• Key challenges: Serviceteam Excelknowled; Multiple tasks assigned.
• Support required: Training services team with excel; Improvement in processes.</t>
        </is>
      </c>
      <c r="FR129" s="56" t="inlineStr">
        <is>
          <t>Complexity: Evidence reads like B1: Plans, designs, tests and implements client set-ups; devises workarounds; structures demo flows → moved up 1
Autonomy: Evidence reads like A3: Decides project set-up strategies for own implementations → moved up 0.5
Accountability: Evidence reads like B1: Client implementations and set-up strategy; poor set-up risks adoption and churn → moved up 1
Leadership: Evidence reads like A2: Trains internal and external users; bridges client and product team → moved up 0.5
Business Impact: No survey or manager-mapping signal on criticality: kept at the start point.</t>
        </is>
      </c>
      <c r="FS129" s="56" t="inlineStr">
        <is>
          <t>Common themes in sub-family holders, all levels' answers: product · clients · implementation · requirements · understand · iris
Common themes in sub-family holders, all levels' answers: client · implementation · demos · testing · delivery · platform
Common themes in sub-family holders, all levels' answers: product · implementation · marketing · esg project · requirements · reports
Common themes in sub-family holders, all levels' answers: implementation · product · client · accountable · esg · demos
Common themes in sub-family holders, all levels' answers: project · activities · features · setup
If the work is missed · role-holders' themes: client · market.</t>
        </is>
      </c>
      <c r="FT129" s="56" t="inlineStr">
        <is>
          <t>Self-identified: Answered · no common topic
For the next role: Answered · no common topic</t>
        </is>
      </c>
      <c r="FU129" s="56" t="inlineStr">
        <is>
          <t>Per-person summary · CARBON Mapping Master</t>
        </is>
      </c>
    </row>
    <row r="130" ht="90" customHeight="1">
      <c r="A130" s="51" t="inlineStr">
        <is>
          <t>◂ Back</t>
        </is>
      </c>
      <c r="B130" s="29" t="inlineStr">
        <is>
          <t>Mapped</t>
        </is>
      </c>
      <c r="C130" s="28" t="inlineStr">
        <is>
          <t>CARBON</t>
        </is>
      </c>
      <c r="D130" s="29" t="inlineStr">
        <is>
          <t>IRIS1970</t>
        </is>
      </c>
      <c r="E130" s="29" t="inlineStr">
        <is>
          <t>Sharanya Balachandran</t>
        </is>
      </c>
      <c r="F130" s="29" t="inlineStr">
        <is>
          <t>Functional</t>
        </is>
      </c>
      <c r="G130" s="29" t="inlineStr">
        <is>
          <t>Business Consultant</t>
        </is>
      </c>
      <c r="H130" s="29" t="inlineStr">
        <is>
          <t>Functional Specialist – POD Lead</t>
        </is>
      </c>
      <c r="I130" s="29" t="inlineStr">
        <is>
          <t>L3 – Professional / Associate</t>
        </is>
      </c>
      <c r="J130" s="29" t="inlineStr">
        <is>
          <t>B1</t>
        </is>
      </c>
      <c r="K130" s="29" t="inlineStr">
        <is>
          <t>▲ Up</t>
        </is>
      </c>
      <c r="L130" s="29" t="inlineStr">
        <is>
          <t>Solution Consulting &amp; Implementation</t>
        </is>
      </c>
      <c r="M130" s="29" t="inlineStr">
        <is>
          <t>Solution Consulting &amp; Implementation</t>
        </is>
      </c>
      <c r="N130" s="29" t="n"/>
      <c r="O130" s="29" t="n">
        <v>17</v>
      </c>
      <c r="P130" s="28" t="inlineStr">
        <is>
          <t>P3 / M2</t>
        </is>
      </c>
      <c r="Q130" s="29" t="inlineStr">
        <is>
          <t>Career / · Team Lead</t>
        </is>
      </c>
      <c r="R130" s="29" t="inlineStr">
        <is>
          <t>4 Enable</t>
        </is>
      </c>
      <c r="S130" s="29" t="inlineStr">
        <is>
          <t>4–7 yrs</t>
        </is>
      </c>
      <c r="T130" s="29" t="inlineStr">
        <is>
          <t>5–8 · 4–8</t>
        </is>
      </c>
      <c r="U130" s="29" t="inlineStr">
        <is>
          <t>Senior Consultant</t>
        </is>
      </c>
      <c r="V130" s="29" t="inlineStr">
        <is>
          <t>Big Four: Senior Consultant · Regnology: BA · Reg Reporting</t>
        </is>
      </c>
      <c r="W130" s="29" t="inlineStr">
        <is>
          <t>TSIA professional services; PMI; BABOK</t>
        </is>
      </c>
      <c r="X130" s="29" t="inlineStr">
        <is>
          <t>Core 3 · Future 3 · Functional 3 · Leadership 2</t>
        </is>
      </c>
      <c r="Y130" s="52" t="n">
        <v>204</v>
      </c>
      <c r="Z130" s="53" t="inlineStr">
        <is>
          <t>IRIS1970</t>
        </is>
      </c>
      <c r="AA130" s="53" t="inlineStr">
        <is>
          <t>Employee</t>
        </is>
      </c>
      <c r="AB130" s="53" t="inlineStr">
        <is>
          <t>Active</t>
        </is>
      </c>
      <c r="AC130" s="53" t="inlineStr">
        <is>
          <t>Sharanya Balachandran</t>
        </is>
      </c>
      <c r="AD130" s="54" t="n">
        <v>44544</v>
      </c>
      <c r="AE130" s="53" t="inlineStr">
        <is>
          <t>Business Consultant</t>
        </is>
      </c>
      <c r="AF130" s="53" t="inlineStr">
        <is>
          <t>CA</t>
        </is>
      </c>
      <c r="AG130" s="53" t="inlineStr">
        <is>
          <t>Suman Adhikary</t>
        </is>
      </c>
      <c r="AH130" s="53" t="inlineStr">
        <is>
          <t>N-4</t>
        </is>
      </c>
      <c r="AI130" s="53" t="inlineStr">
        <is>
          <t>Manager</t>
        </is>
      </c>
      <c r="AJ130" s="53" t="inlineStr">
        <is>
          <t>0 years, 0 months, 0 days</t>
        </is>
      </c>
      <c r="AK130" s="53" t="inlineStr">
        <is>
          <t>4 years, 8 months, 11 days</t>
        </is>
      </c>
      <c r="AL130" s="53" t="inlineStr">
        <is>
          <t>Regtech</t>
        </is>
      </c>
      <c r="AM130" s="53" t="inlineStr">
        <is>
          <t>CARBON</t>
        </is>
      </c>
      <c r="AN130" s="53" t="inlineStr">
        <is>
          <t>Functional</t>
        </is>
      </c>
      <c r="AO130" s="53" t="inlineStr">
        <is>
          <t>Client Engagement</t>
        </is>
      </c>
      <c r="AP130" s="53" t="inlineStr">
        <is>
          <t>No</t>
        </is>
      </c>
      <c r="AQ130" s="53" t="inlineStr">
        <is>
          <t>Client Engagement</t>
        </is>
      </c>
      <c r="AR130" s="53" t="inlineStr">
        <is>
          <t>CA + CE</t>
        </is>
      </c>
      <c r="AS130" s="53" t="inlineStr">
        <is>
          <t>Non-technical</t>
        </is>
      </c>
      <c r="AT130" s="53" t="n">
        <v>20</v>
      </c>
      <c r="AU130" s="53" t="inlineStr">
        <is>
          <t>Covered</t>
        </is>
      </c>
      <c r="AV130" s="53" t="inlineStr">
        <is>
          <t>IRIS1970</t>
        </is>
      </c>
      <c r="AW130" s="53" t="inlineStr">
        <is>
          <t>Sharanya Balachandran</t>
        </is>
      </c>
      <c r="AX130" s="53" t="inlineStr">
        <is>
          <t>Functional</t>
        </is>
      </c>
      <c r="AY130" s="53" t="inlineStr">
        <is>
          <t>Consulting</t>
        </is>
      </c>
      <c r="AZ130" s="53" t="inlineStr">
        <is>
          <t>Product Management</t>
        </is>
      </c>
      <c r="BA130" s="53" t="inlineStr">
        <is>
          <t>Consulting</t>
        </is>
      </c>
      <c r="BB130" s="53" t="inlineStr">
        <is>
          <t>Product Management</t>
        </is>
      </c>
      <c r="BC130" s="53" t="inlineStr">
        <is>
          <t>Employee</t>
        </is>
      </c>
      <c r="BD130" s="53" t="inlineStr">
        <is>
          <t>Suman Adhikary</t>
        </is>
      </c>
      <c r="BE130" s="53" t="inlineStr">
        <is>
          <t>Anuradha RK</t>
        </is>
      </c>
      <c r="BF130" s="53" t="inlineStr">
        <is>
          <t>Yes</t>
        </is>
      </c>
      <c r="BG130" s="53" t="inlineStr">
        <is>
          <t>Business Consultant</t>
        </is>
      </c>
      <c r="BH130" s="53" t="inlineStr">
        <is>
          <t>Lead Product Manager - Disclosure Management, Office of CFO Solutions</t>
        </is>
      </c>
      <c r="BI130" s="53" t="inlineStr">
        <is>
          <t>Yes</t>
        </is>
      </c>
      <c r="BJ130" s="53" t="inlineStr">
        <is>
          <t>—</t>
        </is>
      </c>
      <c r="BK130" s="53" t="inlineStr">
        <is>
          <t>—</t>
        </is>
      </c>
      <c r="BL130" s="53" t="inlineStr">
        <is>
          <t>—</t>
        </is>
      </c>
      <c r="BM130" s="53" t="inlineStr">
        <is>
          <t>Not a manager</t>
        </is>
      </c>
      <c r="BN130" s="53" t="n">
        <v>1</v>
      </c>
      <c r="BO130" s="53" t="n">
        <v>1</v>
      </c>
      <c r="BP130" s="53" t="n">
        <v>0</v>
      </c>
      <c r="BQ130" s="53" t="inlineStr">
        <is>
          <t>Consolidate / flatten</t>
        </is>
      </c>
      <c r="BR130" s="53" t="inlineStr">
        <is>
          <t>Yes</t>
        </is>
      </c>
      <c r="BS130" s="53" t="inlineStr">
        <is>
          <t>L3 – Professional / Associate</t>
        </is>
      </c>
      <c r="BT130" s="53" t="inlineStr">
        <is>
          <t>L4</t>
        </is>
      </c>
      <c r="BU130" s="53" t="inlineStr">
        <is>
          <t>Matched from Title Hierarchy · new designation</t>
        </is>
      </c>
      <c r="BV130" s="53" t="inlineStr">
        <is>
          <t>1. % Roadmap items with defined success metric - 100%
2. Monthly Meeting Minutes with clear roadmap presentation
3. % Quarterly commitments on product items shipped on time - ≥ 80%
4. # Critical issues reported - ≤ 10 P1/P2 issues per quarter
5. # Intel briefs per quarter to team ≥ 1 per quarter brief with the Team
6. Monthly Meeting Minutes with cross team · Services, CEM, Functional, Support with clear roadmap presentation
7. Conduct structured customer [KYC] sessions with the customers - 2 per quarter · 8 per year
8. Complete Enterprise implementation projects e.g. Petrobras on or before agreed timelines. --&gt; "CSAT &gt;=90%, Training Effectiveness Score &gt;70"
9. Drive performance driven culture - Identify, Build, Mentor and Support junior team member from any team each quarter --&gt; 1 per Quarter</t>
        </is>
      </c>
      <c r="BW130" s="53" t="n"/>
      <c r="BX130" s="53" t="n"/>
      <c r="BY130" s="53" t="n"/>
      <c r="BZ130" s="53" t="inlineStr">
        <is>
          <t>IRIS1970</t>
        </is>
      </c>
      <c r="CA130" s="53" t="inlineStr">
        <is>
          <t>Employee</t>
        </is>
      </c>
      <c r="CB130" s="53" t="inlineStr">
        <is>
          <t>Active</t>
        </is>
      </c>
      <c r="CC130" s="53" t="inlineStr">
        <is>
          <t>Sharanya Balachandran</t>
        </is>
      </c>
      <c r="CD130" s="54" t="n">
        <v>44544</v>
      </c>
      <c r="CE130" s="53" t="inlineStr">
        <is>
          <t>Business Consultant</t>
        </is>
      </c>
      <c r="CF130" s="53" t="inlineStr">
        <is>
          <t>1. Drive Product Strategy and roadmap execution for DM with domain focus.</t>
        </is>
      </c>
      <c r="CG130" s="53" t="inlineStr">
        <is>
          <t>Consulting  Services</t>
        </is>
      </c>
      <c r="CH130" s="53" t="inlineStr">
        <is>
          <t>Product Management</t>
        </is>
      </c>
      <c r="CI130" s="53" t="inlineStr">
        <is>
          <t>Business Consultant</t>
        </is>
      </c>
      <c r="CJ130" s="53" t="inlineStr">
        <is>
          <t>L3 – Professional / Associate</t>
        </is>
      </c>
      <c r="CK130" s="53" t="inlineStr">
        <is>
          <t>Anuradha RK</t>
        </is>
      </c>
      <c r="CL130" s="53" t="inlineStr">
        <is>
          <t>N-4</t>
        </is>
      </c>
      <c r="CM130" s="53" t="inlineStr">
        <is>
          <t>Individual Contributor</t>
        </is>
      </c>
      <c r="CN130" s="53" t="inlineStr">
        <is>
          <t>Regtech</t>
        </is>
      </c>
      <c r="CO130" s="53" t="inlineStr">
        <is>
          <t>Functional</t>
        </is>
      </c>
      <c r="CP130" s="53" t="inlineStr">
        <is>
          <t>4 years, 6 months, 6 days</t>
        </is>
      </c>
      <c r="CQ130" s="53" t="inlineStr">
        <is>
          <t>Lead Product Manager</t>
        </is>
      </c>
      <c r="CR130" s="53" t="inlineStr">
        <is>
          <t>No</t>
        </is>
      </c>
      <c r="CS130" s="53" t="n">
        <v>5</v>
      </c>
      <c r="CT130" s="53" t="inlineStr">
        <is>
          <t>High</t>
        </is>
      </c>
      <c r="CU130" s="53" t="inlineStr">
        <is>
          <t>Future Leader</t>
        </is>
      </c>
      <c r="CV130" s="53" t="inlineStr">
        <is>
          <t>Yes</t>
        </is>
      </c>
      <c r="CW130" s="53" t="inlineStr">
        <is>
          <t>Yes</t>
        </is>
      </c>
      <c r="CX130" s="53" t="inlineStr">
        <is>
          <t>Yes</t>
        </is>
      </c>
      <c r="CY130" s="53" t="inlineStr">
        <is>
          <t>Medha Ganti</t>
        </is>
      </c>
      <c r="CZ130" s="53" t="inlineStr">
        <is>
          <t>Customer success methods; communication &amp; de-escalation; Team work, Proactive collaboration</t>
        </is>
      </c>
      <c r="DA130" s="53" t="inlineStr">
        <is>
          <t>Transition to leadership: people management &amp; delegation, mentoring/coaching, project ownership &amp; stakeholder management, prioritisation under ambiguity, presentation &amp; influence skills</t>
        </is>
      </c>
      <c r="DB130" s="53" t="inlineStr">
        <is>
          <t>Suggested for Product Management Role as Product Owner</t>
        </is>
      </c>
      <c r="DC130" s="53" t="n"/>
      <c r="DD130" s="53" t="n"/>
      <c r="DE130" s="53" t="n"/>
      <c r="DF130" s="53" t="n"/>
      <c r="DG130" s="53" t="n"/>
      <c r="DH130" s="53" t="n"/>
      <c r="DI130" s="53" t="n"/>
      <c r="DJ130" s="53" t="n"/>
      <c r="DK130" s="53" t="n"/>
      <c r="DL130" s="53" t="n"/>
      <c r="DM130" s="53" t="n"/>
      <c r="DN130" s="53" t="n"/>
      <c r="DO130" s="53" t="n"/>
      <c r="DP130" s="53" t="n"/>
      <c r="DQ130" s="53" t="n"/>
      <c r="DR130" s="53" t="n"/>
      <c r="DS130" s="53" t="n"/>
      <c r="DT130" s="53" t="n"/>
      <c r="DU130" s="53" t="n"/>
      <c r="DV130" s="53" t="n"/>
      <c r="DW130" s="53" t="n"/>
      <c r="DX130" s="53" t="n"/>
      <c r="DY130" s="53" t="n"/>
      <c r="DZ130" s="53" t="n"/>
      <c r="EA130" s="53" t="n"/>
      <c r="EB130" s="53" t="n"/>
      <c r="EC130" s="53" t="n"/>
      <c r="ED130" s="53" t="n"/>
      <c r="EE130" s="53" t="n"/>
      <c r="EF130" s="53" t="n"/>
      <c r="EG130" s="53" t="n"/>
      <c r="EH130" s="53" t="n"/>
      <c r="EI130" s="53" t="n"/>
      <c r="EJ130" s="53" t="n"/>
      <c r="EK130" s="53" t="n"/>
      <c r="EL130" s="53" t="n"/>
      <c r="EM130" s="53" t="n"/>
      <c r="EN130" s="53" t="n"/>
      <c r="EO130" s="53" t="n"/>
      <c r="EP130" s="53" t="n"/>
      <c r="EQ130" s="53" t="n"/>
      <c r="ER130" s="53" t="n"/>
      <c r="ES130" s="53" t="n"/>
      <c r="ET130" s="53" t="n"/>
      <c r="EU130" s="53" t="n"/>
      <c r="EV130" s="53" t="n"/>
      <c r="EW130" s="52" t="n"/>
      <c r="EX130" s="53" t="n"/>
      <c r="EY130" s="53" t="n"/>
      <c r="EZ130" s="53" t="n"/>
      <c r="FA130" s="53" t="n"/>
      <c r="FB130" s="53" t="n"/>
      <c r="FC130" s="53" t="n"/>
      <c r="FD130" s="53" t="n"/>
      <c r="FE130" s="57" t="inlineStr">
        <is>
          <t>1. % Roadmap items with defined success metric - 100%
2. Monthly Meeting Minutes with clear roadmap presentation
3. % Quarterly commitments on product items shipped on time - ≥ 80%
4. # Critical issues reported - ≤ 10 P1/P2 issues per quarter
5. # Intel briefs per quarter to team  ≥ 1 per quarter brief with the Team
6. Monthly Meeting Minutes with cross team · Services, CEM, Functional, Support with clear roadmap presentation
7. Conduct structured customer [KYC] sessions with the customers - 2 per quarter · 8 per year
8. Complete Enterprise implementation projects e.g. Petrobras on or before agreed timelines. --&gt; "CSAT &gt;=90%, Training Effectiveness Score &gt;70"
9. Drive performance driven culture - Identify, Build, Mentor and Support junior team member from any team each quarter --&gt; 1 per Quarter</t>
        </is>
      </c>
      <c r="FF130" s="56" t="n"/>
      <c r="FG130" s="56" t="n"/>
      <c r="FH130" s="56" t="n"/>
      <c r="FI130" s="56" t="inlineStr">
        <is>
          <t>1. Drive Product Strategy and roadmap execution for DM with domain focus.</t>
        </is>
      </c>
      <c r="FJ130" s="56" t="inlineStr">
        <is>
          <t>Received · manager annual</t>
        </is>
      </c>
      <c r="FK130" s="56" t="inlineStr">
        <is>
          <t>CARBON Mapping Master · CARBON Talent Mapping · Raw</t>
        </is>
      </c>
      <c r="FL130" s="56" t="n">
        <v>17</v>
      </c>
      <c r="FM130" s="32" t="inlineStr">
        <is>
          <t>Full survey answers not in the files received · How We Grow export needed · HR</t>
        </is>
      </c>
      <c r="FN130" s="56" t="inlineStr">
        <is>
          <t>—</t>
        </is>
      </c>
      <c r="FO130" s="56" t="inlineStr">
        <is>
          <t>—</t>
        </is>
      </c>
      <c r="FP130" s="56" t="inlineStr">
        <is>
          <t>—</t>
        </is>
      </c>
      <c r="FQ130" s="56" t="inlineStr">
        <is>
          <t>—</t>
        </is>
      </c>
      <c r="FR130" s="56"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Moved +0.5: the survey / manager mapping marks it business-critical.</t>
        </is>
      </c>
      <c r="FS130" s="56" t="inlineStr">
        <is>
          <t>Common themes in role-holders' answers: iris · product · clients · platform · carbon · dm
Common themes in role-holders' answers: delivery · demos · implementation · testing · client
Common themes in role-holders' answers: implementation · marketing · product
Common themes in role-holders' answers: client · accountable · demos · implementation · training
Common themes in role-holders' answers: project · activities · features
If the work is missed · role-holders' themes: client · market.</t>
        </is>
      </c>
      <c r="FT130" s="56" t="inlineStr">
        <is>
          <t>Self-identified: Technical depth &amp; architecture
For the next role: Technical depth &amp; architecture</t>
        </is>
      </c>
      <c r="FU130" s="32" t="inlineStr">
        <is>
          <t>Full survey answers not in the files received · How We Grow export needed · HR</t>
        </is>
      </c>
    </row>
    <row r="131" ht="90" customHeight="1">
      <c r="A131" s="51" t="inlineStr">
        <is>
          <t>◂ Back</t>
        </is>
      </c>
      <c r="B131" s="29" t="inlineStr">
        <is>
          <t>Mapped</t>
        </is>
      </c>
      <c r="C131" s="28" t="inlineStr">
        <is>
          <t>CARBON</t>
        </is>
      </c>
      <c r="D131" s="29" t="inlineStr">
        <is>
          <t>IRIS2545</t>
        </is>
      </c>
      <c r="E131" s="29" t="inlineStr">
        <is>
          <t>Vishal Gujar</t>
        </is>
      </c>
      <c r="F131" s="29" t="inlineStr">
        <is>
          <t>Functional</t>
        </is>
      </c>
      <c r="G131" s="29" t="inlineStr">
        <is>
          <t>Functional Specialist</t>
        </is>
      </c>
      <c r="H131" s="29" t="inlineStr">
        <is>
          <t>Functional Specialist</t>
        </is>
      </c>
      <c r="I131" s="29" t="inlineStr">
        <is>
          <t>Not in current mapping files</t>
        </is>
      </c>
      <c r="J131" s="29" t="inlineStr">
        <is>
          <t>B1</t>
        </is>
      </c>
      <c r="K131" s="29" t="inlineStr">
        <is>
          <t>● Newly mapped</t>
        </is>
      </c>
      <c r="L131" s="29" t="inlineStr">
        <is>
          <t>Solution Consulting &amp; Implementation</t>
        </is>
      </c>
      <c r="M131" s="29" t="inlineStr">
        <is>
          <t>Solution Consulting &amp; Implementation</t>
        </is>
      </c>
      <c r="N131" s="29" t="n"/>
      <c r="O131" s="29" t="n">
        <v>20</v>
      </c>
      <c r="P131" s="28" t="inlineStr">
        <is>
          <t>P3 / M2</t>
        </is>
      </c>
      <c r="Q131" s="29" t="inlineStr">
        <is>
          <t>Career / · Team Lead</t>
        </is>
      </c>
      <c r="R131" s="29" t="inlineStr">
        <is>
          <t>4 Enable</t>
        </is>
      </c>
      <c r="S131" s="29" t="inlineStr">
        <is>
          <t>4–7 yrs</t>
        </is>
      </c>
      <c r="T131" s="29" t="inlineStr">
        <is>
          <t>5–8 · 4–8</t>
        </is>
      </c>
      <c r="U131" s="29" t="inlineStr">
        <is>
          <t>Senior Consultant</t>
        </is>
      </c>
      <c r="V131" s="29" t="inlineStr">
        <is>
          <t>Big Four: Senior Consultant · Regnology: BA · Reg Reporting</t>
        </is>
      </c>
      <c r="W131" s="29" t="inlineStr">
        <is>
          <t>TSIA professional services; PMI; BABOK</t>
        </is>
      </c>
      <c r="X131" s="29" t="inlineStr">
        <is>
          <t>Core 3 · Future 3 · Functional 3 · Leadership 1</t>
        </is>
      </c>
      <c r="Y131" s="52" t="n">
        <v>519</v>
      </c>
      <c r="Z131" s="53" t="inlineStr">
        <is>
          <t>IRIS2545</t>
        </is>
      </c>
      <c r="AA131" s="53" t="inlineStr">
        <is>
          <t>Employee</t>
        </is>
      </c>
      <c r="AB131" s="53" t="inlineStr">
        <is>
          <t>Active</t>
        </is>
      </c>
      <c r="AC131" s="53" t="inlineStr">
        <is>
          <t>Vishal Gujar</t>
        </is>
      </c>
      <c r="AD131" s="54" t="n">
        <v>46223</v>
      </c>
      <c r="AE131" s="53" t="inlineStr">
        <is>
          <t>Functional Specialist</t>
        </is>
      </c>
      <c r="AF131" s="53" t="inlineStr">
        <is>
          <t>MBA</t>
        </is>
      </c>
      <c r="AG131" s="53" t="inlineStr">
        <is>
          <t>Sharanya Balachandran</t>
        </is>
      </c>
      <c r="AH131" s="53" t="inlineStr">
        <is>
          <t>N-5</t>
        </is>
      </c>
      <c r="AI131" s="53" t="inlineStr">
        <is>
          <t>Individual Contributor</t>
        </is>
      </c>
      <c r="AJ131" s="53" t="inlineStr">
        <is>
          <t>5 years, 9 months, 0 days</t>
        </is>
      </c>
      <c r="AK131" s="53" t="inlineStr">
        <is>
          <t>0 years, 1 months, 5 days</t>
        </is>
      </c>
      <c r="AL131" s="53" t="inlineStr">
        <is>
          <t>Regtech</t>
        </is>
      </c>
      <c r="AM131" s="53" t="inlineStr">
        <is>
          <t>CARBON</t>
        </is>
      </c>
      <c r="AN131" s="53" t="inlineStr">
        <is>
          <t>Functional</t>
        </is>
      </c>
      <c r="AO131" s="53" t="inlineStr">
        <is>
          <t>Client Engagement</t>
        </is>
      </c>
      <c r="AP131" s="53" t="inlineStr">
        <is>
          <t>No</t>
        </is>
      </c>
      <c r="AQ131" s="53" t="inlineStr">
        <is>
          <t>Client Engagement</t>
        </is>
      </c>
      <c r="AR131" s="53" t="inlineStr">
        <is>
          <t>CE</t>
        </is>
      </c>
      <c r="AS131" s="53" t="inlineStr">
        <is>
          <t>Non-technical</t>
        </is>
      </c>
      <c r="AT131" s="53" t="n">
        <v>20</v>
      </c>
      <c r="AU131" s="53" t="inlineStr">
        <is>
          <t>Covered</t>
        </is>
      </c>
      <c r="AV131" s="53" t="inlineStr">
        <is>
          <t>IRIS2545</t>
        </is>
      </c>
      <c r="AW131" s="53" t="inlineStr">
        <is>
          <t>Vishal Gujar</t>
        </is>
      </c>
      <c r="AX131" s="53" t="inlineStr">
        <is>
          <t>Functional</t>
        </is>
      </c>
      <c r="AY131" s="53" t="n"/>
      <c r="AZ131" s="53" t="inlineStr">
        <is>
          <t>Client Engagement</t>
        </is>
      </c>
      <c r="BA131" s="53" t="n"/>
      <c r="BB131" s="53" t="n"/>
      <c r="BC131" s="53" t="inlineStr">
        <is>
          <t>Employee</t>
        </is>
      </c>
      <c r="BD131" s="53" t="inlineStr">
        <is>
          <t>Suman Adhikary</t>
        </is>
      </c>
      <c r="BE131" s="53" t="n"/>
      <c r="BF131" s="53" t="inlineStr">
        <is>
          <t>New entry</t>
        </is>
      </c>
      <c r="BG131" s="53" t="inlineStr">
        <is>
          <t>Functional Specialist</t>
        </is>
      </c>
      <c r="BH131" s="53" t="n"/>
      <c r="BI131" s="53" t="inlineStr">
        <is>
          <t>N/A · new entry</t>
        </is>
      </c>
      <c r="BJ131" s="53" t="inlineStr">
        <is>
          <t>—</t>
        </is>
      </c>
      <c r="BK131" s="53" t="inlineStr">
        <is>
          <t>—</t>
        </is>
      </c>
      <c r="BL131" s="53" t="inlineStr">
        <is>
          <t>—</t>
        </is>
      </c>
      <c r="BM131" s="53" t="inlineStr">
        <is>
          <t>Not a manager</t>
        </is>
      </c>
      <c r="BN131" s="53" t="inlineStr">
        <is>
          <t>—</t>
        </is>
      </c>
      <c r="BO131" s="53" t="inlineStr">
        <is>
          <t>—</t>
        </is>
      </c>
      <c r="BP131" s="53" t="inlineStr">
        <is>
          <t>—</t>
        </is>
      </c>
      <c r="BQ131" s="53" t="inlineStr">
        <is>
          <t>Not a manager</t>
        </is>
      </c>
      <c r="BR131" s="53" t="inlineStr">
        <is>
          <t>—</t>
        </is>
      </c>
      <c r="BS131" s="53" t="n"/>
      <c r="BT131" s="53" t="n"/>
      <c r="BU131" s="53" t="inlineStr">
        <is>
          <t>No designation change — current record value carried forward</t>
        </is>
      </c>
      <c r="BV131" s="53" t="n"/>
      <c r="BW131" s="53" t="n"/>
      <c r="BX131" s="53" t="inlineStr">
        <is>
          <t>All Regions.</t>
        </is>
      </c>
      <c r="BY131" s="53" t="n"/>
      <c r="BZ131" s="53" t="n"/>
      <c r="CA131" s="53" t="n"/>
      <c r="CB131" s="53" t="n"/>
      <c r="CC131" s="53" t="n"/>
      <c r="CD131" s="53" t="n"/>
      <c r="CE131" s="53" t="n"/>
      <c r="CF131" s="53" t="n"/>
      <c r="CG131" s="53" t="n"/>
      <c r="CH131" s="53" t="n"/>
      <c r="CI131" s="53" t="n"/>
      <c r="CJ131" s="53" t="n"/>
      <c r="CK131" s="53" t="n"/>
      <c r="CL131" s="53" t="n"/>
      <c r="CM131" s="53" t="n"/>
      <c r="CN131" s="53" t="n"/>
      <c r="CO131" s="53" t="n"/>
      <c r="CP131" s="53" t="n"/>
      <c r="CQ131" s="53" t="n"/>
      <c r="CR131" s="53" t="n"/>
      <c r="CS131" s="53" t="n"/>
      <c r="CT131" s="53" t="n"/>
      <c r="CU131" s="53" t="n"/>
      <c r="CV131" s="53" t="n"/>
      <c r="CW131" s="53" t="n"/>
      <c r="CX131" s="53" t="n"/>
      <c r="CY131" s="53" t="n"/>
      <c r="CZ131" s="53" t="n"/>
      <c r="DA131" s="53" t="n"/>
      <c r="DB131" s="53" t="n"/>
      <c r="DC131" s="53" t="n"/>
      <c r="DD131" s="53" t="n"/>
      <c r="DE131" s="53" t="n"/>
      <c r="DF131" s="53" t="n"/>
      <c r="DG131" s="53" t="n"/>
      <c r="DH131" s="53" t="n"/>
      <c r="DI131" s="53" t="n"/>
      <c r="DJ131" s="53" t="n"/>
      <c r="DK131" s="53" t="n"/>
      <c r="DL131" s="53" t="n"/>
      <c r="DM131" s="53" t="n"/>
      <c r="DN131" s="53" t="n"/>
      <c r="DO131" s="53" t="n"/>
      <c r="DP131" s="53" t="n"/>
      <c r="DQ131" s="53" t="n"/>
      <c r="DR131" s="53" t="n"/>
      <c r="DS131" s="53" t="n"/>
      <c r="DT131" s="53" t="n"/>
      <c r="DU131" s="53" t="n"/>
      <c r="DV131" s="53" t="n"/>
      <c r="DW131" s="53" t="n"/>
      <c r="DX131" s="53" t="n"/>
      <c r="DY131" s="53" t="n"/>
      <c r="DZ131" s="53" t="n"/>
      <c r="EA131" s="53" t="n"/>
      <c r="EB131" s="53" t="n"/>
      <c r="EC131" s="53" t="n"/>
      <c r="ED131" s="53" t="n"/>
      <c r="EE131" s="53" t="n"/>
      <c r="EF131" s="53" t="n"/>
      <c r="EG131" s="53" t="n"/>
      <c r="EH131" s="53" t="n"/>
      <c r="EI131" s="53" t="n"/>
      <c r="EJ131" s="53" t="n"/>
      <c r="EK131" s="53" t="n"/>
      <c r="EL131" s="53" t="n"/>
      <c r="EM131" s="53" t="n"/>
      <c r="EN131" s="53" t="n"/>
      <c r="EO131" s="53" t="n"/>
      <c r="EP131" s="53" t="n"/>
      <c r="EQ131" s="53" t="n"/>
      <c r="ER131" s="53" t="n"/>
      <c r="ES131" s="53" t="n"/>
      <c r="ET131" s="53" t="n"/>
      <c r="EU131" s="53" t="n"/>
      <c r="EV131" s="53" t="n"/>
      <c r="EW131" s="52" t="n"/>
      <c r="EX131" s="53" t="inlineStr">
        <is>
          <t>• Role / sub-team: Functional — Functional Specialist.
• Core purpose: To implement and conduct detail demos/training of our IRIS Carbon DM platform for our customers. Also understand pain point of our potential clients through discovery calls and help win new clients.
• Decision-making autonomy: Can independently implementation Approach.
• Is this something only they do: Few of us.
• What's different about this role: Implementation Process.</t>
        </is>
      </c>
      <c r="EY131" s="53" t="inlineStr">
        <is>
          <t>• Key responsibilities include: Client Demos; Platform testing; Preparing for Demos.
• Personally accountable for: Demos and Training, Ensuring smooth implementation of our platform for the customers. Understanding client's business requirements and providing meaningful solutions for the same.
• Impact if missed or done wrong: Customer might look for other vendors in the market.
• How measured: Same.</t>
        </is>
      </c>
      <c r="EZ131" s="53" t="inlineStr">
        <is>
          <t>• Current capabilities: Requirement Gathering; Process Mapping.
• Tools / software used: Claude; Adobe InDesign; MS 365.
• Workload: Rated a heavy load · 4/5 in a typical week.
• Judgment/way of working: Building trust and rapport with clients.</t>
        </is>
      </c>
      <c r="FA131" s="53" t="inlineStr">
        <is>
          <t>• Development priorities: Domain expertise and ensuring I have the right financial knowledge to help our customers.
• Learning and Development Need: Orbit; Shadowing. Domain knowledge and expertise.
• Role evolving toward: Staying updated with the latest mandates.</t>
        </is>
      </c>
      <c r="FB131" s="53" t="inlineStr">
        <is>
          <t>• Key challenges: Adhoc activities.
• Support required: Focus on better documentation.</t>
        </is>
      </c>
      <c r="FC131" s="53" t="n"/>
      <c r="FD131" s="53" t="n"/>
      <c r="FE131" s="55" t="inlineStr">
        <is>
          <t>KRAs not received · manager to supply</t>
        </is>
      </c>
      <c r="FF131" s="56" t="n"/>
      <c r="FG131" s="56" t="n"/>
      <c r="FH131" s="56" t="n"/>
      <c r="FI131" s="56" t="n"/>
      <c r="FJ131" s="32" t="inlineStr">
        <is>
          <t>KRAs not received · manager to supply</t>
        </is>
      </c>
      <c r="FK131" s="56" t="n"/>
      <c r="FL131" s="56" t="n">
        <v>20</v>
      </c>
      <c r="FM131" s="56" t="inlineStr">
        <is>
          <t>• Role / sub-team: Functional — Functional Specialist.
• Core purpose: To implement and conduct detail demos/training of our IRIS Carbon DM platform for our customers. Also understand pain point of our potential clients through discovery calls and help win new clients.
• Decision-making autonomy: Can independently implementation Approach.
• Is this something only they do: Few of us.
• What's different about this role: Implementation Process.</t>
        </is>
      </c>
      <c r="FN131" s="56" t="inlineStr">
        <is>
          <t>• Key responsibilities include: Client Demos; Platform testing; Preparing for Demos.
• Personally accountable for: Demos and Training, Ensuring smooth implementation of our platform for the customers. Understanding client's business requirements and providing meaningful solutions for the same.
• Impact if missed or done wrong: Customer might look for other vendors in the market.
• How measured: Same.</t>
        </is>
      </c>
      <c r="FO131" s="56" t="inlineStr">
        <is>
          <t>• Current capabilities: Requirement Gathering; Process Mapping.
• Tools / software used: Claude; Adobe InDesign; MS 365.
• Workload: Rated a heavy load · 4/5 in a typical week.
• Judgment/way of working: Building trust and rapport with clients.</t>
        </is>
      </c>
      <c r="FP131" s="56" t="inlineStr">
        <is>
          <t>• Development priorities: Domain expertise and ensuring I have the right financial knowledge to help our customers.
• Learning and Development Need: Orbit; Shadowing. Domain knowledge and expertise.
• Role evolving toward: Staying updated with the latest mandates.</t>
        </is>
      </c>
      <c r="FQ131" s="56" t="inlineStr">
        <is>
          <t>• Key challenges: Adhoc activities.
• Support required: Focus on better documentation.</t>
        </is>
      </c>
      <c r="FR131" s="56" t="inlineStr">
        <is>
          <t>Complexity: Evidence reads like A3: own survey / KRA answers · summarised by the rater; not quoted → moved down 0.5
Autonomy: Evidence reads like A3: Decides implementation approach for own clients → moved down 0.5
Accountability: Evidence reads like A3: Demos, training and smooth implementation; customer may go to other vendors → moved down 0.5
Leadership: Evidence reads like A1: No guidance or leadership of others described → moved down 1
Business Impact: No survey or manager-mapping signal on criticality: kept at the start point.</t>
        </is>
      </c>
      <c r="FS131" s="56" t="inlineStr">
        <is>
          <t>Common themes in role-holders' answers: iris · product · clients · platform · carbon · dm
Common themes in role-holders' answers: delivery · demos · implementation · testing · client
Common themes in role-holders' answers: implementation · marketing · product
Common themes in role-holders' answers: client · accountable · demos · implementation · training
Common themes in role-holders' answers: project · activities · features
If the work is missed · role-holders' themes: client · market.</t>
        </is>
      </c>
      <c r="FT131" s="56" t="inlineStr">
        <is>
          <t>Self-identified: Domain, regulatory &amp; XBRL · Client, sales &amp; stakeholders
For the next role: Domain, regulatory &amp; XBRL · Client, sales &amp; stakeholders</t>
        </is>
      </c>
      <c r="FU131" s="56" t="inlineStr">
        <is>
          <t>Per-person summary · CARBON Mapping Master</t>
        </is>
      </c>
    </row>
    <row r="132" ht="90" customHeight="1">
      <c r="A132" s="51" t="inlineStr">
        <is>
          <t>◂ Back</t>
        </is>
      </c>
      <c r="B132" s="29" t="inlineStr">
        <is>
          <t>Mapped</t>
        </is>
      </c>
      <c r="C132" s="28" t="inlineStr">
        <is>
          <t>CARBON</t>
        </is>
      </c>
      <c r="D132" s="29" t="inlineStr">
        <is>
          <t>IRIS2489</t>
        </is>
      </c>
      <c r="E132" s="29" t="inlineStr">
        <is>
          <t>Sreyash Duragkar</t>
        </is>
      </c>
      <c r="F132" s="29" t="inlineStr">
        <is>
          <t>Sales</t>
        </is>
      </c>
      <c r="G132" s="29" t="inlineStr">
        <is>
          <t>Director- Enterprise Sales</t>
        </is>
      </c>
      <c r="H132" s="29" t="inlineStr">
        <is>
          <t>Principal – Enterprise Sales</t>
        </is>
      </c>
      <c r="I132" s="29" t="inlineStr">
        <is>
          <t>Not in current mapping files</t>
        </is>
      </c>
      <c r="J132" s="29" t="inlineStr">
        <is>
          <t>C1</t>
        </is>
      </c>
      <c r="K132" s="29" t="inlineStr">
        <is>
          <t>● Newly mapped</t>
        </is>
      </c>
      <c r="L132" s="29" t="inlineStr">
        <is>
          <t>Sales &amp; Business Development</t>
        </is>
      </c>
      <c r="M132" s="29" t="inlineStr">
        <is>
          <t>Sales Leadership</t>
        </is>
      </c>
      <c r="N132" s="29" t="inlineStr">
        <is>
          <t>• Survey response or KRAs describing the work · nothing on file — Employee + manager
• Confirm structure behind the senior title · org chart — Business head
• Correct the experience record — HR</t>
        </is>
      </c>
      <c r="O132" s="29" t="n">
        <v>0</v>
      </c>
      <c r="P132" s="28" t="inlineStr">
        <is>
          <t>P6 / M5</t>
        </is>
      </c>
      <c r="Q132" s="29" t="inlineStr">
        <is>
          <t>Principal / Director</t>
        </is>
      </c>
      <c r="R132" s="29" t="inlineStr">
        <is>
          <t>5–6</t>
        </is>
      </c>
      <c r="S132" s="29" t="inlineStr">
        <is>
          <t>10–14 yrs</t>
        </is>
      </c>
      <c r="T132" s="29" t="inlineStr">
        <is>
          <t>12–16 · 12–18</t>
        </is>
      </c>
      <c r="U132" s="29" t="inlineStr">
        <is>
          <t>—</t>
        </is>
      </c>
      <c r="V132" s="29" t="inlineStr">
        <is>
          <t>IRIS Vs Competitor Benchmark — SaaS sales ladder — IC: Strategic / Principal AE · IRIS Vs Competitor Benchmark — SaaS sales ladder — management: Regional Sales Head</t>
        </is>
      </c>
      <c r="W132" s="29" t="inlineStr">
        <is>
          <t>SaaS sales ladder · SDR → AE → Enterprise AE → VP / CRO; MEDDICC-style qualification</t>
        </is>
      </c>
      <c r="X132" s="29" t="inlineStr">
        <is>
          <t>Core 4 · Future 4 · Functional 4 · Leadership 4</t>
        </is>
      </c>
      <c r="Y132" s="52" t="n">
        <v>462</v>
      </c>
      <c r="Z132" s="53" t="inlineStr">
        <is>
          <t>IRIS2489</t>
        </is>
      </c>
      <c r="AA132" s="53" t="inlineStr">
        <is>
          <t>Employee</t>
        </is>
      </c>
      <c r="AB132" s="53" t="inlineStr">
        <is>
          <t>Active</t>
        </is>
      </c>
      <c r="AC132" s="53" t="inlineStr">
        <is>
          <t>Sreyash Duragkar</t>
        </is>
      </c>
      <c r="AD132" s="54" t="n">
        <v>46086</v>
      </c>
      <c r="AE132" s="53" t="inlineStr">
        <is>
          <t>Director- Enterprise Sales</t>
        </is>
      </c>
      <c r="AF132" s="53" t="inlineStr">
        <is>
          <t>PGDM</t>
        </is>
      </c>
      <c r="AG132" s="53" t="inlineStr">
        <is>
          <t>Anuradha RK</t>
        </is>
      </c>
      <c r="AH132" s="53" t="inlineStr">
        <is>
          <t>N-3</t>
        </is>
      </c>
      <c r="AI132" s="53" t="inlineStr">
        <is>
          <t>Individual Contributor</t>
        </is>
      </c>
      <c r="AJ132" s="53" t="inlineStr">
        <is>
          <t>2 years, 0 months, 0 days</t>
        </is>
      </c>
      <c r="AK132" s="53" t="inlineStr">
        <is>
          <t>0 years, 5 months, 20 days</t>
        </is>
      </c>
      <c r="AL132" s="53" t="inlineStr">
        <is>
          <t>Regtech</t>
        </is>
      </c>
      <c r="AM132" s="53" t="inlineStr">
        <is>
          <t>CARBON</t>
        </is>
      </c>
      <c r="AN132" s="53" t="inlineStr">
        <is>
          <t>Sales</t>
        </is>
      </c>
      <c r="AO132" s="53" t="inlineStr">
        <is>
          <t>Sales</t>
        </is>
      </c>
      <c r="AP132" s="53" t="inlineStr">
        <is>
          <t>No</t>
        </is>
      </c>
      <c r="AQ132" s="53" t="inlineStr">
        <is>
          <t>Sales, Marketing &amp; Support</t>
        </is>
      </c>
      <c r="AR132" s="53" t="inlineStr">
        <is>
          <t>Sales</t>
        </is>
      </c>
      <c r="AS132" s="53" t="inlineStr">
        <is>
          <t>Non-technical</t>
        </is>
      </c>
      <c r="AT132" s="53" t="n">
        <v>0</v>
      </c>
      <c r="AU132" s="53" t="inlineStr">
        <is>
          <t>E-Top management</t>
        </is>
      </c>
      <c r="AV132" s="53" t="inlineStr">
        <is>
          <t>IRIS2489</t>
        </is>
      </c>
      <c r="AW132" s="53" t="inlineStr">
        <is>
          <t>Sreyash Duragkar</t>
        </is>
      </c>
      <c r="AX132" s="53" t="inlineStr">
        <is>
          <t>Sales</t>
        </is>
      </c>
      <c r="AY132" s="53" t="inlineStr">
        <is>
          <t>Sales &amp; Business Development</t>
        </is>
      </c>
      <c r="AZ132" s="53" t="inlineStr">
        <is>
          <t>Enterprise sales</t>
        </is>
      </c>
      <c r="BA132" s="53" t="inlineStr">
        <is>
          <t>Sales &amp; Business Development</t>
        </is>
      </c>
      <c r="BB132" s="53" t="inlineStr">
        <is>
          <t>—</t>
        </is>
      </c>
      <c r="BC132" s="53" t="inlineStr">
        <is>
          <t>Employee</t>
        </is>
      </c>
      <c r="BD132" s="53" t="inlineStr">
        <is>
          <t>Anuradha RK</t>
        </is>
      </c>
      <c r="BE132" s="53" t="inlineStr">
        <is>
          <t>Anuradha RK</t>
        </is>
      </c>
      <c r="BF132" s="53" t="inlineStr">
        <is>
          <t>New entry</t>
        </is>
      </c>
      <c r="BG132" s="53" t="inlineStr">
        <is>
          <t>Director- Enterprise Sales</t>
        </is>
      </c>
      <c r="BH132" s="53" t="inlineStr">
        <is>
          <t>Regional Manager Sales</t>
        </is>
      </c>
      <c r="BI132" s="53" t="inlineStr">
        <is>
          <t>N/A · new entry</t>
        </is>
      </c>
      <c r="BJ132" s="53" t="inlineStr">
        <is>
          <t>—</t>
        </is>
      </c>
      <c r="BK132" s="53" t="inlineStr">
        <is>
          <t>—</t>
        </is>
      </c>
      <c r="BL132" s="53" t="inlineStr">
        <is>
          <t>—</t>
        </is>
      </c>
      <c r="BM132" s="53" t="inlineStr">
        <is>
          <t>Not a manager</t>
        </is>
      </c>
      <c r="BN132" s="53" t="inlineStr">
        <is>
          <t>—</t>
        </is>
      </c>
      <c r="BO132" s="53" t="inlineStr">
        <is>
          <t>—</t>
        </is>
      </c>
      <c r="BP132" s="53" t="inlineStr">
        <is>
          <t>—</t>
        </is>
      </c>
      <c r="BQ132" s="53" t="inlineStr">
        <is>
          <t>Not a manager</t>
        </is>
      </c>
      <c r="BR132" s="53" t="inlineStr">
        <is>
          <t>—</t>
        </is>
      </c>
      <c r="BS132" s="53" t="n"/>
      <c r="BT132" s="53" t="n"/>
      <c r="BU132" s="53" t="inlineStr">
        <is>
          <t>No designation change — current record value carried forward</t>
        </is>
      </c>
      <c r="BV132" s="53" t="n"/>
      <c r="BW132" s="53" t="n"/>
      <c r="BX132" s="53" t="n"/>
      <c r="BY132" s="53" t="n"/>
      <c r="BZ132" s="53" t="inlineStr">
        <is>
          <t>IRIS2489</t>
        </is>
      </c>
      <c r="CA132" s="53" t="inlineStr">
        <is>
          <t>Employee</t>
        </is>
      </c>
      <c r="CB132" s="53" t="inlineStr">
        <is>
          <t>Active</t>
        </is>
      </c>
      <c r="CC132" s="53" t="inlineStr">
        <is>
          <t>Sreyash Duragkar</t>
        </is>
      </c>
      <c r="CD132" s="54" t="n">
        <v>32100</v>
      </c>
      <c r="CE132" s="53" t="inlineStr">
        <is>
          <t>Director- Enterprise Sales</t>
        </is>
      </c>
      <c r="CF132" s="53" t="inlineStr">
        <is>
          <t>North America: Understand the shortlisted customers details from SDR team, schedule the discovery call, demo call and make the presetation/Demo to the client - Follow up -till the deal closure  along with price negotiations</t>
        </is>
      </c>
      <c r="CG132" s="53" t="inlineStr">
        <is>
          <t>Executive Leadership</t>
        </is>
      </c>
      <c r="CH132" s="53" t="inlineStr">
        <is>
          <t>Business / Functional Leadership</t>
        </is>
      </c>
      <c r="CI132" s="53" t="inlineStr">
        <is>
          <t>Director- Enterprise Sales</t>
        </is>
      </c>
      <c r="CJ132" s="53" t="inlineStr">
        <is>
          <t>L8 – Director</t>
        </is>
      </c>
      <c r="CK132" s="53" t="inlineStr">
        <is>
          <t>Anuradha RK</t>
        </is>
      </c>
      <c r="CL132" s="53" t="inlineStr">
        <is>
          <t>N-3</t>
        </is>
      </c>
      <c r="CM132" s="53" t="n"/>
      <c r="CN132" s="53" t="inlineStr">
        <is>
          <t>Individual Contributor</t>
        </is>
      </c>
      <c r="CO132" s="53" t="inlineStr">
        <is>
          <t>Sales</t>
        </is>
      </c>
      <c r="CP132" s="53" t="inlineStr">
        <is>
          <t>2 years, 0 months, 0 days</t>
        </is>
      </c>
      <c r="CQ132" s="53" t="n"/>
      <c r="CR132" s="53" t="inlineStr">
        <is>
          <t>0 years, 3 months, 15 days</t>
        </is>
      </c>
      <c r="CS132" s="53" t="inlineStr">
        <is>
          <t>2 years, 3 months, 15 days</t>
        </is>
      </c>
      <c r="CT132" s="53" t="n">
        <v>0.166666667</v>
      </c>
      <c r="CU132" s="53" t="n"/>
      <c r="CV132" s="53" t="n"/>
      <c r="CW132" s="53" t="inlineStr">
        <is>
          <t>Regtech</t>
        </is>
      </c>
      <c r="CX132" s="53" t="inlineStr">
        <is>
          <t>CARBON</t>
        </is>
      </c>
      <c r="CY132" s="53" t="inlineStr">
        <is>
          <t>Sales</t>
        </is>
      </c>
      <c r="CZ132" s="53" t="inlineStr">
        <is>
          <t>Sales</t>
        </is>
      </c>
      <c r="DA132" s="53" t="inlineStr">
        <is>
          <t>No</t>
        </is>
      </c>
      <c r="DB132" s="53" t="inlineStr">
        <is>
          <t>Sales, Marketing &amp; Support</t>
        </is>
      </c>
      <c r="DC132" s="53" t="n"/>
      <c r="DD132" s="53" t="n"/>
      <c r="DE132" s="53" t="n"/>
      <c r="DF132" s="53" t="n"/>
      <c r="DG132" s="53" t="n"/>
      <c r="DH132" s="53" t="n"/>
      <c r="DI132" s="53" t="n"/>
      <c r="DJ132" s="53" t="n"/>
      <c r="DK132" s="53" t="n"/>
      <c r="DL132" s="53" t="n"/>
      <c r="DM132" s="53" t="n"/>
      <c r="DN132" s="53" t="n"/>
      <c r="DO132" s="53" t="n"/>
      <c r="DP132" s="53" t="n"/>
      <c r="DQ132" s="53" t="n"/>
      <c r="DR132" s="53" t="n"/>
      <c r="DS132" s="53" t="n"/>
      <c r="DT132" s="53" t="n"/>
      <c r="DU132" s="53" t="n"/>
      <c r="DV132" s="53" t="n"/>
      <c r="DW132" s="53" t="n"/>
      <c r="DX132" s="53" t="n"/>
      <c r="DY132" s="53" t="n"/>
      <c r="DZ132" s="53" t="n"/>
      <c r="EA132" s="53" t="n"/>
      <c r="EB132" s="53" t="n"/>
      <c r="EC132" s="53" t="n"/>
      <c r="ED132" s="53" t="n"/>
      <c r="EE132" s="53" t="n"/>
      <c r="EF132" s="53" t="n"/>
      <c r="EG132" s="53" t="n"/>
      <c r="EH132" s="53" t="n"/>
      <c r="EI132" s="53" t="n"/>
      <c r="EJ132" s="53" t="n"/>
      <c r="EK132" s="53" t="n"/>
      <c r="EL132" s="53" t="n"/>
      <c r="EM132" s="53" t="n"/>
      <c r="EN132" s="53" t="n"/>
      <c r="EO132" s="53" t="n"/>
      <c r="EP132" s="53" t="n"/>
      <c r="EQ132" s="53" t="n"/>
      <c r="ER132" s="53" t="n"/>
      <c r="ES132" s="53" t="n"/>
      <c r="ET132" s="53" t="n"/>
      <c r="EU132" s="53" t="n"/>
      <c r="EV132" s="53" t="n"/>
      <c r="EW132" s="52" t="n"/>
      <c r="EX132" s="53" t="n"/>
      <c r="EY132" s="53" t="n"/>
      <c r="EZ132" s="53" t="n"/>
      <c r="FA132" s="53" t="n"/>
      <c r="FB132" s="53" t="n"/>
      <c r="FC132" s="53" t="n"/>
      <c r="FD132" s="53" t="n"/>
      <c r="FE132" s="55" t="inlineStr">
        <is>
          <t>KRAs not received · manager to supply</t>
        </is>
      </c>
      <c r="FF132" s="56" t="n"/>
      <c r="FG132" s="56" t="n"/>
      <c r="FH132" s="56" t="n"/>
      <c r="FI132" s="56" t="inlineStr">
        <is>
          <t>North America: Understand the shortlisted customers details from SDR team, schedule the discovery call, demo call and make the presetation/Demo to the client - Follow up -till the deal closure  along with price negotiations</t>
        </is>
      </c>
      <c r="FJ132" s="32" t="inlineStr">
        <is>
          <t>KRAs not received · manager to supply</t>
        </is>
      </c>
      <c r="FK132" s="56" t="inlineStr">
        <is>
          <t>CARBON Talent Mapping · Raw</t>
        </is>
      </c>
      <c r="FL132" s="56" t="n">
        <v>0</v>
      </c>
      <c r="FM132" s="32" t="inlineStr">
        <is>
          <t>No survey response on file</t>
        </is>
      </c>
      <c r="FN132" s="56" t="inlineStr">
        <is>
          <t>—</t>
        </is>
      </c>
      <c r="FO132" s="56" t="inlineStr">
        <is>
          <t>—</t>
        </is>
      </c>
      <c r="FP132" s="56" t="inlineStr">
        <is>
          <t>—</t>
        </is>
      </c>
      <c r="FQ132" s="56" t="inlineStr">
        <is>
          <t>—</t>
        </is>
      </c>
      <c r="FR132" s="56"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FS132" s="56" t="inlineStr">
        <is>
          <t>Common themes in sub-family holders, all levels' answers: client · follow till · negotiations · details sdr · understand · call
Common themes in sub-family holders, all levels' answers: building · partner
Common themes in sub-family holders, all levels' answers: sales
Common themes in sub-family holders, all levels' answers: revenue · generation · sales
If the work is missed · role-holders' themes: revenue · opportunities · lost.</t>
        </is>
      </c>
      <c r="FT132" s="56" t="n"/>
      <c r="FU132" s="32" t="inlineStr">
        <is>
          <t>No survey response on file</t>
        </is>
      </c>
    </row>
    <row r="133" ht="90" customHeight="1">
      <c r="A133" s="51" t="inlineStr">
        <is>
          <t>◂ Back</t>
        </is>
      </c>
      <c r="B133" s="29" t="inlineStr">
        <is>
          <t>Mapped</t>
        </is>
      </c>
      <c r="C133" s="28" t="inlineStr">
        <is>
          <t>CARBON</t>
        </is>
      </c>
      <c r="D133" s="29" t="inlineStr">
        <is>
          <t>IRIS2239</t>
        </is>
      </c>
      <c r="E133" s="29" t="inlineStr">
        <is>
          <t>Saahit Togaru</t>
        </is>
      </c>
      <c r="F133" s="29" t="inlineStr">
        <is>
          <t>Marketing</t>
        </is>
      </c>
      <c r="G133" s="29" t="inlineStr">
        <is>
          <t>Senior Manager - Strategy &amp; Product Marketing</t>
        </is>
      </c>
      <c r="H133" s="29" t="inlineStr">
        <is>
          <t>Senior Marketing Manager</t>
        </is>
      </c>
      <c r="I133" s="29" t="inlineStr">
        <is>
          <t>Not in current mapping files</t>
        </is>
      </c>
      <c r="J133" s="29" t="inlineStr">
        <is>
          <t>B3</t>
        </is>
      </c>
      <c r="K133" s="29" t="inlineStr">
        <is>
          <t>● Newly mapped</t>
        </is>
      </c>
      <c r="L133" s="29" t="inlineStr">
        <is>
          <t>Marketing &amp; Communications</t>
        </is>
      </c>
      <c r="M133" s="29" t="inlineStr">
        <is>
          <t>Marketing Leadership</t>
        </is>
      </c>
      <c r="N133" s="29" t="n"/>
      <c r="O133" s="29" t="n">
        <v>20</v>
      </c>
      <c r="P133" s="28" t="inlineStr">
        <is>
          <t>P5 / M4</t>
        </is>
      </c>
      <c r="Q133" s="29" t="inlineStr">
        <is>
          <t>Expert / Senior Manager</t>
        </is>
      </c>
      <c r="R133" s="29" t="inlineStr">
        <is>
          <t>5 Ensure, advise</t>
        </is>
      </c>
      <c r="S133" s="29" t="inlineStr">
        <is>
          <t>8–12 yrs</t>
        </is>
      </c>
      <c r="T133" s="29" t="inlineStr">
        <is>
          <t>9–13 · 9–14</t>
        </is>
      </c>
      <c r="U133" s="29" t="inlineStr">
        <is>
          <t>Senior Manager</t>
        </is>
      </c>
      <c r="V133" s="29" t="inlineStr">
        <is>
          <t>IRIS Vs Market Benchmark — CIM proficiency scale: 4 Accomplished · IRIS Vs Competitor Benchmark — SaaS marketing ladder: Senior Marketing Manager</t>
        </is>
      </c>
      <c r="W133" s="29" t="inlineStr">
        <is>
          <t>CIM Global Professional Marketing Framework — proficiency Aware → Active learner → Able → Accomplished → Authoritative</t>
        </is>
      </c>
      <c r="X133" s="29" t="inlineStr">
        <is>
          <t>Core 4 · Future 3 · Functional 4 · Leadership 4</t>
        </is>
      </c>
      <c r="Y133" s="52" t="n">
        <v>313</v>
      </c>
      <c r="Z133" s="53" t="inlineStr">
        <is>
          <t>IRIS2239</t>
        </is>
      </c>
      <c r="AA133" s="53" t="inlineStr">
        <is>
          <t>Employee</t>
        </is>
      </c>
      <c r="AB133" s="53" t="inlineStr">
        <is>
          <t>Active</t>
        </is>
      </c>
      <c r="AC133" s="53" t="inlineStr">
        <is>
          <t>Saahit Togaru</t>
        </is>
      </c>
      <c r="AD133" s="54" t="n">
        <v>45398</v>
      </c>
      <c r="AE133" s="53" t="inlineStr">
        <is>
          <t>Senior Manager - Strategy &amp; Product Marketing</t>
        </is>
      </c>
      <c r="AF133" s="53" t="inlineStr">
        <is>
          <t>Masters in Liberal Arts</t>
        </is>
      </c>
      <c r="AG133" s="53" t="inlineStr">
        <is>
          <t>Anuradha Rk</t>
        </is>
      </c>
      <c r="AH133" s="53" t="inlineStr">
        <is>
          <t>N-3</t>
        </is>
      </c>
      <c r="AI133" s="53" t="inlineStr">
        <is>
          <t>Manager</t>
        </is>
      </c>
      <c r="AJ133" s="53" t="inlineStr">
        <is>
          <t>8 years, 4 months, 0 days</t>
        </is>
      </c>
      <c r="AK133" s="53" t="inlineStr">
        <is>
          <t>2 years, 4 months, 9 days</t>
        </is>
      </c>
      <c r="AL133" s="53" t="inlineStr">
        <is>
          <t>Regtech</t>
        </is>
      </c>
      <c r="AM133" s="53" t="inlineStr">
        <is>
          <t>CARBON</t>
        </is>
      </c>
      <c r="AN133" s="53" t="inlineStr">
        <is>
          <t>Marketing</t>
        </is>
      </c>
      <c r="AO133" s="53" t="inlineStr">
        <is>
          <t>Marketing</t>
        </is>
      </c>
      <c r="AP133" s="53" t="inlineStr">
        <is>
          <t>No</t>
        </is>
      </c>
      <c r="AQ133" s="53" t="inlineStr">
        <is>
          <t>Sales, Marketing &amp; Support</t>
        </is>
      </c>
      <c r="AR133" s="53" t="inlineStr">
        <is>
          <t>Marketing</t>
        </is>
      </c>
      <c r="AS133" s="53" t="inlineStr">
        <is>
          <t>Non-technical</t>
        </is>
      </c>
      <c r="AT133" s="53" t="n">
        <v>20</v>
      </c>
      <c r="AU133" s="53" t="inlineStr">
        <is>
          <t>Covered</t>
        </is>
      </c>
      <c r="AV133" s="53" t="inlineStr">
        <is>
          <t>IRIS2239</t>
        </is>
      </c>
      <c r="AW133" s="53" t="inlineStr">
        <is>
          <t>Saahit Togaru</t>
        </is>
      </c>
      <c r="AX133" s="53" t="inlineStr">
        <is>
          <t>Marketing</t>
        </is>
      </c>
      <c r="AY133" s="53" t="inlineStr">
        <is>
          <t>Marketing &amp; Communications</t>
        </is>
      </c>
      <c r="AZ133" s="53" t="inlineStr">
        <is>
          <t>Marketing</t>
        </is>
      </c>
      <c r="BA133" s="53" t="inlineStr">
        <is>
          <t>Business &amp; Functional Leadership</t>
        </is>
      </c>
      <c r="BB133" s="53" t="inlineStr">
        <is>
          <t>Marketing</t>
        </is>
      </c>
      <c r="BC133" s="53" t="inlineStr">
        <is>
          <t>Employee</t>
        </is>
      </c>
      <c r="BD133" s="53" t="inlineStr">
        <is>
          <t>Anuradha Rk</t>
        </is>
      </c>
      <c r="BE133" s="53" t="inlineStr">
        <is>
          <t>Dixit Jasani</t>
        </is>
      </c>
      <c r="BF133" s="53" t="inlineStr">
        <is>
          <t>Yes</t>
        </is>
      </c>
      <c r="BG133" s="53" t="inlineStr">
        <is>
          <t>Senior Manager - Strategy &amp; Product Marketing</t>
        </is>
      </c>
      <c r="BH133" s="53" t="inlineStr">
        <is>
          <t>Senior Manager - Strategy &amp; Product Marketing</t>
        </is>
      </c>
      <c r="BI133" s="53" t="inlineStr">
        <is>
          <t>N/A · new entry</t>
        </is>
      </c>
      <c r="BJ133" s="53" t="n">
        <v>14</v>
      </c>
      <c r="BK133" s="53" t="n">
        <v>14</v>
      </c>
      <c r="BL133" s="53" t="n">
        <v>0</v>
      </c>
      <c r="BM133" s="53" t="inlineStr">
        <is>
          <t>Healthy</t>
        </is>
      </c>
      <c r="BN133" s="53" t="n">
        <v>10</v>
      </c>
      <c r="BO133" s="53" t="n">
        <v>10</v>
      </c>
      <c r="BP133" s="53" t="n">
        <v>0</v>
      </c>
      <c r="BQ133" s="53" t="inlineStr">
        <is>
          <t>Healthy</t>
        </is>
      </c>
      <c r="BR133" s="53" t="inlineStr">
        <is>
          <t>Yes</t>
        </is>
      </c>
      <c r="BS133" s="53" t="n"/>
      <c r="BT133" s="53" t="n"/>
      <c r="BU133" s="53" t="inlineStr">
        <is>
          <t>No designation change — current record value carried forward</t>
        </is>
      </c>
      <c r="BV133" s="53" t="n"/>
      <c r="BW133" s="53" t="n"/>
      <c r="BX133" s="53" t="inlineStr">
        <is>
          <t>Global</t>
        </is>
      </c>
      <c r="BY133" s="53" t="n"/>
      <c r="BZ133" s="53" t="inlineStr">
        <is>
          <t>IRIS2239</t>
        </is>
      </c>
      <c r="CA133" s="53" t="inlineStr">
        <is>
          <t>Employee</t>
        </is>
      </c>
      <c r="CB133" s="53" t="inlineStr">
        <is>
          <t>Active</t>
        </is>
      </c>
      <c r="CC133" s="53" t="inlineStr">
        <is>
          <t>Saahit Togaru</t>
        </is>
      </c>
      <c r="CD133" s="53" t="n">
        <v>31</v>
      </c>
      <c r="CE133" s="53" t="inlineStr">
        <is>
          <t>Senior Manager - Strategy &amp; Product Marketing</t>
        </is>
      </c>
      <c r="CF133" s="53" t="inlineStr">
        <is>
          <t>- Deliver pipeline to Sales</t>
        </is>
      </c>
      <c r="CG133" s="53" t="inlineStr">
        <is>
          <t>Marketing</t>
        </is>
      </c>
      <c r="CH133" s="53" t="inlineStr">
        <is>
          <t>Product Management</t>
        </is>
      </c>
      <c r="CI133" s="53" t="inlineStr">
        <is>
          <t>Senior Manager - Strategy &amp; Product Marketing</t>
        </is>
      </c>
      <c r="CJ133" s="53" t="inlineStr">
        <is>
          <t>L6 – Senior Manager</t>
        </is>
      </c>
      <c r="CK133" s="53" t="inlineStr">
        <is>
          <t>Anuradha Rk</t>
        </is>
      </c>
      <c r="CL133" s="53" t="inlineStr">
        <is>
          <t>N-3</t>
        </is>
      </c>
      <c r="CM133" s="53" t="n"/>
      <c r="CN133" s="53" t="inlineStr">
        <is>
          <t>Manager</t>
        </is>
      </c>
      <c r="CO133" s="53" t="inlineStr">
        <is>
          <t>Marketing</t>
        </is>
      </c>
      <c r="CP133" s="53" t="inlineStr">
        <is>
          <t>8 years, 4 months, 0 days</t>
        </is>
      </c>
      <c r="CQ133" s="53" t="n"/>
      <c r="CR133" s="53" t="inlineStr">
        <is>
          <t>2 years, 2 months, 4 days</t>
        </is>
      </c>
      <c r="CS133" s="53" t="inlineStr">
        <is>
          <t>10 years, 6 months, 4 days</t>
        </is>
      </c>
      <c r="CT133" s="53" t="n">
        <v>2.177625571</v>
      </c>
      <c r="CU133" s="53" t="n"/>
      <c r="CV133" s="53" t="n"/>
      <c r="CW133" s="53" t="inlineStr">
        <is>
          <t>Regtech</t>
        </is>
      </c>
      <c r="CX133" s="53" t="inlineStr">
        <is>
          <t>CARBON</t>
        </is>
      </c>
      <c r="CY133" s="53" t="inlineStr">
        <is>
          <t>Marketing</t>
        </is>
      </c>
      <c r="CZ133" s="53" t="inlineStr">
        <is>
          <t>Marketing</t>
        </is>
      </c>
      <c r="DA133" s="53" t="inlineStr">
        <is>
          <t>No</t>
        </is>
      </c>
      <c r="DB133" s="53" t="inlineStr">
        <is>
          <t>Sales, Marketing &amp; Support</t>
        </is>
      </c>
      <c r="DC133" s="53" t="n"/>
      <c r="DD133" s="53" t="n"/>
      <c r="DE133" s="53" t="n"/>
      <c r="DF133" s="53" t="n"/>
      <c r="DG133" s="53" t="n"/>
      <c r="DH133" s="53" t="n"/>
      <c r="DI133" s="53" t="n"/>
      <c r="DJ133" s="53" t="n"/>
      <c r="DK133" s="53" t="n"/>
      <c r="DL133" s="53" t="n"/>
      <c r="DM133" s="53" t="n"/>
      <c r="DN133" s="53" t="n"/>
      <c r="DO133" s="53" t="n"/>
      <c r="DP133" s="53" t="n"/>
      <c r="DQ133" s="53" t="n"/>
      <c r="DR133" s="53" t="n"/>
      <c r="DS133" s="53" t="n"/>
      <c r="DT133" s="53" t="n"/>
      <c r="DU133" s="53" t="n"/>
      <c r="DV133" s="53" t="n"/>
      <c r="DW133" s="53" t="n"/>
      <c r="DX133" s="53" t="n"/>
      <c r="DY133" s="53" t="n"/>
      <c r="DZ133" s="53" t="n"/>
      <c r="EA133" s="53" t="n"/>
      <c r="EB133" s="53" t="n"/>
      <c r="EC133" s="53" t="n"/>
      <c r="ED133" s="53" t="n"/>
      <c r="EE133" s="53" t="n"/>
      <c r="EF133" s="53" t="n"/>
      <c r="EG133" s="53" t="n"/>
      <c r="EH133" s="53" t="n"/>
      <c r="EI133" s="53" t="n"/>
      <c r="EJ133" s="53" t="n"/>
      <c r="EK133" s="53" t="n"/>
      <c r="EL133" s="53" t="n"/>
      <c r="EM133" s="53" t="n"/>
      <c r="EN133" s="53" t="n"/>
      <c r="EO133" s="53" t="n"/>
      <c r="EP133" s="53" t="n"/>
      <c r="EQ133" s="53" t="n"/>
      <c r="ER133" s="53" t="n"/>
      <c r="ES133" s="53" t="n"/>
      <c r="ET133" s="53" t="n"/>
      <c r="EU133" s="53" t="n"/>
      <c r="EV133" s="53" t="n"/>
      <c r="EW133" s="52" t="n"/>
      <c r="EX133" s="53" t="inlineStr">
        <is>
          <t>Growth, Revenue and building the brand; Marketing Demand Capture Demand Gene Strategies GTM Strategies</t>
        </is>
      </c>
      <c r="EY133" s="53" t="inlineStr">
        <is>
          <t>Strategy Marketing Brand Positioning Content Revenue Pipeline Demand Generation Website Digital Assets; Pipeline, Revenue, Brand, Product Positioning + Brand Perception; Marketing Strategy Demand Gen and Capture Generate Pipeline Ensure we meet revenue go; Most of our work is ad-hoc - things that can be DIY but are outsourced. Impact is revenue.</t>
        </is>
      </c>
      <c r="EZ133" s="53" t="inlineStr">
        <is>
          <t>Data Analysis Tools - CRM Google Suite Social Listening analysis HTML CSS WP Website Excel; CRM Expertise GSuite Expertise Social Media Expertise Marketing Expertise Organic Channels Inorganic channels; Ability to read b/w the lines - data always tells a story, the ability to be able to understand the story is very important.</t>
        </is>
      </c>
      <c r="FA133" s="53" t="inlineStr">
        <is>
          <t>Nothing in particular. We learn instinctively w/ data and ensure we never repeat mistakes. The function was setup w/ a strong foundation only recently - so nothing n particular to change in the past.; Product Training Functional - Domain; Leadership Coaching, Be a better Hiring Manager, Real-time market updates specific to domain</t>
        </is>
      </c>
      <c r="FB133" s="53" t="inlineStr">
        <is>
          <t>Ad-hoc work bureaucracy High-level Inputs; Marketing is not equal to a single email or a call or a database. It is thorough rigor of multiple action items done consistently to ensure we meet our goals. Understanding of the role of marketing Understanding the role of marketing in an organization is key - real understanding.</t>
        </is>
      </c>
      <c r="FC133" s="53" t="n"/>
      <c r="FD133" s="53" t="n"/>
      <c r="FE133" s="55" t="inlineStr">
        <is>
          <t>KRAs not received · manager to supply</t>
        </is>
      </c>
      <c r="FF133" s="56" t="n"/>
      <c r="FG133" s="56" t="n"/>
      <c r="FH133" s="56" t="n"/>
      <c r="FI133" s="56" t="inlineStr">
        <is>
          <t>- Deliver pipeline to Sales</t>
        </is>
      </c>
      <c r="FJ133" s="32" t="inlineStr">
        <is>
          <t>KRAs not received · manager to supply</t>
        </is>
      </c>
      <c r="FK133" s="56" t="inlineStr">
        <is>
          <t>CARBON Talent Mapping · Raw</t>
        </is>
      </c>
      <c r="FL133" s="56" t="n">
        <v>20</v>
      </c>
      <c r="FM133" s="56" t="inlineStr">
        <is>
          <t>Growth, Revenue and building the brand; Marketing Demand Capture Demand Gene Strategies GTM Strategies</t>
        </is>
      </c>
      <c r="FN133" s="56" t="inlineStr">
        <is>
          <t>Strategy Marketing Brand Positioning Content Revenue Pipeline Demand Generation Website Digital Assets; Pipeline, Revenue, Brand, Product Positioning + Brand Perception; Marketing Strategy Demand Gen and Capture Generate Pipeline Ensure we meet revenue go; Most of our work is ad-hoc - things that can be DIY but are outsourced. Impact is revenue.</t>
        </is>
      </c>
      <c r="FO133" s="56" t="inlineStr">
        <is>
          <t>Data Analysis Tools - CRM Google Suite Social Listening analysis HTML CSS WP Website Excel; CRM Expertise GSuite Expertise Social Media Expertise Marketing Expertise Organic Channels Inorganic channels; Ability to read b/w the lines - data always tells a story, the ability to be able to understand the story is very important.</t>
        </is>
      </c>
      <c r="FP133" s="56" t="inlineStr">
        <is>
          <t>Nothing in particular. We learn instinctively w/ data and ensure we never repeat mistakes. The function was setup w/ a strong foundation only recently - so nothing n particular to change in the past.; Product Training Functional - Domain; Leadership Coaching, Be a better Hiring Manager, Real-time market updates specific to domain</t>
        </is>
      </c>
      <c r="FQ133" s="56" t="inlineStr">
        <is>
          <t>Ad-hoc work bureaucracy High-level Inputs; Marketing is not equal to a single email or a call or a database. It is thorough rigor of multiple action items done consistently to ensure we meet our goals. Understanding of the role of marketing Understanding the role of marketing in an organization is key - real understanding.</t>
        </is>
      </c>
      <c r="FR133" s="56" t="inlineStr">
        <is>
          <t>Complexity: Evidence reads like B1: Analyses internal and external data sets to map market demand, position brand and build pipeline → moved down 0.5
Autonomy: Evidence reads like B2: Decides marketing, demand generation, demand capture and GTM strategies → moved down 0.5
Accountability: Evidence reads like B2: Accountable for marketing pipeline, revenue contribution, brand and product positioning; five-person team → moved down 0.5
Leadership: Evidence reads like B1: Five direct reports in HR data; text does not describe people management → moved down 0.5
Business Impact: No survey or manager-mapping signal on criticality: kept at the start point.</t>
        </is>
      </c>
      <c r="FS133" s="56" t="n"/>
      <c r="FT133" s="56" t="inlineStr">
        <is>
          <t>Self-identified: Leadership &amp; people management · Domain, regulatory &amp; XBRL
For the next role: Leadership &amp; people management · Domain, regulatory &amp; XBRL</t>
        </is>
      </c>
      <c r="FU133" s="56" t="inlineStr">
        <is>
          <t>Per-person summary · CARBON Mapping Master</t>
        </is>
      </c>
    </row>
    <row r="134" ht="90" customHeight="1">
      <c r="A134" s="51" t="inlineStr">
        <is>
          <t>◂ Back</t>
        </is>
      </c>
      <c r="B134" s="29" t="inlineStr">
        <is>
          <t>Mapped</t>
        </is>
      </c>
      <c r="C134" s="28" t="inlineStr">
        <is>
          <t>CARBON</t>
        </is>
      </c>
      <c r="D134" s="29" t="inlineStr">
        <is>
          <t>IRIS2358</t>
        </is>
      </c>
      <c r="E134" s="29" t="inlineStr">
        <is>
          <t>Sobhan Pramanik</t>
        </is>
      </c>
      <c r="F134" s="29" t="inlineStr">
        <is>
          <t>Marketing</t>
        </is>
      </c>
      <c r="G134" s="29" t="inlineStr">
        <is>
          <t>Manager - Marketing</t>
        </is>
      </c>
      <c r="H134" s="29" t="inlineStr">
        <is>
          <t>Marketing Manager</t>
        </is>
      </c>
      <c r="I134" s="29" t="inlineStr">
        <is>
          <t>L5 – Manager</t>
        </is>
      </c>
      <c r="J134" s="29" t="inlineStr">
        <is>
          <t>B2</t>
        </is>
      </c>
      <c r="K134" s="29" t="inlineStr">
        <is>
          <t>• Same level</t>
        </is>
      </c>
      <c r="L134" s="29" t="inlineStr">
        <is>
          <t>Marketing &amp; Communications</t>
        </is>
      </c>
      <c r="M134" s="29" t="inlineStr">
        <is>
          <t>Demand Generation, Brand &amp; Events</t>
        </is>
      </c>
      <c r="N134" s="29" t="n"/>
      <c r="O134" s="29" t="n">
        <v>20</v>
      </c>
      <c r="P134" s="28" t="inlineStr">
        <is>
          <t>P4 / M3</t>
        </is>
      </c>
      <c r="Q134" s="29" t="inlineStr">
        <is>
          <t>Senior / Manager</t>
        </is>
      </c>
      <c r="R134" s="29" t="inlineStr">
        <is>
          <t>4–5</t>
        </is>
      </c>
      <c r="S134" s="29" t="inlineStr">
        <is>
          <t>6–9 yrs</t>
        </is>
      </c>
      <c r="T134" s="29" t="inlineStr">
        <is>
          <t>7–10 · 6–11</t>
        </is>
      </c>
      <c r="U134" s="29" t="inlineStr">
        <is>
          <t>Manager</t>
        </is>
      </c>
      <c r="V134" s="29" t="inlineStr">
        <is>
          <t>IRIS Vs Market Benchmark — CIM proficiency scale: 3–4 · IRIS Vs Competitor Benchmark — SaaS marketing ladder: Marketing Manager</t>
        </is>
      </c>
      <c r="W134" s="29" t="inlineStr">
        <is>
          <t>CIM Global Professional Marketing Framework — proficiency Aware → Active learner → Able → Accomplished → Authoritative</t>
        </is>
      </c>
      <c r="X134" s="29" t="inlineStr">
        <is>
          <t>Core 3 · Future 3 · Functional 4 · Leadership 3</t>
        </is>
      </c>
      <c r="Y134" s="52" t="n">
        <v>364</v>
      </c>
      <c r="Z134" s="53" t="inlineStr">
        <is>
          <t>IRIS2358</t>
        </is>
      </c>
      <c r="AA134" s="53" t="inlineStr">
        <is>
          <t>Employee</t>
        </is>
      </c>
      <c r="AB134" s="53" t="inlineStr">
        <is>
          <t>Active</t>
        </is>
      </c>
      <c r="AC134" s="53" t="inlineStr">
        <is>
          <t>Sobhan Pramanik</t>
        </is>
      </c>
      <c r="AD134" s="54" t="n">
        <v>45748</v>
      </c>
      <c r="AE134" s="53" t="inlineStr">
        <is>
          <t>Manager - Marketing</t>
        </is>
      </c>
      <c r="AF134" s="53" t="inlineStr">
        <is>
          <t>B.Tech</t>
        </is>
      </c>
      <c r="AG134" s="53" t="inlineStr">
        <is>
          <t>Saahit Togaru</t>
        </is>
      </c>
      <c r="AH134" s="53" t="inlineStr">
        <is>
          <t>N-4</t>
        </is>
      </c>
      <c r="AI134" s="53" t="inlineStr">
        <is>
          <t>Manager</t>
        </is>
      </c>
      <c r="AJ134" s="53" t="inlineStr">
        <is>
          <t>7 years, 0 months, 0 days</t>
        </is>
      </c>
      <c r="AK134" s="53" t="inlineStr">
        <is>
          <t>1 years, 4 months, 24 days</t>
        </is>
      </c>
      <c r="AL134" s="53" t="inlineStr">
        <is>
          <t>Regtech</t>
        </is>
      </c>
      <c r="AM134" s="53" t="inlineStr">
        <is>
          <t>CARBON</t>
        </is>
      </c>
      <c r="AN134" s="53" t="inlineStr">
        <is>
          <t>Marketing</t>
        </is>
      </c>
      <c r="AO134" s="53" t="inlineStr">
        <is>
          <t>Marketing</t>
        </is>
      </c>
      <c r="AP134" s="53" t="inlineStr">
        <is>
          <t>No</t>
        </is>
      </c>
      <c r="AQ134" s="53" t="inlineStr">
        <is>
          <t>Sales, Marketing &amp; Support</t>
        </is>
      </c>
      <c r="AR134" s="53" t="inlineStr">
        <is>
          <t>Marketing</t>
        </is>
      </c>
      <c r="AS134" s="53" t="inlineStr">
        <is>
          <t>Non-technical</t>
        </is>
      </c>
      <c r="AT134" s="53" t="n">
        <v>20</v>
      </c>
      <c r="AU134" s="53" t="inlineStr">
        <is>
          <t>Covered</t>
        </is>
      </c>
      <c r="AV134" s="53" t="inlineStr">
        <is>
          <t>IRIS2358</t>
        </is>
      </c>
      <c r="AW134" s="53" t="inlineStr">
        <is>
          <t>Sobhan Pramanik</t>
        </is>
      </c>
      <c r="AX134" s="53" t="inlineStr">
        <is>
          <t>Marketing</t>
        </is>
      </c>
      <c r="AY134" s="53" t="inlineStr">
        <is>
          <t>Marketing &amp; Communications</t>
        </is>
      </c>
      <c r="AZ134" s="53" t="inlineStr">
        <is>
          <t>Demand Generation &amp; Branding</t>
        </is>
      </c>
      <c r="BA134" s="53" t="n"/>
      <c r="BB134" s="53" t="n"/>
      <c r="BC134" s="53" t="inlineStr">
        <is>
          <t>Employee</t>
        </is>
      </c>
      <c r="BD134" s="53" t="inlineStr">
        <is>
          <t>Saahit Togaru</t>
        </is>
      </c>
      <c r="BE134" s="53" t="inlineStr">
        <is>
          <t>Saahit Togaru</t>
        </is>
      </c>
      <c r="BF134" s="53" t="inlineStr">
        <is>
          <t>No</t>
        </is>
      </c>
      <c r="BG134" s="53" t="inlineStr">
        <is>
          <t>Manager - Marketing</t>
        </is>
      </c>
      <c r="BH134" s="53" t="inlineStr">
        <is>
          <t>Manager - Marketing</t>
        </is>
      </c>
      <c r="BI134" s="53" t="inlineStr">
        <is>
          <t>No</t>
        </is>
      </c>
      <c r="BJ134" s="53" t="n">
        <v>4</v>
      </c>
      <c r="BK134" s="53" t="n">
        <v>2</v>
      </c>
      <c r="BL134" s="53" t="n">
        <v>2</v>
      </c>
      <c r="BM134" s="53" t="inlineStr">
        <is>
          <t>Review</t>
        </is>
      </c>
      <c r="BN134" s="53" t="n">
        <v>8</v>
      </c>
      <c r="BO134" s="53" t="n">
        <v>6</v>
      </c>
      <c r="BP134" s="53" t="n">
        <v>2</v>
      </c>
      <c r="BQ134" s="53" t="inlineStr">
        <is>
          <t>Healthy</t>
        </is>
      </c>
      <c r="BR134" s="53" t="inlineStr">
        <is>
          <t>Yes</t>
        </is>
      </c>
      <c r="BS134" s="53" t="inlineStr">
        <is>
          <t>L5 – Manager</t>
        </is>
      </c>
      <c r="BT134" s="53" t="inlineStr">
        <is>
          <t>L5 – Manager</t>
        </is>
      </c>
      <c r="BU134" s="53" t="inlineStr">
        <is>
          <t>No designation change — current record value carried forward</t>
        </is>
      </c>
      <c r="BV134" s="53" t="inlineStr">
        <is>
          <t>OKR Tracker - Marketing 2026 · FY27.xlsx</t>
        </is>
      </c>
      <c r="BW134" s="53" t="n"/>
      <c r="BX134" s="53" t="inlineStr">
        <is>
          <t>US; EU; India; Africa.</t>
        </is>
      </c>
      <c r="BY134" s="53" t="n"/>
      <c r="BZ134" s="53" t="inlineStr">
        <is>
          <t>IRIS2358</t>
        </is>
      </c>
      <c r="CA134" s="53" t="inlineStr">
        <is>
          <t>Employee</t>
        </is>
      </c>
      <c r="CB134" s="53" t="inlineStr">
        <is>
          <t>Active</t>
        </is>
      </c>
      <c r="CC134" s="53" t="inlineStr">
        <is>
          <t>Sobhan Pramanik</t>
        </is>
      </c>
      <c r="CD134" s="54" t="n">
        <v>45748</v>
      </c>
      <c r="CE134" s="53" t="inlineStr">
        <is>
          <t>Manager - Marketing</t>
        </is>
      </c>
      <c r="CF134" s="53" t="inlineStr">
        <is>
          <t>Content and social media Management team : Run Campaigns for Carbon across region,</t>
        </is>
      </c>
      <c r="CG134" s="53" t="inlineStr">
        <is>
          <t>Marketing &amp; Communications</t>
        </is>
      </c>
      <c r="CH134" s="53" t="inlineStr">
        <is>
          <t>Demand Generation</t>
        </is>
      </c>
      <c r="CI134" s="53" t="inlineStr">
        <is>
          <t>Manager - Marketing</t>
        </is>
      </c>
      <c r="CJ134" s="53" t="inlineStr">
        <is>
          <t>L5 – Manager</t>
        </is>
      </c>
      <c r="CK134" s="53" t="inlineStr">
        <is>
          <t>Saahit Togaru</t>
        </is>
      </c>
      <c r="CL134" s="53" t="inlineStr">
        <is>
          <t>N-4</t>
        </is>
      </c>
      <c r="CM134" s="53" t="inlineStr">
        <is>
          <t>Manager</t>
        </is>
      </c>
      <c r="CN134" s="53" t="inlineStr">
        <is>
          <t>Regtech</t>
        </is>
      </c>
      <c r="CO134" s="53" t="inlineStr">
        <is>
          <t>Marketing</t>
        </is>
      </c>
      <c r="CP134" s="53" t="inlineStr">
        <is>
          <t>8 years, 2 months, 19 days</t>
        </is>
      </c>
      <c r="CQ134" s="53" t="n"/>
      <c r="CR134" s="53" t="inlineStr">
        <is>
          <t>No</t>
        </is>
      </c>
      <c r="CS134" s="53" t="n">
        <v>3</v>
      </c>
      <c r="CT134" s="53" t="inlineStr">
        <is>
          <t>High</t>
        </is>
      </c>
      <c r="CU134" s="53" t="inlineStr">
        <is>
          <t>Future Leader</t>
        </is>
      </c>
      <c r="CV134" s="53" t="n"/>
      <c r="CW134" s="53" t="inlineStr">
        <is>
          <t>No</t>
        </is>
      </c>
      <c r="CX134" s="53" t="inlineStr">
        <is>
          <t>Yes</t>
        </is>
      </c>
      <c r="CY134" s="53" t="inlineStr">
        <is>
          <t>Alisha Sheikh</t>
        </is>
      </c>
      <c r="CZ134" s="53" t="inlineStr">
        <is>
          <t>-Time management</t>
        </is>
      </c>
      <c r="DA134" s="53" t="n"/>
      <c r="DB134" s="53" t="n"/>
      <c r="DC134" s="53" t="n"/>
      <c r="DD134" s="53" t="n"/>
      <c r="DE134" s="53" t="n"/>
      <c r="DF134" s="53" t="n"/>
      <c r="DG134" s="53" t="n"/>
      <c r="DH134" s="53" t="n"/>
      <c r="DI134" s="53" t="n"/>
      <c r="DJ134" s="53" t="n"/>
      <c r="DK134" s="53" t="n"/>
      <c r="DL134" s="53" t="n"/>
      <c r="DM134" s="53" t="n"/>
      <c r="DN134" s="53" t="n"/>
      <c r="DO134" s="53" t="n"/>
      <c r="DP134" s="53" t="n"/>
      <c r="DQ134" s="53" t="n"/>
      <c r="DR134" s="53" t="n"/>
      <c r="DS134" s="53" t="n"/>
      <c r="DT134" s="53" t="n"/>
      <c r="DU134" s="53" t="n"/>
      <c r="DV134" s="53" t="n"/>
      <c r="DW134" s="53" t="n"/>
      <c r="DX134" s="53" t="n"/>
      <c r="DY134" s="53" t="n"/>
      <c r="DZ134" s="53" t="n"/>
      <c r="EA134" s="53" t="n"/>
      <c r="EB134" s="53" t="n"/>
      <c r="EC134" s="53" t="n"/>
      <c r="ED134" s="53" t="n"/>
      <c r="EE134" s="53" t="n"/>
      <c r="EF134" s="53" t="n"/>
      <c r="EG134" s="53" t="n"/>
      <c r="EH134" s="53" t="n"/>
      <c r="EI134" s="53" t="n"/>
      <c r="EJ134" s="53" t="n"/>
      <c r="EK134" s="53" t="n"/>
      <c r="EL134" s="53" t="n"/>
      <c r="EM134" s="53" t="n"/>
      <c r="EN134" s="53" t="n"/>
      <c r="EO134" s="53" t="n"/>
      <c r="EP134" s="53" t="n"/>
      <c r="EQ134" s="53" t="n"/>
      <c r="ER134" s="53" t="n"/>
      <c r="ES134" s="53" t="n"/>
      <c r="ET134" s="53" t="n"/>
      <c r="EU134" s="53" t="n"/>
      <c r="EV134" s="53" t="n"/>
      <c r="EW134" s="52" t="n"/>
      <c r="EX134" s="53" t="inlineStr">
        <is>
          <t>• Role / sub-team: Marketing — Manager - Marketing.
• Core purpose: Building brand awareness and demand for IRIS CARBON globally.
• Decision-making autonomy: Can independently content Strategy.
• Is this something only they do: Everyone on the team.</t>
        </is>
      </c>
      <c r="EY134" s="53" t="inlineStr">
        <is>
          <t>• Key responsibilities include: Organic Growth; Performance Optimization; Content Strategy; Brand Event Experience; Team Management.
• Personally accountable for: MQL volume, brand messaging and visual consistency across all touchpoints.
• Impact if missed or done wrong: Lack of MQLs directly affect pipeline and has a cascading effect on DC/SAL/ABSAL.
• How measured: Slightly differently since marketing efforts yield long-tail outcomes. Example: AEO/GEO visibility.</t>
        </is>
      </c>
      <c r="EZ134" s="53" t="inlineStr">
        <is>
          <t>• Current capabilities: Product understanding; Industry landscape; Core messaging frameworks.
• Tools / software used: HubSpot; MS Office; Canva; Abode Creative Cloud; Claude; AI Tools.
• Workload: Rated a heavy load · 4/5 in a typical week.
• Judgment/way of working: An inherent "sense of good" and ability to decipher "what's in it for them" is imperative to everything we do in marketing.</t>
        </is>
      </c>
      <c r="FA134" s="53" t="inlineStr">
        <is>
          <t>• Development priorities: Paid/PPC; Organic strategy beyond content; Stakeholder management; Handling difficult conversations; Delegation without losing oversight.
• Learning and Development Need: Sessions with Saahit. Learning to function with limited context and focusing on getting the raw, scratchy draft out before trying to perfect it.
• Role evolving toward: Shifted focus to AEO/GEO visibility; Shifting brand positioning from a core service provider to a SaaS player.</t>
        </is>
      </c>
      <c r="FB134" s="53" t="inlineStr">
        <is>
          <t>• Key challenges: Adhoc requirements.
• Support required: Clear prioritization, lesser ambiguity.</t>
        </is>
      </c>
      <c r="FC134" s="53" t="inlineStr">
        <is>
          <t>KRAs Submitted</t>
        </is>
      </c>
      <c r="FD134" s="53" t="n"/>
      <c r="FE134" s="57" t="inlineStr">
        <is>
          <t>OKR Tracker - Marketing 2026 · FY27.xlsx</t>
        </is>
      </c>
      <c r="FF134" s="56" t="n"/>
      <c r="FG134" s="56" t="n"/>
      <c r="FH134" s="56" t="n"/>
      <c r="FI134" s="56" t="inlineStr">
        <is>
          <t>Content and social media Management team : Run Campaigns for Carbon across region,</t>
        </is>
      </c>
      <c r="FJ134" s="56" t="inlineStr">
        <is>
          <t>Received · manager annual</t>
        </is>
      </c>
      <c r="FK134" s="56" t="inlineStr">
        <is>
          <t>CARBON Mapping Master · CARBON Talent Mapping · Raw</t>
        </is>
      </c>
      <c r="FL134" s="56" t="n">
        <v>20</v>
      </c>
      <c r="FM134" s="56" t="inlineStr">
        <is>
          <t>• Role / sub-team: Marketing — Manager - Marketing.
• Core purpose: Building brand awareness and demand for IRIS CARBON globally.
• Decision-making autonomy: Can independently content Strategy.
• Is this something only they do: Everyone on the team.</t>
        </is>
      </c>
      <c r="FN134" s="56" t="inlineStr">
        <is>
          <t>• Key responsibilities include: Organic Growth; Performance Optimization; Content Strategy; Brand Event Experience; Team Management.
• Personally accountable for: MQL volume, brand messaging and visual consistency across all touchpoints.
• Impact if missed or done wrong: Lack of MQLs directly affect pipeline and has a cascading effect on DC/SAL/ABSAL.
• How measured: Slightly differently since marketing efforts yield long-tail outcomes. Example: AEO/GEO visibility.</t>
        </is>
      </c>
      <c r="FO134" s="56" t="inlineStr">
        <is>
          <t>• Current capabilities: Product understanding; Industry landscape; Core messaging frameworks.
• Tools / software used: HubSpot; MS Office; Canva; Abode Creative Cloud; Claude; AI Tools.
• Workload: Rated a heavy load · 4/5 in a typical week.
• Judgment/way of working: An inherent "sense of good" and ability to decipher "what's in it for them" is imperative to everything we do in marketing.</t>
        </is>
      </c>
      <c r="FP134" s="56" t="inlineStr">
        <is>
          <t>• Development priorities: Paid/PPC; Organic strategy beyond content; Stakeholder management; Handling difficult conversations; Delegation without losing oversight.
• Learning and Development Need: Sessions with Saahit. Learning to function with limited context and focusing on getting the raw, scratchy draft out before trying to perfect it.
• Role evolving toward: Shifted focus to AEO/GEO visibility; Shifting brand positioning from a core service provider to a SaaS player.</t>
        </is>
      </c>
      <c r="FQ134" s="56" t="inlineStr">
        <is>
          <t>• Key challenges: Adhoc requirements.
• Support required: Clear prioritization, lesser ambiguity.</t>
        </is>
      </c>
      <c r="FR134" s="56" t="inlineStr">
        <is>
          <t>Complexity: Evidence reads like B2: Runs marketing across organic/SEO, paid, events, PR and analyst relations; builds messaging and team processes → matches the start
Autonomy: Evidence reads like B2: Decides content strategy; manages the team and institutionalises its processes → matches the start
Accountability: Evidence reads like B2: MQL volume plus brand messaging and visual consistency for IRIS CARBON → matches the start
Leadership: Evidence reads like B2: Team management listed; 7 direct reports → matches the start
Business Impact: Moved +0.5: the survey / manager mapping marks it business-critical.</t>
        </is>
      </c>
      <c r="FS134" s="56" t="inlineStr">
        <is>
          <t>Common themes in sub-family holders, all levels' answers: iris · management · gtm · drive · initiatives · growth
Common themes in sub-family holders, all levels' answers: event · management
Common themes in sub-family holders, all levels' answers: gtm
Common themes in sub-family holders, all levels' answers: strategy
If the work is missed · role-holders' themes: pipeline.</t>
        </is>
      </c>
      <c r="FT134" s="56" t="inlineStr">
        <is>
          <t>Self-identified: Leadership &amp; people management · Client, sales &amp; stakeholders · Strategy &amp; business acumen · Marketing &amp; content
For the next role: Leadership &amp; people management · Client, sales &amp; stakeholders · Strategy &amp; business acumen · Marketing &amp; content</t>
        </is>
      </c>
      <c r="FU134" s="56" t="inlineStr">
        <is>
          <t>Per-person summary · CARBON Mapping Master</t>
        </is>
      </c>
    </row>
    <row r="135" ht="90" customHeight="1">
      <c r="A135" s="51" t="inlineStr">
        <is>
          <t>◂ Back</t>
        </is>
      </c>
      <c r="B135" s="29" t="inlineStr">
        <is>
          <t>Mapped</t>
        </is>
      </c>
      <c r="C135" s="28" t="inlineStr">
        <is>
          <t>CARBON</t>
        </is>
      </c>
      <c r="D135" s="29" t="inlineStr">
        <is>
          <t>IRIS2400</t>
        </is>
      </c>
      <c r="E135" s="29" t="inlineStr">
        <is>
          <t>Bharani Kumar</t>
        </is>
      </c>
      <c r="F135" s="29" t="inlineStr">
        <is>
          <t>Marketing</t>
        </is>
      </c>
      <c r="G135" s="29" t="inlineStr">
        <is>
          <t>Creative Lead</t>
        </is>
      </c>
      <c r="H135" s="29" t="inlineStr">
        <is>
          <t>Design Specialist – POD Lead</t>
        </is>
      </c>
      <c r="I135" s="29" t="inlineStr">
        <is>
          <t>L5 – Lead · IC</t>
        </is>
      </c>
      <c r="J135" s="29" t="inlineStr">
        <is>
          <t>B1</t>
        </is>
      </c>
      <c r="K135" s="29" t="inlineStr">
        <is>
          <t>▼ Down · protected</t>
        </is>
      </c>
      <c r="L135" s="29" t="inlineStr">
        <is>
          <t>Design &amp; Creative</t>
        </is>
      </c>
      <c r="M135" s="29" t="inlineStr">
        <is>
          <t>Brand, Graphic &amp; Video Design</t>
        </is>
      </c>
      <c r="N135" s="29" t="n"/>
      <c r="O135" s="29" t="n">
        <v>20</v>
      </c>
      <c r="P135" s="28" t="inlineStr">
        <is>
          <t>P3 / M2</t>
        </is>
      </c>
      <c r="Q135" s="29" t="inlineStr">
        <is>
          <t>Career / · Team Lead</t>
        </is>
      </c>
      <c r="R135" s="29" t="inlineStr">
        <is>
          <t>4 Enable</t>
        </is>
      </c>
      <c r="S135" s="29" t="inlineStr">
        <is>
          <t>4–7 yrs</t>
        </is>
      </c>
      <c r="T135" s="29" t="inlineStr">
        <is>
          <t>5–8 · 4–8</t>
        </is>
      </c>
      <c r="U135" s="29" t="inlineStr">
        <is>
          <t>Senior Designer</t>
        </is>
      </c>
      <c r="V135" s="29" t="inlineStr">
        <is>
          <t>IRIS Vs Competitor Benchmark — UX / design ladder: UX Designer</t>
        </is>
      </c>
      <c r="W135" s="29" t="inlineStr">
        <is>
          <t>UX career ladder Junior → Designer → Senior → Lead → Principal; WCAG accessibility</t>
        </is>
      </c>
      <c r="X135" s="29" t="inlineStr">
        <is>
          <t>Core 3 · Future 3 · Functional 3 · Leadership 2</t>
        </is>
      </c>
      <c r="Y135" s="52" t="n">
        <v>383</v>
      </c>
      <c r="Z135" s="53" t="inlineStr">
        <is>
          <t>IRIS2400</t>
        </is>
      </c>
      <c r="AA135" s="53" t="inlineStr">
        <is>
          <t>Employee</t>
        </is>
      </c>
      <c r="AB135" s="53" t="inlineStr">
        <is>
          <t>Active</t>
        </is>
      </c>
      <c r="AC135" s="53" t="inlineStr">
        <is>
          <t>Bharani Kumar</t>
        </is>
      </c>
      <c r="AD135" s="54" t="n">
        <v>45845</v>
      </c>
      <c r="AE135" s="53" t="inlineStr">
        <is>
          <t>Creative Lead</t>
        </is>
      </c>
      <c r="AF135" s="53" t="inlineStr">
        <is>
          <t>BA</t>
        </is>
      </c>
      <c r="AG135" s="53" t="inlineStr">
        <is>
          <t>Sobhan Pramanik</t>
        </is>
      </c>
      <c r="AH135" s="53" t="inlineStr">
        <is>
          <t>N-5</t>
        </is>
      </c>
      <c r="AI135" s="53" t="inlineStr">
        <is>
          <t>Manager</t>
        </is>
      </c>
      <c r="AJ135" s="53" t="inlineStr">
        <is>
          <t>11 years, 0 months, 0 days</t>
        </is>
      </c>
      <c r="AK135" s="53" t="inlineStr">
        <is>
          <t>1 years, 1 months, 18 days</t>
        </is>
      </c>
      <c r="AL135" s="53" t="inlineStr">
        <is>
          <t>Regtech</t>
        </is>
      </c>
      <c r="AM135" s="53" t="inlineStr">
        <is>
          <t>CARBON</t>
        </is>
      </c>
      <c r="AN135" s="53" t="inlineStr">
        <is>
          <t>Marketing</t>
        </is>
      </c>
      <c r="AO135" s="53" t="inlineStr">
        <is>
          <t>Marketing</t>
        </is>
      </c>
      <c r="AP135" s="53" t="inlineStr">
        <is>
          <t>No</t>
        </is>
      </c>
      <c r="AQ135" s="53" t="inlineStr">
        <is>
          <t>Sales, Marketing &amp; Support</t>
        </is>
      </c>
      <c r="AR135" s="53" t="inlineStr">
        <is>
          <t>Graphic design</t>
        </is>
      </c>
      <c r="AS135" s="53" t="inlineStr">
        <is>
          <t>Non-technical</t>
        </is>
      </c>
      <c r="AT135" s="53" t="n">
        <v>20</v>
      </c>
      <c r="AU135" s="53" t="inlineStr">
        <is>
          <t>Covered</t>
        </is>
      </c>
      <c r="AV135" s="53" t="inlineStr">
        <is>
          <t>IRIS2400</t>
        </is>
      </c>
      <c r="AW135" s="53" t="inlineStr">
        <is>
          <t>Bharani Kumar</t>
        </is>
      </c>
      <c r="AX135" s="53" t="inlineStr">
        <is>
          <t>Marketing</t>
        </is>
      </c>
      <c r="AY135" s="53" t="inlineStr">
        <is>
          <t>Marketing &amp; Communications</t>
        </is>
      </c>
      <c r="AZ135" s="53" t="inlineStr">
        <is>
          <t>Creative &amp; Design</t>
        </is>
      </c>
      <c r="BA135" s="53" t="n"/>
      <c r="BB135" s="53" t="n"/>
      <c r="BC135" s="53" t="inlineStr">
        <is>
          <t>Employee</t>
        </is>
      </c>
      <c r="BD135" s="53" t="inlineStr">
        <is>
          <t>Sobhan Pramanik</t>
        </is>
      </c>
      <c r="BE135" s="53" t="inlineStr">
        <is>
          <t>Sobhan Pramanik</t>
        </is>
      </c>
      <c r="BF135" s="53" t="inlineStr">
        <is>
          <t>No</t>
        </is>
      </c>
      <c r="BG135" s="53" t="inlineStr">
        <is>
          <t>Creative Lead</t>
        </is>
      </c>
      <c r="BH135" s="53" t="inlineStr">
        <is>
          <t>Creative Lead</t>
        </is>
      </c>
      <c r="BI135" s="53" t="inlineStr">
        <is>
          <t>No</t>
        </is>
      </c>
      <c r="BJ135" s="53" t="n">
        <v>1</v>
      </c>
      <c r="BK135" s="53" t="n">
        <v>1</v>
      </c>
      <c r="BL135" s="53" t="n">
        <v>0</v>
      </c>
      <c r="BM135" s="53" t="inlineStr">
        <is>
          <t>Consolidate / flatten</t>
        </is>
      </c>
      <c r="BN135" s="53" t="n">
        <v>1</v>
      </c>
      <c r="BO135" s="53" t="n">
        <v>1</v>
      </c>
      <c r="BP135" s="53" t="n">
        <v>0</v>
      </c>
      <c r="BQ135" s="53" t="inlineStr">
        <is>
          <t>Consolidate / flatten</t>
        </is>
      </c>
      <c r="BR135" s="53" t="inlineStr">
        <is>
          <t>No</t>
        </is>
      </c>
      <c r="BS135" s="53" t="inlineStr">
        <is>
          <t>L5 – Lead · IC</t>
        </is>
      </c>
      <c r="BT135" s="53" t="inlineStr">
        <is>
          <t>L5 – Lead · IC</t>
        </is>
      </c>
      <c r="BU135" s="53" t="inlineStr">
        <is>
          <t>No designation change — current record value carried forward</t>
        </is>
      </c>
      <c r="BV135" s="53" t="inlineStr">
        <is>
          <t>c</t>
        </is>
      </c>
      <c r="BW135" s="53" t="n"/>
      <c r="BX135" s="53" t="inlineStr">
        <is>
          <t>No input received — attended/was listed as a respondent but did not provide answers to any of the survey questions.</t>
        </is>
      </c>
      <c r="BY135" s="53" t="n"/>
      <c r="BZ135" s="53" t="inlineStr">
        <is>
          <t>IRIS2400</t>
        </is>
      </c>
      <c r="CA135" s="53" t="inlineStr">
        <is>
          <t>Employee</t>
        </is>
      </c>
      <c r="CB135" s="53" t="inlineStr">
        <is>
          <t>Active</t>
        </is>
      </c>
      <c r="CC135" s="53" t="inlineStr">
        <is>
          <t>Bharani Kumar</t>
        </is>
      </c>
      <c r="CD135" s="54" t="n">
        <v>45845</v>
      </c>
      <c r="CE135" s="53" t="inlineStr">
        <is>
          <t>Creative Lead</t>
        </is>
      </c>
      <c r="CF135" s="53" t="inlineStr">
        <is>
          <t>Reports to Shobhan: Responsible for designing the collaterals for social media</t>
        </is>
      </c>
      <c r="CG135" s="53" t="inlineStr">
        <is>
          <t>Marketing &amp; Communications</t>
        </is>
      </c>
      <c r="CH135" s="53" t="inlineStr">
        <is>
          <t>Marketing Operations</t>
        </is>
      </c>
      <c r="CI135" s="53" t="inlineStr">
        <is>
          <t>Creative Lead</t>
        </is>
      </c>
      <c r="CJ135" s="53" t="inlineStr">
        <is>
          <t>L5 – Lead · IC</t>
        </is>
      </c>
      <c r="CK135" s="53" t="inlineStr">
        <is>
          <t>Sobhan Pramanik</t>
        </is>
      </c>
      <c r="CL135" s="53" t="inlineStr">
        <is>
          <t>N-5</t>
        </is>
      </c>
      <c r="CM135" s="53" t="inlineStr">
        <is>
          <t>Manager</t>
        </is>
      </c>
      <c r="CN135" s="53" t="inlineStr">
        <is>
          <t>Regtech</t>
        </is>
      </c>
      <c r="CO135" s="53" t="inlineStr">
        <is>
          <t>Marketing</t>
        </is>
      </c>
      <c r="CP135" s="53" t="inlineStr">
        <is>
          <t>11 years, 11 months, 13 days</t>
        </is>
      </c>
      <c r="CQ135" s="53" t="inlineStr">
        <is>
          <t>Creative Lead</t>
        </is>
      </c>
      <c r="CR135" s="53" t="inlineStr">
        <is>
          <t>No</t>
        </is>
      </c>
      <c r="CS135" s="53" t="n"/>
      <c r="CT135" s="53" t="inlineStr">
        <is>
          <t>Medium</t>
        </is>
      </c>
      <c r="CU135" s="53" t="inlineStr">
        <is>
          <t>Core Contributor</t>
        </is>
      </c>
      <c r="CV135" s="53" t="n"/>
      <c r="CW135" s="53" t="inlineStr">
        <is>
          <t>No</t>
        </is>
      </c>
      <c r="CX135" s="53" t="inlineStr">
        <is>
          <t>No</t>
        </is>
      </c>
      <c r="CY135" s="53" t="n"/>
      <c r="CZ135" s="53" t="inlineStr">
        <is>
          <t>High time he learns the product/industry/brand positioning</t>
        </is>
      </c>
      <c r="DA135" s="53" t="n"/>
      <c r="DB135" s="53" t="n"/>
      <c r="DC135" s="53" t="n"/>
      <c r="DD135" s="53" t="n"/>
      <c r="DE135" s="53" t="n"/>
      <c r="DF135" s="53" t="n"/>
      <c r="DG135" s="53" t="n"/>
      <c r="DH135" s="53" t="n"/>
      <c r="DI135" s="53" t="n"/>
      <c r="DJ135" s="53" t="n"/>
      <c r="DK135" s="53" t="n"/>
      <c r="DL135" s="53" t="n"/>
      <c r="DM135" s="53" t="n"/>
      <c r="DN135" s="53" t="n"/>
      <c r="DO135" s="53" t="n"/>
      <c r="DP135" s="53" t="n"/>
      <c r="DQ135" s="53" t="n"/>
      <c r="DR135" s="53" t="n"/>
      <c r="DS135" s="53" t="n"/>
      <c r="DT135" s="53" t="n"/>
      <c r="DU135" s="53" t="n"/>
      <c r="DV135" s="53" t="n"/>
      <c r="DW135" s="53" t="n"/>
      <c r="DX135" s="53" t="n"/>
      <c r="DY135" s="53" t="n"/>
      <c r="DZ135" s="53" t="n"/>
      <c r="EA135" s="53" t="n"/>
      <c r="EB135" s="53" t="n"/>
      <c r="EC135" s="53" t="n"/>
      <c r="ED135" s="53" t="n"/>
      <c r="EE135" s="53" t="n"/>
      <c r="EF135" s="53" t="n"/>
      <c r="EG135" s="53" t="n"/>
      <c r="EH135" s="53" t="n"/>
      <c r="EI135" s="53" t="n"/>
      <c r="EJ135" s="53" t="n"/>
      <c r="EK135" s="53" t="n"/>
      <c r="EL135" s="53" t="n"/>
      <c r="EM135" s="53" t="n"/>
      <c r="EN135" s="53" t="n"/>
      <c r="EO135" s="53" t="n"/>
      <c r="EP135" s="53" t="n"/>
      <c r="EQ135" s="53" t="n"/>
      <c r="ER135" s="53" t="n"/>
      <c r="ES135" s="53" t="n"/>
      <c r="ET135" s="53" t="n"/>
      <c r="EU135" s="53" t="n"/>
      <c r="EV135" s="53" t="n"/>
      <c r="EW135" s="52" t="n"/>
      <c r="EX135" s="53" t="inlineStr">
        <is>
          <t>• Role / sub-team: Marketing — Creative Lead.
• Core purpose: Input not given by Participant.
• Decision-making autonomy: Input not given by Participant.
• Is this something only they do: Input not given by Participant.</t>
        </is>
      </c>
      <c r="EY135" s="53" t="inlineStr">
        <is>
          <t>• Key responsibilities include: Input not given by Participant.
• Impact if missed or done wrong: Input not given by Participant.
• How measured: Input not given by Participant.</t>
        </is>
      </c>
      <c r="EZ135" s="53" t="inlineStr">
        <is>
          <t>• Current capabilities: Input not given by Participant.
• Tools / software used: Input not given by Participant.</t>
        </is>
      </c>
      <c r="FA135" s="53" t="inlineStr">
        <is>
          <t>• Development priorities: Input not given by Participant.</t>
        </is>
      </c>
      <c r="FB135" s="53" t="inlineStr">
        <is>
          <t>• Key challenges: Input not given by Participant.
• Support required: Input not given by Participant.</t>
        </is>
      </c>
      <c r="FC135" s="53" t="n"/>
      <c r="FD135" s="53" t="n"/>
      <c r="FE135" s="57" t="inlineStr">
        <is>
          <t>c</t>
        </is>
      </c>
      <c r="FF135" s="56" t="n"/>
      <c r="FG135" s="56" t="n"/>
      <c r="FH135" s="56" t="n"/>
      <c r="FI135" s="56" t="inlineStr">
        <is>
          <t>Reports to Shobhan: Responsible for designing the collaterals for social media</t>
        </is>
      </c>
      <c r="FJ135" s="56" t="inlineStr">
        <is>
          <t>Received · manager annual</t>
        </is>
      </c>
      <c r="FK135" s="56" t="inlineStr">
        <is>
          <t>CARBON Mapping Master · CARBON Talent Mapping · Raw</t>
        </is>
      </c>
      <c r="FL135" s="56" t="n">
        <v>20</v>
      </c>
      <c r="FM135" s="56" t="inlineStr">
        <is>
          <t>• Role / sub-team: Marketing — Creative Lead.
• Core purpose: Input not given by Participant.
• Decision-making autonomy: Input not given by Participant.
• Is this something only they do: Input not given by Participant.</t>
        </is>
      </c>
      <c r="FN135" s="56" t="inlineStr">
        <is>
          <t>• Key responsibilities include: Input not given by Participant.
• Impact if missed or done wrong: Input not given by Participant.
• How measured: Input not given by Participant.</t>
        </is>
      </c>
      <c r="FO135" s="56" t="inlineStr">
        <is>
          <t>• Current capabilities: Input not given by Participant.
• Tools / software used: Input not given by Participant.</t>
        </is>
      </c>
      <c r="FP135" s="56" t="inlineStr">
        <is>
          <t>• Development priorities: Input not given by Participant.</t>
        </is>
      </c>
      <c r="FQ135" s="56" t="inlineStr">
        <is>
          <t>• Key challenges: Input not given by Participant.
• Support required: Input not given by Participant.</t>
        </is>
      </c>
      <c r="FR135" s="56" t="inlineStr">
        <is>
          <t>Complexity: Evidence reads like B1: Designs brand visuals, sales decks, motion graphics and video; owns brand design rules → matches the start
Autonomy: Evidence reads like B1: Decides design direction, visual style, motion approach and design standards used across decks and videos → matches the start
Accountability: Evidence reads like B1: Brand and visual design, motion/video content and decks that customers see → moved up 0.2
Leadership: Evidence reads like A2: Sets design standards others follow; no people guidance described · 1 report in HR → moved down 0.5
Business Impact: No survey or manager-mapping signal on criticality: kept at the start point.</t>
        </is>
      </c>
      <c r="FS135" s="56" t="inlineStr">
        <is>
          <t>Common themes in sub-family holders, all levels' answers: media · social · collaterals · designing · shobhan · reports
Common themes in sub-family holders, all levels' answers: sales · event · collaterals
Common themes in sub-family holders, all levels' answers: decks · assets · video · event · presentation · social
Common themes in sub-family holders, all levels' answers: visual · design · presentation · solution
Common themes in sub-family holders, all levels' answers: design
If the work is missed · role-holders' themes: sales.</t>
        </is>
      </c>
      <c r="FT135" s="56" t="inlineStr">
        <is>
          <t>Self-identified: AI / automation · Testing &amp; quality · Product &amp; tool knowledge · Marketing &amp; content
For the next role: AI / automation · Testing &amp; quality · Product &amp; tool knowledge · Marketing &amp; content</t>
        </is>
      </c>
      <c r="FU135" s="56" t="inlineStr">
        <is>
          <t>Per-person summary · CARBON Mapping Master</t>
        </is>
      </c>
    </row>
    <row r="136" ht="90" customHeight="1">
      <c r="A136" s="51" t="inlineStr">
        <is>
          <t>◂ Back</t>
        </is>
      </c>
      <c r="B136" s="29" t="inlineStr">
        <is>
          <t>Mapped</t>
        </is>
      </c>
      <c r="C136" s="28" t="inlineStr">
        <is>
          <t>CARBON</t>
        </is>
      </c>
      <c r="D136" s="29" t="inlineStr">
        <is>
          <t>IRIS2387</t>
        </is>
      </c>
      <c r="E136" s="29" t="inlineStr">
        <is>
          <t>Avidi Jeevitesh</t>
        </is>
      </c>
      <c r="F136" s="29" t="inlineStr">
        <is>
          <t>Marketing</t>
        </is>
      </c>
      <c r="G136" s="29" t="inlineStr">
        <is>
          <t>Senior Designer</t>
        </is>
      </c>
      <c r="H136" s="29" t="inlineStr">
        <is>
          <t>Senior Designer</t>
        </is>
      </c>
      <c r="I136" s="29" t="inlineStr">
        <is>
          <t>L4 – Senior</t>
        </is>
      </c>
      <c r="J136" s="29" t="inlineStr">
        <is>
          <t>A3</t>
        </is>
      </c>
      <c r="K136" s="29" t="inlineStr">
        <is>
          <t>• Same level</t>
        </is>
      </c>
      <c r="L136" s="29" t="inlineStr">
        <is>
          <t>Design &amp; Creative</t>
        </is>
      </c>
      <c r="M136" s="29" t="inlineStr">
        <is>
          <t>Brand, Graphic &amp; Video Design</t>
        </is>
      </c>
      <c r="N136" s="29" t="n"/>
      <c r="O136" s="29" t="n">
        <v>20</v>
      </c>
      <c r="P136" s="28" t="inlineStr">
        <is>
          <t>P2</t>
        </is>
      </c>
      <c r="Q136" s="29" t="inlineStr">
        <is>
          <t>Developing</t>
        </is>
      </c>
      <c r="R136" s="29" t="inlineStr">
        <is>
          <t>3 Apply</t>
        </is>
      </c>
      <c r="S136" s="29" t="inlineStr">
        <is>
          <t>2–4 yrs</t>
        </is>
      </c>
      <c r="T136" s="29" t="inlineStr">
        <is>
          <t>3–5 · 2–5</t>
        </is>
      </c>
      <c r="U136" s="29" t="inlineStr">
        <is>
          <t>Designer</t>
        </is>
      </c>
      <c r="V136" s="29" t="inlineStr">
        <is>
          <t>IRIS Vs Competitor Benchmark — UX / design ladder: Designer</t>
        </is>
      </c>
      <c r="W136" s="29" t="inlineStr">
        <is>
          <t>UX career ladder Junior → Designer → Senior → Lead → Principal; WCAG accessibility</t>
        </is>
      </c>
      <c r="X136" s="29" t="inlineStr">
        <is>
          <t>Core 2 · Future 2 · Functional 3 · Leadership not scored</t>
        </is>
      </c>
      <c r="Y136" s="52" t="n">
        <v>376</v>
      </c>
      <c r="Z136" s="53" t="inlineStr">
        <is>
          <t>IRIS2387</t>
        </is>
      </c>
      <c r="AA136" s="53" t="inlineStr">
        <is>
          <t>Employee</t>
        </is>
      </c>
      <c r="AB136" s="53" t="inlineStr">
        <is>
          <t>Active</t>
        </is>
      </c>
      <c r="AC136" s="53" t="inlineStr">
        <is>
          <t>Avidi Jeevitesh</t>
        </is>
      </c>
      <c r="AD136" s="54" t="n">
        <v>45824</v>
      </c>
      <c r="AE136" s="53" t="inlineStr">
        <is>
          <t>Senior Designer</t>
        </is>
      </c>
      <c r="AF136" s="53" t="inlineStr">
        <is>
          <t>Under Gratuate</t>
        </is>
      </c>
      <c r="AG136" s="53" t="inlineStr">
        <is>
          <t>Bharani Kumar</t>
        </is>
      </c>
      <c r="AH136" s="53" t="inlineStr">
        <is>
          <t>N-6</t>
        </is>
      </c>
      <c r="AI136" s="53" t="inlineStr">
        <is>
          <t>Individual Contributor</t>
        </is>
      </c>
      <c r="AJ136" s="53" t="inlineStr">
        <is>
          <t>9 years, 4 months, 00 days</t>
        </is>
      </c>
      <c r="AK136" s="53" t="inlineStr">
        <is>
          <t>1 years, 2 months, 9 days</t>
        </is>
      </c>
      <c r="AL136" s="53" t="inlineStr">
        <is>
          <t>Regtech</t>
        </is>
      </c>
      <c r="AM136" s="53" t="inlineStr">
        <is>
          <t>CARBON</t>
        </is>
      </c>
      <c r="AN136" s="53" t="inlineStr">
        <is>
          <t>Marketing</t>
        </is>
      </c>
      <c r="AO136" s="53" t="inlineStr">
        <is>
          <t>Marketing</t>
        </is>
      </c>
      <c r="AP136" s="53" t="inlineStr">
        <is>
          <t>No</t>
        </is>
      </c>
      <c r="AQ136" s="53" t="inlineStr">
        <is>
          <t>Sales, Marketing &amp; Support</t>
        </is>
      </c>
      <c r="AR136" s="53" t="inlineStr">
        <is>
          <t>Graphic design</t>
        </is>
      </c>
      <c r="AS136" s="53" t="inlineStr">
        <is>
          <t>Non-technical</t>
        </is>
      </c>
      <c r="AT136" s="53" t="n">
        <v>20</v>
      </c>
      <c r="AU136" s="53" t="inlineStr">
        <is>
          <t>Covered</t>
        </is>
      </c>
      <c r="AV136" s="53" t="inlineStr">
        <is>
          <t>IRIS2387</t>
        </is>
      </c>
      <c r="AW136" s="53" t="inlineStr">
        <is>
          <t>Avidi Jeevitesh</t>
        </is>
      </c>
      <c r="AX136" s="53" t="inlineStr">
        <is>
          <t>Marketing</t>
        </is>
      </c>
      <c r="AY136" s="53" t="inlineStr">
        <is>
          <t>Marketing &amp; Communications</t>
        </is>
      </c>
      <c r="AZ136" s="53" t="inlineStr">
        <is>
          <t>Creative &amp; Design</t>
        </is>
      </c>
      <c r="BA136" s="53" t="n"/>
      <c r="BB136" s="53" t="n"/>
      <c r="BC136" s="53" t="inlineStr">
        <is>
          <t>Employee</t>
        </is>
      </c>
      <c r="BD136" s="53" t="inlineStr">
        <is>
          <t>Bharani Kumar</t>
        </is>
      </c>
      <c r="BE136" s="53" t="inlineStr">
        <is>
          <t>Bharani Kumar</t>
        </is>
      </c>
      <c r="BF136" s="53" t="inlineStr">
        <is>
          <t>No</t>
        </is>
      </c>
      <c r="BG136" s="53" t="inlineStr">
        <is>
          <t>Senior Designer</t>
        </is>
      </c>
      <c r="BH136" s="53" t="inlineStr">
        <is>
          <t>Senior Desinger</t>
        </is>
      </c>
      <c r="BI136" s="53" t="inlineStr">
        <is>
          <t>Yes</t>
        </is>
      </c>
      <c r="BJ136" s="53" t="inlineStr">
        <is>
          <t>—</t>
        </is>
      </c>
      <c r="BK136" s="53" t="inlineStr">
        <is>
          <t>—</t>
        </is>
      </c>
      <c r="BL136" s="53" t="inlineStr">
        <is>
          <t>—</t>
        </is>
      </c>
      <c r="BM136" s="53" t="inlineStr">
        <is>
          <t>Not a manager</t>
        </is>
      </c>
      <c r="BN136" s="53" t="inlineStr">
        <is>
          <t>—</t>
        </is>
      </c>
      <c r="BO136" s="53" t="inlineStr">
        <is>
          <t>—</t>
        </is>
      </c>
      <c r="BP136" s="53" t="inlineStr">
        <is>
          <t>—</t>
        </is>
      </c>
      <c r="BQ136" s="53" t="inlineStr">
        <is>
          <t>Not a manager</t>
        </is>
      </c>
      <c r="BR136" s="53" t="inlineStr">
        <is>
          <t>—</t>
        </is>
      </c>
      <c r="BS136" s="53" t="inlineStr">
        <is>
          <t>L4 – Senior</t>
        </is>
      </c>
      <c r="BT136" s="53" t="inlineStr">
        <is>
          <t>L4 – Senior</t>
        </is>
      </c>
      <c r="BU136" s="53" t="inlineStr">
        <is>
          <t>No exact Title Hierarchy match — retained current record value</t>
        </is>
      </c>
      <c r="BV136" s="53" t="n"/>
      <c r="BW136" s="53" t="n"/>
      <c r="BX136" s="53" t="inlineStr">
        <is>
          <t>Global</t>
        </is>
      </c>
      <c r="BY136" s="53" t="n"/>
      <c r="BZ136" s="53" t="inlineStr">
        <is>
          <t>IRIS2387</t>
        </is>
      </c>
      <c r="CA136" s="53" t="inlineStr">
        <is>
          <t>Employee</t>
        </is>
      </c>
      <c r="CB136" s="53" t="inlineStr">
        <is>
          <t>Active</t>
        </is>
      </c>
      <c r="CC136" s="53" t="inlineStr">
        <is>
          <t>Avidi Jeevitesh</t>
        </is>
      </c>
      <c r="CD136" s="54" t="n">
        <v>45824</v>
      </c>
      <c r="CE136" s="53" t="inlineStr">
        <is>
          <t>Senior Designer</t>
        </is>
      </c>
      <c r="CF136" s="53" t="inlineStr">
        <is>
          <t>Reports to Shobhan: Responsible for designing the collaterals for social media</t>
        </is>
      </c>
      <c r="CG136" s="53" t="inlineStr">
        <is>
          <t>Marketing &amp; Communications</t>
        </is>
      </c>
      <c r="CH136" s="53" t="inlineStr">
        <is>
          <t>Marketing Operations</t>
        </is>
      </c>
      <c r="CI136" s="53" t="inlineStr">
        <is>
          <t>Senior Designer</t>
        </is>
      </c>
      <c r="CJ136" s="53" t="inlineStr">
        <is>
          <t>L4 – Senior</t>
        </is>
      </c>
      <c r="CK136" s="53" t="inlineStr">
        <is>
          <t>Bharani Kumar</t>
        </is>
      </c>
      <c r="CL136" s="53" t="inlineStr">
        <is>
          <t>N-6</t>
        </is>
      </c>
      <c r="CM136" s="53" t="inlineStr">
        <is>
          <t>Individual Contributor</t>
        </is>
      </c>
      <c r="CN136" s="53" t="inlineStr">
        <is>
          <t>Regtech</t>
        </is>
      </c>
      <c r="CO136" s="53" t="inlineStr">
        <is>
          <t>Marketing</t>
        </is>
      </c>
      <c r="CP136" s="53" t="inlineStr">
        <is>
          <t>10 years, 4 months, 4 days</t>
        </is>
      </c>
      <c r="CQ136" s="53" t="inlineStr">
        <is>
          <t>Senior Desinger</t>
        </is>
      </c>
      <c r="CR136" s="53" t="inlineStr">
        <is>
          <t>No</t>
        </is>
      </c>
      <c r="CS136" s="53" t="n"/>
      <c r="CT136" s="53" t="inlineStr">
        <is>
          <t>Medium</t>
        </is>
      </c>
      <c r="CU136" s="53" t="inlineStr">
        <is>
          <t>Reliable Specialist</t>
        </is>
      </c>
      <c r="CV136" s="53" t="n"/>
      <c r="CW136" s="53" t="inlineStr">
        <is>
          <t>No</t>
        </is>
      </c>
      <c r="CX136" s="53" t="inlineStr">
        <is>
          <t>No</t>
        </is>
      </c>
      <c r="CY136" s="53" t="n"/>
      <c r="CZ136" s="53" t="inlineStr">
        <is>
          <t>Get trained on PPT/UI/UX fundamentals</t>
        </is>
      </c>
      <c r="DA136" s="53" t="n"/>
      <c r="DB136" s="53" t="inlineStr">
        <is>
          <t>Reporting manager to be Bharani Kumar</t>
        </is>
      </c>
      <c r="DC136" s="53" t="n"/>
      <c r="DD136" s="53" t="n"/>
      <c r="DE136" s="53" t="n"/>
      <c r="DF136" s="53" t="n"/>
      <c r="DG136" s="53" t="n"/>
      <c r="DH136" s="53" t="n"/>
      <c r="DI136" s="53" t="n"/>
      <c r="DJ136" s="53" t="n"/>
      <c r="DK136" s="53" t="n"/>
      <c r="DL136" s="53" t="n"/>
      <c r="DM136" s="53" t="n"/>
      <c r="DN136" s="53" t="n"/>
      <c r="DO136" s="53" t="n"/>
      <c r="DP136" s="53" t="n"/>
      <c r="DQ136" s="53" t="n"/>
      <c r="DR136" s="53" t="n"/>
      <c r="DS136" s="53" t="n"/>
      <c r="DT136" s="53" t="n"/>
      <c r="DU136" s="53" t="n"/>
      <c r="DV136" s="53" t="n"/>
      <c r="DW136" s="53" t="n"/>
      <c r="DX136" s="53" t="n"/>
      <c r="DY136" s="53" t="n"/>
      <c r="DZ136" s="53" t="n"/>
      <c r="EA136" s="53" t="n"/>
      <c r="EB136" s="53" t="n"/>
      <c r="EC136" s="53" t="n"/>
      <c r="ED136" s="53" t="n"/>
      <c r="EE136" s="53" t="n"/>
      <c r="EF136" s="53" t="n"/>
      <c r="EG136" s="53" t="n"/>
      <c r="EH136" s="53" t="n"/>
      <c r="EI136" s="53" t="n"/>
      <c r="EJ136" s="53" t="n"/>
      <c r="EK136" s="53" t="n"/>
      <c r="EL136" s="53" t="n"/>
      <c r="EM136" s="53" t="n"/>
      <c r="EN136" s="53" t="n"/>
      <c r="EO136" s="53" t="n"/>
      <c r="EP136" s="53" t="n"/>
      <c r="EQ136" s="53" t="n"/>
      <c r="ER136" s="53" t="n"/>
      <c r="ES136" s="53" t="n"/>
      <c r="ET136" s="53" t="n"/>
      <c r="EU136" s="53" t="n"/>
      <c r="EV136" s="53" t="n"/>
      <c r="EW136" s="52" t="n"/>
      <c r="EX136" s="53" t="inlineStr">
        <is>
          <t>• This role manages the visual identity of brand assets, including e-books, social-media posts and solution briefs.</t>
        </is>
      </c>
      <c r="EY136" s="53" t="inlineStr">
        <is>
          <t>• Reported deliverables and outcomes include: Digital and Print Assets.
• Key responsibilities include Marketing Collaterals; Event Print Assets; Landing Page Assets; Emailer Banners.
• The role is accountable for Print files that needs to be accurate to its specifications, Ebooks and Solution briefs which needs attention to details for example that can be even aligning the CTA redirect links properly.
• The role independently makes decisions on Document Sizes and Layout.</t>
        </is>
      </c>
      <c r="EZ136" s="53" t="inlineStr">
        <is>
          <t>• Current capabilities: Adobe Illustrator, Photoshop and After Effects; AI-assisted design, visual storytelling and business-focused creative judgement.</t>
        </is>
      </c>
      <c r="FA136" s="53" t="inlineStr">
        <is>
          <t>• Development priorities: Build creative project-management, cross-functional strategy and design-leadership skills.
• Learning and Development Need: Creative project-management and design-leadership training, with structured exposure to cross-functional strategy work.
• AI Enablement Need: AI prompt engineering and using AI to increase efficiency, given his reported use of AI-assisted design.</t>
        </is>
      </c>
      <c r="FB136" s="53" t="inlineStr">
        <is>
          <t>• Key challenges: Frequent ad-hoc priorities and time pressure; Limited capacity for high-priority asset creation and revisions.
• Support required: Improved planning and workload bandwidth; Mentorship and exposure to design-leadership opportunities.</t>
        </is>
      </c>
      <c r="FC136" s="53" t="n"/>
      <c r="FD136" s="53" t="n"/>
      <c r="FE136" s="55" t="inlineStr">
        <is>
          <t>KRAs not received · manager to supply</t>
        </is>
      </c>
      <c r="FF136" s="56" t="n"/>
      <c r="FG136" s="56" t="n"/>
      <c r="FH136" s="56" t="n"/>
      <c r="FI136" s="56" t="inlineStr">
        <is>
          <t>Reports to Shobhan: Responsible for designing the collaterals for social media</t>
        </is>
      </c>
      <c r="FJ136" s="32" t="inlineStr">
        <is>
          <t>KRAs not received · manager to supply</t>
        </is>
      </c>
      <c r="FK136" s="56" t="inlineStr">
        <is>
          <t>CARBON Talent Mapping · Raw</t>
        </is>
      </c>
      <c r="FL136" s="56" t="n">
        <v>20</v>
      </c>
      <c r="FM136" s="56" t="inlineStr">
        <is>
          <t>• This role manages the visual identity of brand assets, including e-books, social-media posts and solution briefs.</t>
        </is>
      </c>
      <c r="FN136" s="56" t="inlineStr">
        <is>
          <t>• Reported deliverables and outcomes include: Digital and Print Assets.
• Key responsibilities include Marketing Collaterals; Event Print Assets; Landing Page Assets; Emailer Banners.
• The role is accountable for Print files that needs to be accurate to its specifications, Ebooks and Solution briefs which needs attention to details for example that can be even aligning the CTA redirect links properly.
• The role independently makes decisions on Document Sizes and Layout.</t>
        </is>
      </c>
      <c r="FO136" s="56" t="inlineStr">
        <is>
          <t>• Current capabilities: Adobe Illustrator, Photoshop and After Effects; AI-assisted design, visual storytelling and business-focused creative judgement.</t>
        </is>
      </c>
      <c r="FP136" s="56" t="inlineStr">
        <is>
          <t>• Development priorities: Build creative project-management, cross-functional strategy and design-leadership skills.
• Learning and Development Need: Creative project-management and design-leadership training, with structured exposure to cross-functional strategy work.
• AI Enablement Need: AI prompt engineering and using AI to increase efficiency, given his reported use of AI-assisted design.</t>
        </is>
      </c>
      <c r="FQ136" s="56" t="inlineStr">
        <is>
          <t>• Key challenges: Frequent ad-hoc priorities and time pressure; Limited capacity for high-priority asset creation and revisions.
• Support required: Improved planning and workload bandwidth; Mentorship and exposure to design-leadership opportunities.</t>
        </is>
      </c>
      <c r="FR136" s="56" t="inlineStr">
        <is>
          <t>Complexity: Evidence reads like A2: Designs ebooks, social posts, solution briefs, print and landing-page assets in Adobe tools → moved down 0.5
Autonomy: Evidence reads like A2: Decides document sizes and layout → moved down 0.5
Accountability: Evidence reads like A2: Accountable for print files matching specifications and correct details such as CTA links → moved down 0.5
Leadership: Evidence reads like A1: No guidance or leadership of others described → moved down 0.5
Business Impact: No survey or manager-mapping signal on criticality: kept at the start point.</t>
        </is>
      </c>
      <c r="FS136" s="56" t="inlineStr">
        <is>
          <t>Common themes in sub-family holders, all levels' answers: media · social · collaterals · designing · shobhan · reports
Common themes in sub-family holders, all levels' answers: sales · event · collaterals
Common themes in sub-family holders, all levels' answers: decks · assets · video · event · presentation · social
Common themes in sub-family holders, all levels' answers: visual · design · presentation · solution
Common themes in sub-family holders, all levels' answers: design
If the work is missed · role-holders' themes: sales.</t>
        </is>
      </c>
      <c r="FT136" s="56" t="inlineStr">
        <is>
          <t>Self-identified: Leadership &amp; people management · Project / programme management · Strategy &amp; business acumen
For the next role: Leadership &amp; people management · Project / programme management · Strategy &amp; business acumen</t>
        </is>
      </c>
      <c r="FU136" s="56" t="inlineStr">
        <is>
          <t>Per-person summary · CARBON Mapping Master</t>
        </is>
      </c>
    </row>
    <row r="137" ht="90" customHeight="1">
      <c r="A137" s="51" t="inlineStr">
        <is>
          <t>◂ Back</t>
        </is>
      </c>
      <c r="B137" s="29" t="inlineStr">
        <is>
          <t>Mapped</t>
        </is>
      </c>
      <c r="C137" s="28" t="inlineStr">
        <is>
          <t>CARBON</t>
        </is>
      </c>
      <c r="D137" s="29" t="inlineStr">
        <is>
          <t>IRIS2348</t>
        </is>
      </c>
      <c r="E137" s="29" t="inlineStr">
        <is>
          <t>Alisha Sheikh</t>
        </is>
      </c>
      <c r="F137" s="29" t="inlineStr">
        <is>
          <t>Marketing</t>
        </is>
      </c>
      <c r="G137" s="29" t="inlineStr">
        <is>
          <t>Content Marketer</t>
        </is>
      </c>
      <c r="H137" s="29" t="inlineStr">
        <is>
          <t>Senior Content Marketing Associate</t>
        </is>
      </c>
      <c r="I137" s="29" t="inlineStr">
        <is>
          <t>L3 – Professional / Associate</t>
        </is>
      </c>
      <c r="J137" s="29" t="inlineStr">
        <is>
          <t>A3</t>
        </is>
      </c>
      <c r="K137" s="29" t="inlineStr">
        <is>
          <t>▲ Up</t>
        </is>
      </c>
      <c r="L137" s="29" t="inlineStr">
        <is>
          <t>Marketing &amp; Communications</t>
        </is>
      </c>
      <c r="M137" s="29" t="inlineStr">
        <is>
          <t>Content Marketing</t>
        </is>
      </c>
      <c r="N137" s="29" t="n"/>
      <c r="O137" s="29" t="n">
        <v>20</v>
      </c>
      <c r="P137" s="28" t="inlineStr">
        <is>
          <t>P2</t>
        </is>
      </c>
      <c r="Q137" s="29" t="inlineStr">
        <is>
          <t>Developing</t>
        </is>
      </c>
      <c r="R137" s="29" t="inlineStr">
        <is>
          <t>3 Apply</t>
        </is>
      </c>
      <c r="S137" s="29" t="inlineStr">
        <is>
          <t>2–4 yrs</t>
        </is>
      </c>
      <c r="T137" s="29" t="inlineStr">
        <is>
          <t>3–5 · 2–5</t>
        </is>
      </c>
      <c r="U137" s="29" t="inlineStr">
        <is>
          <t>Marketing Executive</t>
        </is>
      </c>
      <c r="V137" s="29" t="inlineStr">
        <is>
          <t>IRIS Vs Market Benchmark — CIM proficiency scale: 2–3 · IRIS Vs Competitor Benchmark — SaaS marketing ladder: Marketing Specialist</t>
        </is>
      </c>
      <c r="W137" s="29" t="inlineStr">
        <is>
          <t>CIM Global Professional Marketing Framework — proficiency Aware → Active learner → Able → Accomplished → Authoritative</t>
        </is>
      </c>
      <c r="X137" s="29" t="inlineStr">
        <is>
          <t>Core 2 · Future 2 · Functional 3 · Leadership not scored</t>
        </is>
      </c>
      <c r="Y137" s="52" t="n">
        <v>359</v>
      </c>
      <c r="Z137" s="53" t="inlineStr">
        <is>
          <t>IRIS2348</t>
        </is>
      </c>
      <c r="AA137" s="53" t="inlineStr">
        <is>
          <t>Employee</t>
        </is>
      </c>
      <c r="AB137" s="53" t="inlineStr">
        <is>
          <t>Active</t>
        </is>
      </c>
      <c r="AC137" s="53" t="inlineStr">
        <is>
          <t>Alisha Sheikh</t>
        </is>
      </c>
      <c r="AD137" s="54" t="n">
        <v>45719</v>
      </c>
      <c r="AE137" s="53" t="inlineStr">
        <is>
          <t>Content Marketer</t>
        </is>
      </c>
      <c r="AF137" s="53" t="inlineStr">
        <is>
          <t>MBA</t>
        </is>
      </c>
      <c r="AG137" s="53" t="inlineStr">
        <is>
          <t>Sobhan Pramanik</t>
        </is>
      </c>
      <c r="AH137" s="53" t="inlineStr">
        <is>
          <t>N-5</t>
        </is>
      </c>
      <c r="AI137" s="53" t="inlineStr">
        <is>
          <t>Individual Contributor</t>
        </is>
      </c>
      <c r="AJ137" s="53" t="inlineStr">
        <is>
          <t>1 years, 5 months, 0 days</t>
        </is>
      </c>
      <c r="AK137" s="53" t="inlineStr">
        <is>
          <t>1 years, 5 months, 22 days</t>
        </is>
      </c>
      <c r="AL137" s="53" t="inlineStr">
        <is>
          <t>Regtech</t>
        </is>
      </c>
      <c r="AM137" s="53" t="inlineStr">
        <is>
          <t>CARBON</t>
        </is>
      </c>
      <c r="AN137" s="53" t="inlineStr">
        <is>
          <t>Marketing</t>
        </is>
      </c>
      <c r="AO137" s="53" t="inlineStr">
        <is>
          <t>Marketing</t>
        </is>
      </c>
      <c r="AP137" s="53" t="inlineStr">
        <is>
          <t>No</t>
        </is>
      </c>
      <c r="AQ137" s="53" t="inlineStr">
        <is>
          <t>Sales, Marketing &amp; Support</t>
        </is>
      </c>
      <c r="AR137" s="53" t="inlineStr">
        <is>
          <t>Marketing</t>
        </is>
      </c>
      <c r="AS137" s="53" t="inlineStr">
        <is>
          <t>Non-technical</t>
        </is>
      </c>
      <c r="AT137" s="53" t="n">
        <v>20</v>
      </c>
      <c r="AU137" s="53" t="inlineStr">
        <is>
          <t>Covered</t>
        </is>
      </c>
      <c r="AV137" s="53" t="inlineStr">
        <is>
          <t>IRIS2348</t>
        </is>
      </c>
      <c r="AW137" s="53" t="inlineStr">
        <is>
          <t>Alisha Sheikh</t>
        </is>
      </c>
      <c r="AX137" s="53" t="inlineStr">
        <is>
          <t>Marketing</t>
        </is>
      </c>
      <c r="AY137" s="53" t="inlineStr">
        <is>
          <t>Marketing &amp; Communications</t>
        </is>
      </c>
      <c r="AZ137" s="53" t="inlineStr">
        <is>
          <t>Content Marketing</t>
        </is>
      </c>
      <c r="BA137" s="53" t="n"/>
      <c r="BB137" s="53" t="n"/>
      <c r="BC137" s="53" t="inlineStr">
        <is>
          <t>Employee</t>
        </is>
      </c>
      <c r="BD137" s="53" t="inlineStr">
        <is>
          <t>Sobhan Pramanik</t>
        </is>
      </c>
      <c r="BE137" s="53" t="inlineStr">
        <is>
          <t>Sobhan Pramanik</t>
        </is>
      </c>
      <c r="BF137" s="53" t="inlineStr">
        <is>
          <t>No</t>
        </is>
      </c>
      <c r="BG137" s="53" t="inlineStr">
        <is>
          <t>Content Marketer</t>
        </is>
      </c>
      <c r="BH137" s="53" t="inlineStr">
        <is>
          <t>Content Marketer</t>
        </is>
      </c>
      <c r="BI137" s="53" t="inlineStr">
        <is>
          <t>No</t>
        </is>
      </c>
      <c r="BJ137" s="53" t="inlineStr">
        <is>
          <t>—</t>
        </is>
      </c>
      <c r="BK137" s="53" t="inlineStr">
        <is>
          <t>—</t>
        </is>
      </c>
      <c r="BL137" s="53" t="inlineStr">
        <is>
          <t>—</t>
        </is>
      </c>
      <c r="BM137" s="53" t="inlineStr">
        <is>
          <t>Not a manager</t>
        </is>
      </c>
      <c r="BN137" s="53" t="inlineStr">
        <is>
          <t>—</t>
        </is>
      </c>
      <c r="BO137" s="53" t="inlineStr">
        <is>
          <t>—</t>
        </is>
      </c>
      <c r="BP137" s="53" t="inlineStr">
        <is>
          <t>—</t>
        </is>
      </c>
      <c r="BQ137" s="53" t="inlineStr">
        <is>
          <t>Not a manager</t>
        </is>
      </c>
      <c r="BR137" s="53" t="inlineStr">
        <is>
          <t>—</t>
        </is>
      </c>
      <c r="BS137" s="53" t="inlineStr">
        <is>
          <t>L3 – Professional / Associate</t>
        </is>
      </c>
      <c r="BT137" s="53" t="inlineStr">
        <is>
          <t>L3 – Professional / Associate</t>
        </is>
      </c>
      <c r="BU137" s="53" t="inlineStr">
        <is>
          <t>No designation change — current record value carried forward</t>
        </is>
      </c>
      <c r="BV137" s="53" t="n"/>
      <c r="BW137" s="53" t="n"/>
      <c r="BX137" s="53" t="inlineStr">
        <is>
          <t>United States</t>
        </is>
      </c>
      <c r="BY137" s="53" t="n"/>
      <c r="BZ137" s="53" t="inlineStr">
        <is>
          <t>IRIS2348</t>
        </is>
      </c>
      <c r="CA137" s="53" t="inlineStr">
        <is>
          <t>Employee</t>
        </is>
      </c>
      <c r="CB137" s="53" t="inlineStr">
        <is>
          <t>Active</t>
        </is>
      </c>
      <c r="CC137" s="53" t="inlineStr">
        <is>
          <t>Alisha Sheikh</t>
        </is>
      </c>
      <c r="CD137" s="54" t="n">
        <v>45719</v>
      </c>
      <c r="CE137" s="53" t="inlineStr">
        <is>
          <t>Content Marketer</t>
        </is>
      </c>
      <c r="CF137" s="53" t="inlineStr">
        <is>
          <t>Reports to Shobhan: Responsible for content creation</t>
        </is>
      </c>
      <c r="CG137" s="53" t="inlineStr">
        <is>
          <t>Marketing &amp; Communications</t>
        </is>
      </c>
      <c r="CH137" s="53" t="inlineStr">
        <is>
          <t>Content Marketing</t>
        </is>
      </c>
      <c r="CI137" s="53" t="inlineStr">
        <is>
          <t>Content Marketer</t>
        </is>
      </c>
      <c r="CJ137" s="53" t="inlineStr">
        <is>
          <t>L3 – Professional / Associate</t>
        </is>
      </c>
      <c r="CK137" s="53" t="inlineStr">
        <is>
          <t>Sobhan Pramanik</t>
        </is>
      </c>
      <c r="CL137" s="53" t="inlineStr">
        <is>
          <t>N-5</t>
        </is>
      </c>
      <c r="CM137" s="53" t="inlineStr">
        <is>
          <t>Individual Contributor</t>
        </is>
      </c>
      <c r="CN137" s="53" t="inlineStr">
        <is>
          <t>Regtech</t>
        </is>
      </c>
      <c r="CO137" s="53" t="inlineStr">
        <is>
          <t>Marketing</t>
        </is>
      </c>
      <c r="CP137" s="53" t="inlineStr">
        <is>
          <t>2 years, 8 months, 17 days</t>
        </is>
      </c>
      <c r="CQ137" s="53" t="inlineStr">
        <is>
          <t>Content Marketer</t>
        </is>
      </c>
      <c r="CR137" s="53" t="inlineStr">
        <is>
          <t>No</t>
        </is>
      </c>
      <c r="CS137" s="53" t="n">
        <v>4</v>
      </c>
      <c r="CT137" s="53" t="inlineStr">
        <is>
          <t>Medium</t>
        </is>
      </c>
      <c r="CU137" s="53" t="inlineStr">
        <is>
          <t>High Impact / Growth Talent</t>
        </is>
      </c>
      <c r="CV137" s="53" t="n"/>
      <c r="CW137" s="53" t="inlineStr">
        <is>
          <t>No</t>
        </is>
      </c>
      <c r="CX137" s="53" t="inlineStr">
        <is>
          <t>Yes</t>
        </is>
      </c>
      <c r="CY137" s="53" t="n"/>
      <c r="CZ137" s="53" t="inlineStr">
        <is>
          <t>Alisha to learn how brand positioning is mapped into content strategy for messaging consistency.</t>
        </is>
      </c>
      <c r="DA137" s="53" t="n"/>
      <c r="DB137" s="53" t="n"/>
      <c r="DC137" s="53" t="n"/>
      <c r="DD137" s="53" t="n"/>
      <c r="DE137" s="53" t="n"/>
      <c r="DF137" s="53" t="n"/>
      <c r="DG137" s="53" t="n"/>
      <c r="DH137" s="53" t="n"/>
      <c r="DI137" s="53" t="n"/>
      <c r="DJ137" s="53" t="n"/>
      <c r="DK137" s="53" t="n"/>
      <c r="DL137" s="53" t="n"/>
      <c r="DM137" s="53" t="n"/>
      <c r="DN137" s="53" t="n"/>
      <c r="DO137" s="53" t="n"/>
      <c r="DP137" s="53" t="n"/>
      <c r="DQ137" s="53" t="n"/>
      <c r="DR137" s="53" t="n"/>
      <c r="DS137" s="53" t="n"/>
      <c r="DT137" s="53" t="n"/>
      <c r="DU137" s="53" t="n"/>
      <c r="DV137" s="53" t="n"/>
      <c r="DW137" s="53" t="n"/>
      <c r="DX137" s="53" t="n"/>
      <c r="DY137" s="53" t="n"/>
      <c r="DZ137" s="53" t="n"/>
      <c r="EA137" s="53" t="n"/>
      <c r="EB137" s="53" t="n"/>
      <c r="EC137" s="53" t="n"/>
      <c r="ED137" s="53" t="n"/>
      <c r="EE137" s="53" t="n"/>
      <c r="EF137" s="53" t="n"/>
      <c r="EG137" s="53" t="n"/>
      <c r="EH137" s="53" t="n"/>
      <c r="EI137" s="53" t="n"/>
      <c r="EJ137" s="53" t="n"/>
      <c r="EK137" s="53" t="n"/>
      <c r="EL137" s="53" t="n"/>
      <c r="EM137" s="53" t="n"/>
      <c r="EN137" s="53" t="n"/>
      <c r="EO137" s="53" t="n"/>
      <c r="EP137" s="53" t="n"/>
      <c r="EQ137" s="53" t="n"/>
      <c r="ER137" s="53" t="n"/>
      <c r="ES137" s="53" t="n"/>
      <c r="ET137" s="53" t="n"/>
      <c r="EU137" s="53" t="n"/>
      <c r="EV137" s="53" t="n"/>
      <c r="EW137" s="52" t="n"/>
      <c r="EX137" s="53" t="inlineStr">
        <is>
          <t>• This role creates engaging content across multiple formats and channels to strengthen brand presence and engage audiences.</t>
        </is>
      </c>
      <c r="EY137" s="53" t="inlineStr">
        <is>
          <t>• Reported deliverables and outcomes include: Content; Short form content; Social media content; Long form assets; Seo content; Sales enablement content; Demand generation content; Blogs; Assets.
• Key responsibilities include Organic content - blogs; Social media; Assets creation; Video scripts; Email cadence; Content plan.
• The role is accountable for US market - content; · From organic to social media; Assets and bloga; US IPO.
• The role independently makes decisions on Social media; Caption; Content calendars; Seo for blogs; Blog images.</t>
        </is>
      </c>
      <c r="EZ137" s="53" t="inlineStr">
        <is>
          <t>• Current capabilities: Content writing, SEO research and social media; Time management, audience research and functional understanding; SEMrush, Microsoft Office, LinkedIn and AI research tools.</t>
        </is>
      </c>
      <c r="FA137" s="53" t="inlineStr">
        <is>
          <t>• Development priorities: Build product-marketing, team-management and marketing-analytics capability; Deepen HubSpot and SEMrush analysis skills.
• Learning and Development Need: Structured training in product marketing, marketing analytics and advanced HubSpot/SEMrush use to support end-to-end US market ownership.
• AI Enablement Need: AI prompt engineering and using AI to increase efficiency, given her reported use of AI research tools.</t>
        </is>
      </c>
      <c r="FB137" s="53" t="inlineStr">
        <is>
          <t>• Key challenges: Delays in reviews and approvals; Process changes, added trackers and shifting responsibilities.
• Support required: Fewer approval layers; Clear, consistent processes for content and syndication.</t>
        </is>
      </c>
      <c r="FC137" s="53" t="n"/>
      <c r="FD137" s="53" t="n"/>
      <c r="FE137" s="55" t="inlineStr">
        <is>
          <t>KRAs not received · manager to supply</t>
        </is>
      </c>
      <c r="FF137" s="56" t="n"/>
      <c r="FG137" s="56" t="n"/>
      <c r="FH137" s="56" t="n"/>
      <c r="FI137" s="56" t="inlineStr">
        <is>
          <t>Reports to Shobhan: Responsible for content creation</t>
        </is>
      </c>
      <c r="FJ137" s="32" t="inlineStr">
        <is>
          <t>KRAs not received · manager to supply</t>
        </is>
      </c>
      <c r="FK137" s="56" t="inlineStr">
        <is>
          <t>CARBON Talent Mapping · Raw</t>
        </is>
      </c>
      <c r="FL137" s="56" t="n">
        <v>20</v>
      </c>
      <c r="FM137" s="56" t="inlineStr">
        <is>
          <t>• This role creates engaging content across multiple formats and channels to strengthen brand presence and engage audiences.</t>
        </is>
      </c>
      <c r="FN137" s="56" t="inlineStr">
        <is>
          <t>• Reported deliverables and outcomes include: Content; Short form content; Social media content; Long form assets; Seo content; Sales enablement content; Demand generation content; Blogs; Assets.
• Key responsibilities include Organic content - blogs; Social media; Assets creation; Video scripts; Email cadence; Content plan.
• The role is accountable for US market - content; · From organic to social media; Assets and bloga; US IPO.
• The role independently makes decisions on Social media; Caption; Content calendars; Seo for blogs; Blog images.</t>
        </is>
      </c>
      <c r="FO137" s="56" t="inlineStr">
        <is>
          <t>• Current capabilities: Content writing, SEO research and social media; Time management, audience research and functional understanding; SEMrush, Microsoft Office, LinkedIn and AI research tools.</t>
        </is>
      </c>
      <c r="FP137" s="56" t="inlineStr">
        <is>
          <t>• Development priorities: Build product-marketing, team-management and marketing-analytics capability; Deepen HubSpot and SEMrush analysis skills.
• Learning and Development Need: Structured training in product marketing, marketing analytics and advanced HubSpot/SEMrush use to support end-to-end US market ownership.
• AI Enablement Need: AI prompt engineering and using AI to increase efficiency, given her reported use of AI research tools.</t>
        </is>
      </c>
      <c r="FQ137" s="56" t="inlineStr">
        <is>
          <t>• Key challenges: Delays in reviews and approvals; Process changes, added trackers and shifting responsibilities.
• Support required: Fewer approval layers; Clear, consistent processes for content and syndication.</t>
        </is>
      </c>
      <c r="FR137" s="56" t="inlineStr">
        <is>
          <t>Complexity: Evidence reads like A3: Writes blogs, social, SEO, sales-enablement and demand-generation content, video scripts; builds content plans → moved up 0.5
Autonomy: Evidence reads like A3: Decides social posts, captions, content calendars, blog SEO and images → moved up 0.5
Accountability: Evidence reads like A3: own survey / KRA answers · summarised by the rater; not quoted → moved up 0.5
Leadership: Evidence reads like A1: No guiding or leading of others described → matches the start
Business Impact: Moved +0.5: the survey / manager mapping marks it business-critical.</t>
        </is>
      </c>
      <c r="FS137" s="56" t="inlineStr">
        <is>
          <t>Common themes in sub-family holders, all levels' answers: content · creation · brand · marketing · leads · through
Common themes in sub-family holders, all levels' answers: content · blogs · week · research · campaign · assets
Common themes in sub-family holders, all levels' answers: content · media · social · marketing · blogs · campaigns
Common themes in sub-family holders, all levels' answers: content · social media · website · accountable · marketing · brand
Common themes in sub-family holders, all levels' answers: seo · blogs · content
If the work is missed · role-holders' themes: ranking.</t>
        </is>
      </c>
      <c r="FT137" s="56" t="inlineStr">
        <is>
          <t>Self-identified: Leadership &amp; people management · Product &amp; tool knowledge · Marketing &amp; content
For the next role: Leadership &amp; people management · Product &amp; tool knowledge · Marketing &amp; content</t>
        </is>
      </c>
      <c r="FU137" s="56" t="inlineStr">
        <is>
          <t>Per-person summary · CARBON Mapping Master</t>
        </is>
      </c>
    </row>
    <row r="138" ht="90" customHeight="1">
      <c r="A138" s="51" t="inlineStr">
        <is>
          <t>◂ Back</t>
        </is>
      </c>
      <c r="B138" s="29" t="inlineStr">
        <is>
          <t>Mapped</t>
        </is>
      </c>
      <c r="C138" s="28" t="inlineStr">
        <is>
          <t>CARBON</t>
        </is>
      </c>
      <c r="D138" s="29" t="inlineStr">
        <is>
          <t>IRIS2005</t>
        </is>
      </c>
      <c r="E138" s="29" t="inlineStr">
        <is>
          <t>Danish Baksh</t>
        </is>
      </c>
      <c r="F138" s="29" t="inlineStr">
        <is>
          <t>Marketing</t>
        </is>
      </c>
      <c r="G138" s="29" t="inlineStr">
        <is>
          <t>Marketing Web Developer</t>
        </is>
      </c>
      <c r="H138" s="29" t="inlineStr">
        <is>
          <t>Senior Digital Marketing Associate</t>
        </is>
      </c>
      <c r="I138" s="29" t="inlineStr">
        <is>
          <t>L3 – Professional / Associate</t>
        </is>
      </c>
      <c r="J138" s="29" t="inlineStr">
        <is>
          <t>A3</t>
        </is>
      </c>
      <c r="K138" s="29" t="inlineStr">
        <is>
          <t>▲ Up</t>
        </is>
      </c>
      <c r="L138" s="29" t="inlineStr">
        <is>
          <t>Marketing &amp; Communications</t>
        </is>
      </c>
      <c r="M138" s="29" t="inlineStr">
        <is>
          <t>Digital Marketing, Web &amp; Social</t>
        </is>
      </c>
      <c r="N138" s="29" t="n"/>
      <c r="O138" s="29" t="n">
        <v>20</v>
      </c>
      <c r="P138" s="28" t="inlineStr">
        <is>
          <t>P2</t>
        </is>
      </c>
      <c r="Q138" s="29" t="inlineStr">
        <is>
          <t>Developing</t>
        </is>
      </c>
      <c r="R138" s="29" t="inlineStr">
        <is>
          <t>3 Apply</t>
        </is>
      </c>
      <c r="S138" s="29" t="inlineStr">
        <is>
          <t>2–4 yrs</t>
        </is>
      </c>
      <c r="T138" s="29" t="inlineStr">
        <is>
          <t>3–5 · 2–5</t>
        </is>
      </c>
      <c r="U138" s="29" t="inlineStr">
        <is>
          <t>Marketing Executive</t>
        </is>
      </c>
      <c r="V138" s="29" t="inlineStr">
        <is>
          <t>IRIS Vs Market Benchmark — CIM proficiency scale: 2–3 · IRIS Vs Competitor Benchmark — SaaS marketing ladder: Marketing Specialist</t>
        </is>
      </c>
      <c r="W138" s="29" t="inlineStr">
        <is>
          <t>CIM Global Professional Marketing Framework — proficiency Aware → Active learner → Able → Accomplished → Authoritative</t>
        </is>
      </c>
      <c r="X138" s="29" t="inlineStr">
        <is>
          <t>Core 2 · Future 2 · Functional 3 · Leadership not scored</t>
        </is>
      </c>
      <c r="Y138" s="52" t="n">
        <v>215</v>
      </c>
      <c r="Z138" s="53" t="inlineStr">
        <is>
          <t>IRIS2005</t>
        </is>
      </c>
      <c r="AA138" s="53" t="inlineStr">
        <is>
          <t>Employee</t>
        </is>
      </c>
      <c r="AB138" s="53" t="inlineStr">
        <is>
          <t>Active</t>
        </is>
      </c>
      <c r="AC138" s="53" t="inlineStr">
        <is>
          <t>Danish Baksh</t>
        </is>
      </c>
      <c r="AD138" s="54" t="n">
        <v>44643</v>
      </c>
      <c r="AE138" s="53" t="inlineStr">
        <is>
          <t>Marketing Web Developer</t>
        </is>
      </c>
      <c r="AF138" s="53" t="inlineStr">
        <is>
          <t>B.E</t>
        </is>
      </c>
      <c r="AG138" s="53" t="inlineStr">
        <is>
          <t>Sobhan Pramanik</t>
        </is>
      </c>
      <c r="AH138" s="53" t="inlineStr">
        <is>
          <t>N-5</t>
        </is>
      </c>
      <c r="AI138" s="53" t="inlineStr">
        <is>
          <t>Individual Contributor</t>
        </is>
      </c>
      <c r="AJ138" s="53" t="inlineStr">
        <is>
          <t>6 years, 0 months, 0 days</t>
        </is>
      </c>
      <c r="AK138" s="53" t="inlineStr">
        <is>
          <t>4 years, 5 months, 2 days</t>
        </is>
      </c>
      <c r="AL138" s="53" t="inlineStr">
        <is>
          <t>Regtech</t>
        </is>
      </c>
      <c r="AM138" s="53" t="inlineStr">
        <is>
          <t>CARBON</t>
        </is>
      </c>
      <c r="AN138" s="53" t="inlineStr">
        <is>
          <t>Marketing</t>
        </is>
      </c>
      <c r="AO138" s="53" t="inlineStr">
        <is>
          <t>Marketing</t>
        </is>
      </c>
      <c r="AP138" s="53" t="inlineStr">
        <is>
          <t>No</t>
        </is>
      </c>
      <c r="AQ138" s="53" t="inlineStr">
        <is>
          <t>Sales, Marketing &amp; Support</t>
        </is>
      </c>
      <c r="AR138" s="53" t="inlineStr">
        <is>
          <t>Marketing</t>
        </is>
      </c>
      <c r="AS138" s="53" t="inlineStr">
        <is>
          <t>Non-technical</t>
        </is>
      </c>
      <c r="AT138" s="53" t="n">
        <v>20</v>
      </c>
      <c r="AU138" s="53" t="inlineStr">
        <is>
          <t>Covered</t>
        </is>
      </c>
      <c r="AV138" s="53" t="inlineStr">
        <is>
          <t>IRIS2005</t>
        </is>
      </c>
      <c r="AW138" s="53" t="inlineStr">
        <is>
          <t>Danish Baksh</t>
        </is>
      </c>
      <c r="AX138" s="53" t="inlineStr">
        <is>
          <t>Marketing</t>
        </is>
      </c>
      <c r="AY138" s="53" t="inlineStr">
        <is>
          <t>Marketing &amp; Communications</t>
        </is>
      </c>
      <c r="AZ138" s="53" t="inlineStr">
        <is>
          <t>Digital Marketing &amp; Web</t>
        </is>
      </c>
      <c r="BA138" s="53" t="n"/>
      <c r="BB138" s="53" t="n"/>
      <c r="BC138" s="53" t="inlineStr">
        <is>
          <t>Employee</t>
        </is>
      </c>
      <c r="BD138" s="53" t="inlineStr">
        <is>
          <t>Sudipta Kundu</t>
        </is>
      </c>
      <c r="BE138" s="53" t="inlineStr">
        <is>
          <t>Sudipta Kundu</t>
        </is>
      </c>
      <c r="BF138" s="53" t="inlineStr">
        <is>
          <t>No</t>
        </is>
      </c>
      <c r="BG138" s="53" t="inlineStr">
        <is>
          <t>Marketing Web Developer</t>
        </is>
      </c>
      <c r="BH138" s="53" t="inlineStr">
        <is>
          <t>Marketing Web Developer</t>
        </is>
      </c>
      <c r="BI138" s="53" t="inlineStr">
        <is>
          <t>No</t>
        </is>
      </c>
      <c r="BJ138" s="53" t="inlineStr">
        <is>
          <t>—</t>
        </is>
      </c>
      <c r="BK138" s="53" t="inlineStr">
        <is>
          <t>—</t>
        </is>
      </c>
      <c r="BL138" s="53" t="inlineStr">
        <is>
          <t>—</t>
        </is>
      </c>
      <c r="BM138" s="53" t="inlineStr">
        <is>
          <t>Not a manager</t>
        </is>
      </c>
      <c r="BN138" s="53" t="inlineStr">
        <is>
          <t>—</t>
        </is>
      </c>
      <c r="BO138" s="53" t="inlineStr">
        <is>
          <t>—</t>
        </is>
      </c>
      <c r="BP138" s="53" t="inlineStr">
        <is>
          <t>—</t>
        </is>
      </c>
      <c r="BQ138" s="53" t="inlineStr">
        <is>
          <t>Not a manager</t>
        </is>
      </c>
      <c r="BR138" s="53" t="inlineStr">
        <is>
          <t>—</t>
        </is>
      </c>
      <c r="BS138" s="53" t="inlineStr">
        <is>
          <t>L3 – Professional / Associate</t>
        </is>
      </c>
      <c r="BT138" s="53" t="inlineStr">
        <is>
          <t>L3 – Professional / Associate</t>
        </is>
      </c>
      <c r="BU138" s="53" t="inlineStr">
        <is>
          <t>No designation change — current record value carried forward</t>
        </is>
      </c>
      <c r="BV138" s="53" t="inlineStr">
        <is>
          <t>1. Secure Top 20 organic rankings for 20 high-value keywords 
2. Maintain 95% website uptime and resolve critical website issues within 24 hours
3. Publish and maintain 100% of approved blogs, landing pages, and product content within SLA timelines
4. Increase organic website sessions by 40% YoY
5. Implement structured data, schema, and knowledge graph optimization across 100% priority product and solution pages</t>
        </is>
      </c>
      <c r="BW138" s="53" t="n"/>
      <c r="BX138" s="53" t="inlineStr">
        <is>
          <t>All markets</t>
        </is>
      </c>
      <c r="BY138" s="53" t="n"/>
      <c r="BZ138" s="53" t="inlineStr">
        <is>
          <t>IRIS2005</t>
        </is>
      </c>
      <c r="CA138" s="53" t="inlineStr">
        <is>
          <t>Employee</t>
        </is>
      </c>
      <c r="CB138" s="53" t="inlineStr">
        <is>
          <t>Active</t>
        </is>
      </c>
      <c r="CC138" s="53" t="inlineStr">
        <is>
          <t>Danish Baksh</t>
        </is>
      </c>
      <c r="CD138" s="54" t="n">
        <v>44643</v>
      </c>
      <c r="CE138" s="53" t="inlineStr">
        <is>
          <t>Marketing Web Developer</t>
        </is>
      </c>
      <c r="CF138" s="53" t="inlineStr">
        <is>
          <t>Digital Marketing, SEO, Website optimisation, Wordpress, Web designing and development</t>
        </is>
      </c>
      <c r="CG138" s="53" t="inlineStr">
        <is>
          <t>Marketing &amp; Communications</t>
        </is>
      </c>
      <c r="CH138" s="53" t="inlineStr">
        <is>
          <t>Marketing Operations</t>
        </is>
      </c>
      <c r="CI138" s="53" t="inlineStr">
        <is>
          <t>Marketing Web Developer</t>
        </is>
      </c>
      <c r="CJ138" s="53" t="inlineStr">
        <is>
          <t>L3 – Professional / Associate</t>
        </is>
      </c>
      <c r="CK138" s="53" t="inlineStr">
        <is>
          <t>Sudipta Kundu</t>
        </is>
      </c>
      <c r="CL138" s="53" t="inlineStr">
        <is>
          <t>N-5</t>
        </is>
      </c>
      <c r="CM138" s="53" t="inlineStr">
        <is>
          <t>Individual Contributor</t>
        </is>
      </c>
      <c r="CN138" s="53" t="inlineStr">
        <is>
          <t>Regtech</t>
        </is>
      </c>
      <c r="CO138" s="53" t="inlineStr">
        <is>
          <t>Marketing</t>
        </is>
      </c>
      <c r="CP138" s="53" t="inlineStr">
        <is>
          <t>10 years, 2 months, 28 days</t>
        </is>
      </c>
      <c r="CQ138" s="53" t="n"/>
      <c r="CR138" s="53" t="inlineStr">
        <is>
          <t>No</t>
        </is>
      </c>
      <c r="CS138" s="53" t="n">
        <v>3</v>
      </c>
      <c r="CT138" s="53" t="inlineStr">
        <is>
          <t>Medium</t>
        </is>
      </c>
      <c r="CU138" s="53" t="inlineStr">
        <is>
          <t>Reliable Specialist</t>
        </is>
      </c>
      <c r="CV138" s="53" t="n"/>
      <c r="CW138" s="53" t="inlineStr">
        <is>
          <t>No</t>
        </is>
      </c>
      <c r="CX138" s="53" t="inlineStr">
        <is>
          <t>No</t>
        </is>
      </c>
      <c r="CY138" s="53" t="n"/>
      <c r="CZ138" s="53" t="n"/>
      <c r="DA138" s="53" t="n"/>
      <c r="DB138" s="53" t="n"/>
      <c r="DC138" s="53" t="n"/>
      <c r="DD138" s="53" t="n"/>
      <c r="DE138" s="53" t="n"/>
      <c r="DF138" s="53" t="n"/>
      <c r="DG138" s="53" t="n"/>
      <c r="DH138" s="53" t="n"/>
      <c r="DI138" s="53" t="n"/>
      <c r="DJ138" s="53" t="n"/>
      <c r="DK138" s="53" t="n"/>
      <c r="DL138" s="53" t="n"/>
      <c r="DM138" s="53" t="n"/>
      <c r="DN138" s="53" t="n"/>
      <c r="DO138" s="53" t="n"/>
      <c r="DP138" s="53" t="n"/>
      <c r="DQ138" s="53" t="n"/>
      <c r="DR138" s="53" t="n"/>
      <c r="DS138" s="53" t="n"/>
      <c r="DT138" s="53" t="n"/>
      <c r="DU138" s="53" t="n"/>
      <c r="DV138" s="53" t="n"/>
      <c r="DW138" s="53" t="n"/>
      <c r="DX138" s="53" t="n"/>
      <c r="DY138" s="53" t="n"/>
      <c r="DZ138" s="53" t="n"/>
      <c r="EA138" s="53" t="n"/>
      <c r="EB138" s="53" t="n"/>
      <c r="EC138" s="53" t="n"/>
      <c r="ED138" s="53" t="n"/>
      <c r="EE138" s="53" t="n"/>
      <c r="EF138" s="53" t="n"/>
      <c r="EG138" s="53" t="n"/>
      <c r="EH138" s="53" t="n"/>
      <c r="EI138" s="53" t="n"/>
      <c r="EJ138" s="53" t="n"/>
      <c r="EK138" s="53" t="n"/>
      <c r="EL138" s="53" t="n"/>
      <c r="EM138" s="53" t="n"/>
      <c r="EN138" s="53" t="n"/>
      <c r="EO138" s="53" t="n"/>
      <c r="EP138" s="53" t="n"/>
      <c r="EQ138" s="53" t="n"/>
      <c r="ER138" s="53" t="n"/>
      <c r="ES138" s="53" t="n"/>
      <c r="ET138" s="53" t="n"/>
      <c r="EU138" s="53" t="n"/>
      <c r="EV138" s="53" t="n"/>
      <c r="EW138" s="52" t="n"/>
      <c r="EX138" s="53" t="inlineStr">
        <is>
          <t>• This role builds, runs and optimises websites to attract visitors and convert them into customers.</t>
        </is>
      </c>
      <c r="EY138" s="53" t="inlineStr">
        <is>
          <t>• Reported deliverables and outcomes include: Websites; Seo optimization; Technical seo; Keywords research; Digital marketing; Email campaigns; Marketing automation; Leads; Marketing campaigns.
• Key responsibilities include Keyword and topic researc; Technical seo optimizatio; Landing page development; Conversion rate optimizat; Website performance; Organic keywords ranking.
• The role is accountable for Everything that I listed; Everything related to digital marketing and websites, other the paid campaigns.
• The role independently makes decisions on Keywords research; Seo optimization; Technical seo; Content planning; Website technicality; Landing page design; Seo.</t>
        </is>
      </c>
      <c r="EZ138" s="53" t="inlineStr">
        <is>
          <t>• Current capabilities: WordPress, SEO tools, HubSpot Marketing, HTML, CSS and hosting; Keyword research, email campaigns and user-behaviour analysis; FileZilla, HubSpot, Claude and server administration.</t>
        </is>
      </c>
      <c r="FA138" s="53" t="inlineStr">
        <is>
          <t>• Development priorities: Build paid-media capability; Improve product knowledge and structured work planning.
• Learning and Development Need: Paid-media/PPC training to complement existing SEO expertise, along with structured work-planning to manage competing urgent requests.
• AI Enablement Need: AI prompt engineering and using AI to increase efficiency, given his reported use of Claude in his workflow.</t>
        </is>
      </c>
      <c r="FB138" s="53" t="inlineStr">
        <is>
          <t>• Key challenges: Limited laptop capacity; Too many urgent, unplanned requests; Insufficient content and design capacity.
• Support required: Dedicated content and design support; Stronger prioritisation and planning discipline.</t>
        </is>
      </c>
      <c r="FC138" s="53" t="n"/>
      <c r="FD138" s="53" t="n"/>
      <c r="FE138" s="57" t="inlineStr">
        <is>
          <t>1. Secure Top 20 organic rankings for 20 high-value keywords 
2. Maintain 95% website uptime and resolve critical website issues within 24 hours
3. Publish and maintain 100% of approved blogs, landing pages, and product content within SLA timelines
4. Increase organic website sessions by 40% YoY
5. Implement structured data, schema, and knowledge graph optimization across 100% priority product and solution pages</t>
        </is>
      </c>
      <c r="FF138" s="56" t="n"/>
      <c r="FG138" s="56" t="n"/>
      <c r="FH138" s="56" t="n"/>
      <c r="FI138" s="56" t="inlineStr">
        <is>
          <t>Digital Marketing, SEO, Website optimisation, Wordpress, Web designing and development</t>
        </is>
      </c>
      <c r="FJ138" s="56" t="inlineStr">
        <is>
          <t>Received · manager annual</t>
        </is>
      </c>
      <c r="FK138" s="56" t="inlineStr">
        <is>
          <t>CARBON Mapping Master · CARBON Talent Mapping · Raw</t>
        </is>
      </c>
      <c r="FL138" s="56" t="n">
        <v>20</v>
      </c>
      <c r="FM138" s="56" t="inlineStr">
        <is>
          <t>• This role builds, runs and optimises websites to attract visitors and convert them into customers.</t>
        </is>
      </c>
      <c r="FN138" s="56" t="inlineStr">
        <is>
          <t>• Reported deliverables and outcomes include: Websites; Seo optimization; Technical seo; Keywords research; Digital marketing; Email campaigns; Marketing automation; Leads; Marketing campaigns.
• Key responsibilities include Keyword and topic researc; Technical seo optimizatio; Landing page development; Conversion rate optimizat; Website performance; Organic keywords ranking.
• The role is accountable for Everything that I listed; Everything related to digital marketing and websites, other the paid campaigns.
• The role independently makes decisions on Keywords research; Seo optimization; Technical seo; Content planning; Website technicality; Landing page design; Seo.</t>
        </is>
      </c>
      <c r="FO138" s="56" t="inlineStr">
        <is>
          <t>• Current capabilities: WordPress, SEO tools, HubSpot Marketing, HTML, CSS and hosting; Keyword research, email campaigns and user-behaviour analysis; FileZilla, HubSpot, Claude and server administration.</t>
        </is>
      </c>
      <c r="FP138" s="56" t="inlineStr">
        <is>
          <t>• Development priorities: Build paid-media capability; Improve product knowledge and structured work planning.
• Learning and Development Need: Paid-media/PPC training to complement existing SEO expertise, along with structured work-planning to manage competing urgent requests.
• AI Enablement Need: AI prompt engineering and using AI to increase efficiency, given his reported use of Claude in his workflow.</t>
        </is>
      </c>
      <c r="FQ138" s="56" t="inlineStr">
        <is>
          <t>• Key challenges: Limited laptop capacity; Too many urgent, unplanned requests; Insufficient content and design capacity.
• Support required: Dedicated content and design support; Stronger prioritisation and planning discipline.</t>
        </is>
      </c>
      <c r="FR138" s="56" t="inlineStr">
        <is>
          <t>Complexity: Evidence reads like A3: Builds and runs WordPress websites, landing pages, technical SEO, email campaigns and marketing automation → matches the start
Autonomy: Evidence reads like A3: Decides keyword strategy, technical SEO, content planning, website technicalities and landing page design → matches the start
Accountability: Evidence reads like A3: Accountable for websites and digital marketing except paid campaigns; broken pages or forms lose leads → matches the start
Leadership: Evidence reads like A1: No guidance or leadership of others described → moved down 0.5
Business Impact: No survey or manager-mapping signal on criticality: kept at the start point.</t>
        </is>
      </c>
      <c r="FS138" s="56" t="n"/>
      <c r="FT138" s="56" t="inlineStr">
        <is>
          <t>Self-identified: Marketing &amp; content
For the next role: Marketing &amp; content</t>
        </is>
      </c>
      <c r="FU138" s="56" t="inlineStr">
        <is>
          <t>Per-person summary · CARBON Mapping Master</t>
        </is>
      </c>
    </row>
    <row r="139" ht="90" customHeight="1">
      <c r="A139" s="51" t="inlineStr">
        <is>
          <t>◂ Back</t>
        </is>
      </c>
      <c r="B139" s="29" t="inlineStr">
        <is>
          <t>Mapped</t>
        </is>
      </c>
      <c r="C139" s="28" t="inlineStr">
        <is>
          <t>CARBON</t>
        </is>
      </c>
      <c r="D139" s="29" t="inlineStr">
        <is>
          <t>IRIS2541</t>
        </is>
      </c>
      <c r="E139" s="29" t="inlineStr">
        <is>
          <t>Aakansha Gupta</t>
        </is>
      </c>
      <c r="F139" s="29" t="inlineStr">
        <is>
          <t>Marketing</t>
        </is>
      </c>
      <c r="G139" s="29" t="inlineStr">
        <is>
          <t>Marketing Associate</t>
        </is>
      </c>
      <c r="H139" s="29" t="inlineStr">
        <is>
          <t>Content Marketing Associate</t>
        </is>
      </c>
      <c r="I139" s="29" t="inlineStr">
        <is>
          <t>Not in current mapping files</t>
        </is>
      </c>
      <c r="J139" s="29" t="inlineStr">
        <is>
          <t>A2</t>
        </is>
      </c>
      <c r="K139" s="29" t="inlineStr">
        <is>
          <t>● Newly mapped</t>
        </is>
      </c>
      <c r="L139" s="29" t="inlineStr">
        <is>
          <t>Marketing &amp; Communications</t>
        </is>
      </c>
      <c r="M139" s="29" t="inlineStr">
        <is>
          <t>Content Marketing</t>
        </is>
      </c>
      <c r="N139" s="29" t="n"/>
      <c r="O139" s="29" t="n">
        <v>20</v>
      </c>
      <c r="P139" s="28" t="inlineStr">
        <is>
          <t>P1–P2</t>
        </is>
      </c>
      <c r="Q139" s="29" t="inlineStr">
        <is>
          <t>Entry / Developing</t>
        </is>
      </c>
      <c r="R139" s="29" t="inlineStr">
        <is>
          <t>2 Assist</t>
        </is>
      </c>
      <c r="S139" s="29" t="inlineStr">
        <is>
          <t>0–2 yrs</t>
        </is>
      </c>
      <c r="T139" s="29" t="inlineStr">
        <is>
          <t>1–3 · 0–3</t>
        </is>
      </c>
      <c r="U139" s="29" t="inlineStr">
        <is>
          <t>Marketing Associate / Marketing Executive</t>
        </is>
      </c>
      <c r="V139" s="29" t="inlineStr">
        <is>
          <t>IRIS Vs Market Benchmark — CIM proficiency scale: 2 Active learner · IRIS Vs Competitor Benchmark — SaaS marketing ladder: Marketing Associate</t>
        </is>
      </c>
      <c r="W139" s="29" t="inlineStr">
        <is>
          <t>CIM Global Professional Marketing Framework — proficiency Aware → Active learner → Able → Accomplished → Authoritative</t>
        </is>
      </c>
      <c r="X139" s="29" t="inlineStr">
        <is>
          <t>Core 2 · Future 2 · Functional 2 · Leadership not scored</t>
        </is>
      </c>
      <c r="Y139" s="52" t="n">
        <v>514</v>
      </c>
      <c r="Z139" s="53" t="inlineStr">
        <is>
          <t>IRIS2541</t>
        </is>
      </c>
      <c r="AA139" s="53" t="inlineStr">
        <is>
          <t>Employee</t>
        </is>
      </c>
      <c r="AB139" s="53" t="inlineStr">
        <is>
          <t>Active</t>
        </is>
      </c>
      <c r="AC139" s="53" t="inlineStr">
        <is>
          <t>Aakansha Gupta</t>
        </is>
      </c>
      <c r="AD139" s="54" t="n">
        <v>46195</v>
      </c>
      <c r="AE139" s="53" t="inlineStr">
        <is>
          <t>Marketing Associate</t>
        </is>
      </c>
      <c r="AF139" s="53" t="inlineStr">
        <is>
          <t>BBA.LLB</t>
        </is>
      </c>
      <c r="AG139" s="53" t="inlineStr">
        <is>
          <t>Sobhan Pramanik</t>
        </is>
      </c>
      <c r="AH139" s="53" t="inlineStr">
        <is>
          <t>N-5</t>
        </is>
      </c>
      <c r="AI139" s="53" t="inlineStr">
        <is>
          <t>Individual Contributor</t>
        </is>
      </c>
      <c r="AJ139" s="53" t="inlineStr">
        <is>
          <t>0 years, 0 months, 0 days</t>
        </is>
      </c>
      <c r="AK139" s="53" t="inlineStr">
        <is>
          <t>0 years, 2 months, 3 days</t>
        </is>
      </c>
      <c r="AL139" s="53" t="inlineStr">
        <is>
          <t>Regtech</t>
        </is>
      </c>
      <c r="AM139" s="53" t="inlineStr">
        <is>
          <t>CARBON</t>
        </is>
      </c>
      <c r="AN139" s="53" t="inlineStr">
        <is>
          <t>Marketing</t>
        </is>
      </c>
      <c r="AO139" s="53" t="inlineStr">
        <is>
          <t>Marketing</t>
        </is>
      </c>
      <c r="AP139" s="53" t="inlineStr">
        <is>
          <t>No</t>
        </is>
      </c>
      <c r="AQ139" s="53" t="inlineStr">
        <is>
          <t>Sales, Marketing &amp; Support</t>
        </is>
      </c>
      <c r="AR139" s="53" t="inlineStr">
        <is>
          <t>Marketing</t>
        </is>
      </c>
      <c r="AS139" s="53" t="inlineStr">
        <is>
          <t>Non-technical</t>
        </is>
      </c>
      <c r="AT139" s="53" t="n">
        <v>20</v>
      </c>
      <c r="AU139" s="53" t="inlineStr">
        <is>
          <t>Covered</t>
        </is>
      </c>
      <c r="AV139" s="53" t="inlineStr">
        <is>
          <t>IRIS2541</t>
        </is>
      </c>
      <c r="AW139" s="53" t="inlineStr">
        <is>
          <t>Aakanksha Gupta</t>
        </is>
      </c>
      <c r="AX139" s="53" t="inlineStr">
        <is>
          <t>Marketing</t>
        </is>
      </c>
      <c r="AY139" s="53" t="inlineStr">
        <is>
          <t>Marketing &amp; Communications</t>
        </is>
      </c>
      <c r="AZ139" s="53" t="inlineStr">
        <is>
          <t>Content Marketing</t>
        </is>
      </c>
      <c r="BA139" s="53" t="inlineStr">
        <is>
          <t>Marketing &amp; Communications</t>
        </is>
      </c>
      <c r="BB139" s="53" t="inlineStr">
        <is>
          <t>Content Marketing</t>
        </is>
      </c>
      <c r="BC139" s="53" t="inlineStr">
        <is>
          <t>Employee</t>
        </is>
      </c>
      <c r="BD139" s="53" t="inlineStr">
        <is>
          <t>Sobhan Pramanik</t>
        </is>
      </c>
      <c r="BE139" s="53" t="inlineStr">
        <is>
          <t>Sobhan Pramanik</t>
        </is>
      </c>
      <c r="BF139" s="53" t="inlineStr">
        <is>
          <t>No</t>
        </is>
      </c>
      <c r="BG139" s="53" t="inlineStr">
        <is>
          <t>Marketing Associate</t>
        </is>
      </c>
      <c r="BH139" s="53" t="inlineStr">
        <is>
          <t>Marketing Associate - content</t>
        </is>
      </c>
      <c r="BI139" s="53" t="inlineStr">
        <is>
          <t>N/A · new entry</t>
        </is>
      </c>
      <c r="BJ139" s="53" t="inlineStr">
        <is>
          <t>—</t>
        </is>
      </c>
      <c r="BK139" s="53" t="inlineStr">
        <is>
          <t>—</t>
        </is>
      </c>
      <c r="BL139" s="53" t="inlineStr">
        <is>
          <t>—</t>
        </is>
      </c>
      <c r="BM139" s="53" t="inlineStr">
        <is>
          <t>Not a manager</t>
        </is>
      </c>
      <c r="BN139" s="53" t="inlineStr">
        <is>
          <t>—</t>
        </is>
      </c>
      <c r="BO139" s="53" t="inlineStr">
        <is>
          <t>—</t>
        </is>
      </c>
      <c r="BP139" s="53" t="inlineStr">
        <is>
          <t>—</t>
        </is>
      </c>
      <c r="BQ139" s="53" t="inlineStr">
        <is>
          <t>Not a manager</t>
        </is>
      </c>
      <c r="BR139" s="53" t="inlineStr">
        <is>
          <t>—</t>
        </is>
      </c>
      <c r="BS139" s="53" t="n"/>
      <c r="BT139" s="53" t="n"/>
      <c r="BU139" s="53" t="inlineStr">
        <is>
          <t>No designation change — current record value carried forward</t>
        </is>
      </c>
      <c r="BV139" s="53" t="n"/>
      <c r="BW139" s="53" t="n"/>
      <c r="BX139" s="53" t="inlineStr">
        <is>
          <t>US and Europe</t>
        </is>
      </c>
      <c r="BY139" s="53" t="n"/>
      <c r="BZ139" s="53" t="n"/>
      <c r="CA139" s="53" t="n"/>
      <c r="CB139" s="53" t="n"/>
      <c r="CC139" s="53" t="n"/>
      <c r="CD139" s="53" t="n"/>
      <c r="CE139" s="53" t="n"/>
      <c r="CF139" s="53" t="n"/>
      <c r="CG139" s="53" t="n"/>
      <c r="CH139" s="53" t="n"/>
      <c r="CI139" s="53" t="n"/>
      <c r="CJ139" s="53" t="n"/>
      <c r="CK139" s="53" t="n"/>
      <c r="CL139" s="53" t="n"/>
      <c r="CM139" s="53" t="n"/>
      <c r="CN139" s="53" t="n"/>
      <c r="CO139" s="53" t="n"/>
      <c r="CP139" s="53" t="n"/>
      <c r="CQ139" s="53" t="n"/>
      <c r="CR139" s="53" t="n"/>
      <c r="CS139" s="53" t="n"/>
      <c r="CT139" s="53" t="n"/>
      <c r="CU139" s="53" t="n"/>
      <c r="CV139" s="53" t="n"/>
      <c r="CW139" s="53" t="n"/>
      <c r="CX139" s="53" t="n"/>
      <c r="CY139" s="53" t="n"/>
      <c r="CZ139" s="53" t="n"/>
      <c r="DA139" s="53" t="n"/>
      <c r="DB139" s="53" t="n"/>
      <c r="DC139" s="53" t="n"/>
      <c r="DD139" s="53" t="n"/>
      <c r="DE139" s="53" t="n"/>
      <c r="DF139" s="53" t="n"/>
      <c r="DG139" s="53" t="n"/>
      <c r="DH139" s="53" t="n"/>
      <c r="DI139" s="53" t="n"/>
      <c r="DJ139" s="53" t="n"/>
      <c r="DK139" s="53" t="n"/>
      <c r="DL139" s="53" t="n"/>
      <c r="DM139" s="53" t="n"/>
      <c r="DN139" s="53" t="n"/>
      <c r="DO139" s="53" t="n"/>
      <c r="DP139" s="53" t="n"/>
      <c r="DQ139" s="53" t="n"/>
      <c r="DR139" s="53" t="n"/>
      <c r="DS139" s="53" t="n"/>
      <c r="DT139" s="53" t="n"/>
      <c r="DU139" s="53" t="n"/>
      <c r="DV139" s="53" t="n"/>
      <c r="DW139" s="53" t="n"/>
      <c r="DX139" s="53" t="n"/>
      <c r="DY139" s="53" t="n"/>
      <c r="DZ139" s="53" t="n"/>
      <c r="EA139" s="53" t="n"/>
      <c r="EB139" s="53" t="n"/>
      <c r="EC139" s="53" t="n"/>
      <c r="ED139" s="53" t="n"/>
      <c r="EE139" s="53" t="n"/>
      <c r="EF139" s="53" t="n"/>
      <c r="EG139" s="53" t="n"/>
      <c r="EH139" s="53" t="n"/>
      <c r="EI139" s="53" t="n"/>
      <c r="EJ139" s="53" t="n"/>
      <c r="EK139" s="53" t="n"/>
      <c r="EL139" s="53" t="n"/>
      <c r="EM139" s="53" t="n"/>
      <c r="EN139" s="53" t="n"/>
      <c r="EO139" s="53" t="n"/>
      <c r="EP139" s="53" t="n"/>
      <c r="EQ139" s="53" t="n"/>
      <c r="ER139" s="53" t="n"/>
      <c r="ES139" s="53" t="n"/>
      <c r="ET139" s="53" t="n"/>
      <c r="EU139" s="53" t="n"/>
      <c r="EV139" s="53" t="n"/>
      <c r="EW139" s="52" t="n"/>
      <c r="EX139" s="53" t="inlineStr">
        <is>
          <t>• This role creates content for products being sold and promotes it through social media.</t>
        </is>
      </c>
      <c r="EY139" s="53" t="inlineStr">
        <is>
          <t>• Reported deliverables and outcomes include: blogs asset run campaigns.
• Key responsibilities include Content research; Campaign content; One asset per week.
• The role is accountable for the content the role creates—its quality, accuracy, relevance, and ability to build trust, engage prospects, and ultimately contribute to converting them into clients.
• The role independently makes decisions on Blogs topics and SEO.</t>
        </is>
      </c>
      <c r="EZ139" s="53" t="inlineStr">
        <is>
          <t>• Current capabilities: Storytelling and content drafting; Research and message development; Video editing.</t>
        </is>
      </c>
      <c r="FA139" s="53" t="inlineStr">
        <is>
          <t>• Development priorities: Needs earlier clarity on content expectations and priorities.
• Learning and Development Need: Training in content prioritisation and campaign planning to build independent judgment when priorities shift.</t>
        </is>
      </c>
      <c r="FB139" s="53" t="inlineStr">
        <is>
          <t>• Key challenges: Design delays; Ad-hoc work that disrupts planned priorities.
• Support required: Clearer priority-setting and predictable design support.</t>
        </is>
      </c>
      <c r="FC139" s="53" t="n"/>
      <c r="FD139" s="53" t="n"/>
      <c r="FE139" s="55" t="inlineStr">
        <is>
          <t>KRAs not received · manager to supply</t>
        </is>
      </c>
      <c r="FF139" s="56" t="n"/>
      <c r="FG139" s="56" t="n"/>
      <c r="FH139" s="56" t="n"/>
      <c r="FI139" s="56" t="n"/>
      <c r="FJ139" s="32" t="inlineStr">
        <is>
          <t>KRAs not received · manager to supply</t>
        </is>
      </c>
      <c r="FK139" s="56" t="n"/>
      <c r="FL139" s="56" t="n">
        <v>20</v>
      </c>
      <c r="FM139" s="56" t="inlineStr">
        <is>
          <t>• This role creates content for products being sold and promotes it through social media.</t>
        </is>
      </c>
      <c r="FN139" s="56" t="inlineStr">
        <is>
          <t>• Reported deliverables and outcomes include: blogs asset run campaigns.
• Key responsibilities include Content research; Campaign content; One asset per week.
• The role is accountable for the content the role creates—its quality, accuracy, relevance, and ability to build trust, engage prospects, and ultimately contribute to converting them into clients.
• The role independently makes decisions on Blogs topics and SEO.</t>
        </is>
      </c>
      <c r="FO139" s="56" t="inlineStr">
        <is>
          <t>• Current capabilities: Storytelling and content drafting; Research and message development; Video editing.</t>
        </is>
      </c>
      <c r="FP139" s="56" t="inlineStr">
        <is>
          <t>• Development priorities: Needs earlier clarity on content expectations and priorities.
• Learning and Development Need: Training in content prioritisation and campaign planning to build independent judgment when priorities shift.</t>
        </is>
      </c>
      <c r="FQ139" s="56" t="inlineStr">
        <is>
          <t>• Key challenges: Design delays; Ad-hoc work that disrupts planned priorities.
• Support required: Clearer priority-setting and predictable design support.</t>
        </is>
      </c>
      <c r="FR139" s="56" t="inlineStr">
        <is>
          <t>Complexity: Evidence reads like A2: Researches and writes blogs, assets and campaign content with SEO; one asset per week → matches the start
Autonomy: Evidence reads like A2: Decides blog topics and SEO for own content → matches the start
Accountability: Evidence reads like A2: Quality, accuracy and relevance of own content → matches the start
Leadership: Evidence reads like A1: No guiding or leading of others described → matches the start
Business Impact: No survey or manager-mapping signal on criticality: kept at the start point.</t>
        </is>
      </c>
      <c r="FS139" s="56" t="inlineStr">
        <is>
          <t>Common themes in role-holders' answers: content · marketing · leads · generate · management · creation
Common themes in role-holders' answers: content · blogs · week · campaign
Common themes in role-holders' answers: marketing · content
Common themes in role-holders' answers: content · accountable
If the work is missed · role-holders' themes: ranking.</t>
        </is>
      </c>
      <c r="FT139" s="56" t="inlineStr">
        <is>
          <t>Self-identified: Product &amp; tool knowledge
For the next role: Product &amp; tool knowledge</t>
        </is>
      </c>
      <c r="FU139" s="56" t="inlineStr">
        <is>
          <t>Per-person summary · CARBON Mapping Master</t>
        </is>
      </c>
    </row>
    <row r="140" ht="90" customHeight="1">
      <c r="A140" s="51" t="inlineStr">
        <is>
          <t>◂ Back</t>
        </is>
      </c>
      <c r="B140" s="29" t="inlineStr">
        <is>
          <t>Mapped</t>
        </is>
      </c>
      <c r="C140" s="28" t="inlineStr">
        <is>
          <t>iDEAL</t>
        </is>
      </c>
      <c r="D140" s="29" t="inlineStr">
        <is>
          <t>IRIS2511</t>
        </is>
      </c>
      <c r="E140" s="29" t="inlineStr">
        <is>
          <t>Muskan Jain</t>
        </is>
      </c>
      <c r="F140" s="29" t="inlineStr">
        <is>
          <t>Marketing</t>
        </is>
      </c>
      <c r="G140" s="29" t="inlineStr">
        <is>
          <t>Marketing Associate</t>
        </is>
      </c>
      <c r="H140" s="29" t="inlineStr">
        <is>
          <t>Content Marketing Associate</t>
        </is>
      </c>
      <c r="I140" s="29" t="inlineStr">
        <is>
          <t>L3 – Professional / Associate</t>
        </is>
      </c>
      <c r="J140" s="29" t="inlineStr">
        <is>
          <t>A2</t>
        </is>
      </c>
      <c r="K140" s="29" t="inlineStr">
        <is>
          <t>• Same level</t>
        </is>
      </c>
      <c r="L140" s="29" t="inlineStr">
        <is>
          <t>Marketing &amp; Communications</t>
        </is>
      </c>
      <c r="M140" s="29" t="inlineStr">
        <is>
          <t>Content Marketing</t>
        </is>
      </c>
      <c r="N140" s="29" t="n"/>
      <c r="O140" s="29" t="n">
        <v>20</v>
      </c>
      <c r="P140" s="28" t="inlineStr">
        <is>
          <t>P1–P2</t>
        </is>
      </c>
      <c r="Q140" s="29" t="inlineStr">
        <is>
          <t>Entry / Developing</t>
        </is>
      </c>
      <c r="R140" s="29" t="inlineStr">
        <is>
          <t>2 Assist</t>
        </is>
      </c>
      <c r="S140" s="29" t="inlineStr">
        <is>
          <t>0–2 yrs</t>
        </is>
      </c>
      <c r="T140" s="29" t="inlineStr">
        <is>
          <t>1–3 · 0–3</t>
        </is>
      </c>
      <c r="U140" s="29" t="inlineStr">
        <is>
          <t>Marketing Associate / Marketing Executive</t>
        </is>
      </c>
      <c r="V140" s="29" t="inlineStr">
        <is>
          <t>IRIS Vs Market Benchmark — CIM proficiency scale: 2 Active learner · IRIS Vs Competitor Benchmark — SaaS marketing ladder: Marketing Associate</t>
        </is>
      </c>
      <c r="W140" s="29" t="inlineStr">
        <is>
          <t>CIM Global Professional Marketing Framework — proficiency Aware → Active learner → Able → Accomplished → Authoritative</t>
        </is>
      </c>
      <c r="X140" s="29" t="inlineStr">
        <is>
          <t>Core 2 · Future 2 · Functional 2 · Leadership not scored</t>
        </is>
      </c>
      <c r="Y140" s="52" t="n">
        <v>482</v>
      </c>
      <c r="Z140" s="53" t="inlineStr">
        <is>
          <t>IRIS2511</t>
        </is>
      </c>
      <c r="AA140" s="53" t="inlineStr">
        <is>
          <t>Employee</t>
        </is>
      </c>
      <c r="AB140" s="53" t="inlineStr">
        <is>
          <t>Active</t>
        </is>
      </c>
      <c r="AC140" s="53" t="inlineStr">
        <is>
          <t>Muskan Jain</t>
        </is>
      </c>
      <c r="AD140" s="54" t="n">
        <v>46125</v>
      </c>
      <c r="AE140" s="53" t="inlineStr">
        <is>
          <t>Marketing Associate</t>
        </is>
      </c>
      <c r="AF140" s="53" t="inlineStr">
        <is>
          <t>PGDM</t>
        </is>
      </c>
      <c r="AG140" s="53" t="inlineStr">
        <is>
          <t>Sobhan Pramanik</t>
        </is>
      </c>
      <c r="AH140" s="53" t="inlineStr">
        <is>
          <t>N-5</t>
        </is>
      </c>
      <c r="AI140" s="53" t="inlineStr">
        <is>
          <t>Individual Contributor</t>
        </is>
      </c>
      <c r="AJ140" s="53" t="inlineStr">
        <is>
          <t>0 years, 0 months, 0 days</t>
        </is>
      </c>
      <c r="AK140" s="53" t="inlineStr">
        <is>
          <t>0 years, 4 months, 12 days</t>
        </is>
      </c>
      <c r="AL140" s="53" t="inlineStr">
        <is>
          <t>Regtech</t>
        </is>
      </c>
      <c r="AM140" s="53" t="inlineStr">
        <is>
          <t>iDEAL</t>
        </is>
      </c>
      <c r="AN140" s="53" t="inlineStr">
        <is>
          <t>Marketing</t>
        </is>
      </c>
      <c r="AO140" s="53" t="inlineStr">
        <is>
          <t>Marketing</t>
        </is>
      </c>
      <c r="AP140" s="53" t="inlineStr">
        <is>
          <t>No</t>
        </is>
      </c>
      <c r="AQ140" s="53" t="inlineStr">
        <is>
          <t>Sales, Marketing &amp; Support</t>
        </is>
      </c>
      <c r="AR140" s="53" t="inlineStr">
        <is>
          <t>Marketing</t>
        </is>
      </c>
      <c r="AS140" s="53" t="inlineStr">
        <is>
          <t>Non-technical</t>
        </is>
      </c>
      <c r="AT140" s="53" t="n">
        <v>20</v>
      </c>
      <c r="AU140" s="53" t="inlineStr">
        <is>
          <t>Covered</t>
        </is>
      </c>
      <c r="AV140" s="53" t="inlineStr">
        <is>
          <t>IRIS2511</t>
        </is>
      </c>
      <c r="AW140" s="53" t="inlineStr">
        <is>
          <t>Muskan Jain</t>
        </is>
      </c>
      <c r="AX140" s="53" t="inlineStr">
        <is>
          <t>Marketing</t>
        </is>
      </c>
      <c r="AY140" s="53" t="inlineStr">
        <is>
          <t>Marketing &amp; Communications</t>
        </is>
      </c>
      <c r="AZ140" s="53" t="inlineStr">
        <is>
          <t>Content Marketing</t>
        </is>
      </c>
      <c r="BA140" s="53" t="n"/>
      <c r="BB140" s="53" t="n"/>
      <c r="BC140" s="53" t="inlineStr">
        <is>
          <t>Employee</t>
        </is>
      </c>
      <c r="BD140" s="53" t="inlineStr">
        <is>
          <t>Saahit Togaru</t>
        </is>
      </c>
      <c r="BE140" s="53" t="inlineStr">
        <is>
          <t>Sobhan Pramanik</t>
        </is>
      </c>
      <c r="BF140" s="53" t="inlineStr">
        <is>
          <t>Yes</t>
        </is>
      </c>
      <c r="BG140" s="53" t="inlineStr">
        <is>
          <t>Marketing Associate</t>
        </is>
      </c>
      <c r="BH140" s="53" t="inlineStr">
        <is>
          <t>Marketing Associate - content</t>
        </is>
      </c>
      <c r="BI140" s="53" t="inlineStr">
        <is>
          <t>No</t>
        </is>
      </c>
      <c r="BJ140" s="53" t="inlineStr">
        <is>
          <t>—</t>
        </is>
      </c>
      <c r="BK140" s="53" t="inlineStr">
        <is>
          <t>—</t>
        </is>
      </c>
      <c r="BL140" s="53" t="inlineStr">
        <is>
          <t>—</t>
        </is>
      </c>
      <c r="BM140" s="53" t="inlineStr">
        <is>
          <t>Not a manager</t>
        </is>
      </c>
      <c r="BN140" s="53" t="inlineStr">
        <is>
          <t>—</t>
        </is>
      </c>
      <c r="BO140" s="53" t="inlineStr">
        <is>
          <t>—</t>
        </is>
      </c>
      <c r="BP140" s="53" t="inlineStr">
        <is>
          <t>—</t>
        </is>
      </c>
      <c r="BQ140" s="53" t="inlineStr">
        <is>
          <t>Not a manager</t>
        </is>
      </c>
      <c r="BR140" s="53" t="inlineStr">
        <is>
          <t>—</t>
        </is>
      </c>
      <c r="BS140" s="53" t="inlineStr">
        <is>
          <t>L3 – Professional / Associate</t>
        </is>
      </c>
      <c r="BT140" s="53" t="inlineStr">
        <is>
          <t>L3 – Professional / Associate</t>
        </is>
      </c>
      <c r="BU140" s="53" t="inlineStr">
        <is>
          <t>No designation change — current record value carried forward</t>
        </is>
      </c>
      <c r="BV140" s="53" t="n"/>
      <c r="BW140" s="53" t="n"/>
      <c r="BX140" s="53" t="inlineStr">
        <is>
          <t>UAE; banking and financial-services sector</t>
        </is>
      </c>
      <c r="BY140" s="53" t="n"/>
      <c r="BZ140" s="53" t="inlineStr">
        <is>
          <t>IRIS2511</t>
        </is>
      </c>
      <c r="CA140" s="53" t="inlineStr">
        <is>
          <t>Employee</t>
        </is>
      </c>
      <c r="CB140" s="53" t="inlineStr">
        <is>
          <t>Active</t>
        </is>
      </c>
      <c r="CC140" s="53" t="inlineStr">
        <is>
          <t>Muskan Jain</t>
        </is>
      </c>
      <c r="CD140" s="54" t="n">
        <v>46125</v>
      </c>
      <c r="CE140" s="53" t="inlineStr">
        <is>
          <t>Marketing Associate</t>
        </is>
      </c>
      <c r="CF140" s="53" t="inlineStr">
        <is>
          <t>Content management allocated to the ideal business</t>
        </is>
      </c>
      <c r="CG140" s="53" t="inlineStr">
        <is>
          <t>Marketing &amp; Communications</t>
        </is>
      </c>
      <c r="CH140" s="53" t="inlineStr">
        <is>
          <t>Content Marketing</t>
        </is>
      </c>
      <c r="CI140" s="53" t="inlineStr">
        <is>
          <t>Marketing Associate</t>
        </is>
      </c>
      <c r="CJ140" s="53" t="inlineStr">
        <is>
          <t>L3 – Professional / Associate</t>
        </is>
      </c>
      <c r="CK140" s="53" t="inlineStr">
        <is>
          <t>Sobhan Pramanik</t>
        </is>
      </c>
      <c r="CL140" s="53" t="inlineStr">
        <is>
          <t>N-4</t>
        </is>
      </c>
      <c r="CM140" s="53" t="inlineStr">
        <is>
          <t>Individual Contributor</t>
        </is>
      </c>
      <c r="CN140" s="53" t="inlineStr">
        <is>
          <t>Regtech</t>
        </is>
      </c>
      <c r="CO140" s="53" t="inlineStr">
        <is>
          <t>Marketing</t>
        </is>
      </c>
      <c r="CP140" s="53" t="inlineStr">
        <is>
          <t>0 years, 2 months, 7 days</t>
        </is>
      </c>
      <c r="CQ140" s="53" t="inlineStr">
        <is>
          <t>Marketing Associate</t>
        </is>
      </c>
      <c r="CR140" s="53" t="inlineStr">
        <is>
          <t>No</t>
        </is>
      </c>
      <c r="CS140" s="53" t="n"/>
      <c r="CT140" s="53" t="inlineStr">
        <is>
          <t>Medium</t>
        </is>
      </c>
      <c r="CU140" s="53" t="inlineStr">
        <is>
          <t>Core Contributor</t>
        </is>
      </c>
      <c r="CV140" s="53" t="n"/>
      <c r="CW140" s="53" t="inlineStr">
        <is>
          <t>No</t>
        </is>
      </c>
      <c r="CX140" s="53" t="inlineStr">
        <is>
          <t>No</t>
        </is>
      </c>
      <c r="CY140" s="53" t="n"/>
      <c r="CZ140" s="53" t="inlineStr">
        <is>
          <t>Needs to learn the fundamentals of content marketing</t>
        </is>
      </c>
      <c r="DA140" s="53" t="n"/>
      <c r="DB140" s="53" t="inlineStr">
        <is>
          <t>To be mapped to Sobhan Pramanik as reporting manager</t>
        </is>
      </c>
      <c r="DC140" s="53" t="n"/>
      <c r="DD140" s="53" t="inlineStr">
        <is>
          <t>IRIS2511</t>
        </is>
      </c>
      <c r="DE140" s="53" t="inlineStr">
        <is>
          <t>Employee</t>
        </is>
      </c>
      <c r="DF140" s="53" t="inlineStr">
        <is>
          <t>Active</t>
        </is>
      </c>
      <c r="DG140" s="53" t="inlineStr">
        <is>
          <t>Muskan Jain</t>
        </is>
      </c>
      <c r="DH140" s="54" t="n">
        <v>46125</v>
      </c>
      <c r="DI140" s="53" t="inlineStr">
        <is>
          <t>Marketing Associate</t>
        </is>
      </c>
      <c r="DJ140" s="53" t="inlineStr">
        <is>
          <t>Marketing &amp; Communications</t>
        </is>
      </c>
      <c r="DK140" s="53" t="inlineStr">
        <is>
          <t>Demand Generation / Brand</t>
        </is>
      </c>
      <c r="DL140" s="53" t="inlineStr">
        <is>
          <t>Marketing Associate</t>
        </is>
      </c>
      <c r="DM140" s="53" t="inlineStr">
        <is>
          <t>L3 – Professional / Associate</t>
        </is>
      </c>
      <c r="DN140" s="53" t="inlineStr">
        <is>
          <t>PGDM</t>
        </is>
      </c>
      <c r="DO140" s="53" t="inlineStr">
        <is>
          <t>Saahit Togaru</t>
        </is>
      </c>
      <c r="DP140" s="53" t="inlineStr">
        <is>
          <t>N-4</t>
        </is>
      </c>
      <c r="DQ140" s="53" t="inlineStr">
        <is>
          <t>Individual Contributor</t>
        </is>
      </c>
      <c r="DR140" s="53" t="inlineStr">
        <is>
          <t>0 years, 0 months, 0 days</t>
        </is>
      </c>
      <c r="DS140" s="53" t="inlineStr">
        <is>
          <t>0 years, 2 months, 7 days</t>
        </is>
      </c>
      <c r="DT140" s="53" t="inlineStr">
        <is>
          <t>0 years, 2 months, 7 days</t>
        </is>
      </c>
      <c r="DU140" s="53" t="n"/>
      <c r="DV140" s="53" t="inlineStr">
        <is>
          <t>Regtech</t>
        </is>
      </c>
      <c r="DW140" s="53" t="inlineStr">
        <is>
          <t>iDEAL</t>
        </is>
      </c>
      <c r="DX140" s="53" t="inlineStr">
        <is>
          <t>Marketing</t>
        </is>
      </c>
      <c r="DY140" s="53" t="inlineStr">
        <is>
          <t>Marketing</t>
        </is>
      </c>
      <c r="DZ140" s="53" t="inlineStr">
        <is>
          <t>No</t>
        </is>
      </c>
      <c r="EA140" s="53" t="inlineStr">
        <is>
          <t>Sales, Marketing &amp; Support</t>
        </is>
      </c>
      <c r="EB140" s="53" t="inlineStr">
        <is>
          <t>Marketing</t>
        </is>
      </c>
      <c r="EC140" s="53" t="inlineStr">
        <is>
          <t>Non-technical</t>
        </is>
      </c>
      <c r="ED140" s="53" t="inlineStr">
        <is>
          <t>Work From Office- Hyderabad</t>
        </is>
      </c>
      <c r="EE140" s="53" t="n"/>
      <c r="EF140" s="53" t="n"/>
      <c r="EG140" s="53" t="n"/>
      <c r="EH140" s="53" t="n"/>
      <c r="EI140" s="53" t="n"/>
      <c r="EJ140" s="53" t="inlineStr">
        <is>
          <t>Same as per records</t>
        </is>
      </c>
      <c r="EK140" s="53" t="n"/>
      <c r="EL140" s="53" t="n"/>
      <c r="EM140" s="53" t="n"/>
      <c r="EN140" s="53" t="n"/>
      <c r="EO140" s="53" t="n"/>
      <c r="EP140" s="53" t="n"/>
      <c r="EQ140" s="53" t="n"/>
      <c r="ER140" s="53" t="n"/>
      <c r="ES140" s="53" t="inlineStr">
        <is>
          <t>Training on the effective utilization of AI tools.</t>
        </is>
      </c>
      <c r="ET140" s="53" t="n"/>
      <c r="EU140" s="53" t="n"/>
      <c r="EV140" s="53" t="n"/>
      <c r="EW140" s="52" t="n"/>
      <c r="EX140" s="53" t="inlineStr">
        <is>
          <t>• This role is intended to get the inbound leads through the website content and branding. That can be converted into full time clients.</t>
        </is>
      </c>
      <c r="EY140" s="53" t="inlineStr">
        <is>
          <t>• Reported deliverables and outcomes include: Website content; Social Media Marketing; Industry Content.
• Key responsibilities include Blogs; Other assets- ebooks; Infographic; Decks; Brochures; Content optimization.
• The role is accountable for Accountable for all things banks and other financial institutions -Website content, social media, client decks etc.
• The role independently makes decisions on Maintaining calendards; Trackers; Decks.</t>
        </is>
      </c>
      <c r="EZ140" s="53" t="inlineStr">
        <is>
          <t>• Current capabilities: Research, marketing knowledge, creative writing and content development; Industry understanding and audience communication; SEMrush, Google Scholar, Buffer, PowerPoint, Canva and Freepik.</t>
        </is>
      </c>
      <c r="FA140" s="53" t="inlineStr">
        <is>
          <t>• Development priorities: Build target-audience and industry knowledge; Develop Adobe and Acrobat capability.
• Learning and Development Need: BFSI industry and target-audience knowledge sessions, plus Adobe Creative Suite and Acrobat skills training.</t>
        </is>
      </c>
      <c r="FB140" s="53" t="inlineStr">
        <is>
          <t>• Key challenges: Review delays and repeated back-and-forth on content.
• Support required: Faster reviews and clearer expectations for deliverables.</t>
        </is>
      </c>
      <c r="FC140" s="53" t="n"/>
      <c r="FD140" s="53" t="n"/>
      <c r="FE140" s="55" t="inlineStr">
        <is>
          <t>KRAs not received · manager to supply</t>
        </is>
      </c>
      <c r="FF140" s="56" t="n"/>
      <c r="FG140" s="56" t="n"/>
      <c r="FH140" s="56" t="n"/>
      <c r="FI140" s="56" t="inlineStr">
        <is>
          <t>Content management allocated to the ideal business</t>
        </is>
      </c>
      <c r="FJ140" s="32" t="inlineStr">
        <is>
          <t>KRAs not received · manager to supply</t>
        </is>
      </c>
      <c r="FK140" s="56" t="inlineStr">
        <is>
          <t>CARBON Talent Mapping · Raw</t>
        </is>
      </c>
      <c r="FL140" s="56" t="n">
        <v>20</v>
      </c>
      <c r="FM140" s="56" t="inlineStr">
        <is>
          <t>• This role is intended to get the inbound leads through the website content and branding. That can be converted into full time clients.</t>
        </is>
      </c>
      <c r="FN140" s="56" t="inlineStr">
        <is>
          <t>• Reported deliverables and outcomes include: Website content; Social Media Marketing; Industry Content.
• Key responsibilities include Blogs; Other assets- ebooks; Infographic; Decks; Brochures; Content optimization.
• The role is accountable for Accountable for all things banks and other financial institutions -Website content, social media, client decks etc.
• The role independently makes decisions on Maintaining calendards; Trackers; Decks.</t>
        </is>
      </c>
      <c r="FO140" s="56" t="inlineStr">
        <is>
          <t>• Current capabilities: Research, marketing knowledge, creative writing and content development; Industry understanding and audience communication; SEMrush, Google Scholar, Buffer, PowerPoint, Canva and Freepik.</t>
        </is>
      </c>
      <c r="FP140" s="56" t="inlineStr">
        <is>
          <t>• Development priorities: Build target-audience and industry knowledge; Develop Adobe and Acrobat capability.
• Learning and Development Need: BFSI industry and target-audience knowledge sessions, plus Adobe Creative Suite and Acrobat skills training.</t>
        </is>
      </c>
      <c r="FQ140" s="56" t="inlineStr">
        <is>
          <t>• Key challenges: Review delays and repeated back-and-forth on content.
• Support required: Faster reviews and clearer expectations for deliverables.</t>
        </is>
      </c>
      <c r="FR140" s="56" t="inlineStr">
        <is>
          <t>Complexity: Evidence reads like A2: Writes blogs, ebooks, infographics, decks and brochures and optimises content for iDEAL's bank audience → matches the start
Autonomy: Evidence reads like A2: Decides own calendars, trackers and decks → matches the start
Accountability: Evidence reads like A3: Accountable for all bank / financial-institution content: website, social media, client decks → moved up 0.5
Leadership: Evidence reads like A1: No guidance or leadership of others described → matches the start
Business Impact: No survey or manager-mapping signal on criticality: kept at the start point.</t>
        </is>
      </c>
      <c r="FS140" s="56" t="inlineStr">
        <is>
          <t>Common themes in role-holders' answers: content · marketing · leads · generate · management · creation
Common themes in role-holders' answers: content · blogs · week · campaign
Common themes in role-holders' answers: marketing · content
Common themes in role-holders' answers: content · accountable
If the work is missed · role-holders' themes: ranking.</t>
        </is>
      </c>
      <c r="FT140" s="56" t="inlineStr">
        <is>
          <t>Self-identified: Marketing &amp; content · Certification / formal course
For the next role: Marketing &amp; content · Certification / formal course</t>
        </is>
      </c>
      <c r="FU140" s="56" t="inlineStr">
        <is>
          <t>Per-person summary · CARBON Mapping Master</t>
        </is>
      </c>
    </row>
    <row r="141" ht="90" customHeight="1">
      <c r="A141" s="51" t="inlineStr">
        <is>
          <t>◂ Back</t>
        </is>
      </c>
      <c r="B141" s="29" t="inlineStr">
        <is>
          <t>Mapped</t>
        </is>
      </c>
      <c r="C141" s="28" t="inlineStr">
        <is>
          <t>CARBON</t>
        </is>
      </c>
      <c r="D141" s="29" t="inlineStr">
        <is>
          <t>IRIS2516</t>
        </is>
      </c>
      <c r="E141" s="29" t="inlineStr">
        <is>
          <t>Rimsha Khan</t>
        </is>
      </c>
      <c r="F141" s="29" t="inlineStr">
        <is>
          <t>Marketing</t>
        </is>
      </c>
      <c r="G141" s="29" t="inlineStr">
        <is>
          <t>Marketing Associate</t>
        </is>
      </c>
      <c r="H141" s="29" t="inlineStr">
        <is>
          <t>Content Marketing Associate</t>
        </is>
      </c>
      <c r="I141" s="29" t="inlineStr">
        <is>
          <t>L3 – Professional / Associate</t>
        </is>
      </c>
      <c r="J141" s="29" t="inlineStr">
        <is>
          <t>A2</t>
        </is>
      </c>
      <c r="K141" s="29" t="inlineStr">
        <is>
          <t>• Same level</t>
        </is>
      </c>
      <c r="L141" s="29" t="inlineStr">
        <is>
          <t>Marketing &amp; Communications</t>
        </is>
      </c>
      <c r="M141" s="29" t="inlineStr">
        <is>
          <t>Content Marketing</t>
        </is>
      </c>
      <c r="N141" s="29" t="n"/>
      <c r="O141" s="29" t="n">
        <v>18</v>
      </c>
      <c r="P141" s="28" t="inlineStr">
        <is>
          <t>P1–P2</t>
        </is>
      </c>
      <c r="Q141" s="29" t="inlineStr">
        <is>
          <t>Entry / Developing</t>
        </is>
      </c>
      <c r="R141" s="29" t="inlineStr">
        <is>
          <t>2 Assist</t>
        </is>
      </c>
      <c r="S141" s="29" t="inlineStr">
        <is>
          <t>0–2 yrs</t>
        </is>
      </c>
      <c r="T141" s="29" t="inlineStr">
        <is>
          <t>1–3 · 0–3</t>
        </is>
      </c>
      <c r="U141" s="29" t="inlineStr">
        <is>
          <t>Marketing Associate / Marketing Executive</t>
        </is>
      </c>
      <c r="V141" s="29" t="inlineStr">
        <is>
          <t>IRIS Vs Market Benchmark — CIM proficiency scale: 2 Active learner · IRIS Vs Competitor Benchmark — SaaS marketing ladder: Marketing Associate</t>
        </is>
      </c>
      <c r="W141" s="29" t="inlineStr">
        <is>
          <t>CIM Global Professional Marketing Framework — proficiency Aware → Active learner → Able → Accomplished → Authoritative</t>
        </is>
      </c>
      <c r="X141" s="29" t="inlineStr">
        <is>
          <t>Core 2 · Future 2 · Functional 2 · Leadership not scored</t>
        </is>
      </c>
      <c r="Y141" s="52" t="n">
        <v>487</v>
      </c>
      <c r="Z141" s="53" t="inlineStr">
        <is>
          <t>IRIS2516</t>
        </is>
      </c>
      <c r="AA141" s="53" t="inlineStr">
        <is>
          <t>Employee</t>
        </is>
      </c>
      <c r="AB141" s="53" t="inlineStr">
        <is>
          <t>Active</t>
        </is>
      </c>
      <c r="AC141" s="53" t="inlineStr">
        <is>
          <t>Rimsha Khan</t>
        </is>
      </c>
      <c r="AD141" s="54" t="n">
        <v>46125</v>
      </c>
      <c r="AE141" s="53" t="inlineStr">
        <is>
          <t>Marketing Associate</t>
        </is>
      </c>
      <c r="AF141" s="53" t="inlineStr">
        <is>
          <t>PGDM</t>
        </is>
      </c>
      <c r="AG141" s="53" t="inlineStr">
        <is>
          <t>Sobhan Pramanik</t>
        </is>
      </c>
      <c r="AH141" s="53" t="inlineStr">
        <is>
          <t>N-5</t>
        </is>
      </c>
      <c r="AI141" s="53" t="inlineStr">
        <is>
          <t>Individual Contributor</t>
        </is>
      </c>
      <c r="AJ141" s="53" t="inlineStr">
        <is>
          <t>0 years, 0 months, 0 days</t>
        </is>
      </c>
      <c r="AK141" s="53" t="inlineStr">
        <is>
          <t>0 years, 4 months, 12 days</t>
        </is>
      </c>
      <c r="AL141" s="53" t="inlineStr">
        <is>
          <t>Regtech</t>
        </is>
      </c>
      <c r="AM141" s="53" t="inlineStr">
        <is>
          <t>CARBON</t>
        </is>
      </c>
      <c r="AN141" s="53" t="inlineStr">
        <is>
          <t>Marketing</t>
        </is>
      </c>
      <c r="AO141" s="53" t="inlineStr">
        <is>
          <t>Marketing</t>
        </is>
      </c>
      <c r="AP141" s="53" t="inlineStr">
        <is>
          <t>No</t>
        </is>
      </c>
      <c r="AQ141" s="53" t="inlineStr">
        <is>
          <t>Sales, Marketing &amp; Support</t>
        </is>
      </c>
      <c r="AR141" s="53" t="inlineStr">
        <is>
          <t>Marketing</t>
        </is>
      </c>
      <c r="AS141" s="53" t="inlineStr">
        <is>
          <t>Non-technical</t>
        </is>
      </c>
      <c r="AT141" s="53" t="n">
        <v>20</v>
      </c>
      <c r="AU141" s="53" t="inlineStr">
        <is>
          <t>Covered</t>
        </is>
      </c>
      <c r="AV141" s="53" t="inlineStr">
        <is>
          <t>IRIS2516</t>
        </is>
      </c>
      <c r="AW141" s="53" t="inlineStr">
        <is>
          <t>Rimsha Khan</t>
        </is>
      </c>
      <c r="AX141" s="53" t="inlineStr">
        <is>
          <t>Marketing</t>
        </is>
      </c>
      <c r="AY141" s="53" t="inlineStr">
        <is>
          <t>Marketing &amp; Communications</t>
        </is>
      </c>
      <c r="AZ141" s="53" t="inlineStr">
        <is>
          <t>Content Marketing</t>
        </is>
      </c>
      <c r="BA141" s="53" t="n"/>
      <c r="BB141" s="53" t="n"/>
      <c r="BC141" s="53" t="inlineStr">
        <is>
          <t>Employee</t>
        </is>
      </c>
      <c r="BD141" s="53" t="inlineStr">
        <is>
          <t>Saahit Togaru</t>
        </is>
      </c>
      <c r="BE141" s="53" t="inlineStr">
        <is>
          <t>Sobhan Pramanik</t>
        </is>
      </c>
      <c r="BF141" s="53" t="inlineStr">
        <is>
          <t>Yes</t>
        </is>
      </c>
      <c r="BG141" s="53" t="inlineStr">
        <is>
          <t>Marketing Associate</t>
        </is>
      </c>
      <c r="BH141" s="53" t="inlineStr">
        <is>
          <t>Marketing Associate - content</t>
        </is>
      </c>
      <c r="BI141" s="53" t="inlineStr">
        <is>
          <t>No</t>
        </is>
      </c>
      <c r="BJ141" s="53" t="inlineStr">
        <is>
          <t>—</t>
        </is>
      </c>
      <c r="BK141" s="53" t="inlineStr">
        <is>
          <t>—</t>
        </is>
      </c>
      <c r="BL141" s="53" t="inlineStr">
        <is>
          <t>—</t>
        </is>
      </c>
      <c r="BM141" s="53" t="inlineStr">
        <is>
          <t>Not a manager</t>
        </is>
      </c>
      <c r="BN141" s="53" t="inlineStr">
        <is>
          <t>—</t>
        </is>
      </c>
      <c r="BO141" s="53" t="inlineStr">
        <is>
          <t>—</t>
        </is>
      </c>
      <c r="BP141" s="53" t="inlineStr">
        <is>
          <t>—</t>
        </is>
      </c>
      <c r="BQ141" s="53" t="inlineStr">
        <is>
          <t>Not a manager</t>
        </is>
      </c>
      <c r="BR141" s="53" t="inlineStr">
        <is>
          <t>—</t>
        </is>
      </c>
      <c r="BS141" s="53" t="inlineStr">
        <is>
          <t>L3 – Professional / Associate</t>
        </is>
      </c>
      <c r="BT141" s="53" t="inlineStr">
        <is>
          <t>L3 – Professional / Associate</t>
        </is>
      </c>
      <c r="BU141" s="53" t="inlineStr">
        <is>
          <t>No designation change — current record value carried forward</t>
        </is>
      </c>
      <c r="BV141" s="53" t="n"/>
      <c r="BW141" s="53" t="n"/>
      <c r="BX141" s="53" t="inlineStr">
        <is>
          <t>Europe and United States</t>
        </is>
      </c>
      <c r="BY141" s="53" t="n"/>
      <c r="BZ141" s="53" t="inlineStr">
        <is>
          <t>IRIS2516</t>
        </is>
      </c>
      <c r="CA141" s="53" t="inlineStr">
        <is>
          <t>Employee</t>
        </is>
      </c>
      <c r="CB141" s="53" t="inlineStr">
        <is>
          <t>Active</t>
        </is>
      </c>
      <c r="CC141" s="53" t="inlineStr">
        <is>
          <t>Rimsha Khan</t>
        </is>
      </c>
      <c r="CD141" s="54" t="n">
        <v>46125</v>
      </c>
      <c r="CE141" s="53" t="inlineStr">
        <is>
          <t>Marketing Associate</t>
        </is>
      </c>
      <c r="CF141" s="53" t="inlineStr">
        <is>
          <t>Content Creation</t>
        </is>
      </c>
      <c r="CG141" s="53" t="inlineStr">
        <is>
          <t>Marketing &amp; Communications</t>
        </is>
      </c>
      <c r="CH141" s="53" t="inlineStr">
        <is>
          <t>Content Marketing</t>
        </is>
      </c>
      <c r="CI141" s="53" t="inlineStr">
        <is>
          <t>Marketing Associate</t>
        </is>
      </c>
      <c r="CJ141" s="53" t="inlineStr">
        <is>
          <t>L3 – Professional / Associate</t>
        </is>
      </c>
      <c r="CK141" s="53" t="inlineStr">
        <is>
          <t>Sobhan Pramanik</t>
        </is>
      </c>
      <c r="CL141" s="53" t="inlineStr">
        <is>
          <t>N-4</t>
        </is>
      </c>
      <c r="CM141" s="53" t="inlineStr">
        <is>
          <t>Individual Contributor</t>
        </is>
      </c>
      <c r="CN141" s="53" t="inlineStr">
        <is>
          <t>Regtech</t>
        </is>
      </c>
      <c r="CO141" s="53" t="inlineStr">
        <is>
          <t>Marketing</t>
        </is>
      </c>
      <c r="CP141" s="53" t="inlineStr">
        <is>
          <t>0 years, 2 months, 7 days</t>
        </is>
      </c>
      <c r="CQ141" s="53" t="inlineStr">
        <is>
          <t>Marketing Associate</t>
        </is>
      </c>
      <c r="CR141" s="53" t="inlineStr">
        <is>
          <t>No</t>
        </is>
      </c>
      <c r="CS141" s="53" t="n"/>
      <c r="CT141" s="53" t="inlineStr">
        <is>
          <t>Low</t>
        </is>
      </c>
      <c r="CU141" s="53" t="inlineStr">
        <is>
          <t>Misplaced Talent / Enigma</t>
        </is>
      </c>
      <c r="CV141" s="53" t="n"/>
      <c r="CW141" s="53" t="inlineStr">
        <is>
          <t>No</t>
        </is>
      </c>
      <c r="CX141" s="53" t="inlineStr">
        <is>
          <t>No</t>
        </is>
      </c>
      <c r="CY141" s="53" t="n"/>
      <c r="CZ141" s="53" t="inlineStr">
        <is>
          <t>Needs to learn the fundamentals of content marketing</t>
        </is>
      </c>
      <c r="DA141" s="53" t="n"/>
      <c r="DB141" s="53" t="inlineStr">
        <is>
          <t>To be mapped to Sobhan Pramanik as reporting manager</t>
        </is>
      </c>
      <c r="DC141" s="53" t="n"/>
      <c r="DD141" s="53" t="n"/>
      <c r="DE141" s="53" t="n"/>
      <c r="DF141" s="53" t="n"/>
      <c r="DG141" s="53" t="n"/>
      <c r="DH141" s="53" t="n"/>
      <c r="DI141" s="53" t="n"/>
      <c r="DJ141" s="53" t="n"/>
      <c r="DK141" s="53" t="n"/>
      <c r="DL141" s="53" t="n"/>
      <c r="DM141" s="53" t="n"/>
      <c r="DN141" s="53" t="n"/>
      <c r="DO141" s="53" t="n"/>
      <c r="DP141" s="53" t="n"/>
      <c r="DQ141" s="53" t="n"/>
      <c r="DR141" s="53" t="n"/>
      <c r="DS141" s="53" t="n"/>
      <c r="DT141" s="53" t="n"/>
      <c r="DU141" s="53" t="n"/>
      <c r="DV141" s="53" t="n"/>
      <c r="DW141" s="53" t="n"/>
      <c r="DX141" s="53" t="n"/>
      <c r="DY141" s="53" t="n"/>
      <c r="DZ141" s="53" t="n"/>
      <c r="EA141" s="53" t="n"/>
      <c r="EB141" s="53" t="n"/>
      <c r="EC141" s="53" t="n"/>
      <c r="ED141" s="53" t="n"/>
      <c r="EE141" s="53" t="n"/>
      <c r="EF141" s="53" t="n"/>
      <c r="EG141" s="53" t="n"/>
      <c r="EH141" s="53" t="n"/>
      <c r="EI141" s="53" t="n"/>
      <c r="EJ141" s="53" t="n"/>
      <c r="EK141" s="53" t="n"/>
      <c r="EL141" s="53" t="n"/>
      <c r="EM141" s="53" t="n"/>
      <c r="EN141" s="53" t="n"/>
      <c r="EO141" s="53" t="n"/>
      <c r="EP141" s="53" t="n"/>
      <c r="EQ141" s="53" t="n"/>
      <c r="ER141" s="53" t="n"/>
      <c r="ES141" s="53" t="n"/>
      <c r="ET141" s="53" t="n"/>
      <c r="EU141" s="53" t="n"/>
      <c r="EV141" s="53" t="n"/>
      <c r="EW141" s="52" t="n"/>
      <c r="EX141" s="53" t="inlineStr">
        <is>
          <t>• This role focuses on brand content writing and generating MQLs through organic channels.</t>
        </is>
      </c>
      <c r="EY141" s="53" t="inlineStr">
        <is>
          <t>• Reported deliverables and outcomes include: All organic Assets; webinar content; Event Campaigns.
• Key responsibilities include 2blog posts per week; landing pages; Campaign plans; maintain trackers.
• The role is accountable for Everything; ESG content EU&amp;US.
• The role independently makes decisions on SM post.</t>
        </is>
      </c>
      <c r="EZ141" s="53" t="inlineStr">
        <is>
          <t>• Current capabilities: Content writing, SEO, Google Analytics, presentation development and Buffer; ESG domain knowledge, narration and audience-relatable messaging; SEMrush.</t>
        </is>
      </c>
      <c r="FA141" s="53" t="inlineStr">
        <is>
          <t>• Development priorities: Strengthen adaptability to changing requirements; Build greater clarity on priorities and expectations.
• Learning and Development Need: Training on adaptive content planning and expectation-setting frameworks to manage frequently changing requirements.</t>
        </is>
      </c>
      <c r="FB141" s="53" t="inlineStr">
        <is>
          <t>• Key challenges: Frequent changes, urgent requests and varying requirements; Delayed approvals and design dependencies.
• Support required: More autonomy and space for creative work; Clearer briefs and faster approvals.</t>
        </is>
      </c>
      <c r="FC141" s="53" t="n"/>
      <c r="FD141" s="53" t="n"/>
      <c r="FE141" s="55" t="inlineStr">
        <is>
          <t>KRAs not received · manager to supply</t>
        </is>
      </c>
      <c r="FF141" s="56" t="n"/>
      <c r="FG141" s="56" t="n"/>
      <c r="FH141" s="56" t="n"/>
      <c r="FI141" s="56" t="inlineStr">
        <is>
          <t>Content Creation</t>
        </is>
      </c>
      <c r="FJ141" s="32" t="inlineStr">
        <is>
          <t>KRAs not received · manager to supply</t>
        </is>
      </c>
      <c r="FK141" s="56" t="inlineStr">
        <is>
          <t>CARBON Talent Mapping · Raw</t>
        </is>
      </c>
      <c r="FL141" s="56" t="n">
        <v>18</v>
      </c>
      <c r="FM141" s="56" t="inlineStr">
        <is>
          <t>• This role focuses on brand content writing and generating MQLs through organic channels.</t>
        </is>
      </c>
      <c r="FN141" s="56" t="inlineStr">
        <is>
          <t>• Reported deliverables and outcomes include: All organic Assets; webinar content; Event Campaigns.
• Key responsibilities include 2blog posts per week; landing pages; Campaign plans; maintain trackers.
• The role is accountable for Everything; ESG content EU&amp;US.
• The role independently makes decisions on SM post.</t>
        </is>
      </c>
      <c r="FO141" s="56" t="inlineStr">
        <is>
          <t>• Current capabilities: Content writing, SEO, Google Analytics, presentation development and Buffer; ESG domain knowledge, narration and audience-relatable messaging; SEMrush.</t>
        </is>
      </c>
      <c r="FP141" s="56" t="inlineStr">
        <is>
          <t>• Development priorities: Strengthen adaptability to changing requirements; Build greater clarity on priorities and expectations.
• Learning and Development Need: Training on adaptive content planning and expectation-setting frameworks to manage frequently changing requirements.</t>
        </is>
      </c>
      <c r="FQ141" s="56" t="inlineStr">
        <is>
          <t>• Key challenges: Frequent changes, urgent requests and varying requirements; Delayed approvals and design dependencies.
• Support required: More autonomy and space for creative work; Clearer briefs and faster approvals.</t>
        </is>
      </c>
      <c r="FR141" s="56" t="inlineStr">
        <is>
          <t>Complexity: Evidence reads like A2: Writes two ESG blogs a week and other content assets after research → matches the start
Autonomy: Evidence reads like A2: own survey / KRA answers · summarised by the rater; not quoted → matches the start
Accountability: Evidence reads like A2: Answerable for own content deliverables; says only 'everything' → matches the start
Leadership: Evidence reads like A1: No guidance or leadership of others described → matches the start
Business Impact: No survey or manager-mapping signal on criticality: kept at the start point.</t>
        </is>
      </c>
      <c r="FS141" s="56" t="inlineStr">
        <is>
          <t>Common themes in role-holders' answers: content · marketing · leads · generate · management · creation
Common themes in role-holders' answers: content · blogs · week · campaign
Common themes in role-holders' answers: marketing · content
Common themes in role-holders' answers: content · accountable
If the work is missed · role-holders' themes: ranking.</t>
        </is>
      </c>
      <c r="FT141" s="56" t="n"/>
      <c r="FU141" s="56" t="inlineStr">
        <is>
          <t>Per-person summary · CARBON Mapping Master</t>
        </is>
      </c>
    </row>
    <row r="142" ht="90" customHeight="1">
      <c r="A142" s="51" t="inlineStr">
        <is>
          <t>◂ Back</t>
        </is>
      </c>
      <c r="B142" s="29" t="inlineStr">
        <is>
          <t>Mapped</t>
        </is>
      </c>
      <c r="C142" s="28" t="inlineStr">
        <is>
          <t>CARBON</t>
        </is>
      </c>
      <c r="D142" s="29" t="inlineStr">
        <is>
          <t>IRIS2517</t>
        </is>
      </c>
      <c r="E142" s="29" t="inlineStr">
        <is>
          <t>Shubhangi Sharma</t>
        </is>
      </c>
      <c r="F142" s="29" t="inlineStr">
        <is>
          <t>Marketing</t>
        </is>
      </c>
      <c r="G142" s="29" t="inlineStr">
        <is>
          <t>Marketing Associate</t>
        </is>
      </c>
      <c r="H142" s="29" t="inlineStr">
        <is>
          <t>Content Marketing Associate</t>
        </is>
      </c>
      <c r="I142" s="29" t="inlineStr">
        <is>
          <t>L3 – Professional / Associate</t>
        </is>
      </c>
      <c r="J142" s="29" t="inlineStr">
        <is>
          <t>A2</t>
        </is>
      </c>
      <c r="K142" s="29" t="inlineStr">
        <is>
          <t>• Same level</t>
        </is>
      </c>
      <c r="L142" s="29" t="inlineStr">
        <is>
          <t>Marketing &amp; Communications</t>
        </is>
      </c>
      <c r="M142" s="29" t="inlineStr">
        <is>
          <t>Content Marketing</t>
        </is>
      </c>
      <c r="N142" s="29" t="n"/>
      <c r="O142" s="29" t="n">
        <v>20</v>
      </c>
      <c r="P142" s="28" t="inlineStr">
        <is>
          <t>P1–P2</t>
        </is>
      </c>
      <c r="Q142" s="29" t="inlineStr">
        <is>
          <t>Entry / Developing</t>
        </is>
      </c>
      <c r="R142" s="29" t="inlineStr">
        <is>
          <t>2 Assist</t>
        </is>
      </c>
      <c r="S142" s="29" t="inlineStr">
        <is>
          <t>0–2 yrs</t>
        </is>
      </c>
      <c r="T142" s="29" t="inlineStr">
        <is>
          <t>1–3 · 0–3</t>
        </is>
      </c>
      <c r="U142" s="29" t="inlineStr">
        <is>
          <t>Marketing Associate / Marketing Executive</t>
        </is>
      </c>
      <c r="V142" s="29" t="inlineStr">
        <is>
          <t>IRIS Vs Market Benchmark — CIM proficiency scale: 2 Active learner · IRIS Vs Competitor Benchmark — SaaS marketing ladder: Marketing Associate</t>
        </is>
      </c>
      <c r="W142" s="29" t="inlineStr">
        <is>
          <t>CIM Global Professional Marketing Framework — proficiency Aware → Active learner → Able → Accomplished → Authoritative</t>
        </is>
      </c>
      <c r="X142" s="29" t="inlineStr">
        <is>
          <t>Core 2 · Future 2 · Functional 2 · Leadership not scored</t>
        </is>
      </c>
      <c r="Y142" s="52" t="n">
        <v>488</v>
      </c>
      <c r="Z142" s="53" t="inlineStr">
        <is>
          <t>IRIS2517</t>
        </is>
      </c>
      <c r="AA142" s="53" t="inlineStr">
        <is>
          <t>Employee</t>
        </is>
      </c>
      <c r="AB142" s="53" t="inlineStr">
        <is>
          <t>Active</t>
        </is>
      </c>
      <c r="AC142" s="53" t="inlineStr">
        <is>
          <t>Shubhangi Sharma</t>
        </is>
      </c>
      <c r="AD142" s="54" t="n">
        <v>46125</v>
      </c>
      <c r="AE142" s="53" t="inlineStr">
        <is>
          <t>Marketing Associate</t>
        </is>
      </c>
      <c r="AF142" s="53" t="inlineStr">
        <is>
          <t>PGDM</t>
        </is>
      </c>
      <c r="AG142" s="53" t="inlineStr">
        <is>
          <t>Sobhan Pramanik</t>
        </is>
      </c>
      <c r="AH142" s="53" t="inlineStr">
        <is>
          <t>N-5</t>
        </is>
      </c>
      <c r="AI142" s="53" t="inlineStr">
        <is>
          <t>Individual Contributor</t>
        </is>
      </c>
      <c r="AJ142" s="53" t="inlineStr">
        <is>
          <t>0 years, 0 months, 0 days</t>
        </is>
      </c>
      <c r="AK142" s="53" t="inlineStr">
        <is>
          <t>0 years, 4 months, 12 days</t>
        </is>
      </c>
      <c r="AL142" s="53" t="inlineStr">
        <is>
          <t>Regtech</t>
        </is>
      </c>
      <c r="AM142" s="53" t="inlineStr">
        <is>
          <t>CARBON</t>
        </is>
      </c>
      <c r="AN142" s="53" t="inlineStr">
        <is>
          <t>Marketing</t>
        </is>
      </c>
      <c r="AO142" s="53" t="inlineStr">
        <is>
          <t>Marketing</t>
        </is>
      </c>
      <c r="AP142" s="53" t="inlineStr">
        <is>
          <t>No</t>
        </is>
      </c>
      <c r="AQ142" s="53" t="inlineStr">
        <is>
          <t>Sales, Marketing &amp; Support</t>
        </is>
      </c>
      <c r="AR142" s="53" t="inlineStr">
        <is>
          <t>Marketing</t>
        </is>
      </c>
      <c r="AS142" s="53" t="inlineStr">
        <is>
          <t>Non-technical</t>
        </is>
      </c>
      <c r="AT142" s="53" t="n">
        <v>20</v>
      </c>
      <c r="AU142" s="53" t="inlineStr">
        <is>
          <t>Covered</t>
        </is>
      </c>
      <c r="AV142" s="53" t="inlineStr">
        <is>
          <t>IRIS2517</t>
        </is>
      </c>
      <c r="AW142" s="53" t="inlineStr">
        <is>
          <t>Shubhangi Sharma</t>
        </is>
      </c>
      <c r="AX142" s="53" t="inlineStr">
        <is>
          <t>Marketing</t>
        </is>
      </c>
      <c r="AY142" s="53" t="inlineStr">
        <is>
          <t>Marketing &amp; Communications</t>
        </is>
      </c>
      <c r="AZ142" s="53" t="inlineStr">
        <is>
          <t>Content Marketing</t>
        </is>
      </c>
      <c r="BA142" s="53" t="n"/>
      <c r="BB142" s="53" t="n"/>
      <c r="BC142" s="53" t="inlineStr">
        <is>
          <t>Employee</t>
        </is>
      </c>
      <c r="BD142" s="53" t="inlineStr">
        <is>
          <t>Saahit Togaru</t>
        </is>
      </c>
      <c r="BE142" s="53" t="inlineStr">
        <is>
          <t>Sobhan Pramanik</t>
        </is>
      </c>
      <c r="BF142" s="53" t="inlineStr">
        <is>
          <t>Yes</t>
        </is>
      </c>
      <c r="BG142" s="53" t="inlineStr">
        <is>
          <t>Marketing Associate</t>
        </is>
      </c>
      <c r="BH142" s="53" t="inlineStr">
        <is>
          <t>Marketing Associate</t>
        </is>
      </c>
      <c r="BI142" s="53" t="inlineStr">
        <is>
          <t>No</t>
        </is>
      </c>
      <c r="BJ142" s="53" t="inlineStr">
        <is>
          <t>—</t>
        </is>
      </c>
      <c r="BK142" s="53" t="inlineStr">
        <is>
          <t>—</t>
        </is>
      </c>
      <c r="BL142" s="53" t="inlineStr">
        <is>
          <t>—</t>
        </is>
      </c>
      <c r="BM142" s="53" t="inlineStr">
        <is>
          <t>Not a manager</t>
        </is>
      </c>
      <c r="BN142" s="53" t="inlineStr">
        <is>
          <t>—</t>
        </is>
      </c>
      <c r="BO142" s="53" t="inlineStr">
        <is>
          <t>—</t>
        </is>
      </c>
      <c r="BP142" s="53" t="inlineStr">
        <is>
          <t>—</t>
        </is>
      </c>
      <c r="BQ142" s="53" t="inlineStr">
        <is>
          <t>Not a manager</t>
        </is>
      </c>
      <c r="BR142" s="53" t="inlineStr">
        <is>
          <t>—</t>
        </is>
      </c>
      <c r="BS142" s="53" t="inlineStr">
        <is>
          <t>L3 – Professional / Associate</t>
        </is>
      </c>
      <c r="BT142" s="53" t="inlineStr">
        <is>
          <t>L3 – Professional / Associate</t>
        </is>
      </c>
      <c r="BU142" s="53" t="inlineStr">
        <is>
          <t>No designation change — current record value carried forward</t>
        </is>
      </c>
      <c r="BV142" s="53" t="n"/>
      <c r="BW142" s="53" t="n"/>
      <c r="BX142" s="53" t="inlineStr">
        <is>
          <t>Europe and United Kingdom</t>
        </is>
      </c>
      <c r="BY142" s="53" t="n"/>
      <c r="BZ142" s="53" t="inlineStr">
        <is>
          <t>IRIS2517</t>
        </is>
      </c>
      <c r="CA142" s="53" t="inlineStr">
        <is>
          <t>Employee</t>
        </is>
      </c>
      <c r="CB142" s="53" t="inlineStr">
        <is>
          <t>Active</t>
        </is>
      </c>
      <c r="CC142" s="53" t="inlineStr">
        <is>
          <t>Shubhangi Sharma</t>
        </is>
      </c>
      <c r="CD142" s="54" t="n">
        <v>46125</v>
      </c>
      <c r="CE142" s="53" t="inlineStr">
        <is>
          <t>Marketing Associate</t>
        </is>
      </c>
      <c r="CF142" s="53" t="inlineStr">
        <is>
          <t>Content Creation</t>
        </is>
      </c>
      <c r="CG142" s="53" t="inlineStr">
        <is>
          <t>Marketing &amp; Communications</t>
        </is>
      </c>
      <c r="CH142" s="53" t="inlineStr">
        <is>
          <t>Content Marketing</t>
        </is>
      </c>
      <c r="CI142" s="53" t="inlineStr">
        <is>
          <t>Marketing Associate</t>
        </is>
      </c>
      <c r="CJ142" s="53" t="inlineStr">
        <is>
          <t>L3 – Professional / Associate</t>
        </is>
      </c>
      <c r="CK142" s="53" t="inlineStr">
        <is>
          <t>Sobhan Pramanik</t>
        </is>
      </c>
      <c r="CL142" s="53" t="inlineStr">
        <is>
          <t>N-4</t>
        </is>
      </c>
      <c r="CM142" s="53" t="inlineStr">
        <is>
          <t>Individual Contributor</t>
        </is>
      </c>
      <c r="CN142" s="53" t="inlineStr">
        <is>
          <t>Regtech</t>
        </is>
      </c>
      <c r="CO142" s="53" t="inlineStr">
        <is>
          <t>Marketing</t>
        </is>
      </c>
      <c r="CP142" s="53" t="inlineStr">
        <is>
          <t>0 years, 2 months, 7 days</t>
        </is>
      </c>
      <c r="CQ142" s="53" t="inlineStr">
        <is>
          <t>Marketing Associate</t>
        </is>
      </c>
      <c r="CR142" s="53" t="inlineStr">
        <is>
          <t>No</t>
        </is>
      </c>
      <c r="CS142" s="53" t="n"/>
      <c r="CT142" s="53" t="inlineStr">
        <is>
          <t>Medium</t>
        </is>
      </c>
      <c r="CU142" s="53" t="inlineStr">
        <is>
          <t>Core Contributor</t>
        </is>
      </c>
      <c r="CV142" s="53" t="n"/>
      <c r="CW142" s="53" t="inlineStr">
        <is>
          <t>No</t>
        </is>
      </c>
      <c r="CX142" s="53" t="inlineStr">
        <is>
          <t>No</t>
        </is>
      </c>
      <c r="CY142" s="53" t="n"/>
      <c r="CZ142" s="53" t="inlineStr">
        <is>
          <t>Needs to learn the fundamentals of content marketing</t>
        </is>
      </c>
      <c r="DA142" s="53" t="n"/>
      <c r="DB142" s="53" t="inlineStr">
        <is>
          <t>To be mapped to Sobhan Pramanik as Reporting Mgr</t>
        </is>
      </c>
      <c r="DC142" s="53" t="n"/>
      <c r="DD142" s="53" t="n"/>
      <c r="DE142" s="53" t="n"/>
      <c r="DF142" s="53" t="n"/>
      <c r="DG142" s="53" t="n"/>
      <c r="DH142" s="53" t="n"/>
      <c r="DI142" s="53" t="n"/>
      <c r="DJ142" s="53" t="n"/>
      <c r="DK142" s="53" t="n"/>
      <c r="DL142" s="53" t="n"/>
      <c r="DM142" s="53" t="n"/>
      <c r="DN142" s="53" t="n"/>
      <c r="DO142" s="53" t="n"/>
      <c r="DP142" s="53" t="n"/>
      <c r="DQ142" s="53" t="n"/>
      <c r="DR142" s="53" t="n"/>
      <c r="DS142" s="53" t="n"/>
      <c r="DT142" s="53" t="n"/>
      <c r="DU142" s="53" t="n"/>
      <c r="DV142" s="53" t="n"/>
      <c r="DW142" s="53" t="n"/>
      <c r="DX142" s="53" t="n"/>
      <c r="DY142" s="53" t="n"/>
      <c r="DZ142" s="53" t="n"/>
      <c r="EA142" s="53" t="n"/>
      <c r="EB142" s="53" t="n"/>
      <c r="EC142" s="53" t="n"/>
      <c r="ED142" s="53" t="n"/>
      <c r="EE142" s="53" t="n"/>
      <c r="EF142" s="53" t="n"/>
      <c r="EG142" s="53" t="n"/>
      <c r="EH142" s="53" t="n"/>
      <c r="EI142" s="53" t="n"/>
      <c r="EJ142" s="53" t="n"/>
      <c r="EK142" s="53" t="n"/>
      <c r="EL142" s="53" t="n"/>
      <c r="EM142" s="53" t="n"/>
      <c r="EN142" s="53" t="n"/>
      <c r="EO142" s="53" t="n"/>
      <c r="EP142" s="53" t="n"/>
      <c r="EQ142" s="53" t="n"/>
      <c r="ER142" s="53" t="n"/>
      <c r="ES142" s="53" t="n"/>
      <c r="ET142" s="53" t="n"/>
      <c r="EU142" s="53" t="n"/>
      <c r="EV142" s="53" t="n"/>
      <c r="EW142" s="52" t="n"/>
      <c r="EX142" s="53" t="inlineStr">
        <is>
          <t>• This role focuses on branding and content marketing to generate MQLs through organic channels, campaigns and events.</t>
        </is>
      </c>
      <c r="EY142" s="53" t="inlineStr">
        <is>
          <t>• Reported deliverables and outcomes include: AEO optimization.
• Key responsibilities include Campaign delieverables; 8-10 blogs per month.
• The role is accountable for Europe based MQLs and content.
• The role independently makes decisions on Asset types.</t>
        </is>
      </c>
      <c r="EZ142" s="53" t="inlineStr">
        <is>
          <t>• Current capabilities: Presentation development, storytelling and positioning; SEMrush and Copilot; Content and campaign planning.</t>
        </is>
      </c>
      <c r="FA142" s="53" t="inlineStr">
        <is>
          <t>• Development priorities: Develop digital-marketing, CRM and HubSpot capability; Strengthen task prioritisation.
• Learning and Development Need: Digital-marketing, CRM and HubSpot certification, plus training on task prioritisation to manage last-minute changes.
• AI Enablement Need: AI prompt engineering and using AI to increase efficiency, given her reported use of Copilot.</t>
        </is>
      </c>
      <c r="FB142" s="53" t="inlineStr">
        <is>
          <t>• Key challenges: Last-minute changes disrupt planned work.
• Support required: No input received.</t>
        </is>
      </c>
      <c r="FC142" s="53" t="n"/>
      <c r="FD142" s="53" t="n"/>
      <c r="FE142" s="55" t="inlineStr">
        <is>
          <t>KRAs not received · manager to supply</t>
        </is>
      </c>
      <c r="FF142" s="56" t="n"/>
      <c r="FG142" s="56" t="n"/>
      <c r="FH142" s="56" t="n"/>
      <c r="FI142" s="56" t="inlineStr">
        <is>
          <t>Content Creation</t>
        </is>
      </c>
      <c r="FJ142" s="32" t="inlineStr">
        <is>
          <t>KRAs not received · manager to supply</t>
        </is>
      </c>
      <c r="FK142" s="56" t="inlineStr">
        <is>
          <t>CARBON Talent Mapping · Raw</t>
        </is>
      </c>
      <c r="FL142" s="56" t="n">
        <v>20</v>
      </c>
      <c r="FM142" s="56" t="inlineStr">
        <is>
          <t>• This role focuses on branding and content marketing to generate MQLs through organic channels, campaigns and events.</t>
        </is>
      </c>
      <c r="FN142" s="56" t="inlineStr">
        <is>
          <t>• Reported deliverables and outcomes include: AEO optimization.
• Key responsibilities include Campaign delieverables; 8-10 blogs per month.
• The role is accountable for Europe based MQLs and content.
• The role independently makes decisions on Asset types.</t>
        </is>
      </c>
      <c r="FO142" s="56" t="inlineStr">
        <is>
          <t>• Current capabilities: Presentation development, storytelling and positioning; SEMrush and Copilot; Content and campaign planning.</t>
        </is>
      </c>
      <c r="FP142" s="56" t="inlineStr">
        <is>
          <t>• Development priorities: Develop digital-marketing, CRM and HubSpot capability; Strengthen task prioritisation.
• Learning and Development Need: Digital-marketing, CRM and HubSpot certification, plus training on task prioritisation to manage last-minute changes.
• AI Enablement Need: AI prompt engineering and using AI to increase efficiency, given her reported use of Copilot.</t>
        </is>
      </c>
      <c r="FQ142" s="56" t="inlineStr">
        <is>
          <t>• Key challenges: Last-minute changes disrupt planned work.
• Support required: No input received.</t>
        </is>
      </c>
      <c r="FR142" s="56" t="inlineStr">
        <is>
          <t>Complexity: Evidence reads like A2: Produces 8-10 blogs a month and campaign deliverables; SEO/AEO optimisation using Semrush → matches the start
Autonomy: Evidence reads like A2: Decides asset types within campaign plans → matches the start
Accountability: Evidence reads like A3: own survey / KRA answers · summarised by the rater; not quoted → moved up 0.5
Leadership: Evidence reads like A1: No guidance or leadership of others described → matches the start
Business Impact: No survey or manager-mapping signal on criticality: kept at the start point.</t>
        </is>
      </c>
      <c r="FS142" s="56" t="inlineStr">
        <is>
          <t>Common themes in role-holders' answers: content · marketing · leads · generate · management · creation
Common themes in role-holders' answers: content · blogs · week · campaign
Common themes in role-holders' answers: marketing · content
Common themes in role-holders' answers: content · accountable
If the work is missed · role-holders' themes: ranking.</t>
        </is>
      </c>
      <c r="FT142" s="56" t="inlineStr">
        <is>
          <t>Self-identified: Product &amp; tool knowledge · Marketing &amp; content
For the next role: Product &amp; tool knowledge · Marketing &amp; content</t>
        </is>
      </c>
      <c r="FU142" s="56" t="inlineStr">
        <is>
          <t>Per-person summary · CARBON Mapping Master</t>
        </is>
      </c>
    </row>
    <row r="143" ht="90" customHeight="1">
      <c r="A143" s="51" t="inlineStr">
        <is>
          <t>◂ Back</t>
        </is>
      </c>
      <c r="B143" s="29" t="inlineStr">
        <is>
          <t>Mapped</t>
        </is>
      </c>
      <c r="C143" s="28" t="inlineStr">
        <is>
          <t>CARBON</t>
        </is>
      </c>
      <c r="D143" s="29" t="inlineStr">
        <is>
          <t>IRIS2502</t>
        </is>
      </c>
      <c r="E143" s="29" t="inlineStr">
        <is>
          <t>Sudipta Kundu</t>
        </is>
      </c>
      <c r="F143" s="29" t="inlineStr">
        <is>
          <t>Marketing</t>
        </is>
      </c>
      <c r="G143" s="29" t="inlineStr">
        <is>
          <t>Marketing Manager- Partner and Automation</t>
        </is>
      </c>
      <c r="H143" s="29" t="inlineStr">
        <is>
          <t>Senior Marketing Specialist – POD Lead</t>
        </is>
      </c>
      <c r="I143" s="29" t="inlineStr">
        <is>
          <t>L5 – Manager</t>
        </is>
      </c>
      <c r="J143" s="29" t="inlineStr">
        <is>
          <t>B2</t>
        </is>
      </c>
      <c r="K143" s="29" t="inlineStr">
        <is>
          <t>• Same level</t>
        </is>
      </c>
      <c r="L143" s="29" t="inlineStr">
        <is>
          <t>Marketing &amp; Communications</t>
        </is>
      </c>
      <c r="M143" s="29" t="inlineStr">
        <is>
          <t>Demand Generation, Brand &amp; Events</t>
        </is>
      </c>
      <c r="N143" s="29" t="n"/>
      <c r="O143" s="29" t="n">
        <v>20</v>
      </c>
      <c r="P143" s="28" t="inlineStr">
        <is>
          <t>P4 / M3</t>
        </is>
      </c>
      <c r="Q143" s="29" t="inlineStr">
        <is>
          <t>Senior / Manager</t>
        </is>
      </c>
      <c r="R143" s="29" t="inlineStr">
        <is>
          <t>4–5</t>
        </is>
      </c>
      <c r="S143" s="29" t="inlineStr">
        <is>
          <t>6–9 yrs</t>
        </is>
      </c>
      <c r="T143" s="29" t="inlineStr">
        <is>
          <t>7–10 · 6–11</t>
        </is>
      </c>
      <c r="U143" s="29" t="inlineStr">
        <is>
          <t>Senior Marketing Specialist</t>
        </is>
      </c>
      <c r="V143" s="29" t="inlineStr">
        <is>
          <t>IRIS Vs Market Benchmark — CIM proficiency scale: 3–4 · IRIS Vs Competitor Benchmark — SaaS marketing ladder: Marketing Manager</t>
        </is>
      </c>
      <c r="W143" s="29" t="inlineStr">
        <is>
          <t>CIM Global Professional Marketing Framework — proficiency Aware → Active learner → Able → Accomplished → Authoritative</t>
        </is>
      </c>
      <c r="X143" s="29" t="inlineStr">
        <is>
          <t>Core 3 · Future 3 · Functional 4 · Leadership 3</t>
        </is>
      </c>
      <c r="Y143" s="52" t="n">
        <v>473</v>
      </c>
      <c r="Z143" s="53" t="inlineStr">
        <is>
          <t>IRIS2502</t>
        </is>
      </c>
      <c r="AA143" s="53" t="inlineStr">
        <is>
          <t>Employee</t>
        </is>
      </c>
      <c r="AB143" s="53" t="inlineStr">
        <is>
          <t>Active</t>
        </is>
      </c>
      <c r="AC143" s="53" t="inlineStr">
        <is>
          <t>Sudipta Kundu</t>
        </is>
      </c>
      <c r="AD143" s="54" t="n">
        <v>46104</v>
      </c>
      <c r="AE143" s="53" t="inlineStr">
        <is>
          <t>Marketing Manager- Partner and Automation</t>
        </is>
      </c>
      <c r="AF143" s="53" t="inlineStr">
        <is>
          <t>MBA</t>
        </is>
      </c>
      <c r="AG143" s="53" t="inlineStr">
        <is>
          <t>Saahit togaru</t>
        </is>
      </c>
      <c r="AH143" s="53" t="inlineStr">
        <is>
          <t>N-4</t>
        </is>
      </c>
      <c r="AI143" s="53" t="inlineStr">
        <is>
          <t>Manager</t>
        </is>
      </c>
      <c r="AJ143" s="53" t="inlineStr">
        <is>
          <t>8 years, 4 months, 0 days</t>
        </is>
      </c>
      <c r="AK143" s="53" t="inlineStr">
        <is>
          <t>0 years, 5 months, 2 days</t>
        </is>
      </c>
      <c r="AL143" s="53" t="inlineStr">
        <is>
          <t>Regtech</t>
        </is>
      </c>
      <c r="AM143" s="53" t="inlineStr">
        <is>
          <t>CARBON</t>
        </is>
      </c>
      <c r="AN143" s="53" t="inlineStr">
        <is>
          <t>Marketing</t>
        </is>
      </c>
      <c r="AO143" s="53" t="inlineStr">
        <is>
          <t>Marketing</t>
        </is>
      </c>
      <c r="AP143" s="53" t="inlineStr">
        <is>
          <t>No</t>
        </is>
      </c>
      <c r="AQ143" s="53" t="inlineStr">
        <is>
          <t>Sales, Marketing &amp; Support</t>
        </is>
      </c>
      <c r="AR143" s="53" t="inlineStr">
        <is>
          <t>Marketing</t>
        </is>
      </c>
      <c r="AS143" s="53" t="inlineStr">
        <is>
          <t>Non-technical</t>
        </is>
      </c>
      <c r="AT143" s="53" t="n">
        <v>20</v>
      </c>
      <c r="AU143" s="53" t="inlineStr">
        <is>
          <t>Covered</t>
        </is>
      </c>
      <c r="AV143" s="53" t="inlineStr">
        <is>
          <t>IRIS2502</t>
        </is>
      </c>
      <c r="AW143" s="53" t="inlineStr">
        <is>
          <t>Sudipta Kundu</t>
        </is>
      </c>
      <c r="AX143" s="53" t="inlineStr">
        <is>
          <t>Marketing</t>
        </is>
      </c>
      <c r="AY143" s="53" t="inlineStr">
        <is>
          <t>Marketing &amp; Communications</t>
        </is>
      </c>
      <c r="AZ143" s="53" t="inlineStr">
        <is>
          <t>Partner GTM &amp; Marketing Operations</t>
        </is>
      </c>
      <c r="BA143" s="53" t="inlineStr">
        <is>
          <t>Marketing &amp; Communications</t>
        </is>
      </c>
      <c r="BB143" s="53" t="inlineStr">
        <is>
          <t>Marketing Operations</t>
        </is>
      </c>
      <c r="BC143" s="53" t="inlineStr">
        <is>
          <t>Employee</t>
        </is>
      </c>
      <c r="BD143" s="53" t="inlineStr">
        <is>
          <t>Saahit Togaru</t>
        </is>
      </c>
      <c r="BE143" s="53" t="inlineStr">
        <is>
          <t>Saahit Togaru</t>
        </is>
      </c>
      <c r="BF143" s="53" t="inlineStr">
        <is>
          <t>No</t>
        </is>
      </c>
      <c r="BG143" s="53" t="inlineStr">
        <is>
          <t>Marketing Manager- Partner and Automation</t>
        </is>
      </c>
      <c r="BH143" s="53" t="inlineStr">
        <is>
          <t>Marketing Manager- Partner and Automation</t>
        </is>
      </c>
      <c r="BI143" s="53" t="inlineStr">
        <is>
          <t>No</t>
        </is>
      </c>
      <c r="BJ143" s="53" t="n">
        <v>4</v>
      </c>
      <c r="BK143" s="53" t="n">
        <v>2</v>
      </c>
      <c r="BL143" s="53" t="n">
        <v>2</v>
      </c>
      <c r="BM143" s="53" t="inlineStr">
        <is>
          <t>Review</t>
        </is>
      </c>
      <c r="BN143" s="53" t="n">
        <v>4</v>
      </c>
      <c r="BO143" s="53" t="n">
        <v>2</v>
      </c>
      <c r="BP143" s="53" t="n">
        <v>2</v>
      </c>
      <c r="BQ143" s="53" t="inlineStr">
        <is>
          <t>Review</t>
        </is>
      </c>
      <c r="BR143" s="53" t="inlineStr">
        <is>
          <t>No</t>
        </is>
      </c>
      <c r="BS143" s="53" t="inlineStr">
        <is>
          <t>L5 – Manager</t>
        </is>
      </c>
      <c r="BT143" s="53" t="inlineStr">
        <is>
          <t>L5 – Manager</t>
        </is>
      </c>
      <c r="BU143" s="53" t="inlineStr">
        <is>
          <t>No designation change — current record value carried forward</t>
        </is>
      </c>
      <c r="BV143" s="53" t="inlineStr">
        <is>
          <t>OKR Tracker - Marketing 2026 · FY27.xlsx</t>
        </is>
      </c>
      <c r="BW143" s="53" t="n"/>
      <c r="BX143" s="53" t="inlineStr">
        <is>
          <t>Europe; US; global.</t>
        </is>
      </c>
      <c r="BY143" s="53" t="n"/>
      <c r="BZ143" s="53" t="inlineStr">
        <is>
          <t>IRIS2502</t>
        </is>
      </c>
      <c r="CA143" s="53" t="inlineStr">
        <is>
          <t>Employee</t>
        </is>
      </c>
      <c r="CB143" s="53" t="inlineStr">
        <is>
          <t>Active</t>
        </is>
      </c>
      <c r="CC143" s="53" t="inlineStr">
        <is>
          <t>Sudipta Kundu</t>
        </is>
      </c>
      <c r="CD143" s="54" t="n">
        <v>46104</v>
      </c>
      <c r="CE143" s="53" t="inlineStr">
        <is>
          <t>Marketing Manager- Partner and Automation</t>
        </is>
      </c>
      <c r="CF143" s="53" t="inlineStr">
        <is>
          <t>Leads Database team &amp; automation to bring efficiencies across marketing - recently role is upgraded to Partner management as well</t>
        </is>
      </c>
      <c r="CG143" s="53" t="inlineStr">
        <is>
          <t>Marketing &amp; Communications</t>
        </is>
      </c>
      <c r="CH143" s="53" t="n"/>
      <c r="CI143" s="53" t="inlineStr">
        <is>
          <t>Marketing Manager- Partner and Automation</t>
        </is>
      </c>
      <c r="CJ143" s="53" t="inlineStr">
        <is>
          <t>L5 – Manager</t>
        </is>
      </c>
      <c r="CK143" s="53" t="inlineStr">
        <is>
          <t>Saahit Togaru</t>
        </is>
      </c>
      <c r="CL143" s="53" t="inlineStr">
        <is>
          <t>N-4</t>
        </is>
      </c>
      <c r="CM143" s="53" t="inlineStr">
        <is>
          <t>Manager</t>
        </is>
      </c>
      <c r="CN143" s="53" t="inlineStr">
        <is>
          <t>Regtech</t>
        </is>
      </c>
      <c r="CO143" s="53" t="inlineStr">
        <is>
          <t>Marketing</t>
        </is>
      </c>
      <c r="CP143" s="53" t="inlineStr">
        <is>
          <t>8 years, 6 months, 28 days</t>
        </is>
      </c>
      <c r="CQ143" s="53" t="n"/>
      <c r="CR143" s="53" t="inlineStr">
        <is>
          <t>No</t>
        </is>
      </c>
      <c r="CS143" s="53" t="n">
        <v>2</v>
      </c>
      <c r="CT143" s="53" t="inlineStr">
        <is>
          <t>Medium</t>
        </is>
      </c>
      <c r="CU143" s="53" t="inlineStr">
        <is>
          <t>Reliable Specialist</t>
        </is>
      </c>
      <c r="CV143" s="53" t="n"/>
      <c r="CW143" s="53" t="inlineStr">
        <is>
          <t>No</t>
        </is>
      </c>
      <c r="CX143" s="53" t="inlineStr">
        <is>
          <t>No</t>
        </is>
      </c>
      <c r="CY143" s="53" t="n"/>
      <c r="CZ143" s="53" t="inlineStr">
        <is>
          <t>Would benefit from deeper understanding of domain + perspective of database &amp; marketing</t>
        </is>
      </c>
      <c r="DA143" s="53" t="n"/>
      <c r="DB143" s="53" t="n"/>
      <c r="DC143" s="53" t="n"/>
      <c r="DD143" s="53" t="n"/>
      <c r="DE143" s="53" t="n"/>
      <c r="DF143" s="53" t="n"/>
      <c r="DG143" s="53" t="n"/>
      <c r="DH143" s="53" t="n"/>
      <c r="DI143" s="53" t="n"/>
      <c r="DJ143" s="53" t="n"/>
      <c r="DK143" s="53" t="n"/>
      <c r="DL143" s="53" t="n"/>
      <c r="DM143" s="53" t="n"/>
      <c r="DN143" s="53" t="n"/>
      <c r="DO143" s="53" t="n"/>
      <c r="DP143" s="53" t="n"/>
      <c r="DQ143" s="53" t="n"/>
      <c r="DR143" s="53" t="n"/>
      <c r="DS143" s="53" t="n"/>
      <c r="DT143" s="53" t="n"/>
      <c r="DU143" s="53" t="n"/>
      <c r="DV143" s="53" t="n"/>
      <c r="DW143" s="53" t="n"/>
      <c r="DX143" s="53" t="n"/>
      <c r="DY143" s="53" t="n"/>
      <c r="DZ143" s="53" t="n"/>
      <c r="EA143" s="53" t="n"/>
      <c r="EB143" s="53" t="n"/>
      <c r="EC143" s="53" t="n"/>
      <c r="ED143" s="53" t="n"/>
      <c r="EE143" s="53" t="n"/>
      <c r="EF143" s="53" t="n"/>
      <c r="EG143" s="53" t="n"/>
      <c r="EH143" s="53" t="n"/>
      <c r="EI143" s="53" t="n"/>
      <c r="EJ143" s="53" t="n"/>
      <c r="EK143" s="53" t="n"/>
      <c r="EL143" s="53" t="n"/>
      <c r="EM143" s="53" t="n"/>
      <c r="EN143" s="53" t="n"/>
      <c r="EO143" s="53" t="n"/>
      <c r="EP143" s="53" t="n"/>
      <c r="EQ143" s="53" t="n"/>
      <c r="ER143" s="53" t="n"/>
      <c r="ES143" s="53" t="n"/>
      <c r="ET143" s="53" t="n"/>
      <c r="EU143" s="53" t="n"/>
      <c r="EV143" s="53" t="n"/>
      <c r="EW143" s="52" t="n"/>
      <c r="EX143" s="53" t="inlineStr">
        <is>
          <t>• Role / sub-team: Marketing — Marketing Manager- Partner and Automation.
• Core purpose: I manage GTM for Partners, including CRM and Partner Marketing, with a focus on automation and strategic initiatives that drive business growth.
• Decision-making autonomy: Can independently database; Partner Relationship; Database health score.
• Is this something only they do: Some parts are shared across the team like database management, but the overall combination of Partner Marketing, and partner relationships is specific to my role.
• What's different about this role: It involves multiple stakeholders, different tools and processes, and a high level of coordination, where delays or gaps can directly impact partner relationships and business outcomes.</t>
        </is>
      </c>
      <c r="EY143" s="53" t="inlineStr">
        <is>
          <t>• Key responsibilities include: Partner Marketing; CRM Management; Event Management; Team management.
• Personally accountable for: Partner GTM, CRM, and Partner Marketing outcomes.
• Impact if missed or done wrong: When these areas are missed or not done well, it can impact on the pipeline, partner relationship, data accuracy, campaign performance, and overall GTM execution.
• How measured: More or Less Same; The KPIs are a mix of common business metrics and role-specific measures, focused on partner performance, GTM impact, CRM efficiency, and execution.</t>
        </is>
      </c>
      <c r="EZ143" s="53" t="inlineStr">
        <is>
          <t>• Current capabilities: Market Readiness; Proactiveness; Communication.
• Tools / software used: Hubspot.
• Workload: Rated a heavy load · 4/5 in a typical week.
• Judgment/way of working: Yes - it requires ownership, prioritization, proactive communication, and the ability to make the right call while balancing priorities and business goals.</t>
        </is>
      </c>
      <c r="FA143" s="53" t="inlineStr">
        <is>
          <t>• Development priorities: More exposure to strategic decision-making, cross-functional leadership, and business planning.
• Learning and Development Need: 1-1 mentorship; onboarding training. Wish I had known earlier how important clear ownership, context, and a people-centric approach are. Having these in place can reduce blame, improve collaboration, and help teams work more effectively.
• Role evolving toward: Yes, there is a new initiative around database functionality. It has improved significantly compared to earlier.</t>
        </is>
      </c>
      <c r="FB143" s="53" t="inlineStr">
        <is>
          <t>• Key challenges: Multiple Approvals; multiple reviews.
• Support required: Clearer priorities; More clarity on ownership and decision-making, with faster support when priorities or requirements change.</t>
        </is>
      </c>
      <c r="FC143" s="53" t="inlineStr">
        <is>
          <t>KRAs Submitted</t>
        </is>
      </c>
      <c r="FD143" s="53" t="n"/>
      <c r="FE143" s="57" t="inlineStr">
        <is>
          <t>OKR Tracker - Marketing 2026 · FY27.xlsx</t>
        </is>
      </c>
      <c r="FF143" s="56" t="n"/>
      <c r="FG143" s="56" t="n"/>
      <c r="FH143" s="56" t="n"/>
      <c r="FI143" s="56" t="inlineStr">
        <is>
          <t>Leads Database team &amp; automation to bring efficiencies across marketing - recently role is upgraded to Partner management as well</t>
        </is>
      </c>
      <c r="FJ143" s="56" t="inlineStr">
        <is>
          <t>Received · manager annual</t>
        </is>
      </c>
      <c r="FK143" s="56" t="inlineStr">
        <is>
          <t>CARBON Mapping Master · CARBON Talent Mapping · Raw</t>
        </is>
      </c>
      <c r="FL143" s="56" t="n">
        <v>20</v>
      </c>
      <c r="FM143" s="56" t="inlineStr">
        <is>
          <t>• Role / sub-team: Marketing — Marketing Manager- Partner and Automation.
• Core purpose: I manage GTM for Partners, including CRM and Partner Marketing, with a focus on automation and strategic initiatives that drive business growth.
• Decision-making autonomy: Can independently database; Partner Relationship; Database health score.
• Is this something only they do: Some parts are shared across the team like database management, but the overall combination of Partner Marketing, and partner relationships is specific to my role.
• What's different about this role: It involves multiple stakeholders, different tools and processes, and a high level of coordination, where delays or gaps can directly impact partner relationships and business outcomes.</t>
        </is>
      </c>
      <c r="FN143" s="56" t="inlineStr">
        <is>
          <t>• Key responsibilities include: Partner Marketing; CRM Management; Event Management; Team management.
• Personally accountable for: Partner GTM, CRM, and Partner Marketing outcomes.
• Impact if missed or done wrong: When these areas are missed or not done well, it can impact on the pipeline, partner relationship, data accuracy, campaign performance, and overall GTM execution.
• How measured: More or Less Same; The KPIs are a mix of common business metrics and role-specific measures, focused on partner performance, GTM impact, CRM efficiency, and execution.</t>
        </is>
      </c>
      <c r="FO143" s="56" t="inlineStr">
        <is>
          <t>• Current capabilities: Market Readiness; Proactiveness; Communication.
• Tools / software used: Hubspot.
• Workload: Rated a heavy load · 4/5 in a typical week.
• Judgment/way of working: Yes - it requires ownership, prioritization, proactive communication, and the ability to make the right call while balancing priorities and business goals.</t>
        </is>
      </c>
      <c r="FP143" s="56" t="inlineStr">
        <is>
          <t>• Development priorities: More exposure to strategic decision-making, cross-functional leadership, and business planning.
• Learning and Development Need: 1-1 mentorship; onboarding training. Wish I had known earlier how important clear ownership, context, and a people-centric approach are. Having these in place can reduce blame, improve collaboration, and help teams work more effectively.
• Role evolving toward: Yes, there is a new initiative around database functionality. It has improved significantly compared to earlier.</t>
        </is>
      </c>
      <c r="FQ143" s="56" t="inlineStr">
        <is>
          <t>• Key challenges: Multiple Approvals; multiple reviews.
• Support required: Clearer priorities; More clarity on ownership and decision-making, with faster support when priorities or requirements change.</t>
        </is>
      </c>
      <c r="FR143" s="56" t="inlineStr">
        <is>
          <t>Complexity: Evidence reads like B1: Manages partner GTM, CRM, partner marketing, automation and events across multiple stakeholders and tools → moved down 0.5
Autonomy: Evidence reads like B1: Decides on database, partner relationships and database health score for the area → moved down 0.5
Accountability: Evidence reads like B1: own survey / KRA answers · summarised by the rater; not quoted → moved down 0.5
Leadership: Evidence reads like B1: Lists team management; three direct reports → matches the start
Business Impact: No survey or manager-mapping signal on criticality: kept at the start point.</t>
        </is>
      </c>
      <c r="FS143" s="56" t="inlineStr">
        <is>
          <t>Common themes in sub-family holders, all levels' answers: iris · management · gtm · drive · initiatives · growth
Common themes in sub-family holders, all levels' answers: event · management
Common themes in sub-family holders, all levels' answers: gtm
Common themes in sub-family holders, all levels' answers: strategy
If the work is missed · role-holders' themes: pipeline.</t>
        </is>
      </c>
      <c r="FT143" s="56" t="inlineStr">
        <is>
          <t>Self-identified: Leadership &amp; people management · Strategy &amp; business acumen · Broader exposure &amp; ownership
For the next role: Leadership &amp; people management · Strategy &amp; business acumen · Broader exposure &amp; ownership</t>
        </is>
      </c>
      <c r="FU143" s="56" t="inlineStr">
        <is>
          <t>Per-person summary · CARBON Mapping Master</t>
        </is>
      </c>
    </row>
    <row r="144" ht="90" customHeight="1">
      <c r="A144" s="51" t="inlineStr">
        <is>
          <t>◂ Back</t>
        </is>
      </c>
      <c r="B144" s="29" t="inlineStr">
        <is>
          <t>Mapped</t>
        </is>
      </c>
      <c r="C144" s="28" t="inlineStr">
        <is>
          <t>CARBON</t>
        </is>
      </c>
      <c r="D144" s="29" t="inlineStr">
        <is>
          <t>IRIS2316</t>
        </is>
      </c>
      <c r="E144" s="29" t="inlineStr">
        <is>
          <t>Mounika Kattula</t>
        </is>
      </c>
      <c r="F144" s="29" t="inlineStr">
        <is>
          <t>Marketing</t>
        </is>
      </c>
      <c r="G144" s="29" t="inlineStr">
        <is>
          <t>Marketing Associate</t>
        </is>
      </c>
      <c r="H144" s="29" t="inlineStr">
        <is>
          <t>Senior Marketing Operations Associate</t>
        </is>
      </c>
      <c r="I144" s="29" t="inlineStr">
        <is>
          <t>L3 – Professional / Associate</t>
        </is>
      </c>
      <c r="J144" s="29" t="inlineStr">
        <is>
          <t>A3</t>
        </is>
      </c>
      <c r="K144" s="29" t="inlineStr">
        <is>
          <t>▲ Up</t>
        </is>
      </c>
      <c r="L144" s="29" t="inlineStr">
        <is>
          <t>Marketing &amp; Communications</t>
        </is>
      </c>
      <c r="M144" s="29" t="inlineStr">
        <is>
          <t>Marketing Operations &amp; Automation</t>
        </is>
      </c>
      <c r="N144" s="29" t="inlineStr">
        <is>
          <t>• Confirm the reporting line — Manager</t>
        </is>
      </c>
      <c r="O144" s="29" t="n">
        <v>20</v>
      </c>
      <c r="P144" s="28" t="inlineStr">
        <is>
          <t>P2</t>
        </is>
      </c>
      <c r="Q144" s="29" t="inlineStr">
        <is>
          <t>Developing</t>
        </is>
      </c>
      <c r="R144" s="29" t="inlineStr">
        <is>
          <t>3 Apply</t>
        </is>
      </c>
      <c r="S144" s="29" t="inlineStr">
        <is>
          <t>2–4 yrs</t>
        </is>
      </c>
      <c r="T144" s="29" t="inlineStr">
        <is>
          <t>3–5 · 2–5</t>
        </is>
      </c>
      <c r="U144" s="29" t="inlineStr">
        <is>
          <t>Marketing Executive</t>
        </is>
      </c>
      <c r="V144" s="29" t="inlineStr">
        <is>
          <t>IRIS Vs Market Benchmark — CIM proficiency scale: 2–3 · IRIS Vs Competitor Benchmark — SaaS marketing ladder: Marketing Specialist</t>
        </is>
      </c>
      <c r="W144" s="29" t="inlineStr">
        <is>
          <t>CIM Global Professional Marketing Framework — proficiency Aware → Active learner → Able → Accomplished → Authoritative</t>
        </is>
      </c>
      <c r="X144" s="29" t="inlineStr">
        <is>
          <t>Core 2 · Future 2 · Functional 3 · Leadership not scored</t>
        </is>
      </c>
      <c r="Y144" s="52" t="n">
        <v>347</v>
      </c>
      <c r="Z144" s="53" t="inlineStr">
        <is>
          <t>IRIS2316</t>
        </is>
      </c>
      <c r="AA144" s="53" t="inlineStr">
        <is>
          <t>Employee</t>
        </is>
      </c>
      <c r="AB144" s="53" t="inlineStr">
        <is>
          <t>Active</t>
        </is>
      </c>
      <c r="AC144" s="53" t="inlineStr">
        <is>
          <t>Mounika Kattula</t>
        </is>
      </c>
      <c r="AD144" s="54" t="n">
        <v>45572</v>
      </c>
      <c r="AE144" s="53" t="inlineStr">
        <is>
          <t>Marketing Associate</t>
        </is>
      </c>
      <c r="AF144" s="53" t="inlineStr">
        <is>
          <t>MBA</t>
        </is>
      </c>
      <c r="AG144" s="53" t="inlineStr">
        <is>
          <t>Sudipta Kundu</t>
        </is>
      </c>
      <c r="AH144" s="53" t="inlineStr">
        <is>
          <t>N-5</t>
        </is>
      </c>
      <c r="AI144" s="53" t="inlineStr">
        <is>
          <t>Manager</t>
        </is>
      </c>
      <c r="AJ144" s="53" t="inlineStr">
        <is>
          <t>2 years, 1 months, 0 days</t>
        </is>
      </c>
      <c r="AK144" s="53" t="inlineStr">
        <is>
          <t>1 years, 10 months, 18 days</t>
        </is>
      </c>
      <c r="AL144" s="53" t="inlineStr">
        <is>
          <t>Regtech</t>
        </is>
      </c>
      <c r="AM144" s="53" t="inlineStr">
        <is>
          <t>CARBON</t>
        </is>
      </c>
      <c r="AN144" s="53" t="inlineStr">
        <is>
          <t>Marketing</t>
        </is>
      </c>
      <c r="AO144" s="53" t="inlineStr">
        <is>
          <t>Marketing</t>
        </is>
      </c>
      <c r="AP144" s="53" t="inlineStr">
        <is>
          <t>No</t>
        </is>
      </c>
      <c r="AQ144" s="53" t="inlineStr">
        <is>
          <t>Sales, Marketing &amp; Support</t>
        </is>
      </c>
      <c r="AR144" s="53" t="inlineStr">
        <is>
          <t>Marketing</t>
        </is>
      </c>
      <c r="AS144" s="53" t="inlineStr">
        <is>
          <t>Non-technical</t>
        </is>
      </c>
      <c r="AT144" s="53" t="n">
        <v>20</v>
      </c>
      <c r="AU144" s="53" t="inlineStr">
        <is>
          <t>Covered</t>
        </is>
      </c>
      <c r="AV144" s="53" t="inlineStr">
        <is>
          <t>IRIS2316</t>
        </is>
      </c>
      <c r="AW144" s="53" t="inlineStr">
        <is>
          <t>Mounika Kattula</t>
        </is>
      </c>
      <c r="AX144" s="53" t="inlineStr">
        <is>
          <t>Marketing</t>
        </is>
      </c>
      <c r="AY144" s="53" t="inlineStr">
        <is>
          <t>Marketing &amp; Communications</t>
        </is>
      </c>
      <c r="AZ144" s="53" t="inlineStr">
        <is>
          <t>Marketing Operations</t>
        </is>
      </c>
      <c r="BA144" s="53" t="n"/>
      <c r="BB144" s="53" t="n"/>
      <c r="BC144" s="53" t="inlineStr">
        <is>
          <t>Employee</t>
        </is>
      </c>
      <c r="BD144" s="53" t="inlineStr">
        <is>
          <t>Sudipta Kundu</t>
        </is>
      </c>
      <c r="BE144" s="53" t="inlineStr">
        <is>
          <t>Sudipta Kundu</t>
        </is>
      </c>
      <c r="BF144" s="53" t="inlineStr">
        <is>
          <t>No</t>
        </is>
      </c>
      <c r="BG144" s="53" t="inlineStr">
        <is>
          <t>Marketing Associate</t>
        </is>
      </c>
      <c r="BH144" s="53" t="inlineStr">
        <is>
          <t>Sr. Marketing Associate</t>
        </is>
      </c>
      <c r="BI144" s="53" t="inlineStr">
        <is>
          <t>Yes</t>
        </is>
      </c>
      <c r="BJ144" s="53" t="inlineStr">
        <is>
          <t>—</t>
        </is>
      </c>
      <c r="BK144" s="53" t="inlineStr">
        <is>
          <t>—</t>
        </is>
      </c>
      <c r="BL144" s="53" t="inlineStr">
        <is>
          <t>—</t>
        </is>
      </c>
      <c r="BM144" s="53" t="inlineStr">
        <is>
          <t>Not a manager</t>
        </is>
      </c>
      <c r="BN144" s="53" t="inlineStr">
        <is>
          <t>—</t>
        </is>
      </c>
      <c r="BO144" s="53" t="inlineStr">
        <is>
          <t>—</t>
        </is>
      </c>
      <c r="BP144" s="53" t="inlineStr">
        <is>
          <t>—</t>
        </is>
      </c>
      <c r="BQ144" s="53" t="inlineStr">
        <is>
          <t>Not a manager</t>
        </is>
      </c>
      <c r="BR144" s="53" t="inlineStr">
        <is>
          <t>—</t>
        </is>
      </c>
      <c r="BS144" s="53" t="inlineStr">
        <is>
          <t>L3 – Professional / Associate</t>
        </is>
      </c>
      <c r="BT144" s="53" t="inlineStr">
        <is>
          <t>L3 – Professional / Associate</t>
        </is>
      </c>
      <c r="BU144" s="53" t="inlineStr">
        <is>
          <t>No exact Title Hierarchy match — retained current record value</t>
        </is>
      </c>
      <c r="BV144" s="53" t="inlineStr">
        <is>
          <t>1. Ensure 100% listed company data accuracy and &lt;10% data decay rate in HubSpot
2. Build and maintain SOPs defining database scope, enrichment rules, and team responsibilities
3. Manage interns’ output, ensure QA validation, and eliminate data gaps across campaigns
4. Collaborate with Analyst &amp; Associate to ensure data readiness for all campaigns and ABM programs
5. Design and optimize lead scoring model aligned with GTM goals to improve MQL quality</t>
        </is>
      </c>
      <c r="BW144" s="53" t="n"/>
      <c r="BX144" s="53" t="inlineStr">
        <is>
          <t>Global</t>
        </is>
      </c>
      <c r="BY144" s="53" t="n"/>
      <c r="BZ144" s="53" t="inlineStr">
        <is>
          <t>IRIS2316</t>
        </is>
      </c>
      <c r="CA144" s="53" t="inlineStr">
        <is>
          <t>Employee</t>
        </is>
      </c>
      <c r="CB144" s="53" t="inlineStr">
        <is>
          <t>Active</t>
        </is>
      </c>
      <c r="CC144" s="53" t="inlineStr">
        <is>
          <t>Mounika Kattula</t>
        </is>
      </c>
      <c r="CD144" s="54" t="n">
        <v>45572</v>
      </c>
      <c r="CE144" s="53" t="inlineStr">
        <is>
          <t>Marketing Associate</t>
        </is>
      </c>
      <c r="CF144" s="53" t="inlineStr">
        <is>
          <t>reports to Sudipta, database creation team - they use Lusha to generate the list of customers for the SDR team &amp; upload the same on hubspot:</t>
        </is>
      </c>
      <c r="CG144" s="53" t="inlineStr">
        <is>
          <t>Marketing &amp; Communications</t>
        </is>
      </c>
      <c r="CH144" s="53" t="inlineStr">
        <is>
          <t>Marketing Operations</t>
        </is>
      </c>
      <c r="CI144" s="53" t="inlineStr">
        <is>
          <t>Marketing Associate</t>
        </is>
      </c>
      <c r="CJ144" s="53" t="inlineStr">
        <is>
          <t>L3 – Professional / Associate</t>
        </is>
      </c>
      <c r="CK144" s="53" t="inlineStr">
        <is>
          <t>Sudipta Kundu</t>
        </is>
      </c>
      <c r="CL144" s="53" t="inlineStr">
        <is>
          <t>N-5</t>
        </is>
      </c>
      <c r="CM144" s="53" t="inlineStr">
        <is>
          <t>Individual Contributor</t>
        </is>
      </c>
      <c r="CN144" s="53" t="inlineStr">
        <is>
          <t>Regtech</t>
        </is>
      </c>
      <c r="CO144" s="53" t="inlineStr">
        <is>
          <t>Marketing</t>
        </is>
      </c>
      <c r="CP144" s="53" t="inlineStr">
        <is>
          <t>3 years, 9 months, 13 days</t>
        </is>
      </c>
      <c r="CQ144" s="53" t="inlineStr">
        <is>
          <t>Senior Marketing Associates</t>
        </is>
      </c>
      <c r="CR144" s="53" t="inlineStr">
        <is>
          <t>Yes</t>
        </is>
      </c>
      <c r="CS144" s="53" t="n">
        <v>4</v>
      </c>
      <c r="CT144" s="53" t="inlineStr">
        <is>
          <t>High</t>
        </is>
      </c>
      <c r="CU144" s="53" t="inlineStr">
        <is>
          <t>Emerging Talent</t>
        </is>
      </c>
      <c r="CV144" s="53" t="inlineStr">
        <is>
          <t>Yes</t>
        </is>
      </c>
      <c r="CW144" s="53" t="inlineStr">
        <is>
          <t>Yes</t>
        </is>
      </c>
      <c r="CX144" s="53" t="inlineStr">
        <is>
          <t>Yes</t>
        </is>
      </c>
      <c r="CY144" s="53" t="inlineStr">
        <is>
          <t>Ritam Mukhopadhyay</t>
        </is>
      </c>
      <c r="CZ144" s="53" t="n"/>
      <c r="DA144" s="53" t="inlineStr">
        <is>
          <t>Yes</t>
        </is>
      </c>
      <c r="DB144" s="53" t="n"/>
      <c r="DC144" s="53" t="n"/>
      <c r="DD144" s="53" t="n"/>
      <c r="DE144" s="53" t="n"/>
      <c r="DF144" s="53" t="n"/>
      <c r="DG144" s="53" t="n"/>
      <c r="DH144" s="53" t="n"/>
      <c r="DI144" s="53" t="n"/>
      <c r="DJ144" s="53" t="n"/>
      <c r="DK144" s="53" t="n"/>
      <c r="DL144" s="53" t="n"/>
      <c r="DM144" s="53" t="n"/>
      <c r="DN144" s="53" t="n"/>
      <c r="DO144" s="53" t="n"/>
      <c r="DP144" s="53" t="n"/>
      <c r="DQ144" s="53" t="n"/>
      <c r="DR144" s="53" t="n"/>
      <c r="DS144" s="53" t="n"/>
      <c r="DT144" s="53" t="n"/>
      <c r="DU144" s="53" t="n"/>
      <c r="DV144" s="53" t="n"/>
      <c r="DW144" s="53" t="n"/>
      <c r="DX144" s="53" t="n"/>
      <c r="DY144" s="53" t="n"/>
      <c r="DZ144" s="53" t="n"/>
      <c r="EA144" s="53" t="n"/>
      <c r="EB144" s="53" t="n"/>
      <c r="EC144" s="53" t="n"/>
      <c r="ED144" s="53" t="n"/>
      <c r="EE144" s="53" t="n"/>
      <c r="EF144" s="53" t="n"/>
      <c r="EG144" s="53" t="n"/>
      <c r="EH144" s="53" t="n"/>
      <c r="EI144" s="53" t="n"/>
      <c r="EJ144" s="53" t="n"/>
      <c r="EK144" s="53" t="n"/>
      <c r="EL144" s="53" t="n"/>
      <c r="EM144" s="53" t="n"/>
      <c r="EN144" s="53" t="n"/>
      <c r="EO144" s="53" t="n"/>
      <c r="EP144" s="53" t="n"/>
      <c r="EQ144" s="53" t="n"/>
      <c r="ER144" s="53" t="n"/>
      <c r="ES144" s="53" t="n"/>
      <c r="ET144" s="53" t="n"/>
      <c r="EU144" s="53" t="n"/>
      <c r="EV144" s="53" t="n"/>
      <c r="EW144" s="52" t="n"/>
      <c r="EX144" s="53" t="inlineStr">
        <is>
          <t>• This role leads database strategy, research and CRM management to keep data accurate, organised and effectively used across the business.</t>
        </is>
      </c>
      <c r="EY144" s="53" t="inlineStr">
        <is>
          <t>• Reported deliverables and outcomes include: High quality data.
• Key responsibilities include Data Enrichment; CRM Data Quality; Database Management; Research Insights; CRM Process Improvement; High quality Data for all; Accurate Tagging.
• The role is accountable for Data Quality &amp; CRM Accuracy.
• The role independently makes decisions on Data quality CRM hygiene.</t>
        </is>
      </c>
      <c r="EZ144" s="53" t="inlineStr">
        <is>
          <t>• Current capabilities: HubSpot, Excel, Seamless and data-quality auditing; Critical thinking, attention to detail and process improvement.</t>
        </is>
      </c>
      <c r="FA144" s="53" t="inlineStr">
        <is>
          <t>• Development priorities: Build advanced CRM-strategy capability; Strengthen automation, data-process design and revenue-impact analysis.
• Learning and Development Need: Advanced CRM-strategy and marketing-automation training, with a focus on data-process design and revenue-impact analysis.</t>
        </is>
      </c>
      <c r="FB144" s="53" t="inlineStr">
        <is>
          <t>• Key challenges: Incomplete and inconsistent source data; Manual processes and missing CRM information.
• Support required: Better tool integration and automation to reduce manual effort and improve data accuracy.</t>
        </is>
      </c>
      <c r="FC144" s="53" t="n"/>
      <c r="FD144" s="53" t="n"/>
      <c r="FE144" s="57" t="inlineStr">
        <is>
          <t>1. Ensure 100% listed company data accuracy and &lt;10% data decay rate in HubSpot
2. Build and maintain SOPs defining database scope, enrichment rules, and team responsibilities
3. Manage interns’ output, ensure QA validation, and eliminate data gaps across campaigns
4. Collaborate with Analyst &amp; Associate to ensure data readiness for all campaigns and ABM programs
5. Design and optimize lead scoring model aligned with GTM goals to improve MQL quality</t>
        </is>
      </c>
      <c r="FF144" s="56" t="n"/>
      <c r="FG144" s="56" t="n"/>
      <c r="FH144" s="56" t="n"/>
      <c r="FI144" s="56" t="inlineStr">
        <is>
          <t>reports to Sudipta, database creation team - they use Lusha to generate the list of customers for the SDR team &amp; upload the same on hubspot:</t>
        </is>
      </c>
      <c r="FJ144" s="56" t="inlineStr">
        <is>
          <t>Received · manager annual</t>
        </is>
      </c>
      <c r="FK144" s="56" t="inlineStr">
        <is>
          <t>CARBON Mapping Master · CARBON Talent Mapping · Raw</t>
        </is>
      </c>
      <c r="FL144" s="56" t="n">
        <v>20</v>
      </c>
      <c r="FM144" s="56" t="inlineStr">
        <is>
          <t>• This role leads database strategy, research and CRM management to keep data accurate, organised and effectively used across the business.</t>
        </is>
      </c>
      <c r="FN144" s="56" t="inlineStr">
        <is>
          <t>• Reported deliverables and outcomes include: High quality data.
• Key responsibilities include Data Enrichment; CRM Data Quality; Database Management; Research Insights; CRM Process Improvement; High quality Data for all; Accurate Tagging.
• The role is accountable for Data Quality &amp; CRM Accuracy.
• The role independently makes decisions on Data quality CRM hygiene.</t>
        </is>
      </c>
      <c r="FO144" s="56" t="inlineStr">
        <is>
          <t>• Current capabilities: HubSpot, Excel, Seamless and data-quality auditing; Critical thinking, attention to detail and process improvement.</t>
        </is>
      </c>
      <c r="FP144" s="56" t="inlineStr">
        <is>
          <t>• Development priorities: Build advanced CRM-strategy capability; Strengthen automation, data-process design and revenue-impact analysis.
• Learning and Development Need: Advanced CRM-strategy and marketing-automation training, with a focus on data-process design and revenue-impact analysis.</t>
        </is>
      </c>
      <c r="FQ144" s="56" t="inlineStr">
        <is>
          <t>• Key challenges: Incomplete and inconsistent source data; Manual processes and missing CRM information.
• Support required: Better tool integration and automation to reduce manual effort and improve data accuracy.</t>
        </is>
      </c>
      <c r="FR144" s="56" t="inlineStr">
        <is>
          <t>Complexity: Evidence reads like A3: Runs CRM data quality: enrichment, validation, auditing, tagging and process improvement on global HubSpot data → moved up 0.5
Autonomy: Evidence reads like A3: Decides data quality and CRM hygiene matters independently → matches the start
Accountability: Evidence reads like A3: Accountable for data quality and CRM accuracy that outreach, reporting and SDR effort depend on → moved down 0.5
Leadership: Evidence reads like A3: Two direct reports in HR data and 'we manage global data'; no leadership tasks described → moved down 0.5
Business Impact: Moved +0.5: the survey / manager mapping marks it business-critical.</t>
        </is>
      </c>
      <c r="FS144" s="56" t="inlineStr">
        <is>
          <t>Common themes in role-holders' answers: business · management · crm · lead
Common themes in role-holders' answers: data · crm · lead routing · hygiene · campaign
Common themes in role-holders' answers: data · lead
Common themes in role-holders' answers: data · accuracy · crm · lead routing · reporting · leads
Common themes in role-holders' answers: hygiene · data · crm · campaign
If the work is missed · role-holders' themes: wasted · data · lead.</t>
        </is>
      </c>
      <c r="FT144" s="56" t="inlineStr">
        <is>
          <t>Self-identified: Strategy &amp; business acumen
For the next role: Strategy &amp; business acumen</t>
        </is>
      </c>
      <c r="FU144" s="56" t="inlineStr">
        <is>
          <t>Per-person summary · CARBON Mapping Master</t>
        </is>
      </c>
    </row>
    <row r="145" ht="90" customHeight="1">
      <c r="A145" s="51" t="inlineStr">
        <is>
          <t>◂ Back</t>
        </is>
      </c>
      <c r="B145" s="29" t="inlineStr">
        <is>
          <t>Mapped</t>
        </is>
      </c>
      <c r="C145" s="28" t="inlineStr">
        <is>
          <t>CARBON</t>
        </is>
      </c>
      <c r="D145" s="29" t="inlineStr">
        <is>
          <t>IRIS2535</t>
        </is>
      </c>
      <c r="E145" s="29" t="inlineStr">
        <is>
          <t>Kaninika Kali</t>
        </is>
      </c>
      <c r="F145" s="29" t="inlineStr">
        <is>
          <t>Marketing</t>
        </is>
      </c>
      <c r="G145" s="29" t="inlineStr">
        <is>
          <t>Associate- MarkOps</t>
        </is>
      </c>
      <c r="H145" s="29" t="inlineStr">
        <is>
          <t>Marketing Operations Associate</t>
        </is>
      </c>
      <c r="I145" s="29" t="inlineStr">
        <is>
          <t>L1 – Intern</t>
        </is>
      </c>
      <c r="J145" s="29" t="inlineStr">
        <is>
          <t>A2</t>
        </is>
      </c>
      <c r="K145" s="29" t="inlineStr">
        <is>
          <t>▲ Up</t>
        </is>
      </c>
      <c r="L145" s="29" t="inlineStr">
        <is>
          <t>Marketing &amp; Communications</t>
        </is>
      </c>
      <c r="M145" s="29" t="inlineStr">
        <is>
          <t>Marketing Operations &amp; Automation</t>
        </is>
      </c>
      <c r="N145" s="29" t="n"/>
      <c r="O145" s="29" t="n">
        <v>20</v>
      </c>
      <c r="P145" s="28" t="inlineStr">
        <is>
          <t>P1–P2</t>
        </is>
      </c>
      <c r="Q145" s="29" t="inlineStr">
        <is>
          <t>Entry / Developing</t>
        </is>
      </c>
      <c r="R145" s="29" t="inlineStr">
        <is>
          <t>2 Assist</t>
        </is>
      </c>
      <c r="S145" s="29" t="inlineStr">
        <is>
          <t>0–2 yrs</t>
        </is>
      </c>
      <c r="T145" s="29" t="inlineStr">
        <is>
          <t>1–3 · 0–3</t>
        </is>
      </c>
      <c r="U145" s="29" t="inlineStr">
        <is>
          <t>Marketing Associate / Marketing Executive</t>
        </is>
      </c>
      <c r="V145" s="29" t="inlineStr">
        <is>
          <t>IRIS Vs Market Benchmark — CIM proficiency scale: 2 Active learner · IRIS Vs Competitor Benchmark — SaaS marketing ladder: Marketing Associate</t>
        </is>
      </c>
      <c r="W145" s="29" t="inlineStr">
        <is>
          <t>CIM Global Professional Marketing Framework — proficiency Aware → Active learner → Able → Accomplished → Authoritative</t>
        </is>
      </c>
      <c r="X145" s="29" t="inlineStr">
        <is>
          <t>Core 2 · Future 2 · Functional 2 · Leadership not scored</t>
        </is>
      </c>
      <c r="Y145" s="52" t="n">
        <v>507</v>
      </c>
      <c r="Z145" s="53" t="inlineStr">
        <is>
          <t>IRIS2535</t>
        </is>
      </c>
      <c r="AA145" s="53" t="inlineStr">
        <is>
          <t>Employee</t>
        </is>
      </c>
      <c r="AB145" s="53" t="inlineStr">
        <is>
          <t>Active</t>
        </is>
      </c>
      <c r="AC145" s="53" t="inlineStr">
        <is>
          <t>Kaninika Kali</t>
        </is>
      </c>
      <c r="AD145" s="54" t="n">
        <v>46178</v>
      </c>
      <c r="AE145" s="53" t="inlineStr">
        <is>
          <t>Associate- MarkOps</t>
        </is>
      </c>
      <c r="AF145" s="53" t="inlineStr">
        <is>
          <t>B.Tech</t>
        </is>
      </c>
      <c r="AG145" s="53" t="inlineStr">
        <is>
          <t>Mounika Kattula</t>
        </is>
      </c>
      <c r="AH145" s="53" t="inlineStr">
        <is>
          <t>N-6</t>
        </is>
      </c>
      <c r="AI145" s="53" t="inlineStr">
        <is>
          <t>Individual Contributor</t>
        </is>
      </c>
      <c r="AJ145" s="53" t="inlineStr">
        <is>
          <t>0 years, 0 months, 00 days</t>
        </is>
      </c>
      <c r="AK145" s="53" t="inlineStr">
        <is>
          <t>0 years, 11 months, 30 days</t>
        </is>
      </c>
      <c r="AL145" s="53" t="inlineStr">
        <is>
          <t>Regtech</t>
        </is>
      </c>
      <c r="AM145" s="53" t="inlineStr">
        <is>
          <t>CARBON</t>
        </is>
      </c>
      <c r="AN145" s="53" t="inlineStr">
        <is>
          <t>Marketing</t>
        </is>
      </c>
      <c r="AO145" s="53" t="inlineStr">
        <is>
          <t>Marketing</t>
        </is>
      </c>
      <c r="AP145" s="53" t="inlineStr">
        <is>
          <t>No</t>
        </is>
      </c>
      <c r="AQ145" s="53" t="inlineStr">
        <is>
          <t>Sales, Marketing &amp; Support</t>
        </is>
      </c>
      <c r="AR145" s="53" t="inlineStr">
        <is>
          <t>Marketing</t>
        </is>
      </c>
      <c r="AS145" s="53" t="inlineStr">
        <is>
          <t>Non-technical</t>
        </is>
      </c>
      <c r="AT145" s="53" t="n">
        <v>20</v>
      </c>
      <c r="AU145" s="53" t="inlineStr">
        <is>
          <t>Covered</t>
        </is>
      </c>
      <c r="AV145" s="53" t="inlineStr">
        <is>
          <t>INTN0271</t>
        </is>
      </c>
      <c r="AW145" s="53" t="inlineStr">
        <is>
          <t>Kaninika Kali</t>
        </is>
      </c>
      <c r="AX145" s="53" t="inlineStr">
        <is>
          <t>Marketing</t>
        </is>
      </c>
      <c r="AY145" s="53" t="inlineStr">
        <is>
          <t>Marketing &amp; Communications</t>
        </is>
      </c>
      <c r="AZ145" s="53" t="inlineStr">
        <is>
          <t>Marketing Operations</t>
        </is>
      </c>
      <c r="BA145" s="53" t="n"/>
      <c r="BB145" s="53" t="n"/>
      <c r="BC145" s="53" t="inlineStr">
        <is>
          <t>Intern</t>
        </is>
      </c>
      <c r="BD145" s="53" t="inlineStr">
        <is>
          <t>Sudipta Kundu</t>
        </is>
      </c>
      <c r="BE145" s="53" t="inlineStr">
        <is>
          <t>Sudipta Kundu</t>
        </is>
      </c>
      <c r="BF145" s="53" t="inlineStr">
        <is>
          <t>No</t>
        </is>
      </c>
      <c r="BG145" s="53" t="inlineStr">
        <is>
          <t>Intern</t>
        </is>
      </c>
      <c r="BH145" s="53" t="inlineStr">
        <is>
          <t>Associate - Marketing Operations</t>
        </is>
      </c>
      <c r="BI145" s="53" t="inlineStr">
        <is>
          <t>Yes</t>
        </is>
      </c>
      <c r="BJ145" s="53" t="inlineStr">
        <is>
          <t>—</t>
        </is>
      </c>
      <c r="BK145" s="53" t="inlineStr">
        <is>
          <t>—</t>
        </is>
      </c>
      <c r="BL145" s="53" t="inlineStr">
        <is>
          <t>—</t>
        </is>
      </c>
      <c r="BM145" s="53" t="inlineStr">
        <is>
          <t>Not a manager</t>
        </is>
      </c>
      <c r="BN145" s="53" t="inlineStr">
        <is>
          <t>—</t>
        </is>
      </c>
      <c r="BO145" s="53" t="inlineStr">
        <is>
          <t>—</t>
        </is>
      </c>
      <c r="BP145" s="53" t="inlineStr">
        <is>
          <t>—</t>
        </is>
      </c>
      <c r="BQ145" s="53" t="inlineStr">
        <is>
          <t>Not a manager</t>
        </is>
      </c>
      <c r="BR145" s="53" t="inlineStr">
        <is>
          <t>—</t>
        </is>
      </c>
      <c r="BS145" s="53" t="inlineStr">
        <is>
          <t>L1 – Intern</t>
        </is>
      </c>
      <c r="BT145" s="53" t="inlineStr">
        <is>
          <t>L1 – Intern</t>
        </is>
      </c>
      <c r="BU145" s="53" t="inlineStr">
        <is>
          <t>No exact Title Hierarchy match — retained current record value</t>
        </is>
      </c>
      <c r="BV145" s="53" t="inlineStr">
        <is>
          <t>1. Act as primary SPOC for ABM team and ensure 100% readiness of enterprise accounts
2. Validate and maintain 30,000 enterprise company records annually with complete firmographics
3. Enrich and validate 100,000 contacts annually · decision-makers across enterprise accounts
4. Ensure 100% coverage of key fields · email, LinkedIn, revenue for ABM accounts
5. Maintain enterprise database with &lt;8–10% decay rate via proactive updates</t>
        </is>
      </c>
      <c r="BW145" s="53" t="n"/>
      <c r="BX145" s="53" t="inlineStr">
        <is>
          <t>India and global enterprise accounts</t>
        </is>
      </c>
      <c r="BY145" s="53" t="n"/>
      <c r="BZ145" s="53" t="inlineStr">
        <is>
          <t>INTN0271</t>
        </is>
      </c>
      <c r="CA145" s="53" t="inlineStr">
        <is>
          <t>Intern</t>
        </is>
      </c>
      <c r="CB145" s="53" t="inlineStr">
        <is>
          <t>Active</t>
        </is>
      </c>
      <c r="CC145" s="53" t="inlineStr">
        <is>
          <t>Kaninika Kali</t>
        </is>
      </c>
      <c r="CD145" s="54" t="n">
        <v>45817</v>
      </c>
      <c r="CE145" s="53" t="inlineStr">
        <is>
          <t>Intern</t>
        </is>
      </c>
      <c r="CF145" s="53" t="inlineStr">
        <is>
          <t>Converted to FTE: reports to Sudipta, database creation team - they use Lusha to generate the list of customers for the SDR team &amp; upload the same on hubspot:</t>
        </is>
      </c>
      <c r="CG145" s="53" t="inlineStr">
        <is>
          <t>Marketing &amp; Communications</t>
        </is>
      </c>
      <c r="CH145" s="53" t="inlineStr">
        <is>
          <t>Marketing Operations</t>
        </is>
      </c>
      <c r="CI145" s="53" t="inlineStr">
        <is>
          <t>Intern</t>
        </is>
      </c>
      <c r="CJ145" s="53" t="inlineStr">
        <is>
          <t>L1 – Intern</t>
        </is>
      </c>
      <c r="CK145" s="53" t="inlineStr">
        <is>
          <t>Sudipta Kundu</t>
        </is>
      </c>
      <c r="CL145" s="53" t="inlineStr">
        <is>
          <t>N-5</t>
        </is>
      </c>
      <c r="CM145" s="53" t="inlineStr">
        <is>
          <t>Individual Contributor</t>
        </is>
      </c>
      <c r="CN145" s="53" t="inlineStr">
        <is>
          <t>Regtech</t>
        </is>
      </c>
      <c r="CO145" s="53" t="inlineStr">
        <is>
          <t>Marketing</t>
        </is>
      </c>
      <c r="CP145" s="53" t="inlineStr">
        <is>
          <t>1 years, 0 months, 11 days</t>
        </is>
      </c>
      <c r="CQ145" s="53" t="inlineStr">
        <is>
          <t>Associate - Marketing Operations</t>
        </is>
      </c>
      <c r="CR145" s="53" t="inlineStr">
        <is>
          <t>No</t>
        </is>
      </c>
      <c r="CS145" s="53" t="n">
        <v>3</v>
      </c>
      <c r="CT145" s="53" t="inlineStr">
        <is>
          <t>Low</t>
        </is>
      </c>
      <c r="CU145" s="53" t="inlineStr">
        <is>
          <t>Core Contributor</t>
        </is>
      </c>
      <c r="CV145" s="53" t="n"/>
      <c r="CW145" s="53" t="inlineStr">
        <is>
          <t>No</t>
        </is>
      </c>
      <c r="CX145" s="53" t="inlineStr">
        <is>
          <t>No</t>
        </is>
      </c>
      <c r="CY145" s="53" t="n"/>
      <c r="CZ145" s="53" t="inlineStr">
        <is>
          <t>Yes</t>
        </is>
      </c>
      <c r="DA145" s="53" t="n"/>
      <c r="DB145" s="53" t="inlineStr">
        <is>
          <t>Title to be standardized to: Associate - Marketing Operations</t>
        </is>
      </c>
      <c r="DC145" s="53" t="n"/>
      <c r="DD145" s="53" t="n"/>
      <c r="DE145" s="53" t="n"/>
      <c r="DF145" s="53" t="n"/>
      <c r="DG145" s="53" t="n"/>
      <c r="DH145" s="53" t="n"/>
      <c r="DI145" s="53" t="n"/>
      <c r="DJ145" s="53" t="n"/>
      <c r="DK145" s="53" t="n"/>
      <c r="DL145" s="53" t="n"/>
      <c r="DM145" s="53" t="n"/>
      <c r="DN145" s="53" t="n"/>
      <c r="DO145" s="53" t="n"/>
      <c r="DP145" s="53" t="n"/>
      <c r="DQ145" s="53" t="n"/>
      <c r="DR145" s="53" t="n"/>
      <c r="DS145" s="53" t="n"/>
      <c r="DT145" s="53" t="n"/>
      <c r="DU145" s="53" t="n"/>
      <c r="DV145" s="53" t="n"/>
      <c r="DW145" s="53" t="n"/>
      <c r="DX145" s="53" t="n"/>
      <c r="DY145" s="53" t="n"/>
      <c r="DZ145" s="53" t="n"/>
      <c r="EA145" s="53" t="n"/>
      <c r="EB145" s="53" t="n"/>
      <c r="EC145" s="53" t="n"/>
      <c r="ED145" s="53" t="n"/>
      <c r="EE145" s="53" t="n"/>
      <c r="EF145" s="53" t="n"/>
      <c r="EG145" s="53" t="n"/>
      <c r="EH145" s="53" t="n"/>
      <c r="EI145" s="53" t="n"/>
      <c r="EJ145" s="53" t="n"/>
      <c r="EK145" s="53" t="n"/>
      <c r="EL145" s="53" t="n"/>
      <c r="EM145" s="53" t="n"/>
      <c r="EN145" s="53" t="n"/>
      <c r="EO145" s="53" t="n"/>
      <c r="EP145" s="53" t="n"/>
      <c r="EQ145" s="53" t="n"/>
      <c r="ER145" s="53" t="n"/>
      <c r="ES145" s="53" t="n"/>
      <c r="ET145" s="53" t="n"/>
      <c r="EU145" s="53" t="n"/>
      <c r="EV145" s="53" t="n"/>
      <c r="EW145" s="52" t="n"/>
      <c r="EX145" s="53" t="inlineStr">
        <is>
          <t>• This role conducts database research, data enrichment and data-quality maintenance.</t>
        </is>
      </c>
      <c r="EY145" s="53" t="inlineStr">
        <is>
          <t>• Reported deliverables and outcomes include: Accurate Data.
• Key responsibilities include SDR contact assigning; Company enrichment; Providing Data; Contact enrichment; Hubspot Hygiene maintain.
• The role is accountable for correct contact and company ownership, ensuring records are assigned to the right SDR, and for accurately tagging and maintaining the required HubSpot properties.
• The role independently makes decisions on Segments contacts; Company information.</t>
        </is>
      </c>
      <c r="EZ145" s="53" t="inlineStr">
        <is>
          <t>• Current capabilities: Advanced Excel, HubSpot, AI and enrichment tools; Structured data management and enterprise-account research.</t>
        </is>
      </c>
      <c r="FA145" s="53" t="inlineStr">
        <is>
          <t>• Development priorities: Develop creative problem-solving, marketing analytics, reporting and dashboard skills.
• Learning and Development Need: Marketing-analytics and dashboard/reporting-tools training · e.g., Power BI, alongside structured creative problem-solving practice.
• AI Enablement Need: AI prompt engineering and using AI to increase efficiency, given her reported use of AI and enrichment tools.</t>
        </is>
      </c>
      <c r="FB145" s="53" t="inlineStr">
        <is>
          <t>• Key challenges: Missing CRM properties and incomplete contact information; Data errors can create incorrect SDR assignment and duplicate outreach.
• Support required: Greater automation and more reliable enrichment data, including improved contact-validation tools.</t>
        </is>
      </c>
      <c r="FC145" s="53" t="n"/>
      <c r="FD145" s="53" t="inlineStr">
        <is>
          <t>INTN0271</t>
        </is>
      </c>
      <c r="FE145" s="57" t="inlineStr">
        <is>
          <t>1. Act as primary SPOC for ABM team and ensure 100% readiness of enterprise accounts
2. Validate and maintain 30,000 enterprise company records annually with complete firmographics
3. Enrich and validate 100,000 contacts annually · decision-makers across enterprise accounts
4. Ensure 100% coverage of key fields · email, LinkedIn, revenue for ABM accounts
5. Maintain enterprise database with &lt;8–10% decay rate via proactive updates</t>
        </is>
      </c>
      <c r="FF145" s="56" t="n"/>
      <c r="FG145" s="56" t="n"/>
      <c r="FH145" s="56" t="n"/>
      <c r="FI145" s="56" t="inlineStr">
        <is>
          <t>Converted to FTE: reports to Sudipta, database creation team - they use Lusha to generate the list of customers for the SDR team &amp; upload the same on hubspot:</t>
        </is>
      </c>
      <c r="FJ145" s="56" t="inlineStr">
        <is>
          <t>Received · manager annual</t>
        </is>
      </c>
      <c r="FK145" s="56" t="inlineStr">
        <is>
          <t>CARBON Mapping Master · CARBON Talent Mapping · Raw</t>
        </is>
      </c>
      <c r="FL145" s="56" t="n">
        <v>20</v>
      </c>
      <c r="FM145" s="56" t="inlineStr">
        <is>
          <t>• This role conducts database research, data enrichment and data-quality maintenance.</t>
        </is>
      </c>
      <c r="FN145" s="56" t="inlineStr">
        <is>
          <t>• Reported deliverables and outcomes include: Accurate Data.
• Key responsibilities include SDR contact assigning; Company enrichment; Providing Data; Contact enrichment; Hubspot Hygiene maintain.
• The role is accountable for correct contact and company ownership, ensuring records are assigned to the right SDR, and for accurately tagging and maintaining the required HubSpot properties.
• The role independently makes decisions on Segments contacts; Company information.</t>
        </is>
      </c>
      <c r="FO145" s="56" t="inlineStr">
        <is>
          <t>• Current capabilities: Advanced Excel, HubSpot, AI and enrichment tools; Structured data management and enterprise-account research.</t>
        </is>
      </c>
      <c r="FP145" s="56" t="inlineStr">
        <is>
          <t>• Development priorities: Develop creative problem-solving, marketing analytics, reporting and dashboard skills.
• Learning and Development Need: Marketing-analytics and dashboard/reporting-tools training · e.g., Power BI, alongside structured creative problem-solving practice.
• AI Enablement Need: AI prompt engineering and using AI to increase efficiency, given her reported use of AI and enrichment tools.</t>
        </is>
      </c>
      <c r="FQ145" s="56" t="inlineStr">
        <is>
          <t>• Key challenges: Missing CRM properties and incomplete contact information; Data errors can create incorrect SDR assignment and duplicate outreach.
• Support required: Greater automation and more reliable enrichment data, including improved contact-validation tools.</t>
        </is>
      </c>
      <c r="FR145" s="56" t="inlineStr">
        <is>
          <t>Complexity: Evidence reads like A2: Database research, contact and company enrichment, SDR contact assignment, HubSpot property tagging → matches the start
Autonomy: Evidence reads like A2: Decides contact segments and company information within set HubSpot processes → matches the start
Accountability: Evidence reads like A2: Correct contact/company ownership and HubSpot property tagging on own records → matches the start
Leadership: Evidence reads like A1: No guiding or leading of others described → matches the start
Business Impact: No survey or manager-mapping signal on criticality: kept at the start point.</t>
        </is>
      </c>
      <c r="FS145" s="56" t="inlineStr">
        <is>
          <t>Common themes in role-holders' answers: maintaining · data · sdr · involves · lusha · upload
Common themes in role-holders' answers: hygiene · enrichment · data · hubspot
Common themes in role-holders' answers: data
Common themes in role-holders' answers: hubspot</t>
        </is>
      </c>
      <c r="FT145" s="56" t="inlineStr">
        <is>
          <t>Self-identified: Data, SQL &amp; analytics · Marketing &amp; content
For the next role: Data, SQL &amp; analytics · Marketing &amp; content</t>
        </is>
      </c>
      <c r="FU145" s="56" t="inlineStr">
        <is>
          <t>Per-person summary · CARBON Mapping Master</t>
        </is>
      </c>
    </row>
    <row r="146" ht="90" customHeight="1">
      <c r="A146" s="51" t="inlineStr">
        <is>
          <t>◂ Back</t>
        </is>
      </c>
      <c r="B146" s="29" t="inlineStr">
        <is>
          <t>Mapped</t>
        </is>
      </c>
      <c r="C146" s="28" t="inlineStr">
        <is>
          <t>CARBON</t>
        </is>
      </c>
      <c r="D146" s="29" t="inlineStr">
        <is>
          <t>IRIS2534</t>
        </is>
      </c>
      <c r="E146" s="29" t="inlineStr">
        <is>
          <t>Vishal</t>
        </is>
      </c>
      <c r="F146" s="29" t="inlineStr">
        <is>
          <t>Marketing</t>
        </is>
      </c>
      <c r="G146" s="29" t="inlineStr">
        <is>
          <t>Associate- MarkOps</t>
        </is>
      </c>
      <c r="H146" s="29" t="inlineStr">
        <is>
          <t>Marketing Operations Associate</t>
        </is>
      </c>
      <c r="I146" s="29" t="inlineStr">
        <is>
          <t>L1 – Intern</t>
        </is>
      </c>
      <c r="J146" s="29" t="inlineStr">
        <is>
          <t>A2</t>
        </is>
      </c>
      <c r="K146" s="29" t="inlineStr">
        <is>
          <t>▲ Up</t>
        </is>
      </c>
      <c r="L146" s="29" t="inlineStr">
        <is>
          <t>Marketing &amp; Communications</t>
        </is>
      </c>
      <c r="M146" s="29" t="inlineStr">
        <is>
          <t>Marketing Operations &amp; Automation</t>
        </is>
      </c>
      <c r="N146" s="29" t="n"/>
      <c r="O146" s="29" t="n">
        <v>20</v>
      </c>
      <c r="P146" s="28" t="inlineStr">
        <is>
          <t>P1–P2</t>
        </is>
      </c>
      <c r="Q146" s="29" t="inlineStr">
        <is>
          <t>Entry / Developing</t>
        </is>
      </c>
      <c r="R146" s="29" t="inlineStr">
        <is>
          <t>2 Assist</t>
        </is>
      </c>
      <c r="S146" s="29" t="inlineStr">
        <is>
          <t>0–2 yrs</t>
        </is>
      </c>
      <c r="T146" s="29" t="inlineStr">
        <is>
          <t>1–3 · 0–3</t>
        </is>
      </c>
      <c r="U146" s="29" t="inlineStr">
        <is>
          <t>Marketing Associate / Marketing Executive</t>
        </is>
      </c>
      <c r="V146" s="29" t="inlineStr">
        <is>
          <t>IRIS Vs Market Benchmark — CIM proficiency scale: 2 Active learner · IRIS Vs Competitor Benchmark — SaaS marketing ladder: Marketing Associate</t>
        </is>
      </c>
      <c r="W146" s="29" t="inlineStr">
        <is>
          <t>CIM Global Professional Marketing Framework — proficiency Aware → Active learner → Able → Accomplished → Authoritative</t>
        </is>
      </c>
      <c r="X146" s="29" t="inlineStr">
        <is>
          <t>Core 2 · Future 2 · Functional 2 · Leadership not scored</t>
        </is>
      </c>
      <c r="Y146" s="52" t="n">
        <v>506</v>
      </c>
      <c r="Z146" s="53" t="inlineStr">
        <is>
          <t>IRIS2534</t>
        </is>
      </c>
      <c r="AA146" s="53" t="inlineStr">
        <is>
          <t>Employee</t>
        </is>
      </c>
      <c r="AB146" s="53" t="inlineStr">
        <is>
          <t>Active</t>
        </is>
      </c>
      <c r="AC146" s="53" t="inlineStr">
        <is>
          <t>Vishal</t>
        </is>
      </c>
      <c r="AD146" s="54" t="n">
        <v>46178</v>
      </c>
      <c r="AE146" s="53" t="inlineStr">
        <is>
          <t>Associate- MarkOps</t>
        </is>
      </c>
      <c r="AF146" s="53" t="inlineStr">
        <is>
          <t>B.E</t>
        </is>
      </c>
      <c r="AG146" s="53" t="inlineStr">
        <is>
          <t>Mounika Kattula</t>
        </is>
      </c>
      <c r="AH146" s="53" t="inlineStr">
        <is>
          <t>N-6</t>
        </is>
      </c>
      <c r="AI146" s="53" t="inlineStr">
        <is>
          <t>Individual Contributor</t>
        </is>
      </c>
      <c r="AJ146" s="53" t="inlineStr">
        <is>
          <t>0 years, 0 months, 00 days</t>
        </is>
      </c>
      <c r="AK146" s="53" t="inlineStr">
        <is>
          <t>1 years, 0 months, 3 days</t>
        </is>
      </c>
      <c r="AL146" s="53" t="inlineStr">
        <is>
          <t>Regtech</t>
        </is>
      </c>
      <c r="AM146" s="53" t="inlineStr">
        <is>
          <t>CARBON</t>
        </is>
      </c>
      <c r="AN146" s="53" t="inlineStr">
        <is>
          <t>Marketing</t>
        </is>
      </c>
      <c r="AO146" s="53" t="inlineStr">
        <is>
          <t>Marketing</t>
        </is>
      </c>
      <c r="AP146" s="53" t="inlineStr">
        <is>
          <t>No</t>
        </is>
      </c>
      <c r="AQ146" s="53" t="inlineStr">
        <is>
          <t>Sales, Marketing &amp; Support</t>
        </is>
      </c>
      <c r="AR146" s="53" t="inlineStr">
        <is>
          <t>Marketing</t>
        </is>
      </c>
      <c r="AS146" s="53" t="inlineStr">
        <is>
          <t>Non-technical</t>
        </is>
      </c>
      <c r="AT146" s="53" t="n">
        <v>20</v>
      </c>
      <c r="AU146" s="53" t="inlineStr">
        <is>
          <t>Covered</t>
        </is>
      </c>
      <c r="AV146" s="53" t="inlineStr">
        <is>
          <t>INTN0266</t>
        </is>
      </c>
      <c r="AW146" s="53" t="inlineStr">
        <is>
          <t>Vishal</t>
        </is>
      </c>
      <c r="AX146" s="53" t="inlineStr">
        <is>
          <t>Marketing</t>
        </is>
      </c>
      <c r="AY146" s="53" t="inlineStr">
        <is>
          <t>Marketing &amp; Communications</t>
        </is>
      </c>
      <c r="AZ146" s="53" t="inlineStr">
        <is>
          <t>Marketing Operations</t>
        </is>
      </c>
      <c r="BA146" s="53" t="n"/>
      <c r="BB146" s="53" t="n"/>
      <c r="BC146" s="53" t="inlineStr">
        <is>
          <t>Intern</t>
        </is>
      </c>
      <c r="BD146" s="53" t="inlineStr">
        <is>
          <t>Sudipta Kundu</t>
        </is>
      </c>
      <c r="BE146" s="53" t="inlineStr">
        <is>
          <t>Sudipta Kundu</t>
        </is>
      </c>
      <c r="BF146" s="53" t="inlineStr">
        <is>
          <t>No</t>
        </is>
      </c>
      <c r="BG146" s="53" t="inlineStr">
        <is>
          <t>Intern</t>
        </is>
      </c>
      <c r="BH146" s="53" t="inlineStr">
        <is>
          <t>Associate MarkOps</t>
        </is>
      </c>
      <c r="BI146" s="53" t="inlineStr">
        <is>
          <t>Yes</t>
        </is>
      </c>
      <c r="BJ146" s="53" t="inlineStr">
        <is>
          <t>—</t>
        </is>
      </c>
      <c r="BK146" s="53" t="inlineStr">
        <is>
          <t>—</t>
        </is>
      </c>
      <c r="BL146" s="53" t="inlineStr">
        <is>
          <t>—</t>
        </is>
      </c>
      <c r="BM146" s="53" t="inlineStr">
        <is>
          <t>Not a manager</t>
        </is>
      </c>
      <c r="BN146" s="53" t="inlineStr">
        <is>
          <t>—</t>
        </is>
      </c>
      <c r="BO146" s="53" t="inlineStr">
        <is>
          <t>—</t>
        </is>
      </c>
      <c r="BP146" s="53" t="inlineStr">
        <is>
          <t>—</t>
        </is>
      </c>
      <c r="BQ146" s="53" t="inlineStr">
        <is>
          <t>Not a manager</t>
        </is>
      </c>
      <c r="BR146" s="53" t="inlineStr">
        <is>
          <t>—</t>
        </is>
      </c>
      <c r="BS146" s="53" t="inlineStr">
        <is>
          <t>L1 – Intern</t>
        </is>
      </c>
      <c r="BT146" s="53" t="inlineStr">
        <is>
          <t>L1 – Intern</t>
        </is>
      </c>
      <c r="BU146" s="53" t="inlineStr">
        <is>
          <t>No exact Title Hierarchy match — retained current record value</t>
        </is>
      </c>
      <c r="BV146" s="53" t="inlineStr">
        <is>
          <t>1. Act as primary SPOC for SDR team and resolve 100% of data requests within defined SLA
2. Clean and validate 30,000 company records annually · duplicates, outdated data, incorrect fields
3. Validate and maintain 150,000 contact emails annually with high accuracy
4. Enrich and update 45,000 company records annually aligned with SDR targeting
5. Maintain assigned database with &lt;10% decay rate through continuous updates and validation</t>
        </is>
      </c>
      <c r="BW146" s="53" t="n"/>
      <c r="BX146" s="53" t="inlineStr">
        <is>
          <t>Worldwide</t>
        </is>
      </c>
      <c r="BY146" s="53" t="inlineStr">
        <is>
          <t>Saahit Togaru</t>
        </is>
      </c>
      <c r="BZ146" s="53" t="inlineStr">
        <is>
          <t>INTN0266</t>
        </is>
      </c>
      <c r="CA146" s="53" t="inlineStr">
        <is>
          <t>Intern</t>
        </is>
      </c>
      <c r="CB146" s="53" t="inlineStr">
        <is>
          <t>Active</t>
        </is>
      </c>
      <c r="CC146" s="53" t="inlineStr">
        <is>
          <t>Vishal</t>
        </is>
      </c>
      <c r="CD146" s="54" t="n">
        <v>45813</v>
      </c>
      <c r="CE146" s="53" t="inlineStr">
        <is>
          <t>Intern</t>
        </is>
      </c>
      <c r="CF146" s="53" t="inlineStr">
        <is>
          <t>Converted to Full time - reports to Sudipta, database creation team - they use Lusha to generate the list of customers for the SDR team &amp; upload the same on hubspot:</t>
        </is>
      </c>
      <c r="CG146" s="53" t="inlineStr">
        <is>
          <t>Marketing &amp; Communications</t>
        </is>
      </c>
      <c r="CH146" s="53" t="inlineStr">
        <is>
          <t>Marketing Operations</t>
        </is>
      </c>
      <c r="CI146" s="53" t="inlineStr">
        <is>
          <t>Intern</t>
        </is>
      </c>
      <c r="CJ146" s="53" t="inlineStr">
        <is>
          <t>L1 – Intern</t>
        </is>
      </c>
      <c r="CK146" s="53" t="inlineStr">
        <is>
          <t>Sudipta Kundu</t>
        </is>
      </c>
      <c r="CL146" s="53" t="inlineStr">
        <is>
          <t>N-5</t>
        </is>
      </c>
      <c r="CM146" s="53" t="inlineStr">
        <is>
          <t>Individual Contributor</t>
        </is>
      </c>
      <c r="CN146" s="53" t="inlineStr">
        <is>
          <t>Regtech</t>
        </is>
      </c>
      <c r="CO146" s="53" t="inlineStr">
        <is>
          <t>Marketing</t>
        </is>
      </c>
      <c r="CP146" s="53" t="inlineStr">
        <is>
          <t>1 years, 0 months, 15 days</t>
        </is>
      </c>
      <c r="CQ146" s="53" t="inlineStr">
        <is>
          <t>Associate MarkOps</t>
        </is>
      </c>
      <c r="CR146" s="53" t="inlineStr">
        <is>
          <t>No</t>
        </is>
      </c>
      <c r="CS146" s="53" t="n">
        <v>4</v>
      </c>
      <c r="CT146" s="53" t="inlineStr">
        <is>
          <t>Medium</t>
        </is>
      </c>
      <c r="CU146" s="53" t="inlineStr">
        <is>
          <t>Core Contributor</t>
        </is>
      </c>
      <c r="CV146" s="53" t="n"/>
      <c r="CW146" s="53" t="inlineStr">
        <is>
          <t>No</t>
        </is>
      </c>
      <c r="CX146" s="53" t="inlineStr">
        <is>
          <t>No</t>
        </is>
      </c>
      <c r="CY146" s="53" t="n"/>
      <c r="CZ146" s="53" t="inlineStr">
        <is>
          <t>Would benefit from deeper understanding of domain + perspective of database &amp; marketing</t>
        </is>
      </c>
      <c r="DA146" s="53" t="n"/>
      <c r="DB146" s="53" t="inlineStr">
        <is>
          <t>Reporting to Mounika - for now, reporting structure change can wait, soft skill training for Mounika on people management</t>
        </is>
      </c>
      <c r="DC146" s="53" t="n"/>
      <c r="DD146" s="53" t="n"/>
      <c r="DE146" s="53" t="n"/>
      <c r="DF146" s="53" t="n"/>
      <c r="DG146" s="53" t="n"/>
      <c r="DH146" s="53" t="n"/>
      <c r="DI146" s="53" t="n"/>
      <c r="DJ146" s="53" t="n"/>
      <c r="DK146" s="53" t="n"/>
      <c r="DL146" s="53" t="n"/>
      <c r="DM146" s="53" t="n"/>
      <c r="DN146" s="53" t="n"/>
      <c r="DO146" s="53" t="n"/>
      <c r="DP146" s="53" t="n"/>
      <c r="DQ146" s="53" t="n"/>
      <c r="DR146" s="53" t="n"/>
      <c r="DS146" s="53" t="n"/>
      <c r="DT146" s="53" t="n"/>
      <c r="DU146" s="53" t="n"/>
      <c r="DV146" s="53" t="n"/>
      <c r="DW146" s="53" t="n"/>
      <c r="DX146" s="53" t="n"/>
      <c r="DY146" s="53" t="n"/>
      <c r="DZ146" s="53" t="n"/>
      <c r="EA146" s="53" t="n"/>
      <c r="EB146" s="53" t="n"/>
      <c r="EC146" s="53" t="n"/>
      <c r="ED146" s="53" t="n"/>
      <c r="EE146" s="53" t="n"/>
      <c r="EF146" s="53" t="n"/>
      <c r="EG146" s="53" t="n"/>
      <c r="EH146" s="53" t="n"/>
      <c r="EI146" s="53" t="n"/>
      <c r="EJ146" s="53" t="n"/>
      <c r="EK146" s="53" t="n"/>
      <c r="EL146" s="53" t="n"/>
      <c r="EM146" s="53" t="n"/>
      <c r="EN146" s="53" t="n"/>
      <c r="EO146" s="53" t="n"/>
      <c r="EP146" s="53" t="n"/>
      <c r="EQ146" s="53" t="n"/>
      <c r="ER146" s="53" t="n"/>
      <c r="ES146" s="53" t="n"/>
      <c r="ET146" s="53" t="n"/>
      <c r="EU146" s="53" t="n"/>
      <c r="EV146" s="53" t="n"/>
      <c r="EW146" s="52" t="n"/>
      <c r="EX146" s="53" t="inlineStr">
        <is>
          <t>• This role manages and improves data, maintains HubSpot and supports SDR requests.</t>
        </is>
      </c>
      <c r="EY146" s="53" t="inlineStr">
        <is>
          <t>• Reported deliverables and outcomes include: Quality data ICP research.
• Key responsibilities include Data enrichment; HubSpot hygiene; Weekly reports.
• The role is accountable for Data accuracy and quality because it's very important to maintain the Hubspot hygiene otherwise it creates duplicate values and outdated data which will effect on our work and others team as well.
• The role independently makes decisions on ICP research.</t>
        </is>
      </c>
      <c r="EZ146" s="53" t="inlineStr">
        <is>
          <t>• Current capabilities: HubSpot, LinkedIn Sales Navigator and AI-enabled enrichment tools; Data-quality management, research and task prioritisation.</t>
        </is>
      </c>
      <c r="FA146" s="53" t="inlineStr">
        <is>
          <t>• Development priorities: Deepen marketing-operations and CRM expertise; Build cross-functional insight and the ability to translate data into recommendations.
• Learning and Development Need: Marketing-operations and CRM certification, with training on translating data-enrichment findings into cross-functional recommendations.
• AI Enablement Need: AI prompt engineering and using AI to increase efficiency, given his use of AI-enabled enrichment tools and his own request for more AI-driven automation.</t>
        </is>
      </c>
      <c r="FB146" s="53" t="inlineStr">
        <is>
          <t>• Key challenges: Inconsistent contact information and inaccurate enrichment data; Manual work can reduce targeting quality and waste SDR effort.
• Support required: More AI-driven automation for manual data work; Continued HubSpot learning and team-lead guidance.</t>
        </is>
      </c>
      <c r="FC146" s="53" t="n"/>
      <c r="FD146" s="53" t="inlineStr">
        <is>
          <t>INTN0266</t>
        </is>
      </c>
      <c r="FE146" s="57" t="inlineStr">
        <is>
          <t>1. Act as primary SPOC for SDR team and resolve 100% of data requests within defined SLA
2. Clean and validate 30,000 company records annually · duplicates, outdated data, incorrect fields
3. Validate and maintain 150,000 contact emails annually with high accuracy
4. Enrich and update 45,000 company records annually aligned with SDR targeting
5. Maintain assigned database with &lt;10% decay rate through continuous updates and validation</t>
        </is>
      </c>
      <c r="FF146" s="56" t="n"/>
      <c r="FG146" s="56" t="n"/>
      <c r="FH146" s="56" t="n"/>
      <c r="FI146" s="56" t="inlineStr">
        <is>
          <t>Converted to Full time - reports to Sudipta, database creation team - they use Lusha to generate the list of customers for the SDR team &amp; upload the same on hubspot:</t>
        </is>
      </c>
      <c r="FJ146" s="56" t="inlineStr">
        <is>
          <t>Received · manager annual</t>
        </is>
      </c>
      <c r="FK146" s="56" t="inlineStr">
        <is>
          <t>CARBON Mapping Master · CARBON Talent Mapping · Raw</t>
        </is>
      </c>
      <c r="FL146" s="56" t="n">
        <v>20</v>
      </c>
      <c r="FM146" s="56" t="inlineStr">
        <is>
          <t>• This role manages and improves data, maintains HubSpot and supports SDR requests.</t>
        </is>
      </c>
      <c r="FN146" s="56" t="inlineStr">
        <is>
          <t>• Reported deliverables and outcomes include: Quality data ICP research.
• Key responsibilities include Data enrichment; HubSpot hygiene; Weekly reports.
• The role is accountable for Data accuracy and quality because it's very important to maintain the Hubspot hygiene otherwise it creates duplicate values and outdated data which will effect on our work and others team as well.
• The role independently makes decisions on ICP research.</t>
        </is>
      </c>
      <c r="FO146" s="56" t="inlineStr">
        <is>
          <t>• Current capabilities: HubSpot, LinkedIn Sales Navigator and AI-enabled enrichment tools; Data-quality management, research and task prioritisation.</t>
        </is>
      </c>
      <c r="FP146" s="56" t="inlineStr">
        <is>
          <t>• Development priorities: Deepen marketing-operations and CRM expertise; Build cross-functional insight and the ability to translate data into recommendations.
• Learning and Development Need: Marketing-operations and CRM certification, with training on translating data-enrichment findings into cross-functional recommendations.
• AI Enablement Need: AI prompt engineering and using AI to increase efficiency, given his use of AI-enabled enrichment tools and his own request for more AI-driven automation.</t>
        </is>
      </c>
      <c r="FQ146" s="56" t="inlineStr">
        <is>
          <t>• Key challenges: Inconsistent contact information and inaccurate enrichment data; Manual work can reduce targeting quality and waste SDR effort.
• Support required: More AI-driven automation for manual data work; Continued HubSpot learning and team-lead guidance.</t>
        </is>
      </c>
      <c r="FR146" s="56" t="inlineStr">
        <is>
          <t>Complexity: Evidence reads like A2: own survey / KRA answers · summarised by the rater; not quoted → matches the start
Autonomy: Evidence reads like A2: Decides ICP research independently; prioritises tasks by business requirement → matches the start
Accountability: Evidence reads like A2: Data accuracy and quality in HubSpot; avoiding duplicates and outdated records → matches the start
Leadership: Evidence reads like A1: No guiding or leading of others described → matches the start
Business Impact: No survey or manager-mapping signal on criticality: kept at the start point.</t>
        </is>
      </c>
      <c r="FS146" s="56" t="inlineStr">
        <is>
          <t>Common themes in role-holders' answers: maintaining · data · sdr · involves · lusha · upload
Common themes in role-holders' answers: hygiene · enrichment · data · hubspot
Common themes in role-holders' answers: data
Common themes in role-holders' answers: hubspot</t>
        </is>
      </c>
      <c r="FT146" s="56" t="inlineStr">
        <is>
          <t>Self-identified: Marketing &amp; content
For the next role: Product &amp; tool knowledge · Marketing &amp; content</t>
        </is>
      </c>
      <c r="FU146" s="56" t="inlineStr">
        <is>
          <t>Per-person summary · CARBON Mapping Master</t>
        </is>
      </c>
    </row>
    <row r="147" ht="90" customHeight="1">
      <c r="A147" s="51" t="inlineStr">
        <is>
          <t>◂ Back</t>
        </is>
      </c>
      <c r="B147" s="29" t="inlineStr">
        <is>
          <t>Mapped</t>
        </is>
      </c>
      <c r="C147" s="28" t="inlineStr">
        <is>
          <t>CARBON</t>
        </is>
      </c>
      <c r="D147" s="29" t="inlineStr">
        <is>
          <t>IRIS2514</t>
        </is>
      </c>
      <c r="E147" s="29" t="inlineStr">
        <is>
          <t>Jatin Khare</t>
        </is>
      </c>
      <c r="F147" s="29" t="inlineStr">
        <is>
          <t>Marketing</t>
        </is>
      </c>
      <c r="G147" s="29" t="inlineStr">
        <is>
          <t>Marketing Associate</t>
        </is>
      </c>
      <c r="H147" s="29" t="inlineStr">
        <is>
          <t>Content Marketing Associate</t>
        </is>
      </c>
      <c r="I147" s="29" t="inlineStr">
        <is>
          <t>L3 – Professional / Associate</t>
        </is>
      </c>
      <c r="J147" s="29" t="inlineStr">
        <is>
          <t>A2</t>
        </is>
      </c>
      <c r="K147" s="29" t="inlineStr">
        <is>
          <t>• Same level</t>
        </is>
      </c>
      <c r="L147" s="29" t="inlineStr">
        <is>
          <t>Marketing &amp; Communications</t>
        </is>
      </c>
      <c r="M147" s="29" t="inlineStr">
        <is>
          <t>Content Marketing</t>
        </is>
      </c>
      <c r="N147" s="29" t="n"/>
      <c r="O147" s="29" t="n">
        <v>19</v>
      </c>
      <c r="P147" s="28" t="inlineStr">
        <is>
          <t>P1–P2</t>
        </is>
      </c>
      <c r="Q147" s="29" t="inlineStr">
        <is>
          <t>Entry / Developing</t>
        </is>
      </c>
      <c r="R147" s="29" t="inlineStr">
        <is>
          <t>2 Assist</t>
        </is>
      </c>
      <c r="S147" s="29" t="inlineStr">
        <is>
          <t>0–2 yrs</t>
        </is>
      </c>
      <c r="T147" s="29" t="inlineStr">
        <is>
          <t>1–3 · 0–3</t>
        </is>
      </c>
      <c r="U147" s="29" t="inlineStr">
        <is>
          <t>Marketing Associate / Marketing Executive</t>
        </is>
      </c>
      <c r="V147" s="29" t="inlineStr">
        <is>
          <t>IRIS Vs Market Benchmark — CIM proficiency scale: 2 Active learner · IRIS Vs Competitor Benchmark — SaaS marketing ladder: Marketing Associate</t>
        </is>
      </c>
      <c r="W147" s="29" t="inlineStr">
        <is>
          <t>CIM Global Professional Marketing Framework — proficiency Aware → Active learner → Able → Accomplished → Authoritative</t>
        </is>
      </c>
      <c r="X147" s="29" t="inlineStr">
        <is>
          <t>Core 2 · Future 2 · Functional 2 · Leadership not scored</t>
        </is>
      </c>
      <c r="Y147" s="52" t="n">
        <v>485</v>
      </c>
      <c r="Z147" s="53" t="inlineStr">
        <is>
          <t>IRIS2514</t>
        </is>
      </c>
      <c r="AA147" s="53" t="inlineStr">
        <is>
          <t>Employee</t>
        </is>
      </c>
      <c r="AB147" s="53" t="inlineStr">
        <is>
          <t>Active</t>
        </is>
      </c>
      <c r="AC147" s="53" t="inlineStr">
        <is>
          <t>Jatin Khare</t>
        </is>
      </c>
      <c r="AD147" s="54" t="n">
        <v>46125</v>
      </c>
      <c r="AE147" s="53" t="inlineStr">
        <is>
          <t>Marketing Associate</t>
        </is>
      </c>
      <c r="AF147" s="53" t="inlineStr">
        <is>
          <t>PGDM</t>
        </is>
      </c>
      <c r="AG147" s="53" t="inlineStr">
        <is>
          <t>Sudipta Kundu</t>
        </is>
      </c>
      <c r="AH147" s="53" t="inlineStr">
        <is>
          <t>N-5</t>
        </is>
      </c>
      <c r="AI147" s="53" t="inlineStr">
        <is>
          <t>Individual Contributor</t>
        </is>
      </c>
      <c r="AJ147" s="53" t="inlineStr">
        <is>
          <t>0 years, 0 months, 0 days</t>
        </is>
      </c>
      <c r="AK147" s="53" t="inlineStr">
        <is>
          <t>0 years, 4 months, 12 days</t>
        </is>
      </c>
      <c r="AL147" s="53" t="inlineStr">
        <is>
          <t>Regtech</t>
        </is>
      </c>
      <c r="AM147" s="53" t="inlineStr">
        <is>
          <t>CARBON</t>
        </is>
      </c>
      <c r="AN147" s="53" t="inlineStr">
        <is>
          <t>Marketing</t>
        </is>
      </c>
      <c r="AO147" s="53" t="inlineStr">
        <is>
          <t>Marketing</t>
        </is>
      </c>
      <c r="AP147" s="53" t="inlineStr">
        <is>
          <t>No</t>
        </is>
      </c>
      <c r="AQ147" s="53" t="inlineStr">
        <is>
          <t>Sales, Marketing &amp; Support</t>
        </is>
      </c>
      <c r="AR147" s="53" t="inlineStr">
        <is>
          <t>Marketing</t>
        </is>
      </c>
      <c r="AS147" s="53" t="inlineStr">
        <is>
          <t>Non-technical</t>
        </is>
      </c>
      <c r="AT147" s="53" t="n">
        <v>20</v>
      </c>
      <c r="AU147" s="53" t="inlineStr">
        <is>
          <t>Covered</t>
        </is>
      </c>
      <c r="AV147" s="53" t="inlineStr">
        <is>
          <t>IRIS2514</t>
        </is>
      </c>
      <c r="AW147" s="53" t="inlineStr">
        <is>
          <t>Jatin Khare</t>
        </is>
      </c>
      <c r="AX147" s="53" t="inlineStr">
        <is>
          <t>Marketing</t>
        </is>
      </c>
      <c r="AY147" s="53" t="inlineStr">
        <is>
          <t>Marketing &amp; Communications</t>
        </is>
      </c>
      <c r="AZ147" s="53" t="inlineStr">
        <is>
          <t>Demand Generation &amp; Branding</t>
        </is>
      </c>
      <c r="BA147" s="53" t="n"/>
      <c r="BB147" s="53" t="n"/>
      <c r="BC147" s="53" t="inlineStr">
        <is>
          <t>Employee</t>
        </is>
      </c>
      <c r="BD147" s="53" t="inlineStr">
        <is>
          <t>Saahit Togaru</t>
        </is>
      </c>
      <c r="BE147" s="53" t="inlineStr">
        <is>
          <t>Sudipta Kundu</t>
        </is>
      </c>
      <c r="BF147" s="53" t="inlineStr">
        <is>
          <t>Yes</t>
        </is>
      </c>
      <c r="BG147" s="53" t="inlineStr">
        <is>
          <t>Marketing Associate</t>
        </is>
      </c>
      <c r="BH147" s="53" t="inlineStr">
        <is>
          <t>Marketing Associate - Events</t>
        </is>
      </c>
      <c r="BI147" s="53" t="inlineStr">
        <is>
          <t>No</t>
        </is>
      </c>
      <c r="BJ147" s="53" t="inlineStr">
        <is>
          <t>—</t>
        </is>
      </c>
      <c r="BK147" s="53" t="inlineStr">
        <is>
          <t>—</t>
        </is>
      </c>
      <c r="BL147" s="53" t="inlineStr">
        <is>
          <t>—</t>
        </is>
      </c>
      <c r="BM147" s="53" t="inlineStr">
        <is>
          <t>Not a manager</t>
        </is>
      </c>
      <c r="BN147" s="53" t="inlineStr">
        <is>
          <t>—</t>
        </is>
      </c>
      <c r="BO147" s="53" t="inlineStr">
        <is>
          <t>—</t>
        </is>
      </c>
      <c r="BP147" s="53" t="inlineStr">
        <is>
          <t>—</t>
        </is>
      </c>
      <c r="BQ147" s="53" t="inlineStr">
        <is>
          <t>Not a manager</t>
        </is>
      </c>
      <c r="BR147" s="53" t="inlineStr">
        <is>
          <t>—</t>
        </is>
      </c>
      <c r="BS147" s="53" t="inlineStr">
        <is>
          <t>L3 – Professional / Associate</t>
        </is>
      </c>
      <c r="BT147" s="53" t="inlineStr">
        <is>
          <t>L3 – Professional / Associate</t>
        </is>
      </c>
      <c r="BU147" s="53" t="inlineStr">
        <is>
          <t>No designation change — current record value carried forward</t>
        </is>
      </c>
      <c r="BV147" s="53" t="n"/>
      <c r="BW147" s="53" t="n"/>
      <c r="BX147" s="53" t="inlineStr">
        <is>
          <t>United States, Europe and United Kingdom</t>
        </is>
      </c>
      <c r="BY147" s="53" t="n"/>
      <c r="BZ147" s="53" t="inlineStr">
        <is>
          <t>IRIS2514</t>
        </is>
      </c>
      <c r="CA147" s="53" t="inlineStr">
        <is>
          <t>Employee</t>
        </is>
      </c>
      <c r="CB147" s="53" t="inlineStr">
        <is>
          <t>Active</t>
        </is>
      </c>
      <c r="CC147" s="53" t="inlineStr">
        <is>
          <t>Jatin Khare</t>
        </is>
      </c>
      <c r="CD147" s="54" t="n">
        <v>46125</v>
      </c>
      <c r="CE147" s="53" t="inlineStr">
        <is>
          <t>Marketing Associate</t>
        </is>
      </c>
      <c r="CF147" s="53" t="inlineStr">
        <is>
          <t>Event Management - reports to Saahit</t>
        </is>
      </c>
      <c r="CG147" s="53" t="inlineStr">
        <is>
          <t>Marketing &amp; Communications</t>
        </is>
      </c>
      <c r="CH147" s="53" t="inlineStr">
        <is>
          <t>Demand Generation</t>
        </is>
      </c>
      <c r="CI147" s="53" t="inlineStr">
        <is>
          <t>Marketing Associate</t>
        </is>
      </c>
      <c r="CJ147" s="53" t="inlineStr">
        <is>
          <t>L3 – Professional / Associate</t>
        </is>
      </c>
      <c r="CK147" s="53" t="inlineStr">
        <is>
          <t>Sobhan Pramanik</t>
        </is>
      </c>
      <c r="CL147" s="53" t="inlineStr">
        <is>
          <t>N-4</t>
        </is>
      </c>
      <c r="CM147" s="53" t="inlineStr">
        <is>
          <t>Individual Contributor</t>
        </is>
      </c>
      <c r="CN147" s="53" t="inlineStr">
        <is>
          <t>Regtech</t>
        </is>
      </c>
      <c r="CO147" s="53" t="inlineStr">
        <is>
          <t>Marketing</t>
        </is>
      </c>
      <c r="CP147" s="53" t="inlineStr">
        <is>
          <t>0 years, 2 months, 7 days</t>
        </is>
      </c>
      <c r="CQ147" s="53" t="inlineStr">
        <is>
          <t>Marketing Associate</t>
        </is>
      </c>
      <c r="CR147" s="53" t="inlineStr">
        <is>
          <t>No</t>
        </is>
      </c>
      <c r="CS147" s="53" t="n"/>
      <c r="CT147" s="53" t="inlineStr">
        <is>
          <t>Medium</t>
        </is>
      </c>
      <c r="CU147" s="53" t="inlineStr">
        <is>
          <t>Core Contributor</t>
        </is>
      </c>
      <c r="CV147" s="53" t="n"/>
      <c r="CW147" s="53" t="inlineStr">
        <is>
          <t>No</t>
        </is>
      </c>
      <c r="CX147" s="53" t="inlineStr">
        <is>
          <t>No</t>
        </is>
      </c>
      <c r="CY147" s="53" t="n"/>
      <c r="CZ147" s="53" t="inlineStr">
        <is>
          <t>Jatin needs to be more proactive when dealing with conflicting priorities</t>
        </is>
      </c>
      <c r="DA147" s="53" t="n"/>
      <c r="DB147" s="53" t="inlineStr">
        <is>
          <t>To be mapped to Sobhan Pramanik as reporting manager</t>
        </is>
      </c>
      <c r="DC147" s="53" t="n"/>
      <c r="DD147" s="53" t="n"/>
      <c r="DE147" s="53" t="n"/>
      <c r="DF147" s="53" t="n"/>
      <c r="DG147" s="53" t="n"/>
      <c r="DH147" s="53" t="n"/>
      <c r="DI147" s="53" t="n"/>
      <c r="DJ147" s="53" t="n"/>
      <c r="DK147" s="53" t="n"/>
      <c r="DL147" s="53" t="n"/>
      <c r="DM147" s="53" t="n"/>
      <c r="DN147" s="53" t="n"/>
      <c r="DO147" s="53" t="n"/>
      <c r="DP147" s="53" t="n"/>
      <c r="DQ147" s="53" t="n"/>
      <c r="DR147" s="53" t="n"/>
      <c r="DS147" s="53" t="n"/>
      <c r="DT147" s="53" t="n"/>
      <c r="DU147" s="53" t="n"/>
      <c r="DV147" s="53" t="n"/>
      <c r="DW147" s="53" t="n"/>
      <c r="DX147" s="53" t="n"/>
      <c r="DY147" s="53" t="n"/>
      <c r="DZ147" s="53" t="n"/>
      <c r="EA147" s="53" t="n"/>
      <c r="EB147" s="53" t="n"/>
      <c r="EC147" s="53" t="n"/>
      <c r="ED147" s="53" t="n"/>
      <c r="EE147" s="53" t="n"/>
      <c r="EF147" s="53" t="n"/>
      <c r="EG147" s="53" t="n"/>
      <c r="EH147" s="53" t="n"/>
      <c r="EI147" s="53" t="n"/>
      <c r="EJ147" s="53" t="n"/>
      <c r="EK147" s="53" t="n"/>
      <c r="EL147" s="53" t="n"/>
      <c r="EM147" s="53" t="n"/>
      <c r="EN147" s="53" t="n"/>
      <c r="EO147" s="53" t="n"/>
      <c r="EP147" s="53" t="n"/>
      <c r="EQ147" s="53" t="n"/>
      <c r="ER147" s="53" t="n"/>
      <c r="ES147" s="53" t="n"/>
      <c r="ET147" s="53" t="n"/>
      <c r="EU147" s="53" t="n"/>
      <c r="EV147" s="53" t="n"/>
      <c r="EW147" s="52" t="n"/>
      <c r="EX147" s="53" t="inlineStr">
        <is>
          <t>• This role manages event marketing and operations by coordinating internal and external stakeholders for exhibition events.</t>
        </is>
      </c>
      <c r="EY147" s="53" t="inlineStr">
        <is>
          <t>• Reported deliverables and outcomes include: Event Experience.
• Key responsibilities include Vendor Management; Stakeholder coordination; Event experience; Event Calendar and Delive.</t>
        </is>
      </c>
      <c r="EZ147" s="53" t="inlineStr">
        <is>
          <t>• Current capabilities: Stakeholder coordination and proactive execution; Vendor management and event operations; HubSpot.</t>
        </is>
      </c>
      <c r="FA147" s="53" t="inlineStr">
        <is>
          <t>• Development priorities: Improve decision-making through stronger event frameworks and checklists.
• Learning and Development Need: Training on event-management frameworks and decision checklists to reduce reliance on ad hoc escalation for decisions.</t>
        </is>
      </c>
      <c r="FB147" s="53" t="inlineStr">
        <is>
          <t>• Key challenges: No clear point of contact for decisions; Internal coordination gaps and limited error tolerance; Workload is very high.
• Support required: Additional team capacity; Clearer guidance, ownership and operating checklists.</t>
        </is>
      </c>
      <c r="FC147" s="53" t="n"/>
      <c r="FD147" s="53" t="n"/>
      <c r="FE147" s="55" t="inlineStr">
        <is>
          <t>KRAs not received · manager to supply</t>
        </is>
      </c>
      <c r="FF147" s="56" t="n"/>
      <c r="FG147" s="56" t="n"/>
      <c r="FH147" s="56" t="n"/>
      <c r="FI147" s="56" t="inlineStr">
        <is>
          <t>Event Management - reports to Saahit</t>
        </is>
      </c>
      <c r="FJ147" s="32" t="inlineStr">
        <is>
          <t>KRAs not received · manager to supply</t>
        </is>
      </c>
      <c r="FK147" s="56" t="inlineStr">
        <is>
          <t>CARBON Talent Mapping · Raw</t>
        </is>
      </c>
      <c r="FL147" s="56" t="n">
        <v>19</v>
      </c>
      <c r="FM147" s="56" t="inlineStr">
        <is>
          <t>• This role manages event marketing and operations by coordinating internal and external stakeholders for exhibition events.</t>
        </is>
      </c>
      <c r="FN147" s="56" t="inlineStr">
        <is>
          <t>• Reported deliverables and outcomes include: Event Experience.
• Key responsibilities include Vendor Management; Stakeholder coordination; Event experience; Event Calendar and Delive.</t>
        </is>
      </c>
      <c r="FO147" s="56" t="inlineStr">
        <is>
          <t>• Current capabilities: Stakeholder coordination and proactive execution; Vendor management and event operations; HubSpot.</t>
        </is>
      </c>
      <c r="FP147" s="56" t="inlineStr">
        <is>
          <t>• Development priorities: Improve decision-making through stronger event frameworks and checklists.
• Learning and Development Need: Training on event-management frameworks and decision checklists to reduce reliance on ad hoc escalation for decisions.</t>
        </is>
      </c>
      <c r="FQ147" s="56" t="inlineStr">
        <is>
          <t>• Key challenges: No clear point of contact for decisions; Internal coordination gaps and limited error tolerance; Workload is very high.
• Support required: Additional team capacity; Clearer guidance, ownership and operating checklists.</t>
        </is>
      </c>
      <c r="FR147" s="56" t="inlineStr">
        <is>
          <t>Complexity: Evidence reads like A2: Coordinates events and webinars: vendor management, stakeholder coordination, brand-aligned content, internal communication → matches the start
Autonomy: Evidence reads like A2: Decides only 'few marketing materials'; the rest goes through stakeholders → matches the start
Accountability: Evidence reads like A3: Looks after the event and webinar channel end to end for lead generation and engagement → moved up 0.5
Leadership: Evidence reads like A1: No guidance or leadership of others described → matches the start
Business Impact: No survey or manager-mapping signal on criticality: kept at the start point.</t>
        </is>
      </c>
      <c r="FS147" s="56" t="inlineStr">
        <is>
          <t>Common themes in role-holders' answers: content · marketing · leads · generate · management · creation
Common themes in role-holders' answers: content · blogs · week · campaign
Common themes in role-holders' answers: marketing · content
Common themes in role-holders' answers: content · accountable
If the work is missed · role-holders' themes: ranking.</t>
        </is>
      </c>
      <c r="FT147" s="56" t="inlineStr">
        <is>
          <t>Self-identified: Answered · no common topic
For the next role: Answered · no common topic</t>
        </is>
      </c>
      <c r="FU147" s="56" t="inlineStr">
        <is>
          <t>Per-person summary · CARBON Mapping Master</t>
        </is>
      </c>
    </row>
    <row r="148" ht="90" customHeight="1">
      <c r="A148" s="51" t="inlineStr">
        <is>
          <t>◂ Back</t>
        </is>
      </c>
      <c r="B148" s="29" t="inlineStr">
        <is>
          <t>Mapped</t>
        </is>
      </c>
      <c r="C148" s="28" t="inlineStr">
        <is>
          <t>CARBON</t>
        </is>
      </c>
      <c r="D148" s="29" t="inlineStr">
        <is>
          <t>IRIS2391</t>
        </is>
      </c>
      <c r="E148" s="29" t="inlineStr">
        <is>
          <t>Ritam Mukhopadhyay</t>
        </is>
      </c>
      <c r="F148" s="29" t="inlineStr">
        <is>
          <t>Marketing</t>
        </is>
      </c>
      <c r="G148" s="29" t="inlineStr">
        <is>
          <t>Marketing Operations Executive</t>
        </is>
      </c>
      <c r="H148" s="29" t="inlineStr">
        <is>
          <t>Marketing Operations Associate</t>
        </is>
      </c>
      <c r="I148" s="29" t="inlineStr">
        <is>
          <t>L3 – Professional / Associate</t>
        </is>
      </c>
      <c r="J148" s="29" t="inlineStr">
        <is>
          <t>A2</t>
        </is>
      </c>
      <c r="K148" s="29" t="inlineStr">
        <is>
          <t>• Same level</t>
        </is>
      </c>
      <c r="L148" s="29" t="inlineStr">
        <is>
          <t>Marketing &amp; Communications</t>
        </is>
      </c>
      <c r="M148" s="29" t="inlineStr">
        <is>
          <t>Marketing Operations &amp; Automation</t>
        </is>
      </c>
      <c r="N148" s="29" t="n"/>
      <c r="O148" s="29" t="n">
        <v>20</v>
      </c>
      <c r="P148" s="28" t="inlineStr">
        <is>
          <t>P1–P2</t>
        </is>
      </c>
      <c r="Q148" s="29" t="inlineStr">
        <is>
          <t>Entry / Developing</t>
        </is>
      </c>
      <c r="R148" s="29" t="inlineStr">
        <is>
          <t>2 Assist</t>
        </is>
      </c>
      <c r="S148" s="29" t="inlineStr">
        <is>
          <t>0–2 yrs</t>
        </is>
      </c>
      <c r="T148" s="29" t="inlineStr">
        <is>
          <t>1–3 · 0–3</t>
        </is>
      </c>
      <c r="U148" s="29" t="inlineStr">
        <is>
          <t>Marketing Associate / Marketing Executive</t>
        </is>
      </c>
      <c r="V148" s="29" t="inlineStr">
        <is>
          <t>IRIS Vs Market Benchmark — CIM proficiency scale: 2 Active learner · IRIS Vs Competitor Benchmark — SaaS marketing ladder: Marketing Associate</t>
        </is>
      </c>
      <c r="W148" s="29" t="inlineStr">
        <is>
          <t>CIM Global Professional Marketing Framework — proficiency Aware → Active learner → Able → Accomplished → Authoritative</t>
        </is>
      </c>
      <c r="X148" s="29" t="inlineStr">
        <is>
          <t>Core 2 · Future 2 · Functional 2 · Leadership not scored</t>
        </is>
      </c>
      <c r="Y148" s="52" t="n">
        <v>378</v>
      </c>
      <c r="Z148" s="53" t="inlineStr">
        <is>
          <t>IRIS2391</t>
        </is>
      </c>
      <c r="AA148" s="53" t="inlineStr">
        <is>
          <t>Employee</t>
        </is>
      </c>
      <c r="AB148" s="53" t="inlineStr">
        <is>
          <t>Active</t>
        </is>
      </c>
      <c r="AC148" s="53" t="inlineStr">
        <is>
          <t>Ritam Mukhopadhyay</t>
        </is>
      </c>
      <c r="AD148" s="54" t="n">
        <v>45839</v>
      </c>
      <c r="AE148" s="53" t="inlineStr">
        <is>
          <t>Marketing Operations Executive</t>
        </is>
      </c>
      <c r="AF148" s="53" t="inlineStr">
        <is>
          <t>B.Tech</t>
        </is>
      </c>
      <c r="AG148" s="53" t="inlineStr">
        <is>
          <t>Sudipta Kundu</t>
        </is>
      </c>
      <c r="AH148" s="53" t="inlineStr">
        <is>
          <t>N-5</t>
        </is>
      </c>
      <c r="AI148" s="53" t="inlineStr">
        <is>
          <t>Individual Contributor</t>
        </is>
      </c>
      <c r="AJ148" s="53" t="inlineStr">
        <is>
          <t>0 years, 0 months, 0 days</t>
        </is>
      </c>
      <c r="AK148" s="53" t="inlineStr">
        <is>
          <t>1 years, 1 months, 24 days</t>
        </is>
      </c>
      <c r="AL148" s="53" t="inlineStr">
        <is>
          <t>Regtech</t>
        </is>
      </c>
      <c r="AM148" s="53" t="inlineStr">
        <is>
          <t>CARBON</t>
        </is>
      </c>
      <c r="AN148" s="53" t="inlineStr">
        <is>
          <t>Marketing</t>
        </is>
      </c>
      <c r="AO148" s="53" t="inlineStr">
        <is>
          <t>Marketing</t>
        </is>
      </c>
      <c r="AP148" s="53" t="inlineStr">
        <is>
          <t>No</t>
        </is>
      </c>
      <c r="AQ148" s="53" t="inlineStr">
        <is>
          <t>Sales, Marketing &amp; Support</t>
        </is>
      </c>
      <c r="AR148" s="53" t="inlineStr">
        <is>
          <t>Marketing</t>
        </is>
      </c>
      <c r="AS148" s="53" t="inlineStr">
        <is>
          <t>Non-technical</t>
        </is>
      </c>
      <c r="AT148" s="53" t="n">
        <v>20</v>
      </c>
      <c r="AU148" s="53" t="inlineStr">
        <is>
          <t>Covered</t>
        </is>
      </c>
      <c r="AV148" s="53" t="inlineStr">
        <is>
          <t>IRIS2391</t>
        </is>
      </c>
      <c r="AW148" s="53" t="inlineStr">
        <is>
          <t>Ritam Mukhopadhyay</t>
        </is>
      </c>
      <c r="AX148" s="53" t="inlineStr">
        <is>
          <t>Marketing</t>
        </is>
      </c>
      <c r="AY148" s="53" t="inlineStr">
        <is>
          <t>Marketing &amp; Communications</t>
        </is>
      </c>
      <c r="AZ148" s="53" t="inlineStr">
        <is>
          <t>Marketing Operations</t>
        </is>
      </c>
      <c r="BA148" s="53" t="n"/>
      <c r="BB148" s="53" t="n"/>
      <c r="BC148" s="53" t="inlineStr">
        <is>
          <t>Employee</t>
        </is>
      </c>
      <c r="BD148" s="53" t="inlineStr">
        <is>
          <t>Saahit Togaru</t>
        </is>
      </c>
      <c r="BE148" s="53" t="inlineStr">
        <is>
          <t>Saahit Togaru</t>
        </is>
      </c>
      <c r="BF148" s="53" t="inlineStr">
        <is>
          <t>No</t>
        </is>
      </c>
      <c r="BG148" s="53" t="inlineStr">
        <is>
          <t>Marketing Operations Executive</t>
        </is>
      </c>
      <c r="BH148" s="53" t="inlineStr">
        <is>
          <t>Sr. Marketing Associate</t>
        </is>
      </c>
      <c r="BI148" s="53" t="inlineStr">
        <is>
          <t>Yes</t>
        </is>
      </c>
      <c r="BJ148" s="53" t="inlineStr">
        <is>
          <t>—</t>
        </is>
      </c>
      <c r="BK148" s="53" t="inlineStr">
        <is>
          <t>—</t>
        </is>
      </c>
      <c r="BL148" s="53" t="inlineStr">
        <is>
          <t>—</t>
        </is>
      </c>
      <c r="BM148" s="53" t="inlineStr">
        <is>
          <t>Not a manager</t>
        </is>
      </c>
      <c r="BN148" s="53" t="inlineStr">
        <is>
          <t>—</t>
        </is>
      </c>
      <c r="BO148" s="53" t="inlineStr">
        <is>
          <t>—</t>
        </is>
      </c>
      <c r="BP148" s="53" t="inlineStr">
        <is>
          <t>—</t>
        </is>
      </c>
      <c r="BQ148" s="53" t="inlineStr">
        <is>
          <t>Not a manager</t>
        </is>
      </c>
      <c r="BR148" s="53" t="inlineStr">
        <is>
          <t>—</t>
        </is>
      </c>
      <c r="BS148" s="53" t="inlineStr">
        <is>
          <t>L3 – Professional / Associate</t>
        </is>
      </c>
      <c r="BT148" s="53" t="inlineStr">
        <is>
          <t>L3 – Professional / Associate</t>
        </is>
      </c>
      <c r="BU148" s="53" t="inlineStr">
        <is>
          <t>No exact Title Hierarchy match — retained current record value</t>
        </is>
      </c>
      <c r="BV148" s="53" t="inlineStr">
        <is>
          <t>1. Maintain accurate multi-touch attribution and campaign performance tracking in HubSpot
2. Build and maintain real-time dashboards for funnel, campaigns, and partner performance
3. Improve pipeline speed by 10% and identify drop-offs in MQL → SAL
4. Support database team and help them validation, enrichment, and scoring improvements
5. Identify and eliminate 15% of inefficient tools/processes</t>
        </is>
      </c>
      <c r="BW148" s="53" t="n"/>
      <c r="BX148" s="53" t="inlineStr">
        <is>
          <t>Internal / enterprise-wide</t>
        </is>
      </c>
      <c r="BY148" s="53" t="n"/>
      <c r="BZ148" s="53" t="inlineStr">
        <is>
          <t>IRIS2391</t>
        </is>
      </c>
      <c r="CA148" s="53" t="inlineStr">
        <is>
          <t>Employee</t>
        </is>
      </c>
      <c r="CB148" s="53" t="inlineStr">
        <is>
          <t>Active</t>
        </is>
      </c>
      <c r="CC148" s="53" t="inlineStr">
        <is>
          <t>Ritam Mukhopadhyay</t>
        </is>
      </c>
      <c r="CD148" s="54" t="n">
        <v>45839</v>
      </c>
      <c r="CE148" s="53" t="inlineStr">
        <is>
          <t>Marketing Operations Executive</t>
        </is>
      </c>
      <c r="CF148" s="53" t="inlineStr">
        <is>
          <t>Takes care of market data reporting, inbound database distribution to SDR team, performance Dashboard maintenance for WBRX and Review meeting , people spoc for Hyderabad office</t>
        </is>
      </c>
      <c r="CG148" s="53" t="inlineStr">
        <is>
          <t>Marketing &amp; Communications</t>
        </is>
      </c>
      <c r="CH148" s="53" t="inlineStr">
        <is>
          <t>Marketing Operations</t>
        </is>
      </c>
      <c r="CI148" s="53" t="inlineStr">
        <is>
          <t>Marketing Operations Executive</t>
        </is>
      </c>
      <c r="CJ148" s="53" t="inlineStr">
        <is>
          <t>L3 – Professional / Associate</t>
        </is>
      </c>
      <c r="CK148" s="53" t="inlineStr">
        <is>
          <t>Saahit Togaru</t>
        </is>
      </c>
      <c r="CL148" s="53" t="inlineStr">
        <is>
          <t>N-4</t>
        </is>
      </c>
      <c r="CM148" s="53" t="inlineStr">
        <is>
          <t>Individual Contributor</t>
        </is>
      </c>
      <c r="CN148" s="53" t="inlineStr">
        <is>
          <t>Regtech</t>
        </is>
      </c>
      <c r="CO148" s="53" t="inlineStr">
        <is>
          <t>Marketing</t>
        </is>
      </c>
      <c r="CP148" s="53" t="inlineStr">
        <is>
          <t>0 years, 11 months, 19 days</t>
        </is>
      </c>
      <c r="CQ148" s="53" t="inlineStr">
        <is>
          <t>Marketing Associate</t>
        </is>
      </c>
      <c r="CR148" s="53" t="inlineStr">
        <is>
          <t>No</t>
        </is>
      </c>
      <c r="CS148" s="53" t="n">
        <v>3</v>
      </c>
      <c r="CT148" s="53" t="inlineStr">
        <is>
          <t>Medium</t>
        </is>
      </c>
      <c r="CU148" s="53" t="inlineStr">
        <is>
          <t>Reliable Specialist</t>
        </is>
      </c>
      <c r="CV148" s="53" t="n"/>
      <c r="CW148" s="53" t="inlineStr">
        <is>
          <t>No</t>
        </is>
      </c>
      <c r="CX148" s="53" t="inlineStr">
        <is>
          <t>No</t>
        </is>
      </c>
      <c r="CY148" s="53" t="n"/>
      <c r="CZ148" s="53" t="inlineStr">
        <is>
          <t>Yes</t>
        </is>
      </c>
      <c r="DA148" s="53" t="n"/>
      <c r="DB148" s="53" t="inlineStr">
        <is>
          <t>to be mapped to Sudipta Kunduas reporting manager. Title to be standardized to : Marketing Associate</t>
        </is>
      </c>
      <c r="DC148" s="53" t="n"/>
      <c r="DD148" s="53" t="n"/>
      <c r="DE148" s="53" t="n"/>
      <c r="DF148" s="53" t="n"/>
      <c r="DG148" s="53" t="n"/>
      <c r="DH148" s="53" t="n"/>
      <c r="DI148" s="53" t="n"/>
      <c r="DJ148" s="53" t="n"/>
      <c r="DK148" s="53" t="n"/>
      <c r="DL148" s="53" t="n"/>
      <c r="DM148" s="53" t="n"/>
      <c r="DN148" s="53" t="n"/>
      <c r="DO148" s="53" t="n"/>
      <c r="DP148" s="53" t="n"/>
      <c r="DQ148" s="53" t="n"/>
      <c r="DR148" s="53" t="n"/>
      <c r="DS148" s="53" t="n"/>
      <c r="DT148" s="53" t="n"/>
      <c r="DU148" s="53" t="n"/>
      <c r="DV148" s="53" t="n"/>
      <c r="DW148" s="53" t="n"/>
      <c r="DX148" s="53" t="n"/>
      <c r="DY148" s="53" t="n"/>
      <c r="DZ148" s="53" t="n"/>
      <c r="EA148" s="53" t="n"/>
      <c r="EB148" s="53" t="n"/>
      <c r="EC148" s="53" t="n"/>
      <c r="ED148" s="53" t="n"/>
      <c r="EE148" s="53" t="n"/>
      <c r="EF148" s="53" t="n"/>
      <c r="EG148" s="53" t="n"/>
      <c r="EH148" s="53" t="n"/>
      <c r="EI148" s="53" t="n"/>
      <c r="EJ148" s="53" t="n"/>
      <c r="EK148" s="53" t="n"/>
      <c r="EL148" s="53" t="n"/>
      <c r="EM148" s="53" t="n"/>
      <c r="EN148" s="53" t="n"/>
      <c r="EO148" s="53" t="n"/>
      <c r="EP148" s="53" t="n"/>
      <c r="EQ148" s="53" t="n"/>
      <c r="ER148" s="53" t="n"/>
      <c r="ES148" s="53" t="n"/>
      <c r="ET148" s="53" t="n"/>
      <c r="EU148" s="53" t="n"/>
      <c r="EV148" s="53" t="n"/>
      <c r="EW148" s="52" t="n"/>
      <c r="EX148" s="53" t="inlineStr">
        <is>
          <t>• This role creates marketing reporting dashboards for leadership and maintains processes and data governance.</t>
        </is>
      </c>
      <c r="EY148" s="53" t="inlineStr">
        <is>
          <t>• Reported deliverables and outcomes include: Reporting Data; Creating Reports; Leadership Dashboards.
• Key responsibilities include CRM Dashboards; CRM Administration; Leadership Deck Creation; Review Meeting Decks; KPI Tracking; Marketing Numbers Audit.
• The role is accountable for inbound lead assignment, leadership dashboard numbers, team KPI metrics tracking, marketing numbers accounting and tracking, target vs. actual numbers, marketing spend accounting, and CRM administration.
• The role independently makes decisions on Process Validation Number.</t>
        </is>
      </c>
      <c r="EZ148" s="53" t="inlineStr">
        <is>
          <t>• Current capabilities: HubSpot, Excel, Power BI, GA4, marketing automation, workflows and email tools; Cross-functional collaboration, stakeholder management and proactive process design.</t>
        </is>
      </c>
      <c r="FA148" s="53" t="inlineStr">
        <is>
          <t>• Development priorities: Strengthen senior stakeholder management and marketing-technology expertise; Expand knowledge of third-party marketing tools and advanced automation.
• Learning and Development Need: Senior stakeholder-management training and advanced marketing-technology/automation-tools certification to expand third-party tool expertise.</t>
        </is>
      </c>
      <c r="FB148" s="53" t="inlineStr">
        <is>
          <t>• Key challenges: Tight reporting timelines, unclear stakeholder asks and limited laptop capacity; Inconsistent CRM adoption across teams.
• Support required: Clearer reporting briefs and standardised processes; Better use of HubSpot and modern automation tools across the business.</t>
        </is>
      </c>
      <c r="FC148" s="53" t="n"/>
      <c r="FD148" s="53" t="n"/>
      <c r="FE148" s="57" t="inlineStr">
        <is>
          <t>1. Maintain accurate multi-touch attribution and campaign performance tracking in HubSpot
2. Build and maintain real-time dashboards for funnel, campaigns, and partner performance
3. Improve pipeline speed by 10% and identify drop-offs in MQL → SAL
4. Support database team and help them validation, enrichment, and scoring improvements
5. Identify and eliminate 15% of inefficient tools/processes</t>
        </is>
      </c>
      <c r="FF148" s="56" t="n"/>
      <c r="FG148" s="56" t="n"/>
      <c r="FH148" s="56" t="n"/>
      <c r="FI148" s="56" t="inlineStr">
        <is>
          <t>Takes care of market data reporting, inbound database distribution to SDR team, performance Dashboard maintenance for WBRX and Review meeting , people spoc for Hyderabad office</t>
        </is>
      </c>
      <c r="FJ148" s="56" t="inlineStr">
        <is>
          <t>Received · manager annual</t>
        </is>
      </c>
      <c r="FK148" s="56" t="inlineStr">
        <is>
          <t>CARBON Mapping Master · CARBON Talent Mapping · Raw</t>
        </is>
      </c>
      <c r="FL148" s="56" t="n">
        <v>20</v>
      </c>
      <c r="FM148" s="56" t="inlineStr">
        <is>
          <t>• This role creates marketing reporting dashboards for leadership and maintains processes and data governance.</t>
        </is>
      </c>
      <c r="FN148" s="56" t="inlineStr">
        <is>
          <t>• Reported deliverables and outcomes include: Reporting Data; Creating Reports; Leadership Dashboards.
• Key responsibilities include CRM Dashboards; CRM Administration; Leadership Deck Creation; Review Meeting Decks; KPI Tracking; Marketing Numbers Audit.
• The role is accountable for inbound lead assignment, leadership dashboard numbers, team KPI metrics tracking, marketing numbers accounting and tracking, target vs. actual numbers, marketing spend accounting, and CRM administration.
• The role independently makes decisions on Process Validation Number.</t>
        </is>
      </c>
      <c r="FO148" s="56" t="inlineStr">
        <is>
          <t>• Current capabilities: HubSpot, Excel, Power BI, GA4, marketing automation, workflows and email tools; Cross-functional collaboration, stakeholder management and proactive process design.</t>
        </is>
      </c>
      <c r="FP148" s="56" t="inlineStr">
        <is>
          <t>• Development priorities: Strengthen senior stakeholder management and marketing-technology expertise; Expand knowledge of third-party marketing tools and advanced automation.
• Learning and Development Need: Senior stakeholder-management training and advanced marketing-technology/automation-tools certification to expand third-party tool expertise.</t>
        </is>
      </c>
      <c r="FQ148" s="56" t="inlineStr">
        <is>
          <t>• Key challenges: Tight reporting timelines, unclear stakeholder asks and limited laptop capacity; Inconsistent CRM adoption across teams.
• Support required: Clearer reporting briefs and standardised processes; Better use of HubSpot and modern automation tools across the business.</t>
        </is>
      </c>
      <c r="FR148" s="56" t="inlineStr">
        <is>
          <t>Complexity: Evidence reads like A3: Builds leadership dashboards, administers HubSpot CRM, audits marketing numbers, tracks KPIs and spends → moved up 0.5
Autonomy: Evidence reads like A2: Only stated independent decision is validating process numbers → matches the start
Accountability: Evidence reads like A3: own survey / KRA answers · summarised by the rater; not quoted → moved up 0.5
Leadership: Evidence reads like A1: own survey / KRA answers · summarised by the rater; not quoted → matches the start
Business Impact: No survey or manager-mapping signal on criticality: kept at the start point.</t>
        </is>
      </c>
      <c r="FS148" s="56" t="inlineStr">
        <is>
          <t>Common themes in role-holders' answers: maintaining · data · sdr · involves · lusha · upload
Common themes in role-holders' answers: hygiene · enrichment · data · hubspot
Common themes in role-holders' answers: data
Common themes in role-holders' answers: hubspot</t>
        </is>
      </c>
      <c r="FT148" s="56" t="inlineStr">
        <is>
          <t>Self-identified: Product &amp; tool knowledge · Client, sales &amp; stakeholders · Marketing &amp; content
For the next role: Product &amp; tool knowledge · Client, sales &amp; stakeholders · Marketing &amp; content</t>
        </is>
      </c>
      <c r="FU148" s="56" t="inlineStr">
        <is>
          <t>Per-person summary · CARBON Mapping Master</t>
        </is>
      </c>
    </row>
    <row r="149" ht="90" customHeight="1">
      <c r="A149" s="51" t="inlineStr">
        <is>
          <t>◂ Back</t>
        </is>
      </c>
      <c r="B149" s="29" t="inlineStr">
        <is>
          <t>Mapped</t>
        </is>
      </c>
      <c r="C149" s="28" t="inlineStr">
        <is>
          <t>CARBON</t>
        </is>
      </c>
      <c r="D149" s="29" t="inlineStr">
        <is>
          <t>IRIS2324</t>
        </is>
      </c>
      <c r="E149" s="29" t="inlineStr">
        <is>
          <t>Priyadarshini Dey</t>
        </is>
      </c>
      <c r="F149" s="29" t="inlineStr">
        <is>
          <t>Marketing</t>
        </is>
      </c>
      <c r="G149" s="29" t="inlineStr">
        <is>
          <t>Team Lead SDR</t>
        </is>
      </c>
      <c r="H149" s="29" t="inlineStr">
        <is>
          <t>Team Lead – Sales Development</t>
        </is>
      </c>
      <c r="I149" s="29" t="inlineStr">
        <is>
          <t>L4 – Senior</t>
        </is>
      </c>
      <c r="J149" s="29" t="inlineStr">
        <is>
          <t>B1</t>
        </is>
      </c>
      <c r="K149" s="29" t="inlineStr">
        <is>
          <t>▲ Up</t>
        </is>
      </c>
      <c r="L149" s="29" t="inlineStr">
        <is>
          <t>Sales &amp; Business Development</t>
        </is>
      </c>
      <c r="M149" s="29" t="inlineStr">
        <is>
          <t>Sales Development &amp; Prospecting</t>
        </is>
      </c>
      <c r="N149" s="29" t="n"/>
      <c r="O149" s="29" t="n">
        <v>20</v>
      </c>
      <c r="P149" s="28" t="inlineStr">
        <is>
          <t>P3 / M2</t>
        </is>
      </c>
      <c r="Q149" s="29" t="inlineStr">
        <is>
          <t>Career / · Team Lead</t>
        </is>
      </c>
      <c r="R149" s="29" t="inlineStr">
        <is>
          <t>4 Enable</t>
        </is>
      </c>
      <c r="S149" s="29" t="inlineStr">
        <is>
          <t>4–7 yrs</t>
        </is>
      </c>
      <c r="T149" s="29" t="inlineStr">
        <is>
          <t>5–8 · 4–8</t>
        </is>
      </c>
      <c r="U149" s="29" t="inlineStr">
        <is>
          <t>Team Lead / Assistant Manager</t>
        </is>
      </c>
      <c r="V149" s="29" t="inlineStr">
        <is>
          <t>IRIS Vs Competitor Benchmark — SaaS sales ladder — IC: Account Executive · SMB · IRIS Vs Competitor Benchmark — SaaS sales ladder — management: SDR Team Lead</t>
        </is>
      </c>
      <c r="W149" s="29" t="inlineStr">
        <is>
          <t>SaaS sales ladder · SDR → AE → Enterprise AE → VP / CRO; MEDDICC-style qualification</t>
        </is>
      </c>
      <c r="X149" s="29" t="inlineStr">
        <is>
          <t>Core 3 · Future 3 · Functional 3 · Leadership 2</t>
        </is>
      </c>
      <c r="Y149" s="52" t="n">
        <v>353</v>
      </c>
      <c r="Z149" s="53" t="inlineStr">
        <is>
          <t>IRIS2324</t>
        </is>
      </c>
      <c r="AA149" s="53" t="inlineStr">
        <is>
          <t>Employee</t>
        </is>
      </c>
      <c r="AB149" s="53" t="inlineStr">
        <is>
          <t>Active</t>
        </is>
      </c>
      <c r="AC149" s="53" t="inlineStr">
        <is>
          <t>Priyadarshini Dey</t>
        </is>
      </c>
      <c r="AD149" s="54" t="n">
        <v>45607</v>
      </c>
      <c r="AE149" s="53" t="inlineStr">
        <is>
          <t>Team Lead SDR</t>
        </is>
      </c>
      <c r="AF149" s="53" t="inlineStr">
        <is>
          <t>B.Tech</t>
        </is>
      </c>
      <c r="AG149" s="53" t="inlineStr">
        <is>
          <t>Saahit Togaru</t>
        </is>
      </c>
      <c r="AH149" s="53" t="inlineStr">
        <is>
          <t>N-4</t>
        </is>
      </c>
      <c r="AI149" s="53" t="inlineStr">
        <is>
          <t>Manager</t>
        </is>
      </c>
      <c r="AJ149" s="53" t="inlineStr">
        <is>
          <t>2 years, 4 months, 0 days</t>
        </is>
      </c>
      <c r="AK149" s="53" t="inlineStr">
        <is>
          <t>1 years, 9 months, 14 days</t>
        </is>
      </c>
      <c r="AL149" s="53" t="inlineStr">
        <is>
          <t>Regtech</t>
        </is>
      </c>
      <c r="AM149" s="53" t="inlineStr">
        <is>
          <t>CARBON</t>
        </is>
      </c>
      <c r="AN149" s="53" t="inlineStr">
        <is>
          <t>Marketing</t>
        </is>
      </c>
      <c r="AO149" s="53" t="inlineStr">
        <is>
          <t>Marketing - SDR</t>
        </is>
      </c>
      <c r="AP149" s="53" t="inlineStr">
        <is>
          <t>No</t>
        </is>
      </c>
      <c r="AQ149" s="53" t="inlineStr">
        <is>
          <t>Sales, Marketing &amp; Support</t>
        </is>
      </c>
      <c r="AR149" s="53" t="inlineStr">
        <is>
          <t>Marketing</t>
        </is>
      </c>
      <c r="AS149" s="53" t="inlineStr">
        <is>
          <t>Non-technical</t>
        </is>
      </c>
      <c r="AT149" s="53" t="n">
        <v>20</v>
      </c>
      <c r="AU149" s="53" t="inlineStr">
        <is>
          <t>Covered</t>
        </is>
      </c>
      <c r="AV149" s="53" t="inlineStr">
        <is>
          <t>IRIS2324</t>
        </is>
      </c>
      <c r="AW149" s="53" t="inlineStr">
        <is>
          <t>Priyadarshini Dey</t>
        </is>
      </c>
      <c r="AX149" s="53" t="inlineStr">
        <is>
          <t>Marketing</t>
        </is>
      </c>
      <c r="AY149" s="53" t="inlineStr">
        <is>
          <t>Sales &amp; Business Development</t>
        </is>
      </c>
      <c r="AZ149" s="53" t="inlineStr">
        <is>
          <t>Sales Development · SDR</t>
        </is>
      </c>
      <c r="BA149" s="53" t="n"/>
      <c r="BB149" s="53" t="n"/>
      <c r="BC149" s="53" t="inlineStr">
        <is>
          <t>Employee</t>
        </is>
      </c>
      <c r="BD149" s="53" t="inlineStr">
        <is>
          <t>Saahit Togaru</t>
        </is>
      </c>
      <c r="BE149" s="53" t="inlineStr">
        <is>
          <t>Saahit Togaru</t>
        </is>
      </c>
      <c r="BF149" s="53" t="inlineStr">
        <is>
          <t>No</t>
        </is>
      </c>
      <c r="BG149" s="53" t="inlineStr">
        <is>
          <t>Senior Sales Development Representative</t>
        </is>
      </c>
      <c r="BH149" s="53" t="inlineStr">
        <is>
          <t>Team Lead - Sales Development</t>
        </is>
      </c>
      <c r="BI149" s="53" t="inlineStr">
        <is>
          <t>Yes</t>
        </is>
      </c>
      <c r="BJ149" s="53" t="n">
        <v>2</v>
      </c>
      <c r="BK149" s="53" t="n">
        <v>0</v>
      </c>
      <c r="BL149" s="53" t="n">
        <v>2</v>
      </c>
      <c r="BM149" s="53" t="inlineStr">
        <is>
          <t>Consolidate / flatten</t>
        </is>
      </c>
      <c r="BN149" s="53" t="n">
        <v>2</v>
      </c>
      <c r="BO149" s="53" t="n">
        <v>0</v>
      </c>
      <c r="BP149" s="53" t="n">
        <v>2</v>
      </c>
      <c r="BQ149" s="53" t="inlineStr">
        <is>
          <t>Consolidate / flatten</t>
        </is>
      </c>
      <c r="BR149" s="53" t="inlineStr">
        <is>
          <t>No</t>
        </is>
      </c>
      <c r="BS149" s="53" t="inlineStr">
        <is>
          <t>L4 – Senior</t>
        </is>
      </c>
      <c r="BT149" s="53" t="inlineStr">
        <is>
          <t>L4</t>
        </is>
      </c>
      <c r="BU149" s="53" t="inlineStr">
        <is>
          <t>Matched from Title Hierarchy · new designation</t>
        </is>
      </c>
      <c r="BV149" s="53" t="inlineStr">
        <is>
          <t>1. Build a strong pipeline of qualified leads through close sales collaboration and complete 8 Discovery Calls · DCCs per month · ~96 annually
2. Generate 3 Sales Accepted Leads · SALs = Active Buy per month by qualifying high-intent opportunities for Account Executives and Functional Experts · ~36 annually
3. Ensure team is delivering at least 100% of their targets</t>
        </is>
      </c>
      <c r="BW149" s="53" t="n"/>
      <c r="BX149" s="53" t="inlineStr">
        <is>
          <t>Europe</t>
        </is>
      </c>
      <c r="BY149" s="53" t="n"/>
      <c r="BZ149" s="53" t="inlineStr">
        <is>
          <t>IRIS2324</t>
        </is>
      </c>
      <c r="CA149" s="53" t="inlineStr">
        <is>
          <t>Employee</t>
        </is>
      </c>
      <c r="CB149" s="53" t="inlineStr">
        <is>
          <t>Active</t>
        </is>
      </c>
      <c r="CC149" s="53" t="inlineStr">
        <is>
          <t>Priyadarshini Dey</t>
        </is>
      </c>
      <c r="CD149" s="54" t="n">
        <v>45607</v>
      </c>
      <c r="CE149" s="53" t="inlineStr">
        <is>
          <t>Senior Sales Development Representative</t>
        </is>
      </c>
      <c r="CF149" s="53" t="inlineStr">
        <is>
          <t>Team lead parallel to Vijay: Cold calling+Emailing, Scheduling Demo,, Before Demo, they huddle with Functional * Sales team to provide detailed portfolio about the company.Tools used - Linkedin Sales navigator · To fetch number of customers shared by Database Team:</t>
        </is>
      </c>
      <c r="CG149" s="53" t="inlineStr">
        <is>
          <t>Sales &amp; Business Development</t>
        </is>
      </c>
      <c r="CH149" s="53" t="inlineStr">
        <is>
          <t>Sales Development · SDR</t>
        </is>
      </c>
      <c r="CI149" s="53" t="inlineStr">
        <is>
          <t>SDR Team Lead</t>
        </is>
      </c>
      <c r="CJ149" s="53" t="inlineStr">
        <is>
          <t>L4 – Senior</t>
        </is>
      </c>
      <c r="CK149" s="53" t="inlineStr">
        <is>
          <t>Saahit Togaru</t>
        </is>
      </c>
      <c r="CL149" s="53" t="inlineStr">
        <is>
          <t>N-4</t>
        </is>
      </c>
      <c r="CM149" s="53" t="inlineStr">
        <is>
          <t>Player Cum Coach</t>
        </is>
      </c>
      <c r="CN149" s="53" t="inlineStr">
        <is>
          <t>Regtech</t>
        </is>
      </c>
      <c r="CO149" s="53" t="inlineStr">
        <is>
          <t>Marketing</t>
        </is>
      </c>
      <c r="CP149" s="53" t="inlineStr">
        <is>
          <t>3 years, 11 months, 9 days</t>
        </is>
      </c>
      <c r="CQ149" s="53" t="inlineStr">
        <is>
          <t>Team Lead - Sales Development</t>
        </is>
      </c>
      <c r="CR149" s="53" t="inlineStr">
        <is>
          <t>No</t>
        </is>
      </c>
      <c r="CS149" s="53" t="n"/>
      <c r="CT149" s="53" t="n"/>
      <c r="CU149" s="53" t="n"/>
      <c r="CV149" s="53" t="n"/>
      <c r="CW149" s="53" t="inlineStr">
        <is>
          <t>No</t>
        </is>
      </c>
      <c r="CX149" s="53" t="inlineStr">
        <is>
          <t>No</t>
        </is>
      </c>
      <c r="CY149" s="53" t="n"/>
      <c r="CZ149" s="53" t="n"/>
      <c r="DA149" s="53" t="n"/>
      <c r="DB149" s="53" t="inlineStr">
        <is>
          <t>Title to be standardized to Team Lead - Sales Development, To be mapped to SDR Mgr Europe - TBH</t>
        </is>
      </c>
      <c r="DC149" s="53" t="n"/>
      <c r="DD149" s="53" t="n"/>
      <c r="DE149" s="53" t="n"/>
      <c r="DF149" s="53" t="n"/>
      <c r="DG149" s="53" t="n"/>
      <c r="DH149" s="53" t="n"/>
      <c r="DI149" s="53" t="n"/>
      <c r="DJ149" s="53" t="n"/>
      <c r="DK149" s="53" t="n"/>
      <c r="DL149" s="53" t="n"/>
      <c r="DM149" s="53" t="n"/>
      <c r="DN149" s="53" t="n"/>
      <c r="DO149" s="53" t="n"/>
      <c r="DP149" s="53" t="n"/>
      <c r="DQ149" s="53" t="n"/>
      <c r="DR149" s="53" t="n"/>
      <c r="DS149" s="53" t="n"/>
      <c r="DT149" s="53" t="n"/>
      <c r="DU149" s="53" t="n"/>
      <c r="DV149" s="53" t="n"/>
      <c r="DW149" s="53" t="n"/>
      <c r="DX149" s="53" t="n"/>
      <c r="DY149" s="53" t="n"/>
      <c r="DZ149" s="53" t="n"/>
      <c r="EA149" s="53" t="n"/>
      <c r="EB149" s="53" t="n"/>
      <c r="EC149" s="53" t="n"/>
      <c r="ED149" s="53" t="n"/>
      <c r="EE149" s="53" t="n"/>
      <c r="EF149" s="53" t="n"/>
      <c r="EG149" s="53" t="n"/>
      <c r="EH149" s="53" t="n"/>
      <c r="EI149" s="53" t="n"/>
      <c r="EJ149" s="53" t="n"/>
      <c r="EK149" s="53" t="n"/>
      <c r="EL149" s="53" t="n"/>
      <c r="EM149" s="53" t="n"/>
      <c r="EN149" s="53" t="n"/>
      <c r="EO149" s="53" t="n"/>
      <c r="EP149" s="53" t="n"/>
      <c r="EQ149" s="53" t="n"/>
      <c r="ER149" s="53" t="n"/>
      <c r="ES149" s="53" t="n"/>
      <c r="ET149" s="53" t="n"/>
      <c r="EU149" s="53" t="n"/>
      <c r="EV149" s="53" t="n"/>
      <c r="EW149" s="52" t="n"/>
      <c r="EX149" s="53" t="inlineStr">
        <is>
          <t>My role of an SDR is to reach out to prospects, understand and recognise ICPs and put out what IRIS CARBON does in a consultative and strategic way; Outreach Pipeline Generation Strategies for the team</t>
        </is>
      </c>
      <c r="EY149" s="53" t="inlineStr">
        <is>
          <t>Generate Lead Interest Qualify and Nurture leads Generate opportunities Drive sales pipeline; I am directly accountable for handing over a lead to the sales team and creating meaningful opportunities; Leading an SDR team Deliver qualified leads Generate sales pipeline Coordinate with sales Work on new strategies; As an SDR, we're on the frontline of the business. Missing on an opportunity or an ill-managed lead may directly hamper the brand experience for prospects</t>
        </is>
      </c>
      <c r="EZ149" s="53" t="inlineStr">
        <is>
          <t>Cold Calling HubSpot Outreach Team management Outbound Inside Sales; HubSpot Excel; This job requires me to fail fast and fix fast. Adaptability, ability to navigate through rejections and wearing multiple hats is what sets it apart from just doing it.</t>
        </is>
      </c>
      <c r="FA149" s="53" t="inlineStr">
        <is>
          <t>There's no set structure of what you can expect in a role like this. There's a constant A/B testing of your core and task management skills, and that we have to open to that.; Analytical check points; More exposure into team management, understand analytical tools, develop stronger core skill.</t>
        </is>
      </c>
      <c r="FB149" s="53" t="inlineStr">
        <is>
          <t>Market Instability; Nothing as of now.</t>
        </is>
      </c>
      <c r="FC149" s="53" t="n"/>
      <c r="FD149" s="53" t="n"/>
      <c r="FE149" s="57" t="inlineStr">
        <is>
          <t>1. Build a strong pipeline of qualified leads through close sales collaboration and complete 8 Discovery Calls · DCCs per month · ~96 annually
2. Generate 3 Sales Accepted Leads · SALs = Active Buy per month by qualifying high-intent opportunities for Account Executives and Functional Experts · ~36 annually
3. Ensure team is delivering at least 100% of their targets</t>
        </is>
      </c>
      <c r="FF149" s="56" t="n"/>
      <c r="FG149" s="56" t="n"/>
      <c r="FH149" s="56" t="n"/>
      <c r="FI149" s="56" t="inlineStr">
        <is>
          <t>Team lead parallel to Vijay : Cold calling+Emailing, Scheduling Demo, , Before Demo, they huddle with Functional * Sales team to provide detailed portfolio about the company.Tools used - Linkedin Sales navigator · To fetch number of customers shared by Database Team:</t>
        </is>
      </c>
      <c r="FJ149" s="56" t="inlineStr">
        <is>
          <t>Received · manager annual</t>
        </is>
      </c>
      <c r="FK149" s="56" t="inlineStr">
        <is>
          <t>CARBON Mapping Master · CARBON Talent Mapping · Raw</t>
        </is>
      </c>
      <c r="FL149" s="56" t="n">
        <v>20</v>
      </c>
      <c r="FM149" s="56" t="inlineStr">
        <is>
          <t>My role of an SDR is to reach out to prospects, understand and recognise ICPs and put out what IRIS CARBON does in a consultative and strategic way; Outreach Pipeline Generation Strategies for the team</t>
        </is>
      </c>
      <c r="FN149" s="56" t="inlineStr">
        <is>
          <t>Generate Lead Interest Qualify and Nurture leads Generate opportunities Drive sales pipeline; I am directly accountable for handing over a lead to the sales team and creating meaningful opportunities; Leading an SDR team Deliver qualified leads Generate sales pipeline Coordinate with sales Work on new strategies; As an SDR, we're on the frontline of the business. Missing on an opportunity or an ill-managed lead may directly hamper the brand experience for prospects</t>
        </is>
      </c>
      <c r="FO149" s="56" t="inlineStr">
        <is>
          <t>Cold Calling HubSpot Outreach Team management Outbound Inside Sales; HubSpot Excel; This job requires me to fail fast and fix fast. Adaptability, ability to navigate through rejections and wearing multiple hats is what sets it apart from just doing it.</t>
        </is>
      </c>
      <c r="FP149" s="56" t="inlineStr">
        <is>
          <t>There's no set structure of what you can expect in a role like this. There's a constant A/B testing of your core and task management skills, and that we have to open to that.; Analytical check points; More exposure into team management, understand analytical tools, develop stronger core skill.</t>
        </is>
      </c>
      <c r="FQ149" s="56" t="inlineStr">
        <is>
          <t>Market Instability; Nothing as of now.</t>
        </is>
      </c>
      <c r="FR149" s="56" t="inlineStr">
        <is>
          <t>Complexity: Evidence reads like A3: Player-coach: own consultative outreach and lead qualification plus working out new strategies for SDR team → moved down 0.5
Autonomy: Evidence reads like B1: Decides outreach, pipeline generation and strategies for the team → matches the start
Accountability: Evidence reads like B1: Leads an SDR team delivering qualified leads and pipeline; four reports → matches the start
Leadership: Evidence reads like B1: Leads an SDR team as player and coach; four direct reports → matches the start
Business Impact: No survey or manager-mapping signal on criticality: kept at the start point.</t>
        </is>
      </c>
      <c r="FS149" s="56" t="inlineStr">
        <is>
          <t>Common themes in sub-family holders, all levels' answers: sales · scheduling · customers shared · cold · navigator fetch · database
Common themes in sub-family holders, all levels' answers: outreach · linkedin · calls · pipeline · qualified · cold
Common themes in sub-family holders, all levels' answers: meetings · pipeline · sales · opportunities · lead · discovery
Common themes in sub-family holders, all levels' answers: pipeline · lead · meetings · accountable · qualified · opportunities
Common themes in sub-family holders, all levels' answers: outreach · approach · messaging · calls · emails · pipeline
If the work is missed · role-holders' themes: pipeline · lead · meetings · time · outreach.</t>
        </is>
      </c>
      <c r="FT149" s="56" t="inlineStr">
        <is>
          <t>Self-identified: Leadership &amp; people management · Data, SQL &amp; analytics · Product &amp; tool knowledge · Broader exposure &amp; ownership
For the next role: Leadership &amp; people management · Data, SQL &amp; analytics · Product &amp; tool knowledge · Broader exposure &amp; ownership</t>
        </is>
      </c>
      <c r="FU149" s="56" t="inlineStr">
        <is>
          <t>Per-person summary · CARBON Mapping Master</t>
        </is>
      </c>
    </row>
    <row r="150" ht="90" customHeight="1">
      <c r="A150" s="51" t="inlineStr">
        <is>
          <t>◂ Back</t>
        </is>
      </c>
      <c r="B150" s="29" t="inlineStr">
        <is>
          <t>Mapped</t>
        </is>
      </c>
      <c r="C150" s="28" t="inlineStr">
        <is>
          <t>CARBON</t>
        </is>
      </c>
      <c r="D150" s="29" t="inlineStr">
        <is>
          <t>IRIS2513</t>
        </is>
      </c>
      <c r="E150" s="29" t="inlineStr">
        <is>
          <t>Satyarth Singh</t>
        </is>
      </c>
      <c r="F150" s="29" t="inlineStr">
        <is>
          <t>Marketing</t>
        </is>
      </c>
      <c r="G150" s="29" t="inlineStr">
        <is>
          <t>Marketing Associate</t>
        </is>
      </c>
      <c r="H150" s="29" t="inlineStr">
        <is>
          <t>Sales Development Representative</t>
        </is>
      </c>
      <c r="I150" s="29" t="inlineStr">
        <is>
          <t>L3 – Professional / Associate</t>
        </is>
      </c>
      <c r="J150" s="29" t="inlineStr">
        <is>
          <t>A2</t>
        </is>
      </c>
      <c r="K150" s="29" t="inlineStr">
        <is>
          <t>• Same level</t>
        </is>
      </c>
      <c r="L150" s="29" t="inlineStr">
        <is>
          <t>Sales &amp; Business Development</t>
        </is>
      </c>
      <c r="M150" s="29" t="inlineStr">
        <is>
          <t>Sales Development &amp; Prospecting</t>
        </is>
      </c>
      <c r="N150" s="29" t="n"/>
      <c r="O150" s="29" t="n">
        <v>19</v>
      </c>
      <c r="P150" s="28" t="inlineStr">
        <is>
          <t>P1–P2</t>
        </is>
      </c>
      <c r="Q150" s="29" t="inlineStr">
        <is>
          <t>Entry / Developing</t>
        </is>
      </c>
      <c r="R150" s="29" t="inlineStr">
        <is>
          <t>2 Assist</t>
        </is>
      </c>
      <c r="S150" s="29" t="inlineStr">
        <is>
          <t>0–2 yrs</t>
        </is>
      </c>
      <c r="T150" s="29" t="inlineStr">
        <is>
          <t>1–3 · 0–3</t>
        </is>
      </c>
      <c r="U150" s="29" t="inlineStr">
        <is>
          <t>SDR · entry / SDR / Inside Sales</t>
        </is>
      </c>
      <c r="V150" s="29" t="inlineStr">
        <is>
          <t>IRIS Vs Competitor Benchmark — SaaS sales ladder — IC: SDR / BDR</t>
        </is>
      </c>
      <c r="W150" s="29" t="inlineStr">
        <is>
          <t>SaaS sales ladder · SDR → AE → Enterprise AE → VP / CRO; MEDDICC-style qualification</t>
        </is>
      </c>
      <c r="X150" s="29" t="inlineStr">
        <is>
          <t>Core 2 · Future 2 · Functional 2 · Leadership not scored</t>
        </is>
      </c>
      <c r="Y150" s="52" t="n">
        <v>484</v>
      </c>
      <c r="Z150" s="53" t="inlineStr">
        <is>
          <t>IRIS2513</t>
        </is>
      </c>
      <c r="AA150" s="53" t="inlineStr">
        <is>
          <t>Employee</t>
        </is>
      </c>
      <c r="AB150" s="53" t="inlineStr">
        <is>
          <t>Active</t>
        </is>
      </c>
      <c r="AC150" s="53" t="inlineStr">
        <is>
          <t>Satyarth Singh</t>
        </is>
      </c>
      <c r="AD150" s="54" t="n">
        <v>46125</v>
      </c>
      <c r="AE150" s="53" t="inlineStr">
        <is>
          <t>Marketing Associate</t>
        </is>
      </c>
      <c r="AF150" s="53" t="inlineStr">
        <is>
          <t>PGDM</t>
        </is>
      </c>
      <c r="AG150" s="53" t="inlineStr">
        <is>
          <t>Priyadarshini Dey</t>
        </is>
      </c>
      <c r="AH150" s="53" t="inlineStr">
        <is>
          <t>N-5</t>
        </is>
      </c>
      <c r="AI150" s="53" t="inlineStr">
        <is>
          <t>Individual Contributor</t>
        </is>
      </c>
      <c r="AJ150" s="53" t="inlineStr">
        <is>
          <t>0 years, 0 months, 0 days</t>
        </is>
      </c>
      <c r="AK150" s="53" t="inlineStr">
        <is>
          <t>0 years, 4 months, 12 days</t>
        </is>
      </c>
      <c r="AL150" s="53" t="inlineStr">
        <is>
          <t>Regtech</t>
        </is>
      </c>
      <c r="AM150" s="53" t="inlineStr">
        <is>
          <t>CARBON</t>
        </is>
      </c>
      <c r="AN150" s="53" t="inlineStr">
        <is>
          <t>Marketing</t>
        </is>
      </c>
      <c r="AO150" s="53" t="inlineStr">
        <is>
          <t>Marketing</t>
        </is>
      </c>
      <c r="AP150" s="53" t="inlineStr">
        <is>
          <t>No</t>
        </is>
      </c>
      <c r="AQ150" s="53" t="inlineStr">
        <is>
          <t>Sales, Marketing &amp; Support</t>
        </is>
      </c>
      <c r="AR150" s="53" t="inlineStr">
        <is>
          <t>Marketing</t>
        </is>
      </c>
      <c r="AS150" s="53" t="inlineStr">
        <is>
          <t>Non-technical</t>
        </is>
      </c>
      <c r="AT150" s="53" t="n">
        <v>20</v>
      </c>
      <c r="AU150" s="53" t="inlineStr">
        <is>
          <t>Covered</t>
        </is>
      </c>
      <c r="AV150" s="53" t="inlineStr">
        <is>
          <t>IRIS2513</t>
        </is>
      </c>
      <c r="AW150" s="53" t="inlineStr">
        <is>
          <t>Satyarth Singh</t>
        </is>
      </c>
      <c r="AX150" s="53" t="inlineStr">
        <is>
          <t>Marketing</t>
        </is>
      </c>
      <c r="AY150" s="53" t="inlineStr">
        <is>
          <t>Sales &amp; Business Development</t>
        </is>
      </c>
      <c r="AZ150" s="53" t="inlineStr">
        <is>
          <t>Sales Development · SDR</t>
        </is>
      </c>
      <c r="BA150" s="53" t="n"/>
      <c r="BB150" s="53" t="n"/>
      <c r="BC150" s="53" t="inlineStr">
        <is>
          <t>Employee</t>
        </is>
      </c>
      <c r="BD150" s="53" t="inlineStr">
        <is>
          <t>Saahit Togaru</t>
        </is>
      </c>
      <c r="BE150" s="53" t="inlineStr">
        <is>
          <t>Saahit Togaru</t>
        </is>
      </c>
      <c r="BF150" s="53" t="inlineStr">
        <is>
          <t>No</t>
        </is>
      </c>
      <c r="BG150" s="53" t="inlineStr">
        <is>
          <t>Marketing Associate</t>
        </is>
      </c>
      <c r="BH150" s="53" t="inlineStr">
        <is>
          <t>Sales Development Associate</t>
        </is>
      </c>
      <c r="BI150" s="53" t="inlineStr">
        <is>
          <t>Yes</t>
        </is>
      </c>
      <c r="BJ150" s="53" t="inlineStr">
        <is>
          <t>—</t>
        </is>
      </c>
      <c r="BK150" s="53" t="inlineStr">
        <is>
          <t>—</t>
        </is>
      </c>
      <c r="BL150" s="53" t="inlineStr">
        <is>
          <t>—</t>
        </is>
      </c>
      <c r="BM150" s="53" t="inlineStr">
        <is>
          <t>Not a manager</t>
        </is>
      </c>
      <c r="BN150" s="53" t="inlineStr">
        <is>
          <t>—</t>
        </is>
      </c>
      <c r="BO150" s="53" t="inlineStr">
        <is>
          <t>—</t>
        </is>
      </c>
      <c r="BP150" s="53" t="inlineStr">
        <is>
          <t>—</t>
        </is>
      </c>
      <c r="BQ150" s="53" t="inlineStr">
        <is>
          <t>Not a manager</t>
        </is>
      </c>
      <c r="BR150" s="53" t="inlineStr">
        <is>
          <t>—</t>
        </is>
      </c>
      <c r="BS150" s="53" t="inlineStr">
        <is>
          <t>L3 – Professional / Associate</t>
        </is>
      </c>
      <c r="BT150" s="53" t="inlineStr">
        <is>
          <t>L3 – Professional / Associate</t>
        </is>
      </c>
      <c r="BU150" s="53" t="inlineStr">
        <is>
          <t>No designation change — current record value carried forward</t>
        </is>
      </c>
      <c r="BV150" s="53" t="n"/>
      <c r="BW150" s="53" t="n"/>
      <c r="BX150" s="53" t="inlineStr">
        <is>
          <t>No input received.</t>
        </is>
      </c>
      <c r="BY150" s="53" t="n"/>
      <c r="BZ150" s="53" t="inlineStr">
        <is>
          <t>IRIS2513</t>
        </is>
      </c>
      <c r="CA150" s="53" t="inlineStr">
        <is>
          <t>Employee</t>
        </is>
      </c>
      <c r="CB150" s="53" t="inlineStr">
        <is>
          <t>Active</t>
        </is>
      </c>
      <c r="CC150" s="53" t="inlineStr">
        <is>
          <t>Satyarth Singh</t>
        </is>
      </c>
      <c r="CD150" s="54" t="n">
        <v>46125</v>
      </c>
      <c r="CE150" s="53" t="inlineStr">
        <is>
          <t>Marketing Associate</t>
        </is>
      </c>
      <c r="CF150" s="53" t="inlineStr">
        <is>
          <t>Cold calling+Emailing, Scheduling Demo, Before Demo, they huddle with Functional * Sales team to provide detailed portfolio about the company. Tools used - Linkedin Sales navigator · To fetch number of customers shared by Database Team:</t>
        </is>
      </c>
      <c r="CG150" s="53" t="inlineStr">
        <is>
          <t>Sales &amp; Business Development</t>
        </is>
      </c>
      <c r="CH150" s="53" t="inlineStr">
        <is>
          <t>Sales Development · SDR</t>
        </is>
      </c>
      <c r="CI150" s="53" t="inlineStr">
        <is>
          <t>Marketing Associate</t>
        </is>
      </c>
      <c r="CJ150" s="53" t="inlineStr">
        <is>
          <t>L3 – Professional / Associate</t>
        </is>
      </c>
      <c r="CK150" s="53" t="inlineStr">
        <is>
          <t>Saahit Togaru</t>
        </is>
      </c>
      <c r="CL150" s="53" t="inlineStr">
        <is>
          <t>N-4</t>
        </is>
      </c>
      <c r="CM150" s="53" t="inlineStr">
        <is>
          <t>Individual Contributor</t>
        </is>
      </c>
      <c r="CN150" s="53" t="inlineStr">
        <is>
          <t>Regtech</t>
        </is>
      </c>
      <c r="CO150" s="53" t="inlineStr">
        <is>
          <t>Marketing</t>
        </is>
      </c>
      <c r="CP150" s="53" t="inlineStr">
        <is>
          <t>0 years, 2 months, 7 days</t>
        </is>
      </c>
      <c r="CQ150" s="53" t="n"/>
      <c r="CR150" s="53" t="n"/>
      <c r="CS150" s="53" t="n"/>
      <c r="CT150" s="53" t="n"/>
      <c r="CU150" s="53" t="n"/>
      <c r="CV150" s="53" t="n"/>
      <c r="CW150" s="53" t="inlineStr">
        <is>
          <t>No</t>
        </is>
      </c>
      <c r="CX150" s="53" t="inlineStr">
        <is>
          <t>No</t>
        </is>
      </c>
      <c r="CY150" s="53" t="n"/>
      <c r="CZ150" s="53" t="n"/>
      <c r="DA150" s="53" t="n"/>
      <c r="DB150" s="53" t="inlineStr">
        <is>
          <t>To be mapped to SDR Mgr US - TBH</t>
        </is>
      </c>
      <c r="DC150" s="53" t="n"/>
      <c r="DD150" s="53" t="n"/>
      <c r="DE150" s="53" t="n"/>
      <c r="DF150" s="53" t="n"/>
      <c r="DG150" s="53" t="n"/>
      <c r="DH150" s="53" t="n"/>
      <c r="DI150" s="53" t="n"/>
      <c r="DJ150" s="53" t="n"/>
      <c r="DK150" s="53" t="n"/>
      <c r="DL150" s="53" t="n"/>
      <c r="DM150" s="53" t="n"/>
      <c r="DN150" s="53" t="n"/>
      <c r="DO150" s="53" t="n"/>
      <c r="DP150" s="53" t="n"/>
      <c r="DQ150" s="53" t="n"/>
      <c r="DR150" s="53" t="n"/>
      <c r="DS150" s="53" t="n"/>
      <c r="DT150" s="53" t="n"/>
      <c r="DU150" s="53" t="n"/>
      <c r="DV150" s="53" t="n"/>
      <c r="DW150" s="53" t="n"/>
      <c r="DX150" s="53" t="n"/>
      <c r="DY150" s="53" t="n"/>
      <c r="DZ150" s="53" t="n"/>
      <c r="EA150" s="53" t="n"/>
      <c r="EB150" s="53" t="n"/>
      <c r="EC150" s="53" t="n"/>
      <c r="ED150" s="53" t="n"/>
      <c r="EE150" s="53" t="n"/>
      <c r="EF150" s="53" t="n"/>
      <c r="EG150" s="53" t="n"/>
      <c r="EH150" s="53" t="n"/>
      <c r="EI150" s="53" t="n"/>
      <c r="EJ150" s="53" t="n"/>
      <c r="EK150" s="53" t="n"/>
      <c r="EL150" s="53" t="n"/>
      <c r="EM150" s="53" t="n"/>
      <c r="EN150" s="53" t="n"/>
      <c r="EO150" s="53" t="n"/>
      <c r="EP150" s="53" t="n"/>
      <c r="EQ150" s="53" t="n"/>
      <c r="ER150" s="53" t="n"/>
      <c r="ES150" s="53" t="n"/>
      <c r="ET150" s="53" t="n"/>
      <c r="EU150" s="53" t="n"/>
      <c r="EV150" s="53" t="n"/>
      <c r="EW150" s="52" t="n"/>
      <c r="EX150" s="53" t="inlineStr">
        <is>
          <t>• This role books pre-sales discovery meetings, primarily through outbound calls, between relevant ICPs and the sales and functional teams.</t>
        </is>
      </c>
      <c r="EY150" s="53" t="inlineStr">
        <is>
          <t>• Reported deliverables and outcomes include: Schedule discovery call; Setting meeting with ICPs; Research for relevant ICPs, proper research about the company and any other relevant information about the domain or industry; first outreach.
• The role is accountable for Missing to coordinate with internal teams as it could lead to missing a prospective customer.
• The role independently makes decisions on Cold calls E-mails; LinkedIn Huddle for DC.</t>
        </is>
      </c>
      <c r="EZ150" s="53" t="inlineStr">
        <is>
          <t>• Current capabilities: Account research and targeted outreach; Cold calling, email outreach and LinkedIn engagement; Prospect qualification and meeting coordination.</t>
        </is>
      </c>
      <c r="FA150" s="53" t="inlineStr">
        <is>
          <t>• Development priorities: Strengthen cold-calling, communication and rejection handling; Build confidence and more customised account targeting.
• Learning and Development Need: Cold-calling, communication and rejection-handling skills training, plus account-based targeting techniques for more customised outreach.</t>
        </is>
      </c>
      <c r="FB150" s="53" t="inlineStr">
        <is>
          <t>• Key challenges: Internal coordination gaps can result in missed prospects; Needs more consistent outreach cadence and communication confidence.
• Support required: No input received.</t>
        </is>
      </c>
      <c r="FC150" s="53" t="n"/>
      <c r="FD150" s="53" t="n"/>
      <c r="FE150" s="55" t="inlineStr">
        <is>
          <t>KRAs not received · manager to supply</t>
        </is>
      </c>
      <c r="FF150" s="56" t="n"/>
      <c r="FG150" s="56" t="n"/>
      <c r="FH150" s="56" t="n"/>
      <c r="FI150" s="56" t="inlineStr">
        <is>
          <t>Cold calling+Emailing, Scheduling Demo, Before Demo, they huddle with Functional * Sales team to provide detailed portfolio about the company. Tools used - Linkedin Sales navigator · To fetch number of customers shared by Database Team:</t>
        </is>
      </c>
      <c r="FJ150" s="32" t="inlineStr">
        <is>
          <t>KRAs not received · manager to supply</t>
        </is>
      </c>
      <c r="FK150" s="56" t="inlineStr">
        <is>
          <t>CARBON Talent Mapping · Raw</t>
        </is>
      </c>
      <c r="FL150" s="56" t="n">
        <v>19</v>
      </c>
      <c r="FM150" s="56" t="inlineStr">
        <is>
          <t>• This role books pre-sales discovery meetings, primarily through outbound calls, between relevant ICPs and the sales and functional teams.</t>
        </is>
      </c>
      <c r="FN150" s="56" t="inlineStr">
        <is>
          <t>• Reported deliverables and outcomes include: Schedule discovery call; Setting meeting with ICPs; Research for relevant ICPs, proper research about the company and any other relevant information about the domain or industry; first outreach.
• The role is accountable for Missing to coordinate with internal teams as it could lead to missing a prospective customer.
• The role independently makes decisions on Cold calls E-mails; LinkedIn Huddle for DC.</t>
        </is>
      </c>
      <c r="FO150" s="56" t="inlineStr">
        <is>
          <t>• Current capabilities: Account research and targeted outreach; Cold calling, email outreach and LinkedIn engagement; Prospect qualification and meeting coordination.</t>
        </is>
      </c>
      <c r="FP150" s="56" t="inlineStr">
        <is>
          <t>• Development priorities: Strengthen cold-calling, communication and rejection handling; Build confidence and more customised account targeting.
• Learning and Development Need: Cold-calling, communication and rejection-handling skills training, plus account-based targeting techniques for more customised outreach.</t>
        </is>
      </c>
      <c r="FQ150" s="56" t="inlineStr">
        <is>
          <t>• Key challenges: Internal coordination gaps can result in missed prospects; Needs more consistent outreach cadence and communication confidence.
• Support required: No input received.</t>
        </is>
      </c>
      <c r="FR150" s="56" t="inlineStr">
        <is>
          <t>Complexity: Evidence reads like A2: Books discovery meetings via cold calls, emails and LinkedIn for France and Italy; researches ICPs → matches the start
Autonomy: Evidence reads like A2: Decides the first outreach; adapts approach by region → matches the start
Accountability: Evidence reads like A2: Accountable for ICP research and scheduling discovery calls; missed coordination loses a prospect → matches the start
Leadership: Evidence reads like A1: No guidance or leadership of others described → matches the start
Business Impact: No survey or manager-mapping signal on criticality: kept at the start point.</t>
        </is>
      </c>
      <c r="FS150" s="56" t="inlineStr">
        <is>
          <t>Common themes in role-holders' answers: scheduling · customers shared · sales · cold · navigator fetch · database
Common themes in role-holders' answers: building · crm · outreach · linkedin · right · company
Common themes in role-holders' answers: discovery · meetings · revenue
Common themes in role-holders' answers: if · relevant · meeting · lead
Common themes in role-holders' answers: outreach
If the work is missed · role-holders' themes: pipeline.</t>
        </is>
      </c>
      <c r="FT150" s="56" t="inlineStr">
        <is>
          <t>Self-identified: Communication &amp; presentation
For the next role: Communication &amp; presentation</t>
        </is>
      </c>
      <c r="FU150" s="56" t="inlineStr">
        <is>
          <t>Per-person summary · CARBON Mapping Master</t>
        </is>
      </c>
    </row>
    <row r="151" ht="90" customHeight="1">
      <c r="A151" s="51" t="inlineStr">
        <is>
          <t>◂ Back</t>
        </is>
      </c>
      <c r="B151" s="29" t="inlineStr">
        <is>
          <t>Mapped</t>
        </is>
      </c>
      <c r="C151" s="28" t="inlineStr">
        <is>
          <t>CARBON</t>
        </is>
      </c>
      <c r="D151" s="29" t="inlineStr">
        <is>
          <t>IRIS2512</t>
        </is>
      </c>
      <c r="E151" s="29" t="inlineStr">
        <is>
          <t>Shobhit Dhingra</t>
        </is>
      </c>
      <c r="F151" s="29" t="inlineStr">
        <is>
          <t>Marketing</t>
        </is>
      </c>
      <c r="G151" s="29" t="inlineStr">
        <is>
          <t>Marketing Associate</t>
        </is>
      </c>
      <c r="H151" s="29" t="inlineStr">
        <is>
          <t>Sales Development Representative</t>
        </is>
      </c>
      <c r="I151" s="29" t="inlineStr">
        <is>
          <t>L3 – Professional / Associate</t>
        </is>
      </c>
      <c r="J151" s="29" t="inlineStr">
        <is>
          <t>A2</t>
        </is>
      </c>
      <c r="K151" s="29" t="inlineStr">
        <is>
          <t>• Same level</t>
        </is>
      </c>
      <c r="L151" s="29" t="inlineStr">
        <is>
          <t>Sales &amp; Business Development</t>
        </is>
      </c>
      <c r="M151" s="29" t="inlineStr">
        <is>
          <t>Sales Development &amp; Prospecting</t>
        </is>
      </c>
      <c r="N151" s="29" t="n"/>
      <c r="O151" s="29" t="n">
        <v>20</v>
      </c>
      <c r="P151" s="28" t="inlineStr">
        <is>
          <t>P1–P2</t>
        </is>
      </c>
      <c r="Q151" s="29" t="inlineStr">
        <is>
          <t>Entry / Developing</t>
        </is>
      </c>
      <c r="R151" s="29" t="inlineStr">
        <is>
          <t>2 Assist</t>
        </is>
      </c>
      <c r="S151" s="29" t="inlineStr">
        <is>
          <t>0–2 yrs</t>
        </is>
      </c>
      <c r="T151" s="29" t="inlineStr">
        <is>
          <t>1–3 · 0–3</t>
        </is>
      </c>
      <c r="U151" s="29" t="inlineStr">
        <is>
          <t>SDR · entry / SDR / Inside Sales</t>
        </is>
      </c>
      <c r="V151" s="29" t="inlineStr">
        <is>
          <t>IRIS Vs Competitor Benchmark — SaaS sales ladder — IC: SDR / BDR</t>
        </is>
      </c>
      <c r="W151" s="29" t="inlineStr">
        <is>
          <t>SaaS sales ladder · SDR → AE → Enterprise AE → VP / CRO; MEDDICC-style qualification</t>
        </is>
      </c>
      <c r="X151" s="29" t="inlineStr">
        <is>
          <t>Core 2 · Future 2 · Functional 2 · Leadership not scored</t>
        </is>
      </c>
      <c r="Y151" s="52" t="n">
        <v>483</v>
      </c>
      <c r="Z151" s="53" t="inlineStr">
        <is>
          <t>IRIS2512</t>
        </is>
      </c>
      <c r="AA151" s="53" t="inlineStr">
        <is>
          <t>Employee</t>
        </is>
      </c>
      <c r="AB151" s="53" t="inlineStr">
        <is>
          <t>Active</t>
        </is>
      </c>
      <c r="AC151" s="53" t="inlineStr">
        <is>
          <t>Shobhit Dhingra</t>
        </is>
      </c>
      <c r="AD151" s="54" t="n">
        <v>46125</v>
      </c>
      <c r="AE151" s="53" t="inlineStr">
        <is>
          <t>Marketing Associate</t>
        </is>
      </c>
      <c r="AF151" s="53" t="inlineStr">
        <is>
          <t>B.Com</t>
        </is>
      </c>
      <c r="AG151" s="53" t="inlineStr">
        <is>
          <t>Priyadarshini Dey</t>
        </is>
      </c>
      <c r="AH151" s="53" t="inlineStr">
        <is>
          <t>N-5</t>
        </is>
      </c>
      <c r="AI151" s="53" t="inlineStr">
        <is>
          <t>Individual Contributor</t>
        </is>
      </c>
      <c r="AJ151" s="53" t="inlineStr">
        <is>
          <t>0 years, 0 months, 0 days</t>
        </is>
      </c>
      <c r="AK151" s="53" t="inlineStr">
        <is>
          <t>0 years, 4 months, 12 days</t>
        </is>
      </c>
      <c r="AL151" s="53" t="inlineStr">
        <is>
          <t>Regtech</t>
        </is>
      </c>
      <c r="AM151" s="53" t="inlineStr">
        <is>
          <t>CARBON</t>
        </is>
      </c>
      <c r="AN151" s="53" t="inlineStr">
        <is>
          <t>Marketing</t>
        </is>
      </c>
      <c r="AO151" s="53" t="inlineStr">
        <is>
          <t>Marketing</t>
        </is>
      </c>
      <c r="AP151" s="53" t="inlineStr">
        <is>
          <t>No</t>
        </is>
      </c>
      <c r="AQ151" s="53" t="inlineStr">
        <is>
          <t>Sales, Marketing &amp; Support</t>
        </is>
      </c>
      <c r="AR151" s="53" t="inlineStr">
        <is>
          <t>Marketing</t>
        </is>
      </c>
      <c r="AS151" s="53" t="inlineStr">
        <is>
          <t>Non-technical</t>
        </is>
      </c>
      <c r="AT151" s="53" t="n">
        <v>20</v>
      </c>
      <c r="AU151" s="53" t="inlineStr">
        <is>
          <t>Covered</t>
        </is>
      </c>
      <c r="AV151" s="53" t="inlineStr">
        <is>
          <t>IRIS2512</t>
        </is>
      </c>
      <c r="AW151" s="53" t="inlineStr">
        <is>
          <t>Shobhit Dhingra</t>
        </is>
      </c>
      <c r="AX151" s="53" t="inlineStr">
        <is>
          <t>Marketing</t>
        </is>
      </c>
      <c r="AY151" s="53" t="inlineStr">
        <is>
          <t>Sales &amp; Business Development</t>
        </is>
      </c>
      <c r="AZ151" s="53" t="inlineStr">
        <is>
          <t>Sales Development · SDR</t>
        </is>
      </c>
      <c r="BA151" s="53" t="n"/>
      <c r="BB151" s="53" t="n"/>
      <c r="BC151" s="53" t="inlineStr">
        <is>
          <t>Employee</t>
        </is>
      </c>
      <c r="BD151" s="53" t="inlineStr">
        <is>
          <t>Saahit Togaru</t>
        </is>
      </c>
      <c r="BE151" s="53" t="inlineStr">
        <is>
          <t>Saahit Togaru</t>
        </is>
      </c>
      <c r="BF151" s="53" t="inlineStr">
        <is>
          <t>No</t>
        </is>
      </c>
      <c r="BG151" s="53" t="inlineStr">
        <is>
          <t>Marketing Associate</t>
        </is>
      </c>
      <c r="BH151" s="53" t="inlineStr">
        <is>
          <t>Sales Development Associate</t>
        </is>
      </c>
      <c r="BI151" s="53" t="inlineStr">
        <is>
          <t>Yes</t>
        </is>
      </c>
      <c r="BJ151" s="53" t="inlineStr">
        <is>
          <t>—</t>
        </is>
      </c>
      <c r="BK151" s="53" t="inlineStr">
        <is>
          <t>—</t>
        </is>
      </c>
      <c r="BL151" s="53" t="inlineStr">
        <is>
          <t>—</t>
        </is>
      </c>
      <c r="BM151" s="53" t="inlineStr">
        <is>
          <t>Not a manager</t>
        </is>
      </c>
      <c r="BN151" s="53" t="inlineStr">
        <is>
          <t>—</t>
        </is>
      </c>
      <c r="BO151" s="53" t="inlineStr">
        <is>
          <t>—</t>
        </is>
      </c>
      <c r="BP151" s="53" t="inlineStr">
        <is>
          <t>—</t>
        </is>
      </c>
      <c r="BQ151" s="53" t="inlineStr">
        <is>
          <t>Not a manager</t>
        </is>
      </c>
      <c r="BR151" s="53" t="inlineStr">
        <is>
          <t>—</t>
        </is>
      </c>
      <c r="BS151" s="53" t="inlineStr">
        <is>
          <t>L3 – Professional / Associate</t>
        </is>
      </c>
      <c r="BT151" s="53" t="inlineStr">
        <is>
          <t>L3 – Professional / Associate</t>
        </is>
      </c>
      <c r="BU151" s="53" t="inlineStr">
        <is>
          <t>No designation change — current record value carried forward</t>
        </is>
      </c>
      <c r="BV151" s="53" t="inlineStr">
        <is>
          <t>1. Recently joined the organization · around 3 months ago and is currently ramping up while building a strong understanding of sales, internal processes, and the role.
2. Started building the assigned pipeline through account research and multi-channel outreach across target accounts.
3. Generated DCS opportunities and Education SAL</t>
        </is>
      </c>
      <c r="BW151" s="53" t="n"/>
      <c r="BX151" s="53" t="inlineStr">
        <is>
          <t>No input received.</t>
        </is>
      </c>
      <c r="BY151" s="53" t="n"/>
      <c r="BZ151" s="53" t="inlineStr">
        <is>
          <t>IRIS2512</t>
        </is>
      </c>
      <c r="CA151" s="53" t="inlineStr">
        <is>
          <t>Employee</t>
        </is>
      </c>
      <c r="CB151" s="53" t="inlineStr">
        <is>
          <t>Active</t>
        </is>
      </c>
      <c r="CC151" s="53" t="inlineStr">
        <is>
          <t>Shobhit Dhingra</t>
        </is>
      </c>
      <c r="CD151" s="54" t="n">
        <v>46125</v>
      </c>
      <c r="CE151" s="53" t="inlineStr">
        <is>
          <t>Marketing Associate</t>
        </is>
      </c>
      <c r="CF151" s="53" t="inlineStr">
        <is>
          <t>SDR Management for EU region reports to Saahit</t>
        </is>
      </c>
      <c r="CG151" s="53" t="inlineStr">
        <is>
          <t>Sales &amp; Business Development</t>
        </is>
      </c>
      <c r="CH151" s="53" t="inlineStr">
        <is>
          <t>Sales Development · SDR</t>
        </is>
      </c>
      <c r="CI151" s="53" t="inlineStr">
        <is>
          <t>Marketing Associate</t>
        </is>
      </c>
      <c r="CJ151" s="53" t="inlineStr">
        <is>
          <t>L3 – Professional / Associate</t>
        </is>
      </c>
      <c r="CK151" s="53" t="inlineStr">
        <is>
          <t>Saahit Togaru</t>
        </is>
      </c>
      <c r="CL151" s="53" t="inlineStr">
        <is>
          <t>N-4</t>
        </is>
      </c>
      <c r="CM151" s="53" t="inlineStr">
        <is>
          <t>Individual Contributor</t>
        </is>
      </c>
      <c r="CN151" s="53" t="inlineStr">
        <is>
          <t>Regtech</t>
        </is>
      </c>
      <c r="CO151" s="53" t="inlineStr">
        <is>
          <t>Marketing</t>
        </is>
      </c>
      <c r="CP151" s="53" t="inlineStr">
        <is>
          <t>0 years, 2 months, 7 days</t>
        </is>
      </c>
      <c r="CQ151" s="53" t="n"/>
      <c r="CR151" s="53" t="inlineStr">
        <is>
          <t>No</t>
        </is>
      </c>
      <c r="CS151" s="53" t="n">
        <v>1</v>
      </c>
      <c r="CT151" s="53" t="inlineStr">
        <is>
          <t>Medium</t>
        </is>
      </c>
      <c r="CU151" s="53" t="inlineStr">
        <is>
          <t>Core Contributor</t>
        </is>
      </c>
      <c r="CV151" s="53" t="inlineStr">
        <is>
          <t>Too soon to comment</t>
        </is>
      </c>
      <c r="CW151" s="53" t="inlineStr">
        <is>
          <t>No</t>
        </is>
      </c>
      <c r="CX151" s="53" t="inlineStr">
        <is>
          <t>Yes</t>
        </is>
      </c>
      <c r="CY151" s="53" t="n"/>
      <c r="CZ151" s="53" t="inlineStr">
        <is>
          <t>Would benefit from a deeper understanding of the current role and  sales process, while continuing to build confidence in prospecting and customer conversations.</t>
        </is>
      </c>
      <c r="DA151" s="53" t="n"/>
      <c r="DB151" s="53" t="inlineStr">
        <is>
          <t>To be mapped to SDR Mgr Europe - TBH</t>
        </is>
      </c>
      <c r="DC151" s="53" t="n"/>
      <c r="DD151" s="53" t="n"/>
      <c r="DE151" s="53" t="n"/>
      <c r="DF151" s="53" t="n"/>
      <c r="DG151" s="53" t="n"/>
      <c r="DH151" s="53" t="n"/>
      <c r="DI151" s="53" t="n"/>
      <c r="DJ151" s="53" t="n"/>
      <c r="DK151" s="53" t="n"/>
      <c r="DL151" s="53" t="n"/>
      <c r="DM151" s="53" t="n"/>
      <c r="DN151" s="53" t="n"/>
      <c r="DO151" s="53" t="n"/>
      <c r="DP151" s="53" t="n"/>
      <c r="DQ151" s="53" t="n"/>
      <c r="DR151" s="53" t="n"/>
      <c r="DS151" s="53" t="n"/>
      <c r="DT151" s="53" t="n"/>
      <c r="DU151" s="53" t="n"/>
      <c r="DV151" s="53" t="n"/>
      <c r="DW151" s="53" t="n"/>
      <c r="DX151" s="53" t="n"/>
      <c r="DY151" s="53" t="n"/>
      <c r="DZ151" s="53" t="n"/>
      <c r="EA151" s="53" t="n"/>
      <c r="EB151" s="53" t="n"/>
      <c r="EC151" s="53" t="n"/>
      <c r="ED151" s="53" t="n"/>
      <c r="EE151" s="53" t="n"/>
      <c r="EF151" s="53" t="n"/>
      <c r="EG151" s="53" t="n"/>
      <c r="EH151" s="53" t="n"/>
      <c r="EI151" s="53" t="n"/>
      <c r="EJ151" s="53" t="n"/>
      <c r="EK151" s="53" t="n"/>
      <c r="EL151" s="53" t="n"/>
      <c r="EM151" s="53" t="n"/>
      <c r="EN151" s="53" t="n"/>
      <c r="EO151" s="53" t="n"/>
      <c r="EP151" s="53" t="n"/>
      <c r="EQ151" s="53" t="n"/>
      <c r="ER151" s="53" t="n"/>
      <c r="ES151" s="53" t="n"/>
      <c r="ET151" s="53" t="n"/>
      <c r="EU151" s="53" t="n"/>
      <c r="EV151" s="53" t="n"/>
      <c r="EW151" s="52" t="n"/>
      <c r="EX151" s="53" t="inlineStr">
        <is>
          <t>• This role creates immediate revenue impact by generating leads and new business opportunities.</t>
        </is>
      </c>
      <c r="EY151" s="53" t="inlineStr">
        <is>
          <t>• Reported deliverables and outcomes include: Revenue Generation; Initial relationship with leads and companies.; Outreachstrategy egABtest.
• Key responsibilities include Most of us do.
• The role is accountable for Company loses potential customers.
• The role independently makes decisions on Creat maningful pipeline; Buildgood relationships.</t>
        </is>
      </c>
      <c r="EZ151" s="53" t="inlineStr">
        <is>
          <t>• Current capabilities: Pipeline building and outbound outreach; Initial relationship management and sales-funnel execution.</t>
        </is>
      </c>
      <c r="FA151" s="53" t="inlineStr">
        <is>
          <t>• Development priorities: Build communication, relationship-building and prospect-research capability.
• Learning and Development Need: Communication and relationship-building skills training, along with prospect-research methods and CRM data-discipline coaching.</t>
        </is>
      </c>
      <c r="FB151" s="53" t="inlineStr">
        <is>
          <t>• Key challenges: Outdated database and limited contact information; Needs stronger CRM discipline and access to better prospect research.
• Support required: Dedicated research support to improve data quality and targeting.</t>
        </is>
      </c>
      <c r="FC151" s="53" t="n"/>
      <c r="FD151" s="53" t="n"/>
      <c r="FE151" s="57" t="inlineStr">
        <is>
          <t>1. Recently joined the organization · around 3 months ago and is currently ramping up while building a strong understanding of sales, internal processes, and the role.
2. Started building the assigned pipeline through account research and multi-channel outreach across target accounts.
3. Generated DCS opportunities and Education SAL</t>
        </is>
      </c>
      <c r="FF151" s="56" t="n"/>
      <c r="FG151" s="56" t="n"/>
      <c r="FH151" s="56" t="n"/>
      <c r="FI151" s="56" t="inlineStr">
        <is>
          <t>SDR Management for EU region reports to Saahit</t>
        </is>
      </c>
      <c r="FJ151" s="56" t="inlineStr">
        <is>
          <t>Received · manager annual</t>
        </is>
      </c>
      <c r="FK151" s="56" t="inlineStr">
        <is>
          <t>CARBON Mapping Master · CARBON Talent Mapping · Raw</t>
        </is>
      </c>
      <c r="FL151" s="56" t="n">
        <v>20</v>
      </c>
      <c r="FM151" s="56" t="inlineStr">
        <is>
          <t>• This role creates immediate revenue impact by generating leads and new business opportunities.</t>
        </is>
      </c>
      <c r="FN151" s="56" t="inlineStr">
        <is>
          <t>• Reported deliverables and outcomes include: Revenue Generation; Initial relationship with leads and companies.; Outreachstrategy egABtest.
• Key responsibilities include Most of us do.
• The role is accountable for Company loses potential customers.
• The role independently makes decisions on Creat maningful pipeline; Buildgood relationships.</t>
        </is>
      </c>
      <c r="FO151" s="56" t="inlineStr">
        <is>
          <t>• Current capabilities: Pipeline building and outbound outreach; Initial relationship management and sales-funnel execution.</t>
        </is>
      </c>
      <c r="FP151" s="56" t="inlineStr">
        <is>
          <t>• Development priorities: Build communication, relationship-building and prospect-research capability.
• Learning and Development Need: Communication and relationship-building skills training, along with prospect-research methods and CRM data-discipline coaching.</t>
        </is>
      </c>
      <c r="FQ151" s="56" t="inlineStr">
        <is>
          <t>• Key challenges: Outdated database and limited contact information; Needs stronger CRM discipline and access to better prospect research.
• Support required: Dedicated research support to improve data quality and targeting.</t>
        </is>
      </c>
      <c r="FR151" s="56" t="inlineStr">
        <is>
          <t>Complexity: Evidence reads like A2: Pure outbound outreach to create pipeline, start the sales funnel and maintain the CRM → matches the start
Autonomy: Evidence reads like A2: Decides own outreach approach, e.g. A/B tests of messaging → matches the start
Accountability: Evidence reads like A2: own survey / KRA answers · summarised by the rater; not quoted → matches the start
Leadership: Evidence reads like A1: No guidance or leadership of others described → matches the start
Business Impact: Moved +0.5: the survey / manager mapping marks it business-critical.</t>
        </is>
      </c>
      <c r="FS151" s="56" t="inlineStr">
        <is>
          <t>Common themes in role-holders' answers: scheduling · customers shared · sales · cold · navigator fetch · database
Common themes in role-holders' answers: building · crm · outreach · linkedin · right · company
Common themes in role-holders' answers: discovery · meetings · revenue
Common themes in role-holders' answers: if · relevant · meeting · lead
Common themes in role-holders' answers: outreach
If the work is missed · role-holders' themes: pipeline.</t>
        </is>
      </c>
      <c r="FT151" s="56" t="inlineStr">
        <is>
          <t>Self-identified: Communication &amp; presentation
For the next role: Communication &amp; presentation</t>
        </is>
      </c>
      <c r="FU151" s="56" t="inlineStr">
        <is>
          <t>Per-person summary · CARBON Mapping Master</t>
        </is>
      </c>
    </row>
    <row r="152" ht="90" customHeight="1">
      <c r="A152" s="51" t="inlineStr">
        <is>
          <t>◂ Back</t>
        </is>
      </c>
      <c r="B152" s="29" t="inlineStr">
        <is>
          <t>Mapped</t>
        </is>
      </c>
      <c r="C152" s="28" t="inlineStr">
        <is>
          <t>CARBON</t>
        </is>
      </c>
      <c r="D152" s="29" t="inlineStr">
        <is>
          <t>INTN0287</t>
        </is>
      </c>
      <c r="E152" s="29" t="inlineStr">
        <is>
          <t>Anika Mariam</t>
        </is>
      </c>
      <c r="F152" s="29" t="inlineStr">
        <is>
          <t>Marketing</t>
        </is>
      </c>
      <c r="G152" s="29" t="inlineStr">
        <is>
          <t>Intern</t>
        </is>
      </c>
      <c r="H152" s="29" t="inlineStr">
        <is>
          <t>Intern – Sales Development &amp; Prospecting</t>
        </is>
      </c>
      <c r="I152" s="29" t="inlineStr">
        <is>
          <t>L1 – Intern</t>
        </is>
      </c>
      <c r="J152" s="29" t="inlineStr">
        <is>
          <t>A1</t>
        </is>
      </c>
      <c r="K152" s="29" t="inlineStr">
        <is>
          <t>• Same level</t>
        </is>
      </c>
      <c r="L152" s="29" t="inlineStr">
        <is>
          <t>Sales &amp; Business Development</t>
        </is>
      </c>
      <c r="M152" s="29" t="inlineStr">
        <is>
          <t>Sales Development &amp; Prospecting</t>
        </is>
      </c>
      <c r="N152" s="29" t="n"/>
      <c r="O152" s="29" t="n">
        <v>19</v>
      </c>
      <c r="P152" s="28" t="inlineStr">
        <is>
          <t>Entry / P1 · intern</t>
        </is>
      </c>
      <c r="Q152" s="29" t="inlineStr">
        <is>
          <t>Entry</t>
        </is>
      </c>
      <c r="R152" s="29" t="inlineStr">
        <is>
          <t>1 Follow</t>
        </is>
      </c>
      <c r="S152" s="29" t="inlineStr">
        <is>
          <t>0 yrs · fresher / intern</t>
        </is>
      </c>
      <c r="T152" s="29" t="inlineStr">
        <is>
          <t>—</t>
        </is>
      </c>
      <c r="U152" s="29" t="inlineStr">
        <is>
          <t>SDR · entry</t>
        </is>
      </c>
      <c r="V152" s="29" t="inlineStr">
        <is>
          <t>—</t>
        </is>
      </c>
      <c r="W152" s="29" t="inlineStr">
        <is>
          <t>SaaS sales ladder · SDR → AE → Enterprise AE → VP / CRO; MEDDICC-style qualification</t>
        </is>
      </c>
      <c r="X152" s="29" t="inlineStr">
        <is>
          <t>Core 1 · Future 1 · Functional 1 · Leadership not scored</t>
        </is>
      </c>
      <c r="Y152" s="52" t="n">
        <v>431</v>
      </c>
      <c r="Z152" s="53" t="inlineStr">
        <is>
          <t>INTN0287</t>
        </is>
      </c>
      <c r="AA152" s="53" t="inlineStr">
        <is>
          <t>Intern</t>
        </is>
      </c>
      <c r="AB152" s="53" t="inlineStr">
        <is>
          <t>Active</t>
        </is>
      </c>
      <c r="AC152" s="53" t="inlineStr">
        <is>
          <t>Anika Mariam</t>
        </is>
      </c>
      <c r="AD152" s="54" t="n">
        <v>46027</v>
      </c>
      <c r="AE152" s="53" t="inlineStr">
        <is>
          <t>Intern</t>
        </is>
      </c>
      <c r="AF152" s="53" t="inlineStr">
        <is>
          <t>B.Tech</t>
        </is>
      </c>
      <c r="AG152" s="53" t="inlineStr">
        <is>
          <t>Priyadarshini Dey</t>
        </is>
      </c>
      <c r="AH152" s="53" t="inlineStr">
        <is>
          <t>N-5</t>
        </is>
      </c>
      <c r="AI152" s="53" t="inlineStr">
        <is>
          <t>Individual Contributor</t>
        </is>
      </c>
      <c r="AJ152" s="53" t="inlineStr">
        <is>
          <t>0 years, 1 months, 0 days</t>
        </is>
      </c>
      <c r="AK152" s="53" t="inlineStr">
        <is>
          <t>0 years, 7 months, 20 days</t>
        </is>
      </c>
      <c r="AL152" s="53" t="inlineStr">
        <is>
          <t>Regtech</t>
        </is>
      </c>
      <c r="AM152" s="53" t="inlineStr">
        <is>
          <t>CARBON</t>
        </is>
      </c>
      <c r="AN152" s="53" t="inlineStr">
        <is>
          <t>Marketing</t>
        </is>
      </c>
      <c r="AO152" s="53" t="inlineStr">
        <is>
          <t>Marketing - SDR</t>
        </is>
      </c>
      <c r="AP152" s="53" t="inlineStr">
        <is>
          <t>No</t>
        </is>
      </c>
      <c r="AQ152" s="53" t="inlineStr">
        <is>
          <t>Sales, Marketing &amp; Support</t>
        </is>
      </c>
      <c r="AR152" s="53" t="inlineStr">
        <is>
          <t>Marketing</t>
        </is>
      </c>
      <c r="AS152" s="53" t="inlineStr">
        <is>
          <t>Non-technical</t>
        </is>
      </c>
      <c r="AT152" s="53" t="n">
        <v>20</v>
      </c>
      <c r="AU152" s="53" t="inlineStr">
        <is>
          <t>Covered</t>
        </is>
      </c>
      <c r="AV152" s="53" t="inlineStr">
        <is>
          <t>INTN0287</t>
        </is>
      </c>
      <c r="AW152" s="53" t="inlineStr">
        <is>
          <t>Anika Mariam</t>
        </is>
      </c>
      <c r="AX152" s="53" t="inlineStr">
        <is>
          <t>Marketing</t>
        </is>
      </c>
      <c r="AY152" s="53" t="inlineStr">
        <is>
          <t>Sales &amp; Business Development</t>
        </is>
      </c>
      <c r="AZ152" s="53" t="inlineStr">
        <is>
          <t>Sales Development · SDR</t>
        </is>
      </c>
      <c r="BA152" s="53" t="n"/>
      <c r="BB152" s="53" t="n"/>
      <c r="BC152" s="53" t="inlineStr">
        <is>
          <t>Intern</t>
        </is>
      </c>
      <c r="BD152" s="53" t="inlineStr">
        <is>
          <t>Priyadarshini Dey</t>
        </is>
      </c>
      <c r="BE152" s="53" t="inlineStr">
        <is>
          <t>Priyadarshini Dey</t>
        </is>
      </c>
      <c r="BF152" s="53" t="inlineStr">
        <is>
          <t>No</t>
        </is>
      </c>
      <c r="BG152" s="53" t="inlineStr">
        <is>
          <t>Intern</t>
        </is>
      </c>
      <c r="BH152" s="53" t="inlineStr">
        <is>
          <t>Intern</t>
        </is>
      </c>
      <c r="BI152" s="53" t="inlineStr">
        <is>
          <t>No</t>
        </is>
      </c>
      <c r="BJ152" s="53" t="inlineStr">
        <is>
          <t>—</t>
        </is>
      </c>
      <c r="BK152" s="53" t="inlineStr">
        <is>
          <t>—</t>
        </is>
      </c>
      <c r="BL152" s="53" t="inlineStr">
        <is>
          <t>—</t>
        </is>
      </c>
      <c r="BM152" s="53" t="inlineStr">
        <is>
          <t>Not a manager</t>
        </is>
      </c>
      <c r="BN152" s="53" t="inlineStr">
        <is>
          <t>—</t>
        </is>
      </c>
      <c r="BO152" s="53" t="inlineStr">
        <is>
          <t>—</t>
        </is>
      </c>
      <c r="BP152" s="53" t="inlineStr">
        <is>
          <t>—</t>
        </is>
      </c>
      <c r="BQ152" s="53" t="inlineStr">
        <is>
          <t>Not a manager</t>
        </is>
      </c>
      <c r="BR152" s="53" t="inlineStr">
        <is>
          <t>—</t>
        </is>
      </c>
      <c r="BS152" s="53" t="inlineStr">
        <is>
          <t>L1 – Intern</t>
        </is>
      </c>
      <c r="BT152" s="53" t="inlineStr">
        <is>
          <t>L1 – Intern</t>
        </is>
      </c>
      <c r="BU152" s="53" t="inlineStr">
        <is>
          <t>No designation change — current record value carried forward</t>
        </is>
      </c>
      <c r="BV152" s="53" t="inlineStr">
        <is>
          <t>1. Build a strong pipeline of qualified leads through close sales collaboration and complete 8 Discovery Calls · DCCs per month · ~96 annually
2. Generate 3 Sales Accepted Leads · SALs = Active Buy per month by qualifying high-intent opportunities for Account Executives and Functional Experts · ~36 annually</t>
        </is>
      </c>
      <c r="BW152" s="53" t="n"/>
      <c r="BX152" s="53" t="inlineStr">
        <is>
          <t>No input received.</t>
        </is>
      </c>
      <c r="BY152" s="53" t="n"/>
      <c r="BZ152" s="53" t="inlineStr">
        <is>
          <t>INTN0287</t>
        </is>
      </c>
      <c r="CA152" s="53" t="inlineStr">
        <is>
          <t>Intern</t>
        </is>
      </c>
      <c r="CB152" s="53" t="inlineStr">
        <is>
          <t>Active</t>
        </is>
      </c>
      <c r="CC152" s="53" t="inlineStr">
        <is>
          <t>Anika Mariam</t>
        </is>
      </c>
      <c r="CD152" s="54" t="n">
        <v>46027</v>
      </c>
      <c r="CE152" s="53" t="inlineStr">
        <is>
          <t>Intern</t>
        </is>
      </c>
      <c r="CF152" s="53" t="inlineStr">
        <is>
          <t>Cold calling+Emailing, Scheduling Demo, Before Demo, they huddle with Functional * Sales team to provide detailed portfolio about the company. Tools used - Linkedin Sales navigator · To fetch number of customers shared by Database Team:</t>
        </is>
      </c>
      <c r="CG152" s="53" t="inlineStr">
        <is>
          <t>Sales &amp; Business Development</t>
        </is>
      </c>
      <c r="CH152" s="53" t="inlineStr">
        <is>
          <t>Sales Development · SDR</t>
        </is>
      </c>
      <c r="CI152" s="53" t="inlineStr">
        <is>
          <t>Intern</t>
        </is>
      </c>
      <c r="CJ152" s="53" t="inlineStr">
        <is>
          <t>L1 – Intern</t>
        </is>
      </c>
      <c r="CK152" s="53" t="inlineStr">
        <is>
          <t>Priyadarshini Dey</t>
        </is>
      </c>
      <c r="CL152" s="53" t="inlineStr">
        <is>
          <t>N-5</t>
        </is>
      </c>
      <c r="CM152" s="53" t="inlineStr">
        <is>
          <t>Individual Contributor</t>
        </is>
      </c>
      <c r="CN152" s="53" t="inlineStr">
        <is>
          <t>Regtech</t>
        </is>
      </c>
      <c r="CO152" s="53" t="inlineStr">
        <is>
          <t>Marketing</t>
        </is>
      </c>
      <c r="CP152" s="53" t="inlineStr">
        <is>
          <t>0 years, 6 months, 15 days</t>
        </is>
      </c>
      <c r="CQ152" s="53" t="n"/>
      <c r="CR152" s="53" t="inlineStr">
        <is>
          <t>NO</t>
        </is>
      </c>
      <c r="CS152" s="53" t="n">
        <v>2</v>
      </c>
      <c r="CT152" s="53" t="inlineStr">
        <is>
          <t>Medium</t>
        </is>
      </c>
      <c r="CU152" s="53" t="inlineStr">
        <is>
          <t>Core Contributor</t>
        </is>
      </c>
      <c r="CV152" s="53" t="inlineStr">
        <is>
          <t>No</t>
        </is>
      </c>
      <c r="CW152" s="53" t="inlineStr">
        <is>
          <t>No</t>
        </is>
      </c>
      <c r="CX152" s="53" t="inlineStr">
        <is>
          <t>No</t>
        </is>
      </c>
      <c r="CY152" s="53" t="n"/>
      <c r="CZ152" s="53" t="inlineStr">
        <is>
          <t>1. Strengthen domain knowledge through revised training to confidently communicate the value proposition, understand product updates, and articulate our competitive advantage over other players</t>
        </is>
      </c>
      <c r="DA152" s="53" t="n"/>
      <c r="DB152" s="53" t="n"/>
      <c r="DC152" s="53" t="n"/>
      <c r="DD152" s="53" t="n"/>
      <c r="DE152" s="53" t="n"/>
      <c r="DF152" s="53" t="n"/>
      <c r="DG152" s="53" t="n"/>
      <c r="DH152" s="53" t="n"/>
      <c r="DI152" s="53" t="n"/>
      <c r="DJ152" s="53" t="n"/>
      <c r="DK152" s="53" t="n"/>
      <c r="DL152" s="53" t="n"/>
      <c r="DM152" s="53" t="n"/>
      <c r="DN152" s="53" t="n"/>
      <c r="DO152" s="53" t="n"/>
      <c r="DP152" s="53" t="n"/>
      <c r="DQ152" s="53" t="n"/>
      <c r="DR152" s="53" t="n"/>
      <c r="DS152" s="53" t="n"/>
      <c r="DT152" s="53" t="n"/>
      <c r="DU152" s="53" t="n"/>
      <c r="DV152" s="53" t="n"/>
      <c r="DW152" s="53" t="n"/>
      <c r="DX152" s="53" t="n"/>
      <c r="DY152" s="53" t="n"/>
      <c r="DZ152" s="53" t="n"/>
      <c r="EA152" s="53" t="n"/>
      <c r="EB152" s="53" t="n"/>
      <c r="EC152" s="53" t="n"/>
      <c r="ED152" s="53" t="n"/>
      <c r="EE152" s="53" t="n"/>
      <c r="EF152" s="53" t="n"/>
      <c r="EG152" s="53" t="n"/>
      <c r="EH152" s="53" t="n"/>
      <c r="EI152" s="53" t="n"/>
      <c r="EJ152" s="53" t="n"/>
      <c r="EK152" s="53" t="n"/>
      <c r="EL152" s="53" t="n"/>
      <c r="EM152" s="53" t="n"/>
      <c r="EN152" s="53" t="n"/>
      <c r="EO152" s="53" t="n"/>
      <c r="EP152" s="53" t="n"/>
      <c r="EQ152" s="53" t="n"/>
      <c r="ER152" s="53" t="n"/>
      <c r="ES152" s="53" t="n"/>
      <c r="ET152" s="53" t="n"/>
      <c r="EU152" s="53" t="n"/>
      <c r="EV152" s="53" t="n"/>
      <c r="EW152" s="52" t="n"/>
      <c r="EX152" s="53" t="inlineStr">
        <is>
          <t>• This role builds pipeline through meaningful prospect conversations and explains how the solution addresses prospect problems.</t>
        </is>
      </c>
      <c r="EY152" s="53" t="inlineStr">
        <is>
          <t>• Reported deliverables and outcomes include: Meetings Deals; Overdue tasks, DCS No Show; Making calls Writing Emai.
• The role is accountable for CRM Hygiene and not responsive to customer emails on time.
• The role independently makes decisions on Qualifying prospects; Scheduling meetings.</t>
        </is>
      </c>
      <c r="EZ152" s="53" t="inlineStr">
        <is>
          <t>• Current capabilities: Prospect and account research using AI; Open-ended discovery conversations; Lead nurturing for lower-intent prospects.</t>
        </is>
      </c>
      <c r="FA152" s="53" t="inlineStr">
        <is>
          <t>• Development priorities: Increase confidence in leading meetings and cold calls; Strengthen prospect data quality and ICP targeting.
• Learning and Development Need: Coaching on meeting facilitation and cold-calling confidence, plus training on ICP research and prospect data-quality practices.
• AI Enablement Need: AI prompt engineering and using AI to increase efficiency, given her reported use of AI for prospect and account research.</t>
        </is>
      </c>
      <c r="FB152" s="53" t="inlineStr">
        <is>
          <t>• Key challenges: Call-recording review needs; Limited or unreliable prospect data and invalid contact details.
• Support required: No input received.</t>
        </is>
      </c>
      <c r="FC152" s="53" t="n"/>
      <c r="FD152" s="53" t="n"/>
      <c r="FE152" s="57" t="inlineStr">
        <is>
          <t>1. Build a strong pipeline of qualified leads through close sales collaboration and complete 8 Discovery Calls · DCCs per month · ~96 annually
2. Generate 3 Sales Accepted Leads · SALs = Active Buy per month by qualifying high-intent opportunities for Account Executives and Functional Experts · ~36 annually</t>
        </is>
      </c>
      <c r="FF152" s="56" t="n"/>
      <c r="FG152" s="56" t="n"/>
      <c r="FH152" s="56" t="n"/>
      <c r="FI152" s="56" t="inlineStr">
        <is>
          <t>Cold calling+Emailing, Scheduling Demo, Before Demo, they huddle with Functional * Sales team to provide detailed portfolio about the company. Tools used - Linkedin Sales navigator · To fetch number of customers shared by Database Team:</t>
        </is>
      </c>
      <c r="FJ152" s="56" t="inlineStr">
        <is>
          <t>Received · manager annual</t>
        </is>
      </c>
      <c r="FK152" s="56" t="inlineStr">
        <is>
          <t>CARBON Mapping Master · CARBON Talent Mapping · Raw</t>
        </is>
      </c>
      <c r="FL152" s="56" t="n">
        <v>19</v>
      </c>
      <c r="FM152" s="56" t="inlineStr">
        <is>
          <t>• This role builds pipeline through meaningful prospect conversations and explains how the solution addresses prospect problems.</t>
        </is>
      </c>
      <c r="FN152" s="56" t="inlineStr">
        <is>
          <t>• Reported deliverables and outcomes include: Meetings Deals; Overdue tasks, DCS No Show; Making calls Writing Emai.
• The role is accountable for CRM Hygiene and not responsive to customer emails on time.
• The role independently makes decisions on Qualifying prospects; Scheduling meetings.</t>
        </is>
      </c>
      <c r="FO152" s="56" t="inlineStr">
        <is>
          <t>• Current capabilities: Prospect and account research using AI; Open-ended discovery conversations; Lead nurturing for lower-intent prospects.</t>
        </is>
      </c>
      <c r="FP152" s="56" t="inlineStr">
        <is>
          <t>• Development priorities: Increase confidence in leading meetings and cold calls; Strengthen prospect data quality and ICP targeting.
• Learning and Development Need: Coaching on meeting facilitation and cold-calling confidence, plus training on ICP research and prospect data-quality practices.
• AI Enablement Need: AI prompt engineering and using AI to increase efficiency, given her reported use of AI for prospect and account research.</t>
        </is>
      </c>
      <c r="FQ152" s="56" t="inlineStr">
        <is>
          <t>• Key challenges: Call-recording review needs; Limited or unreliable prospect data and invalid contact details.
• Support required: No input received.</t>
        </is>
      </c>
      <c r="FR152" s="56" t="n"/>
      <c r="FS152" s="56" t="inlineStr">
        <is>
          <t>Common themes in role-holders' answers: scheduling · sales provide · customers shared · tools linkedin · portfolio company · cold
Common themes in role-holders' answers: outreach · linkedin
Common themes in role-holders' answers: meetings
Common themes in role-holders' answers: lead
If the work is missed · role-holders' themes: lead.</t>
        </is>
      </c>
      <c r="FT152" s="56" t="inlineStr">
        <is>
          <t>Self-identified: Communication &amp; presentation
For the next role: Communication &amp; presentation</t>
        </is>
      </c>
      <c r="FU152" s="56" t="inlineStr">
        <is>
          <t>Per-person summary · CARBON Mapping Master</t>
        </is>
      </c>
    </row>
    <row r="153" ht="90" customHeight="1">
      <c r="A153" s="51" t="inlineStr">
        <is>
          <t>◂ Back</t>
        </is>
      </c>
      <c r="B153" s="29" t="inlineStr">
        <is>
          <t>Mapped</t>
        </is>
      </c>
      <c r="C153" s="28" t="inlineStr">
        <is>
          <t>CARBON</t>
        </is>
      </c>
      <c r="D153" s="29" t="inlineStr">
        <is>
          <t>INTN0285</t>
        </is>
      </c>
      <c r="E153" s="29" t="inlineStr">
        <is>
          <t>Deblina Chatterjee</t>
        </is>
      </c>
      <c r="F153" s="29" t="inlineStr">
        <is>
          <t>Marketing</t>
        </is>
      </c>
      <c r="G153" s="29" t="inlineStr">
        <is>
          <t>Intern</t>
        </is>
      </c>
      <c r="H153" s="29" t="inlineStr">
        <is>
          <t>Intern – Sales Development &amp; Prospecting</t>
        </is>
      </c>
      <c r="I153" s="29" t="inlineStr">
        <is>
          <t>L1 – Intern</t>
        </is>
      </c>
      <c r="J153" s="29" t="inlineStr">
        <is>
          <t>A1</t>
        </is>
      </c>
      <c r="K153" s="29" t="inlineStr">
        <is>
          <t>• Same level</t>
        </is>
      </c>
      <c r="L153" s="29" t="inlineStr">
        <is>
          <t>Sales &amp; Business Development</t>
        </is>
      </c>
      <c r="M153" s="29" t="inlineStr">
        <is>
          <t>Sales Development &amp; Prospecting</t>
        </is>
      </c>
      <c r="N153" s="29" t="n"/>
      <c r="O153" s="29" t="n">
        <v>19</v>
      </c>
      <c r="P153" s="28" t="inlineStr">
        <is>
          <t>Entry / P1 · intern</t>
        </is>
      </c>
      <c r="Q153" s="29" t="inlineStr">
        <is>
          <t>Entry</t>
        </is>
      </c>
      <c r="R153" s="29" t="inlineStr">
        <is>
          <t>1 Follow</t>
        </is>
      </c>
      <c r="S153" s="29" t="inlineStr">
        <is>
          <t>0 yrs · fresher / intern</t>
        </is>
      </c>
      <c r="T153" s="29" t="inlineStr">
        <is>
          <t>—</t>
        </is>
      </c>
      <c r="U153" s="29" t="inlineStr">
        <is>
          <t>SDR · entry</t>
        </is>
      </c>
      <c r="V153" s="29" t="inlineStr">
        <is>
          <t>—</t>
        </is>
      </c>
      <c r="W153" s="29" t="inlineStr">
        <is>
          <t>SaaS sales ladder · SDR → AE → Enterprise AE → VP / CRO; MEDDICC-style qualification</t>
        </is>
      </c>
      <c r="X153" s="29" t="inlineStr">
        <is>
          <t>Core 1 · Future 1 · Functional 1 · Leadership not scored</t>
        </is>
      </c>
      <c r="Y153" s="52" t="n">
        <v>429</v>
      </c>
      <c r="Z153" s="53" t="inlineStr">
        <is>
          <t>INTN0285</t>
        </is>
      </c>
      <c r="AA153" s="53" t="inlineStr">
        <is>
          <t>Intern</t>
        </is>
      </c>
      <c r="AB153" s="53" t="inlineStr">
        <is>
          <t>Active</t>
        </is>
      </c>
      <c r="AC153" s="53" t="inlineStr">
        <is>
          <t>Deblina Chatterjee</t>
        </is>
      </c>
      <c r="AD153" s="54" t="n">
        <v>46027</v>
      </c>
      <c r="AE153" s="53" t="inlineStr">
        <is>
          <t>Intern</t>
        </is>
      </c>
      <c r="AF153" s="53" t="inlineStr">
        <is>
          <t>B.Tech</t>
        </is>
      </c>
      <c r="AG153" s="53" t="inlineStr">
        <is>
          <t>Priyadarshini Dey</t>
        </is>
      </c>
      <c r="AH153" s="53" t="inlineStr">
        <is>
          <t>N-5</t>
        </is>
      </c>
      <c r="AI153" s="53" t="inlineStr">
        <is>
          <t>Individual Contributor</t>
        </is>
      </c>
      <c r="AJ153" s="53" t="inlineStr">
        <is>
          <t>0 years, 6 months, 0 days</t>
        </is>
      </c>
      <c r="AK153" s="53" t="inlineStr">
        <is>
          <t>0 years, 7 months, 20 days</t>
        </is>
      </c>
      <c r="AL153" s="53" t="inlineStr">
        <is>
          <t>Regtech</t>
        </is>
      </c>
      <c r="AM153" s="53" t="inlineStr">
        <is>
          <t>CARBON</t>
        </is>
      </c>
      <c r="AN153" s="53" t="inlineStr">
        <is>
          <t>Marketing</t>
        </is>
      </c>
      <c r="AO153" s="53" t="inlineStr">
        <is>
          <t>Marketing - SDR</t>
        </is>
      </c>
      <c r="AP153" s="53" t="inlineStr">
        <is>
          <t>No</t>
        </is>
      </c>
      <c r="AQ153" s="53" t="inlineStr">
        <is>
          <t>Sales, Marketing &amp; Support</t>
        </is>
      </c>
      <c r="AR153" s="53" t="inlineStr">
        <is>
          <t>Marketing</t>
        </is>
      </c>
      <c r="AS153" s="53" t="inlineStr">
        <is>
          <t>Non-technical</t>
        </is>
      </c>
      <c r="AT153" s="53" t="n">
        <v>20</v>
      </c>
      <c r="AU153" s="53" t="inlineStr">
        <is>
          <t>Covered</t>
        </is>
      </c>
      <c r="AV153" s="53" t="inlineStr">
        <is>
          <t>INTN0285</t>
        </is>
      </c>
      <c r="AW153" s="53" t="inlineStr">
        <is>
          <t>Deblina Chatterjee</t>
        </is>
      </c>
      <c r="AX153" s="53" t="inlineStr">
        <is>
          <t>Marketing</t>
        </is>
      </c>
      <c r="AY153" s="53" t="inlineStr">
        <is>
          <t>Sales &amp; Business Development</t>
        </is>
      </c>
      <c r="AZ153" s="53" t="inlineStr">
        <is>
          <t>Sales Development · SDR</t>
        </is>
      </c>
      <c r="BA153" s="53" t="n"/>
      <c r="BB153" s="53" t="n"/>
      <c r="BC153" s="53" t="inlineStr">
        <is>
          <t>Intern</t>
        </is>
      </c>
      <c r="BD153" s="53" t="inlineStr">
        <is>
          <t>Priyadarshini Dey</t>
        </is>
      </c>
      <c r="BE153" s="53" t="inlineStr">
        <is>
          <t>Priyadarshini Dey</t>
        </is>
      </c>
      <c r="BF153" s="53" t="inlineStr">
        <is>
          <t>No</t>
        </is>
      </c>
      <c r="BG153" s="53" t="inlineStr">
        <is>
          <t>Intern</t>
        </is>
      </c>
      <c r="BH153" s="53" t="inlineStr">
        <is>
          <t>Intern</t>
        </is>
      </c>
      <c r="BI153" s="53" t="inlineStr">
        <is>
          <t>No</t>
        </is>
      </c>
      <c r="BJ153" s="53" t="inlineStr">
        <is>
          <t>—</t>
        </is>
      </c>
      <c r="BK153" s="53" t="inlineStr">
        <is>
          <t>—</t>
        </is>
      </c>
      <c r="BL153" s="53" t="inlineStr">
        <is>
          <t>—</t>
        </is>
      </c>
      <c r="BM153" s="53" t="inlineStr">
        <is>
          <t>Not a manager</t>
        </is>
      </c>
      <c r="BN153" s="53" t="inlineStr">
        <is>
          <t>—</t>
        </is>
      </c>
      <c r="BO153" s="53" t="inlineStr">
        <is>
          <t>—</t>
        </is>
      </c>
      <c r="BP153" s="53" t="inlineStr">
        <is>
          <t>—</t>
        </is>
      </c>
      <c r="BQ153" s="53" t="inlineStr">
        <is>
          <t>Not a manager</t>
        </is>
      </c>
      <c r="BR153" s="53" t="inlineStr">
        <is>
          <t>—</t>
        </is>
      </c>
      <c r="BS153" s="53" t="inlineStr">
        <is>
          <t>L1 – Intern</t>
        </is>
      </c>
      <c r="BT153" s="53" t="inlineStr">
        <is>
          <t>L1 – Intern</t>
        </is>
      </c>
      <c r="BU153" s="53" t="inlineStr">
        <is>
          <t>No designation change — current record value carried forward</t>
        </is>
      </c>
      <c r="BV153" s="53" t="inlineStr">
        <is>
          <t>1. Build a strong pipeline of qualified leads through close sales collaboration and complete 8 Discovery Calls · DCCs per month · ~96 annually
2. Generate 3 Sales Accepted Leads · SALs = Active Buy per month by qualifying high-intent opportunities for Account Executives and Functional Experts · ~36 annually</t>
        </is>
      </c>
      <c r="BW153" s="53" t="n"/>
      <c r="BX153" s="53" t="inlineStr">
        <is>
          <t>No input received.</t>
        </is>
      </c>
      <c r="BY153" s="53" t="n"/>
      <c r="BZ153" s="53" t="inlineStr">
        <is>
          <t>INTN0285</t>
        </is>
      </c>
      <c r="CA153" s="53" t="inlineStr">
        <is>
          <t>Intern</t>
        </is>
      </c>
      <c r="CB153" s="53" t="inlineStr">
        <is>
          <t>Active</t>
        </is>
      </c>
      <c r="CC153" s="53" t="inlineStr">
        <is>
          <t>Deblina Chatterjee</t>
        </is>
      </c>
      <c r="CD153" s="54" t="n">
        <v>46027</v>
      </c>
      <c r="CE153" s="53" t="inlineStr">
        <is>
          <t>Intern</t>
        </is>
      </c>
      <c r="CF153" s="53" t="inlineStr">
        <is>
          <t>Cold calling+Emailing, Scheduling Demo, Before Demo, they huddle with Functional * Sales team to provide detailed portfolio about the company. Tools used - Linkedin Sales navigator · To fetch number of customers shared by Database Team:</t>
        </is>
      </c>
      <c r="CG153" s="53" t="inlineStr">
        <is>
          <t>Sales &amp; Business Development</t>
        </is>
      </c>
      <c r="CH153" s="53" t="inlineStr">
        <is>
          <t>Sales Development · SDR</t>
        </is>
      </c>
      <c r="CI153" s="53" t="inlineStr">
        <is>
          <t>Intern</t>
        </is>
      </c>
      <c r="CJ153" s="53" t="inlineStr">
        <is>
          <t>L1 – Intern</t>
        </is>
      </c>
      <c r="CK153" s="53" t="inlineStr">
        <is>
          <t>Priyadarshini Dey</t>
        </is>
      </c>
      <c r="CL153" s="53" t="inlineStr">
        <is>
          <t>N-5</t>
        </is>
      </c>
      <c r="CM153" s="53" t="inlineStr">
        <is>
          <t>Individual Contributor</t>
        </is>
      </c>
      <c r="CN153" s="53" t="inlineStr">
        <is>
          <t>Regtech</t>
        </is>
      </c>
      <c r="CO153" s="53" t="inlineStr">
        <is>
          <t>Marketing</t>
        </is>
      </c>
      <c r="CP153" s="53" t="inlineStr">
        <is>
          <t>0 years, 11 months, 15 days</t>
        </is>
      </c>
      <c r="CQ153" s="53" t="n"/>
      <c r="CR153" s="53" t="inlineStr">
        <is>
          <t>NO</t>
        </is>
      </c>
      <c r="CS153" s="53" t="n">
        <v>3</v>
      </c>
      <c r="CT153" s="53" t="inlineStr">
        <is>
          <t>High</t>
        </is>
      </c>
      <c r="CU153" s="53" t="inlineStr">
        <is>
          <t>Emerging Talent</t>
        </is>
      </c>
      <c r="CV153" s="53" t="inlineStr">
        <is>
          <t>No</t>
        </is>
      </c>
      <c r="CW153" s="53" t="inlineStr">
        <is>
          <t>No</t>
        </is>
      </c>
      <c r="CX153" s="53" t="inlineStr">
        <is>
          <t>No</t>
        </is>
      </c>
      <c r="CY153" s="53" t="n"/>
      <c r="CZ153" s="53" t="inlineStr">
        <is>
          <t>1. Strengthen domain knowledge through revised training to confidently communicate the value proposition, understand product updates, and articulate our competitive advantage over other players</t>
        </is>
      </c>
      <c r="DA153" s="53" t="n"/>
      <c r="DB153" s="53" t="n"/>
      <c r="DC153" s="53" t="n"/>
      <c r="DD153" s="53" t="n"/>
      <c r="DE153" s="53" t="n"/>
      <c r="DF153" s="53" t="n"/>
      <c r="DG153" s="53" t="n"/>
      <c r="DH153" s="53" t="n"/>
      <c r="DI153" s="53" t="n"/>
      <c r="DJ153" s="53" t="n"/>
      <c r="DK153" s="53" t="n"/>
      <c r="DL153" s="53" t="n"/>
      <c r="DM153" s="53" t="n"/>
      <c r="DN153" s="53" t="n"/>
      <c r="DO153" s="53" t="n"/>
      <c r="DP153" s="53" t="n"/>
      <c r="DQ153" s="53" t="n"/>
      <c r="DR153" s="53" t="n"/>
      <c r="DS153" s="53" t="n"/>
      <c r="DT153" s="53" t="n"/>
      <c r="DU153" s="53" t="n"/>
      <c r="DV153" s="53" t="n"/>
      <c r="DW153" s="53" t="n"/>
      <c r="DX153" s="53" t="n"/>
      <c r="DY153" s="53" t="n"/>
      <c r="DZ153" s="53" t="n"/>
      <c r="EA153" s="53" t="n"/>
      <c r="EB153" s="53" t="n"/>
      <c r="EC153" s="53" t="n"/>
      <c r="ED153" s="53" t="n"/>
      <c r="EE153" s="53" t="n"/>
      <c r="EF153" s="53" t="n"/>
      <c r="EG153" s="53" t="n"/>
      <c r="EH153" s="53" t="n"/>
      <c r="EI153" s="53" t="n"/>
      <c r="EJ153" s="53" t="n"/>
      <c r="EK153" s="53" t="n"/>
      <c r="EL153" s="53" t="n"/>
      <c r="EM153" s="53" t="n"/>
      <c r="EN153" s="53" t="n"/>
      <c r="EO153" s="53" t="n"/>
      <c r="EP153" s="53" t="n"/>
      <c r="EQ153" s="53" t="n"/>
      <c r="ER153" s="53" t="n"/>
      <c r="ES153" s="53" t="n"/>
      <c r="ET153" s="53" t="n"/>
      <c r="EU153" s="53" t="n"/>
      <c r="EV153" s="53" t="n"/>
      <c r="EW153" s="52" t="n"/>
      <c r="EX153" s="53" t="inlineStr">
        <is>
          <t>• This role develops new business opportunities by connecting the company with relevant customers and partners, while supporting outreach and relationship building.</t>
        </is>
      </c>
      <c r="EY153" s="53" t="inlineStr">
        <is>
          <t>• Reported deliverables and outcomes include: Lead Nurturing; coordinate meetings; Lead follow-up, meeting coordination, MOMs, and keeping opportunities moving.; Lead Outreach.
• The role is accountable for Cross-checking lead timings for discovery calls.
• The role independently makes decisions on Prospect Messaging; Lead Follow-ups.</t>
        </is>
      </c>
      <c r="EZ153" s="53" t="inlineStr">
        <is>
          <t>• Current capabilities: Prospect messaging and relationship building; Lead nurturing, meeting coordination and follow-up management.</t>
        </is>
      </c>
      <c r="FA153" s="53" t="inlineStr">
        <is>
          <t>• Development priorities: Gain deeper product and ICP knowledge; Build hands-on outreach, advanced sales and team-leadership capability.
• Learning and Development Need: Hands-on outreach and sales-skills training, deeper product/ICP grounding, and early exposure to team-leadership practices.</t>
        </is>
      </c>
      <c r="FB153" s="53" t="inlineStr">
        <is>
          <t>• Key challenges: Needs more outreach experience and team-lead mentoring; Limited access to practical sales support.
• Support required: Structured mentoring and team-management development.</t>
        </is>
      </c>
      <c r="FC153" s="53" t="n"/>
      <c r="FD153" s="53" t="n"/>
      <c r="FE153" s="57" t="inlineStr">
        <is>
          <t>1. Build a strong pipeline of qualified leads through close sales collaboration and complete 8 Discovery Calls · DCCs per month · ~96 annually
2. Generate 3 Sales Accepted Leads · SALs = Active Buy per month by qualifying high-intent opportunities for Account Executives and Functional Experts · ~36 annually</t>
        </is>
      </c>
      <c r="FF153" s="56" t="n"/>
      <c r="FG153" s="56" t="n"/>
      <c r="FH153" s="56" t="n"/>
      <c r="FI153" s="56" t="inlineStr">
        <is>
          <t>Cold calling+Emailing, Scheduling Demo, Before Demo, they huddle with Functional * Sales team to provide detailed portfolio about the company. Tools used - Linkedin Sales navigator · To fetch number of customers shared by Database Team:</t>
        </is>
      </c>
      <c r="FJ153" s="56" t="inlineStr">
        <is>
          <t>Received · manager annual</t>
        </is>
      </c>
      <c r="FK153" s="56" t="inlineStr">
        <is>
          <t>CARBON Mapping Master · CARBON Talent Mapping · Raw</t>
        </is>
      </c>
      <c r="FL153" s="56" t="n">
        <v>19</v>
      </c>
      <c r="FM153" s="56" t="inlineStr">
        <is>
          <t>• This role develops new business opportunities by connecting the company with relevant customers and partners, while supporting outreach and relationship building.</t>
        </is>
      </c>
      <c r="FN153" s="56" t="inlineStr">
        <is>
          <t>• Reported deliverables and outcomes include: Lead Nurturing; coordinate meetings; Lead follow-up, meeting coordination, MOMs, and keeping opportunities moving.; Lead Outreach.
• The role is accountable for Cross-checking lead timings for discovery calls.
• The role independently makes decisions on Prospect Messaging; Lead Follow-ups.</t>
        </is>
      </c>
      <c r="FO153" s="56" t="inlineStr">
        <is>
          <t>• Current capabilities: Prospect messaging and relationship building; Lead nurturing, meeting coordination and follow-up management.</t>
        </is>
      </c>
      <c r="FP153" s="56" t="inlineStr">
        <is>
          <t>• Development priorities: Gain deeper product and ICP knowledge; Build hands-on outreach, advanced sales and team-leadership capability.
• Learning and Development Need: Hands-on outreach and sales-skills training, deeper product/ICP grounding, and early exposure to team-leadership practices.</t>
        </is>
      </c>
      <c r="FQ153" s="56" t="inlineStr">
        <is>
          <t>• Key challenges: Needs more outreach experience and team-lead mentoring; Limited access to practical sales support.
• Support required: Structured mentoring and team-management development.</t>
        </is>
      </c>
      <c r="FR153" s="56" t="n"/>
      <c r="FS153" s="56" t="inlineStr">
        <is>
          <t>Common themes in role-holders' answers: scheduling · sales provide · customers shared · tools linkedin · portfolio company · cold
Common themes in role-holders' answers: outreach · linkedin
Common themes in role-holders' answers: meetings
Common themes in role-holders' answers: lead
If the work is missed · role-holders' themes: lead.</t>
        </is>
      </c>
      <c r="FT153" s="56" t="inlineStr">
        <is>
          <t>Self-identified: Leadership &amp; people management · Client, sales &amp; stakeholders
For the next role: Leadership &amp; people management · Client, sales &amp; stakeholders</t>
        </is>
      </c>
      <c r="FU153" s="56" t="inlineStr">
        <is>
          <t>Per-person summary · CARBON Mapping Master</t>
        </is>
      </c>
    </row>
    <row r="154" ht="90" customHeight="1">
      <c r="A154" s="51" t="inlineStr">
        <is>
          <t>◂ Back</t>
        </is>
      </c>
      <c r="B154" s="29" t="inlineStr">
        <is>
          <t>Mapped</t>
        </is>
      </c>
      <c r="C154" s="28" t="inlineStr">
        <is>
          <t>CARBON</t>
        </is>
      </c>
      <c r="D154" s="29" t="inlineStr">
        <is>
          <t>IRIS2345</t>
        </is>
      </c>
      <c r="E154" s="29" t="inlineStr">
        <is>
          <t>Vijay Krishna Chintha</t>
        </is>
      </c>
      <c r="F154" s="29" t="inlineStr">
        <is>
          <t>Marketing</t>
        </is>
      </c>
      <c r="G154" s="29" t="inlineStr">
        <is>
          <t>Team Lead SDR</t>
        </is>
      </c>
      <c r="H154" s="29" t="inlineStr">
        <is>
          <t>Team Lead – Sales Development</t>
        </is>
      </c>
      <c r="I154" s="29" t="inlineStr">
        <is>
          <t>L4 – Senior</t>
        </is>
      </c>
      <c r="J154" s="29" t="inlineStr">
        <is>
          <t>B1</t>
        </is>
      </c>
      <c r="K154" s="29" t="inlineStr">
        <is>
          <t>▲ Up</t>
        </is>
      </c>
      <c r="L154" s="29" t="inlineStr">
        <is>
          <t>Sales &amp; Business Development</t>
        </is>
      </c>
      <c r="M154" s="29" t="inlineStr">
        <is>
          <t>Sales Development &amp; Prospecting</t>
        </is>
      </c>
      <c r="N154" s="29" t="n"/>
      <c r="O154" s="29" t="n">
        <v>20</v>
      </c>
      <c r="P154" s="28" t="inlineStr">
        <is>
          <t>P3 / M2</t>
        </is>
      </c>
      <c r="Q154" s="29" t="inlineStr">
        <is>
          <t>Career / · Team Lead</t>
        </is>
      </c>
      <c r="R154" s="29" t="inlineStr">
        <is>
          <t>4 Enable</t>
        </is>
      </c>
      <c r="S154" s="29" t="inlineStr">
        <is>
          <t>4–7 yrs</t>
        </is>
      </c>
      <c r="T154" s="29" t="inlineStr">
        <is>
          <t>5–8 · 4–8</t>
        </is>
      </c>
      <c r="U154" s="29" t="inlineStr">
        <is>
          <t>Team Lead / Assistant Manager</t>
        </is>
      </c>
      <c r="V154" s="29" t="inlineStr">
        <is>
          <t>IRIS Vs Competitor Benchmark — SaaS sales ladder — IC: Account Executive · SMB · IRIS Vs Competitor Benchmark — SaaS sales ladder — management: SDR Team Lead</t>
        </is>
      </c>
      <c r="W154" s="29" t="inlineStr">
        <is>
          <t>SaaS sales ladder · SDR → AE → Enterprise AE → VP / CRO; MEDDICC-style qualification</t>
        </is>
      </c>
      <c r="X154" s="29" t="inlineStr">
        <is>
          <t>Core 3 · Future 3 · Functional 3 · Leadership 2</t>
        </is>
      </c>
      <c r="Y154" s="52" t="n">
        <v>358</v>
      </c>
      <c r="Z154" s="53" t="inlineStr">
        <is>
          <t>IRIS2345</t>
        </is>
      </c>
      <c r="AA154" s="53" t="inlineStr">
        <is>
          <t>Employee</t>
        </is>
      </c>
      <c r="AB154" s="53" t="inlineStr">
        <is>
          <t>Active</t>
        </is>
      </c>
      <c r="AC154" s="53" t="inlineStr">
        <is>
          <t>Vijay Krishna Chintha</t>
        </is>
      </c>
      <c r="AD154" s="54" t="n">
        <v>45705</v>
      </c>
      <c r="AE154" s="53" t="inlineStr">
        <is>
          <t>Team Lead SDR</t>
        </is>
      </c>
      <c r="AF154" s="53" t="inlineStr">
        <is>
          <t>PGDM</t>
        </is>
      </c>
      <c r="AG154" s="53" t="inlineStr">
        <is>
          <t>Saahit Togaru</t>
        </is>
      </c>
      <c r="AH154" s="53" t="inlineStr">
        <is>
          <t>N-4</t>
        </is>
      </c>
      <c r="AI154" s="53" t="inlineStr">
        <is>
          <t>Manager</t>
        </is>
      </c>
      <c r="AJ154" s="53" t="inlineStr">
        <is>
          <t>5 years, 2 months, 0 days</t>
        </is>
      </c>
      <c r="AK154" s="53" t="inlineStr">
        <is>
          <t>1 years, 6 months, 8 days</t>
        </is>
      </c>
      <c r="AL154" s="53" t="inlineStr">
        <is>
          <t>Regtech</t>
        </is>
      </c>
      <c r="AM154" s="53" t="inlineStr">
        <is>
          <t>CARBON</t>
        </is>
      </c>
      <c r="AN154" s="53" t="inlineStr">
        <is>
          <t>Marketing</t>
        </is>
      </c>
      <c r="AO154" s="53" t="inlineStr">
        <is>
          <t>Marketing - SDR</t>
        </is>
      </c>
      <c r="AP154" s="53" t="inlineStr">
        <is>
          <t>No</t>
        </is>
      </c>
      <c r="AQ154" s="53" t="inlineStr">
        <is>
          <t>Sales, Marketing &amp; Support</t>
        </is>
      </c>
      <c r="AR154" s="53" t="inlineStr">
        <is>
          <t>Marketing</t>
        </is>
      </c>
      <c r="AS154" s="53" t="inlineStr">
        <is>
          <t>Non-technical</t>
        </is>
      </c>
      <c r="AT154" s="53" t="n">
        <v>20</v>
      </c>
      <c r="AU154" s="53" t="inlineStr">
        <is>
          <t>Covered</t>
        </is>
      </c>
      <c r="AV154" s="53" t="inlineStr">
        <is>
          <t>IRIS2345</t>
        </is>
      </c>
      <c r="AW154" s="53" t="inlineStr">
        <is>
          <t>Vijay Krishna Chintha</t>
        </is>
      </c>
      <c r="AX154" s="53" t="inlineStr">
        <is>
          <t>Marketing</t>
        </is>
      </c>
      <c r="AY154" s="53" t="inlineStr">
        <is>
          <t>Sales &amp; Business Development</t>
        </is>
      </c>
      <c r="AZ154" s="53" t="inlineStr">
        <is>
          <t>Sales Development · SDR</t>
        </is>
      </c>
      <c r="BA154" s="53" t="n"/>
      <c r="BB154" s="53" t="n"/>
      <c r="BC154" s="53" t="inlineStr">
        <is>
          <t>Employee</t>
        </is>
      </c>
      <c r="BD154" s="53" t="inlineStr">
        <is>
          <t>Saahit Togaru</t>
        </is>
      </c>
      <c r="BE154" s="53" t="inlineStr">
        <is>
          <t>Saahit Togaru</t>
        </is>
      </c>
      <c r="BF154" s="53" t="inlineStr">
        <is>
          <t>No</t>
        </is>
      </c>
      <c r="BG154" s="53" t="inlineStr">
        <is>
          <t>Senior Sales Development Representative</t>
        </is>
      </c>
      <c r="BH154" s="53" t="inlineStr">
        <is>
          <t>Team Lead - Sales Development</t>
        </is>
      </c>
      <c r="BI154" s="53" t="inlineStr">
        <is>
          <t>Yes</t>
        </is>
      </c>
      <c r="BJ154" s="53" t="n">
        <v>2</v>
      </c>
      <c r="BK154" s="53" t="n">
        <v>1</v>
      </c>
      <c r="BL154" s="53" t="n">
        <v>1</v>
      </c>
      <c r="BM154" s="53" t="inlineStr">
        <is>
          <t>Consolidate / flatten</t>
        </is>
      </c>
      <c r="BN154" s="53" t="n">
        <v>2</v>
      </c>
      <c r="BO154" s="53" t="n">
        <v>1</v>
      </c>
      <c r="BP154" s="53" t="n">
        <v>1</v>
      </c>
      <c r="BQ154" s="53" t="inlineStr">
        <is>
          <t>Consolidate / flatten</t>
        </is>
      </c>
      <c r="BR154" s="53" t="inlineStr">
        <is>
          <t>No</t>
        </is>
      </c>
      <c r="BS154" s="53" t="inlineStr">
        <is>
          <t>L4 – Senior</t>
        </is>
      </c>
      <c r="BT154" s="53" t="inlineStr">
        <is>
          <t>L4</t>
        </is>
      </c>
      <c r="BU154" s="53" t="inlineStr">
        <is>
          <t>Matched from Title Hierarchy · new designation</t>
        </is>
      </c>
      <c r="BV154" s="53" t="inlineStr">
        <is>
          <t>1. Build a strong pipeline of qualified leads through close sales collaboration and complete 8 Discovery Calls · DCCs per month · ~96 annually
2. Generate 3 Sales Accepted Leads · SALs = Active Buy per month by qualifying high-intent opportunities for Account Executives and Functional Experts · ~36 annually
3. Ensure team is delivering at least 100% of their targets</t>
        </is>
      </c>
      <c r="BW154" s="53" t="n"/>
      <c r="BX154" s="53" t="inlineStr">
        <is>
          <t>EU; USA; Global.</t>
        </is>
      </c>
      <c r="BY154" s="53" t="n"/>
      <c r="BZ154" s="53" t="inlineStr">
        <is>
          <t>IRIS2345</t>
        </is>
      </c>
      <c r="CA154" s="53" t="inlineStr">
        <is>
          <t>Employee</t>
        </is>
      </c>
      <c r="CB154" s="53" t="inlineStr">
        <is>
          <t>Active</t>
        </is>
      </c>
      <c r="CC154" s="53" t="inlineStr">
        <is>
          <t>Vijay Krishna Chintha</t>
        </is>
      </c>
      <c r="CD154" s="54" t="n">
        <v>45705</v>
      </c>
      <c r="CE154" s="53" t="inlineStr">
        <is>
          <t>Senior Sales Development Representative</t>
        </is>
      </c>
      <c r="CF154" s="53" t="inlineStr">
        <is>
          <t>Cold calling+Emailing, Scheduling Demo, Before Demo, they huddle with Functional * Sales team to provide detailed portfolio about the company. Tools used - Linkedin Sales navigator · To fetch number of customers shared by Database Team:</t>
        </is>
      </c>
      <c r="CG154" s="53" t="inlineStr">
        <is>
          <t>Sales &amp; Business Development</t>
        </is>
      </c>
      <c r="CH154" s="53" t="inlineStr">
        <is>
          <t>Sales Development · SDR</t>
        </is>
      </c>
      <c r="CI154" s="53" t="inlineStr">
        <is>
          <t>SDR Team Lead</t>
        </is>
      </c>
      <c r="CJ154" s="53" t="inlineStr">
        <is>
          <t>L4 – Senior</t>
        </is>
      </c>
      <c r="CK154" s="53" t="inlineStr">
        <is>
          <t>Saahit Togaru</t>
        </is>
      </c>
      <c r="CL154" s="53" t="inlineStr">
        <is>
          <t>N-4</t>
        </is>
      </c>
      <c r="CM154" s="53" t="inlineStr">
        <is>
          <t>Player Cum Coach</t>
        </is>
      </c>
      <c r="CN154" s="53" t="inlineStr">
        <is>
          <t>Regtech</t>
        </is>
      </c>
      <c r="CO154" s="53" t="inlineStr">
        <is>
          <t>Marketing</t>
        </is>
      </c>
      <c r="CP154" s="53" t="inlineStr">
        <is>
          <t>6 years, 6 months, 3 days</t>
        </is>
      </c>
      <c r="CQ154" s="53" t="inlineStr">
        <is>
          <t>Team Lead - Sales Development</t>
        </is>
      </c>
      <c r="CR154" s="53" t="inlineStr">
        <is>
          <t>No</t>
        </is>
      </c>
      <c r="CS154" s="53" t="n">
        <v>2</v>
      </c>
      <c r="CT154" s="53" t="inlineStr">
        <is>
          <t>Low</t>
        </is>
      </c>
      <c r="CU154" s="53" t="n"/>
      <c r="CV154" s="53" t="n"/>
      <c r="CW154" s="53" t="inlineStr">
        <is>
          <t>No</t>
        </is>
      </c>
      <c r="CX154" s="53" t="inlineStr">
        <is>
          <t>No</t>
        </is>
      </c>
      <c r="CY154" s="53" t="n"/>
      <c r="CZ154" s="53" t="inlineStr">
        <is>
          <t>- Understand the definition of Culture</t>
        </is>
      </c>
      <c r="DA154" s="53" t="n"/>
      <c r="DB154" s="53" t="inlineStr">
        <is>
          <t>Title to be standardized to Team Lead - Sales Development, To be mapped to SDR Mgr Europe - TBH</t>
        </is>
      </c>
      <c r="DC154" s="53" t="n"/>
      <c r="DD154" s="53" t="n"/>
      <c r="DE154" s="53" t="n"/>
      <c r="DF154" s="53" t="n"/>
      <c r="DG154" s="53" t="n"/>
      <c r="DH154" s="53" t="n"/>
      <c r="DI154" s="53" t="n"/>
      <c r="DJ154" s="53" t="n"/>
      <c r="DK154" s="53" t="n"/>
      <c r="DL154" s="53" t="n"/>
      <c r="DM154" s="53" t="n"/>
      <c r="DN154" s="53" t="n"/>
      <c r="DO154" s="53" t="n"/>
      <c r="DP154" s="53" t="n"/>
      <c r="DQ154" s="53" t="n"/>
      <c r="DR154" s="53" t="n"/>
      <c r="DS154" s="53" t="n"/>
      <c r="DT154" s="53" t="n"/>
      <c r="DU154" s="53" t="n"/>
      <c r="DV154" s="53" t="n"/>
      <c r="DW154" s="53" t="n"/>
      <c r="DX154" s="53" t="n"/>
      <c r="DY154" s="53" t="n"/>
      <c r="DZ154" s="53" t="n"/>
      <c r="EA154" s="53" t="n"/>
      <c r="EB154" s="53" t="n"/>
      <c r="EC154" s="53" t="n"/>
      <c r="ED154" s="53" t="n"/>
      <c r="EE154" s="53" t="n"/>
      <c r="EF154" s="53" t="n"/>
      <c r="EG154" s="53" t="n"/>
      <c r="EH154" s="53" t="n"/>
      <c r="EI154" s="53" t="n"/>
      <c r="EJ154" s="53" t="n"/>
      <c r="EK154" s="53" t="n"/>
      <c r="EL154" s="53" t="n"/>
      <c r="EM154" s="53" t="n"/>
      <c r="EN154" s="53" t="n"/>
      <c r="EO154" s="53" t="n"/>
      <c r="EP154" s="53" t="n"/>
      <c r="EQ154" s="53" t="n"/>
      <c r="ER154" s="53" t="n"/>
      <c r="ES154" s="53" t="n"/>
      <c r="ET154" s="53" t="n"/>
      <c r="EU154" s="53" t="n"/>
      <c r="EV154" s="53" t="n"/>
      <c r="EW154" s="52" t="n"/>
      <c r="EX154" s="53" t="inlineStr">
        <is>
          <t>• Role / sub-team: Marketing — Senior Sales Development Representative.
• Core purpose: Outreach to potential prospects, ICPs to schedule meetings to generate opportunities.
• Decision-making autonomy: Can independently channels of outreach.
• Is this something only they do: All the SDR team.
• What's different about this role: Coldcalling.</t>
        </is>
      </c>
      <c r="EY154" s="53" t="inlineStr">
        <is>
          <t>• Key responsibilities include: Cold calling; Email; Team management; Pipeline generation; LinkedIn outreach; SAL generation.
• Personally accountable for: Lead pipeline.
• Impact if missed or done wrong: Lead qualification if not done properly would lead to wastage of time n efforts of AE n functional team. 
If the pipeline is not sufficient, it will impact the revenue ultimately.
• How measured: More or less same.</t>
        </is>
      </c>
      <c r="EZ154" s="53" t="inlineStr">
        <is>
          <t>• Current capabilities: Communication; Emailing; HubSpot.
• Tools / software used: HubSpot.
• Workload: Rated a manageable load · 2/5 in a typical week.
• Judgment/way of working: Managing the pipeline.</t>
        </is>
      </c>
      <c r="FA154" s="53" t="inlineStr">
        <is>
          <t>• Development priorities: Courses and certifications.
• Learning and Development Need: Manager's empathy. Product and role training could have been better.
• Role evolving toward: Yes, there are lot of new tools for database, efficient dialers.</t>
        </is>
      </c>
      <c r="FB154" s="53" t="inlineStr">
        <is>
          <t>• Key challenges: Laptop configuration; High quality database too.
• Support required: Clear ownership.</t>
        </is>
      </c>
      <c r="FC154" s="53" t="n"/>
      <c r="FD154" s="53" t="n"/>
      <c r="FE154" s="57" t="inlineStr">
        <is>
          <t>1. Build a strong pipeline of qualified leads through close sales collaboration and complete 8 Discovery Calls · DCCs per month · ~96 annually
2. Generate 3 Sales Accepted Leads · SALs = Active Buy per month by qualifying high-intent opportunities for Account Executives and Functional Experts · ~36 annually
3. Ensure team is delivering at least 100% of their targets</t>
        </is>
      </c>
      <c r="FF154" s="56" t="n"/>
      <c r="FG154" s="56" t="n"/>
      <c r="FH154" s="56" t="n"/>
      <c r="FI154" s="56" t="inlineStr">
        <is>
          <t>Cold calling+Emailing, Scheduling Demo, Before Demo, they huddle with Functional * Sales team to provide detailed portfolio about the company. Tools used - Linkedin Sales navigator · To fetch number of customers shared by Database Team:</t>
        </is>
      </c>
      <c r="FJ154" s="56" t="inlineStr">
        <is>
          <t>Received · manager annual</t>
        </is>
      </c>
      <c r="FK154" s="56" t="inlineStr">
        <is>
          <t>CARBON Mapping Master · CARBON Talent Mapping · Raw</t>
        </is>
      </c>
      <c r="FL154" s="56" t="n">
        <v>20</v>
      </c>
      <c r="FM154" s="56" t="inlineStr">
        <is>
          <t>• Role / sub-team: Marketing — Senior Sales Development Representative.
• Core purpose: Outreach to potential prospects, ICPs to schedule meetings to generate opportunities.
• Decision-making autonomy: Can independently channels of outreach.
• Is this something only they do: All the SDR team.
• What's different about this role: Coldcalling.</t>
        </is>
      </c>
      <c r="FN154" s="56" t="inlineStr">
        <is>
          <t>• Key responsibilities include: Cold calling; Email; Team management; Pipeline generation; LinkedIn outreach; SAL generation.
• Personally accountable for: Lead pipeline.
• Impact if missed or done wrong: Lead qualification if not done properly would lead to wastage of time n efforts of AE n functional team. 
If the pipeline is not sufficient, it will impact the revenue ultimately.
• How measured: More or less same.</t>
        </is>
      </c>
      <c r="FO154" s="56" t="inlineStr">
        <is>
          <t>• Current capabilities: Communication; Emailing; HubSpot.
• Tools / software used: HubSpot.
• Workload: Rated a manageable load · 2/5 in a typical week.
• Judgment/way of working: Managing the pipeline.</t>
        </is>
      </c>
      <c r="FP154" s="56" t="inlineStr">
        <is>
          <t>• Development priorities: Courses and certifications.
• Learning and Development Need: Manager's empathy. Product and role training could have been better.
• Role evolving toward: Yes, there are lot of new tools for database, efficient dialers.</t>
        </is>
      </c>
      <c r="FQ154" s="56" t="inlineStr">
        <is>
          <t>• Key challenges: Laptop configuration; High quality database too.
• Support required: Clear ownership.</t>
        </is>
      </c>
      <c r="FR154" s="56" t="inlineStr">
        <is>
          <t>Complexity: Evidence reads like A2: Cold calling, email and LinkedIn outreach to generate sales-accepted leads, plus team management → moved down 0.5
Autonomy: Evidence reads like A2: Only stated independent decision is channels of outreach → moved down 0.5
Accountability: Evidence reads like A3: own survey / KRA answers · summarised by the rater; not quoted → moved down 0.5
Leadership: Evidence reads like B1: Lists team management; four direct reports → matches the start
Business Impact: No survey or manager-mapping signal on criticality: kept at the start point.</t>
        </is>
      </c>
      <c r="FS154" s="56" t="inlineStr">
        <is>
          <t>Common themes in sub-family holders, all levels' answers: sales · scheduling · customers shared · cold · navigator fetch · database
Common themes in sub-family holders, all levels' answers: outreach · linkedin · calls · pipeline · qualified · cold
Common themes in sub-family holders, all levels' answers: meetings · pipeline · sales · opportunities · lead · discovery
Common themes in sub-family holders, all levels' answers: pipeline · lead · meetings · accountable · qualified · opportunities
Common themes in sub-family holders, all levels' answers: outreach · approach · messaging · calls · emails · pipeline
If the work is missed · role-holders' themes: pipeline · lead · meetings · time · outreach.</t>
        </is>
      </c>
      <c r="FT154" s="56" t="inlineStr">
        <is>
          <t>Self-identified: Certification / formal course
For the next role: Certification / formal course</t>
        </is>
      </c>
      <c r="FU154" s="56" t="inlineStr">
        <is>
          <t>Per-person summary · CARBON Mapping Master</t>
        </is>
      </c>
    </row>
    <row r="155" ht="90" customHeight="1">
      <c r="A155" s="51" t="inlineStr">
        <is>
          <t>◂ Back</t>
        </is>
      </c>
      <c r="B155" s="29" t="inlineStr">
        <is>
          <t>Mapped</t>
        </is>
      </c>
      <c r="C155" s="28" t="inlineStr">
        <is>
          <t>CARBON</t>
        </is>
      </c>
      <c r="D155" s="29" t="inlineStr">
        <is>
          <t>IRIS2531</t>
        </is>
      </c>
      <c r="E155" s="29" t="inlineStr">
        <is>
          <t>Fatima Bhaiji</t>
        </is>
      </c>
      <c r="F155" s="29" t="inlineStr">
        <is>
          <t>Marketing</t>
        </is>
      </c>
      <c r="G155" s="29" t="inlineStr">
        <is>
          <t>Sales Development Representative</t>
        </is>
      </c>
      <c r="H155" s="29" t="inlineStr">
        <is>
          <t>Senior Sales Development Representative</t>
        </is>
      </c>
      <c r="I155" s="29" t="inlineStr">
        <is>
          <t>L3 – Professional / Associate</t>
        </is>
      </c>
      <c r="J155" s="29" t="inlineStr">
        <is>
          <t>A3</t>
        </is>
      </c>
      <c r="K155" s="29" t="inlineStr">
        <is>
          <t>▲ Up</t>
        </is>
      </c>
      <c r="L155" s="29" t="inlineStr">
        <is>
          <t>Sales &amp; Business Development</t>
        </is>
      </c>
      <c r="M155" s="29" t="inlineStr">
        <is>
          <t>Sales Development &amp; Prospecting</t>
        </is>
      </c>
      <c r="N155" s="29" t="n"/>
      <c r="O155" s="29" t="n">
        <v>20</v>
      </c>
      <c r="P155" s="28" t="inlineStr">
        <is>
          <t>P2</t>
        </is>
      </c>
      <c r="Q155" s="29" t="inlineStr">
        <is>
          <t>Developing</t>
        </is>
      </c>
      <c r="R155" s="29" t="inlineStr">
        <is>
          <t>3 Apply</t>
        </is>
      </c>
      <c r="S155" s="29" t="inlineStr">
        <is>
          <t>2–4 yrs</t>
        </is>
      </c>
      <c r="T155" s="29" t="inlineStr">
        <is>
          <t>3–5 · 2–5</t>
        </is>
      </c>
      <c r="U155" s="29" t="inlineStr">
        <is>
          <t>SDR / Inside Sales</t>
        </is>
      </c>
      <c r="V155" s="29" t="inlineStr">
        <is>
          <t>IRIS Vs Competitor Benchmark — SaaS sales ladder — IC: Senior SDR</t>
        </is>
      </c>
      <c r="W155" s="29" t="inlineStr">
        <is>
          <t>SaaS sales ladder · SDR → AE → Enterprise AE → VP / CRO; MEDDICC-style qualification</t>
        </is>
      </c>
      <c r="X155" s="29" t="inlineStr">
        <is>
          <t>Core 2 · Future 2 · Functional 3 · Leadership not scored</t>
        </is>
      </c>
      <c r="Y155" s="52" t="n">
        <v>503</v>
      </c>
      <c r="Z155" s="53" t="inlineStr">
        <is>
          <t>IRIS2531</t>
        </is>
      </c>
      <c r="AA155" s="53" t="inlineStr">
        <is>
          <t>Employee</t>
        </is>
      </c>
      <c r="AB155" s="53" t="inlineStr">
        <is>
          <t>Active</t>
        </is>
      </c>
      <c r="AC155" s="53" t="inlineStr">
        <is>
          <t>Fatima Bhaiji</t>
        </is>
      </c>
      <c r="AD155" s="54" t="n">
        <v>46167</v>
      </c>
      <c r="AE155" s="53" t="inlineStr">
        <is>
          <t>Sales Development Representative</t>
        </is>
      </c>
      <c r="AF155" s="53" t="inlineStr">
        <is>
          <t>BFM</t>
        </is>
      </c>
      <c r="AG155" s="53" t="inlineStr">
        <is>
          <t>Vijay Krishna Chintha</t>
        </is>
      </c>
      <c r="AH155" s="53" t="inlineStr">
        <is>
          <t>N-5</t>
        </is>
      </c>
      <c r="AI155" s="53" t="inlineStr">
        <is>
          <t>Individual Contributor</t>
        </is>
      </c>
      <c r="AJ155" s="53" t="inlineStr">
        <is>
          <t>6 years, 9 months, 0 days</t>
        </is>
      </c>
      <c r="AK155" s="53" t="inlineStr">
        <is>
          <t>0 years, 3 months, 0 days</t>
        </is>
      </c>
      <c r="AL155" s="53" t="inlineStr">
        <is>
          <t>Regtech</t>
        </is>
      </c>
      <c r="AM155" s="53" t="inlineStr">
        <is>
          <t>CARBON</t>
        </is>
      </c>
      <c r="AN155" s="53" t="inlineStr">
        <is>
          <t>Marketing</t>
        </is>
      </c>
      <c r="AO155" s="53" t="inlineStr">
        <is>
          <t>Marketing - SDR</t>
        </is>
      </c>
      <c r="AP155" s="53" t="inlineStr">
        <is>
          <t>No</t>
        </is>
      </c>
      <c r="AQ155" s="53" t="inlineStr">
        <is>
          <t>Sales, Marketing &amp; Support</t>
        </is>
      </c>
      <c r="AR155" s="53" t="inlineStr">
        <is>
          <t>Marketing</t>
        </is>
      </c>
      <c r="AS155" s="53" t="inlineStr">
        <is>
          <t>Non-technical</t>
        </is>
      </c>
      <c r="AT155" s="53" t="n">
        <v>20</v>
      </c>
      <c r="AU155" s="53" t="inlineStr">
        <is>
          <t>Covered</t>
        </is>
      </c>
      <c r="AV155" s="53" t="inlineStr">
        <is>
          <t>IRIS2531</t>
        </is>
      </c>
      <c r="AW155" s="53" t="inlineStr">
        <is>
          <t>Fatima Bhaiji</t>
        </is>
      </c>
      <c r="AX155" s="53" t="inlineStr">
        <is>
          <t>Marketing</t>
        </is>
      </c>
      <c r="AY155" s="53" t="inlineStr">
        <is>
          <t>Sales &amp; Business Development</t>
        </is>
      </c>
      <c r="AZ155" s="53" t="inlineStr">
        <is>
          <t>Sales Development · SDR</t>
        </is>
      </c>
      <c r="BA155" s="53" t="n"/>
      <c r="BB155" s="53" t="n"/>
      <c r="BC155" s="53" t="inlineStr">
        <is>
          <t>Employee</t>
        </is>
      </c>
      <c r="BD155" s="53" t="inlineStr">
        <is>
          <t>Vijay Krishna Chintha</t>
        </is>
      </c>
      <c r="BE155" s="53" t="inlineStr">
        <is>
          <t>Vijay Krishna Chintha</t>
        </is>
      </c>
      <c r="BF155" s="53" t="inlineStr">
        <is>
          <t>No</t>
        </is>
      </c>
      <c r="BG155" s="53" t="inlineStr">
        <is>
          <t>Sales Development Representative</t>
        </is>
      </c>
      <c r="BH155" s="53" t="inlineStr">
        <is>
          <t>Sales Development Representative</t>
        </is>
      </c>
      <c r="BI155" s="53" t="inlineStr">
        <is>
          <t>No</t>
        </is>
      </c>
      <c r="BJ155" s="53" t="inlineStr">
        <is>
          <t>—</t>
        </is>
      </c>
      <c r="BK155" s="53" t="inlineStr">
        <is>
          <t>—</t>
        </is>
      </c>
      <c r="BL155" s="53" t="inlineStr">
        <is>
          <t>—</t>
        </is>
      </c>
      <c r="BM155" s="53" t="inlineStr">
        <is>
          <t>Not a manager</t>
        </is>
      </c>
      <c r="BN155" s="53" t="inlineStr">
        <is>
          <t>—</t>
        </is>
      </c>
      <c r="BO155" s="53" t="inlineStr">
        <is>
          <t>—</t>
        </is>
      </c>
      <c r="BP155" s="53" t="inlineStr">
        <is>
          <t>—</t>
        </is>
      </c>
      <c r="BQ155" s="53" t="inlineStr">
        <is>
          <t>Not a manager</t>
        </is>
      </c>
      <c r="BR155" s="53" t="inlineStr">
        <is>
          <t>—</t>
        </is>
      </c>
      <c r="BS155" s="53" t="inlineStr">
        <is>
          <t>L3 – Professional / Associate</t>
        </is>
      </c>
      <c r="BT155" s="53" t="inlineStr">
        <is>
          <t>L3 – Professional / Associate</t>
        </is>
      </c>
      <c r="BU155" s="53" t="inlineStr">
        <is>
          <t>No designation change — current record value carried forward</t>
        </is>
      </c>
      <c r="BV155" s="53" t="inlineStr">
        <is>
          <t>1. Build a strong pipeline of qualified leads through close sales collaboration and complete 72 DCCs annually
2. Generate 27 Sales Accepted Leads · SALs = Active Buy annually by qualifying high-intent opportunities for Account Executives and Functional Experts</t>
        </is>
      </c>
      <c r="BW155" s="53" t="n"/>
      <c r="BX155" s="53" t="inlineStr">
        <is>
          <t>Global.</t>
        </is>
      </c>
      <c r="BY155" s="53" t="n"/>
      <c r="BZ155" s="53" t="inlineStr">
        <is>
          <t>IRIS2531</t>
        </is>
      </c>
      <c r="CA155" s="53" t="inlineStr">
        <is>
          <t>Employee</t>
        </is>
      </c>
      <c r="CB155" s="53" t="inlineStr">
        <is>
          <t>Active</t>
        </is>
      </c>
      <c r="CC155" s="53" t="inlineStr">
        <is>
          <t>Fatima Bhaiji</t>
        </is>
      </c>
      <c r="CD155" s="54" t="n">
        <v>46167</v>
      </c>
      <c r="CE155" s="53" t="inlineStr">
        <is>
          <t>Sales Development Representative</t>
        </is>
      </c>
      <c r="CF155" s="53" t="inlineStr">
        <is>
          <t>Reports to Vijay: Cold calling, Scheduling Demo,, Before Demo, they huddle with Functional * Sales team to provide detailed portfolio about the company.Tools used - Linkedin Sales navigator · To fetch number of customers shared by Database Team:</t>
        </is>
      </c>
      <c r="CG155" s="53" t="inlineStr">
        <is>
          <t>Sales &amp; Business Development</t>
        </is>
      </c>
      <c r="CH155" s="53" t="inlineStr">
        <is>
          <t>Sales Development · SDR</t>
        </is>
      </c>
      <c r="CI155" s="53" t="inlineStr">
        <is>
          <t>Sales Development Representative</t>
        </is>
      </c>
      <c r="CJ155" s="53" t="inlineStr">
        <is>
          <t>L3 – Professional / Associate</t>
        </is>
      </c>
      <c r="CK155" s="53" t="inlineStr">
        <is>
          <t>Vijay Krishna Chintha</t>
        </is>
      </c>
      <c r="CL155" s="53" t="inlineStr">
        <is>
          <t>N-5</t>
        </is>
      </c>
      <c r="CM155" s="53" t="inlineStr">
        <is>
          <t>Individual Contributor</t>
        </is>
      </c>
      <c r="CN155" s="53" t="inlineStr">
        <is>
          <t>Regtech</t>
        </is>
      </c>
      <c r="CO155" s="53" t="inlineStr">
        <is>
          <t>Marketing</t>
        </is>
      </c>
      <c r="CP155" s="53" t="inlineStr">
        <is>
          <t>6 years, 9 months, 26 days</t>
        </is>
      </c>
      <c r="CQ155" s="53" t="n"/>
      <c r="CR155" s="53" t="n"/>
      <c r="CS155" s="53" t="n">
        <v>3</v>
      </c>
      <c r="CT155" s="53" t="inlineStr">
        <is>
          <t>High</t>
        </is>
      </c>
      <c r="CU155" s="53" t="inlineStr">
        <is>
          <t>Emerging Talent</t>
        </is>
      </c>
      <c r="CV155" s="53" t="inlineStr">
        <is>
          <t>No</t>
        </is>
      </c>
      <c r="CW155" s="53" t="inlineStr">
        <is>
          <t>No</t>
        </is>
      </c>
      <c r="CX155" s="53" t="inlineStr">
        <is>
          <t>No</t>
        </is>
      </c>
      <c r="CY155" s="53" t="n"/>
      <c r="CZ155" s="53" t="inlineStr">
        <is>
          <t>Additional training sessions focused on objection handling, call openings, and advanced sales conversations could further enhance her effectiveness and help her achieve even better results</t>
        </is>
      </c>
      <c r="DA155" s="53" t="n"/>
      <c r="DB155" s="53" t="n"/>
      <c r="DC155" s="53" t="n"/>
      <c r="DD155" s="53" t="n"/>
      <c r="DE155" s="53" t="n"/>
      <c r="DF155" s="53" t="n"/>
      <c r="DG155" s="53" t="n"/>
      <c r="DH155" s="53" t="n"/>
      <c r="DI155" s="53" t="n"/>
      <c r="DJ155" s="53" t="n"/>
      <c r="DK155" s="53" t="n"/>
      <c r="DL155" s="53" t="n"/>
      <c r="DM155" s="53" t="n"/>
      <c r="DN155" s="53" t="n"/>
      <c r="DO155" s="53" t="n"/>
      <c r="DP155" s="53" t="n"/>
      <c r="DQ155" s="53" t="n"/>
      <c r="DR155" s="53" t="n"/>
      <c r="DS155" s="53" t="n"/>
      <c r="DT155" s="53" t="n"/>
      <c r="DU155" s="53" t="n"/>
      <c r="DV155" s="53" t="n"/>
      <c r="DW155" s="53" t="n"/>
      <c r="DX155" s="53" t="n"/>
      <c r="DY155" s="53" t="n"/>
      <c r="DZ155" s="53" t="n"/>
      <c r="EA155" s="53" t="n"/>
      <c r="EB155" s="53" t="n"/>
      <c r="EC155" s="53" t="n"/>
      <c r="ED155" s="53" t="n"/>
      <c r="EE155" s="53" t="n"/>
      <c r="EF155" s="53" t="n"/>
      <c r="EG155" s="53" t="n"/>
      <c r="EH155" s="53" t="n"/>
      <c r="EI155" s="53" t="n"/>
      <c r="EJ155" s="53" t="n"/>
      <c r="EK155" s="53" t="n"/>
      <c r="EL155" s="53" t="n"/>
      <c r="EM155" s="53" t="n"/>
      <c r="EN155" s="53" t="n"/>
      <c r="EO155" s="53" t="n"/>
      <c r="EP155" s="53" t="n"/>
      <c r="EQ155" s="53" t="n"/>
      <c r="ER155" s="53" t="n"/>
      <c r="ES155" s="53" t="n"/>
      <c r="ET155" s="53" t="n"/>
      <c r="EU155" s="53" t="n"/>
      <c r="EV155" s="53" t="n"/>
      <c r="EW155" s="52" t="n"/>
      <c r="EX155" s="53" t="inlineStr">
        <is>
          <t>• Role / sub-team: Marketing — Sales Development Representative.
• Core purpose: My core purpose as an SDR at IRIS Carbon is to create and qualify business opportunities by connecting companies across global markets with IRIS Carbon’s XBRL and IXBRL.
• Decision-making autonomy: Can independently i can decide contacts.
• Is this something only they do: Same as everyone.
• What's different about this role: Sales navigator; 150 calls daily.</t>
        </is>
      </c>
      <c r="EY155" s="53" t="inlineStr">
        <is>
          <t>• Key responsibilities include: Calls outreach emailing; Team management; LinkedIn outreach.
• Personally accountable for: The quality and consistency of my pipeline, my outreach, the opportunities I generate, and ultimately the contribution I make toward sales are outcomes that directly reflect on me.
• Impact if missed or done wrong: When these are missed or done poorly, the impact is directly visible in the sales pipeline. Poor prospect targeting or outreach can lead to fewer meaningful conversations, weak lead quality, and misse.
• How measured: Yes.</t>
        </is>
      </c>
      <c r="EZ155" s="53" t="inlineStr">
        <is>
          <t>• Current capabilities: Communication; Research h.
• Tools / software used: HubSpot; Sales navigator; Apollo.
• Workload: Rated a heavy load · 4/5 in a typical week.
• Judgment/way of working: Writin good emails.</t>
        </is>
      </c>
      <c r="FA155" s="53" t="inlineStr">
        <is>
          <t>• Development priorities: Learn the product.
• Learning and Development Need: SDR sales training. Product knowledge.
• Role evolving toward: Vijay helps a lot; Vijay is amazing when it comes to helping; Vijay’s support.</t>
        </is>
      </c>
      <c r="FB155" s="53" t="inlineStr">
        <is>
          <t>• Key challenges: Sleep schedule.
• Support required: Coming to office 5 days a week instead make it completely hybrids.</t>
        </is>
      </c>
      <c r="FC155" s="53" t="n"/>
      <c r="FD155" s="53" t="n"/>
      <c r="FE155" s="57" t="inlineStr">
        <is>
          <t>1. Build a strong pipeline of qualified leads through close sales collaboration and complete 72 DCCs annually
2. Generate 27 Sales Accepted Leads · SALs = Active Buy annually by qualifying high-intent opportunities for Account Executives and Functional Experts</t>
        </is>
      </c>
      <c r="FF155" s="56" t="n"/>
      <c r="FG155" s="56" t="n"/>
      <c r="FH155" s="56" t="n"/>
      <c r="FI155" s="56" t="inlineStr">
        <is>
          <t>Reports to Vijay : Cold calling, Scheduling Demo, , Before Demo, they huddle with Functional * Sales team to provide detailed portfolio about the company.Tools used - Linkedin Sales navigator · To fetch number of customers shared by Database Team:</t>
        </is>
      </c>
      <c r="FJ155" s="56" t="inlineStr">
        <is>
          <t>Received · manager annual</t>
        </is>
      </c>
      <c r="FK155" s="56" t="inlineStr">
        <is>
          <t>CARBON Mapping Master · CARBON Talent Mapping · Raw</t>
        </is>
      </c>
      <c r="FL155" s="56" t="n">
        <v>20</v>
      </c>
      <c r="FM155" s="56" t="inlineStr">
        <is>
          <t>• Role / sub-team: Marketing — Sales Development Representative.
• Core purpose: My core purpose as an SDR at IRIS Carbon is to create and qualify business opportunities by connecting companies across global markets with IRIS Carbon’s XBRL and IXBRL.
• Decision-making autonomy: Can independently i can decide contacts.
• Is this something only they do: Same as everyone.
• What's different about this role: Sales navigator; 150 calls daily.</t>
        </is>
      </c>
      <c r="FN155" s="56" t="inlineStr">
        <is>
          <t>• Key responsibilities include: Calls outreach emailing; Team management; LinkedIn outreach.
• Personally accountable for: The quality and consistency of my pipeline, my outreach, the opportunities I generate, and ultimately the contribution I make toward sales are outcomes that directly reflect on me.
• Impact if missed or done wrong: When these are missed or done poorly, the impact is directly visible in the sales pipeline. Poor prospect targeting or outreach can lead to fewer meaningful conversations, weak lead quality, and misse.
• How measured: Yes.</t>
        </is>
      </c>
      <c r="FO155" s="56" t="inlineStr">
        <is>
          <t>• Current capabilities: Communication; Research h.
• Tools / software used: HubSpot; Sales navigator; Apollo.
• Workload: Rated a heavy load · 4/5 in a typical week.
• Judgment/way of working: Writin good emails.</t>
        </is>
      </c>
      <c r="FP155" s="56" t="inlineStr">
        <is>
          <t>• Development priorities: Learn the product.
• Learning and Development Need: SDR sales training. Product knowledge.
• Role evolving toward: Vijay helps a lot; Vijay is amazing when it comes to helping; Vijay’s support.</t>
        </is>
      </c>
      <c r="FQ155" s="56" t="inlineStr">
        <is>
          <t>• Key challenges: Sleep schedule.
• Support required: Coming to office 5 days a week instead make it completely hybrids.</t>
        </is>
      </c>
      <c r="FR155" s="56" t="inlineStr">
        <is>
          <t>Complexity: Evidence reads like A2: Calls · about 150 daily, emailing and LinkedIn outreach to create and qualify opportunities → matches the start
Autonomy: Evidence reads like A2: Decides which contacts to approach → matches the start
Accountability: Evidence reads like A2: Accountable for quality and consistency of own pipeline and outreach → matches the start
Leadership: Evidence reads like A1: 'Team management' listed with no detail; zero direct reports → matches the start
Business Impact: No survey or manager-mapping signal on criticality: kept at the start point.</t>
        </is>
      </c>
      <c r="FS155" s="56" t="inlineStr">
        <is>
          <t>Common themes in role-holders' answers: core · sales · schedule · meetings · opportunities · sdr
Common themes in role-holders' answers: outreach · calls · linkedin
Common themes in role-holders' answers: pipeline · sales · qualified · meetings · opportunities · generating
If the work is missed · role-holders' themes: sales · pipeline · impact.</t>
        </is>
      </c>
      <c r="FT155" s="56" t="inlineStr">
        <is>
          <t>Self-identified: Product &amp; tool knowledge
For the next role: Product &amp; tool knowledge</t>
        </is>
      </c>
      <c r="FU155" s="56" t="inlineStr">
        <is>
          <t>Per-person summary · CARBON Mapping Master</t>
        </is>
      </c>
    </row>
    <row r="156" ht="90" customHeight="1">
      <c r="A156" s="51" t="inlineStr">
        <is>
          <t>◂ Back</t>
        </is>
      </c>
      <c r="B156" s="29" t="inlineStr">
        <is>
          <t>Mapped</t>
        </is>
      </c>
      <c r="C156" s="28" t="inlineStr">
        <is>
          <t>CARBON</t>
        </is>
      </c>
      <c r="D156" s="29" t="inlineStr">
        <is>
          <t>IRIS2543</t>
        </is>
      </c>
      <c r="E156" s="29" t="inlineStr">
        <is>
          <t>Rahul Nishikant Pawar</t>
        </is>
      </c>
      <c r="F156" s="29" t="inlineStr">
        <is>
          <t>Marketing</t>
        </is>
      </c>
      <c r="G156" s="29" t="inlineStr">
        <is>
          <t>Senior Sales Development Representative</t>
        </is>
      </c>
      <c r="H156" s="29" t="inlineStr">
        <is>
          <t>Senior Sales Development Representative</t>
        </is>
      </c>
      <c r="I156" s="29" t="inlineStr">
        <is>
          <t>Not in current mapping files</t>
        </is>
      </c>
      <c r="J156" s="29" t="inlineStr">
        <is>
          <t>A3</t>
        </is>
      </c>
      <c r="K156" s="29" t="inlineStr">
        <is>
          <t>● Newly mapped</t>
        </is>
      </c>
      <c r="L156" s="29" t="inlineStr">
        <is>
          <t>Sales &amp; Business Development</t>
        </is>
      </c>
      <c r="M156" s="29" t="inlineStr">
        <is>
          <t>Sales Development &amp; Prospecting</t>
        </is>
      </c>
      <c r="N156" s="29" t="n"/>
      <c r="O156" s="29" t="n">
        <v>20</v>
      </c>
      <c r="P156" s="28" t="inlineStr">
        <is>
          <t>P2</t>
        </is>
      </c>
      <c r="Q156" s="29" t="inlineStr">
        <is>
          <t>Developing</t>
        </is>
      </c>
      <c r="R156" s="29" t="inlineStr">
        <is>
          <t>3 Apply</t>
        </is>
      </c>
      <c r="S156" s="29" t="inlineStr">
        <is>
          <t>2–4 yrs</t>
        </is>
      </c>
      <c r="T156" s="29" t="inlineStr">
        <is>
          <t>3–5 · 2–5</t>
        </is>
      </c>
      <c r="U156" s="29" t="inlineStr">
        <is>
          <t>SDR / Inside Sales</t>
        </is>
      </c>
      <c r="V156" s="29" t="inlineStr">
        <is>
          <t>IRIS Vs Competitor Benchmark — SaaS sales ladder — IC: Senior SDR</t>
        </is>
      </c>
      <c r="W156" s="29" t="inlineStr">
        <is>
          <t>SaaS sales ladder · SDR → AE → Enterprise AE → VP / CRO; MEDDICC-style qualification</t>
        </is>
      </c>
      <c r="X156" s="29" t="inlineStr">
        <is>
          <t>Core 2 · Future 2 · Functional 3 · Leadership not scored</t>
        </is>
      </c>
      <c r="Y156" s="52" t="n">
        <v>516</v>
      </c>
      <c r="Z156" s="53" t="inlineStr">
        <is>
          <t>IRIS2543</t>
        </is>
      </c>
      <c r="AA156" s="53" t="inlineStr">
        <is>
          <t>Employee</t>
        </is>
      </c>
      <c r="AB156" s="53" t="inlineStr">
        <is>
          <t>Active</t>
        </is>
      </c>
      <c r="AC156" s="53" t="inlineStr">
        <is>
          <t>Rahul Nishikant Pawar</t>
        </is>
      </c>
      <c r="AD156" s="54" t="n">
        <v>46216</v>
      </c>
      <c r="AE156" s="53" t="inlineStr">
        <is>
          <t>Senior Sales Development Representative</t>
        </is>
      </c>
      <c r="AF156" s="53" t="inlineStr">
        <is>
          <t>HSC</t>
        </is>
      </c>
      <c r="AG156" s="53" t="inlineStr">
        <is>
          <t>Vijay Krishna Chintha</t>
        </is>
      </c>
      <c r="AH156" s="53" t="inlineStr">
        <is>
          <t>N-5</t>
        </is>
      </c>
      <c r="AI156" s="53" t="inlineStr">
        <is>
          <t>Individual Contributor</t>
        </is>
      </c>
      <c r="AJ156" s="53" t="inlineStr">
        <is>
          <t>5 years, 1 months, 0 days</t>
        </is>
      </c>
      <c r="AK156" s="53" t="inlineStr">
        <is>
          <t>0 years, 1 months, 12 days</t>
        </is>
      </c>
      <c r="AL156" s="53" t="inlineStr">
        <is>
          <t>Regtech</t>
        </is>
      </c>
      <c r="AM156" s="53" t="inlineStr">
        <is>
          <t>CARBON</t>
        </is>
      </c>
      <c r="AN156" s="53" t="inlineStr">
        <is>
          <t>Marketing</t>
        </is>
      </c>
      <c r="AO156" s="53" t="inlineStr">
        <is>
          <t>Marketing - SDR</t>
        </is>
      </c>
      <c r="AP156" s="53" t="inlineStr">
        <is>
          <t>No</t>
        </is>
      </c>
      <c r="AQ156" s="53" t="inlineStr">
        <is>
          <t>Sales, Marketing &amp; Support</t>
        </is>
      </c>
      <c r="AR156" s="53" t="inlineStr">
        <is>
          <t>Marketing</t>
        </is>
      </c>
      <c r="AS156" s="53" t="inlineStr">
        <is>
          <t>Non-technical</t>
        </is>
      </c>
      <c r="AT156" s="53" t="n">
        <v>20</v>
      </c>
      <c r="AU156" s="53" t="inlineStr">
        <is>
          <t>Covered</t>
        </is>
      </c>
      <c r="AV156" s="53" t="inlineStr">
        <is>
          <t>IRIS2543</t>
        </is>
      </c>
      <c r="AW156" s="53" t="inlineStr">
        <is>
          <t>Rahul Nishikant Powar</t>
        </is>
      </c>
      <c r="AX156" s="53" t="inlineStr">
        <is>
          <t>Marketing</t>
        </is>
      </c>
      <c r="AY156" s="53" t="inlineStr">
        <is>
          <t>Sales &amp; Business Development</t>
        </is>
      </c>
      <c r="AZ156" s="53" t="inlineStr">
        <is>
          <t>Sales Development · SDR</t>
        </is>
      </c>
      <c r="BA156" s="53" t="n"/>
      <c r="BB156" s="53" t="n"/>
      <c r="BC156" s="53" t="inlineStr">
        <is>
          <t>Employee</t>
        </is>
      </c>
      <c r="BD156" s="53" t="inlineStr">
        <is>
          <t>Saahit Togaru</t>
        </is>
      </c>
      <c r="BE156" s="53" t="inlineStr">
        <is>
          <t>Saahit Togaru</t>
        </is>
      </c>
      <c r="BF156" s="53" t="inlineStr">
        <is>
          <t>No</t>
        </is>
      </c>
      <c r="BG156" s="53" t="inlineStr">
        <is>
          <t>Sr. SDR</t>
        </is>
      </c>
      <c r="BH156" s="53" t="inlineStr">
        <is>
          <t>Sr. SDR</t>
        </is>
      </c>
      <c r="BI156" s="53" t="inlineStr">
        <is>
          <t>N/A · new entry</t>
        </is>
      </c>
      <c r="BJ156" s="53" t="inlineStr">
        <is>
          <t>—</t>
        </is>
      </c>
      <c r="BK156" s="53" t="inlineStr">
        <is>
          <t>—</t>
        </is>
      </c>
      <c r="BL156" s="53" t="inlineStr">
        <is>
          <t>—</t>
        </is>
      </c>
      <c r="BM156" s="53" t="inlineStr">
        <is>
          <t>Not a manager</t>
        </is>
      </c>
      <c r="BN156" s="53" t="inlineStr">
        <is>
          <t>—</t>
        </is>
      </c>
      <c r="BO156" s="53" t="inlineStr">
        <is>
          <t>—</t>
        </is>
      </c>
      <c r="BP156" s="53" t="inlineStr">
        <is>
          <t>—</t>
        </is>
      </c>
      <c r="BQ156" s="53" t="inlineStr">
        <is>
          <t>Not a manager</t>
        </is>
      </c>
      <c r="BR156" s="53" t="inlineStr">
        <is>
          <t>—</t>
        </is>
      </c>
      <c r="BS156" s="53" t="n"/>
      <c r="BT156" s="53" t="n"/>
      <c r="BU156" s="53" t="inlineStr">
        <is>
          <t>No designation change — current record value carried forward</t>
        </is>
      </c>
      <c r="BV156" s="53" t="n"/>
      <c r="BW156" s="53" t="n"/>
      <c r="BX156" s="53" t="inlineStr">
        <is>
          <t>Nordics Europe</t>
        </is>
      </c>
      <c r="BY156" s="53" t="n"/>
      <c r="BZ156" s="53" t="n"/>
      <c r="CA156" s="53" t="n"/>
      <c r="CB156" s="53" t="inlineStr">
        <is>
          <t>Active</t>
        </is>
      </c>
      <c r="CC156" s="53" t="inlineStr">
        <is>
          <t>Rahul Nishikant Powar</t>
        </is>
      </c>
      <c r="CD156" s="53" t="n"/>
      <c r="CE156" s="53" t="inlineStr">
        <is>
          <t>Sr. SDR</t>
        </is>
      </c>
      <c r="CF156" s="53" t="inlineStr">
        <is>
          <t>"Reports to Saahit : Cold calling, Scheduling Demo, Tools used - Linkedin Sales navigator · To fetch number of customers shared by Database Team:</t>
        </is>
      </c>
      <c r="CG156" s="53" t="inlineStr">
        <is>
          <t>Sales &amp; Business Development</t>
        </is>
      </c>
      <c r="CH156" s="53" t="inlineStr">
        <is>
          <t>Sales Development · SDR</t>
        </is>
      </c>
      <c r="CI156" s="53" t="n"/>
      <c r="CJ156" s="53" t="n"/>
      <c r="CK156" s="53" t="n"/>
      <c r="CL156" s="53" t="n"/>
      <c r="CM156" s="53" t="n"/>
      <c r="CN156" s="53" t="n"/>
      <c r="CO156" s="53" t="n"/>
      <c r="CP156" s="53" t="n"/>
      <c r="CQ156" s="53" t="n"/>
      <c r="CR156" s="53" t="n"/>
      <c r="CS156" s="53" t="n"/>
      <c r="CT156" s="53" t="n"/>
      <c r="CU156" s="53" t="n"/>
      <c r="CV156" s="53" t="n"/>
      <c r="CW156" s="53" t="n"/>
      <c r="CX156" s="53" t="n"/>
      <c r="CY156" s="53" t="n"/>
      <c r="CZ156" s="53" t="n"/>
      <c r="DA156" s="53" t="n"/>
      <c r="DB156" s="53" t="n"/>
      <c r="DC156" s="53" t="n"/>
      <c r="DD156" s="53" t="n"/>
      <c r="DE156" s="53" t="n"/>
      <c r="DF156" s="53" t="n"/>
      <c r="DG156" s="53" t="n"/>
      <c r="DH156" s="53" t="n"/>
      <c r="DI156" s="53" t="n"/>
      <c r="DJ156" s="53" t="n"/>
      <c r="DK156" s="53" t="n"/>
      <c r="DL156" s="53" t="n"/>
      <c r="DM156" s="53" t="n"/>
      <c r="DN156" s="53" t="n"/>
      <c r="DO156" s="53" t="n"/>
      <c r="DP156" s="53" t="n"/>
      <c r="DQ156" s="53" t="n"/>
      <c r="DR156" s="53" t="n"/>
      <c r="DS156" s="53" t="n"/>
      <c r="DT156" s="53" t="n"/>
      <c r="DU156" s="53" t="n"/>
      <c r="DV156" s="53" t="n"/>
      <c r="DW156" s="53" t="n"/>
      <c r="DX156" s="53" t="n"/>
      <c r="DY156" s="53" t="n"/>
      <c r="DZ156" s="53" t="n"/>
      <c r="EA156" s="53" t="n"/>
      <c r="EB156" s="53" t="n"/>
      <c r="EC156" s="53" t="n"/>
      <c r="ED156" s="53" t="n"/>
      <c r="EE156" s="53" t="n"/>
      <c r="EF156" s="53" t="n"/>
      <c r="EG156" s="53" t="n"/>
      <c r="EH156" s="53" t="n"/>
      <c r="EI156" s="53" t="n"/>
      <c r="EJ156" s="53" t="n"/>
      <c r="EK156" s="53" t="n"/>
      <c r="EL156" s="53" t="n"/>
      <c r="EM156" s="53" t="n"/>
      <c r="EN156" s="53" t="n"/>
      <c r="EO156" s="53" t="n"/>
      <c r="EP156" s="53" t="n"/>
      <c r="EQ156" s="53" t="n"/>
      <c r="ER156" s="53" t="n"/>
      <c r="ES156" s="53" t="n"/>
      <c r="ET156" s="53" t="n"/>
      <c r="EU156" s="53" t="n"/>
      <c r="EV156" s="53" t="n"/>
      <c r="EW156" s="52" t="n"/>
      <c r="EX156" s="53" t="inlineStr">
        <is>
          <t>Schedule qualified meetings; Finding alternatives New strategies</t>
        </is>
      </c>
      <c r="EY156" s="53" t="inlineStr">
        <is>
          <t>Meetings Lead Generation; Scheduling Sales qualified meetings Maintaining the sales pipeline. And generating sales qualified meetings; Cold calls Cold emails Linkedin outreach Marketing Lead Generation; It will affect my pipeline, targets and will also impact teams and companies sales performance.</t>
        </is>
      </c>
      <c r="EZ156" s="53" t="inlineStr">
        <is>
          <t>CRM hygiene; CRM Dialler Linkedin Microsoft 365; Managing my cold-calling time effectively by focusing on peak hours when I receive the highest response rates.</t>
        </is>
      </c>
      <c r="FA156" s="53" t="inlineStr">
        <is>
          <t>Learning more about financial reporting, understanding how the process works in practice, and gaining a deeper understanding of the key challenges involved.; One on one mentoring; Learning more about SaaS and the fintech industry, improving cold-calling skills, and becoming more focused on achieving SaaS sales targets.</t>
        </is>
      </c>
      <c r="FB156" s="53" t="inlineStr">
        <is>
          <t>Multitasking; Providing more support and training, along with enough time for new team members to understand the product and improve their skills. It would also help to have someone who can identify our mistakes, p</t>
        </is>
      </c>
      <c r="FC156" s="53" t="inlineStr">
        <is>
          <t>Employee Status; Employee Name; Designation; Actual JD; Role Family; Sub-Family</t>
        </is>
      </c>
      <c r="FD156" s="53" t="n"/>
      <c r="FE156" s="55" t="inlineStr">
        <is>
          <t>KRAs not received · manager to supply</t>
        </is>
      </c>
      <c r="FF156" s="56" t="n"/>
      <c r="FG156" s="56" t="n"/>
      <c r="FH156" s="56" t="n"/>
      <c r="FI156" s="56" t="inlineStr">
        <is>
          <t>"Reports to Saahit : Cold calling, Scheduling Demo, Tools used - Linkedin Sales navigator · To fetch number of customers shared by Database Team:</t>
        </is>
      </c>
      <c r="FJ156" s="32" t="inlineStr">
        <is>
          <t>KRAs not received · manager to supply</t>
        </is>
      </c>
      <c r="FK156" s="56" t="inlineStr">
        <is>
          <t>CARBON Talent Mapping · Raw</t>
        </is>
      </c>
      <c r="FL156" s="56" t="n">
        <v>20</v>
      </c>
      <c r="FM156" s="56" t="inlineStr">
        <is>
          <t>Schedule qualified meetings; Finding alternatives New strategies</t>
        </is>
      </c>
      <c r="FN156" s="56" t="inlineStr">
        <is>
          <t>Meetings Lead Generation; Scheduling Sales qualified meetings Maintaining the sales pipeline. And generating sales qualified meetings; Cold calls Cold emails Linkedin outreach Marketing Lead Generation; It will affect my pipeline, targets and will also impact teams and companies sales performance.</t>
        </is>
      </c>
      <c r="FO156" s="56" t="inlineStr">
        <is>
          <t>CRM hygiene; CRM Dialler Linkedin Microsoft 365; Managing my cold-calling time effectively by focusing on peak hours when I receive the highest response rates.</t>
        </is>
      </c>
      <c r="FP156" s="56" t="inlineStr">
        <is>
          <t>Learning more about financial reporting, understanding how the process works in practice, and gaining a deeper understanding of the key challenges involved.; One on one mentoring; Learning more about SaaS and the fintech industry, improving cold-calling skills, and becoming more focused on achieving SaaS sales targets.</t>
        </is>
      </c>
      <c r="FQ156" s="56" t="inlineStr">
        <is>
          <t>Multitasking; Providing more support and training, along with enough time for new team members to understand the product and improve their skills. It would also help to have someone who can identify our mistakes, p</t>
        </is>
      </c>
      <c r="FR156" s="56" t="inlineStr">
        <is>
          <t>Complexity: Evidence reads like A2: Cold calls, cold emails and LinkedIn outreach with account research to schedule qualified meetings → moved down 0.5
Autonomy: Evidence reads like A2: Decides on alternatives and new outreach approaches; times own calling → moved down 0.5
Accountability: Evidence reads like A2: Accountable for own sales-qualified meetings and pipeline targets → moved down 0.5
Leadership: Evidence reads like A1: No guidance or leadership of others described → moved down 0.5
Business Impact: No survey or manager-mapping signal on criticality: kept at the start point.</t>
        </is>
      </c>
      <c r="FS156" s="56" t="inlineStr">
        <is>
          <t>Common themes in role-holders' answers: core · sales · schedule · meetings · opportunities · sdr
Common themes in role-holders' answers: outreach · calls · linkedin
Common themes in role-holders' answers: pipeline · sales · qualified · meetings · opportunities · generating
If the work is missed · role-holders' themes: sales · pipeline · impact.</t>
        </is>
      </c>
      <c r="FT156" s="56" t="inlineStr">
        <is>
          <t>Self-identified: Client, sales &amp; stakeholders
For the next role: Client, sales &amp; stakeholders</t>
        </is>
      </c>
      <c r="FU156" s="56" t="inlineStr">
        <is>
          <t>Per-person summary · CARBON Mapping Master</t>
        </is>
      </c>
    </row>
    <row r="157" ht="90" customHeight="1">
      <c r="A157" s="51" t="inlineStr">
        <is>
          <t>◂ Back</t>
        </is>
      </c>
      <c r="B157" s="29" t="inlineStr">
        <is>
          <t>Mapped</t>
        </is>
      </c>
      <c r="C157" s="28" t="inlineStr">
        <is>
          <t>CARBON</t>
        </is>
      </c>
      <c r="D157" s="29" t="inlineStr">
        <is>
          <t>IRIS2518</t>
        </is>
      </c>
      <c r="E157" s="29" t="inlineStr">
        <is>
          <t>Diksha Gunjyal</t>
        </is>
      </c>
      <c r="F157" s="29" t="inlineStr">
        <is>
          <t>Marketing</t>
        </is>
      </c>
      <c r="G157" s="29" t="inlineStr">
        <is>
          <t>Marketing Associate</t>
        </is>
      </c>
      <c r="H157" s="29" t="inlineStr">
        <is>
          <t>Sales Development Representative</t>
        </is>
      </c>
      <c r="I157" s="29" t="inlineStr">
        <is>
          <t>L3 – Professional / Associate</t>
        </is>
      </c>
      <c r="J157" s="29" t="inlineStr">
        <is>
          <t>A2</t>
        </is>
      </c>
      <c r="K157" s="29" t="inlineStr">
        <is>
          <t>• Same level</t>
        </is>
      </c>
      <c r="L157" s="29" t="inlineStr">
        <is>
          <t>Sales &amp; Business Development</t>
        </is>
      </c>
      <c r="M157" s="29" t="inlineStr">
        <is>
          <t>Sales Development &amp; Prospecting</t>
        </is>
      </c>
      <c r="N157" s="29" t="n"/>
      <c r="O157" s="29" t="n">
        <v>20</v>
      </c>
      <c r="P157" s="28" t="inlineStr">
        <is>
          <t>P1–P2</t>
        </is>
      </c>
      <c r="Q157" s="29" t="inlineStr">
        <is>
          <t>Entry / Developing</t>
        </is>
      </c>
      <c r="R157" s="29" t="inlineStr">
        <is>
          <t>2 Assist</t>
        </is>
      </c>
      <c r="S157" s="29" t="inlineStr">
        <is>
          <t>0–2 yrs</t>
        </is>
      </c>
      <c r="T157" s="29" t="inlineStr">
        <is>
          <t>1–3 · 0–3</t>
        </is>
      </c>
      <c r="U157" s="29" t="inlineStr">
        <is>
          <t>SDR · entry / SDR / Inside Sales</t>
        </is>
      </c>
      <c r="V157" s="29" t="inlineStr">
        <is>
          <t>IRIS Vs Competitor Benchmark — SaaS sales ladder — IC: SDR / BDR</t>
        </is>
      </c>
      <c r="W157" s="29" t="inlineStr">
        <is>
          <t>SaaS sales ladder · SDR → AE → Enterprise AE → VP / CRO; MEDDICC-style qualification</t>
        </is>
      </c>
      <c r="X157" s="29" t="inlineStr">
        <is>
          <t>Core 2 · Future 2 · Functional 2 · Leadership not scored</t>
        </is>
      </c>
      <c r="Y157" s="52" t="n">
        <v>489</v>
      </c>
      <c r="Z157" s="53" t="inlineStr">
        <is>
          <t>IRIS2518</t>
        </is>
      </c>
      <c r="AA157" s="53" t="inlineStr">
        <is>
          <t>Employee</t>
        </is>
      </c>
      <c r="AB157" s="53" t="inlineStr">
        <is>
          <t>Active</t>
        </is>
      </c>
      <c r="AC157" s="53" t="inlineStr">
        <is>
          <t>Diksha Gunjyal</t>
        </is>
      </c>
      <c r="AD157" s="54" t="n">
        <v>46125</v>
      </c>
      <c r="AE157" s="53" t="inlineStr">
        <is>
          <t>Marketing Associate</t>
        </is>
      </c>
      <c r="AF157" s="53" t="inlineStr">
        <is>
          <t>B.Sc</t>
        </is>
      </c>
      <c r="AG157" s="53" t="inlineStr">
        <is>
          <t>Vijay Krishna Chintha</t>
        </is>
      </c>
      <c r="AH157" s="53" t="inlineStr">
        <is>
          <t>N-5</t>
        </is>
      </c>
      <c r="AI157" s="53" t="inlineStr">
        <is>
          <t>Individual Contributor</t>
        </is>
      </c>
      <c r="AJ157" s="53" t="inlineStr">
        <is>
          <t>0 years, 0 months, 0 days</t>
        </is>
      </c>
      <c r="AK157" s="53" t="inlineStr">
        <is>
          <t>0 years, 4 months, 12 days</t>
        </is>
      </c>
      <c r="AL157" s="53" t="inlineStr">
        <is>
          <t>Regtech</t>
        </is>
      </c>
      <c r="AM157" s="53" t="inlineStr">
        <is>
          <t>CARBON</t>
        </is>
      </c>
      <c r="AN157" s="53" t="inlineStr">
        <is>
          <t>Marketing</t>
        </is>
      </c>
      <c r="AO157" s="53" t="inlineStr">
        <is>
          <t>Marketing</t>
        </is>
      </c>
      <c r="AP157" s="53" t="inlineStr">
        <is>
          <t>No</t>
        </is>
      </c>
      <c r="AQ157" s="53" t="inlineStr">
        <is>
          <t>Sales, Marketing &amp; Support</t>
        </is>
      </c>
      <c r="AR157" s="53" t="inlineStr">
        <is>
          <t>Marketing</t>
        </is>
      </c>
      <c r="AS157" s="53" t="inlineStr">
        <is>
          <t>Non-technical</t>
        </is>
      </c>
      <c r="AT157" s="53" t="n">
        <v>20</v>
      </c>
      <c r="AU157" s="53" t="inlineStr">
        <is>
          <t>Covered</t>
        </is>
      </c>
      <c r="AV157" s="53" t="inlineStr">
        <is>
          <t>IRIS2518</t>
        </is>
      </c>
      <c r="AW157" s="53" t="inlineStr">
        <is>
          <t>Diksha Gunjyal</t>
        </is>
      </c>
      <c r="AX157" s="53" t="inlineStr">
        <is>
          <t>Marketing</t>
        </is>
      </c>
      <c r="AY157" s="53" t="inlineStr">
        <is>
          <t>Sales &amp; Business Development</t>
        </is>
      </c>
      <c r="AZ157" s="53" t="inlineStr">
        <is>
          <t>Sales Development · SDR</t>
        </is>
      </c>
      <c r="BA157" s="53" t="n"/>
      <c r="BB157" s="53" t="n"/>
      <c r="BC157" s="53" t="inlineStr">
        <is>
          <t>Employee</t>
        </is>
      </c>
      <c r="BD157" s="53" t="inlineStr">
        <is>
          <t>Saahit Togaru</t>
        </is>
      </c>
      <c r="BE157" s="53" t="inlineStr">
        <is>
          <t>Saahit Togaru</t>
        </is>
      </c>
      <c r="BF157" s="53" t="inlineStr">
        <is>
          <t>No</t>
        </is>
      </c>
      <c r="BG157" s="53" t="inlineStr">
        <is>
          <t>Marketing Associate</t>
        </is>
      </c>
      <c r="BH157" s="53" t="inlineStr">
        <is>
          <t>Sales Development Associate</t>
        </is>
      </c>
      <c r="BI157" s="53" t="inlineStr">
        <is>
          <t>Yes</t>
        </is>
      </c>
      <c r="BJ157" s="53" t="inlineStr">
        <is>
          <t>—</t>
        </is>
      </c>
      <c r="BK157" s="53" t="inlineStr">
        <is>
          <t>—</t>
        </is>
      </c>
      <c r="BL157" s="53" t="inlineStr">
        <is>
          <t>—</t>
        </is>
      </c>
      <c r="BM157" s="53" t="inlineStr">
        <is>
          <t>Not a manager</t>
        </is>
      </c>
      <c r="BN157" s="53" t="inlineStr">
        <is>
          <t>—</t>
        </is>
      </c>
      <c r="BO157" s="53" t="inlineStr">
        <is>
          <t>—</t>
        </is>
      </c>
      <c r="BP157" s="53" t="inlineStr">
        <is>
          <t>—</t>
        </is>
      </c>
      <c r="BQ157" s="53" t="inlineStr">
        <is>
          <t>Not a manager</t>
        </is>
      </c>
      <c r="BR157" s="53" t="inlineStr">
        <is>
          <t>—</t>
        </is>
      </c>
      <c r="BS157" s="53" t="inlineStr">
        <is>
          <t>L3 – Professional / Associate</t>
        </is>
      </c>
      <c r="BT157" s="53" t="inlineStr">
        <is>
          <t>L3 – Professional / Associate</t>
        </is>
      </c>
      <c r="BU157" s="53" t="inlineStr">
        <is>
          <t>No designation change — current record value carried forward</t>
        </is>
      </c>
      <c r="BV157" s="53" t="inlineStr">
        <is>
          <t>1.Recently joined the organization · around 3 months ago and is currently ramping up while building a strong understanding
2. Started actively prospecting through multi-channel outreach across target accounts to build pipeline</t>
        </is>
      </c>
      <c r="BW157" s="53" t="n"/>
      <c r="BX157" s="53" t="inlineStr">
        <is>
          <t>No input received.</t>
        </is>
      </c>
      <c r="BY157" s="53" t="n"/>
      <c r="BZ157" s="53" t="inlineStr">
        <is>
          <t>IRIS2518</t>
        </is>
      </c>
      <c r="CA157" s="53" t="inlineStr">
        <is>
          <t>Employee</t>
        </is>
      </c>
      <c r="CB157" s="53" t="inlineStr">
        <is>
          <t>Active</t>
        </is>
      </c>
      <c r="CC157" s="53" t="inlineStr">
        <is>
          <t>Diksha Gunjyal</t>
        </is>
      </c>
      <c r="CD157" s="54" t="n">
        <v>46125</v>
      </c>
      <c r="CE157" s="53" t="inlineStr">
        <is>
          <t>Marketing Associate</t>
        </is>
      </c>
      <c r="CF157" s="53" t="inlineStr">
        <is>
          <t>Moved to SDR - EURegions - reports to Saahit</t>
        </is>
      </c>
      <c r="CG157" s="53" t="inlineStr">
        <is>
          <t>Sales &amp; Business Development</t>
        </is>
      </c>
      <c r="CH157" s="53" t="inlineStr">
        <is>
          <t>Sales Development · SDR</t>
        </is>
      </c>
      <c r="CI157" s="53" t="inlineStr">
        <is>
          <t>Marketing Associate</t>
        </is>
      </c>
      <c r="CJ157" s="53" t="inlineStr">
        <is>
          <t>L3 – Professional / Associate</t>
        </is>
      </c>
      <c r="CK157" s="53" t="inlineStr">
        <is>
          <t>Saahit Togaru</t>
        </is>
      </c>
      <c r="CL157" s="53" t="inlineStr">
        <is>
          <t>N-4</t>
        </is>
      </c>
      <c r="CM157" s="53" t="inlineStr">
        <is>
          <t>Individual Contributor</t>
        </is>
      </c>
      <c r="CN157" s="53" t="inlineStr">
        <is>
          <t>Regtech</t>
        </is>
      </c>
      <c r="CO157" s="53" t="inlineStr">
        <is>
          <t>Marketing</t>
        </is>
      </c>
      <c r="CP157" s="53" t="inlineStr">
        <is>
          <t>0 years, 2 months, 7 days</t>
        </is>
      </c>
      <c r="CQ157" s="53" t="n"/>
      <c r="CR157" s="53" t="inlineStr">
        <is>
          <t>No</t>
        </is>
      </c>
      <c r="CS157" s="53" t="n">
        <v>1</v>
      </c>
      <c r="CT157" s="53" t="inlineStr">
        <is>
          <t>Low</t>
        </is>
      </c>
      <c r="CU157" s="53" t="inlineStr">
        <is>
          <t>Performance Risk</t>
        </is>
      </c>
      <c r="CV157" s="53" t="inlineStr">
        <is>
          <t>Too soon to comment</t>
        </is>
      </c>
      <c r="CW157" s="53" t="inlineStr">
        <is>
          <t>No</t>
        </is>
      </c>
      <c r="CX157" s="53" t="inlineStr">
        <is>
          <t>No</t>
        </is>
      </c>
      <c r="CY157" s="53" t="n"/>
      <c r="CZ157" s="53" t="inlineStr">
        <is>
          <t>Would benefit from improving ownership, proactiveness · from her own end, and confidence in conversations while strengthening prospecting and pipeline generation skills</t>
        </is>
      </c>
      <c r="DA157" s="53" t="n"/>
      <c r="DB157" s="53" t="inlineStr">
        <is>
          <t>To be mapped to SDR Mgr Europe - TBH</t>
        </is>
      </c>
      <c r="DC157" s="53" t="n"/>
      <c r="DD157" s="53" t="n"/>
      <c r="DE157" s="53" t="n"/>
      <c r="DF157" s="53" t="n"/>
      <c r="DG157" s="53" t="n"/>
      <c r="DH157" s="53" t="n"/>
      <c r="DI157" s="53" t="n"/>
      <c r="DJ157" s="53" t="n"/>
      <c r="DK157" s="53" t="n"/>
      <c r="DL157" s="53" t="n"/>
      <c r="DM157" s="53" t="n"/>
      <c r="DN157" s="53" t="n"/>
      <c r="DO157" s="53" t="n"/>
      <c r="DP157" s="53" t="n"/>
      <c r="DQ157" s="53" t="n"/>
      <c r="DR157" s="53" t="n"/>
      <c r="DS157" s="53" t="n"/>
      <c r="DT157" s="53" t="n"/>
      <c r="DU157" s="53" t="n"/>
      <c r="DV157" s="53" t="n"/>
      <c r="DW157" s="53" t="n"/>
      <c r="DX157" s="53" t="n"/>
      <c r="DY157" s="53" t="n"/>
      <c r="DZ157" s="53" t="n"/>
      <c r="EA157" s="53" t="n"/>
      <c r="EB157" s="53" t="n"/>
      <c r="EC157" s="53" t="n"/>
      <c r="ED157" s="53" t="n"/>
      <c r="EE157" s="53" t="n"/>
      <c r="EF157" s="53" t="n"/>
      <c r="EG157" s="53" t="n"/>
      <c r="EH157" s="53" t="n"/>
      <c r="EI157" s="53" t="n"/>
      <c r="EJ157" s="53" t="n"/>
      <c r="EK157" s="53" t="n"/>
      <c r="EL157" s="53" t="n"/>
      <c r="EM157" s="53" t="n"/>
      <c r="EN157" s="53" t="n"/>
      <c r="EO157" s="53" t="n"/>
      <c r="EP157" s="53" t="n"/>
      <c r="EQ157" s="53" t="n"/>
      <c r="ER157" s="53" t="n"/>
      <c r="ES157" s="53" t="n"/>
      <c r="ET157" s="53" t="n"/>
      <c r="EU157" s="53" t="n"/>
      <c r="EV157" s="53" t="n"/>
      <c r="EW157" s="52" t="n"/>
      <c r="EX157" s="53" t="inlineStr">
        <is>
          <t>• This role reaches out to relevant ICPs to support sales and build the IRIS brand.</t>
        </is>
      </c>
      <c r="EY157" s="53" t="inlineStr">
        <is>
          <t>• Reported deliverables and outcomes include: Discovery meetings; If the lead didn’t join the meeting, we are kind of accountable for it; Setting meetings.
• The role is accountable for Setting wrong expectations.
• The role independently makes decisions on Researching about company; Finding out right ICP.</t>
        </is>
      </c>
      <c r="EZ157" s="53" t="inlineStr">
        <is>
          <t>• Current capabilities: Company and ICP research; LinkedIn Navigator and email-sequence creation.</t>
        </is>
      </c>
      <c r="FA157" s="53" t="inlineStr">
        <is>
          <t>• Development priorities: Build confidence in outreach conversations; Strengthen product knowledge and targeting judgement.
• Learning and Development Need: Outreach confidence-building · call coaching, role-play and product-knowledge training to sharpen ICP targeting judgement.</t>
        </is>
      </c>
      <c r="FB157" s="53" t="inlineStr">
        <is>
          <t>• Key challenges: Outdated prospect database; Low confidence during outreach.
• Support required: No input received.</t>
        </is>
      </c>
      <c r="FC157" s="53" t="n"/>
      <c r="FD157" s="53" t="n"/>
      <c r="FE157" s="57" t="inlineStr">
        <is>
          <t>1.Recently joined the organization · around 3 months ago and is currently ramping up while building a strong understanding
2. Started actively prospecting through multi-channel outreach across target accounts to build pipeline</t>
        </is>
      </c>
      <c r="FF157" s="56" t="n"/>
      <c r="FG157" s="56" t="n"/>
      <c r="FH157" s="56" t="n"/>
      <c r="FI157" s="56" t="inlineStr">
        <is>
          <t>Moved to SDR - EURegions - reports to Saahit</t>
        </is>
      </c>
      <c r="FJ157" s="56" t="inlineStr">
        <is>
          <t>Received · manager annual</t>
        </is>
      </c>
      <c r="FK157" s="56" t="inlineStr">
        <is>
          <t>CARBON Mapping Master · CARBON Talent Mapping · Raw</t>
        </is>
      </c>
      <c r="FL157" s="56" t="n">
        <v>20</v>
      </c>
      <c r="FM157" s="56" t="inlineStr">
        <is>
          <t>• This role reaches out to relevant ICPs to support sales and build the IRIS brand.</t>
        </is>
      </c>
      <c r="FN157" s="56" t="inlineStr">
        <is>
          <t>• Reported deliverables and outcomes include: Discovery meetings; If the lead didn’t join the meeting, we are kind of accountable for it; Setting meetings.
• The role is accountable for Setting wrong expectations.
• The role independently makes decisions on Researching about company; Finding out right ICP.</t>
        </is>
      </c>
      <c r="FO157" s="56" t="inlineStr">
        <is>
          <t>• Current capabilities: Company and ICP research; LinkedIn Navigator and email-sequence creation.</t>
        </is>
      </c>
      <c r="FP157" s="56" t="inlineStr">
        <is>
          <t>• Development priorities: Build confidence in outreach conversations; Strengthen product knowledge and targeting judgement.
• Learning and Development Need: Outreach confidence-building · call coaching, role-play and product-knowledge training to sharpen ICP targeting judgement.</t>
        </is>
      </c>
      <c r="FQ157" s="56" t="inlineStr">
        <is>
          <t>• Key challenges: Outdated prospect database; Low confidence during outreach.
• Support required: No input received.</t>
        </is>
      </c>
      <c r="FR157" s="56" t="inlineStr">
        <is>
          <t>Complexity: Evidence reads like A2: Researches companies, finds ICPs, cold calls, email sequences and LinkedIn outreach to book discovery meetings → matches the start
Autonomy: Evidence reads like A2: Only stated independent decision is setting meetings; outreach follows a set process → matches the start
Accountability: Evidence reads like A2: Answerable for booked discovery meetings and lead attendance; risk is setting wrong expectations → matches the start
Leadership: Evidence reads like A1: No guidance or leadership of others described → matches the start
Business Impact: No move: the survey / manager mapping does not mark it business-critical or unique.</t>
        </is>
      </c>
      <c r="FS157" s="56" t="inlineStr">
        <is>
          <t>Common themes in role-holders' answers: scheduling · customers shared · sales · cold · navigator fetch · database
Common themes in role-holders' answers: building · crm · outreach · linkedin · right · company
Common themes in role-holders' answers: discovery · meetings · revenue
Common themes in role-holders' answers: if · relevant · meeting · lead
Common themes in role-holders' answers: outreach
If the work is missed · role-holders' themes: pipeline.</t>
        </is>
      </c>
      <c r="FT157" s="56" t="inlineStr">
        <is>
          <t>Self-identified: Communication &amp; presentation
For the next role: Communication &amp; presentation</t>
        </is>
      </c>
      <c r="FU157" s="56" t="inlineStr">
        <is>
          <t>Per-person summary · CARBON Mapping Master</t>
        </is>
      </c>
    </row>
    <row r="158" ht="90" customHeight="1">
      <c r="A158" s="51" t="inlineStr">
        <is>
          <t>◂ Back</t>
        </is>
      </c>
      <c r="B158" s="29" t="inlineStr">
        <is>
          <t>Mapped</t>
        </is>
      </c>
      <c r="C158" s="28" t="inlineStr">
        <is>
          <t>CARBON</t>
        </is>
      </c>
      <c r="D158" s="29" t="inlineStr">
        <is>
          <t>INTN0286</t>
        </is>
      </c>
      <c r="E158" s="29" t="inlineStr">
        <is>
          <t>Samriddhi Kundu</t>
        </is>
      </c>
      <c r="F158" s="29" t="inlineStr">
        <is>
          <t>Marketing</t>
        </is>
      </c>
      <c r="G158" s="29" t="inlineStr">
        <is>
          <t>Intern</t>
        </is>
      </c>
      <c r="H158" s="29" t="inlineStr">
        <is>
          <t>Intern – Sales Development &amp; Prospecting</t>
        </is>
      </c>
      <c r="I158" s="29" t="inlineStr">
        <is>
          <t>L1 – Intern</t>
        </is>
      </c>
      <c r="J158" s="29" t="inlineStr">
        <is>
          <t>A1</t>
        </is>
      </c>
      <c r="K158" s="29" t="inlineStr">
        <is>
          <t>• Same level</t>
        </is>
      </c>
      <c r="L158" s="29" t="inlineStr">
        <is>
          <t>Sales &amp; Business Development</t>
        </is>
      </c>
      <c r="M158" s="29" t="inlineStr">
        <is>
          <t>Sales Development &amp; Prospecting</t>
        </is>
      </c>
      <c r="N158" s="29" t="n"/>
      <c r="O158" s="29" t="n">
        <v>20</v>
      </c>
      <c r="P158" s="28" t="inlineStr">
        <is>
          <t>Entry / P1 · intern</t>
        </is>
      </c>
      <c r="Q158" s="29" t="inlineStr">
        <is>
          <t>Entry</t>
        </is>
      </c>
      <c r="R158" s="29" t="inlineStr">
        <is>
          <t>1 Follow</t>
        </is>
      </c>
      <c r="S158" s="29" t="inlineStr">
        <is>
          <t>0 yrs · fresher / intern</t>
        </is>
      </c>
      <c r="T158" s="29" t="inlineStr">
        <is>
          <t>—</t>
        </is>
      </c>
      <c r="U158" s="29" t="inlineStr">
        <is>
          <t>SDR · entry</t>
        </is>
      </c>
      <c r="V158" s="29" t="inlineStr">
        <is>
          <t>—</t>
        </is>
      </c>
      <c r="W158" s="29" t="inlineStr">
        <is>
          <t>SaaS sales ladder · SDR → AE → Enterprise AE → VP / CRO; MEDDICC-style qualification</t>
        </is>
      </c>
      <c r="X158" s="29" t="inlineStr">
        <is>
          <t>Core 1 · Future 1 · Functional 1 · Leadership not scored</t>
        </is>
      </c>
      <c r="Y158" s="52" t="n">
        <v>430</v>
      </c>
      <c r="Z158" s="53" t="inlineStr">
        <is>
          <t>INTN0286</t>
        </is>
      </c>
      <c r="AA158" s="53" t="inlineStr">
        <is>
          <t>Intern</t>
        </is>
      </c>
      <c r="AB158" s="53" t="inlineStr">
        <is>
          <t>Active</t>
        </is>
      </c>
      <c r="AC158" s="53" t="inlineStr">
        <is>
          <t>Samriddhi Kundu</t>
        </is>
      </c>
      <c r="AD158" s="54" t="n">
        <v>46027</v>
      </c>
      <c r="AE158" s="53" t="inlineStr">
        <is>
          <t>Intern</t>
        </is>
      </c>
      <c r="AF158" s="53" t="inlineStr">
        <is>
          <t>B.Tech</t>
        </is>
      </c>
      <c r="AG158" s="53" t="inlineStr">
        <is>
          <t>Vijay Krishna Chintha</t>
        </is>
      </c>
      <c r="AH158" s="53" t="inlineStr">
        <is>
          <t>N-5</t>
        </is>
      </c>
      <c r="AI158" s="53" t="inlineStr">
        <is>
          <t>Individual Contributor</t>
        </is>
      </c>
      <c r="AJ158" s="53" t="inlineStr">
        <is>
          <t>0 years, 3 months, 0 days</t>
        </is>
      </c>
      <c r="AK158" s="53" t="inlineStr">
        <is>
          <t>0 years, 7 months, 20 days</t>
        </is>
      </c>
      <c r="AL158" s="53" t="inlineStr">
        <is>
          <t>Regtech</t>
        </is>
      </c>
      <c r="AM158" s="53" t="inlineStr">
        <is>
          <t>CARBON</t>
        </is>
      </c>
      <c r="AN158" s="53" t="inlineStr">
        <is>
          <t>Marketing</t>
        </is>
      </c>
      <c r="AO158" s="53" t="inlineStr">
        <is>
          <t>Marketing - SDR</t>
        </is>
      </c>
      <c r="AP158" s="53" t="inlineStr">
        <is>
          <t>No</t>
        </is>
      </c>
      <c r="AQ158" s="53" t="inlineStr">
        <is>
          <t>Sales, Marketing &amp; Support</t>
        </is>
      </c>
      <c r="AR158" s="53" t="inlineStr">
        <is>
          <t>Marketing</t>
        </is>
      </c>
      <c r="AS158" s="53" t="inlineStr">
        <is>
          <t>Non-technical</t>
        </is>
      </c>
      <c r="AT158" s="53" t="n">
        <v>20</v>
      </c>
      <c r="AU158" s="53" t="inlineStr">
        <is>
          <t>Covered</t>
        </is>
      </c>
      <c r="AV158" s="53" t="inlineStr">
        <is>
          <t>INTN0286</t>
        </is>
      </c>
      <c r="AW158" s="53" t="inlineStr">
        <is>
          <t>Samriddhi Kundu</t>
        </is>
      </c>
      <c r="AX158" s="53" t="inlineStr">
        <is>
          <t>Marketing</t>
        </is>
      </c>
      <c r="AY158" s="53" t="inlineStr">
        <is>
          <t>Sales &amp; Business Development</t>
        </is>
      </c>
      <c r="AZ158" s="53" t="inlineStr">
        <is>
          <t>Sales Development · SDR</t>
        </is>
      </c>
      <c r="BA158" s="53" t="n"/>
      <c r="BB158" s="53" t="n"/>
      <c r="BC158" s="53" t="inlineStr">
        <is>
          <t>Intern</t>
        </is>
      </c>
      <c r="BD158" s="53" t="inlineStr">
        <is>
          <t>Vijay Krishna Chintha</t>
        </is>
      </c>
      <c r="BE158" s="53" t="inlineStr">
        <is>
          <t>Vijay Krishna Chintha</t>
        </is>
      </c>
      <c r="BF158" s="53" t="inlineStr">
        <is>
          <t>No</t>
        </is>
      </c>
      <c r="BG158" s="53" t="inlineStr">
        <is>
          <t>Intern</t>
        </is>
      </c>
      <c r="BH158" s="53" t="inlineStr">
        <is>
          <t>Intern</t>
        </is>
      </c>
      <c r="BI158" s="53" t="inlineStr">
        <is>
          <t>No</t>
        </is>
      </c>
      <c r="BJ158" s="53" t="inlineStr">
        <is>
          <t>—</t>
        </is>
      </c>
      <c r="BK158" s="53" t="inlineStr">
        <is>
          <t>—</t>
        </is>
      </c>
      <c r="BL158" s="53" t="inlineStr">
        <is>
          <t>—</t>
        </is>
      </c>
      <c r="BM158" s="53" t="inlineStr">
        <is>
          <t>Not a manager</t>
        </is>
      </c>
      <c r="BN158" s="53" t="inlineStr">
        <is>
          <t>—</t>
        </is>
      </c>
      <c r="BO158" s="53" t="inlineStr">
        <is>
          <t>—</t>
        </is>
      </c>
      <c r="BP158" s="53" t="inlineStr">
        <is>
          <t>—</t>
        </is>
      </c>
      <c r="BQ158" s="53" t="inlineStr">
        <is>
          <t>Not a manager</t>
        </is>
      </c>
      <c r="BR158" s="53" t="inlineStr">
        <is>
          <t>—</t>
        </is>
      </c>
      <c r="BS158" s="53" t="inlineStr">
        <is>
          <t>L1 – Intern</t>
        </is>
      </c>
      <c r="BT158" s="53" t="inlineStr">
        <is>
          <t>L1 – Intern</t>
        </is>
      </c>
      <c r="BU158" s="53" t="inlineStr">
        <is>
          <t>No designation change — current record value carried forward</t>
        </is>
      </c>
      <c r="BV158" s="53" t="inlineStr">
        <is>
          <t>1. Build a strong pipeline of qualified leads through close sales collaboration and complete 8 Discovery Calls · DCCs per month · ~96 annually
2. Generate 3 Sales Accepted Leads · SALs = Active Buy per month by qualifying high-intent opportunities for Account Executives and Functional Experts · ~36 annually</t>
        </is>
      </c>
      <c r="BW158" s="53" t="n"/>
      <c r="BX158" s="53" t="inlineStr">
        <is>
          <t>No input received.</t>
        </is>
      </c>
      <c r="BY158" s="53" t="n"/>
      <c r="BZ158" s="53" t="inlineStr">
        <is>
          <t>INTN0286</t>
        </is>
      </c>
      <c r="CA158" s="53" t="inlineStr">
        <is>
          <t>Intern</t>
        </is>
      </c>
      <c r="CB158" s="53" t="inlineStr">
        <is>
          <t>Active</t>
        </is>
      </c>
      <c r="CC158" s="53" t="inlineStr">
        <is>
          <t>Samriddhi Kundu</t>
        </is>
      </c>
      <c r="CD158" s="54" t="n">
        <v>46027</v>
      </c>
      <c r="CE158" s="53" t="inlineStr">
        <is>
          <t>Intern</t>
        </is>
      </c>
      <c r="CF158" s="53" t="inlineStr">
        <is>
          <t>Cold calling+Emailing, Scheduling Demo, Before Demo, they huddle with Functional * Sales team to provide detailed portfolio about the company. Tools used - Linkedin Sales navigator · To fetch number of customers shared by Database Team:</t>
        </is>
      </c>
      <c r="CG158" s="53" t="inlineStr">
        <is>
          <t>Sales &amp; Business Development</t>
        </is>
      </c>
      <c r="CH158" s="53" t="inlineStr">
        <is>
          <t>Sales Development · SDR</t>
        </is>
      </c>
      <c r="CI158" s="53" t="inlineStr">
        <is>
          <t>Intern</t>
        </is>
      </c>
      <c r="CJ158" s="53" t="inlineStr">
        <is>
          <t>L1 – Intern</t>
        </is>
      </c>
      <c r="CK158" s="53" t="inlineStr">
        <is>
          <t>Vijay Krishna Chintha</t>
        </is>
      </c>
      <c r="CL158" s="53" t="inlineStr">
        <is>
          <t>N-5</t>
        </is>
      </c>
      <c r="CM158" s="53" t="inlineStr">
        <is>
          <t>Individual Contributor</t>
        </is>
      </c>
      <c r="CN158" s="53" t="inlineStr">
        <is>
          <t>Regtech</t>
        </is>
      </c>
      <c r="CO158" s="53" t="inlineStr">
        <is>
          <t>Marketing</t>
        </is>
      </c>
      <c r="CP158" s="53" t="inlineStr">
        <is>
          <t>0 years, 8 months, 15 days</t>
        </is>
      </c>
      <c r="CQ158" s="53" t="n"/>
      <c r="CR158" s="53" t="inlineStr">
        <is>
          <t>No</t>
        </is>
      </c>
      <c r="CS158" s="53" t="n">
        <v>3</v>
      </c>
      <c r="CT158" s="53" t="inlineStr">
        <is>
          <t>High</t>
        </is>
      </c>
      <c r="CU158" s="53" t="inlineStr">
        <is>
          <t>Emerging Talent</t>
        </is>
      </c>
      <c r="CV158" s="53" t="inlineStr">
        <is>
          <t>No</t>
        </is>
      </c>
      <c r="CW158" s="53" t="inlineStr">
        <is>
          <t>No</t>
        </is>
      </c>
      <c r="CX158" s="53" t="inlineStr">
        <is>
          <t>No</t>
        </is>
      </c>
      <c r="CY158" s="53" t="n"/>
      <c r="CZ158" s="53" t="inlineStr">
        <is>
          <t>Yes. While she is performing well, there is always room for continuous learning and improvement. Additional training sessions focused on objection handling, call openings, and advanced sales conversations could further enhance her effectiveness and help her achieve even better results</t>
        </is>
      </c>
      <c r="DA158" s="53" t="n"/>
      <c r="DB158" s="53" t="n"/>
      <c r="DC158" s="53" t="n"/>
      <c r="DD158" s="53" t="n"/>
      <c r="DE158" s="53" t="n"/>
      <c r="DF158" s="53" t="n"/>
      <c r="DG158" s="53" t="n"/>
      <c r="DH158" s="53" t="n"/>
      <c r="DI158" s="53" t="n"/>
      <c r="DJ158" s="53" t="n"/>
      <c r="DK158" s="53" t="n"/>
      <c r="DL158" s="53" t="n"/>
      <c r="DM158" s="53" t="n"/>
      <c r="DN158" s="53" t="n"/>
      <c r="DO158" s="53" t="n"/>
      <c r="DP158" s="53" t="n"/>
      <c r="DQ158" s="53" t="n"/>
      <c r="DR158" s="53" t="n"/>
      <c r="DS158" s="53" t="n"/>
      <c r="DT158" s="53" t="n"/>
      <c r="DU158" s="53" t="n"/>
      <c r="DV158" s="53" t="n"/>
      <c r="DW158" s="53" t="n"/>
      <c r="DX158" s="53" t="n"/>
      <c r="DY158" s="53" t="n"/>
      <c r="DZ158" s="53" t="n"/>
      <c r="EA158" s="53" t="n"/>
      <c r="EB158" s="53" t="n"/>
      <c r="EC158" s="53" t="n"/>
      <c r="ED158" s="53" t="n"/>
      <c r="EE158" s="53" t="n"/>
      <c r="EF158" s="53" t="n"/>
      <c r="EG158" s="53" t="n"/>
      <c r="EH158" s="53" t="n"/>
      <c r="EI158" s="53" t="n"/>
      <c r="EJ158" s="53" t="n"/>
      <c r="EK158" s="53" t="n"/>
      <c r="EL158" s="53" t="n"/>
      <c r="EM158" s="53" t="n"/>
      <c r="EN158" s="53" t="n"/>
      <c r="EO158" s="53" t="n"/>
      <c r="EP158" s="53" t="n"/>
      <c r="EQ158" s="53" t="n"/>
      <c r="ER158" s="53" t="n"/>
      <c r="ES158" s="53" t="n"/>
      <c r="ET158" s="53" t="n"/>
      <c r="EU158" s="53" t="n"/>
      <c r="EV158" s="53" t="n"/>
      <c r="EW158" s="52" t="n"/>
      <c r="EX158" s="53" t="inlineStr">
        <is>
          <t>• This role engages qualified leads, holds meaningful prospect conversations and generates interest in IRIS Carbon.</t>
        </is>
      </c>
      <c r="EY158" s="53" t="inlineStr">
        <is>
          <t>• Reported deliverables and outcomes include: Sales Pipeline; Prospect Conversations; Discovery meetings; Qualified leads, Prospect Expectations; Generate Lead interest.
• The role is accountable for Setting up wrong Lead expectations.
• The role independently makes decisions on Follow up tasks; Dial more than 130 calls.</t>
        </is>
      </c>
      <c r="EZ158" s="53" t="inlineStr">
        <is>
          <t>• Current capabilities: Prospect engagement and discovery conversations; AI-assisted outreach and multichannel prospecting; Lead follow-up and pipeline development.</t>
        </is>
      </c>
      <c r="FA158" s="53" t="inlineStr">
        <is>
          <t>• Development priorities: Improve objection handling, confidence and independent prospecting; Build leadership capability and broaden multichannel outreach.
• Learning and Development Need: Objection-handling and multichannel prospecting training, with early leadership-development exposure to build outreach confidence.
• AI Enablement Need: AI prompt engineering and using AI to increase efficiency, given her reported use of AI-assisted outreach and multichannel prospecting.</t>
        </is>
      </c>
      <c r="FB158" s="53" t="inlineStr">
        <is>
          <t>• Key challenges: Team coordination and overlapping prospect data; Limited feedback from call recordings; Confidence in difficult prospect interactions.
• Support required: Peer coaching and timely clarification from the team.</t>
        </is>
      </c>
      <c r="FC158" s="53" t="n"/>
      <c r="FD158" s="53" t="n"/>
      <c r="FE158" s="57" t="inlineStr">
        <is>
          <t>1. Build a strong pipeline of qualified leads through close sales collaboration and complete 8 Discovery Calls · DCCs per month · ~96 annually
2. Generate 3 Sales Accepted Leads · SALs = Active Buy per month by qualifying high-intent opportunities for Account Executives and Functional Experts · ~36 annually</t>
        </is>
      </c>
      <c r="FF158" s="56" t="n"/>
      <c r="FG158" s="56" t="n"/>
      <c r="FH158" s="56" t="n"/>
      <c r="FI158" s="56" t="inlineStr">
        <is>
          <t>Cold calling+Emailing, Scheduling Demo, Before Demo, they huddle with Functional * Sales team to provide detailed portfolio about the company. Tools used - Linkedin Sales navigator · To fetch number of customers shared by Database Team:</t>
        </is>
      </c>
      <c r="FJ158" s="56" t="inlineStr">
        <is>
          <t>Received · manager annual</t>
        </is>
      </c>
      <c r="FK158" s="56" t="inlineStr">
        <is>
          <t>CARBON Mapping Master · CARBON Talent Mapping · Raw</t>
        </is>
      </c>
      <c r="FL158" s="56" t="n">
        <v>20</v>
      </c>
      <c r="FM158" s="56" t="inlineStr">
        <is>
          <t>• This role engages qualified leads, holds meaningful prospect conversations and generates interest in IRIS Carbon.</t>
        </is>
      </c>
      <c r="FN158" s="56" t="inlineStr">
        <is>
          <t>• Reported deliverables and outcomes include: Sales Pipeline; Prospect Conversations; Discovery meetings; Qualified leads, Prospect Expectations; Generate Lead interest.
• The role is accountable for Setting up wrong Lead expectations.
• The role independently makes decisions on Follow up tasks; Dial more than 130 calls.</t>
        </is>
      </c>
      <c r="FO158" s="56" t="inlineStr">
        <is>
          <t>• Current capabilities: Prospect engagement and discovery conversations; AI-assisted outreach and multichannel prospecting; Lead follow-up and pipeline development.</t>
        </is>
      </c>
      <c r="FP158" s="56" t="inlineStr">
        <is>
          <t>• Development priorities: Improve objection handling, confidence and independent prospecting; Build leadership capability and broaden multichannel outreach.
• Learning and Development Need: Objection-handling and multichannel prospecting training, with early leadership-development exposure to build outreach confidence.
• AI Enablement Need: AI prompt engineering and using AI to increase efficiency, given her reported use of AI-assisted outreach and multichannel prospecting.</t>
        </is>
      </c>
      <c r="FQ158" s="56" t="inlineStr">
        <is>
          <t>• Key challenges: Team coordination and overlapping prospect data; Limited feedback from call recordings; Confidence in difficult prospect interactions.
• Support required: Peer coaching and timely clarification from the team.</t>
        </is>
      </c>
      <c r="FR158" s="56" t="n"/>
      <c r="FS158" s="56" t="inlineStr">
        <is>
          <t>Common themes in role-holders' answers: scheduling · sales provide · customers shared · tools linkedin · portfolio company · cold
Common themes in role-holders' answers: outreach · linkedin
Common themes in role-holders' answers: meetings
Common themes in role-holders' answers: lead
If the work is missed · role-holders' themes: lead.</t>
        </is>
      </c>
      <c r="FT158" s="56" t="inlineStr">
        <is>
          <t>Self-identified: Leadership &amp; people management
For the next role: Leadership &amp; people management</t>
        </is>
      </c>
      <c r="FU158" s="56" t="inlineStr">
        <is>
          <t>Per-person summary · CARBON Mapping Master</t>
        </is>
      </c>
    </row>
    <row r="159" ht="90" customHeight="1">
      <c r="A159" s="51" t="inlineStr">
        <is>
          <t>◂ Back</t>
        </is>
      </c>
      <c r="B159" s="29" t="inlineStr">
        <is>
          <t>Mapped</t>
        </is>
      </c>
      <c r="C159" s="28" t="inlineStr">
        <is>
          <t>CARBON</t>
        </is>
      </c>
      <c r="D159" s="29" t="inlineStr">
        <is>
          <t>IRIS2392</t>
        </is>
      </c>
      <c r="E159" s="29" t="inlineStr">
        <is>
          <t>Sanjana Thapa</t>
        </is>
      </c>
      <c r="F159" s="29" t="inlineStr">
        <is>
          <t>Marketing</t>
        </is>
      </c>
      <c r="G159" s="29" t="inlineStr">
        <is>
          <t>Marketing Associate - ABM</t>
        </is>
      </c>
      <c r="H159" s="29" t="inlineStr">
        <is>
          <t>Sales Development Representative</t>
        </is>
      </c>
      <c r="I159" s="29" t="inlineStr">
        <is>
          <t>L3 – Professional / Associate</t>
        </is>
      </c>
      <c r="J159" s="29" t="inlineStr">
        <is>
          <t>A2</t>
        </is>
      </c>
      <c r="K159" s="29" t="inlineStr">
        <is>
          <t>• Same level</t>
        </is>
      </c>
      <c r="L159" s="29" t="inlineStr">
        <is>
          <t>Sales &amp; Business Development</t>
        </is>
      </c>
      <c r="M159" s="29" t="inlineStr">
        <is>
          <t>Sales Development &amp; Prospecting</t>
        </is>
      </c>
      <c r="N159" s="29" t="n"/>
      <c r="O159" s="29" t="n">
        <v>19</v>
      </c>
      <c r="P159" s="28" t="inlineStr">
        <is>
          <t>P1–P2</t>
        </is>
      </c>
      <c r="Q159" s="29" t="inlineStr">
        <is>
          <t>Entry / Developing</t>
        </is>
      </c>
      <c r="R159" s="29" t="inlineStr">
        <is>
          <t>2 Assist</t>
        </is>
      </c>
      <c r="S159" s="29" t="inlineStr">
        <is>
          <t>0–2 yrs</t>
        </is>
      </c>
      <c r="T159" s="29" t="inlineStr">
        <is>
          <t>1–3 · 0–3</t>
        </is>
      </c>
      <c r="U159" s="29" t="inlineStr">
        <is>
          <t>SDR · entry / SDR / Inside Sales</t>
        </is>
      </c>
      <c r="V159" s="29" t="inlineStr">
        <is>
          <t>IRIS Vs Competitor Benchmark — SaaS sales ladder — IC: SDR / BDR</t>
        </is>
      </c>
      <c r="W159" s="29" t="inlineStr">
        <is>
          <t>SaaS sales ladder · SDR → AE → Enterprise AE → VP / CRO; MEDDICC-style qualification</t>
        </is>
      </c>
      <c r="X159" s="29" t="inlineStr">
        <is>
          <t>Core 2 · Future 2 · Functional 2 · Leadership not scored</t>
        </is>
      </c>
      <c r="Y159" s="52" t="n">
        <v>379</v>
      </c>
      <c r="Z159" s="53" t="inlineStr">
        <is>
          <t>IRIS2392</t>
        </is>
      </c>
      <c r="AA159" s="53" t="inlineStr">
        <is>
          <t>Employee</t>
        </is>
      </c>
      <c r="AB159" s="53" t="inlineStr">
        <is>
          <t>Active</t>
        </is>
      </c>
      <c r="AC159" s="53" t="inlineStr">
        <is>
          <t>Sanjana Thapa</t>
        </is>
      </c>
      <c r="AD159" s="54" t="n">
        <v>45839</v>
      </c>
      <c r="AE159" s="53" t="inlineStr">
        <is>
          <t>Marketing Associate - ABM</t>
        </is>
      </c>
      <c r="AF159" s="53" t="inlineStr">
        <is>
          <t>B.E</t>
        </is>
      </c>
      <c r="AG159" s="53" t="inlineStr">
        <is>
          <t>Saahit Togaru</t>
        </is>
      </c>
      <c r="AH159" s="53" t="inlineStr">
        <is>
          <t>N-4</t>
        </is>
      </c>
      <c r="AI159" s="53" t="inlineStr">
        <is>
          <t>Individual Contributor</t>
        </is>
      </c>
      <c r="AJ159" s="53" t="inlineStr">
        <is>
          <t>0 years, 0 months, 0 days</t>
        </is>
      </c>
      <c r="AK159" s="53" t="inlineStr">
        <is>
          <t>1 years, 1 months, 24 days</t>
        </is>
      </c>
      <c r="AL159" s="53" t="inlineStr">
        <is>
          <t>Regtech</t>
        </is>
      </c>
      <c r="AM159" s="53" t="inlineStr">
        <is>
          <t>CARBON</t>
        </is>
      </c>
      <c r="AN159" s="53" t="inlineStr">
        <is>
          <t>Marketing</t>
        </is>
      </c>
      <c r="AO159" s="53" t="inlineStr">
        <is>
          <t>Marketing - SDR</t>
        </is>
      </c>
      <c r="AP159" s="53" t="inlineStr">
        <is>
          <t>No</t>
        </is>
      </c>
      <c r="AQ159" s="53" t="inlineStr">
        <is>
          <t>Sales, Marketing &amp; Support</t>
        </is>
      </c>
      <c r="AR159" s="53" t="inlineStr">
        <is>
          <t>Marketing</t>
        </is>
      </c>
      <c r="AS159" s="53" t="inlineStr">
        <is>
          <t>Non-technical</t>
        </is>
      </c>
      <c r="AT159" s="53" t="n">
        <v>20</v>
      </c>
      <c r="AU159" s="53" t="inlineStr">
        <is>
          <t>Covered</t>
        </is>
      </c>
      <c r="AV159" s="53" t="inlineStr">
        <is>
          <t>IRIS2392</t>
        </is>
      </c>
      <c r="AW159" s="53" t="inlineStr">
        <is>
          <t>Sanjana Thapa</t>
        </is>
      </c>
      <c r="AX159" s="53" t="inlineStr">
        <is>
          <t>Marketing</t>
        </is>
      </c>
      <c r="AY159" s="53" t="inlineStr">
        <is>
          <t>Sales &amp; Business Development</t>
        </is>
      </c>
      <c r="AZ159" s="53" t="inlineStr">
        <is>
          <t>Sales Development · SDR</t>
        </is>
      </c>
      <c r="BA159" s="53" t="n"/>
      <c r="BB159" s="53" t="n"/>
      <c r="BC159" s="53" t="inlineStr">
        <is>
          <t>Employee</t>
        </is>
      </c>
      <c r="BD159" s="53" t="inlineStr">
        <is>
          <t>Saahit Togaru</t>
        </is>
      </c>
      <c r="BE159" s="53" t="inlineStr">
        <is>
          <t>Saahit Togaru</t>
        </is>
      </c>
      <c r="BF159" s="53" t="inlineStr">
        <is>
          <t>No</t>
        </is>
      </c>
      <c r="BG159" s="53" t="inlineStr">
        <is>
          <t>Sales Development Representative</t>
        </is>
      </c>
      <c r="BH159" s="53" t="inlineStr">
        <is>
          <t>Sales Development Associate</t>
        </is>
      </c>
      <c r="BI159" s="53" t="inlineStr">
        <is>
          <t>Yes</t>
        </is>
      </c>
      <c r="BJ159" s="53" t="inlineStr">
        <is>
          <t>—</t>
        </is>
      </c>
      <c r="BK159" s="53" t="inlineStr">
        <is>
          <t>—</t>
        </is>
      </c>
      <c r="BL159" s="53" t="inlineStr">
        <is>
          <t>—</t>
        </is>
      </c>
      <c r="BM159" s="53" t="inlineStr">
        <is>
          <t>Not a manager</t>
        </is>
      </c>
      <c r="BN159" s="53" t="inlineStr">
        <is>
          <t>—</t>
        </is>
      </c>
      <c r="BO159" s="53" t="inlineStr">
        <is>
          <t>—</t>
        </is>
      </c>
      <c r="BP159" s="53" t="inlineStr">
        <is>
          <t>—</t>
        </is>
      </c>
      <c r="BQ159" s="53" t="inlineStr">
        <is>
          <t>Not a manager</t>
        </is>
      </c>
      <c r="BR159" s="53" t="inlineStr">
        <is>
          <t>—</t>
        </is>
      </c>
      <c r="BS159" s="53" t="inlineStr">
        <is>
          <t>L3 – Professional / Associate</t>
        </is>
      </c>
      <c r="BT159" s="53" t="inlineStr">
        <is>
          <t>L3 – Professional / Associate</t>
        </is>
      </c>
      <c r="BU159" s="53" t="inlineStr">
        <is>
          <t>No exact Title Hierarchy match — retained current record value</t>
        </is>
      </c>
      <c r="BV159" s="53" t="inlineStr">
        <is>
          <t>1. Consistently met or exceeded performance targets. Achieved the highest DCS performance of 16 DCS · 160% in May'25 and 8 DCS · 160% in Apr'26. The highest SAL performance of 9 SALs · 300% in May'25, with multiple months meeting or exceeding target
2. Built and expanded the pipeline, consistently generating qualified opportunities through targeted account-based outreach.
3. Maintained strong outbound and inbound performance through personalized email, LinkedIn, and calling, contributing to consistent pipeline growth and multiple overachievement months, including 300% SAL achievement in May'25.
4. Supported onboarding and mentoring of new team members by conducting training sessions, and providing regular guidance on research, outreach strategies, and internal processes.
5. Contributed to revenue generation by supporting 3 closed deals · 2 outbound-generated and 1 inbound</t>
        </is>
      </c>
      <c r="BW159" s="53" t="n"/>
      <c r="BX159" s="53" t="inlineStr">
        <is>
          <t>No input received.</t>
        </is>
      </c>
      <c r="BY159" s="53" t="n"/>
      <c r="BZ159" s="53" t="inlineStr">
        <is>
          <t>IRIS2392</t>
        </is>
      </c>
      <c r="CA159" s="53" t="inlineStr">
        <is>
          <t>Employee</t>
        </is>
      </c>
      <c r="CB159" s="53" t="inlineStr">
        <is>
          <t>Active</t>
        </is>
      </c>
      <c r="CC159" s="53" t="inlineStr">
        <is>
          <t>Sanjana Thapa</t>
        </is>
      </c>
      <c r="CD159" s="54" t="n">
        <v>45839</v>
      </c>
      <c r="CE159" s="53" t="inlineStr">
        <is>
          <t>Sales Development Representative</t>
        </is>
      </c>
      <c r="CF159" s="53" t="inlineStr">
        <is>
          <t>Cold calling+Emailing, Scheduling Demo,, Before Demo, they huddle with Functional * Sales team to provide detailed portfolio about the company.Tools used - Linkedin Sales navigator · To fetch number of customers shared by Database Team:</t>
        </is>
      </c>
      <c r="CG159" s="53" t="inlineStr">
        <is>
          <t>Sales &amp; Business Development</t>
        </is>
      </c>
      <c r="CH159" s="53" t="inlineStr">
        <is>
          <t>Sales Development · SDR</t>
        </is>
      </c>
      <c r="CI159" s="53" t="inlineStr">
        <is>
          <t>Sales Development Representative</t>
        </is>
      </c>
      <c r="CJ159" s="53" t="inlineStr">
        <is>
          <t>L3 – Professional / Associate</t>
        </is>
      </c>
      <c r="CK159" s="53" t="inlineStr">
        <is>
          <t>Shweta Mishra</t>
        </is>
      </c>
      <c r="CL159" s="53" t="inlineStr">
        <is>
          <t>N-5</t>
        </is>
      </c>
      <c r="CM159" s="53" t="inlineStr">
        <is>
          <t>Individual Contributor</t>
        </is>
      </c>
      <c r="CN159" s="53" t="inlineStr">
        <is>
          <t>Regtech</t>
        </is>
      </c>
      <c r="CO159" s="53" t="inlineStr">
        <is>
          <t>Marketing</t>
        </is>
      </c>
      <c r="CP159" s="53" t="inlineStr">
        <is>
          <t>0 years, 11 months, 19 days</t>
        </is>
      </c>
      <c r="CQ159" s="53" t="inlineStr">
        <is>
          <t>Sales Development Associate</t>
        </is>
      </c>
      <c r="CR159" s="53" t="inlineStr">
        <is>
          <t>No</t>
        </is>
      </c>
      <c r="CS159" s="53" t="n">
        <v>1</v>
      </c>
      <c r="CT159" s="53" t="inlineStr">
        <is>
          <t>High</t>
        </is>
      </c>
      <c r="CU159" s="53" t="inlineStr">
        <is>
          <t>High Impact / Growth Talent</t>
        </is>
      </c>
      <c r="CV159" s="53" t="inlineStr">
        <is>
          <t>Not immediately. Demonstrates strong knowledge, ownership, and the ability to handle responsibilities independently. With additional ground-level experience · approximately 12–14 months and continued mentorship, she has the capability to transition into a Team Lead role.</t>
        </is>
      </c>
      <c r="CW159" s="53" t="inlineStr">
        <is>
          <t>No</t>
        </is>
      </c>
      <c r="CX159" s="53" t="inlineStr">
        <is>
          <t>Yes</t>
        </is>
      </c>
      <c r="CY159" s="53" t="n"/>
      <c r="CZ159" s="53" t="inlineStr">
        <is>
          <t>Continue building cross-functional collaboration by proactively engaging with internal teams</t>
        </is>
      </c>
      <c r="DA159" s="53" t="n"/>
      <c r="DB159" s="53" t="inlineStr">
        <is>
          <t>To be mapped to SDR Mgr Europe - TBH and Title to be standardized to Sales Development Associate</t>
        </is>
      </c>
      <c r="DC159" s="53" t="n"/>
      <c r="DD159" s="53" t="n"/>
      <c r="DE159" s="53" t="n"/>
      <c r="DF159" s="53" t="n"/>
      <c r="DG159" s="53" t="n"/>
      <c r="DH159" s="53" t="n"/>
      <c r="DI159" s="53" t="n"/>
      <c r="DJ159" s="53" t="n"/>
      <c r="DK159" s="53" t="n"/>
      <c r="DL159" s="53" t="n"/>
      <c r="DM159" s="53" t="n"/>
      <c r="DN159" s="53" t="n"/>
      <c r="DO159" s="53" t="n"/>
      <c r="DP159" s="53" t="n"/>
      <c r="DQ159" s="53" t="n"/>
      <c r="DR159" s="53" t="n"/>
      <c r="DS159" s="53" t="n"/>
      <c r="DT159" s="53" t="n"/>
      <c r="DU159" s="53" t="n"/>
      <c r="DV159" s="53" t="n"/>
      <c r="DW159" s="53" t="n"/>
      <c r="DX159" s="53" t="n"/>
      <c r="DY159" s="53" t="n"/>
      <c r="DZ159" s="53" t="n"/>
      <c r="EA159" s="53" t="n"/>
      <c r="EB159" s="53" t="n"/>
      <c r="EC159" s="53" t="n"/>
      <c r="ED159" s="53" t="n"/>
      <c r="EE159" s="53" t="n"/>
      <c r="EF159" s="53" t="n"/>
      <c r="EG159" s="53" t="n"/>
      <c r="EH159" s="53" t="n"/>
      <c r="EI159" s="53" t="n"/>
      <c r="EJ159" s="53" t="n"/>
      <c r="EK159" s="53" t="n"/>
      <c r="EL159" s="53" t="n"/>
      <c r="EM159" s="53" t="n"/>
      <c r="EN159" s="53" t="n"/>
      <c r="EO159" s="53" t="n"/>
      <c r="EP159" s="53" t="n"/>
      <c r="EQ159" s="53" t="n"/>
      <c r="ER159" s="53" t="n"/>
      <c r="ES159" s="53" t="n"/>
      <c r="ET159" s="53" t="n"/>
      <c r="EU159" s="53" t="n"/>
      <c r="EV159" s="53" t="n"/>
      <c r="EW159" s="52" t="n"/>
      <c r="EX159" s="53" t="inlineStr">
        <is>
          <t>• This role brings suitable potential leads into the pipeline and creates new revenue opportunities.</t>
        </is>
      </c>
      <c r="EY159" s="53" t="inlineStr">
        <is>
          <t>• Reported deliverables and outcomes include: Qualified pipeline; Discovery meetings; Revenue opportunities; Lead quality; Conversion rates; Target account engagement; Messaging approach; Prospect prioritization.
• The role is accountable for Pipeline strategy; Pipeline integrity.
• The role independently makes decisions on Target account relevance; Target acc identification; Engagement with right ICP.</t>
        </is>
      </c>
      <c r="EZ159" s="53" t="inlineStr">
        <is>
          <t>• Current capabilities: Discovery conversations, active listening and customer reading; ICP research, pain-point discovery and proactive communication; Relationship-building and strategic thinking.</t>
        </is>
      </c>
      <c r="FA159" s="53" t="inlineStr">
        <is>
          <t>• Development priorities: Gain exposure to the full marketing cycle; Take ownership of broader initiatives and develop people-management capability.
• Learning and Development Need: Cross-functional exposure to the full marketing cycle and foundational people-management training to support broader ownership of initiatives.</t>
        </is>
      </c>
      <c r="FB159" s="53" t="inlineStr">
        <is>
          <t>• Key challenges: Slow laptop and manual Excel tracking; Needs stronger alignment and clarity from management.
• Support required: Clearer manager guidance and improved tools for tracking work.</t>
        </is>
      </c>
      <c r="FC159" s="53" t="inlineStr">
        <is>
          <t>KRAs Submitted</t>
        </is>
      </c>
      <c r="FD159" s="53" t="n"/>
      <c r="FE159" s="57" t="inlineStr">
        <is>
          <t>1. Consistently met or exceeded performance targets. Achieved the highest DCS performance of 16 DCS · 160% in May'25 and 8 DCS · 160% in Apr'26. The highest SAL performance of 9 SALs · 300% in May'25, with multiple months meeting or exceeding target
2. Built and expanded the pipeline, consistently generating qualified opportunities through targeted account-based outreach.
3. Maintained strong outbound and inbound performance through personalized email, LinkedIn, and calling, contributing to consistent pipeline growth and multiple overachievement months, including 300% SAL achievement in May'25.
4. Supported onboarding and mentoring of new team members by conducting training sessions, and providing regular guidance on research, outreach strategies, and internal processes.
5. Contributed to revenue generation by supporting 3 closed deals · 2 outbound-generated and 1 inbound</t>
        </is>
      </c>
      <c r="FF159" s="56" t="n"/>
      <c r="FG159" s="56" t="n"/>
      <c r="FH159" s="56" t="n"/>
      <c r="FI159" s="56" t="inlineStr">
        <is>
          <t>Cold calling+Emailing, Scheduling Demo, , Before Demo, they huddle with Functional * Sales team to provide detailed portfolio about the company.Tools used - Linkedin Sales navigator · To fetch number of customers shared by Database Team:</t>
        </is>
      </c>
      <c r="FJ159" s="56" t="inlineStr">
        <is>
          <t>Received · manager annual</t>
        </is>
      </c>
      <c r="FK159" s="56" t="inlineStr">
        <is>
          <t>CARBON Mapping Master · CARBON Talent Mapping · Raw</t>
        </is>
      </c>
      <c r="FL159" s="56" t="n">
        <v>19</v>
      </c>
      <c r="FM159" s="56" t="inlineStr">
        <is>
          <t>• This role brings suitable potential leads into the pipeline and creates new revenue opportunities.</t>
        </is>
      </c>
      <c r="FN159" s="56" t="inlineStr">
        <is>
          <t>• Reported deliverables and outcomes include: Qualified pipeline; Discovery meetings; Revenue opportunities; Lead quality; Conversion rates; Target account engagement; Messaging approach; Prospect prioritization.
• The role is accountable for Pipeline strategy; Pipeline integrity.
• The role independently makes decisions on Target account relevance; Target acc identification; Engagement with right ICP.</t>
        </is>
      </c>
      <c r="FO159" s="56" t="inlineStr">
        <is>
          <t>• Current capabilities: Discovery conversations, active listening and customer reading; ICP research, pain-point discovery and proactive communication; Relationship-building and strategic thinking.</t>
        </is>
      </c>
      <c r="FP159" s="56" t="inlineStr">
        <is>
          <t>• Development priorities: Gain exposure to the full marketing cycle; Take ownership of broader initiatives and develop people-management capability.
• Learning and Development Need: Cross-functional exposure to the full marketing cycle and foundational people-management training to support broader ownership of initiatives.</t>
        </is>
      </c>
      <c r="FQ159" s="56" t="inlineStr">
        <is>
          <t>• Key challenges: Slow laptop and manual Excel tracking; Needs stronger alignment and clarity from management.
• Support required: Clearer manager guidance and improved tools for tracking work.</t>
        </is>
      </c>
      <c r="FR159" s="56" t="inlineStr">
        <is>
          <t>Complexity: Evidence reads like A3: Account-based outreach for UK&amp;I and US: account research, target identification, consultative, personalised messaging → moved up 0.5
Autonomy: Evidence reads like A3: Decides messaging approach, prospect prioritisation and engagement strategy for own accounts → moved up 0.5
Accountability: Evidence reads like A2: own survey / KRA answers · summarised by the rater; not quoted → matches the start
Leadership: Evidence reads like A1: Cross-team collaboration only; no guidance of others described → matches the start
Business Impact: Moved +0.5: the survey / manager mapping marks it business-critical.</t>
        </is>
      </c>
      <c r="FS159" s="56" t="inlineStr">
        <is>
          <t>Common themes in role-holders' answers: scheduling · customers shared · sales · cold · navigator fetch · database
Common themes in role-holders' answers: building · crm · outreach · linkedin · right · company
Common themes in role-holders' answers: discovery · meetings · revenue
Common themes in role-holders' answers: if · relevant · meeting · lead
Common themes in role-holders' answers: outreach
If the work is missed · role-holders' themes: pipeline.</t>
        </is>
      </c>
      <c r="FT159" s="56" t="inlineStr">
        <is>
          <t>Self-identified: Project / programme management · Marketing &amp; content · Broader exposure &amp; ownership
For the next role: Project / programme management · Marketing &amp; content · Broader exposure &amp; ownership</t>
        </is>
      </c>
      <c r="FU159" s="56" t="inlineStr">
        <is>
          <t>Per-person summary · CARBON Mapping Master</t>
        </is>
      </c>
    </row>
    <row r="160" ht="90" customHeight="1">
      <c r="A160" s="51" t="inlineStr">
        <is>
          <t>◂ Back</t>
        </is>
      </c>
      <c r="B160" s="29" t="inlineStr">
        <is>
          <t>Mapped</t>
        </is>
      </c>
      <c r="C160" s="28" t="inlineStr">
        <is>
          <t>CARBON</t>
        </is>
      </c>
      <c r="D160" s="29" t="inlineStr">
        <is>
          <t>IRIS1783</t>
        </is>
      </c>
      <c r="E160" s="29" t="inlineStr">
        <is>
          <t>Swapnil Trikane</t>
        </is>
      </c>
      <c r="F160" s="29" t="inlineStr">
        <is>
          <t>Sales</t>
        </is>
      </c>
      <c r="G160" s="29" t="inlineStr">
        <is>
          <t>Senior Manager Sales</t>
        </is>
      </c>
      <c r="H160" s="29" t="inlineStr">
        <is>
          <t>Lead Account Executive</t>
        </is>
      </c>
      <c r="I160" s="29" t="inlineStr">
        <is>
          <t>Not in current mapping files</t>
        </is>
      </c>
      <c r="J160" s="29" t="inlineStr">
        <is>
          <t>B3</t>
        </is>
      </c>
      <c r="K160" s="29" t="inlineStr">
        <is>
          <t>● Newly mapped</t>
        </is>
      </c>
      <c r="L160" s="29" t="inlineStr">
        <is>
          <t>Sales &amp; Business Development</t>
        </is>
      </c>
      <c r="M160" s="29" t="inlineStr">
        <is>
          <t>Sales Leadership</t>
        </is>
      </c>
      <c r="N160" s="29" t="n"/>
      <c r="O160" s="29" t="n">
        <v>19</v>
      </c>
      <c r="P160" s="28" t="inlineStr">
        <is>
          <t>P5 / M4</t>
        </is>
      </c>
      <c r="Q160" s="29" t="inlineStr">
        <is>
          <t>Expert / Senior Manager</t>
        </is>
      </c>
      <c r="R160" s="29" t="inlineStr">
        <is>
          <t>5 Ensure, advise</t>
        </is>
      </c>
      <c r="S160" s="29" t="inlineStr">
        <is>
          <t>8–12 yrs</t>
        </is>
      </c>
      <c r="T160" s="29" t="inlineStr">
        <is>
          <t>9–13 · 9–14</t>
        </is>
      </c>
      <c r="U160" s="29" t="inlineStr">
        <is>
          <t>Enterprise / Strategic AE</t>
        </is>
      </c>
      <c r="V160" s="29" t="inlineStr">
        <is>
          <t>IRIS Vs Competitor Benchmark — SaaS sales ladder — IC: Enterprise AE · IRIS Vs Competitor Benchmark — SaaS sales ladder — management: Senior Sales Manager</t>
        </is>
      </c>
      <c r="W160" s="29" t="inlineStr">
        <is>
          <t>SaaS sales ladder · SDR → AE → Enterprise AE → VP / CRO; MEDDICC-style qualification</t>
        </is>
      </c>
      <c r="X160" s="29" t="inlineStr">
        <is>
          <t>Core 4 · Future 3 · Functional 4 · Leadership 3</t>
        </is>
      </c>
      <c r="Y160" s="52" t="n">
        <v>155</v>
      </c>
      <c r="Z160" s="53" t="inlineStr">
        <is>
          <t>IRIS1783</t>
        </is>
      </c>
      <c r="AA160" s="53" t="inlineStr">
        <is>
          <t>Employee</t>
        </is>
      </c>
      <c r="AB160" s="53" t="inlineStr">
        <is>
          <t>Active</t>
        </is>
      </c>
      <c r="AC160" s="53" t="inlineStr">
        <is>
          <t>Swapnil Trikane</t>
        </is>
      </c>
      <c r="AD160" s="54" t="n">
        <v>43591</v>
      </c>
      <c r="AE160" s="53" t="inlineStr">
        <is>
          <t>Senior Manager Sales</t>
        </is>
      </c>
      <c r="AF160" s="53" t="inlineStr">
        <is>
          <t>MBA</t>
        </is>
      </c>
      <c r="AG160" s="53" t="inlineStr">
        <is>
          <t>Anuradha Rk</t>
        </is>
      </c>
      <c r="AH160" s="53" t="inlineStr">
        <is>
          <t>N-3</t>
        </is>
      </c>
      <c r="AI160" s="53" t="inlineStr">
        <is>
          <t>Individual Contributor</t>
        </is>
      </c>
      <c r="AJ160" s="53" t="inlineStr">
        <is>
          <t>8 years, 1 months, 0 days</t>
        </is>
      </c>
      <c r="AK160" s="53" t="inlineStr">
        <is>
          <t>7 years, 3 months, 19 days</t>
        </is>
      </c>
      <c r="AL160" s="53" t="inlineStr">
        <is>
          <t>Regtech</t>
        </is>
      </c>
      <c r="AM160" s="53" t="inlineStr">
        <is>
          <t>CARBON</t>
        </is>
      </c>
      <c r="AN160" s="53" t="inlineStr">
        <is>
          <t>Sales</t>
        </is>
      </c>
      <c r="AO160" s="53" t="inlineStr">
        <is>
          <t>Sales</t>
        </is>
      </c>
      <c r="AP160" s="53" t="inlineStr">
        <is>
          <t>No</t>
        </is>
      </c>
      <c r="AQ160" s="53" t="inlineStr">
        <is>
          <t>Sales, Marketing &amp; Support</t>
        </is>
      </c>
      <c r="AR160" s="53" t="inlineStr">
        <is>
          <t>Sales</t>
        </is>
      </c>
      <c r="AS160" s="53" t="inlineStr">
        <is>
          <t>Non-technical</t>
        </is>
      </c>
      <c r="AT160" s="53" t="n">
        <v>20</v>
      </c>
      <c r="AU160" s="53" t="inlineStr">
        <is>
          <t>Covered</t>
        </is>
      </c>
      <c r="AV160" s="53" t="inlineStr">
        <is>
          <t>IRIS1783</t>
        </is>
      </c>
      <c r="AW160" s="53" t="inlineStr">
        <is>
          <t>Swapnil Trikane</t>
        </is>
      </c>
      <c r="AX160" s="53" t="inlineStr">
        <is>
          <t>Sales</t>
        </is>
      </c>
      <c r="AY160" s="53" t="inlineStr">
        <is>
          <t>Sales &amp; Business Development</t>
        </is>
      </c>
      <c r="AZ160" s="53" t="inlineStr">
        <is>
          <t>Enterprise sales</t>
        </is>
      </c>
      <c r="BA160" s="53" t="n"/>
      <c r="BB160" s="53" t="n"/>
      <c r="BC160" s="53" t="inlineStr">
        <is>
          <t>Employee</t>
        </is>
      </c>
      <c r="BD160" s="53" t="inlineStr">
        <is>
          <t>Anuradha Rk</t>
        </is>
      </c>
      <c r="BE160" s="53" t="inlineStr">
        <is>
          <t>Anuradha RK</t>
        </is>
      </c>
      <c r="BF160" s="53" t="inlineStr">
        <is>
          <t>New entry</t>
        </is>
      </c>
      <c r="BG160" s="53" t="inlineStr">
        <is>
          <t>Senior Manager Sales</t>
        </is>
      </c>
      <c r="BH160" s="53" t="inlineStr">
        <is>
          <t>Senior Manager Sales</t>
        </is>
      </c>
      <c r="BI160" s="53" t="inlineStr">
        <is>
          <t>N/A · new entry</t>
        </is>
      </c>
      <c r="BJ160" s="53" t="inlineStr">
        <is>
          <t>—</t>
        </is>
      </c>
      <c r="BK160" s="53" t="inlineStr">
        <is>
          <t>—</t>
        </is>
      </c>
      <c r="BL160" s="53" t="inlineStr">
        <is>
          <t>—</t>
        </is>
      </c>
      <c r="BM160" s="53" t="inlineStr">
        <is>
          <t>Not a manager</t>
        </is>
      </c>
      <c r="BN160" s="53" t="inlineStr">
        <is>
          <t>—</t>
        </is>
      </c>
      <c r="BO160" s="53" t="inlineStr">
        <is>
          <t>—</t>
        </is>
      </c>
      <c r="BP160" s="53" t="inlineStr">
        <is>
          <t>—</t>
        </is>
      </c>
      <c r="BQ160" s="53" t="inlineStr">
        <is>
          <t>Not a manager</t>
        </is>
      </c>
      <c r="BR160" s="53" t="inlineStr">
        <is>
          <t>—</t>
        </is>
      </c>
      <c r="BS160" s="53" t="n"/>
      <c r="BT160" s="53" t="n"/>
      <c r="BU160" s="53" t="inlineStr">
        <is>
          <t>No designation change — current record value carried forward</t>
        </is>
      </c>
      <c r="BV160" s="53" t="n"/>
      <c r="BW160" s="53" t="n"/>
      <c r="BX160" s="53" t="inlineStr">
        <is>
          <t>UK BeNeLux</t>
        </is>
      </c>
      <c r="BY160" s="53" t="inlineStr">
        <is>
          <t>Anuradha RK</t>
        </is>
      </c>
      <c r="BZ160" s="53" t="inlineStr">
        <is>
          <t>IRIS1783</t>
        </is>
      </c>
      <c r="CA160" s="53" t="inlineStr">
        <is>
          <t>Employee</t>
        </is>
      </c>
      <c r="CB160" s="53" t="inlineStr">
        <is>
          <t>Active</t>
        </is>
      </c>
      <c r="CC160" s="53" t="inlineStr">
        <is>
          <t>Swapnil Trikane</t>
        </is>
      </c>
      <c r="CD160" s="54" t="n">
        <v>30615</v>
      </c>
      <c r="CE160" s="53" t="inlineStr">
        <is>
          <t>Senior Manager Sales</t>
        </is>
      </c>
      <c r="CF160" s="53" t="inlineStr">
        <is>
          <t>EU + Other regions Understand the shortlisted customers details from SDR team, schedule the discovery call, demo call and make the presetation/Demo to the client - Follow up -till the deal closure  along with price negotiations</t>
        </is>
      </c>
      <c r="CG160" s="53" t="inlineStr">
        <is>
          <t>Sales &amp; Business Development</t>
        </is>
      </c>
      <c r="CH160" s="53" t="inlineStr">
        <is>
          <t>Sales / Account Management</t>
        </is>
      </c>
      <c r="CI160" s="53" t="inlineStr">
        <is>
          <t>Senior Manager Sales</t>
        </is>
      </c>
      <c r="CJ160" s="53" t="inlineStr">
        <is>
          <t>L6 – Senior Manager</t>
        </is>
      </c>
      <c r="CK160" s="53" t="inlineStr">
        <is>
          <t>Anuradha Rk</t>
        </is>
      </c>
      <c r="CL160" s="53" t="inlineStr">
        <is>
          <t>N-3</t>
        </is>
      </c>
      <c r="CM160" s="53" t="n"/>
      <c r="CN160" s="53" t="inlineStr">
        <is>
          <t>Individual Contributor</t>
        </is>
      </c>
      <c r="CO160" s="53" t="inlineStr">
        <is>
          <t>Sales</t>
        </is>
      </c>
      <c r="CP160" s="53" t="inlineStr">
        <is>
          <t>8 years, 1 months, 0 days</t>
        </is>
      </c>
      <c r="CQ160" s="53" t="n"/>
      <c r="CR160" s="53" t="inlineStr">
        <is>
          <t>7 years, 1 months, 14 days</t>
        </is>
      </c>
      <c r="CS160" s="53" t="inlineStr">
        <is>
          <t>15 years, 2 months, 14 days</t>
        </is>
      </c>
      <c r="CT160" s="53" t="n"/>
      <c r="CU160" s="53" t="n"/>
      <c r="CV160" s="53" t="n"/>
      <c r="CW160" s="53" t="inlineStr">
        <is>
          <t>Regtech</t>
        </is>
      </c>
      <c r="CX160" s="53" t="inlineStr">
        <is>
          <t>CARBON</t>
        </is>
      </c>
      <c r="CY160" s="53" t="inlineStr">
        <is>
          <t>Sales</t>
        </is>
      </c>
      <c r="CZ160" s="53" t="inlineStr">
        <is>
          <t>Sales</t>
        </is>
      </c>
      <c r="DA160" s="53" t="inlineStr">
        <is>
          <t>No</t>
        </is>
      </c>
      <c r="DB160" s="53" t="inlineStr">
        <is>
          <t>Sales, Marketing &amp; Support</t>
        </is>
      </c>
      <c r="DC160" s="53" t="n"/>
      <c r="DD160" s="53" t="n"/>
      <c r="DE160" s="53" t="n"/>
      <c r="DF160" s="53" t="n"/>
      <c r="DG160" s="53" t="n"/>
      <c r="DH160" s="53" t="n"/>
      <c r="DI160" s="53" t="n"/>
      <c r="DJ160" s="53" t="n"/>
      <c r="DK160" s="53" t="n"/>
      <c r="DL160" s="53" t="n"/>
      <c r="DM160" s="53" t="n"/>
      <c r="DN160" s="53" t="n"/>
      <c r="DO160" s="53" t="n"/>
      <c r="DP160" s="53" t="n"/>
      <c r="DQ160" s="53" t="n"/>
      <c r="DR160" s="53" t="n"/>
      <c r="DS160" s="53" t="n"/>
      <c r="DT160" s="53" t="n"/>
      <c r="DU160" s="53" t="n"/>
      <c r="DV160" s="53" t="n"/>
      <c r="DW160" s="53" t="n"/>
      <c r="DX160" s="53" t="n"/>
      <c r="DY160" s="53" t="n"/>
      <c r="DZ160" s="53" t="n"/>
      <c r="EA160" s="53" t="n"/>
      <c r="EB160" s="53" t="n"/>
      <c r="EC160" s="53" t="n"/>
      <c r="ED160" s="53" t="n"/>
      <c r="EE160" s="53" t="n"/>
      <c r="EF160" s="53" t="n"/>
      <c r="EG160" s="53" t="n"/>
      <c r="EH160" s="53" t="n"/>
      <c r="EI160" s="53" t="n"/>
      <c r="EJ160" s="53" t="n"/>
      <c r="EK160" s="53" t="n"/>
      <c r="EL160" s="53" t="n"/>
      <c r="EM160" s="53" t="n"/>
      <c r="EN160" s="53" t="n"/>
      <c r="EO160" s="53" t="n"/>
      <c r="EP160" s="53" t="n"/>
      <c r="EQ160" s="53" t="n"/>
      <c r="ER160" s="53" t="n"/>
      <c r="ES160" s="53" t="n"/>
      <c r="ET160" s="53" t="n"/>
      <c r="EU160" s="53" t="n"/>
      <c r="EV160" s="53" t="n"/>
      <c r="EW160" s="52" t="n"/>
      <c r="EX160" s="53" t="inlineStr">
        <is>
          <t>To bring in new logos for the org. Overachieve Sales targets. Help company grow 10x; To not make any commitmen</t>
        </is>
      </c>
      <c r="EY160" s="53" t="inlineStr">
        <is>
          <t>Sales; Being in new Logos Revenue generation Sales forecast &amp; Pipe Building Get new strategic partners Over achieving Sales targets; Bringing revenues Deal closures New logos Partnership Management BANT qualification; We extract key leanings out of it &amp; ensure to not repeat what went wrong</t>
        </is>
      </c>
      <c r="EZ160" s="53" t="inlineStr">
        <is>
          <t>Technology know how Relationship Management Patients Perseverance Extracting key info Product know how Polished short emails; MS Teams Carbon DM consolidation solutions; Yes. Beyond technical knowledge, the key differentiator is the ability to understand the customer’s underlying business need, apply sound judgment, and tailor the approach accordingly.</t>
        </is>
      </c>
      <c r="FA160" s="53" t="inlineStr">
        <is>
          <t>how the different teams, processes, and decision\-making paths work together when pursuing an opportunity\. More into Finance, ESG &amp; iXBRL.; hands-on involvement; participating more closely in strategic planning and customer relationship management would like to take greater responsibility for shaping account strategy, influencing commercial decisions, managing</t>
        </is>
      </c>
      <c r="FB160" s="53" t="inlineStr">
        <is>
          <t>Clearer ownership, faster access to the right subject\-matter expertise, and better availability of up\-to\-date product, competitive, and customer\-reference information would help reduce TAT</t>
        </is>
      </c>
      <c r="FC160" s="53" t="n"/>
      <c r="FD160" s="53" t="n"/>
      <c r="FE160" s="55" t="inlineStr">
        <is>
          <t>KRAs not received · manager to supply</t>
        </is>
      </c>
      <c r="FF160" s="56" t="n"/>
      <c r="FG160" s="56" t="n"/>
      <c r="FH160" s="56" t="n"/>
      <c r="FI160" s="56" t="inlineStr">
        <is>
          <t>EU + Other regions Understand the shortlisted customers details from SDR team, schedule the discovery call, demo call and make the presetation/Demo to the client - Follow up -till the deal closure  along with price negotiations</t>
        </is>
      </c>
      <c r="FJ160" s="32" t="inlineStr">
        <is>
          <t>KRAs not received · manager to supply</t>
        </is>
      </c>
      <c r="FK160" s="56" t="inlineStr">
        <is>
          <t>CARBON Talent Mapping · Raw</t>
        </is>
      </c>
      <c r="FL160" s="56" t="n">
        <v>19</v>
      </c>
      <c r="FM160" s="56" t="inlineStr">
        <is>
          <t>To bring in new logos for the org. Overachieve Sales targets. Help company grow 10x; To not make any commitmen</t>
        </is>
      </c>
      <c r="FN160" s="56" t="inlineStr">
        <is>
          <t>Sales; Being in new Logos Revenue generation Sales forecast &amp; Pipe Building Get new strategic partners Over achieving Sales targets; Bringing revenues Deal closures New logos Partnership Management BANT qualification; We extract key leanings out of it &amp; ensure to not repeat what went wrong</t>
        </is>
      </c>
      <c r="FO160" s="56" t="inlineStr">
        <is>
          <t>Technology know how Relationship Management Patients Perseverance Extracting key info Product know how Polished short emails; MS Teams Carbon DM consolidation solutions; Yes. Beyond technical knowledge, the key differentiator is the ability to understand the customer’s underlying business need, apply sound judgment, and tailor the approach accordingly.</t>
        </is>
      </c>
      <c r="FP160" s="56" t="inlineStr">
        <is>
          <t>how the different teams, processes, and decision\-making paths work together when pursuing an opportunity\. More into Finance, ESG &amp; iXBRL.; hands-on involvement; participating more closely in strategic planning and customer relationship management would like to take greater responsibility for shaping account strategy, influencing commercial decisions, managing</t>
        </is>
      </c>
      <c r="FQ160" s="56" t="inlineStr">
        <is>
          <t>Clearer ownership, faster access to the right subject\-matter expertise, and better availability of up\-to\-date product, competitive, and customer\-reference information would help reduce TAT</t>
        </is>
      </c>
      <c r="FR160" s="56" t="inlineStr">
        <is>
          <t>Complexity: Evidence reads like B1: New-logo selling: BANT qualification, deal closures, partnership management, sales forecast and pipeline → moved down 0.5
Autonomy: Evidence reads like A3: Runs own deals; decision answer suggests commitments are not made alone → moved down 0.5
Accountability: Evidence reads like B2: own survey / KRA answers · summarised by the rater; not quoted → moved down 0.5
Leadership: Evidence reads like A1: No guidance or leadership of others described → moved down 0.5
Business Impact: No survey or manager-mapping signal on criticality: kept at the start point.</t>
        </is>
      </c>
      <c r="FS160" s="56" t="inlineStr">
        <is>
          <t>Common themes in sub-family holders, all levels' answers: client · follow till · negotiations · details sdr · understand · call
Common themes in sub-family holders, all levels' answers: building · partner
Common themes in sub-family holders, all levels' answers: sales
Common themes in sub-family holders, all levels' answers: revenue · generation · sales
If the work is missed · role-holders' themes: revenue · opportunities · lost.</t>
        </is>
      </c>
      <c r="FT160" s="56" t="inlineStr">
        <is>
          <t>Self-identified: Client, sales &amp; stakeholders · Strategy &amp; business acumen · Broader exposure &amp; ownership
For the next role: Client, sales &amp; stakeholders · Strategy &amp; business acumen · Broader exposure &amp; ownership</t>
        </is>
      </c>
      <c r="FU160" s="56" t="inlineStr">
        <is>
          <t>Per-person summary · CARBON Mapping Master</t>
        </is>
      </c>
    </row>
    <row r="161" ht="90" customHeight="1">
      <c r="A161" s="51" t="inlineStr">
        <is>
          <t>◂ Back</t>
        </is>
      </c>
      <c r="B161" s="29" t="inlineStr">
        <is>
          <t>Mapped</t>
        </is>
      </c>
      <c r="C161" s="28" t="inlineStr">
        <is>
          <t>CARBON</t>
        </is>
      </c>
      <c r="D161" s="29" t="inlineStr">
        <is>
          <t>IRIS2353</t>
        </is>
      </c>
      <c r="E161" s="29" t="inlineStr">
        <is>
          <t>Farzad Wadia</t>
        </is>
      </c>
      <c r="F161" s="29" t="inlineStr">
        <is>
          <t>Functional</t>
        </is>
      </c>
      <c r="G161" s="29" t="inlineStr">
        <is>
          <t>ESG Manager</t>
        </is>
      </c>
      <c r="H161" s="29" t="inlineStr">
        <is>
          <t>Product Manager</t>
        </is>
      </c>
      <c r="I161" s="29" t="inlineStr">
        <is>
          <t>Not in current mapping files</t>
        </is>
      </c>
      <c r="J161" s="29" t="inlineStr">
        <is>
          <t>B2</t>
        </is>
      </c>
      <c r="K161" s="29" t="inlineStr">
        <is>
          <t>● Newly mapped</t>
        </is>
      </c>
      <c r="L161" s="29" t="inlineStr">
        <is>
          <t>Product Management</t>
        </is>
      </c>
      <c r="M161" s="29" t="inlineStr">
        <is>
          <t>Product Management</t>
        </is>
      </c>
      <c r="N161" s="29" t="n"/>
      <c r="O161" s="29" t="n">
        <v>20</v>
      </c>
      <c r="P161" s="28" t="inlineStr">
        <is>
          <t>P4 / M3</t>
        </is>
      </c>
      <c r="Q161" s="29" t="inlineStr">
        <is>
          <t>Senior / Manager</t>
        </is>
      </c>
      <c r="R161" s="29" t="inlineStr">
        <is>
          <t>4–5</t>
        </is>
      </c>
      <c r="S161" s="29" t="inlineStr">
        <is>
          <t>6–9 yrs</t>
        </is>
      </c>
      <c r="T161" s="29" t="inlineStr">
        <is>
          <t>7–10 · 6–11</t>
        </is>
      </c>
      <c r="U161" s="29" t="inlineStr">
        <is>
          <t>Manager</t>
        </is>
      </c>
      <c r="V161" s="29" t="inlineStr">
        <is>
          <t>IRIS Vs Competitor Benchmark — SaaS product ladder: Senior PM</t>
        </is>
      </c>
      <c r="W161" s="29" t="inlineStr">
        <is>
          <t>Pragmatic Institute Framework · 37 activities, 7 categories; AIPMM</t>
        </is>
      </c>
      <c r="X161" s="29" t="inlineStr">
        <is>
          <t>Core 3 · Future 3 · Functional 4 · Leadership 3</t>
        </is>
      </c>
      <c r="Y161" s="52" t="n">
        <v>362</v>
      </c>
      <c r="Z161" s="53" t="inlineStr">
        <is>
          <t>IRIS2353</t>
        </is>
      </c>
      <c r="AA161" s="53" t="inlineStr">
        <is>
          <t>Employee</t>
        </is>
      </c>
      <c r="AB161" s="53" t="inlineStr">
        <is>
          <t>Active</t>
        </is>
      </c>
      <c r="AC161" s="53" t="inlineStr">
        <is>
          <t>Farzad Wadia</t>
        </is>
      </c>
      <c r="AD161" s="54" t="n">
        <v>45733</v>
      </c>
      <c r="AE161" s="53" t="inlineStr">
        <is>
          <t>ESG Manager</t>
        </is>
      </c>
      <c r="AF161" s="53" t="inlineStr">
        <is>
          <t>CA</t>
        </is>
      </c>
      <c r="AG161" s="53" t="inlineStr">
        <is>
          <t>Anuradha RK</t>
        </is>
      </c>
      <c r="AH161" s="53" t="inlineStr">
        <is>
          <t>N-3</t>
        </is>
      </c>
      <c r="AI161" s="53" t="inlineStr">
        <is>
          <t>Manager</t>
        </is>
      </c>
      <c r="AJ161" s="53" t="inlineStr">
        <is>
          <t>9 years, 2 months, 0 days</t>
        </is>
      </c>
      <c r="AK161" s="53" t="inlineStr">
        <is>
          <t>1 years, 5 months, 8 days</t>
        </is>
      </c>
      <c r="AL161" s="53" t="inlineStr">
        <is>
          <t>Regtech</t>
        </is>
      </c>
      <c r="AM161" s="53" t="inlineStr">
        <is>
          <t>CARBON</t>
        </is>
      </c>
      <c r="AN161" s="53" t="inlineStr">
        <is>
          <t>Functional</t>
        </is>
      </c>
      <c r="AO161" s="53" t="inlineStr">
        <is>
          <t>Client Engagement</t>
        </is>
      </c>
      <c r="AP161" s="53" t="inlineStr">
        <is>
          <t>No</t>
        </is>
      </c>
      <c r="AQ161" s="53" t="inlineStr">
        <is>
          <t>Client Engagement</t>
        </is>
      </c>
      <c r="AR161" s="53" t="inlineStr">
        <is>
          <t>ESG</t>
        </is>
      </c>
      <c r="AS161" s="53" t="inlineStr">
        <is>
          <t>Non-technical</t>
        </is>
      </c>
      <c r="AT161" s="53" t="n">
        <v>20</v>
      </c>
      <c r="AU161" s="53" t="inlineStr">
        <is>
          <t>Covered</t>
        </is>
      </c>
      <c r="AV161" s="53" t="inlineStr">
        <is>
          <t>IRIS2353</t>
        </is>
      </c>
      <c r="AW161" s="53" t="inlineStr">
        <is>
          <t>Farzad Wadia</t>
        </is>
      </c>
      <c r="AX161" s="53" t="inlineStr">
        <is>
          <t>Functional</t>
        </is>
      </c>
      <c r="AY161" s="53" t="inlineStr">
        <is>
          <t>Consulting</t>
        </is>
      </c>
      <c r="AZ161" s="53" t="inlineStr">
        <is>
          <t>Functional Portfolio Leadership/Business Owner – ESG</t>
        </is>
      </c>
      <c r="BA161" s="53" t="inlineStr">
        <is>
          <t>Consulting</t>
        </is>
      </c>
      <c r="BB161" s="53" t="n"/>
      <c r="BC161" s="53" t="inlineStr">
        <is>
          <t>Employee</t>
        </is>
      </c>
      <c r="BD161" s="53" t="inlineStr">
        <is>
          <t>Anuradha RK</t>
        </is>
      </c>
      <c r="BE161" s="53" t="inlineStr">
        <is>
          <t>Anuradha RK</t>
        </is>
      </c>
      <c r="BF161" s="53" t="inlineStr">
        <is>
          <t>New entry</t>
        </is>
      </c>
      <c r="BG161" s="53" t="n"/>
      <c r="BH161" s="53" t="inlineStr">
        <is>
          <t>ESG Manager</t>
        </is>
      </c>
      <c r="BI161" s="53" t="inlineStr">
        <is>
          <t>N/A · new entry</t>
        </is>
      </c>
      <c r="BJ161" s="53" t="n">
        <v>6</v>
      </c>
      <c r="BK161" s="53" t="n">
        <v>6</v>
      </c>
      <c r="BL161" s="53" t="n">
        <v>0</v>
      </c>
      <c r="BM161" s="53" t="inlineStr">
        <is>
          <t>Healthy</t>
        </is>
      </c>
      <c r="BN161" s="53" t="n">
        <v>6</v>
      </c>
      <c r="BO161" s="53" t="n">
        <v>6</v>
      </c>
      <c r="BP161" s="53" t="n">
        <v>0</v>
      </c>
      <c r="BQ161" s="53" t="inlineStr">
        <is>
          <t>Healthy</t>
        </is>
      </c>
      <c r="BR161" s="53" t="inlineStr">
        <is>
          <t>No</t>
        </is>
      </c>
      <c r="BS161" s="53" t="n"/>
      <c r="BT161" s="53" t="n"/>
      <c r="BU161" s="53" t="inlineStr">
        <is>
          <t>No designation change — current record value carried forward</t>
        </is>
      </c>
      <c r="BV161" s="53" t="n"/>
      <c r="BW161" s="53" t="n"/>
      <c r="BX161" s="53" t="inlineStr">
        <is>
          <t>Global.</t>
        </is>
      </c>
      <c r="BY161" s="53" t="n"/>
      <c r="BZ161" s="53" t="inlineStr">
        <is>
          <t>IRIS2353</t>
        </is>
      </c>
      <c r="CA161" s="53" t="inlineStr">
        <is>
          <t>Employee</t>
        </is>
      </c>
      <c r="CB161" s="53" t="inlineStr">
        <is>
          <t>Active</t>
        </is>
      </c>
      <c r="CC161" s="53" t="inlineStr">
        <is>
          <t>Farzad Wadia</t>
        </is>
      </c>
      <c r="CD161" s="54" t="n">
        <v>45733</v>
      </c>
      <c r="CE161" s="53" t="inlineStr">
        <is>
          <t>ESG Manager</t>
        </is>
      </c>
      <c r="CF161" s="53" t="inlineStr">
        <is>
          <t>Leads ESG Product</t>
        </is>
      </c>
      <c r="CG161" s="53" t="inlineStr">
        <is>
          <t>Consulting  Services</t>
        </is>
      </c>
      <c r="CH161" s="53" t="inlineStr">
        <is>
          <t>ESG Advisory</t>
        </is>
      </c>
      <c r="CI161" s="53" t="inlineStr">
        <is>
          <t>ESG Manager</t>
        </is>
      </c>
      <c r="CJ161" s="53" t="inlineStr">
        <is>
          <t>L5 – Manager</t>
        </is>
      </c>
      <c r="CK161" s="53" t="inlineStr">
        <is>
          <t>Anuradha RK</t>
        </is>
      </c>
      <c r="CL161" s="53" t="inlineStr">
        <is>
          <t>N-3</t>
        </is>
      </c>
      <c r="CM161" s="53" t="inlineStr">
        <is>
          <t>Manager</t>
        </is>
      </c>
      <c r="CN161" s="53" t="inlineStr">
        <is>
          <t>Regtech</t>
        </is>
      </c>
      <c r="CO161" s="53" t="inlineStr">
        <is>
          <t>Functional</t>
        </is>
      </c>
      <c r="CP161" s="53" t="inlineStr">
        <is>
          <t>9 years, 2 months, 0 days</t>
        </is>
      </c>
      <c r="CQ161" s="53" t="n"/>
      <c r="CR161" s="53" t="n"/>
      <c r="CS161" s="53" t="n"/>
      <c r="CT161" s="53" t="n"/>
      <c r="CU161" s="53" t="n"/>
      <c r="CV161" s="53" t="n"/>
      <c r="CW161" s="53" t="n"/>
      <c r="CX161" s="53" t="n"/>
      <c r="CY161" s="53" t="n"/>
      <c r="CZ161" s="53" t="n"/>
      <c r="DA161" s="53" t="n"/>
      <c r="DB161" s="53" t="inlineStr">
        <is>
          <t>New entry — profile recovered from Sept 22 zip review · previously miscounted as a non-attendee. Performance rating, potential, 9-box placement, and succession fields not yet assessed — pending review.</t>
        </is>
      </c>
      <c r="DC161" s="53" t="n"/>
      <c r="DD161" s="53" t="n"/>
      <c r="DE161" s="53" t="n"/>
      <c r="DF161" s="53" t="n"/>
      <c r="DG161" s="53" t="n"/>
      <c r="DH161" s="53" t="n"/>
      <c r="DI161" s="53" t="n"/>
      <c r="DJ161" s="53" t="n"/>
      <c r="DK161" s="53" t="n"/>
      <c r="DL161" s="53" t="n"/>
      <c r="DM161" s="53" t="n"/>
      <c r="DN161" s="53" t="n"/>
      <c r="DO161" s="53" t="n"/>
      <c r="DP161" s="53" t="n"/>
      <c r="DQ161" s="53" t="n"/>
      <c r="DR161" s="53" t="n"/>
      <c r="DS161" s="53" t="n"/>
      <c r="DT161" s="53" t="n"/>
      <c r="DU161" s="53" t="n"/>
      <c r="DV161" s="53" t="n"/>
      <c r="DW161" s="53" t="n"/>
      <c r="DX161" s="53" t="n"/>
      <c r="DY161" s="53" t="n"/>
      <c r="DZ161" s="53" t="n"/>
      <c r="EA161" s="53" t="n"/>
      <c r="EB161" s="53" t="n"/>
      <c r="EC161" s="53" t="n"/>
      <c r="ED161" s="53" t="n"/>
      <c r="EE161" s="53" t="n"/>
      <c r="EF161" s="53" t="n"/>
      <c r="EG161" s="53" t="n"/>
      <c r="EH161" s="53" t="n"/>
      <c r="EI161" s="53" t="n"/>
      <c r="EJ161" s="53" t="n"/>
      <c r="EK161" s="53" t="n"/>
      <c r="EL161" s="53" t="n"/>
      <c r="EM161" s="53" t="n"/>
      <c r="EN161" s="53" t="n"/>
      <c r="EO161" s="53" t="n"/>
      <c r="EP161" s="53" t="n"/>
      <c r="EQ161" s="53" t="n"/>
      <c r="ER161" s="53" t="n"/>
      <c r="ES161" s="53" t="n"/>
      <c r="ET161" s="53" t="n"/>
      <c r="EU161" s="53" t="n"/>
      <c r="EV161" s="53" t="n"/>
      <c r="EW161" s="52" t="n"/>
      <c r="EX161" s="53" t="inlineStr">
        <is>
          <t>• Role / sub-team: Functional — ESG Manager.
• Core purpose: Lead product in market.
• Decision-making autonomy: Can independently most things.
• Is this something only they do: Partially.
• What's different about this role: The product; The customer.</t>
        </is>
      </c>
      <c r="EY161" s="53" t="inlineStr">
        <is>
          <t>• Key responsibilities include: Sales, product, implementation; Marketing.
• Personally accountable for: Everything.
• Impact if missed or done wrong: Market-facing: missed opportunity. Internal: spillover causing delays vs. market.
• How measured: No — the domain, product, stage and responsibility are different from others'.</t>
        </is>
      </c>
      <c r="EZ161" s="53" t="inlineStr">
        <is>
          <t>• Current capabilities: Domain knowledge · AI, GTM strategy.
• Tools / software used: General tools.
• Workload: Rated a very heavy load · 5/5 in a typical week.
• Judgment/way of working: You have to know the domain 100% and the market, because it is evolving very quickly.</t>
        </is>
      </c>
      <c r="FA161" s="53" t="inlineStr">
        <is>
          <t>• Development priorities: Deal closure.
• Learning and Development Need: None specifically.
• Role evolving toward: Field is changing continuously; AI impact is phenomenal.</t>
        </is>
      </c>
      <c r="FB161" s="53" t="inlineStr">
        <is>
          <t>• Key challenges: Cross-team collaboration.
• Support required: Collaboration overhead is too high · workload distribution is skewed; quality gaps across teams.</t>
        </is>
      </c>
      <c r="FC161" s="53" t="n"/>
      <c r="FD161" s="53" t="n"/>
      <c r="FE161" s="55" t="inlineStr">
        <is>
          <t>KRAs not received · manager to supply</t>
        </is>
      </c>
      <c r="FF161" s="56" t="n"/>
      <c r="FG161" s="56" t="n"/>
      <c r="FH161" s="56" t="n"/>
      <c r="FI161" s="56" t="inlineStr">
        <is>
          <t>Leads ESG Product</t>
        </is>
      </c>
      <c r="FJ161" s="32" t="inlineStr">
        <is>
          <t>KRAs not received · manager to supply</t>
        </is>
      </c>
      <c r="FK161" s="56" t="inlineStr">
        <is>
          <t>CARBON Talent Mapping · Raw</t>
        </is>
      </c>
      <c r="FL161" s="56" t="n">
        <v>20</v>
      </c>
      <c r="FM161" s="56" t="inlineStr">
        <is>
          <t>• Role / sub-team: Functional — ESG Manager.
• Core purpose: Lead product in market.
• Decision-making autonomy: Can independently most things.
• Is this something only they do: Partially.
• What's different about this role: The product; The customer.</t>
        </is>
      </c>
      <c r="FN161" s="56" t="inlineStr">
        <is>
          <t>• Key responsibilities include: Sales, product, implementation; Marketing.
• Personally accountable for: Everything.
• Impact if missed or done wrong: Market-facing: missed opportunity. Internal: spillover causing delays vs. market.
• How measured: No — the domain, product, stage and responsibility are different from others'.</t>
        </is>
      </c>
      <c r="FO161" s="56" t="inlineStr">
        <is>
          <t>• Current capabilities: Domain knowledge · AI, GTM strategy.
• Tools / software used: General tools.
• Workload: Rated a very heavy load · 5/5 in a typical week.
• Judgment/way of working: You have to know the domain 100% and the market, because it is evolving very quickly.</t>
        </is>
      </c>
      <c r="FP161" s="56" t="inlineStr">
        <is>
          <t>• Development priorities: Deal closure.
• Learning and Development Need: None specifically.
• Role evolving toward: Field is changing continuously; AI impact is phenomenal.</t>
        </is>
      </c>
      <c r="FQ161" s="56" t="inlineStr">
        <is>
          <t>• Key challenges: Cross-team collaboration.
• Support required: Collaboration overhead is too high · workload distribution is skewed; quality gaps across teams.</t>
        </is>
      </c>
      <c r="FR161" s="56" t="inlineStr">
        <is>
          <t>Complexity: Evidence reads like B2: own survey / KRA answers · summarised by the rater; not quoted → matches the start
Autonomy: Evidence reads like B2: Decides 'most things' per self and manager note; no specific decisions named → matches the start
Accountability: Evidence reads like B2: States 'everything' for the ESG product in market; team of 5 → moved up 0.5
Leadership: Evidence reads like B1: Runs weekly reviews and updates; 5 direct reports → matches the start
Business Impact: No survey or manager-mapping signal on criticality: kept at the start point.</t>
        </is>
      </c>
      <c r="FS161" s="56" t="inlineStr">
        <is>
          <t>Common themes in role-holders' answers: product · market · delivery · business · revenue
Common themes in role-holders' answers: product · implementation · client · management · delivery
Common themes in role-holders' answers: product · revenue
Common themes in role-holders' answers: product · quality · delivery · revenue
Common themes in role-holders' answers: research
If the work is missed · role-holders' themes: delays · client · revenue.
Measured on · manager-set KRA themes: development participation · cash · market requirements · tech learning · support organizational · profitability.</t>
        </is>
      </c>
      <c r="FT161" s="56" t="inlineStr">
        <is>
          <t>Self-identified: Answered · no common topic
For the next role: Answered · no common topic</t>
        </is>
      </c>
      <c r="FU161" s="56" t="inlineStr">
        <is>
          <t>Per-person summary · CARBON Mapping Master</t>
        </is>
      </c>
    </row>
    <row r="162" ht="90" customHeight="1">
      <c r="A162" s="51" t="inlineStr">
        <is>
          <t>◂ Back</t>
        </is>
      </c>
      <c r="B162" s="29" t="inlineStr">
        <is>
          <t>Mapped</t>
        </is>
      </c>
      <c r="C162" s="28" t="inlineStr">
        <is>
          <t>CARBON</t>
        </is>
      </c>
      <c r="D162" s="29" t="inlineStr">
        <is>
          <t>IRIS2143</t>
        </is>
      </c>
      <c r="E162" s="29" t="inlineStr">
        <is>
          <t>Shambo Mitra</t>
        </is>
      </c>
      <c r="F162" s="29" t="inlineStr">
        <is>
          <t>Functional</t>
        </is>
      </c>
      <c r="G162" s="29" t="inlineStr">
        <is>
          <t>ESG - Subject Matter Expert</t>
        </is>
      </c>
      <c r="H162" s="29" t="inlineStr">
        <is>
          <t>Senior Functional Specialist</t>
        </is>
      </c>
      <c r="I162" s="29" t="inlineStr">
        <is>
          <t>L3 – Professional / Associate</t>
        </is>
      </c>
      <c r="J162" s="29" t="inlineStr">
        <is>
          <t>B2</t>
        </is>
      </c>
      <c r="K162" s="29" t="inlineStr">
        <is>
          <t>▲ Up</t>
        </is>
      </c>
      <c r="L162" s="29" t="inlineStr">
        <is>
          <t>Solution Consulting &amp; Implementation</t>
        </is>
      </c>
      <c r="M162" s="29" t="inlineStr">
        <is>
          <t>Solution Consulting &amp; Implementation</t>
        </is>
      </c>
      <c r="N162" s="29" t="n"/>
      <c r="O162" s="29" t="n">
        <v>20</v>
      </c>
      <c r="P162" s="28" t="inlineStr">
        <is>
          <t>P4 / M3</t>
        </is>
      </c>
      <c r="Q162" s="29" t="inlineStr">
        <is>
          <t>Senior / Manager</t>
        </is>
      </c>
      <c r="R162" s="29" t="inlineStr">
        <is>
          <t>4–5</t>
        </is>
      </c>
      <c r="S162" s="29" t="inlineStr">
        <is>
          <t>6–9 yrs</t>
        </is>
      </c>
      <c r="T162" s="29" t="inlineStr">
        <is>
          <t>7–10 · 6–11</t>
        </is>
      </c>
      <c r="U162" s="29" t="inlineStr">
        <is>
          <t>Lead Consultant</t>
        </is>
      </c>
      <c r="V162" s="29" t="inlineStr">
        <is>
          <t>Big Four: Manager · Regnology: Senior BA</t>
        </is>
      </c>
      <c r="W162" s="29" t="inlineStr">
        <is>
          <t>TSIA professional services; PMI; BABOK</t>
        </is>
      </c>
      <c r="X162" s="29" t="inlineStr">
        <is>
          <t>Core 3 · Future 3 · Functional 4 · Leadership 2</t>
        </is>
      </c>
      <c r="Y162" s="52" t="n">
        <v>279</v>
      </c>
      <c r="Z162" s="53" t="inlineStr">
        <is>
          <t>IRIS2143</t>
        </is>
      </c>
      <c r="AA162" s="53" t="inlineStr">
        <is>
          <t>Employee</t>
        </is>
      </c>
      <c r="AB162" s="53" t="inlineStr">
        <is>
          <t>Active</t>
        </is>
      </c>
      <c r="AC162" s="53" t="inlineStr">
        <is>
          <t>Shambo Mitra</t>
        </is>
      </c>
      <c r="AD162" s="54" t="n">
        <v>45084</v>
      </c>
      <c r="AE162" s="53" t="inlineStr">
        <is>
          <t>ESG - Subject Matter Expert</t>
        </is>
      </c>
      <c r="AF162" s="53" t="inlineStr">
        <is>
          <t>MBA</t>
        </is>
      </c>
      <c r="AG162" s="53" t="inlineStr">
        <is>
          <t>Farzad Wadia</t>
        </is>
      </c>
      <c r="AH162" s="53" t="inlineStr">
        <is>
          <t>N-4</t>
        </is>
      </c>
      <c r="AI162" s="53" t="inlineStr">
        <is>
          <t>Individual Contributor</t>
        </is>
      </c>
      <c r="AJ162" s="53" t="inlineStr">
        <is>
          <t>4 years, 0 months, 0 days</t>
        </is>
      </c>
      <c r="AK162" s="53" t="inlineStr">
        <is>
          <t>3 years, 2 months, 18 days</t>
        </is>
      </c>
      <c r="AL162" s="53" t="inlineStr">
        <is>
          <t>Regtech</t>
        </is>
      </c>
      <c r="AM162" s="53" t="inlineStr">
        <is>
          <t>CARBON</t>
        </is>
      </c>
      <c r="AN162" s="53" t="inlineStr">
        <is>
          <t>Functional</t>
        </is>
      </c>
      <c r="AO162" s="53" t="inlineStr">
        <is>
          <t>Client Engagement</t>
        </is>
      </c>
      <c r="AP162" s="53" t="inlineStr">
        <is>
          <t>No</t>
        </is>
      </c>
      <c r="AQ162" s="53" t="inlineStr">
        <is>
          <t>Client Engagement</t>
        </is>
      </c>
      <c r="AR162" s="53" t="inlineStr">
        <is>
          <t>ESG</t>
        </is>
      </c>
      <c r="AS162" s="53" t="inlineStr">
        <is>
          <t>Non-technical</t>
        </is>
      </c>
      <c r="AT162" s="53" t="n">
        <v>20</v>
      </c>
      <c r="AU162" s="53" t="inlineStr">
        <is>
          <t>Covered</t>
        </is>
      </c>
      <c r="AV162" s="53" t="inlineStr">
        <is>
          <t>IRIS2143</t>
        </is>
      </c>
      <c r="AW162" s="53" t="inlineStr">
        <is>
          <t>Shambo Mitra</t>
        </is>
      </c>
      <c r="AX162" s="53" t="inlineStr">
        <is>
          <t>Functional</t>
        </is>
      </c>
      <c r="AY162" s="53" t="inlineStr">
        <is>
          <t>Consulting</t>
        </is>
      </c>
      <c r="AZ162" s="53" t="inlineStr">
        <is>
          <t>Implementation &amp; Solutions Consulting</t>
        </is>
      </c>
      <c r="BA162" s="53" t="inlineStr">
        <is>
          <t>Consulting</t>
        </is>
      </c>
      <c r="BB162" s="53" t="n"/>
      <c r="BC162" s="53" t="inlineStr">
        <is>
          <t>Employee</t>
        </is>
      </c>
      <c r="BD162" s="53" t="inlineStr">
        <is>
          <t>Farzad Wadia</t>
        </is>
      </c>
      <c r="BE162" s="53" t="inlineStr">
        <is>
          <t>Farzad Wadia</t>
        </is>
      </c>
      <c r="BF162" s="53" t="inlineStr">
        <is>
          <t>No</t>
        </is>
      </c>
      <c r="BG162" s="53" t="inlineStr">
        <is>
          <t>ESG - Subject Matter Expert</t>
        </is>
      </c>
      <c r="BH162" s="53" t="inlineStr">
        <is>
          <t>ESG Functional Consultant</t>
        </is>
      </c>
      <c r="BI162" s="53" t="inlineStr">
        <is>
          <t>Yes</t>
        </is>
      </c>
      <c r="BJ162" s="53" t="n">
        <v>1</v>
      </c>
      <c r="BK162" s="53" t="n">
        <v>0</v>
      </c>
      <c r="BL162" s="53" t="n">
        <v>1</v>
      </c>
      <c r="BM162" s="53" t="inlineStr">
        <is>
          <t>Consolidate / flatten</t>
        </is>
      </c>
      <c r="BN162" s="53" t="n">
        <v>1</v>
      </c>
      <c r="BO162" s="53" t="n">
        <v>0</v>
      </c>
      <c r="BP162" s="53" t="n">
        <v>1</v>
      </c>
      <c r="BQ162" s="53" t="inlineStr">
        <is>
          <t>Consolidate / flatten</t>
        </is>
      </c>
      <c r="BR162" s="53" t="inlineStr">
        <is>
          <t>No</t>
        </is>
      </c>
      <c r="BS162" s="53" t="inlineStr">
        <is>
          <t>L3 – Professional / Associate</t>
        </is>
      </c>
      <c r="BT162" s="53" t="inlineStr">
        <is>
          <t>L1</t>
        </is>
      </c>
      <c r="BU162" s="53" t="inlineStr">
        <is>
          <t>Designation refined from Raw tab Comments column · this update</t>
        </is>
      </c>
      <c r="BV162" s="53" t="inlineStr">
        <is>
          <t>Refer to a separate sheet</t>
        </is>
      </c>
      <c r="BW162" s="53" t="n"/>
      <c r="BX162" s="53" t="inlineStr">
        <is>
          <t>Europe; Africa; Asia; South America.</t>
        </is>
      </c>
      <c r="BY162" s="53" t="n"/>
      <c r="BZ162" s="53" t="inlineStr">
        <is>
          <t>IRIS2143</t>
        </is>
      </c>
      <c r="CA162" s="53" t="inlineStr">
        <is>
          <t>Employee</t>
        </is>
      </c>
      <c r="CB162" s="53" t="inlineStr">
        <is>
          <t>Active</t>
        </is>
      </c>
      <c r="CC162" s="53" t="inlineStr">
        <is>
          <t>Shambo Mitra</t>
        </is>
      </c>
      <c r="CD162" s="54" t="n">
        <v>45084</v>
      </c>
      <c r="CE162" s="53" t="inlineStr">
        <is>
          <t>ESG - Subject Matter Expert</t>
        </is>
      </c>
      <c r="CF162" s="53" t="inlineStr">
        <is>
          <t>responsible for managing ESG client engagements, ensuring effective delivery of support and services throughout the client lifecycle. He works closely with clients to address their requirements and provide solution-oriented guidance. Additionally, he engages with prospective customers to understand their business needs, conduct product demonstrations, and showcase ESG capabilities to drive opportunities</t>
        </is>
      </c>
      <c r="CG162" s="53" t="inlineStr">
        <is>
          <t>Consulting  Services</t>
        </is>
      </c>
      <c r="CH162" s="53" t="inlineStr">
        <is>
          <t>ESG Advisory</t>
        </is>
      </c>
      <c r="CI162" s="53" t="inlineStr">
        <is>
          <t>ESG Functional Consultant</t>
        </is>
      </c>
      <c r="CJ162" s="53" t="inlineStr">
        <is>
          <t>L3 – Professional / Associate</t>
        </is>
      </c>
      <c r="CK162" s="53" t="inlineStr">
        <is>
          <t>Farzad Wadia</t>
        </is>
      </c>
      <c r="CL162" s="53" t="inlineStr">
        <is>
          <t>N-4</t>
        </is>
      </c>
      <c r="CM162" s="53" t="inlineStr">
        <is>
          <t>Player cum Coach</t>
        </is>
      </c>
      <c r="CN162" s="53" t="inlineStr">
        <is>
          <t>Regtech</t>
        </is>
      </c>
      <c r="CO162" s="53" t="inlineStr">
        <is>
          <t>Functional</t>
        </is>
      </c>
      <c r="CP162" s="53" t="inlineStr">
        <is>
          <t>7 years, 0 months, 13 days</t>
        </is>
      </c>
      <c r="CQ162" s="53" t="inlineStr">
        <is>
          <t>Functional Specialist - ESG</t>
        </is>
      </c>
      <c r="CR162" s="53" t="inlineStr">
        <is>
          <t>No</t>
        </is>
      </c>
      <c r="CS162" s="53" t="n">
        <v>3</v>
      </c>
      <c r="CT162" s="53" t="inlineStr">
        <is>
          <t>Medium</t>
        </is>
      </c>
      <c r="CU162" s="53" t="inlineStr">
        <is>
          <t>Reliable Specialist</t>
        </is>
      </c>
      <c r="CV162" s="53" t="inlineStr">
        <is>
          <t>No</t>
        </is>
      </c>
      <c r="CW162" s="53" t="inlineStr">
        <is>
          <t>No</t>
        </is>
      </c>
      <c r="CX162" s="53" t="inlineStr">
        <is>
          <t>Yes</t>
        </is>
      </c>
      <c r="CY162" s="53" t="n"/>
      <c r="CZ162" s="53" t="inlineStr">
        <is>
          <t>-Leadership, Agile</t>
        </is>
      </c>
      <c r="DA162" s="53" t="n"/>
      <c r="DB162" s="53" t="inlineStr">
        <is>
          <t>Title: Standardized to ESG Functional Consultant</t>
        </is>
      </c>
      <c r="DC162" s="53" t="n"/>
      <c r="DD162" s="53" t="n"/>
      <c r="DE162" s="53" t="n"/>
      <c r="DF162" s="53" t="n"/>
      <c r="DG162" s="53" t="n"/>
      <c r="DH162" s="53" t="n"/>
      <c r="DI162" s="53" t="n"/>
      <c r="DJ162" s="53" t="n"/>
      <c r="DK162" s="53" t="n"/>
      <c r="DL162" s="53" t="n"/>
      <c r="DM162" s="53" t="n"/>
      <c r="DN162" s="53" t="n"/>
      <c r="DO162" s="53" t="n"/>
      <c r="DP162" s="53" t="n"/>
      <c r="DQ162" s="53" t="n"/>
      <c r="DR162" s="53" t="n"/>
      <c r="DS162" s="53" t="n"/>
      <c r="DT162" s="53" t="n"/>
      <c r="DU162" s="53" t="n"/>
      <c r="DV162" s="53" t="n"/>
      <c r="DW162" s="53" t="n"/>
      <c r="DX162" s="53" t="n"/>
      <c r="DY162" s="53" t="n"/>
      <c r="DZ162" s="53" t="n"/>
      <c r="EA162" s="53" t="n"/>
      <c r="EB162" s="53" t="n"/>
      <c r="EC162" s="53" t="n"/>
      <c r="ED162" s="53" t="n"/>
      <c r="EE162" s="53" t="n"/>
      <c r="EF162" s="53" t="n"/>
      <c r="EG162" s="53" t="n"/>
      <c r="EH162" s="53" t="n"/>
      <c r="EI162" s="53" t="n"/>
      <c r="EJ162" s="53" t="n"/>
      <c r="EK162" s="53" t="n"/>
      <c r="EL162" s="53" t="n"/>
      <c r="EM162" s="53" t="n"/>
      <c r="EN162" s="53" t="n"/>
      <c r="EO162" s="53" t="n"/>
      <c r="EP162" s="53" t="n"/>
      <c r="EQ162" s="53" t="n"/>
      <c r="ER162" s="53" t="n"/>
      <c r="ES162" s="53" t="n"/>
      <c r="ET162" s="53" t="n"/>
      <c r="EU162" s="53" t="n"/>
      <c r="EV162" s="53" t="n"/>
      <c r="EW162" s="52" t="n"/>
      <c r="EX162" s="53" t="inlineStr">
        <is>
          <t>• Role / sub-team: Functional — ESG - Subject Matter Expert.
• Core purpose: Responsible for ESG specific client delivery - Includes implementation of the ESG product based on client requirements and post implementation support.
• Decision-making autonomy: Can independently task prioritization.
• Is this something only they do: Overlaps with one other person in the team.
• What's different about this role: Need to have in-depth knowledge of the ESG frameworks and the KPIs within the frameworks. Need to be able to understanding ESG requirements from clients and communicate it to product team.</t>
        </is>
      </c>
      <c r="EY162" s="53" t="inlineStr">
        <is>
          <t>• Key responsibilities include: Requirements analysis; Implementation planning; Platform set-up; Client training; Post Go-Live support.
• Personally accountable for: Implementation and support of the ESG product.
• Impact if missed or done wrong: Client escalation.
• How measured: Similar, but contextually different since it is specific to ESG.</t>
        </is>
      </c>
      <c r="EZ162" s="53" t="inlineStr">
        <is>
          <t>• Current capabilities: ESG frameworks.
• Tools / software used: ESG standards.
• Workload: Rated a heavy load · 4/5 in a typical week.
• Judgment/way of working: Knowing the most common pitfalls and sources of errors helps in quickly resolving queries.</t>
        </is>
      </c>
      <c r="FA162" s="53" t="inlineStr">
        <is>
          <t>• Development priorities: Need to figure out how to cross-sell, get the customer to expand the scope and also bring in more efficiencies in delivery.
• Learning and Development Need: Knowledge of ESG; Platform knowledge. About the number of impromptu and custom requests that come up from clients.
• Role evolving toward: Very dynamic environment in ESG globally - Ever evolving regulations as well as expectations of AI features.</t>
        </is>
      </c>
      <c r="FB162" s="53" t="inlineStr">
        <is>
          <t>• Key challenges: Unexpected requirements.
• Support required: A separate support or product stream for impromptu client requirements.</t>
        </is>
      </c>
      <c r="FC162" s="53" t="n"/>
      <c r="FD162" s="53" t="n"/>
      <c r="FE162" s="57" t="inlineStr">
        <is>
          <t>Refer to a separate sheet</t>
        </is>
      </c>
      <c r="FF162" s="56" t="n"/>
      <c r="FG162" s="56" t="n"/>
      <c r="FH162" s="56" t="n"/>
      <c r="FI162" s="56" t="inlineStr">
        <is>
          <t>responsible for managing ESG client engagements, ensuring effective delivery of support and services throughout the client lifecycle. He works closely with clients to address their requirements and provide solution-oriented guidance. Additionally, he engages with prospective customers to understand their business needs, conduct product demonstrations, and showcase ESG capabilities to drive opportunities</t>
        </is>
      </c>
      <c r="FJ162" s="56" t="inlineStr">
        <is>
          <t>Received · manager annual</t>
        </is>
      </c>
      <c r="FK162" s="56" t="inlineStr">
        <is>
          <t>CARBON Mapping Master · CARBON Talent Mapping · Raw</t>
        </is>
      </c>
      <c r="FL162" s="56" t="n">
        <v>20</v>
      </c>
      <c r="FM162" s="56" t="inlineStr">
        <is>
          <t>• Role / sub-team: Functional — ESG - Subject Matter Expert.
• Core purpose: Responsible for ESG specific client delivery - Includes implementation of the ESG product based on client requirements and post implementation support.
• Decision-making autonomy: Can independently task prioritization.
• Is this something only they do: Overlaps with one other person in the team.
• What's different about this role: Need to have in-depth knowledge of the ESG frameworks and the KPIs within the frameworks. Need to be able to understanding ESG requirements from clients and communicate it to product team.</t>
        </is>
      </c>
      <c r="FN162" s="56" t="inlineStr">
        <is>
          <t>• Key responsibilities include: Requirements analysis; Implementation planning; Platform set-up; Client training; Post Go-Live support.
• Personally accountable for: Implementation and support of the ESG product.
• Impact if missed or done wrong: Client escalation.
• How measured: Similar, but contextually different since it is specific to ESG.</t>
        </is>
      </c>
      <c r="FO162" s="56" t="inlineStr">
        <is>
          <t>• Current capabilities: ESG frameworks.
• Tools / software used: ESG standards.
• Workload: Rated a heavy load · 4/5 in a typical week.
• Judgment/way of working: Knowing the most common pitfalls and sources of errors helps in quickly resolving queries.</t>
        </is>
      </c>
      <c r="FP162" s="56" t="inlineStr">
        <is>
          <t>• Development priorities: Need to figure out how to cross-sell, get the customer to expand the scope and also bring in more efficiencies in delivery.
• Learning and Development Need: Knowledge of ESG; Platform knowledge. About the number of impromptu and custom requests that come up from clients.
• Role evolving toward: Very dynamic environment in ESG globally - Ever evolving regulations as well as expectations of AI features.</t>
        </is>
      </c>
      <c r="FQ162" s="56" t="inlineStr">
        <is>
          <t>• Key challenges: Unexpected requirements.
• Support required: A separate support or product stream for impromptu client requirements.</t>
        </is>
      </c>
      <c r="FR162" s="56" t="inlineStr">
        <is>
          <t>Complexity: Evidence reads like B1: Implements ESG product to client requirements; needs in-depth ESG framework and KPI knowledge → moved down 1
Autonomy: Evidence reads like A3: Prioritises own tasks across implementation work → moved down 1
Accountability: Evidence reads like B1: Implementation and post-go-live support for ESG clients; client escalation if wrong → moved down 1
Leadership: Evidence reads like A2: Relays client requirements to product team; trains clients, not colleagues → moved down 1
Business Impact: Moved +0.5: the survey / manager mapping marks it business-critical.</t>
        </is>
      </c>
      <c r="FS162" s="56" t="inlineStr">
        <is>
          <t>Common themes in sub-family holders, all levels' answers: product · clients · implementation · requirements · understand · iris
Common themes in sub-family holders, all levels' answers: client · implementation · demos · testing · delivery · platform
Common themes in sub-family holders, all levels' answers: product · implementation · marketing · esg project · requirements · reports
Common themes in sub-family holders, all levels' answers: implementation · product · client · accountable · esg · demos
Common themes in sub-family holders, all levels' answers: project · activities · features · setup
If the work is missed · role-holders' themes: client · market.</t>
        </is>
      </c>
      <c r="FT162" s="56" t="inlineStr">
        <is>
          <t>Self-identified: Client, sales &amp; stakeholders
For the next role: Client, sales &amp; stakeholders</t>
        </is>
      </c>
      <c r="FU162" s="56" t="inlineStr">
        <is>
          <t>Per-person summary · CARBON Mapping Master</t>
        </is>
      </c>
    </row>
    <row r="163" ht="90" customHeight="1">
      <c r="A163" s="51" t="inlineStr">
        <is>
          <t>◂ Back</t>
        </is>
      </c>
      <c r="B163" s="29" t="inlineStr">
        <is>
          <t>Mapped</t>
        </is>
      </c>
      <c r="C163" s="28" t="inlineStr">
        <is>
          <t>CARBON</t>
        </is>
      </c>
      <c r="D163" s="29" t="inlineStr">
        <is>
          <t>IRIS2419</t>
        </is>
      </c>
      <c r="E163" s="29" t="inlineStr">
        <is>
          <t>Alizah Noorani</t>
        </is>
      </c>
      <c r="F163" s="29" t="inlineStr">
        <is>
          <t>Functional</t>
        </is>
      </c>
      <c r="G163" s="29" t="inlineStr">
        <is>
          <t>ESG Implementation Consultant</t>
        </is>
      </c>
      <c r="H163" s="29" t="inlineStr">
        <is>
          <t>Functional Specialist</t>
        </is>
      </c>
      <c r="I163" s="29" t="inlineStr">
        <is>
          <t>L3 – Professional / Associate</t>
        </is>
      </c>
      <c r="J163" s="29" t="inlineStr">
        <is>
          <t>B1</t>
        </is>
      </c>
      <c r="K163" s="29" t="inlineStr">
        <is>
          <t>▲ Up</t>
        </is>
      </c>
      <c r="L163" s="29" t="inlineStr">
        <is>
          <t>Solution Consulting &amp; Implementation</t>
        </is>
      </c>
      <c r="M163" s="29" t="inlineStr">
        <is>
          <t>Solution Consulting &amp; Implementation</t>
        </is>
      </c>
      <c r="N163" s="29" t="n"/>
      <c r="O163" s="29" t="n">
        <v>20</v>
      </c>
      <c r="P163" s="28" t="inlineStr">
        <is>
          <t>P3 / M2</t>
        </is>
      </c>
      <c r="Q163" s="29" t="inlineStr">
        <is>
          <t>Career / · Team Lead</t>
        </is>
      </c>
      <c r="R163" s="29" t="inlineStr">
        <is>
          <t>4 Enable</t>
        </is>
      </c>
      <c r="S163" s="29" t="inlineStr">
        <is>
          <t>4–7 yrs</t>
        </is>
      </c>
      <c r="T163" s="29" t="inlineStr">
        <is>
          <t>5–8 · 4–8</t>
        </is>
      </c>
      <c r="U163" s="29" t="inlineStr">
        <is>
          <t>Senior Consultant</t>
        </is>
      </c>
      <c r="V163" s="29" t="inlineStr">
        <is>
          <t>Big Four: Senior Consultant · Regnology: BA · Reg Reporting</t>
        </is>
      </c>
      <c r="W163" s="29" t="inlineStr">
        <is>
          <t>TSIA professional services; PMI; BABOK</t>
        </is>
      </c>
      <c r="X163" s="29" t="inlineStr">
        <is>
          <t>Core 3 · Future 3 · Functional 3 · Leadership 1</t>
        </is>
      </c>
      <c r="Y163" s="52" t="n">
        <v>391</v>
      </c>
      <c r="Z163" s="53" t="inlineStr">
        <is>
          <t>IRIS2419</t>
        </is>
      </c>
      <c r="AA163" s="53" t="inlineStr">
        <is>
          <t>Employee</t>
        </is>
      </c>
      <c r="AB163" s="53" t="inlineStr">
        <is>
          <t>Active</t>
        </is>
      </c>
      <c r="AC163" s="53" t="inlineStr">
        <is>
          <t>Alizah Noorani</t>
        </is>
      </c>
      <c r="AD163" s="54" t="n">
        <v>45880</v>
      </c>
      <c r="AE163" s="53" t="inlineStr">
        <is>
          <t>ESG Implementation Consultant</t>
        </is>
      </c>
      <c r="AF163" s="53" t="inlineStr">
        <is>
          <t>M.Sc</t>
        </is>
      </c>
      <c r="AG163" s="53" t="inlineStr">
        <is>
          <t>Farzad Wadia</t>
        </is>
      </c>
      <c r="AH163" s="53" t="inlineStr">
        <is>
          <t>N-4</t>
        </is>
      </c>
      <c r="AI163" s="53" t="inlineStr">
        <is>
          <t>Individual Contributor</t>
        </is>
      </c>
      <c r="AJ163" s="53" t="inlineStr">
        <is>
          <t>3 years, 1 months, 0 days</t>
        </is>
      </c>
      <c r="AK163" s="53" t="inlineStr">
        <is>
          <t>1 years, 0 months, 14 days</t>
        </is>
      </c>
      <c r="AL163" s="53" t="inlineStr">
        <is>
          <t>Regtech</t>
        </is>
      </c>
      <c r="AM163" s="53" t="inlineStr">
        <is>
          <t>CARBON</t>
        </is>
      </c>
      <c r="AN163" s="53" t="inlineStr">
        <is>
          <t>Functional</t>
        </is>
      </c>
      <c r="AO163" s="53" t="inlineStr">
        <is>
          <t>Client Engagement</t>
        </is>
      </c>
      <c r="AP163" s="53" t="inlineStr">
        <is>
          <t>No</t>
        </is>
      </c>
      <c r="AQ163" s="53" t="inlineStr">
        <is>
          <t>Client Engagement</t>
        </is>
      </c>
      <c r="AR163" s="53" t="inlineStr">
        <is>
          <t>ESG</t>
        </is>
      </c>
      <c r="AS163" s="53" t="inlineStr">
        <is>
          <t>Non-technical</t>
        </is>
      </c>
      <c r="AT163" s="53" t="n">
        <v>20</v>
      </c>
      <c r="AU163" s="53" t="inlineStr">
        <is>
          <t>Covered</t>
        </is>
      </c>
      <c r="AV163" s="53" t="inlineStr">
        <is>
          <t>IRIS2419</t>
        </is>
      </c>
      <c r="AW163" s="53" t="inlineStr">
        <is>
          <t>Alizah Noorani</t>
        </is>
      </c>
      <c r="AX163" s="53" t="inlineStr">
        <is>
          <t>Functional</t>
        </is>
      </c>
      <c r="AY163" s="53" t="inlineStr">
        <is>
          <t>Consulting</t>
        </is>
      </c>
      <c r="AZ163" s="53" t="inlineStr">
        <is>
          <t>Implementation &amp; Solutions Consulting</t>
        </is>
      </c>
      <c r="BA163" s="53" t="inlineStr">
        <is>
          <t>Consulting</t>
        </is>
      </c>
      <c r="BB163" s="53" t="inlineStr">
        <is>
          <t>ESG Advisory</t>
        </is>
      </c>
      <c r="BC163" s="53" t="inlineStr">
        <is>
          <t>Employee</t>
        </is>
      </c>
      <c r="BD163" s="53" t="inlineStr">
        <is>
          <t>Farzad Wadia</t>
        </is>
      </c>
      <c r="BE163" s="53" t="inlineStr">
        <is>
          <t>Farzad Wadia</t>
        </is>
      </c>
      <c r="BF163" s="53" t="inlineStr">
        <is>
          <t>No</t>
        </is>
      </c>
      <c r="BG163" s="53" t="inlineStr">
        <is>
          <t>ESG Implementation Consultant</t>
        </is>
      </c>
      <c r="BH163" s="53" t="inlineStr">
        <is>
          <t>Functional Specialist - ESG</t>
        </is>
      </c>
      <c r="BI163" s="53" t="inlineStr">
        <is>
          <t>Yes</t>
        </is>
      </c>
      <c r="BJ163" s="53" t="inlineStr">
        <is>
          <t>—</t>
        </is>
      </c>
      <c r="BK163" s="53" t="inlineStr">
        <is>
          <t>—</t>
        </is>
      </c>
      <c r="BL163" s="53" t="inlineStr">
        <is>
          <t>—</t>
        </is>
      </c>
      <c r="BM163" s="53" t="inlineStr">
        <is>
          <t>Not a manager</t>
        </is>
      </c>
      <c r="BN163" s="53" t="inlineStr">
        <is>
          <t>—</t>
        </is>
      </c>
      <c r="BO163" s="53" t="inlineStr">
        <is>
          <t>—</t>
        </is>
      </c>
      <c r="BP163" s="53" t="inlineStr">
        <is>
          <t>—</t>
        </is>
      </c>
      <c r="BQ163" s="53" t="inlineStr">
        <is>
          <t>Not a manager</t>
        </is>
      </c>
      <c r="BR163" s="53" t="inlineStr">
        <is>
          <t>—</t>
        </is>
      </c>
      <c r="BS163" s="53" t="inlineStr">
        <is>
          <t>L3 – Professional / Associate</t>
        </is>
      </c>
      <c r="BT163" s="53" t="inlineStr">
        <is>
          <t>L1</t>
        </is>
      </c>
      <c r="BU163" s="53" t="inlineStr">
        <is>
          <t>Matched from Title Hierarchy · new designation</t>
        </is>
      </c>
      <c r="BV163" s="53" t="inlineStr">
        <is>
          <t>Refer to a separate sheet</t>
        </is>
      </c>
      <c r="BW163" s="53" t="n"/>
      <c r="BX163" s="53" t="inlineStr">
        <is>
          <t>Global - ESG.</t>
        </is>
      </c>
      <c r="BY163" s="53" t="n"/>
      <c r="BZ163" s="53" t="inlineStr">
        <is>
          <t>IRIS2419</t>
        </is>
      </c>
      <c r="CA163" s="53" t="inlineStr">
        <is>
          <t>Employee</t>
        </is>
      </c>
      <c r="CB163" s="53" t="inlineStr">
        <is>
          <t>Active</t>
        </is>
      </c>
      <c r="CC163" s="53" t="inlineStr">
        <is>
          <t>Alizah Noorani</t>
        </is>
      </c>
      <c r="CD163" s="54" t="n">
        <v>45880</v>
      </c>
      <c r="CE163" s="53" t="inlineStr">
        <is>
          <t>ESG Implementation Consultant</t>
        </is>
      </c>
      <c r="CF163" s="53" t="inlineStr">
        <is>
          <t>Gives product Demo &amp; helps in implementation</t>
        </is>
      </c>
      <c r="CG163" s="53" t="inlineStr">
        <is>
          <t>Consulting  Services</t>
        </is>
      </c>
      <c r="CH163" s="53" t="inlineStr">
        <is>
          <t>ESG Advisory</t>
        </is>
      </c>
      <c r="CI163" s="53" t="inlineStr">
        <is>
          <t>ESG Implementation Consultant</t>
        </is>
      </c>
      <c r="CJ163" s="53" t="inlineStr">
        <is>
          <t>L3 – Professional / Associate</t>
        </is>
      </c>
      <c r="CK163" s="53" t="inlineStr">
        <is>
          <t>Farzad Wadia</t>
        </is>
      </c>
      <c r="CL163" s="53" t="inlineStr">
        <is>
          <t>N-4</t>
        </is>
      </c>
      <c r="CM163" s="53" t="inlineStr">
        <is>
          <t>Individual Contributor</t>
        </is>
      </c>
      <c r="CN163" s="53" t="inlineStr">
        <is>
          <t>Regtech</t>
        </is>
      </c>
      <c r="CO163" s="53" t="inlineStr">
        <is>
          <t>Functional</t>
        </is>
      </c>
      <c r="CP163" s="53" t="inlineStr">
        <is>
          <t>3 years, 11 months, 9 days</t>
        </is>
      </c>
      <c r="CQ163" s="53" t="inlineStr">
        <is>
          <t>Functional Specialist - ESG</t>
        </is>
      </c>
      <c r="CR163" s="53" t="inlineStr">
        <is>
          <t>No</t>
        </is>
      </c>
      <c r="CS163" s="53" t="n">
        <v>3</v>
      </c>
      <c r="CT163" s="53" t="inlineStr">
        <is>
          <t>Medium</t>
        </is>
      </c>
      <c r="CU163" s="53" t="inlineStr">
        <is>
          <t>Core Contributor</t>
        </is>
      </c>
      <c r="CV163" s="53" t="inlineStr">
        <is>
          <t>No</t>
        </is>
      </c>
      <c r="CW163" s="53" t="inlineStr">
        <is>
          <t>No</t>
        </is>
      </c>
      <c r="CX163" s="53" t="inlineStr">
        <is>
          <t>Yes</t>
        </is>
      </c>
      <c r="CY163" s="53" t="n"/>
      <c r="CZ163" s="53" t="inlineStr">
        <is>
          <t>-Agile Thinking, Domain, AI</t>
        </is>
      </c>
      <c r="DA163" s="53" t="n"/>
      <c r="DB163" s="53" t="n"/>
      <c r="DC163" s="53" t="n"/>
      <c r="DD163" s="53" t="n"/>
      <c r="DE163" s="53" t="n"/>
      <c r="DF163" s="53" t="n"/>
      <c r="DG163" s="53" t="n"/>
      <c r="DH163" s="53" t="n"/>
      <c r="DI163" s="53" t="n"/>
      <c r="DJ163" s="53" t="n"/>
      <c r="DK163" s="53" t="n"/>
      <c r="DL163" s="53" t="n"/>
      <c r="DM163" s="53" t="n"/>
      <c r="DN163" s="53" t="n"/>
      <c r="DO163" s="53" t="n"/>
      <c r="DP163" s="53" t="n"/>
      <c r="DQ163" s="53" t="n"/>
      <c r="DR163" s="53" t="n"/>
      <c r="DS163" s="53" t="n"/>
      <c r="DT163" s="53" t="n"/>
      <c r="DU163" s="53" t="n"/>
      <c r="DV163" s="53" t="n"/>
      <c r="DW163" s="53" t="n"/>
      <c r="DX163" s="53" t="n"/>
      <c r="DY163" s="53" t="n"/>
      <c r="DZ163" s="53" t="n"/>
      <c r="EA163" s="53" t="n"/>
      <c r="EB163" s="53" t="n"/>
      <c r="EC163" s="53" t="n"/>
      <c r="ED163" s="53" t="n"/>
      <c r="EE163" s="53" t="n"/>
      <c r="EF163" s="53" t="n"/>
      <c r="EG163" s="53" t="n"/>
      <c r="EH163" s="53" t="n"/>
      <c r="EI163" s="53" t="n"/>
      <c r="EJ163" s="53" t="n"/>
      <c r="EK163" s="53" t="n"/>
      <c r="EL163" s="53" t="n"/>
      <c r="EM163" s="53" t="n"/>
      <c r="EN163" s="53" t="n"/>
      <c r="EO163" s="53" t="n"/>
      <c r="EP163" s="53" t="n"/>
      <c r="EQ163" s="53" t="n"/>
      <c r="ER163" s="53" t="n"/>
      <c r="ES163" s="53" t="n"/>
      <c r="ET163" s="53" t="n"/>
      <c r="EU163" s="53" t="n"/>
      <c r="EV163" s="53" t="n"/>
      <c r="EW163" s="52" t="n"/>
      <c r="EX163" s="53" t="inlineStr">
        <is>
          <t>• Role / sub-team: Functional — ESG Implementation Consultant.
• Core purpose: The role primarily is to onboard clients on the tool by configuring all in-scope items on the platform, providing training to the client, project management for the implementation project, and go-live; it also involves taking client requirement and challenges and translating it into product features. testing of the tool, sprint management to make sure client requirements are delivered on time.; it also involves marketing for the ESG domain and tool and providing domain insight to marketing team to make sure accurate and polished ESG information is being published by IRIS.; Also includes training of new team members to onboard them smoothly and make sure they are up and running in their role without any hurdles.
• Decision-making autonomy: Can independently project activities; Content assets review.
• Is this something only they do: Working with marketing team and publishing content assets. Planning webinars and marketing at events; Few tasks - only me. Few tasks - one other in my team.
• What's different about this role: Review of content assets and webinar planning.</t>
        </is>
      </c>
      <c r="EY163" s="53" t="inlineStr">
        <is>
          <t>• Key responsibilities include: Project management; requirement analysis; implementation; testing; market research; assets review; demos.
• Personally accountable for: ESG Client Projects assigned to the team member; Marketing assets and strategy - partially accountable; Client demos for sales.
• Impact if missed or done wrong: The client relation gets affected and trust breaks. May also affect the end report to be published by the client and the client has to face penalties for publishing wrong information.; Gives away a wrong perception of IRIS' understanding of ESG to the world if the content is not factually correct and aligned with ESG market trends.
• How measured: Partially different - the projects are measured the same way as others. The content review is a specific task assigned so measured independently.</t>
        </is>
      </c>
      <c r="EZ163" s="53" t="inlineStr">
        <is>
          <t>• Current capabilities: Domain knowledge; product development; requirement analysis; esg frameworks.
• Tools / software used: Outlook; teams; claude; MS Office.
• Workload: Rated a moderate load · 3/5 in a typical week.
• Judgment/way of working: Acceptance of quality of work done when working with cross functional teams; Clear communication with all stakeholders - clients, internal team, cross functional teams, etc. and expectation setting with them; Documenting all client communications; Scope understanding and mapping of basic go-live requirements, both internally and communicated by client to give them a smooth experience when they use the tool; immediate bug resolution for queries raised; defining timelines for all project activities; defining timelines for product features and delivery to the client on time.</t>
        </is>
      </c>
      <c r="FA163" s="53" t="inlineStr">
        <is>
          <t>• Development priorities: Understanding the lack of knowledge and understanding of ESG in professionals so that can be catered to through marketing assets; All modules domain understanding and actual process of working through the activity.
• Learning and Development Need: ESG exposure; International clients; Using AI; Global market thinking; Exposure to AI usage. The job is not limited to the description, varied tasks will be assigned regardless of expertise; Optics matter more than the quality of work, so keep that in mind; Prioritize your work, everyone else assigns their tasks to others and your own work gets delayed or missed in the mix; Document all senior management conversations that happen 1-1; Document all achievements throughout the year and initiatives taken for tasks beyond the responsibility, even if they didn't materialize as expected.
• Role evolving toward: The role is ever evolving as it is a niche and a lean team; Priorities keep changing as per the focus area for that phase; New tasks are assigned based on bandwidth instead of expertise.</t>
        </is>
      </c>
      <c r="FB163" s="53" t="inlineStr">
        <is>
          <t>• Key challenges: Lack of clarity of task; Product timelines; Approvals structure; Negative criticism; Change in approach.
• Support required: Implementation process streamlined and set for the whole company, some bare minimum checklist of tasks to be done by every functional member. Better project templates and tracking; Defined structure for projects - even at a high level, can help understand what is a good project implementation, what can be done better, and what is a good to have.</t>
        </is>
      </c>
      <c r="FC163" s="53" t="n"/>
      <c r="FD163" s="53" t="n"/>
      <c r="FE163" s="57" t="inlineStr">
        <is>
          <t>Refer to a separate sheet</t>
        </is>
      </c>
      <c r="FF163" s="56" t="n"/>
      <c r="FG163" s="56" t="n"/>
      <c r="FH163" s="56" t="n"/>
      <c r="FI163" s="56" t="inlineStr">
        <is>
          <t>Gives product Demo &amp; helps in implementation</t>
        </is>
      </c>
      <c r="FJ163" s="56" t="inlineStr">
        <is>
          <t>Received · manager annual</t>
        </is>
      </c>
      <c r="FK163" s="56" t="inlineStr">
        <is>
          <t>CARBON Mapping Master · CARBON Talent Mapping · Raw</t>
        </is>
      </c>
      <c r="FL163" s="56" t="n">
        <v>20</v>
      </c>
      <c r="FM163" s="56" t="inlineStr">
        <is>
          <t>• Role / sub-team: Functional — ESG Implementation Consultant.
• Core purpose: The role primarily is to onboard clients on the tool by configuring all in-scope items on the platform, providing training to the client, project management for the implementation project, and go-live; it also involves taking client requirement and challenges and translating it into product features. testing of the tool, sprint management to make sure client requirements are delivered on time.; it also involves marketing for the ESG domain and tool and providing domain insight to marketing team to make sure accurate and polished ESG information is being published by IRIS.; Also includes training of new team members to onboard them smoothly and make sure they are up and running in their role without any hurdles.
• Decision-making autonomy: Can independently project activities; Content assets review.
• Is this something only they do: Working with marketing team and publishing content assets. Planning webinars and marketing at events; Few tasks - only me. Few tasks - one other in my team.
• What's different about this role: Review of content assets and webinar planning.</t>
        </is>
      </c>
      <c r="FN163" s="56" t="inlineStr">
        <is>
          <t>• Key responsibilities include: Project management; requirement analysis; implementation; testing; market research; assets review; demos.
• Personally accountable for: ESG Client Projects assigned to the team member; Marketing assets and strategy - partially accountable; Client demos for sales.
• Impact if missed or done wrong: The client relation gets affected and trust breaks. May also affect the end report to be published by the client and the client has to face penalties for publishing wrong information.; Gives away a wrong perception of IRIS' understanding of ESG to the world if the content is not factually correct and aligned with ESG market trends.
• How measured: Partially different - the projects are measured the same way as others. The content review is a specific task assigned so measured independently.</t>
        </is>
      </c>
      <c r="FO163" s="56" t="inlineStr">
        <is>
          <t>• Current capabilities: Domain knowledge; product development; requirement analysis; esg frameworks.
• Tools / software used: Outlook; teams; claude; MS Office.
• Workload: Rated a moderate load · 3/5 in a typical week.
• Judgment/way of working: Acceptance of quality of work done when working with cross functional teams; Clear communication with all stakeholders - clients, internal team, cross functional teams, etc. and expectation setting with them; Documenting all client communications; Scope understanding and mapping of basic go-live requirements, both internally and communicated by client to give them a smooth experience when they use the tool; immediate bug resolution for queries raised; defining timelines for all project activities; defining timelines for product features and delivery to the client on time.</t>
        </is>
      </c>
      <c r="FP163" s="56" t="inlineStr">
        <is>
          <t>• Development priorities: Understanding the lack of knowledge and understanding of ESG in professionals so that can be catered to through marketing assets; All modules domain understanding and actual process of working through the activity.
• Learning and Development Need: ESG exposure; International clients; Using AI; Global market thinking; Exposure to AI usage. The job is not limited to the description, varied tasks will be assigned regardless of expertise; Optics matter more than the quality of work, so keep that in mind; Prioritize your work, everyone else assigns their tasks to others and your own work gets delayed or missed in the mix; Document all senior management conversations that happen 1-1; Document all achievements throughout the year and initiatives taken for tasks beyond the responsibility, even if they didn't materialize as expected.
• Role evolving toward: The role is ever evolving as it is a niche and a lean team; Priorities keep changing as per the focus area for that phase; New tasks are assigned based on bandwidth instead of expertise.</t>
        </is>
      </c>
      <c r="FQ163" s="56" t="inlineStr">
        <is>
          <t>• Key challenges: Lack of clarity of task; Product timelines; Approvals structure; Negative criticism; Change in approach.
• Support required: Implementation process streamlined and set for the whole company, some bare minimum checklist of tasks to be done by every functional member. Better project templates and tracking; Defined structure for projects - even at a high level, can help understand what is a good project implementation, what can be done better, and what is a good to have.</t>
        </is>
      </c>
      <c r="FR163" s="56" t="inlineStr">
        <is>
          <t>Complexity: Evidence reads like B1: Configures platform for clients, translates requirements into features, tests, runs sprints, reviews ESG content → matches the start
Autonomy: Evidence reads like B1: Decides project activities and timelines; reviews and accepts content assets → matches the start
Accountability: Evidence reads like B1: Assigned ESG client implementation projects, client demos, partly marketing assets → matches the start
Leadership: Evidence reads like A3: Trains new team members; reviews the marketing team's ESG content → matches the start
Business Impact: Moved +0.5: the survey / manager mapping marks it business-critical.</t>
        </is>
      </c>
      <c r="FS163" s="56" t="inlineStr">
        <is>
          <t>Common themes in role-holders' answers: iris · product · clients · platform · carbon · dm
Common themes in role-holders' answers: delivery · demos · implementation · testing · client
Common themes in role-holders' answers: implementation · marketing · product
Common themes in role-holders' answers: client · accountable · demos · implementation · training
Common themes in role-holders' answers: project · activities · features
If the work is missed · role-holders' themes: client · market.</t>
        </is>
      </c>
      <c r="FT163" s="56" t="inlineStr">
        <is>
          <t>Self-identified: Domain, regulatory &amp; XBRL · Marketing &amp; content
For the next role: Domain, regulatory &amp; XBRL · Marketing &amp; content</t>
        </is>
      </c>
      <c r="FU163" s="56" t="inlineStr">
        <is>
          <t>Per-person summary · CARBON Mapping Master</t>
        </is>
      </c>
    </row>
    <row r="164" ht="90" customHeight="1">
      <c r="A164" s="51" t="inlineStr">
        <is>
          <t>◂ Back</t>
        </is>
      </c>
      <c r="B164" s="29" t="inlineStr">
        <is>
          <t>Mapped</t>
        </is>
      </c>
      <c r="C164" s="28" t="inlineStr">
        <is>
          <t>CARBON</t>
        </is>
      </c>
      <c r="D164" s="29" t="inlineStr">
        <is>
          <t>IRIS2233</t>
        </is>
      </c>
      <c r="E164" s="29" t="inlineStr">
        <is>
          <t>Biswajit Biswal</t>
        </is>
      </c>
      <c r="F164" s="29" t="inlineStr">
        <is>
          <t>Functional</t>
        </is>
      </c>
      <c r="G164" s="29" t="inlineStr">
        <is>
          <t>ESG Executive</t>
        </is>
      </c>
      <c r="H164" s="29" t="inlineStr">
        <is>
          <t>Associate Product Manager – POD Lead</t>
        </is>
      </c>
      <c r="I164" s="29" t="inlineStr">
        <is>
          <t>L3 – Professional / Associate</t>
        </is>
      </c>
      <c r="J164" s="29" t="inlineStr">
        <is>
          <t>B1</t>
        </is>
      </c>
      <c r="K164" s="29" t="inlineStr">
        <is>
          <t>▲ Up</t>
        </is>
      </c>
      <c r="L164" s="29" t="inlineStr">
        <is>
          <t>Product Management</t>
        </is>
      </c>
      <c r="M164" s="29" t="inlineStr">
        <is>
          <t>Product Management</t>
        </is>
      </c>
      <c r="N164" s="29" t="n"/>
      <c r="O164" s="29" t="n">
        <v>20</v>
      </c>
      <c r="P164" s="28" t="inlineStr">
        <is>
          <t>P3 / M2</t>
        </is>
      </c>
      <c r="Q164" s="29" t="inlineStr">
        <is>
          <t>Career / · Team Lead</t>
        </is>
      </c>
      <c r="R164" s="29" t="inlineStr">
        <is>
          <t>4 Enable</t>
        </is>
      </c>
      <c r="S164" s="29" t="inlineStr">
        <is>
          <t>4–7 yrs</t>
        </is>
      </c>
      <c r="T164" s="29" t="inlineStr">
        <is>
          <t>5–8 · 4–8</t>
        </is>
      </c>
      <c r="U164" s="29" t="inlineStr">
        <is>
          <t>Product Manager</t>
        </is>
      </c>
      <c r="V164" s="29" t="inlineStr">
        <is>
          <t>IRIS Vs Competitor Benchmark — SaaS product ladder: Product Manager</t>
        </is>
      </c>
      <c r="W164" s="29" t="inlineStr">
        <is>
          <t>Pragmatic Institute Framework · 37 activities, 7 categories; AIPMM</t>
        </is>
      </c>
      <c r="X164" s="29" t="inlineStr">
        <is>
          <t>Core 3 · Future 3 · Functional 3 · Leadership 2</t>
        </is>
      </c>
      <c r="Y164" s="52" t="n">
        <v>311</v>
      </c>
      <c r="Z164" s="53" t="inlineStr">
        <is>
          <t>IRIS2233</t>
        </is>
      </c>
      <c r="AA164" s="53" t="inlineStr">
        <is>
          <t>Employee</t>
        </is>
      </c>
      <c r="AB164" s="53" t="inlineStr">
        <is>
          <t>Active</t>
        </is>
      </c>
      <c r="AC164" s="53" t="inlineStr">
        <is>
          <t>Biswajit Biswal</t>
        </is>
      </c>
      <c r="AD164" s="54" t="n">
        <v>45372</v>
      </c>
      <c r="AE164" s="53" t="inlineStr">
        <is>
          <t>ESG Executive</t>
        </is>
      </c>
      <c r="AF164" s="53" t="inlineStr">
        <is>
          <t>B.Tech</t>
        </is>
      </c>
      <c r="AG164" s="53" t="inlineStr">
        <is>
          <t>Farzad Wadia</t>
        </is>
      </c>
      <c r="AH164" s="53" t="inlineStr">
        <is>
          <t>N-4</t>
        </is>
      </c>
      <c r="AI164" s="53" t="inlineStr">
        <is>
          <t>Manager</t>
        </is>
      </c>
      <c r="AJ164" s="53" t="inlineStr">
        <is>
          <t>3 years, 8 months, 0 days</t>
        </is>
      </c>
      <c r="AK164" s="53" t="inlineStr">
        <is>
          <t>2 years, 5 months, 4 days</t>
        </is>
      </c>
      <c r="AL164" s="53" t="inlineStr">
        <is>
          <t>Regtech</t>
        </is>
      </c>
      <c r="AM164" s="53" t="inlineStr">
        <is>
          <t>CARBON</t>
        </is>
      </c>
      <c r="AN164" s="53" t="inlineStr">
        <is>
          <t>Functional</t>
        </is>
      </c>
      <c r="AO164" s="53" t="inlineStr">
        <is>
          <t>Client Engagement</t>
        </is>
      </c>
      <c r="AP164" s="53" t="inlineStr">
        <is>
          <t>No</t>
        </is>
      </c>
      <c r="AQ164" s="53" t="inlineStr">
        <is>
          <t>Client Engagement</t>
        </is>
      </c>
      <c r="AR164" s="53" t="inlineStr">
        <is>
          <t>ESG</t>
        </is>
      </c>
      <c r="AS164" s="53" t="inlineStr">
        <is>
          <t>Non-technical</t>
        </is>
      </c>
      <c r="AT164" s="53" t="n">
        <v>20</v>
      </c>
      <c r="AU164" s="53" t="inlineStr">
        <is>
          <t>Covered</t>
        </is>
      </c>
      <c r="AV164" s="53" t="inlineStr">
        <is>
          <t>IRIS2233</t>
        </is>
      </c>
      <c r="AW164" s="53" t="inlineStr">
        <is>
          <t>Biswajit Biswal</t>
        </is>
      </c>
      <c r="AX164" s="53" t="inlineStr">
        <is>
          <t>Functional</t>
        </is>
      </c>
      <c r="AY164" s="53" t="inlineStr">
        <is>
          <t>Consulting</t>
        </is>
      </c>
      <c r="AZ164" s="53" t="inlineStr">
        <is>
          <t>Product Management</t>
        </is>
      </c>
      <c r="BA164" s="53" t="inlineStr">
        <is>
          <t>Consulting</t>
        </is>
      </c>
      <c r="BB164" s="53" t="inlineStr">
        <is>
          <t>Product Management</t>
        </is>
      </c>
      <c r="BC164" s="53" t="inlineStr">
        <is>
          <t>Employee</t>
        </is>
      </c>
      <c r="BD164" s="53" t="inlineStr">
        <is>
          <t>Farzad Wadia</t>
        </is>
      </c>
      <c r="BE164" s="53" t="inlineStr">
        <is>
          <t>Farzad Wadia</t>
        </is>
      </c>
      <c r="BF164" s="53" t="inlineStr">
        <is>
          <t>No</t>
        </is>
      </c>
      <c r="BG164" s="53" t="inlineStr">
        <is>
          <t>ESG Executive</t>
        </is>
      </c>
      <c r="BH164" s="53" t="inlineStr">
        <is>
          <t>Product Manager - ESG</t>
        </is>
      </c>
      <c r="BI164" s="53" t="inlineStr">
        <is>
          <t>Yes</t>
        </is>
      </c>
      <c r="BJ164" s="53" t="n">
        <v>3</v>
      </c>
      <c r="BK164" s="53" t="n">
        <v>1</v>
      </c>
      <c r="BL164" s="53" t="n">
        <v>2</v>
      </c>
      <c r="BM164" s="53" t="inlineStr">
        <is>
          <t>Review</t>
        </is>
      </c>
      <c r="BN164" s="53" t="n">
        <v>3</v>
      </c>
      <c r="BO164" s="53" t="n">
        <v>1</v>
      </c>
      <c r="BP164" s="53" t="n">
        <v>2</v>
      </c>
      <c r="BQ164" s="53" t="inlineStr">
        <is>
          <t>Review</t>
        </is>
      </c>
      <c r="BR164" s="53" t="inlineStr">
        <is>
          <t>No</t>
        </is>
      </c>
      <c r="BS164" s="53" t="inlineStr">
        <is>
          <t>L3 – Professional / Associate</t>
        </is>
      </c>
      <c r="BT164" s="53" t="inlineStr">
        <is>
          <t>L3 – Professional / Associate</t>
        </is>
      </c>
      <c r="BU164" s="53" t="inlineStr">
        <is>
          <t>Designation refined from Raw tab Comments column · this update</t>
        </is>
      </c>
      <c r="BV164" s="53" t="inlineStr">
        <is>
          <t>Refer to a separate sheet</t>
        </is>
      </c>
      <c r="BW164" s="53" t="n"/>
      <c r="BX164" s="53" t="inlineStr">
        <is>
          <t>No input received — attended/was listed as a respondent but did not provide answers to any of the survey questions.</t>
        </is>
      </c>
      <c r="BY164" s="53" t="n"/>
      <c r="BZ164" s="53" t="inlineStr">
        <is>
          <t>IRIS2233</t>
        </is>
      </c>
      <c r="CA164" s="53" t="inlineStr">
        <is>
          <t>Employee</t>
        </is>
      </c>
      <c r="CB164" s="53" t="inlineStr">
        <is>
          <t>Active</t>
        </is>
      </c>
      <c r="CC164" s="53" t="inlineStr">
        <is>
          <t>Biswajit Biswal</t>
        </is>
      </c>
      <c r="CD164" s="54" t="n">
        <v>45372</v>
      </c>
      <c r="CE164" s="53" t="inlineStr">
        <is>
          <t>ESG Executive</t>
        </is>
      </c>
      <c r="CF164" s="53" t="inlineStr">
        <is>
          <t>Stakeholder Management and Product Roadmap for ESG product.</t>
        </is>
      </c>
      <c r="CG164" s="53" t="inlineStr">
        <is>
          <t>Consulting  Services</t>
        </is>
      </c>
      <c r="CH164" s="53" t="inlineStr">
        <is>
          <t>Product Management</t>
        </is>
      </c>
      <c r="CI164" s="53" t="inlineStr">
        <is>
          <t>ESG Executive</t>
        </is>
      </c>
      <c r="CJ164" s="53" t="inlineStr">
        <is>
          <t>L3 – Professional / Associate</t>
        </is>
      </c>
      <c r="CK164" s="53" t="inlineStr">
        <is>
          <t>Farzad Wadia</t>
        </is>
      </c>
      <c r="CL164" s="53" t="inlineStr">
        <is>
          <t>N-4</t>
        </is>
      </c>
      <c r="CM164" s="53" t="inlineStr">
        <is>
          <t>Player Cum Coach</t>
        </is>
      </c>
      <c r="CN164" s="53" t="inlineStr">
        <is>
          <t>Regtech</t>
        </is>
      </c>
      <c r="CO164" s="53" t="inlineStr">
        <is>
          <t>Functional</t>
        </is>
      </c>
      <c r="CP164" s="53" t="inlineStr">
        <is>
          <t>5 years, 10 months, 30 days</t>
        </is>
      </c>
      <c r="CQ164" s="53" t="inlineStr">
        <is>
          <t>Sr.Product Specialist - ESG</t>
        </is>
      </c>
      <c r="CR164" s="53" t="inlineStr">
        <is>
          <t>No</t>
        </is>
      </c>
      <c r="CS164" s="53" t="n">
        <v>4</v>
      </c>
      <c r="CT164" s="53" t="inlineStr">
        <is>
          <t>High</t>
        </is>
      </c>
      <c r="CU164" s="53" t="inlineStr">
        <is>
          <t>High Impact / Growth Talent</t>
        </is>
      </c>
      <c r="CV164" s="53" t="inlineStr">
        <is>
          <t>No</t>
        </is>
      </c>
      <c r="CW164" s="53" t="inlineStr">
        <is>
          <t>No</t>
        </is>
      </c>
      <c r="CX164" s="53" t="inlineStr">
        <is>
          <t>Yes</t>
        </is>
      </c>
      <c r="CY164" s="53" t="n"/>
      <c r="CZ164" s="53" t="inlineStr">
        <is>
          <t>-Presentation and Communication, Management, System Thinking, AI</t>
        </is>
      </c>
      <c r="DA164" s="53" t="n"/>
      <c r="DB164" s="53" t="inlineStr">
        <is>
          <t>Can see him being promotion ready by end of year. Title to be standardized to: Product Manager - ESG</t>
        </is>
      </c>
      <c r="DC164" s="53" t="n"/>
      <c r="DD164" s="53" t="n"/>
      <c r="DE164" s="53" t="n"/>
      <c r="DF164" s="53" t="n"/>
      <c r="DG164" s="53" t="n"/>
      <c r="DH164" s="53" t="n"/>
      <c r="DI164" s="53" t="n"/>
      <c r="DJ164" s="53" t="n"/>
      <c r="DK164" s="53" t="n"/>
      <c r="DL164" s="53" t="n"/>
      <c r="DM164" s="53" t="n"/>
      <c r="DN164" s="53" t="n"/>
      <c r="DO164" s="53" t="n"/>
      <c r="DP164" s="53" t="n"/>
      <c r="DQ164" s="53" t="n"/>
      <c r="DR164" s="53" t="n"/>
      <c r="DS164" s="53" t="n"/>
      <c r="DT164" s="53" t="n"/>
      <c r="DU164" s="53" t="n"/>
      <c r="DV164" s="53" t="n"/>
      <c r="DW164" s="53" t="n"/>
      <c r="DX164" s="53" t="n"/>
      <c r="DY164" s="53" t="n"/>
      <c r="DZ164" s="53" t="n"/>
      <c r="EA164" s="53" t="n"/>
      <c r="EB164" s="53" t="n"/>
      <c r="EC164" s="53" t="n"/>
      <c r="ED164" s="53" t="n"/>
      <c r="EE164" s="53" t="n"/>
      <c r="EF164" s="53" t="n"/>
      <c r="EG164" s="53" t="n"/>
      <c r="EH164" s="53" t="n"/>
      <c r="EI164" s="53" t="n"/>
      <c r="EJ164" s="53" t="n"/>
      <c r="EK164" s="53" t="n"/>
      <c r="EL164" s="53" t="n"/>
      <c r="EM164" s="53" t="n"/>
      <c r="EN164" s="53" t="n"/>
      <c r="EO164" s="53" t="n"/>
      <c r="EP164" s="53" t="n"/>
      <c r="EQ164" s="53" t="n"/>
      <c r="ER164" s="53" t="n"/>
      <c r="ES164" s="53" t="n"/>
      <c r="ET164" s="53" t="n"/>
      <c r="EU164" s="53" t="n"/>
      <c r="EV164" s="53" t="n"/>
      <c r="EW164" s="52" t="n"/>
      <c r="EX164" s="53" t="inlineStr">
        <is>
          <t>• Role / sub-team: Functional — ESG Executive.
• Core purpose: Input not given by Participant.
• Decision-making autonomy: Input not given by Participant.
• Is this something only they do: Input not given by Participant.</t>
        </is>
      </c>
      <c r="EY164" s="53" t="inlineStr">
        <is>
          <t>• Key responsibilities include: Input not given by Participant.
• Impact if missed or done wrong: Input not given by Participant.
• How measured: Input not given by Participant.</t>
        </is>
      </c>
      <c r="EZ164" s="53" t="inlineStr">
        <is>
          <t>• Current capabilities: Input not given by Participant.
• Tools / software used: Input not given by Participant.</t>
        </is>
      </c>
      <c r="FA164" s="53" t="inlineStr">
        <is>
          <t>• Development priorities: Input not given by Participant.</t>
        </is>
      </c>
      <c r="FB164" s="53" t="inlineStr">
        <is>
          <t>• Key challenges: Input not given by Participant.
• Support required: Input not given by Participant.</t>
        </is>
      </c>
      <c r="FC164" s="53" t="n"/>
      <c r="FD164" s="53" t="n"/>
      <c r="FE164" s="57" t="inlineStr">
        <is>
          <t>Refer to a separate sheet</t>
        </is>
      </c>
      <c r="FF164" s="56" t="n"/>
      <c r="FG164" s="56" t="n"/>
      <c r="FH164" s="56" t="n"/>
      <c r="FI164" s="56" t="inlineStr">
        <is>
          <t>Stakeholder Management and Product Roadmap for ESG product.</t>
        </is>
      </c>
      <c r="FJ164" s="56" t="inlineStr">
        <is>
          <t>Received · manager annual</t>
        </is>
      </c>
      <c r="FK164" s="56" t="inlineStr">
        <is>
          <t>CARBON Mapping Master · CARBON Talent Mapping · Raw</t>
        </is>
      </c>
      <c r="FL164" s="56" t="n">
        <v>20</v>
      </c>
      <c r="FM164" s="56" t="inlineStr">
        <is>
          <t>• Role / sub-team: Functional — ESG Executive.
• Core purpose: Input not given by Participant.
• Decision-making autonomy: Input not given by Participant.
• Is this something only they do: Input not given by Participant.</t>
        </is>
      </c>
      <c r="FN164" s="56" t="inlineStr">
        <is>
          <t>• Key responsibilities include: Input not given by Participant.
• Impact if missed or done wrong: Input not given by Participant.
• How measured: Input not given by Participant.</t>
        </is>
      </c>
      <c r="FO164" s="56" t="inlineStr">
        <is>
          <t>• Current capabilities: Input not given by Participant.
• Tools / software used: Input not given by Participant.</t>
        </is>
      </c>
      <c r="FP164" s="56" t="inlineStr">
        <is>
          <t>• Development priorities: Input not given by Participant.</t>
        </is>
      </c>
      <c r="FQ164" s="56" t="inlineStr">
        <is>
          <t>• Key challenges: Input not given by Participant.
• Support required: Input not given by Participant.</t>
        </is>
      </c>
      <c r="FR164" s="56" t="inlineStr">
        <is>
          <t>Complexity: Evidence reads like B1: Writes PRDs, builds prototypes, market and competitor research, functional testing for ESG product → moved up 1
Autonomy: Evidence reads like B1: Decides product ideas and product roadmap → moved up 0.5
Accountability: Evidence reads like B1: Final product functionality, requirements and handover to engineering → moved up 0.5
Leadership: Evidence reads like A3: Hand-holds developers and manages cross-functional stakeholders; 1 direct report → moved down 0.5
Business Impact: Moved +0.5: the survey / manager mapping marks it business-critical.</t>
        </is>
      </c>
      <c r="FS164" s="56" t="inlineStr">
        <is>
          <t>Common themes in role-holders' answers: product · management · customers · roadmap · shape · stakeholder
Common themes in role-holders' answers: research · demos · product · management · customer · analysis
Common themes in role-holders' answers: product
If the work is missed · role-holders' themes: delayed · roadmap · customer.</t>
        </is>
      </c>
      <c r="FT164" s="56" t="inlineStr">
        <is>
          <t>Self-identified: Product &amp; tool knowledge · Strategy &amp; business acumen · Marketing &amp; content · Broader exposure &amp; ownership
For the next role: Product &amp; tool knowledge · Strategy &amp; business acumen · Marketing &amp; content · Broader exposure &amp; ownership</t>
        </is>
      </c>
      <c r="FU164" s="56" t="inlineStr">
        <is>
          <t>Per-person summary · CARBON Mapping Master</t>
        </is>
      </c>
    </row>
    <row r="165" ht="90" customHeight="1">
      <c r="A165" s="51" t="inlineStr">
        <is>
          <t>◂ Back</t>
        </is>
      </c>
      <c r="B165" s="29" t="inlineStr">
        <is>
          <t>Mapped</t>
        </is>
      </c>
      <c r="C165" s="28" t="inlineStr">
        <is>
          <t>CARBON</t>
        </is>
      </c>
      <c r="D165" s="29" t="inlineStr">
        <is>
          <t>IRIS2493</t>
        </is>
      </c>
      <c r="E165" s="29" t="inlineStr">
        <is>
          <t>Watan Kumar Meena</t>
        </is>
      </c>
      <c r="F165" s="29" t="inlineStr">
        <is>
          <t>Functional</t>
        </is>
      </c>
      <c r="G165" s="29" t="inlineStr">
        <is>
          <t>Product Associate</t>
        </is>
      </c>
      <c r="H165" s="29" t="inlineStr">
        <is>
          <t>Senior Product Associate</t>
        </is>
      </c>
      <c r="I165" s="29" t="inlineStr">
        <is>
          <t>L3 – Professional / Associate</t>
        </is>
      </c>
      <c r="J165" s="29" t="inlineStr">
        <is>
          <t>A3</t>
        </is>
      </c>
      <c r="K165" s="29" t="inlineStr">
        <is>
          <t>▲ Up</t>
        </is>
      </c>
      <c r="L165" s="29" t="inlineStr">
        <is>
          <t>Product Management</t>
        </is>
      </c>
      <c r="M165" s="29" t="inlineStr">
        <is>
          <t>Product Management</t>
        </is>
      </c>
      <c r="N165" s="29" t="n"/>
      <c r="O165" s="29" t="n">
        <v>19</v>
      </c>
      <c r="P165" s="28" t="inlineStr">
        <is>
          <t>P2</t>
        </is>
      </c>
      <c r="Q165" s="29" t="inlineStr">
        <is>
          <t>Developing</t>
        </is>
      </c>
      <c r="R165" s="29" t="inlineStr">
        <is>
          <t>3 Apply</t>
        </is>
      </c>
      <c r="S165" s="29" t="inlineStr">
        <is>
          <t>2–4 yrs</t>
        </is>
      </c>
      <c r="T165" s="29" t="inlineStr">
        <is>
          <t>3–5 · 2–5</t>
        </is>
      </c>
      <c r="U165" s="29" t="inlineStr">
        <is>
          <t>Associate Product Manager</t>
        </is>
      </c>
      <c r="V165" s="29" t="inlineStr">
        <is>
          <t>IRIS Vs Competitor Benchmark — SaaS product ladder: Associate PM</t>
        </is>
      </c>
      <c r="W165" s="29" t="inlineStr">
        <is>
          <t>Pragmatic Institute Framework · 37 activities, 7 categories; AIPMM</t>
        </is>
      </c>
      <c r="X165" s="29" t="inlineStr">
        <is>
          <t>Core 2 · Future 2 · Functional 3 · Leadership not scored</t>
        </is>
      </c>
      <c r="Y165" s="52" t="n">
        <v>466</v>
      </c>
      <c r="Z165" s="53" t="inlineStr">
        <is>
          <t>IRIS2493</t>
        </is>
      </c>
      <c r="AA165" s="53" t="inlineStr">
        <is>
          <t>Employee</t>
        </is>
      </c>
      <c r="AB165" s="53" t="inlineStr">
        <is>
          <t>Active</t>
        </is>
      </c>
      <c r="AC165" s="53" t="inlineStr">
        <is>
          <t>Watan Kumar Meena</t>
        </is>
      </c>
      <c r="AD165" s="54" t="n">
        <v>46097</v>
      </c>
      <c r="AE165" s="53" t="inlineStr">
        <is>
          <t>Product Associate</t>
        </is>
      </c>
      <c r="AF165" s="53" t="inlineStr">
        <is>
          <t>B.Tech</t>
        </is>
      </c>
      <c r="AG165" s="53" t="inlineStr">
        <is>
          <t>Biswajit Biswal</t>
        </is>
      </c>
      <c r="AH165" s="53" t="inlineStr">
        <is>
          <t>N-5</t>
        </is>
      </c>
      <c r="AI165" s="53" t="inlineStr">
        <is>
          <t>Individual Contributor</t>
        </is>
      </c>
      <c r="AJ165" s="53" t="inlineStr">
        <is>
          <t>4 years, 5 months, 0 days</t>
        </is>
      </c>
      <c r="AK165" s="53" t="inlineStr">
        <is>
          <t>0 years, 5 months, 9 days</t>
        </is>
      </c>
      <c r="AL165" s="53" t="inlineStr">
        <is>
          <t>Regtech</t>
        </is>
      </c>
      <c r="AM165" s="53" t="inlineStr">
        <is>
          <t>CARBON</t>
        </is>
      </c>
      <c r="AN165" s="53" t="inlineStr">
        <is>
          <t>Functional</t>
        </is>
      </c>
      <c r="AO165" s="53" t="inlineStr">
        <is>
          <t>Client Engagement</t>
        </is>
      </c>
      <c r="AP165" s="53" t="inlineStr">
        <is>
          <t>No</t>
        </is>
      </c>
      <c r="AQ165" s="53" t="inlineStr">
        <is>
          <t>Client Engagement</t>
        </is>
      </c>
      <c r="AR165" s="53" t="inlineStr">
        <is>
          <t>CE</t>
        </is>
      </c>
      <c r="AS165" s="53" t="inlineStr">
        <is>
          <t>Non-technical</t>
        </is>
      </c>
      <c r="AT165" s="53" t="n">
        <v>20</v>
      </c>
      <c r="AU165" s="53" t="inlineStr">
        <is>
          <t>Covered</t>
        </is>
      </c>
      <c r="AV165" s="53" t="inlineStr">
        <is>
          <t>IRIS2493</t>
        </is>
      </c>
      <c r="AW165" s="53" t="inlineStr">
        <is>
          <t>Watan Kumar Meena</t>
        </is>
      </c>
      <c r="AX165" s="53" t="inlineStr">
        <is>
          <t>Functional</t>
        </is>
      </c>
      <c r="AY165" s="53" t="inlineStr">
        <is>
          <t>Consulting</t>
        </is>
      </c>
      <c r="AZ165" s="53" t="inlineStr">
        <is>
          <t>Product Management</t>
        </is>
      </c>
      <c r="BA165" s="53" t="inlineStr">
        <is>
          <t>Consulting</t>
        </is>
      </c>
      <c r="BB165" s="53" t="n"/>
      <c r="BC165" s="53" t="inlineStr">
        <is>
          <t>Employee</t>
        </is>
      </c>
      <c r="BD165" s="53" t="inlineStr">
        <is>
          <t>Biswajit Biswal</t>
        </is>
      </c>
      <c r="BE165" s="53" t="inlineStr">
        <is>
          <t>Biswajit Biswal</t>
        </is>
      </c>
      <c r="BF165" s="53" t="inlineStr">
        <is>
          <t>No</t>
        </is>
      </c>
      <c r="BG165" s="53" t="inlineStr">
        <is>
          <t>Product Associate</t>
        </is>
      </c>
      <c r="BH165" s="53" t="inlineStr">
        <is>
          <t>Product Specialist - ESG</t>
        </is>
      </c>
      <c r="BI165" s="53" t="inlineStr">
        <is>
          <t>Yes</t>
        </is>
      </c>
      <c r="BJ165" s="53" t="inlineStr">
        <is>
          <t>—</t>
        </is>
      </c>
      <c r="BK165" s="53" t="inlineStr">
        <is>
          <t>—</t>
        </is>
      </c>
      <c r="BL165" s="53" t="inlineStr">
        <is>
          <t>—</t>
        </is>
      </c>
      <c r="BM165" s="53" t="inlineStr">
        <is>
          <t>Not a manager</t>
        </is>
      </c>
      <c r="BN165" s="53" t="inlineStr">
        <is>
          <t>—</t>
        </is>
      </c>
      <c r="BO165" s="53" t="inlineStr">
        <is>
          <t>—</t>
        </is>
      </c>
      <c r="BP165" s="53" t="inlineStr">
        <is>
          <t>—</t>
        </is>
      </c>
      <c r="BQ165" s="53" t="inlineStr">
        <is>
          <t>Not a manager</t>
        </is>
      </c>
      <c r="BR165" s="53" t="inlineStr">
        <is>
          <t>—</t>
        </is>
      </c>
      <c r="BS165" s="53" t="inlineStr">
        <is>
          <t>L3 – Professional / Associate</t>
        </is>
      </c>
      <c r="BT165" s="53" t="inlineStr">
        <is>
          <t>L3 – Professional / Associate</t>
        </is>
      </c>
      <c r="BU165" s="53" t="inlineStr">
        <is>
          <t>No exact Title Hierarchy match — retained current record value</t>
        </is>
      </c>
      <c r="BV165" s="53" t="inlineStr">
        <is>
          <t>`</t>
        </is>
      </c>
      <c r="BW165" s="53" t="n"/>
      <c r="BX165" s="53" t="inlineStr">
        <is>
          <t>Esg.</t>
        </is>
      </c>
      <c r="BY165" s="53" t="inlineStr">
        <is>
          <t>Farzad Wadia</t>
        </is>
      </c>
      <c r="BZ165" s="53" t="inlineStr">
        <is>
          <t>IRIS2493</t>
        </is>
      </c>
      <c r="CA165" s="53" t="inlineStr">
        <is>
          <t>Employee</t>
        </is>
      </c>
      <c r="CB165" s="53" t="inlineStr">
        <is>
          <t>Active</t>
        </is>
      </c>
      <c r="CC165" s="53" t="inlineStr">
        <is>
          <t>Watan Kumar Meena</t>
        </is>
      </c>
      <c r="CD165" s="54" t="n">
        <v>46097</v>
      </c>
      <c r="CE165" s="53" t="inlineStr">
        <is>
          <t>Product Associate</t>
        </is>
      </c>
      <c r="CF165" s="53" t="inlineStr">
        <is>
          <t>Reports to Watan &amp; helps in product implemntation</t>
        </is>
      </c>
      <c r="CG165" s="53" t="inlineStr">
        <is>
          <t>Consulting  Services</t>
        </is>
      </c>
      <c r="CH165" s="53" t="inlineStr">
        <is>
          <t>Product Management</t>
        </is>
      </c>
      <c r="CI165" s="53" t="inlineStr">
        <is>
          <t>Product Associate</t>
        </is>
      </c>
      <c r="CJ165" s="53" t="inlineStr">
        <is>
          <t>L3 – Professional / Associate</t>
        </is>
      </c>
      <c r="CK165" s="53" t="inlineStr">
        <is>
          <t>Biswajit Biswal</t>
        </is>
      </c>
      <c r="CL165" s="53" t="inlineStr">
        <is>
          <t>N-5</t>
        </is>
      </c>
      <c r="CM165" s="53" t="inlineStr">
        <is>
          <t>Individual Contributor</t>
        </is>
      </c>
      <c r="CN165" s="53" t="inlineStr">
        <is>
          <t>Regtech</t>
        </is>
      </c>
      <c r="CO165" s="53" t="inlineStr">
        <is>
          <t>Functional</t>
        </is>
      </c>
      <c r="CP165" s="53" t="inlineStr">
        <is>
          <t>4 years, 8 months, 4 days</t>
        </is>
      </c>
      <c r="CQ165" s="53" t="inlineStr">
        <is>
          <t>Product Specialist - ESG</t>
        </is>
      </c>
      <c r="CR165" s="53" t="inlineStr">
        <is>
          <t>No</t>
        </is>
      </c>
      <c r="CS165" s="53" t="n">
        <v>3</v>
      </c>
      <c r="CT165" s="53" t="inlineStr">
        <is>
          <t>Medium</t>
        </is>
      </c>
      <c r="CU165" s="53" t="inlineStr">
        <is>
          <t>Emerging Talent</t>
        </is>
      </c>
      <c r="CV165" s="53" t="inlineStr">
        <is>
          <t>No</t>
        </is>
      </c>
      <c r="CW165" s="53" t="inlineStr">
        <is>
          <t>No</t>
        </is>
      </c>
      <c r="CX165" s="53" t="inlineStr">
        <is>
          <t>Yes</t>
        </is>
      </c>
      <c r="CY165" s="53" t="n"/>
      <c r="CZ165" s="53" t="inlineStr">
        <is>
          <t>-Communication, Time Management, AI, Domain</t>
        </is>
      </c>
      <c r="DA165" s="53" t="n"/>
      <c r="DB165" s="53" t="n"/>
      <c r="DC165" s="53" t="n"/>
      <c r="DD165" s="53" t="n"/>
      <c r="DE165" s="53" t="n"/>
      <c r="DF165" s="53" t="n"/>
      <c r="DG165" s="53" t="n"/>
      <c r="DH165" s="53" t="n"/>
      <c r="DI165" s="53" t="n"/>
      <c r="DJ165" s="53" t="n"/>
      <c r="DK165" s="53" t="n"/>
      <c r="DL165" s="53" t="n"/>
      <c r="DM165" s="53" t="n"/>
      <c r="DN165" s="53" t="n"/>
      <c r="DO165" s="53" t="n"/>
      <c r="DP165" s="53" t="n"/>
      <c r="DQ165" s="53" t="n"/>
      <c r="DR165" s="53" t="n"/>
      <c r="DS165" s="53" t="n"/>
      <c r="DT165" s="53" t="n"/>
      <c r="DU165" s="53" t="n"/>
      <c r="DV165" s="53" t="n"/>
      <c r="DW165" s="53" t="n"/>
      <c r="DX165" s="53" t="n"/>
      <c r="DY165" s="53" t="n"/>
      <c r="DZ165" s="53" t="n"/>
      <c r="EA165" s="53" t="n"/>
      <c r="EB165" s="53" t="n"/>
      <c r="EC165" s="53" t="n"/>
      <c r="ED165" s="53" t="n"/>
      <c r="EE165" s="53" t="n"/>
      <c r="EF165" s="53" t="n"/>
      <c r="EG165" s="53" t="n"/>
      <c r="EH165" s="53" t="n"/>
      <c r="EI165" s="53" t="n"/>
      <c r="EJ165" s="53" t="n"/>
      <c r="EK165" s="53" t="n"/>
      <c r="EL165" s="53" t="n"/>
      <c r="EM165" s="53" t="n"/>
      <c r="EN165" s="53" t="n"/>
      <c r="EO165" s="53" t="n"/>
      <c r="EP165" s="53" t="n"/>
      <c r="EQ165" s="53" t="n"/>
      <c r="ER165" s="53" t="n"/>
      <c r="ES165" s="53" t="n"/>
      <c r="ET165" s="53" t="n"/>
      <c r="EU165" s="53" t="n"/>
      <c r="EV165" s="53" t="n"/>
      <c r="EW165" s="52" t="n"/>
      <c r="EX165" s="53" t="inlineStr">
        <is>
          <t>• Role / sub-team: Functional — Product Associate.
• Core purpose: Understand client need or requirement and helping development team to build those.
• Decision-making autonomy: Can independently stakeholders engagement.
• Is this something only they do: Only me.
• What's different about this role: Customer are esg centric, process is industry specific not so much different from sass, no risk as such.</t>
        </is>
      </c>
      <c r="EY165" s="53" t="inlineStr">
        <is>
          <t>• Key responsibilities include: Stakeholders engagement; PRD creation; Prototype creation.
• Personally accountable for: We use metrics to measure success of each feature to if results are poor for any metrics as well as client response and feedback, we have to rethink and redesign feature.
• Impact if missed or done wrong: No input received.
• How measured: Completely different.</t>
        </is>
      </c>
      <c r="EZ165" s="53" t="inlineStr">
        <is>
          <t>• Current capabilities: Basic level coding; Prototype creation.
• Tools / software used: Claude code; Vscode; Excel; Coffe machine.
• Workload: Rated a moderate load · 3/5 in a typical week.
• Judgment/way of working: Stakeholders engagement; Customer oriented thinking.</t>
        </is>
      </c>
      <c r="FA165" s="53" t="inlineStr">
        <is>
          <t>• Development priorities: Building Gtm strategy.
• Learning and Development Need: Cross team collaboration. Nothing.
• Role evolving toward: Initially it was all PRD , now Prototype creation with claude code.</t>
        </is>
      </c>
      <c r="FB165" s="53" t="inlineStr">
        <is>
          <t>• Key challenges: Travelling to office.
• Support required: Competetor tools demo.</t>
        </is>
      </c>
      <c r="FC165" s="53" t="n"/>
      <c r="FD165" s="53" t="n"/>
      <c r="FE165" s="57" t="inlineStr">
        <is>
          <t>`</t>
        </is>
      </c>
      <c r="FF165" s="56" t="n"/>
      <c r="FG165" s="56" t="n"/>
      <c r="FH165" s="56" t="n"/>
      <c r="FI165" s="56" t="inlineStr">
        <is>
          <t>Reports to Watan &amp; helps in product implemntation</t>
        </is>
      </c>
      <c r="FJ165" s="56" t="inlineStr">
        <is>
          <t>Received · manager annual</t>
        </is>
      </c>
      <c r="FK165" s="56" t="inlineStr">
        <is>
          <t>CARBON Talent Mapping · Raw · HR Super Master v1.12.2 sheet 3</t>
        </is>
      </c>
      <c r="FL165" s="56" t="n">
        <v>19</v>
      </c>
      <c r="FM165" s="56" t="inlineStr">
        <is>
          <t>• Role / sub-team: Functional — Product Associate.
• Core purpose: Understand client need or requirement and helping development team to build those.
• Decision-making autonomy: Can independently stakeholders engagement.
• Is this something only they do: Only me.
• What's different about this role: Customer are esg centric, process is industry specific not so much different from sass, no risk as such.</t>
        </is>
      </c>
      <c r="FN165" s="56" t="inlineStr">
        <is>
          <t>• Key responsibilities include: Stakeholders engagement; PRD creation; Prototype creation.
• Personally accountable for: We use metrics to measure success of each feature to if results are poor for any metrics as well as client response and feedback, we have to rethink and redesign feature.
• Impact if missed or done wrong: No input received.
• How measured: Completely different.</t>
        </is>
      </c>
      <c r="FO165" s="56" t="inlineStr">
        <is>
          <t>• Current capabilities: Basic level coding; Prototype creation.
• Tools / software used: Claude code; Vscode; Excel; Coffe machine.
• Workload: Rated a moderate load · 3/5 in a typical week.
• Judgment/way of working: Stakeholders engagement; Customer oriented thinking.</t>
        </is>
      </c>
      <c r="FP165" s="56" t="inlineStr">
        <is>
          <t>• Development priorities: Building Gtm strategy.
• Learning and Development Need: Cross team collaboration. Nothing.
• Role evolving toward: Initially it was all PRD , now Prototype creation with claude code.</t>
        </is>
      </c>
      <c r="FQ165" s="56" t="inlineStr">
        <is>
          <t>• Key challenges: Travelling to office.
• Support required: Competetor tools demo.</t>
        </is>
      </c>
      <c r="FR165" s="56" t="inlineStr">
        <is>
          <t>Complexity: Evidence reads like A3: Creates PRDs and prototypes for ESG client features using basic coding → moved up 0.5
Autonomy: Evidence reads like A2: Only stakeholder engagement named as an independent decision → matches the start
Accountability: Evidence reads like A3: Feature success metrics and client feedback; redesigns feature if results are poor → moved up 0.5
Leadership: Evidence reads like A2: Helps development team build features; no guiding role → moved up 0.5
Business Impact: Moved +0.5: the survey / manager mapping marks it business-critical.</t>
        </is>
      </c>
      <c r="FS165" s="56" t="inlineStr">
        <is>
          <t>Common themes in sub-family holders, all levels' answers: product · market · business · customers · management · revenue
Common themes in sub-family holders, all levels' answers: product · roadmap · management · customer · research · implementation
Common themes in sub-family holders, all levels' answers: product · customer · client · feature · business · revenue
Common themes in sub-family holders, all levels' answers: product · if · delivery · customer · requirements · client
Common themes in sub-family holders, all levels' answers: research · priorities · approach · roadmap · product · stakeholders
If the work is missed · role-holders' themes: delays · customer · delayed · revenue.</t>
        </is>
      </c>
      <c r="FT165" s="56" t="inlineStr">
        <is>
          <t>Self-identified: Strategy &amp; business acumen
For the next role: Strategy &amp; business acumen</t>
        </is>
      </c>
      <c r="FU165" s="56" t="inlineStr">
        <is>
          <t>Per-person summary · CARBON Mapping Master</t>
        </is>
      </c>
    </row>
    <row r="166" ht="90" customHeight="1">
      <c r="A166" s="51" t="inlineStr">
        <is>
          <t>◂ Back</t>
        </is>
      </c>
      <c r="B166" s="29" t="inlineStr">
        <is>
          <t>Mapped</t>
        </is>
      </c>
      <c r="C166" s="28" t="inlineStr">
        <is>
          <t>CARBON</t>
        </is>
      </c>
      <c r="D166" s="29" t="inlineStr">
        <is>
          <t>IRIS2519</t>
        </is>
      </c>
      <c r="E166" s="29" t="inlineStr">
        <is>
          <t>Karthik Menon</t>
        </is>
      </c>
      <c r="F166" s="29" t="inlineStr">
        <is>
          <t>Functional</t>
        </is>
      </c>
      <c r="G166" s="29" t="inlineStr">
        <is>
          <t>ESG Functional Consultant</t>
        </is>
      </c>
      <c r="H166" s="29" t="inlineStr">
        <is>
          <t>Functional Specialist</t>
        </is>
      </c>
      <c r="I166" s="29" t="inlineStr">
        <is>
          <t>L3 – Professional / Associate</t>
        </is>
      </c>
      <c r="J166" s="29" t="inlineStr">
        <is>
          <t>B1</t>
        </is>
      </c>
      <c r="K166" s="29" t="inlineStr">
        <is>
          <t>▲ Up</t>
        </is>
      </c>
      <c r="L166" s="29" t="inlineStr">
        <is>
          <t>Customer Success &amp; Support</t>
        </is>
      </c>
      <c r="M166" s="29" t="inlineStr">
        <is>
          <t>Application &amp; Product Support</t>
        </is>
      </c>
      <c r="N166" s="29" t="n"/>
      <c r="O166" s="29" t="n">
        <v>19</v>
      </c>
      <c r="P166" s="28" t="inlineStr">
        <is>
          <t>P3 / M2</t>
        </is>
      </c>
      <c r="Q166" s="29" t="inlineStr">
        <is>
          <t>Career / · Team Lead</t>
        </is>
      </c>
      <c r="R166" s="29" t="inlineStr">
        <is>
          <t>4 Enable</t>
        </is>
      </c>
      <c r="S166" s="29" t="inlineStr">
        <is>
          <t>4–7 yrs</t>
        </is>
      </c>
      <c r="T166" s="29" t="inlineStr">
        <is>
          <t>5–8 · 4–8</t>
        </is>
      </c>
      <c r="U166" s="29" t="inlineStr">
        <is>
          <t>Senior Executive / CSM</t>
        </is>
      </c>
      <c r="V166" s="29" t="inlineStr">
        <is>
          <t>Workiva: Customer Success Manager · IRIS Vs Competitor Benchmark — SaaS customer-success ladder: CSM · IRIS Vs Competitor Benchmark — support tiers: L3 / Problem Analyst</t>
        </is>
      </c>
      <c r="W166" s="29" t="inlineStr">
        <is>
          <t>TSIA frameworks and benchmarks; ITIL 4 service desk; Gainsight customer-success practice</t>
        </is>
      </c>
      <c r="X166" s="29" t="inlineStr">
        <is>
          <t>Core 3 · Future 3 · Functional 3 · Leadership 1</t>
        </is>
      </c>
      <c r="Y166" s="52" t="n">
        <v>490</v>
      </c>
      <c r="Z166" s="53" t="inlineStr">
        <is>
          <t>IRIS2519</t>
        </is>
      </c>
      <c r="AA166" s="53" t="inlineStr">
        <is>
          <t>Employee</t>
        </is>
      </c>
      <c r="AB166" s="53" t="inlineStr">
        <is>
          <t>Active</t>
        </is>
      </c>
      <c r="AC166" s="53" t="inlineStr">
        <is>
          <t>Karthik Menon</t>
        </is>
      </c>
      <c r="AD166" s="54" t="n">
        <v>46128</v>
      </c>
      <c r="AE166" s="53" t="inlineStr">
        <is>
          <t>ESG Functional Consultant</t>
        </is>
      </c>
      <c r="AF166" s="53" t="inlineStr">
        <is>
          <t>MBA</t>
        </is>
      </c>
      <c r="AG166" s="53" t="inlineStr">
        <is>
          <t>Farzad Wadia</t>
        </is>
      </c>
      <c r="AH166" s="53" t="inlineStr">
        <is>
          <t>N-4</t>
        </is>
      </c>
      <c r="AI166" s="53" t="inlineStr">
        <is>
          <t>Individual Contributor</t>
        </is>
      </c>
      <c r="AJ166" s="53" t="inlineStr">
        <is>
          <t>5 years, 9 months, 0 days</t>
        </is>
      </c>
      <c r="AK166" s="53" t="inlineStr">
        <is>
          <t>0 years, 4 months, 9 days</t>
        </is>
      </c>
      <c r="AL166" s="53" t="inlineStr">
        <is>
          <t>Regtech</t>
        </is>
      </c>
      <c r="AM166" s="53" t="inlineStr">
        <is>
          <t>CARBON</t>
        </is>
      </c>
      <c r="AN166" s="53" t="inlineStr">
        <is>
          <t>Functional</t>
        </is>
      </c>
      <c r="AO166" s="53" t="inlineStr">
        <is>
          <t>Client Engagement</t>
        </is>
      </c>
      <c r="AP166" s="53" t="inlineStr">
        <is>
          <t>No</t>
        </is>
      </c>
      <c r="AQ166" s="53" t="inlineStr">
        <is>
          <t>Client Engagement</t>
        </is>
      </c>
      <c r="AR166" s="53" t="inlineStr">
        <is>
          <t>CE</t>
        </is>
      </c>
      <c r="AS166" s="53" t="inlineStr">
        <is>
          <t>Non-technical</t>
        </is>
      </c>
      <c r="AT166" s="53" t="n">
        <v>20</v>
      </c>
      <c r="AU166" s="53" t="inlineStr">
        <is>
          <t>Covered</t>
        </is>
      </c>
      <c r="AV166" s="53" t="inlineStr">
        <is>
          <t>IRIS2519</t>
        </is>
      </c>
      <c r="AW166" s="53" t="inlineStr">
        <is>
          <t>Karthik Menon</t>
        </is>
      </c>
      <c r="AX166" s="53" t="inlineStr">
        <is>
          <t>Functional</t>
        </is>
      </c>
      <c r="AY166" s="53" t="inlineStr">
        <is>
          <t>Consulting</t>
        </is>
      </c>
      <c r="AZ166" s="53" t="inlineStr">
        <is>
          <t>Solutions Consulting Pre-sales</t>
        </is>
      </c>
      <c r="BA166" s="53" t="inlineStr">
        <is>
          <t>Consulting</t>
        </is>
      </c>
      <c r="BB166" s="53" t="inlineStr">
        <is>
          <t>ESG Advisory</t>
        </is>
      </c>
      <c r="BC166" s="53" t="inlineStr">
        <is>
          <t>Employee</t>
        </is>
      </c>
      <c r="BD166" s="53" t="inlineStr">
        <is>
          <t>Farzad Wadia</t>
        </is>
      </c>
      <c r="BE166" s="53" t="inlineStr">
        <is>
          <t>Farzad Wadia</t>
        </is>
      </c>
      <c r="BF166" s="53" t="inlineStr">
        <is>
          <t>No</t>
        </is>
      </c>
      <c r="BG166" s="53" t="inlineStr">
        <is>
          <t>ESG Functional Consultant</t>
        </is>
      </c>
      <c r="BH166" s="53" t="inlineStr">
        <is>
          <t>Sr.Functional Specialist - ESG</t>
        </is>
      </c>
      <c r="BI166" s="53" t="inlineStr">
        <is>
          <t>Yes</t>
        </is>
      </c>
      <c r="BJ166" s="53" t="inlineStr">
        <is>
          <t>—</t>
        </is>
      </c>
      <c r="BK166" s="53" t="inlineStr">
        <is>
          <t>—</t>
        </is>
      </c>
      <c r="BL166" s="53" t="inlineStr">
        <is>
          <t>—</t>
        </is>
      </c>
      <c r="BM166" s="53" t="inlineStr">
        <is>
          <t>Not a manager</t>
        </is>
      </c>
      <c r="BN166" s="53" t="inlineStr">
        <is>
          <t>—</t>
        </is>
      </c>
      <c r="BO166" s="53" t="inlineStr">
        <is>
          <t>—</t>
        </is>
      </c>
      <c r="BP166" s="53" t="inlineStr">
        <is>
          <t>—</t>
        </is>
      </c>
      <c r="BQ166" s="53" t="inlineStr">
        <is>
          <t>Not a manager</t>
        </is>
      </c>
      <c r="BR166" s="53" t="inlineStr">
        <is>
          <t>—</t>
        </is>
      </c>
      <c r="BS166" s="53" t="inlineStr">
        <is>
          <t>L3 – Professional / Associate</t>
        </is>
      </c>
      <c r="BT166" s="53" t="inlineStr">
        <is>
          <t>L2</t>
        </is>
      </c>
      <c r="BU166" s="53" t="inlineStr">
        <is>
          <t>Matched from Title Hierarchy · new designation</t>
        </is>
      </c>
      <c r="BV166" s="53" t="inlineStr">
        <is>
          <t>Refer to a separate sheet</t>
        </is>
      </c>
      <c r="BW166" s="53" t="n"/>
      <c r="BX166" s="53" t="inlineStr">
        <is>
          <t>Global.</t>
        </is>
      </c>
      <c r="BY166" s="53" t="n"/>
      <c r="BZ166" s="53" t="inlineStr">
        <is>
          <t>IRIS2519</t>
        </is>
      </c>
      <c r="CA166" s="53" t="inlineStr">
        <is>
          <t>Employee</t>
        </is>
      </c>
      <c r="CB166" s="53" t="inlineStr">
        <is>
          <t>Active</t>
        </is>
      </c>
      <c r="CC166" s="53" t="inlineStr">
        <is>
          <t>Karthik Menon</t>
        </is>
      </c>
      <c r="CD166" s="54" t="n">
        <v>46128</v>
      </c>
      <c r="CE166" s="53" t="inlineStr">
        <is>
          <t>ESG Functional Consultant</t>
        </is>
      </c>
      <c r="CF166" s="53" t="inlineStr">
        <is>
          <t>Gives product Demo &amp; helps in implementation</t>
        </is>
      </c>
      <c r="CG166" s="53" t="inlineStr">
        <is>
          <t>Consulting  Services</t>
        </is>
      </c>
      <c r="CH166" s="53" t="inlineStr">
        <is>
          <t>ESG Advisory</t>
        </is>
      </c>
      <c r="CI166" s="53" t="inlineStr">
        <is>
          <t>ESG Functional Consultant</t>
        </is>
      </c>
      <c r="CJ166" s="53" t="inlineStr">
        <is>
          <t>L3 – Professional / Associate</t>
        </is>
      </c>
      <c r="CK166" s="53" t="inlineStr">
        <is>
          <t>Farzad Wadia</t>
        </is>
      </c>
      <c r="CL166" s="53" t="inlineStr">
        <is>
          <t>N-4</t>
        </is>
      </c>
      <c r="CM166" s="53" t="inlineStr">
        <is>
          <t>Individual Contributor</t>
        </is>
      </c>
      <c r="CN166" s="53" t="inlineStr">
        <is>
          <t>Regtech</t>
        </is>
      </c>
      <c r="CO166" s="53" t="inlineStr">
        <is>
          <t>Functional</t>
        </is>
      </c>
      <c r="CP166" s="53" t="inlineStr">
        <is>
          <t>5 years, 11 months, 4 days</t>
        </is>
      </c>
      <c r="CQ166" s="53" t="inlineStr">
        <is>
          <t>Sr.Functional Specialist - ESG</t>
        </is>
      </c>
      <c r="CR166" s="53" t="inlineStr">
        <is>
          <t>No</t>
        </is>
      </c>
      <c r="CS166" s="53" t="n">
        <v>4</v>
      </c>
      <c r="CT166" s="53" t="inlineStr">
        <is>
          <t>High</t>
        </is>
      </c>
      <c r="CU166" s="53" t="inlineStr">
        <is>
          <t>High Impact / Growth Talent</t>
        </is>
      </c>
      <c r="CV166" s="53" t="inlineStr">
        <is>
          <t>No</t>
        </is>
      </c>
      <c r="CW166" s="53" t="inlineStr">
        <is>
          <t>No</t>
        </is>
      </c>
      <c r="CX166" s="53" t="inlineStr">
        <is>
          <t>Yes</t>
        </is>
      </c>
      <c r="CY166" s="53" t="n"/>
      <c r="CZ166" s="53" t="inlineStr">
        <is>
          <t>-Communication, AI</t>
        </is>
      </c>
      <c r="DA166" s="53" t="n"/>
      <c r="DB166" s="53" t="inlineStr">
        <is>
          <t>Can see him being promotion ready by end of year</t>
        </is>
      </c>
      <c r="DC166" s="53" t="n"/>
      <c r="DD166" s="53" t="n"/>
      <c r="DE166" s="53" t="n"/>
      <c r="DF166" s="53" t="n"/>
      <c r="DG166" s="53" t="n"/>
      <c r="DH166" s="53" t="n"/>
      <c r="DI166" s="53" t="n"/>
      <c r="DJ166" s="53" t="n"/>
      <c r="DK166" s="53" t="n"/>
      <c r="DL166" s="53" t="n"/>
      <c r="DM166" s="53" t="n"/>
      <c r="DN166" s="53" t="n"/>
      <c r="DO166" s="53" t="n"/>
      <c r="DP166" s="53" t="n"/>
      <c r="DQ166" s="53" t="n"/>
      <c r="DR166" s="53" t="n"/>
      <c r="DS166" s="53" t="n"/>
      <c r="DT166" s="53" t="n"/>
      <c r="DU166" s="53" t="n"/>
      <c r="DV166" s="53" t="n"/>
      <c r="DW166" s="53" t="n"/>
      <c r="DX166" s="53" t="n"/>
      <c r="DY166" s="53" t="n"/>
      <c r="DZ166" s="53" t="n"/>
      <c r="EA166" s="53" t="n"/>
      <c r="EB166" s="53" t="n"/>
      <c r="EC166" s="53" t="n"/>
      <c r="ED166" s="53" t="n"/>
      <c r="EE166" s="53" t="n"/>
      <c r="EF166" s="53" t="n"/>
      <c r="EG166" s="53" t="n"/>
      <c r="EH166" s="53" t="n"/>
      <c r="EI166" s="53" t="n"/>
      <c r="EJ166" s="53" t="n"/>
      <c r="EK166" s="53" t="n"/>
      <c r="EL166" s="53" t="n"/>
      <c r="EM166" s="53" t="n"/>
      <c r="EN166" s="53" t="n"/>
      <c r="EO166" s="53" t="n"/>
      <c r="EP166" s="53" t="n"/>
      <c r="EQ166" s="53" t="n"/>
      <c r="ER166" s="53" t="n"/>
      <c r="ES166" s="53" t="n"/>
      <c r="ET166" s="53" t="n"/>
      <c r="EU166" s="53" t="n"/>
      <c r="EV166" s="53" t="n"/>
      <c r="EW166" s="52" t="n"/>
      <c r="EX166" s="53" t="inlineStr">
        <is>
          <t>• Role / sub-team: Functional — ESG Functional Consultant.
• Core purpose: 1. To enable sales and partnerships - develop sales material, build pipeline, identify new opportunities, build relationships with clients/prospects 
2. Understand market/products in the ESG SaaS space; Eventually be the number 2 in the team after the manager.
• Decision-making autonomy: Can independently raise product requirement; Review product release; Raise Product Requirment; Review new release; Follow-ups with prospects.
• Is this something only they do: Within the team I work closely with my manager on this.
• What's different about this role: The role demands me to be proactive in communication both internally and client/prospect, be on top of the ESG developements in order to succeed; The role demands me to be proactive in communication both internally and with client/prospect, be on top of ESG developments globally in order to succeed in the role.</t>
        </is>
      </c>
      <c r="EY166" s="53" t="inlineStr">
        <is>
          <t>• Key responsibilities include: CRM Hygiene management; Timely communication; Updated sales material.
• Personally accountable for: I am accountable for understanding client requirements and translating them to client/partner acquisition and maintaining the track of our sales deals; Accountable for revenue growth through understanding client requirements; Translating the client requirements and making sure we have all the things in place to demo and get the client in; Keeping the CRM clean so that we are well aware about the position with each prospect.
• Impact if missed or done wrong: Tracking of deals need to be up to date in order to keep on actioning on next steps; Actioning on the next steps for each prospect so that the deal remains hot; Maintaing the CRM so that we are on top of things on what is the next action step for a prospect; Action on next steps in order to keep the deal hot.
• How measured: Partly different. I am judged on how effectively I can understsand client requirements, demo the products and convince them to buy the solution. Not much involved in commercials negotiation.</t>
        </is>
      </c>
      <c r="EZ166" s="53" t="inlineStr">
        <is>
          <t>• Current capabilities: Technical - ESG; Communication; ESG research; ESG platform.
• Tools / software used: Claude; ChatGPT; HubSpot.
• Workload: Rated a heavy load · 4/5 in a typical week.
• Judgment/way of working: The role requires proactiveness in communication and understanding the prospect requirements; It requires 360 degree understanding of the product and the ESG landscape.</t>
        </is>
      </c>
      <c r="FA166" s="53" t="inlineStr">
        <is>
          <t>• Development priorities: Efficient use of AI in daily activities, taking up ownership of key accounts, startegic thought process.
• Learning and Development Need: One to one with Manager; Attending event summit. Internal Team Processes - Which internal/cross-functional team member to approach, role clarity.
• Role evolving toward: As far as the role is considered there's not much change in the requirement but it is expected to efficiently use AI for day to day activities; and also use AI to be more startegic.</t>
        </is>
      </c>
      <c r="FB166" s="53" t="inlineStr">
        <is>
          <t>• Key challenges: Nothing.
• Support required: None for now.</t>
        </is>
      </c>
      <c r="FC166" s="53" t="n"/>
      <c r="FD166" s="53" t="n"/>
      <c r="FE166" s="57" t="inlineStr">
        <is>
          <t>Refer to a separate sheet</t>
        </is>
      </c>
      <c r="FF166" s="56" t="n"/>
      <c r="FG166" s="56" t="n"/>
      <c r="FH166" s="56" t="n"/>
      <c r="FI166" s="56" t="inlineStr">
        <is>
          <t>Gives product Demo &amp; helps in implementation</t>
        </is>
      </c>
      <c r="FJ166" s="56" t="inlineStr">
        <is>
          <t>Received · manager annual</t>
        </is>
      </c>
      <c r="FK166" s="56" t="inlineStr">
        <is>
          <t>CARBON Mapping Master · CARBON Talent Mapping · Raw</t>
        </is>
      </c>
      <c r="FL166" s="56" t="n">
        <v>19</v>
      </c>
      <c r="FM166" s="56" t="inlineStr">
        <is>
          <t>• Role / sub-team: Functional — ESG Functional Consultant.
• Core purpose: 1. To enable sales and partnerships - develop sales material, build pipeline, identify new opportunities, build relationships with clients/prospects 
2. Understand market/products in the ESG SaaS space; Eventually be the number 2 in the team after the manager.
• Decision-making autonomy: Can independently raise product requirement; Review product release; Raise Product Requirment; Review new release; Follow-ups with prospects.
• Is this something only they do: Within the team I work closely with my manager on this.
• What's different about this role: The role demands me to be proactive in communication both internally and client/prospect, be on top of the ESG developements in order to succeed; The role demands me to be proactive in communication both internally and with client/prospect, be on top of ESG developments globally in order to succeed in the role.</t>
        </is>
      </c>
      <c r="FN166" s="56" t="inlineStr">
        <is>
          <t>• Key responsibilities include: CRM Hygiene management; Timely communication; Updated sales material.
• Personally accountable for: I am accountable for understanding client requirements and translating them to client/partner acquisition and maintaining the track of our sales deals; Accountable for revenue growth through understanding client requirements; Translating the client requirements and making sure we have all the things in place to demo and get the client in; Keeping the CRM clean so that we are well aware about the position with each prospect.
• Impact if missed or done wrong: Tracking of deals need to be up to date in order to keep on actioning on next steps; Actioning on the next steps for each prospect so that the deal remains hot; Maintaing the CRM so that we are on top of things on what is the next action step for a prospect; Action on next steps in order to keep the deal hot.
• How measured: Partly different. I am judged on how effectively I can understsand client requirements, demo the products and convince them to buy the solution. Not much involved in commercials negotiation.</t>
        </is>
      </c>
      <c r="FO166" s="56" t="inlineStr">
        <is>
          <t>• Current capabilities: Technical - ESG; Communication; ESG research; ESG platform.
• Tools / software used: Claude; ChatGPT; HubSpot.
• Workload: Rated a heavy load · 4/5 in a typical week.
• Judgment/way of working: The role requires proactiveness in communication and understanding the prospect requirements; It requires 360 degree understanding of the product and the ESG landscape.</t>
        </is>
      </c>
      <c r="FP166" s="56" t="inlineStr">
        <is>
          <t>• Development priorities: Efficient use of AI in daily activities, taking up ownership of key accounts, startegic thought process.
• Learning and Development Need: One to one with Manager; Attending event summit. Internal Team Processes - Which internal/cross-functional team member to approach, role clarity.
• Role evolving toward: As far as the role is considered there's not much change in the requirement but it is expected to efficiently use AI for day to day activities; and also use AI to be more startegic.</t>
        </is>
      </c>
      <c r="FQ166" s="56" t="inlineStr">
        <is>
          <t>• Key challenges: Nothing.
• Support required: None for now.</t>
        </is>
      </c>
      <c r="FR166" s="56" t="inlineStr">
        <is>
          <t>Complexity: Evidence reads like A3: Builds sales material, tracks deals in CRM, ESG market research, reviews product releases → moved down 0.5
Autonomy: Evidence reads like A2: Raises product requirements, reviews releases, follows up prospects; works closely with manager → moved down 1
Accountability: Evidence reads like A3: Deal tracking, CRM hygiene and prospect follow-ups affecting conversion → moved down 0.5
Leadership: Evidence reads like A1: No guidance of others described; being 'number 2' is an aspiration → moved down 1
Business Impact: Moved +0.5: the survey / manager mapping marks it business-critical.</t>
        </is>
      </c>
      <c r="FS166" s="56" t="inlineStr">
        <is>
          <t>Common themes in role-holders' answers: management
Common themes in role-holders' answers: tracking
Common themes in role-holders' answers: client · if
If the work is missed · role-holders' themes: tracking · client · result.
Measured on · manager-set KRA themes: accounts · csat · documentation · reduce · drive · keep.</t>
        </is>
      </c>
      <c r="FT166" s="56" t="inlineStr">
        <is>
          <t>Self-identified: AI / automation · Client, sales &amp; stakeholders · Broader exposure &amp; ownership
For the next role: AI / automation · Client, sales &amp; stakeholders · Broader exposure &amp; ownership</t>
        </is>
      </c>
      <c r="FU166" s="56" t="inlineStr">
        <is>
          <t>Per-person summary · CARBON Mapping Master</t>
        </is>
      </c>
    </row>
    <row r="167" ht="90" customHeight="1">
      <c r="A167" s="51" t="inlineStr">
        <is>
          <t>◂ Back</t>
        </is>
      </c>
      <c r="B167" s="29" t="inlineStr">
        <is>
          <t>Mapped</t>
        </is>
      </c>
      <c r="C167" s="28" t="inlineStr">
        <is>
          <t>CARBON</t>
        </is>
      </c>
      <c r="D167" s="29" t="inlineStr">
        <is>
          <t>IRIS2491</t>
        </is>
      </c>
      <c r="E167" s="29" t="inlineStr">
        <is>
          <t>Ritik Wadje</t>
        </is>
      </c>
      <c r="F167" s="29" t="inlineStr">
        <is>
          <t>Technology</t>
        </is>
      </c>
      <c r="G167" s="29" t="inlineStr">
        <is>
          <t>Product Designer</t>
        </is>
      </c>
      <c r="H167" s="29" t="inlineStr">
        <is>
          <t>Senior Product Designer</t>
        </is>
      </c>
      <c r="I167" s="29" t="inlineStr">
        <is>
          <t>L3 – Professional / Associate</t>
        </is>
      </c>
      <c r="J167" s="29" t="inlineStr">
        <is>
          <t>A3</t>
        </is>
      </c>
      <c r="K167" s="29" t="inlineStr">
        <is>
          <t>▲ Up</t>
        </is>
      </c>
      <c r="L167" s="29" t="inlineStr">
        <is>
          <t>Design &amp; Creative</t>
        </is>
      </c>
      <c r="M167" s="29" t="inlineStr">
        <is>
          <t>UX / UI Design</t>
        </is>
      </c>
      <c r="N167" s="29" t="n"/>
      <c r="O167" s="29" t="n">
        <v>20</v>
      </c>
      <c r="P167" s="28" t="inlineStr">
        <is>
          <t>P2</t>
        </is>
      </c>
      <c r="Q167" s="29" t="inlineStr">
        <is>
          <t>Developing</t>
        </is>
      </c>
      <c r="R167" s="29" t="inlineStr">
        <is>
          <t>3 Apply</t>
        </is>
      </c>
      <c r="S167" s="29" t="inlineStr">
        <is>
          <t>2–4 yrs</t>
        </is>
      </c>
      <c r="T167" s="29" t="inlineStr">
        <is>
          <t>3–5 · 2–5</t>
        </is>
      </c>
      <c r="U167" s="29" t="inlineStr">
        <is>
          <t>Designer</t>
        </is>
      </c>
      <c r="V167" s="29" t="inlineStr">
        <is>
          <t>IRIS Vs Competitor Benchmark — UX / design ladder: Designer</t>
        </is>
      </c>
      <c r="W167" s="29" t="inlineStr">
        <is>
          <t>UX career ladder Junior → Designer → Senior → Lead → Principal; WCAG accessibility</t>
        </is>
      </c>
      <c r="X167" s="29" t="inlineStr">
        <is>
          <t>Core 2 · Future 2 · Functional 3 · Leadership not scored</t>
        </is>
      </c>
      <c r="Y167" s="52" t="n">
        <v>464</v>
      </c>
      <c r="Z167" s="53" t="inlineStr">
        <is>
          <t>IRIS2491</t>
        </is>
      </c>
      <c r="AA167" s="53" t="inlineStr">
        <is>
          <t>Employee</t>
        </is>
      </c>
      <c r="AB167" s="53" t="inlineStr">
        <is>
          <t>Active</t>
        </is>
      </c>
      <c r="AC167" s="53" t="inlineStr">
        <is>
          <t>Ritik Wadje</t>
        </is>
      </c>
      <c r="AD167" s="54" t="n">
        <v>46090</v>
      </c>
      <c r="AE167" s="53" t="inlineStr">
        <is>
          <t>Product Designer</t>
        </is>
      </c>
      <c r="AF167" s="53" t="inlineStr">
        <is>
          <t>B.E</t>
        </is>
      </c>
      <c r="AG167" s="53" t="inlineStr">
        <is>
          <t>Farzad Wadia</t>
        </is>
      </c>
      <c r="AH167" s="53" t="inlineStr">
        <is>
          <t>N-4</t>
        </is>
      </c>
      <c r="AI167" s="53" t="inlineStr">
        <is>
          <t>Individual Contributor</t>
        </is>
      </c>
      <c r="AJ167" s="53" t="inlineStr">
        <is>
          <t>3 years, 5 months, 0 days</t>
        </is>
      </c>
      <c r="AK167" s="53" t="inlineStr">
        <is>
          <t>0 years, 5 months, 16 days</t>
        </is>
      </c>
      <c r="AL167" s="53" t="inlineStr">
        <is>
          <t>Regtech</t>
        </is>
      </c>
      <c r="AM167" s="53" t="inlineStr">
        <is>
          <t>CARBON</t>
        </is>
      </c>
      <c r="AN167" s="53" t="inlineStr">
        <is>
          <t>Technology</t>
        </is>
      </c>
      <c r="AO167" s="53" t="inlineStr">
        <is>
          <t>Development</t>
        </is>
      </c>
      <c r="AP167" s="53" t="inlineStr">
        <is>
          <t>Yes</t>
        </is>
      </c>
      <c r="AQ167" s="53" t="inlineStr">
        <is>
          <t>Product/Project</t>
        </is>
      </c>
      <c r="AR167" s="53" t="inlineStr">
        <is>
          <t>UI/UX Designer</t>
        </is>
      </c>
      <c r="AS167" s="53" t="inlineStr">
        <is>
          <t>Technical - Developer</t>
        </is>
      </c>
      <c r="AT167" s="53" t="n">
        <v>20</v>
      </c>
      <c r="AU167" s="53" t="inlineStr">
        <is>
          <t>Covered</t>
        </is>
      </c>
      <c r="AV167" s="53" t="inlineStr">
        <is>
          <t>IRIS2491</t>
        </is>
      </c>
      <c r="AW167" s="53" t="inlineStr">
        <is>
          <t>Ritik Wadje</t>
        </is>
      </c>
      <c r="AX167" s="53" t="inlineStr">
        <is>
          <t>Functional</t>
        </is>
      </c>
      <c r="AY167" s="53" t="inlineStr">
        <is>
          <t>Product &amp; Design</t>
        </is>
      </c>
      <c r="AZ167" s="53" t="inlineStr">
        <is>
          <t>Product Design / UI-UX</t>
        </is>
      </c>
      <c r="BA167" s="53" t="inlineStr">
        <is>
          <t>Consulting</t>
        </is>
      </c>
      <c r="BB167" s="53" t="n"/>
      <c r="BC167" s="53" t="inlineStr">
        <is>
          <t>Employee</t>
        </is>
      </c>
      <c r="BD167" s="53" t="inlineStr">
        <is>
          <t>Farzad Wadia</t>
        </is>
      </c>
      <c r="BE167" s="53" t="inlineStr">
        <is>
          <t>Farzad Wadia</t>
        </is>
      </c>
      <c r="BF167" s="53" t="inlineStr">
        <is>
          <t>No</t>
        </is>
      </c>
      <c r="BG167" s="53" t="inlineStr">
        <is>
          <t>Product Designer</t>
        </is>
      </c>
      <c r="BH167" s="53" t="inlineStr">
        <is>
          <t>Product Specialist - UI &amp; UX</t>
        </is>
      </c>
      <c r="BI167" s="53" t="inlineStr">
        <is>
          <t>Yes</t>
        </is>
      </c>
      <c r="BJ167" s="53" t="inlineStr">
        <is>
          <t>—</t>
        </is>
      </c>
      <c r="BK167" s="53" t="inlineStr">
        <is>
          <t>—</t>
        </is>
      </c>
      <c r="BL167" s="53" t="inlineStr">
        <is>
          <t>—</t>
        </is>
      </c>
      <c r="BM167" s="53" t="inlineStr">
        <is>
          <t>Not a manager</t>
        </is>
      </c>
      <c r="BN167" s="53" t="inlineStr">
        <is>
          <t>—</t>
        </is>
      </c>
      <c r="BO167" s="53" t="inlineStr">
        <is>
          <t>—</t>
        </is>
      </c>
      <c r="BP167" s="53" t="inlineStr">
        <is>
          <t>—</t>
        </is>
      </c>
      <c r="BQ167" s="53" t="inlineStr">
        <is>
          <t>Not a manager</t>
        </is>
      </c>
      <c r="BR167" s="53" t="inlineStr">
        <is>
          <t>—</t>
        </is>
      </c>
      <c r="BS167" s="53" t="inlineStr">
        <is>
          <t>L3 – Professional / Associate</t>
        </is>
      </c>
      <c r="BT167" s="53" t="inlineStr">
        <is>
          <t>L3 – Professional / Associate</t>
        </is>
      </c>
      <c r="BU167" s="53" t="inlineStr">
        <is>
          <t>No exact Title Hierarchy match — retained current record value</t>
        </is>
      </c>
      <c r="BV167" s="53" t="inlineStr">
        <is>
          <t>Refer to a separate sheet</t>
        </is>
      </c>
      <c r="BW167" s="53" t="n"/>
      <c r="BX167" s="53" t="inlineStr">
        <is>
          <t>All; Global.</t>
        </is>
      </c>
      <c r="BY167" s="53" t="n"/>
      <c r="BZ167" s="53" t="inlineStr">
        <is>
          <t>IRIS2491</t>
        </is>
      </c>
      <c r="CA167" s="53" t="inlineStr">
        <is>
          <t>Employee</t>
        </is>
      </c>
      <c r="CB167" s="53" t="inlineStr">
        <is>
          <t>Active</t>
        </is>
      </c>
      <c r="CC167" s="53" t="inlineStr">
        <is>
          <t>Ritik Wadje</t>
        </is>
      </c>
      <c r="CD167" s="54" t="n">
        <v>46090</v>
      </c>
      <c r="CE167" s="53" t="inlineStr">
        <is>
          <t>Product Designer</t>
        </is>
      </c>
      <c r="CF167" s="53" t="inlineStr">
        <is>
          <t>UI/UX produc designing</t>
        </is>
      </c>
      <c r="CG167" s="53" t="inlineStr">
        <is>
          <t>Consulting  Services</t>
        </is>
      </c>
      <c r="CH167" s="53" t="inlineStr">
        <is>
          <t>ESG Advisory</t>
        </is>
      </c>
      <c r="CI167" s="53" t="inlineStr">
        <is>
          <t>Product Designer</t>
        </is>
      </c>
      <c r="CJ167" s="53" t="inlineStr">
        <is>
          <t>L3 – Professional / Associate</t>
        </is>
      </c>
      <c r="CK167" s="53" t="inlineStr">
        <is>
          <t>Farzad Wadia</t>
        </is>
      </c>
      <c r="CL167" s="53" t="inlineStr">
        <is>
          <t>N-4</t>
        </is>
      </c>
      <c r="CM167" s="53" t="inlineStr">
        <is>
          <t>Individual Contributor</t>
        </is>
      </c>
      <c r="CN167" s="53" t="inlineStr">
        <is>
          <t>Regtech</t>
        </is>
      </c>
      <c r="CO167" s="53" t="inlineStr">
        <is>
          <t>Functional</t>
        </is>
      </c>
      <c r="CP167" s="53" t="inlineStr">
        <is>
          <t>3 years, 8 months, 11 days</t>
        </is>
      </c>
      <c r="CQ167" s="53" t="inlineStr">
        <is>
          <t>Product Specialist - UI &amp; UX</t>
        </is>
      </c>
      <c r="CR167" s="53" t="inlineStr">
        <is>
          <t>Yes - in the long term.</t>
        </is>
      </c>
      <c r="CS167" s="53" t="n">
        <v>4</v>
      </c>
      <c r="CT167" s="53" t="inlineStr">
        <is>
          <t>High</t>
        </is>
      </c>
      <c r="CU167" s="53" t="inlineStr">
        <is>
          <t>High Impact / Growth Talent</t>
        </is>
      </c>
      <c r="CV167" s="53" t="inlineStr">
        <is>
          <t>No</t>
        </is>
      </c>
      <c r="CW167" s="53" t="inlineStr">
        <is>
          <t>No</t>
        </is>
      </c>
      <c r="CX167" s="53" t="inlineStr">
        <is>
          <t>Yes</t>
        </is>
      </c>
      <c r="CY167" s="53" t="n"/>
      <c r="CZ167" s="53" t="inlineStr">
        <is>
          <t>-None at this time</t>
        </is>
      </c>
      <c r="DA167" s="53" t="n"/>
      <c r="DB167" s="53" t="n"/>
      <c r="DC167" s="53" t="n"/>
      <c r="DD167" s="53" t="n"/>
      <c r="DE167" s="53" t="n"/>
      <c r="DF167" s="53" t="n"/>
      <c r="DG167" s="53" t="n"/>
      <c r="DH167" s="53" t="n"/>
      <c r="DI167" s="53" t="n"/>
      <c r="DJ167" s="53" t="n"/>
      <c r="DK167" s="53" t="n"/>
      <c r="DL167" s="53" t="n"/>
      <c r="DM167" s="53" t="n"/>
      <c r="DN167" s="53" t="n"/>
      <c r="DO167" s="53" t="n"/>
      <c r="DP167" s="53" t="n"/>
      <c r="DQ167" s="53" t="n"/>
      <c r="DR167" s="53" t="n"/>
      <c r="DS167" s="53" t="n"/>
      <c r="DT167" s="53" t="n"/>
      <c r="DU167" s="53" t="n"/>
      <c r="DV167" s="53" t="n"/>
      <c r="DW167" s="53" t="n"/>
      <c r="DX167" s="53" t="n"/>
      <c r="DY167" s="53" t="n"/>
      <c r="DZ167" s="53" t="n"/>
      <c r="EA167" s="53" t="n"/>
      <c r="EB167" s="53" t="n"/>
      <c r="EC167" s="53" t="n"/>
      <c r="ED167" s="53" t="n"/>
      <c r="EE167" s="53" t="n"/>
      <c r="EF167" s="53" t="n"/>
      <c r="EG167" s="53" t="n"/>
      <c r="EH167" s="53" t="n"/>
      <c r="EI167" s="53" t="n"/>
      <c r="EJ167" s="53" t="n"/>
      <c r="EK167" s="53" t="n"/>
      <c r="EL167" s="53" t="n"/>
      <c r="EM167" s="53" t="n"/>
      <c r="EN167" s="53" t="n"/>
      <c r="EO167" s="53" t="n"/>
      <c r="EP167" s="53" t="n"/>
      <c r="EQ167" s="53" t="n"/>
      <c r="ER167" s="53" t="n"/>
      <c r="ES167" s="53" t="n"/>
      <c r="ET167" s="53" t="n"/>
      <c r="EU167" s="53" t="n"/>
      <c r="EV167" s="53" t="n"/>
      <c r="EW167" s="52" t="n"/>
      <c r="EX167" s="53" t="inlineStr">
        <is>
          <t>• Role / sub-team: Functional — Product Designer.
• Core purpose: I solve user's pain points by designing/creating new Product Experiences that helps the business grow and reduce time to complete a task on the Products.
• Decision-making autonomy: Can independently design Sprints Planning; Design Research; Competitor Analysis; Ai optimisation.
• Is this something only they do: Something that only I do, Solo Product Designer.
• What's different about this role: Sole Product Designer for now, I handle end-to-end design process. Team is new to the department, I’m focused on establishing processes, prioritising design-first products &amp; adapting to any envoir.</t>
        </is>
      </c>
      <c r="EY167" s="53" t="inlineStr">
        <is>
          <t>• Key responsibilities include: Product Design; User Experience Design; Product Thinking; Competitor Analysis; Interface Design; Module and Feature Design; Design Tech Collaboration.
• Personally accountable for: Designs or components that are not developed properly according to the designs created in Figma. Review work.; Designing Solutions without relevant information from Product, Business and User's POV.
• Impact if missed or done wrong: Find, Analyse and reiterate the designs in the provided buffer time.   Prioritise the Business and User needs.
• How measured: Completely Different. Goes into Managing &amp; Meeting the Product Goals. Designs Better than products in the Market &amp; Innovative Thinking.</t>
        </is>
      </c>
      <c r="EZ167" s="53" t="inlineStr">
        <is>
          <t>• Current capabilities: Design Thinking; WACG Guidelines; Design Principles; Figma; Brand identity Creation; Scalable Thinking; Product Understanding.
• Tools / software used: Figma; Notion; Miro; Claude; NanoBanana; Jira; Mixpanel.
• Workload: Rated a heavy load · 4/5 in a typical week.
• Judgment/way of working: Scalable Thinking; Scalable Dev Friendly Design Decisions; Timeline and Pipeline management.</t>
        </is>
      </c>
      <c r="FA167" s="53" t="inlineStr">
        <is>
          <t>• Development priorities: Tech Feasbility of the Proposed Designs.; MCP Integration.
• Learning and Development Need: Opportunity; Practical Experience; Freedom for Execution; Clear Product Vision; Structured Approach. Documented Communication; Clear my role.
• Role evolving toward: Yes, Ai is being used for Rapid Wireframing and Idea generation which comes in the Initial stage. End Decision maker is a Human Product Designer only. Designing For Humans by Humans.</t>
        </is>
      </c>
      <c r="FB167" s="53" t="inlineStr">
        <is>
          <t>• Key challenges: Lenevo Laptop; Approval Delays; Unstructured Tasks; Lack of Communication.
• Support required: Provide better device · MacBook to reduce loading time for Multiple Heavy design files.; Structured Requirements for design sprints.; A Dedicated Product Manager.</t>
        </is>
      </c>
      <c r="FC167" s="53" t="n"/>
      <c r="FD167" s="53" t="n"/>
      <c r="FE167" s="57" t="inlineStr">
        <is>
          <t>Refer to a separate sheet</t>
        </is>
      </c>
      <c r="FF167" s="56" t="n"/>
      <c r="FG167" s="56" t="n"/>
      <c r="FH167" s="56" t="n"/>
      <c r="FI167" s="56" t="inlineStr">
        <is>
          <t>UI/UX produc designing</t>
        </is>
      </c>
      <c r="FJ167" s="56" t="inlineStr">
        <is>
          <t>Received · manager annual</t>
        </is>
      </c>
      <c r="FK167" s="56" t="inlineStr">
        <is>
          <t>CARBON Mapping Master · CARBON Talent Mapping · Raw</t>
        </is>
      </c>
      <c r="FL167" s="56" t="n">
        <v>20</v>
      </c>
      <c r="FM167" s="56" t="inlineStr">
        <is>
          <t>• Role / sub-team: Functional — Product Designer.
• Core purpose: I solve user's pain points by designing/creating new Product Experiences that helps the business grow and reduce time to complete a task on the Products.
• Decision-making autonomy: Can independently design Sprints Planning; Design Research; Competitor Analysis; Ai optimisation.
• Is this something only they do: Something that only I do, Solo Product Designer.
• What's different about this role: Sole Product Designer for now, I handle end-to-end design process. Team is new to the department, I’m focused on establishing processes, prioritising design-first products &amp; adapting to any envoir.</t>
        </is>
      </c>
      <c r="FN167" s="56" t="inlineStr">
        <is>
          <t>• Key responsibilities include: Product Design; User Experience Design; Product Thinking; Competitor Analysis; Interface Design; Module and Feature Design; Design Tech Collaboration.
• Personally accountable for: Designs or components that are not developed properly according to the designs created in Figma. Review work.; Designing Solutions without relevant information from Product, Business and User's POV.
• Impact if missed or done wrong: Find, Analyse and reiterate the designs in the provided buffer time.   Prioritise the Business and User needs.
• How measured: Completely Different. Goes into Managing &amp; Meeting the Product Goals. Designs Better than products in the Market &amp; Innovative Thinking.</t>
        </is>
      </c>
      <c r="FO167" s="56" t="inlineStr">
        <is>
          <t>• Current capabilities: Design Thinking; WACG Guidelines; Design Principles; Figma; Brand identity Creation; Scalable Thinking; Product Understanding.
• Tools / software used: Figma; Notion; Miro; Claude; NanoBanana; Jira; Mixpanel.
• Workload: Rated a heavy load · 4/5 in a typical week.
• Judgment/way of working: Scalable Thinking; Scalable Dev Friendly Design Decisions; Timeline and Pipeline management.</t>
        </is>
      </c>
      <c r="FP167" s="56" t="inlineStr">
        <is>
          <t>• Development priorities: Tech Feasbility of the Proposed Designs.; MCP Integration.
• Learning and Development Need: Opportunity; Practical Experience; Freedom for Execution; Clear Product Vision; Structured Approach. Documented Communication; Clear my role.
• Role evolving toward: Yes, Ai is being used for Rapid Wireframing and Idea generation which comes in the Initial stage. End Decision maker is a Human Product Designer only. Designing For Humans by Humans.</t>
        </is>
      </c>
      <c r="FQ167" s="56" t="inlineStr">
        <is>
          <t>• Key challenges: Lenevo Laptop; Approval Delays; Unstructured Tasks; Lack of Communication.
• Support required: Provide better device · MacBook to reduce loading time for Multiple Heavy design files.; Structured Requirements for design sprints.; A Dedicated Product Manager.</t>
        </is>
      </c>
      <c r="FR167" s="56" t="inlineStr">
        <is>
          <t>Complexity: Evidence reads like B1: Sole designer: end-to-end product and UX design, research, brand assets, setting up design processes → moved up 0.5
Autonomy: Evidence reads like A3: Plans design sprints, research and competitor analysis independently → matches the start
Accountability: Evidence reads like A3: Whole design process alone; reviews whether builds match Figma designs → matches the start
Leadership: Evidence reads like A2: No reports; collaborates with developers and reviews their implementation → matches the start
Business Impact: Moved +0.5: the survey / manager mapping marks it business-critical.</t>
        </is>
      </c>
      <c r="FS167" s="56" t="n"/>
      <c r="FT167" s="56" t="inlineStr">
        <is>
          <t>Self-identified: Answered · no common topic
For the next role: Answered · no common topic</t>
        </is>
      </c>
      <c r="FU167" s="56" t="inlineStr">
        <is>
          <t>Per-person summary · CARBON Mapping Master</t>
        </is>
      </c>
    </row>
    <row r="168" ht="90" customHeight="1">
      <c r="A168" s="51" t="inlineStr">
        <is>
          <t>◂ Back</t>
        </is>
      </c>
      <c r="B168" s="29" t="inlineStr">
        <is>
          <t>Mapped</t>
        </is>
      </c>
      <c r="C168" s="28" t="inlineStr">
        <is>
          <t>CARBON</t>
        </is>
      </c>
      <c r="D168" s="29" t="inlineStr">
        <is>
          <t>IRIS2553</t>
        </is>
      </c>
      <c r="E168" s="29" t="inlineStr">
        <is>
          <t>Prashant Sharad Jadhav</t>
        </is>
      </c>
      <c r="F168" s="29" t="inlineStr">
        <is>
          <t>Marketing</t>
        </is>
      </c>
      <c r="G168" s="29" t="inlineStr">
        <is>
          <t>SDR Manager</t>
        </is>
      </c>
      <c r="H168" s="29" t="inlineStr">
        <is>
          <t>Senior Account Executive – POD Lead</t>
        </is>
      </c>
      <c r="I168" s="29" t="inlineStr">
        <is>
          <t>Not in current mapping files</t>
        </is>
      </c>
      <c r="J168" s="29" t="inlineStr">
        <is>
          <t>B2</t>
        </is>
      </c>
      <c r="K168" s="29" t="inlineStr">
        <is>
          <t>● Newly mapped</t>
        </is>
      </c>
      <c r="L168" s="29" t="inlineStr">
        <is>
          <t>Sales &amp; Business Development</t>
        </is>
      </c>
      <c r="M168" s="29" t="inlineStr">
        <is>
          <t>Sales Development &amp; Prospecting</t>
        </is>
      </c>
      <c r="N168" s="29" t="n"/>
      <c r="O168" s="29" t="n">
        <v>20</v>
      </c>
      <c r="P168" s="28" t="inlineStr">
        <is>
          <t>P4 / M3</t>
        </is>
      </c>
      <c r="Q168" s="29" t="inlineStr">
        <is>
          <t>Senior / Manager</t>
        </is>
      </c>
      <c r="R168" s="29" t="inlineStr">
        <is>
          <t>4–5</t>
        </is>
      </c>
      <c r="S168" s="29" t="inlineStr">
        <is>
          <t>6–9 yrs</t>
        </is>
      </c>
      <c r="T168" s="29" t="inlineStr">
        <is>
          <t>7–10 · 6–11</t>
        </is>
      </c>
      <c r="U168" s="29" t="inlineStr">
        <is>
          <t>Senior Account Executive</t>
        </is>
      </c>
      <c r="V168" s="29" t="inlineStr">
        <is>
          <t>IRIS Vs Competitor Benchmark — SaaS sales ladder — IC: Mid-Market AE · IRIS Vs Competitor Benchmark — SaaS sales ladder — management: Sales Manager</t>
        </is>
      </c>
      <c r="W168" s="29" t="inlineStr">
        <is>
          <t>SaaS sales ladder · SDR → AE → Enterprise AE → VP / CRO; MEDDICC-style qualification</t>
        </is>
      </c>
      <c r="X168" s="29" t="inlineStr">
        <is>
          <t>Core 3 · Future 3 · Functional 4 · Leadership 3</t>
        </is>
      </c>
      <c r="Y168" s="52" t="n">
        <v>526</v>
      </c>
      <c r="Z168" s="53" t="inlineStr">
        <is>
          <t>IRIS2553</t>
        </is>
      </c>
      <c r="AA168" s="53" t="inlineStr">
        <is>
          <t>Employee</t>
        </is>
      </c>
      <c r="AB168" s="53" t="inlineStr">
        <is>
          <t>Active</t>
        </is>
      </c>
      <c r="AC168" s="53" t="inlineStr">
        <is>
          <t>Prashant Sharad Jadhav</t>
        </is>
      </c>
      <c r="AD168" s="54" t="n">
        <v>46244</v>
      </c>
      <c r="AE168" s="53" t="inlineStr">
        <is>
          <t>SDR Manager</t>
        </is>
      </c>
      <c r="AF168" s="53" t="inlineStr">
        <is>
          <t>MBA</t>
        </is>
      </c>
      <c r="AG168" s="53" t="inlineStr">
        <is>
          <t>Anuradha RK</t>
        </is>
      </c>
      <c r="AH168" s="53" t="inlineStr">
        <is>
          <t>N-3</t>
        </is>
      </c>
      <c r="AI168" s="53" t="inlineStr">
        <is>
          <t>Manager</t>
        </is>
      </c>
      <c r="AJ168" s="53" t="inlineStr">
        <is>
          <t>15 years, 11 months, 0 days</t>
        </is>
      </c>
      <c r="AK168" s="53" t="inlineStr">
        <is>
          <t>0 years, 0 months, 15 days</t>
        </is>
      </c>
      <c r="AL168" s="53" t="inlineStr">
        <is>
          <t>Regtech</t>
        </is>
      </c>
      <c r="AM168" s="53" t="inlineStr">
        <is>
          <t>CARBON</t>
        </is>
      </c>
      <c r="AN168" s="53" t="inlineStr">
        <is>
          <t>Marketing</t>
        </is>
      </c>
      <c r="AO168" s="53" t="inlineStr">
        <is>
          <t>Marketing</t>
        </is>
      </c>
      <c r="AP168" s="53" t="inlineStr">
        <is>
          <t>No</t>
        </is>
      </c>
      <c r="AQ168" s="53" t="inlineStr">
        <is>
          <t>Sales, Marketing &amp; Support</t>
        </is>
      </c>
      <c r="AR168" s="53" t="inlineStr">
        <is>
          <t>Marketing</t>
        </is>
      </c>
      <c r="AS168" s="53" t="inlineStr">
        <is>
          <t>Non-technical</t>
        </is>
      </c>
      <c r="AT168" s="53" t="n">
        <v>20</v>
      </c>
      <c r="AU168" s="53" t="inlineStr">
        <is>
          <t>Covered</t>
        </is>
      </c>
      <c r="AV168" s="53" t="inlineStr">
        <is>
          <t>IRIS2553</t>
        </is>
      </c>
      <c r="AW168" s="53" t="inlineStr">
        <is>
          <t>Prashant Sharad Jadhav</t>
        </is>
      </c>
      <c r="AX168" s="53" t="inlineStr">
        <is>
          <t>Marketing</t>
        </is>
      </c>
      <c r="AY168" s="53" t="inlineStr">
        <is>
          <t>Sales &amp; Business Development</t>
        </is>
      </c>
      <c r="AZ168" s="53" t="inlineStr">
        <is>
          <t>Sales Development · SDR</t>
        </is>
      </c>
      <c r="BA168" s="53" t="inlineStr">
        <is>
          <t>Sales &amp; Business Development</t>
        </is>
      </c>
      <c r="BB168" s="53" t="inlineStr">
        <is>
          <t>Sales Development · SDR</t>
        </is>
      </c>
      <c r="BC168" s="53" t="inlineStr">
        <is>
          <t>Employee</t>
        </is>
      </c>
      <c r="BD168" s="53" t="inlineStr">
        <is>
          <t>Anuradha RK</t>
        </is>
      </c>
      <c r="BE168" s="53" t="inlineStr">
        <is>
          <t>Anuradha RK</t>
        </is>
      </c>
      <c r="BF168" s="53" t="inlineStr">
        <is>
          <t>No</t>
        </is>
      </c>
      <c r="BG168" s="53" t="inlineStr">
        <is>
          <t>SDR Manager</t>
        </is>
      </c>
      <c r="BH168" s="53" t="inlineStr">
        <is>
          <t>SDR Manager</t>
        </is>
      </c>
      <c r="BI168" s="53" t="inlineStr">
        <is>
          <t>N/A · new entry</t>
        </is>
      </c>
      <c r="BJ168" s="53" t="inlineStr">
        <is>
          <t>—</t>
        </is>
      </c>
      <c r="BK168" s="53" t="inlineStr">
        <is>
          <t>—</t>
        </is>
      </c>
      <c r="BL168" s="53" t="inlineStr">
        <is>
          <t>—</t>
        </is>
      </c>
      <c r="BM168" s="53" t="inlineStr">
        <is>
          <t>Not a manager</t>
        </is>
      </c>
      <c r="BN168" s="53" t="inlineStr">
        <is>
          <t>—</t>
        </is>
      </c>
      <c r="BO168" s="53" t="inlineStr">
        <is>
          <t>—</t>
        </is>
      </c>
      <c r="BP168" s="53" t="inlineStr">
        <is>
          <t>—</t>
        </is>
      </c>
      <c r="BQ168" s="53" t="inlineStr">
        <is>
          <t>Not a manager</t>
        </is>
      </c>
      <c r="BR168" s="53" t="inlineStr">
        <is>
          <t>—</t>
        </is>
      </c>
      <c r="BS168" s="53" t="n"/>
      <c r="BT168" s="53" t="n"/>
      <c r="BU168" s="53" t="inlineStr">
        <is>
          <t>No designation change — current record value carried forward</t>
        </is>
      </c>
      <c r="BV168" s="53" t="n"/>
      <c r="BW168" s="53" t="n"/>
      <c r="BX168" s="53" t="n"/>
      <c r="BY168" s="53" t="n"/>
      <c r="BZ168" s="53" t="n"/>
      <c r="CA168" s="53" t="n"/>
      <c r="CB168" s="53" t="n"/>
      <c r="CC168" s="53" t="n"/>
      <c r="CD168" s="53" t="n"/>
      <c r="CE168" s="53" t="n"/>
      <c r="CF168" s="53" t="n"/>
      <c r="CG168" s="53" t="n"/>
      <c r="CH168" s="53" t="n"/>
      <c r="CI168" s="53" t="n"/>
      <c r="CJ168" s="53" t="n"/>
      <c r="CK168" s="53" t="n"/>
      <c r="CL168" s="53" t="n"/>
      <c r="CM168" s="53" t="n"/>
      <c r="CN168" s="53" t="n"/>
      <c r="CO168" s="53" t="n"/>
      <c r="CP168" s="53" t="n"/>
      <c r="CQ168" s="53" t="n"/>
      <c r="CR168" s="53" t="n"/>
      <c r="CS168" s="53" t="n"/>
      <c r="CT168" s="53" t="n"/>
      <c r="CU168" s="53" t="n"/>
      <c r="CV168" s="53" t="n"/>
      <c r="CW168" s="53" t="n"/>
      <c r="CX168" s="53" t="n"/>
      <c r="CY168" s="53" t="n"/>
      <c r="CZ168" s="53" t="n"/>
      <c r="DA168" s="53" t="n"/>
      <c r="DB168" s="53" t="n"/>
      <c r="DC168" s="53" t="n"/>
      <c r="DD168" s="53" t="n"/>
      <c r="DE168" s="53" t="n"/>
      <c r="DF168" s="53" t="n"/>
      <c r="DG168" s="53" t="n"/>
      <c r="DH168" s="53" t="n"/>
      <c r="DI168" s="53" t="n"/>
      <c r="DJ168" s="53" t="n"/>
      <c r="DK168" s="53" t="n"/>
      <c r="DL168" s="53" t="n"/>
      <c r="DM168" s="53" t="n"/>
      <c r="DN168" s="53" t="n"/>
      <c r="DO168" s="53" t="n"/>
      <c r="DP168" s="53" t="n"/>
      <c r="DQ168" s="53" t="n"/>
      <c r="DR168" s="53" t="n"/>
      <c r="DS168" s="53" t="n"/>
      <c r="DT168" s="53" t="n"/>
      <c r="DU168" s="53" t="n"/>
      <c r="DV168" s="53" t="n"/>
      <c r="DW168" s="53" t="n"/>
      <c r="DX168" s="53" t="n"/>
      <c r="DY168" s="53" t="n"/>
      <c r="DZ168" s="53" t="n"/>
      <c r="EA168" s="53" t="n"/>
      <c r="EB168" s="53" t="n"/>
      <c r="EC168" s="53" t="n"/>
      <c r="ED168" s="53" t="n"/>
      <c r="EE168" s="53" t="n"/>
      <c r="EF168" s="53" t="n"/>
      <c r="EG168" s="53" t="n"/>
      <c r="EH168" s="53" t="n"/>
      <c r="EI168" s="53" t="n"/>
      <c r="EJ168" s="53" t="n"/>
      <c r="EK168" s="53" t="n"/>
      <c r="EL168" s="53" t="n"/>
      <c r="EM168" s="53" t="n"/>
      <c r="EN168" s="53" t="n"/>
      <c r="EO168" s="53" t="n"/>
      <c r="EP168" s="53" t="n"/>
      <c r="EQ168" s="53" t="n"/>
      <c r="ER168" s="53" t="n"/>
      <c r="ES168" s="53" t="n"/>
      <c r="ET168" s="53" t="n"/>
      <c r="EU168" s="53" t="n"/>
      <c r="EV168" s="53" t="n"/>
      <c r="EW168" s="52" t="n"/>
      <c r="EX168" s="53" t="n"/>
      <c r="EY168" s="53" t="n"/>
      <c r="EZ168" s="53" t="n"/>
      <c r="FA168" s="53" t="n"/>
      <c r="FB168" s="53" t="n"/>
      <c r="FC168" s="53" t="n"/>
      <c r="FD168" s="53" t="n"/>
      <c r="FE168" s="55" t="inlineStr">
        <is>
          <t>KRAs not received · manager to supply</t>
        </is>
      </c>
      <c r="FF168" s="56" t="n"/>
      <c r="FG168" s="56" t="n"/>
      <c r="FH168" s="56" t="n"/>
      <c r="FI168" s="56" t="n"/>
      <c r="FJ168" s="32" t="inlineStr">
        <is>
          <t>KRAs not received · manager to supply</t>
        </is>
      </c>
      <c r="FK168" s="56" t="n"/>
      <c r="FL168" s="56" t="n">
        <v>20</v>
      </c>
      <c r="FM168" s="32" t="inlineStr">
        <is>
          <t>Full survey answers not in the files received · How We Grow export needed · HR</t>
        </is>
      </c>
      <c r="FN168" s="56" t="inlineStr">
        <is>
          <t>—</t>
        </is>
      </c>
      <c r="FO168" s="56" t="inlineStr">
        <is>
          <t>—</t>
        </is>
      </c>
      <c r="FP168" s="56" t="inlineStr">
        <is>
          <t>—</t>
        </is>
      </c>
      <c r="FQ168" s="56" t="inlineStr">
        <is>
          <t>—</t>
        </is>
      </c>
      <c r="FR168" s="56" t="inlineStr">
        <is>
          <t>Complexity: Evidence reads like B1: Builds US/Canada SDR pipeline; analyses what drives or blocks conversion; needs SEC/XBRL use-case knowledge → moved down 0.5
Autonomy: Evidence reads like B2: Sets daily prospecting priorities, assigns SDRs, adjusts messaging and calling approach within agreed targets → matches the start
Accountability: Evidence reads like B1: Accountable for the SDR team's qualified meetings, targeting quality and pipeline reporting; three reports → moved down 0.5
Leadership: Evidence reads like B1: Coaches each SDR from call evidence and addresses performance gaps; three direct reports → matches the start
Business Impact: No survey or manager-mapping signal on criticality: kept at the start point.</t>
        </is>
      </c>
      <c r="FS168" s="56" t="inlineStr">
        <is>
          <t>Common themes in sub-family holders, all levels' answers: sales · scheduling · customers shared · cold · navigator fetch · database
Common themes in sub-family holders, all levels' answers: outreach · linkedin · calls · pipeline · qualified · cold
Common themes in sub-family holders, all levels' answers: meetings · pipeline · sales · opportunities · lead · discovery
Common themes in sub-family holders, all levels' answers: pipeline · lead · meetings · accountable · qualified · opportunities
Common themes in sub-family holders, all levels' answers: outreach · approach · messaging · calls · emails · pipeline
If the work is missed · role-holders' themes: pipeline · lead · meetings · time · outreach.</t>
        </is>
      </c>
      <c r="FT168" s="56" t="inlineStr">
        <is>
          <t>Self-identified: Client, sales &amp; stakeholders · Broader exposure &amp; ownership
For the next role: Client, sales &amp; stakeholders · Strategy &amp; business acumen · Broader exposure &amp; ownership</t>
        </is>
      </c>
      <c r="FU168" s="32" t="inlineStr">
        <is>
          <t>Full survey answers not in the files received · How We Grow export needed · HR</t>
        </is>
      </c>
    </row>
    <row r="169" ht="90" customHeight="1">
      <c r="A169" s="51" t="inlineStr">
        <is>
          <t>◂ Back</t>
        </is>
      </c>
      <c r="B169" s="29" t="inlineStr">
        <is>
          <t>Mapped</t>
        </is>
      </c>
      <c r="C169" s="28" t="inlineStr">
        <is>
          <t>CARBON</t>
        </is>
      </c>
      <c r="D169" s="29" t="inlineStr">
        <is>
          <t>IRIS2412</t>
        </is>
      </c>
      <c r="E169" s="29" t="inlineStr">
        <is>
          <t>Anand Chiluka</t>
        </is>
      </c>
      <c r="F169" s="29" t="inlineStr">
        <is>
          <t>Marketing</t>
        </is>
      </c>
      <c r="G169" s="29" t="inlineStr">
        <is>
          <t>Team Lead SDR</t>
        </is>
      </c>
      <c r="H169" s="29" t="inlineStr">
        <is>
          <t>Account Executive</t>
        </is>
      </c>
      <c r="I169" s="29" t="inlineStr">
        <is>
          <t>L5 – Lead · IC</t>
        </is>
      </c>
      <c r="J169" s="29" t="inlineStr">
        <is>
          <t>B1</t>
        </is>
      </c>
      <c r="K169" s="29" t="inlineStr">
        <is>
          <t>▼ Down · protected</t>
        </is>
      </c>
      <c r="L169" s="29" t="inlineStr">
        <is>
          <t>Sales &amp; Business Development</t>
        </is>
      </c>
      <c r="M169" s="29" t="inlineStr">
        <is>
          <t>Sales Development &amp; Prospecting</t>
        </is>
      </c>
      <c r="N169" s="29" t="n"/>
      <c r="O169" s="29" t="n">
        <v>20</v>
      </c>
      <c r="P169" s="28" t="inlineStr">
        <is>
          <t>P3 / M2</t>
        </is>
      </c>
      <c r="Q169" s="29" t="inlineStr">
        <is>
          <t>Career / · Team Lead</t>
        </is>
      </c>
      <c r="R169" s="29" t="inlineStr">
        <is>
          <t>4 Enable</t>
        </is>
      </c>
      <c r="S169" s="29" t="inlineStr">
        <is>
          <t>4–7 yrs</t>
        </is>
      </c>
      <c r="T169" s="29" t="inlineStr">
        <is>
          <t>5–8 · 4–8</t>
        </is>
      </c>
      <c r="U169" s="29" t="inlineStr">
        <is>
          <t>Account Executive</t>
        </is>
      </c>
      <c r="V169" s="29" t="inlineStr">
        <is>
          <t>IRIS Vs Competitor Benchmark — SaaS sales ladder — IC: Account Executive · SMB · IRIS Vs Competitor Benchmark — SaaS sales ladder — management: SDR Team Lead</t>
        </is>
      </c>
      <c r="W169" s="29" t="inlineStr">
        <is>
          <t>SaaS sales ladder · SDR → AE → Enterprise AE → VP / CRO; MEDDICC-style qualification</t>
        </is>
      </c>
      <c r="X169" s="29" t="inlineStr">
        <is>
          <t>Core 3 · Future 3 · Functional 3 · Leadership 1</t>
        </is>
      </c>
      <c r="Y169" s="52" t="n">
        <v>389</v>
      </c>
      <c r="Z169" s="53" t="inlineStr">
        <is>
          <t>IRIS2412</t>
        </is>
      </c>
      <c r="AA169" s="53" t="inlineStr">
        <is>
          <t>Employee</t>
        </is>
      </c>
      <c r="AB169" s="53" t="inlineStr">
        <is>
          <t>Active</t>
        </is>
      </c>
      <c r="AC169" s="53" t="inlineStr">
        <is>
          <t>Anand Chiluka</t>
        </is>
      </c>
      <c r="AD169" s="54" t="n">
        <v>45873</v>
      </c>
      <c r="AE169" s="53" t="inlineStr">
        <is>
          <t>Team Lead SDR</t>
        </is>
      </c>
      <c r="AF169" s="53" t="inlineStr">
        <is>
          <t>B.E</t>
        </is>
      </c>
      <c r="AG169" s="53" t="inlineStr">
        <is>
          <t>Prashant Sharad Jadhav</t>
        </is>
      </c>
      <c r="AH169" s="53" t="inlineStr">
        <is>
          <t>N-4</t>
        </is>
      </c>
      <c r="AI169" s="53" t="inlineStr">
        <is>
          <t>Individual Contributor</t>
        </is>
      </c>
      <c r="AJ169" s="53" t="inlineStr">
        <is>
          <t>10 years, 0 months, 0 days</t>
        </is>
      </c>
      <c r="AK169" s="53" t="inlineStr">
        <is>
          <t>1 years, 0 months, 21 days</t>
        </is>
      </c>
      <c r="AL169" s="53" t="inlineStr">
        <is>
          <t>Regtech</t>
        </is>
      </c>
      <c r="AM169" s="53" t="inlineStr">
        <is>
          <t>CARBON</t>
        </is>
      </c>
      <c r="AN169" s="53" t="inlineStr">
        <is>
          <t>Marketing</t>
        </is>
      </c>
      <c r="AO169" s="53" t="inlineStr">
        <is>
          <t>Marketing - SDR</t>
        </is>
      </c>
      <c r="AP169" s="53" t="inlineStr">
        <is>
          <t>No</t>
        </is>
      </c>
      <c r="AQ169" s="53" t="inlineStr">
        <is>
          <t>Sales, Marketing &amp; Support</t>
        </is>
      </c>
      <c r="AR169" s="53" t="inlineStr">
        <is>
          <t>Marketing</t>
        </is>
      </c>
      <c r="AS169" s="53" t="inlineStr">
        <is>
          <t>Non-technical</t>
        </is>
      </c>
      <c r="AT169" s="53" t="n">
        <v>20</v>
      </c>
      <c r="AU169" s="53" t="inlineStr">
        <is>
          <t>Covered</t>
        </is>
      </c>
      <c r="AV169" s="53" t="inlineStr">
        <is>
          <t>IRIS2412</t>
        </is>
      </c>
      <c r="AW169" s="53" t="inlineStr">
        <is>
          <t>Anand Chiluka</t>
        </is>
      </c>
      <c r="AX169" s="53" t="inlineStr">
        <is>
          <t>Marketing</t>
        </is>
      </c>
      <c r="AY169" s="53" t="inlineStr">
        <is>
          <t>Sales &amp; Business Development</t>
        </is>
      </c>
      <c r="AZ169" s="53" t="inlineStr">
        <is>
          <t>Sales Development · SDR</t>
        </is>
      </c>
      <c r="BA169" s="53" t="n"/>
      <c r="BB169" s="53" t="n"/>
      <c r="BC169" s="53" t="inlineStr">
        <is>
          <t>Employee</t>
        </is>
      </c>
      <c r="BD169" s="53" t="inlineStr">
        <is>
          <t>Saahit Togaru</t>
        </is>
      </c>
      <c r="BE169" s="53" t="inlineStr">
        <is>
          <t>Saahit Togaru</t>
        </is>
      </c>
      <c r="BF169" s="53" t="inlineStr">
        <is>
          <t>No</t>
        </is>
      </c>
      <c r="BG169" s="53" t="inlineStr">
        <is>
          <t>Team Lead- SDR</t>
        </is>
      </c>
      <c r="BH169" s="53" t="inlineStr">
        <is>
          <t>Sr.Sales Development Rep.</t>
        </is>
      </c>
      <c r="BI169" s="53" t="inlineStr">
        <is>
          <t>Yes</t>
        </is>
      </c>
      <c r="BJ169" s="53" t="inlineStr">
        <is>
          <t>—</t>
        </is>
      </c>
      <c r="BK169" s="53" t="inlineStr">
        <is>
          <t>—</t>
        </is>
      </c>
      <c r="BL169" s="53" t="inlineStr">
        <is>
          <t>—</t>
        </is>
      </c>
      <c r="BM169" s="53" t="inlineStr">
        <is>
          <t>Not a manager</t>
        </is>
      </c>
      <c r="BN169" s="53" t="inlineStr">
        <is>
          <t>—</t>
        </is>
      </c>
      <c r="BO169" s="53" t="inlineStr">
        <is>
          <t>—</t>
        </is>
      </c>
      <c r="BP169" s="53" t="inlineStr">
        <is>
          <t>—</t>
        </is>
      </c>
      <c r="BQ169" s="53" t="inlineStr">
        <is>
          <t>Not a manager</t>
        </is>
      </c>
      <c r="BR169" s="53" t="inlineStr">
        <is>
          <t>—</t>
        </is>
      </c>
      <c r="BS169" s="53" t="inlineStr">
        <is>
          <t>L5 – Lead · IC</t>
        </is>
      </c>
      <c r="BT169" s="53" t="inlineStr">
        <is>
          <t>L5 – Lead · IC</t>
        </is>
      </c>
      <c r="BU169" s="53" t="inlineStr">
        <is>
          <t>No exact Title Hierarchy match — retained current record value</t>
        </is>
      </c>
      <c r="BV169" s="53" t="n"/>
      <c r="BW169" s="53" t="n"/>
      <c r="BX169" s="53" t="inlineStr">
        <is>
          <t>US; CANADA.</t>
        </is>
      </c>
      <c r="BY169" s="53" t="n"/>
      <c r="BZ169" s="53" t="inlineStr">
        <is>
          <t>IRIS2412</t>
        </is>
      </c>
      <c r="CA169" s="53" t="inlineStr">
        <is>
          <t>Employee</t>
        </is>
      </c>
      <c r="CB169" s="53" t="inlineStr">
        <is>
          <t>Active</t>
        </is>
      </c>
      <c r="CC169" s="53" t="inlineStr">
        <is>
          <t>Anand Chiluka</t>
        </is>
      </c>
      <c r="CD169" s="54" t="n">
        <v>45873</v>
      </c>
      <c r="CE169" s="53" t="inlineStr">
        <is>
          <t>Team Lead- SDR</t>
        </is>
      </c>
      <c r="CF169" s="53" t="inlineStr">
        <is>
          <t>Reports to Saahit: Cold calling, Scheduling Demo, Tools used - Linkedin Sales navigator · To fetch number of customers shared by Database Team:</t>
        </is>
      </c>
      <c r="CG169" s="53" t="inlineStr">
        <is>
          <t>Sales &amp; Business Development</t>
        </is>
      </c>
      <c r="CH169" s="53" t="inlineStr">
        <is>
          <t>Sales Development · SDR</t>
        </is>
      </c>
      <c r="CI169" s="53" t="inlineStr">
        <is>
          <t>Team Lead- SDR</t>
        </is>
      </c>
      <c r="CJ169" s="53" t="inlineStr">
        <is>
          <t>L5 – Lead · IC</t>
        </is>
      </c>
      <c r="CK169" s="53" t="inlineStr">
        <is>
          <t>Saahit Togaru</t>
        </is>
      </c>
      <c r="CL169" s="53" t="inlineStr">
        <is>
          <t>N-4</t>
        </is>
      </c>
      <c r="CM169" s="53" t="inlineStr">
        <is>
          <t>Individual Contributor</t>
        </is>
      </c>
      <c r="CN169" s="53" t="inlineStr">
        <is>
          <t>Regtech</t>
        </is>
      </c>
      <c r="CO169" s="53" t="inlineStr">
        <is>
          <t>Marketing</t>
        </is>
      </c>
      <c r="CP169" s="53" t="inlineStr">
        <is>
          <t>10 years, 10 months, 16 days</t>
        </is>
      </c>
      <c r="CQ169" s="53" t="inlineStr">
        <is>
          <t>Sr.Sales Development Rep.</t>
        </is>
      </c>
      <c r="CR169" s="53" t="n"/>
      <c r="CS169" s="53" t="n"/>
      <c r="CT169" s="53" t="n"/>
      <c r="CU169" s="53" t="n"/>
      <c r="CV169" s="53" t="n"/>
      <c r="CW169" s="53" t="inlineStr">
        <is>
          <t>No</t>
        </is>
      </c>
      <c r="CX169" s="53" t="inlineStr">
        <is>
          <t>No</t>
        </is>
      </c>
      <c r="CY169" s="53" t="n"/>
      <c r="CZ169" s="53" t="n"/>
      <c r="DA169" s="53" t="n"/>
      <c r="DB169" s="53" t="inlineStr">
        <is>
          <t>To be mapped to SDR Mgr US - TBH</t>
        </is>
      </c>
      <c r="DC169" s="53" t="n"/>
      <c r="DD169" s="53" t="n"/>
      <c r="DE169" s="53" t="n"/>
      <c r="DF169" s="53" t="n"/>
      <c r="DG169" s="53" t="n"/>
      <c r="DH169" s="53" t="n"/>
      <c r="DI169" s="53" t="n"/>
      <c r="DJ169" s="53" t="n"/>
      <c r="DK169" s="53" t="n"/>
      <c r="DL169" s="53" t="n"/>
      <c r="DM169" s="53" t="n"/>
      <c r="DN169" s="53" t="n"/>
      <c r="DO169" s="53" t="n"/>
      <c r="DP169" s="53" t="n"/>
      <c r="DQ169" s="53" t="n"/>
      <c r="DR169" s="53" t="n"/>
      <c r="DS169" s="53" t="n"/>
      <c r="DT169" s="53" t="n"/>
      <c r="DU169" s="53" t="n"/>
      <c r="DV169" s="53" t="n"/>
      <c r="DW169" s="53" t="n"/>
      <c r="DX169" s="53" t="n"/>
      <c r="DY169" s="53" t="n"/>
      <c r="DZ169" s="53" t="n"/>
      <c r="EA169" s="53" t="n"/>
      <c r="EB169" s="53" t="n"/>
      <c r="EC169" s="53" t="n"/>
      <c r="ED169" s="53" t="n"/>
      <c r="EE169" s="53" t="n"/>
      <c r="EF169" s="53" t="n"/>
      <c r="EG169" s="53" t="n"/>
      <c r="EH169" s="53" t="n"/>
      <c r="EI169" s="53" t="n"/>
      <c r="EJ169" s="53" t="n"/>
      <c r="EK169" s="53" t="n"/>
      <c r="EL169" s="53" t="n"/>
      <c r="EM169" s="53" t="n"/>
      <c r="EN169" s="53" t="n"/>
      <c r="EO169" s="53" t="n"/>
      <c r="EP169" s="53" t="n"/>
      <c r="EQ169" s="53" t="n"/>
      <c r="ER169" s="53" t="n"/>
      <c r="ES169" s="53" t="n"/>
      <c r="ET169" s="53" t="n"/>
      <c r="EU169" s="53" t="n"/>
      <c r="EV169" s="53" t="n"/>
      <c r="EW169" s="52" t="n"/>
      <c r="EX169" s="53" t="inlineStr">
        <is>
          <t>• Role / sub-team: Marketing — Team Lead- SDR .
• Core purpose: Outreach to the prospects and make sure to help people know that we are there in the market and eventually get the meetings and there by generate revenue.
• Decision-making autonomy: Can independently outreach emails calls; number of dials.
• Is this something only they do: Few of us.
• What's different about this role: Cold calling.</t>
        </is>
      </c>
      <c r="EY169" s="53" t="inlineStr">
        <is>
          <t>• Key responsibilities include: Outreach; calling; linkedin outreach; database buidling.
• Personally accountable for: Meetings are not happening due to no shows or getting cancelled.
• Impact if missed or done wrong: When outreach is not done properly, its a miss for me as i would lose out on meetings and eventually that would hit my numbers.
• How measured: Yes...</t>
        </is>
      </c>
      <c r="EZ169" s="53" t="inlineStr">
        <is>
          <t>• Current capabilities: Linkedin outreach; cold calling; knowledge of sales naviga; hubspot.
• Tools / software used: HUBSPOT; SALES NAVIGATOR; CHATGPT.
• Workload: Rated a moderate load · 3/5 in a typical week.
• Judgment/way of working: Writing  good cold emails
prep before a cold call.</t>
        </is>
      </c>
      <c r="FA169" s="53" t="inlineStr">
        <is>
          <t>• Development priorities: More exposure on the product.
• Learning and Development Need: Hubspot training; Mr vijay help abt process. Better understanding on the tools and the process.</t>
        </is>
      </c>
      <c r="FB169" s="53" t="inlineStr">
        <is>
          <t>• Key challenges: Database could be better; laptop lot of times hangs.
• Support required: Could give us wfh, as the role is independent.</t>
        </is>
      </c>
      <c r="FC169" s="53" t="n"/>
      <c r="FD169" s="53" t="n"/>
      <c r="FE169" s="55" t="inlineStr">
        <is>
          <t>KRAs not received · manager to supply</t>
        </is>
      </c>
      <c r="FF169" s="56" t="n"/>
      <c r="FG169" s="56" t="n"/>
      <c r="FH169" s="56" t="n"/>
      <c r="FI169" s="56" t="inlineStr">
        <is>
          <t>Reports to Saahit : Cold calling, Scheduling Demo, Tools used - Linkedin Sales navigator · To fetch number of customers shared by Database Team:</t>
        </is>
      </c>
      <c r="FJ169" s="32" t="inlineStr">
        <is>
          <t>KRAs not received · manager to supply</t>
        </is>
      </c>
      <c r="FK169" s="56" t="inlineStr">
        <is>
          <t>CARBON Talent Mapping · Raw</t>
        </is>
      </c>
      <c r="FL169" s="56" t="n">
        <v>20</v>
      </c>
      <c r="FM169" s="56" t="inlineStr">
        <is>
          <t>• Role / sub-team: Marketing — Team Lead- SDR .
• Core purpose: Outreach to the prospects and make sure to help people know that we are there in the market and eventually get the meetings and there by generate revenue.
• Decision-making autonomy: Can independently outreach emails calls; number of dials.
• Is this something only they do: Few of us.
• What's different about this role: Cold calling.</t>
        </is>
      </c>
      <c r="FN169" s="56" t="inlineStr">
        <is>
          <t>• Key responsibilities include: Outreach; calling; linkedin outreach; database buidling.
• Personally accountable for: Meetings are not happening due to no shows or getting cancelled.
• Impact if missed or done wrong: When outreach is not done properly, its a miss for me as i would lose out on meetings and eventually that would hit my numbers.
• How measured: Yes...</t>
        </is>
      </c>
      <c r="FO169" s="56" t="inlineStr">
        <is>
          <t>• Current capabilities: Linkedin outreach; cold calling; knowledge of sales naviga; hubspot.
• Tools / software used: HUBSPOT; SALES NAVIGATOR; CHATGPT.
• Workload: Rated a moderate load · 3/5 in a typical week.
• Judgment/way of working: Writing  good cold emails
prep before a cold call.</t>
        </is>
      </c>
      <c r="FP169" s="56" t="inlineStr">
        <is>
          <t>• Development priorities: More exposure on the product.
• Learning and Development Need: Hubspot training; Mr vijay help abt process. Better understanding on the tools and the process.</t>
        </is>
      </c>
      <c r="FQ169" s="56" t="inlineStr">
        <is>
          <t>• Key challenges: Database could be better; laptop lot of times hangs.
• Support required: Could give us wfh, as the role is independent.</t>
        </is>
      </c>
      <c r="FR169" s="56" t="inlineStr">
        <is>
          <t>Complexity: Evidence reads like A2: Outreach, cold calling, LinkedIn outreach and database building to get qualified meetings → moved down 0.5
Autonomy: Evidence reads like A2: Decides own outreach emails, calls and number of dials → moved down 0.5
Accountability: Evidence reads like A2: Accountable for own meetings and numbers, including no-shows and cancellations → moved down 0.5
Leadership: Evidence reads like A1: No team leadership described; zero direct reports despite Team Lead title → moved down 0.5
Business Impact: No survey or manager-mapping signal on criticality: kept at the start point.</t>
        </is>
      </c>
      <c r="FS169" s="56" t="inlineStr">
        <is>
          <t>Common themes in sub-family holders, all levels' answers: sales · scheduling · customers shared · cold · navigator fetch · database
Common themes in sub-family holders, all levels' answers: outreach · linkedin · calls · pipeline · qualified · cold
Common themes in sub-family holders, all levels' answers: meetings · pipeline · sales · opportunities · lead · discovery
Common themes in sub-family holders, all levels' answers: pipeline · lead · meetings · accountable · qualified · opportunities
Common themes in sub-family holders, all levels' answers: outreach · approach · messaging · calls · emails · pipeline
If the work is missed · role-holders' themes: pipeline · lead · meetings · time · outreach.</t>
        </is>
      </c>
      <c r="FT169" s="56" t="inlineStr">
        <is>
          <t>Self-identified: Product &amp; tool knowledge · Broader exposure &amp; ownership
For the next role: Product &amp; tool knowledge · Broader exposure &amp; ownership</t>
        </is>
      </c>
      <c r="FU169" s="56" t="inlineStr">
        <is>
          <t>Per-person summary · CARBON Mapping Master</t>
        </is>
      </c>
    </row>
    <row r="170" ht="90" customHeight="1">
      <c r="A170" s="51" t="inlineStr">
        <is>
          <t>◂ Back</t>
        </is>
      </c>
      <c r="B170" s="29" t="inlineStr">
        <is>
          <t>Mapped</t>
        </is>
      </c>
      <c r="C170" s="28" t="inlineStr">
        <is>
          <t>CARBON</t>
        </is>
      </c>
      <c r="D170" s="29" t="inlineStr">
        <is>
          <t>IRIS2554</t>
        </is>
      </c>
      <c r="E170" s="29" t="inlineStr">
        <is>
          <t>Mausam Thakkar</t>
        </is>
      </c>
      <c r="F170" s="29" t="inlineStr">
        <is>
          <t>Marketing</t>
        </is>
      </c>
      <c r="G170" s="29" t="inlineStr">
        <is>
          <t>Senior Sales Development Representative</t>
        </is>
      </c>
      <c r="H170" s="29" t="inlineStr">
        <is>
          <t>Senior Sales Development Representative</t>
        </is>
      </c>
      <c r="I170" s="29" t="inlineStr">
        <is>
          <t>Not in current mapping files</t>
        </is>
      </c>
      <c r="J170" s="29" t="inlineStr">
        <is>
          <t>A3</t>
        </is>
      </c>
      <c r="K170" s="29" t="inlineStr">
        <is>
          <t>● Newly mapped</t>
        </is>
      </c>
      <c r="L170" s="29" t="inlineStr">
        <is>
          <t>Sales &amp; Business Development</t>
        </is>
      </c>
      <c r="M170" s="29" t="inlineStr">
        <is>
          <t>Sales Development &amp; Prospecting</t>
        </is>
      </c>
      <c r="N170" s="29" t="n"/>
      <c r="O170" s="29" t="n">
        <v>20</v>
      </c>
      <c r="P170" s="28" t="inlineStr">
        <is>
          <t>P2</t>
        </is>
      </c>
      <c r="Q170" s="29" t="inlineStr">
        <is>
          <t>Developing</t>
        </is>
      </c>
      <c r="R170" s="29" t="inlineStr">
        <is>
          <t>3 Apply</t>
        </is>
      </c>
      <c r="S170" s="29" t="inlineStr">
        <is>
          <t>2–4 yrs</t>
        </is>
      </c>
      <c r="T170" s="29" t="inlineStr">
        <is>
          <t>3–5 · 2–5</t>
        </is>
      </c>
      <c r="U170" s="29" t="inlineStr">
        <is>
          <t>SDR / Inside Sales</t>
        </is>
      </c>
      <c r="V170" s="29" t="inlineStr">
        <is>
          <t>IRIS Vs Competitor Benchmark — SaaS sales ladder — IC: Senior SDR</t>
        </is>
      </c>
      <c r="W170" s="29" t="inlineStr">
        <is>
          <t>SaaS sales ladder · SDR → AE → Enterprise AE → VP / CRO; MEDDICC-style qualification</t>
        </is>
      </c>
      <c r="X170" s="29" t="inlineStr">
        <is>
          <t>Core 2 · Future 2 · Functional 3 · Leadership not scored</t>
        </is>
      </c>
      <c r="Y170" s="52" t="n">
        <v>527</v>
      </c>
      <c r="Z170" s="53" t="inlineStr">
        <is>
          <t>IRIS2554</t>
        </is>
      </c>
      <c r="AA170" s="53" t="inlineStr">
        <is>
          <t>Employee</t>
        </is>
      </c>
      <c r="AB170" s="53" t="inlineStr">
        <is>
          <t>Active</t>
        </is>
      </c>
      <c r="AC170" s="53" t="inlineStr">
        <is>
          <t>Mausam Thakkar</t>
        </is>
      </c>
      <c r="AD170" s="54" t="n">
        <v>46244</v>
      </c>
      <c r="AE170" s="53" t="inlineStr">
        <is>
          <t>Senior Sales Development Representative</t>
        </is>
      </c>
      <c r="AF170" s="53" t="inlineStr">
        <is>
          <t>MBA</t>
        </is>
      </c>
      <c r="AG170" s="53" t="inlineStr">
        <is>
          <t>Prashant Sharad Jadhav</t>
        </is>
      </c>
      <c r="AH170" s="53" t="inlineStr">
        <is>
          <t>N-4</t>
        </is>
      </c>
      <c r="AI170" s="53" t="inlineStr">
        <is>
          <t>Individual Contributor</t>
        </is>
      </c>
      <c r="AJ170" s="53" t="inlineStr">
        <is>
          <t>4 years, 10 months, 0 days</t>
        </is>
      </c>
      <c r="AK170" s="53" t="inlineStr">
        <is>
          <t>0 years, 0 months, 15 days</t>
        </is>
      </c>
      <c r="AL170" s="53" t="inlineStr">
        <is>
          <t>Regtech</t>
        </is>
      </c>
      <c r="AM170" s="53" t="inlineStr">
        <is>
          <t>CARBON</t>
        </is>
      </c>
      <c r="AN170" s="53" t="inlineStr">
        <is>
          <t>Marketing</t>
        </is>
      </c>
      <c r="AO170" s="53" t="inlineStr">
        <is>
          <t>Marketing - SDR</t>
        </is>
      </c>
      <c r="AP170" s="53" t="inlineStr">
        <is>
          <t>No</t>
        </is>
      </c>
      <c r="AQ170" s="53" t="inlineStr">
        <is>
          <t>Sales, Marketing &amp; Support</t>
        </is>
      </c>
      <c r="AR170" s="53" t="inlineStr">
        <is>
          <t>Marketing</t>
        </is>
      </c>
      <c r="AS170" s="53" t="inlineStr">
        <is>
          <t>Non-technical</t>
        </is>
      </c>
      <c r="AT170" s="53" t="n">
        <v>20</v>
      </c>
      <c r="AU170" s="53" t="inlineStr">
        <is>
          <t>Covered</t>
        </is>
      </c>
      <c r="AV170" s="53" t="inlineStr">
        <is>
          <t>IRIS2554</t>
        </is>
      </c>
      <c r="AW170" s="53" t="inlineStr">
        <is>
          <t>Mausam Thakkar</t>
        </is>
      </c>
      <c r="AX170" s="53" t="inlineStr">
        <is>
          <t>Marketing</t>
        </is>
      </c>
      <c r="AY170" s="53" t="inlineStr">
        <is>
          <t>Sales &amp; Business Development</t>
        </is>
      </c>
      <c r="AZ170" s="53" t="inlineStr">
        <is>
          <t>Sales Development · SDR</t>
        </is>
      </c>
      <c r="BA170" s="53" t="inlineStr">
        <is>
          <t>Sales &amp; Business Development</t>
        </is>
      </c>
      <c r="BB170" s="53" t="inlineStr">
        <is>
          <t>Sales Development · SDR</t>
        </is>
      </c>
      <c r="BC170" s="53" t="inlineStr">
        <is>
          <t>Employee</t>
        </is>
      </c>
      <c r="BD170" s="53" t="inlineStr">
        <is>
          <t>Anuradha RK</t>
        </is>
      </c>
      <c r="BE170" s="53" t="inlineStr">
        <is>
          <t>Anuradha RK</t>
        </is>
      </c>
      <c r="BF170" s="53" t="inlineStr">
        <is>
          <t>No</t>
        </is>
      </c>
      <c r="BG170" s="53" t="inlineStr">
        <is>
          <t>Senior Sales Development Representative</t>
        </is>
      </c>
      <c r="BH170" s="53" t="inlineStr">
        <is>
          <t>Senior Sales Development Representative</t>
        </is>
      </c>
      <c r="BI170" s="53" t="inlineStr">
        <is>
          <t>N/A · new entry</t>
        </is>
      </c>
      <c r="BJ170" s="53" t="inlineStr">
        <is>
          <t>—</t>
        </is>
      </c>
      <c r="BK170" s="53" t="inlineStr">
        <is>
          <t>—</t>
        </is>
      </c>
      <c r="BL170" s="53" t="inlineStr">
        <is>
          <t>—</t>
        </is>
      </c>
      <c r="BM170" s="53" t="inlineStr">
        <is>
          <t>Not a manager</t>
        </is>
      </c>
      <c r="BN170" s="53" t="inlineStr">
        <is>
          <t>—</t>
        </is>
      </c>
      <c r="BO170" s="53" t="inlineStr">
        <is>
          <t>—</t>
        </is>
      </c>
      <c r="BP170" s="53" t="inlineStr">
        <is>
          <t>—</t>
        </is>
      </c>
      <c r="BQ170" s="53" t="inlineStr">
        <is>
          <t>Not a manager</t>
        </is>
      </c>
      <c r="BR170" s="53" t="inlineStr">
        <is>
          <t>—</t>
        </is>
      </c>
      <c r="BS170" s="53" t="n"/>
      <c r="BT170" s="53" t="n"/>
      <c r="BU170" s="53" t="inlineStr">
        <is>
          <t>No designation change — current record value carried forward</t>
        </is>
      </c>
      <c r="BV170" s="53" t="n"/>
      <c r="BW170" s="53" t="n"/>
      <c r="BX170" s="53" t="inlineStr">
        <is>
          <t>US.</t>
        </is>
      </c>
      <c r="BY170" s="53" t="n"/>
      <c r="BZ170" s="53" t="n"/>
      <c r="CA170" s="53" t="n"/>
      <c r="CB170" s="53" t="n"/>
      <c r="CC170" s="53" t="n"/>
      <c r="CD170" s="53" t="n"/>
      <c r="CE170" s="53" t="n"/>
      <c r="CF170" s="53" t="n"/>
      <c r="CG170" s="53" t="n"/>
      <c r="CH170" s="53" t="n"/>
      <c r="CI170" s="53" t="n"/>
      <c r="CJ170" s="53" t="n"/>
      <c r="CK170" s="53" t="n"/>
      <c r="CL170" s="53" t="n"/>
      <c r="CM170" s="53" t="n"/>
      <c r="CN170" s="53" t="n"/>
      <c r="CO170" s="53" t="n"/>
      <c r="CP170" s="53" t="n"/>
      <c r="CQ170" s="53" t="n"/>
      <c r="CR170" s="53" t="n"/>
      <c r="CS170" s="53" t="n"/>
      <c r="CT170" s="53" t="n"/>
      <c r="CU170" s="53" t="n"/>
      <c r="CV170" s="53" t="n"/>
      <c r="CW170" s="53" t="n"/>
      <c r="CX170" s="53" t="n"/>
      <c r="CY170" s="53" t="n"/>
      <c r="CZ170" s="53" t="n"/>
      <c r="DA170" s="53" t="n"/>
      <c r="DB170" s="53" t="n"/>
      <c r="DC170" s="53" t="n"/>
      <c r="DD170" s="53" t="n"/>
      <c r="DE170" s="53" t="n"/>
      <c r="DF170" s="53" t="n"/>
      <c r="DG170" s="53" t="n"/>
      <c r="DH170" s="53" t="n"/>
      <c r="DI170" s="53" t="n"/>
      <c r="DJ170" s="53" t="n"/>
      <c r="DK170" s="53" t="n"/>
      <c r="DL170" s="53" t="n"/>
      <c r="DM170" s="53" t="n"/>
      <c r="DN170" s="53" t="n"/>
      <c r="DO170" s="53" t="n"/>
      <c r="DP170" s="53" t="n"/>
      <c r="DQ170" s="53" t="n"/>
      <c r="DR170" s="53" t="n"/>
      <c r="DS170" s="53" t="n"/>
      <c r="DT170" s="53" t="n"/>
      <c r="DU170" s="53" t="n"/>
      <c r="DV170" s="53" t="n"/>
      <c r="DW170" s="53" t="n"/>
      <c r="DX170" s="53" t="n"/>
      <c r="DY170" s="53" t="n"/>
      <c r="DZ170" s="53" t="n"/>
      <c r="EA170" s="53" t="n"/>
      <c r="EB170" s="53" t="n"/>
      <c r="EC170" s="53" t="n"/>
      <c r="ED170" s="53" t="n"/>
      <c r="EE170" s="53" t="n"/>
      <c r="EF170" s="53" t="n"/>
      <c r="EG170" s="53" t="n"/>
      <c r="EH170" s="53" t="n"/>
      <c r="EI170" s="53" t="n"/>
      <c r="EJ170" s="53" t="n"/>
      <c r="EK170" s="53" t="n"/>
      <c r="EL170" s="53" t="n"/>
      <c r="EM170" s="53" t="n"/>
      <c r="EN170" s="53" t="n"/>
      <c r="EO170" s="53" t="n"/>
      <c r="EP170" s="53" t="n"/>
      <c r="EQ170" s="53" t="n"/>
      <c r="ER170" s="53" t="n"/>
      <c r="ES170" s="53" t="n"/>
      <c r="ET170" s="53" t="n"/>
      <c r="EU170" s="53" t="n"/>
      <c r="EV170" s="53" t="n"/>
      <c r="EW170" s="52" t="n"/>
      <c r="EX170" s="53" t="inlineStr">
        <is>
          <t>• Role / sub-team: Marketing — Senior Sales Development Representative .
• Core purpose: My core goal is to reach out to target accounts, book meetings, and build sales opportunities. Outreach to potential prospects, ICPs to schedule meetings to generate opportunities as a SDR.
• Decision-making autonomy: Can independently outreach execution.
• Is this something only they do: Only a few dedicated enterprise SDRs do ABM outreach do this; most focus on standard high-volume outreach.
• What's different about this role: Targeting multi-stakeholder buyer committees using tailored ABM tools, multi-threaded outreach, and 150 plus calls; Targeting multiple decision-makers at once with custom messaging, specialized intent tools, and higher deal stakes.</t>
        </is>
      </c>
      <c r="EY170" s="53" t="inlineStr">
        <is>
          <t>• Key responsibilities include: Outbound outreach; Booking qualified meeting; Account based outreach; Sequences; CRM hygiene.
• Personally accountable for: I am directly accountable for consistently hitting my quota of qualified sales meetings and generating high-intent pipeline opportunities.
• Impact if missed or done wrong: Lost sales opportunities and missed quota.
• How measured: Yes.</t>
        </is>
      </c>
      <c r="EZ170" s="53" t="inlineStr">
        <is>
          <t>• Current capabilities: Customise outreach.
• Tools / software used: Zoominfo.
• Workload: Rated a moderate load · 3/5 in a typical week.
• Judgment/way of working: Knowing when to adapt messaging based on prospect cues instead of following a script.</t>
        </is>
      </c>
      <c r="FA170" s="53" t="inlineStr">
        <is>
          <t>• Development priorities: Advanced sales strategy, strategic account mapping, and closing complex enterprise deals.
• Learning and Development Need: 1-on-1 mentorship. Quality over quantity matters more than hitting raw activity metrics.
• Role evolving toward: Shifting from high-volume cold outreach to quality-driven, account-based targeting powered by AI and intent signals; Not sure yet.</t>
        </is>
      </c>
      <c r="FB170" s="53" t="inlineStr">
        <is>
          <t>• Key challenges: Outdated outreach data.
• Support required: Better tools for prospect data enrichment and real-time intent signals to boost outreach conversion.</t>
        </is>
      </c>
      <c r="FC170" s="53" t="n"/>
      <c r="FD170" s="53" t="n"/>
      <c r="FE170" s="55" t="inlineStr">
        <is>
          <t>KRAs not received · manager to supply</t>
        </is>
      </c>
      <c r="FF170" s="56" t="n"/>
      <c r="FG170" s="56" t="n"/>
      <c r="FH170" s="56" t="n"/>
      <c r="FI170" s="56" t="n"/>
      <c r="FJ170" s="32" t="inlineStr">
        <is>
          <t>KRAs not received · manager to supply</t>
        </is>
      </c>
      <c r="FK170" s="56" t="n"/>
      <c r="FL170" s="56" t="n">
        <v>20</v>
      </c>
      <c r="FM170" s="56" t="inlineStr">
        <is>
          <t>• Role / sub-team: Marketing — Senior Sales Development Representative .
• Core purpose: My core goal is to reach out to target accounts, book meetings, and build sales opportunities. Outreach to potential prospects, ICPs to schedule meetings to generate opportunities as a SDR.
• Decision-making autonomy: Can independently outreach execution.
• Is this something only they do: Only a few dedicated enterprise SDRs do ABM outreach do this; most focus on standard high-volume outreach.
• What's different about this role: Targeting multi-stakeholder buyer committees using tailored ABM tools, multi-threaded outreach, and 150 plus calls; Targeting multiple decision-makers at once with custom messaging, specialized intent tools, and higher deal stakes.</t>
        </is>
      </c>
      <c r="FN170" s="56" t="inlineStr">
        <is>
          <t>• Key responsibilities include: Outbound outreach; Booking qualified meeting; Account based outreach; Sequences; CRM hygiene.
• Personally accountable for: I am directly accountable for consistently hitting my quota of qualified sales meetings and generating high-intent pipeline opportunities.
• Impact if missed or done wrong: Lost sales opportunities and missed quota.
• How measured: Yes.</t>
        </is>
      </c>
      <c r="FO170" s="56" t="inlineStr">
        <is>
          <t>• Current capabilities: Customise outreach.
• Tools / software used: Zoominfo.
• Workload: Rated a moderate load · 3/5 in a typical week.
• Judgment/way of working: Knowing when to adapt messaging based on prospect cues instead of following a script.</t>
        </is>
      </c>
      <c r="FP170" s="56" t="inlineStr">
        <is>
          <t>• Development priorities: Advanced sales strategy, strategic account mapping, and closing complex enterprise deals.
• Learning and Development Need: 1-on-1 mentorship. Quality over quantity matters more than hitting raw activity metrics.
• Role evolving toward: Shifting from high-volume cold outreach to quality-driven, account-based targeting powered by AI and intent signals; Not sure yet.</t>
        </is>
      </c>
      <c r="FQ170" s="56" t="inlineStr">
        <is>
          <t>• Key challenges: Outdated outreach data.
• Support required: Better tools for prospect data enrichment and real-time intent signals to boost outreach conversion.</t>
        </is>
      </c>
      <c r="FR170" s="56" t="inlineStr">
        <is>
          <t>Complexity: Evidence reads like A3: ABM outreach to multi-stakeholder enterprise buying committees with tailored messaging, intent tools, 150+ calls → matches the start
Autonomy: Evidence reads like A2: Decides outreach execution only → moved down 0.5
Accountability: Evidence reads like A2: Accountable for own quota of qualified meetings and pipeline opportunities → moved down 0.5
Leadership: Evidence reads like A1: No guidance or leadership of others described → moved down 0.5
Business Impact: No survey or manager-mapping signal on criticality: kept at the start point.</t>
        </is>
      </c>
      <c r="FS170" s="56" t="inlineStr">
        <is>
          <t>Common themes in role-holders' answers: core · sales · schedule · meetings · opportunities · sdr
Common themes in role-holders' answers: outreach · calls · linkedin
Common themes in role-holders' answers: pipeline · sales · qualified · meetings · opportunities · generating
If the work is missed · role-holders' themes: sales · pipeline · impact.</t>
        </is>
      </c>
      <c r="FT170" s="56" t="inlineStr">
        <is>
          <t>Self-identified: Client, sales &amp; stakeholders · Strategy &amp; business acumen · Broader exposure &amp; ownership
For the next role: Client, sales &amp; stakeholders · Strategy &amp; business acumen · Broader exposure &amp; ownership</t>
        </is>
      </c>
      <c r="FU170" s="56" t="inlineStr">
        <is>
          <t>Per-person summary · CARBON Mapping Master</t>
        </is>
      </c>
    </row>
    <row r="171" ht="90" customHeight="1">
      <c r="A171" s="51" t="inlineStr">
        <is>
          <t>◂ Back</t>
        </is>
      </c>
      <c r="B171" s="29" t="inlineStr">
        <is>
          <t>Mapped</t>
        </is>
      </c>
      <c r="C171" s="28" t="inlineStr">
        <is>
          <t>CARBON</t>
        </is>
      </c>
      <c r="D171" s="29" t="inlineStr">
        <is>
          <t>IRIS2546</t>
        </is>
      </c>
      <c r="E171" s="29" t="inlineStr">
        <is>
          <t>Adithya Nair</t>
        </is>
      </c>
      <c r="F171" s="29" t="inlineStr">
        <is>
          <t>Marketing</t>
        </is>
      </c>
      <c r="G171" s="29" t="inlineStr">
        <is>
          <t>Sales Development Representative</t>
        </is>
      </c>
      <c r="H171" s="29" t="inlineStr">
        <is>
          <t>Sales Development Representative</t>
        </is>
      </c>
      <c r="I171" s="29" t="inlineStr">
        <is>
          <t>Not in current mapping files</t>
        </is>
      </c>
      <c r="J171" s="29" t="inlineStr">
        <is>
          <t>A2</t>
        </is>
      </c>
      <c r="K171" s="29" t="inlineStr">
        <is>
          <t>● Newly mapped</t>
        </is>
      </c>
      <c r="L171" s="29" t="inlineStr">
        <is>
          <t>Sales &amp; Business Development</t>
        </is>
      </c>
      <c r="M171" s="29" t="inlineStr">
        <is>
          <t>Sales Development &amp; Prospecting</t>
        </is>
      </c>
      <c r="N171" s="29" t="n"/>
      <c r="O171" s="29" t="n">
        <v>20</v>
      </c>
      <c r="P171" s="28" t="inlineStr">
        <is>
          <t>P1–P2</t>
        </is>
      </c>
      <c r="Q171" s="29" t="inlineStr">
        <is>
          <t>Entry / Developing</t>
        </is>
      </c>
      <c r="R171" s="29" t="inlineStr">
        <is>
          <t>2 Assist</t>
        </is>
      </c>
      <c r="S171" s="29" t="inlineStr">
        <is>
          <t>0–2 yrs</t>
        </is>
      </c>
      <c r="T171" s="29" t="inlineStr">
        <is>
          <t>1–3 · 0–3</t>
        </is>
      </c>
      <c r="U171" s="29" t="inlineStr">
        <is>
          <t>SDR · entry / SDR / Inside Sales</t>
        </is>
      </c>
      <c r="V171" s="29" t="inlineStr">
        <is>
          <t>IRIS Vs Competitor Benchmark — SaaS sales ladder — IC: SDR / BDR</t>
        </is>
      </c>
      <c r="W171" s="29" t="inlineStr">
        <is>
          <t>SaaS sales ladder · SDR → AE → Enterprise AE → VP / CRO; MEDDICC-style qualification</t>
        </is>
      </c>
      <c r="X171" s="29" t="inlineStr">
        <is>
          <t>Core 2 · Future 2 · Functional 2 · Leadership not scored</t>
        </is>
      </c>
      <c r="Y171" s="52" t="n">
        <v>520</v>
      </c>
      <c r="Z171" s="53" t="inlineStr">
        <is>
          <t>IRIS2546</t>
        </is>
      </c>
      <c r="AA171" s="53" t="inlineStr">
        <is>
          <t>Employee</t>
        </is>
      </c>
      <c r="AB171" s="53" t="inlineStr">
        <is>
          <t>Active</t>
        </is>
      </c>
      <c r="AC171" s="53" t="inlineStr">
        <is>
          <t>Adithya Nair</t>
        </is>
      </c>
      <c r="AD171" s="54" t="n">
        <v>46223</v>
      </c>
      <c r="AE171" s="53" t="inlineStr">
        <is>
          <t>Sales Development Representative</t>
        </is>
      </c>
      <c r="AF171" s="53" t="inlineStr">
        <is>
          <t>B.Tech</t>
        </is>
      </c>
      <c r="AG171" s="53" t="inlineStr">
        <is>
          <t>Prashant Sharad Jadhav</t>
        </is>
      </c>
      <c r="AH171" s="53" t="inlineStr">
        <is>
          <t>N-4</t>
        </is>
      </c>
      <c r="AI171" s="53" t="inlineStr">
        <is>
          <t>Individual Contributor</t>
        </is>
      </c>
      <c r="AJ171" s="53" t="inlineStr">
        <is>
          <t>1 years, 1 months, 0 days</t>
        </is>
      </c>
      <c r="AK171" s="53" t="inlineStr">
        <is>
          <t>0 years, 1 months, 5 days</t>
        </is>
      </c>
      <c r="AL171" s="53" t="inlineStr">
        <is>
          <t>Regtech</t>
        </is>
      </c>
      <c r="AM171" s="53" t="inlineStr">
        <is>
          <t>CARBON</t>
        </is>
      </c>
      <c r="AN171" s="53" t="inlineStr">
        <is>
          <t>Marketing</t>
        </is>
      </c>
      <c r="AO171" s="53" t="inlineStr">
        <is>
          <t>Marketing - SDR</t>
        </is>
      </c>
      <c r="AP171" s="53" t="inlineStr">
        <is>
          <t>No</t>
        </is>
      </c>
      <c r="AQ171" s="53" t="inlineStr">
        <is>
          <t>Sales, Marketing &amp; Support</t>
        </is>
      </c>
      <c r="AR171" s="53" t="inlineStr">
        <is>
          <t>Marketing</t>
        </is>
      </c>
      <c r="AS171" s="53" t="inlineStr">
        <is>
          <t>Non-technical</t>
        </is>
      </c>
      <c r="AT171" s="53" t="n">
        <v>20</v>
      </c>
      <c r="AU171" s="53" t="inlineStr">
        <is>
          <t>Covered</t>
        </is>
      </c>
      <c r="AV171" s="53" t="inlineStr">
        <is>
          <t>IRIS2546</t>
        </is>
      </c>
      <c r="AW171" s="53" t="inlineStr">
        <is>
          <t>Adithya Nair</t>
        </is>
      </c>
      <c r="AX171" s="53" t="inlineStr">
        <is>
          <t>Sales</t>
        </is>
      </c>
      <c r="AY171" s="53" t="inlineStr">
        <is>
          <t>Sales &amp; Business Development</t>
        </is>
      </c>
      <c r="AZ171" s="53" t="inlineStr">
        <is>
          <t>Sales Development · SDR</t>
        </is>
      </c>
      <c r="BA171" s="53" t="n"/>
      <c r="BB171" s="53" t="n"/>
      <c r="BC171" s="53" t="inlineStr">
        <is>
          <t>Employee</t>
        </is>
      </c>
      <c r="BD171" s="53" t="inlineStr">
        <is>
          <t>Anuradha RK</t>
        </is>
      </c>
      <c r="BE171" s="53" t="n"/>
      <c r="BF171" s="53" t="inlineStr">
        <is>
          <t>New entry</t>
        </is>
      </c>
      <c r="BG171" s="53" t="inlineStr">
        <is>
          <t>SDR</t>
        </is>
      </c>
      <c r="BH171" s="53" t="inlineStr">
        <is>
          <t>SDR</t>
        </is>
      </c>
      <c r="BI171" s="53" t="inlineStr">
        <is>
          <t>N/A · new entry</t>
        </is>
      </c>
      <c r="BJ171" s="53" t="inlineStr">
        <is>
          <t>—</t>
        </is>
      </c>
      <c r="BK171" s="53" t="inlineStr">
        <is>
          <t>—</t>
        </is>
      </c>
      <c r="BL171" s="53" t="inlineStr">
        <is>
          <t>—</t>
        </is>
      </c>
      <c r="BM171" s="53" t="inlineStr">
        <is>
          <t>Not a manager</t>
        </is>
      </c>
      <c r="BN171" s="53" t="inlineStr">
        <is>
          <t>—</t>
        </is>
      </c>
      <c r="BO171" s="53" t="inlineStr">
        <is>
          <t>—</t>
        </is>
      </c>
      <c r="BP171" s="53" t="inlineStr">
        <is>
          <t>—</t>
        </is>
      </c>
      <c r="BQ171" s="53" t="inlineStr">
        <is>
          <t>Not a manager</t>
        </is>
      </c>
      <c r="BR171" s="53" t="inlineStr">
        <is>
          <t>—</t>
        </is>
      </c>
      <c r="BS171" s="53" t="n"/>
      <c r="BT171" s="53" t="n"/>
      <c r="BU171" s="53" t="inlineStr">
        <is>
          <t>No designation change — current record value carried forward</t>
        </is>
      </c>
      <c r="BV171" s="53" t="n"/>
      <c r="BW171" s="53" t="n"/>
      <c r="BX171" s="53" t="inlineStr">
        <is>
          <t>USA.</t>
        </is>
      </c>
      <c r="BY171" s="53" t="n"/>
      <c r="BZ171" s="53" t="n"/>
      <c r="CA171" s="53" t="n"/>
      <c r="CB171" s="53" t="inlineStr">
        <is>
          <t>Active</t>
        </is>
      </c>
      <c r="CC171" s="53" t="inlineStr">
        <is>
          <t>Adithya Nair</t>
        </is>
      </c>
      <c r="CD171" s="53" t="n"/>
      <c r="CE171" s="53" t="inlineStr">
        <is>
          <t>SDR</t>
        </is>
      </c>
      <c r="CF171" s="53" t="inlineStr">
        <is>
          <t>"Reports to Anu: Cold calling, Scheduling Demo, Tools used - Linkedin Sales navigator · To fetch number of customers shared by Database Team:</t>
        </is>
      </c>
      <c r="CG171" s="53" t="inlineStr">
        <is>
          <t>Sales &amp; Business Development</t>
        </is>
      </c>
      <c r="CH171" s="53" t="inlineStr">
        <is>
          <t>Sales Development · SDR</t>
        </is>
      </c>
      <c r="CI171" s="53" t="n"/>
      <c r="CJ171" s="53" t="n"/>
      <c r="CK171" s="53" t="n"/>
      <c r="CL171" s="53" t="n"/>
      <c r="CM171" s="53" t="n"/>
      <c r="CN171" s="53" t="n"/>
      <c r="CO171" s="53" t="n"/>
      <c r="CP171" s="53" t="n"/>
      <c r="CQ171" s="53" t="n"/>
      <c r="CR171" s="53" t="n"/>
      <c r="CS171" s="53" t="n"/>
      <c r="CT171" s="53" t="n"/>
      <c r="CU171" s="53" t="n"/>
      <c r="CV171" s="53" t="n"/>
      <c r="CW171" s="53" t="n"/>
      <c r="CX171" s="53" t="n"/>
      <c r="CY171" s="53" t="n"/>
      <c r="CZ171" s="53" t="n"/>
      <c r="DA171" s="53" t="n"/>
      <c r="DB171" s="53" t="inlineStr">
        <is>
          <t>Reporting to New SDR Manager US</t>
        </is>
      </c>
      <c r="DC171" s="53" t="n"/>
      <c r="DD171" s="53" t="n"/>
      <c r="DE171" s="53" t="n"/>
      <c r="DF171" s="53" t="n"/>
      <c r="DG171" s="53" t="n"/>
      <c r="DH171" s="53" t="n"/>
      <c r="DI171" s="53" t="n"/>
      <c r="DJ171" s="53" t="n"/>
      <c r="DK171" s="53" t="n"/>
      <c r="DL171" s="53" t="n"/>
      <c r="DM171" s="53" t="n"/>
      <c r="DN171" s="53" t="n"/>
      <c r="DO171" s="53" t="n"/>
      <c r="DP171" s="53" t="n"/>
      <c r="DQ171" s="53" t="n"/>
      <c r="DR171" s="53" t="n"/>
      <c r="DS171" s="53" t="n"/>
      <c r="DT171" s="53" t="n"/>
      <c r="DU171" s="53" t="n"/>
      <c r="DV171" s="53" t="n"/>
      <c r="DW171" s="53" t="n"/>
      <c r="DX171" s="53" t="n"/>
      <c r="DY171" s="53" t="n"/>
      <c r="DZ171" s="53" t="n"/>
      <c r="EA171" s="53" t="n"/>
      <c r="EB171" s="53" t="n"/>
      <c r="EC171" s="53" t="n"/>
      <c r="ED171" s="53" t="n"/>
      <c r="EE171" s="53" t="n"/>
      <c r="EF171" s="53" t="n"/>
      <c r="EG171" s="53" t="n"/>
      <c r="EH171" s="53" t="n"/>
      <c r="EI171" s="53" t="n"/>
      <c r="EJ171" s="53" t="n"/>
      <c r="EK171" s="53" t="n"/>
      <c r="EL171" s="53" t="n"/>
      <c r="EM171" s="53" t="n"/>
      <c r="EN171" s="53" t="n"/>
      <c r="EO171" s="53" t="n"/>
      <c r="EP171" s="53" t="n"/>
      <c r="EQ171" s="53" t="n"/>
      <c r="ER171" s="53" t="n"/>
      <c r="ES171" s="53" t="n"/>
      <c r="ET171" s="53" t="n"/>
      <c r="EU171" s="53" t="n"/>
      <c r="EV171" s="53" t="n"/>
      <c r="EW171" s="52" t="n"/>
      <c r="EX171" s="53" t="inlineStr">
        <is>
          <t>• Role / sub-team: Sales —  SDR.
• Core purpose: Outreach to potential clients for strategic partnerships or to explore product fit.
• Decision-making autonomy: Can independently outreach; Emails.
• Is this something only they do: Most of us.
• What's different about this role: Shortlisting prospects; Emails- hyper personalised with data points on the company before outreach
Planning the day- choosing the accounts to outreach before the day.</t>
        </is>
      </c>
      <c r="EY171" s="53" t="inlineStr">
        <is>
          <t>• Key responsibilities include: Client outreach; Partnership building; Product introduction; Educating prospect; Qualification lead; CRM hygiene.
• Personally accountable for: If the client doesnt show up for the meeting or if he is not a relevant person.
• Impact if missed or done wrong: The qualification of the pipeline is affected and outcome wont translate to meetings.
• How measured: Same as everyone.</t>
        </is>
      </c>
      <c r="EZ171" s="53" t="inlineStr">
        <is>
          <t>• Current capabilities: Linkedin outreach; Prospecting; Email drafting; SEC framework; ESG framework.
• Tools / software used: Linkedin; Hubspot; Power dialer.
• Workload: Rated a heavy load · 4/5 in a typical week.
• Judgment/way of working: Judgement call, finding new accounts which could have potential via targeted search and outreach.</t>
        </is>
      </c>
      <c r="FA171" s="53" t="inlineStr">
        <is>
          <t>• Development priorities: I want to be a part of the entire sales pipeline, while prospecting maybe the start of the funnel one must be exposed to the deal closes as well since that is the goal career wise; More interaction with customers with more deeper integration with product functional team and the sales closing team.
• Learning and Development Need: Mock calls; Support to change methods; Product training. Database issues and needing to manually check for right icps in each company due to oudated data; Linkedin works, and it needs a slower but more targetted approach , a pitch that shows value gets a response; Lesser connects so each connect is important.
• Role evolving toward: Theres discussions for new tools to improve outreach
Better on ground marketing by being involved with summits.</t>
        </is>
      </c>
      <c r="FB171" s="53" t="inlineStr">
        <is>
          <t>• Key challenges: Database issue; Wrong ICPS assigned; No parallel dialler; No sales nav; Unorganized outdated data; Lack of real connects.
• Support required: Power dialler , along with parallel dialling capacity will improve the number of calls and connects
Sales navigator will unlock more connects and messages on linkedin; Better database, with more updated icps and data lesser wrong numbers 
More focus on automating tasks that can be automated ro save time and improve outputs.</t>
        </is>
      </c>
      <c r="FC171" s="53" t="n"/>
      <c r="FD171" s="53" t="n"/>
      <c r="FE171" s="55" t="inlineStr">
        <is>
          <t>KRAs not received · manager to supply</t>
        </is>
      </c>
      <c r="FF171" s="56" t="n"/>
      <c r="FG171" s="56" t="n"/>
      <c r="FH171" s="56" t="n"/>
      <c r="FI171" s="56" t="inlineStr">
        <is>
          <t>"Reports to Anu : Cold calling, Scheduling Demo, Tools used - Linkedin Sales navigator · To fetch number of customers shared by Database Team:</t>
        </is>
      </c>
      <c r="FJ171" s="32" t="inlineStr">
        <is>
          <t>KRAs not received · manager to supply</t>
        </is>
      </c>
      <c r="FK171" s="56" t="inlineStr">
        <is>
          <t>CARBON Talent Mapping · Raw</t>
        </is>
      </c>
      <c r="FL171" s="56" t="n">
        <v>20</v>
      </c>
      <c r="FM171" s="56" t="inlineStr">
        <is>
          <t>• Role / sub-team: Sales —  SDR.
• Core purpose: Outreach to potential clients for strategic partnerships or to explore product fit.
• Decision-making autonomy: Can independently outreach; Emails.
• Is this something only they do: Most of us.
• What's different about this role: Shortlisting prospects; Emails- hyper personalised with data points on the company before outreach
Planning the day- choosing the accounts to outreach before the day.</t>
        </is>
      </c>
      <c r="FN171" s="56" t="inlineStr">
        <is>
          <t>• Key responsibilities include: Client outreach; Partnership building; Product introduction; Educating prospect; Qualification lead; CRM hygiene.
• Personally accountable for: If the client doesnt show up for the meeting or if he is not a relevant person.
• Impact if missed or done wrong: The qualification of the pipeline is affected and outcome wont translate to meetings.
• How measured: Same as everyone.</t>
        </is>
      </c>
      <c r="FO171" s="56" t="inlineStr">
        <is>
          <t>• Current capabilities: Linkedin outreach; Prospecting; Email drafting; SEC framework; ESG framework.
• Tools / software used: Linkedin; Hubspot; Power dialer.
• Workload: Rated a heavy load · 4/5 in a typical week.
• Judgment/way of working: Judgement call, finding new accounts which could have potential via targeted search and outreach.</t>
        </is>
      </c>
      <c r="FP171" s="56" t="inlineStr">
        <is>
          <t>• Development priorities: I want to be a part of the entire sales pipeline, while prospecting maybe the start of the funnel one must be exposed to the deal closes as well since that is the goal career wise; More interaction with customers with more deeper integration with product functional team and the sales closing team.
• Learning and Development Need: Mock calls; Support to change methods; Product training. Database issues and needing to manually check for right icps in each company due to oudated data; Linkedin works, and it needs a slower but more targetted approach , a pitch that shows value gets a response; Lesser connects so each connect is important.
• Role evolving toward: Theres discussions for new tools to improve outreach
Better on ground marketing by being involved with summits.</t>
        </is>
      </c>
      <c r="FQ171" s="56" t="inlineStr">
        <is>
          <t>• Key challenges: Database issue; Wrong ICPS assigned; No parallel dialler; No sales nav; Unorganized outdated data; Lack of real connects.
• Support required: Power dialler , along with parallel dialling capacity will improve the number of calls and connects
Sales navigator will unlock more connects and messages on linkedin; Better database, with more updated icps and data lesser wrong numbers 
More focus on automating tasks that can be automated ro save time and improve outputs.</t>
        </is>
      </c>
      <c r="FR171" s="56" t="inlineStr">
        <is>
          <t>Complexity: Evidence reads like A2: Prospect shortlisting, personalised emails, LinkedIn and dialler outreach, lead qualification, CRM hygiene → matches the start
Autonomy: Evidence reads like A2: Decides own outreach and emails; chooses the day's accounts → matches the start
Accountability: Evidence reads like A2: Accountable if the booked contact does not show up or is not relevant → matches the start
Leadership: Evidence reads like A1: No guidance or leadership of others described → matches the start
Business Impact: No survey or manager-mapping signal on criticality: kept at the start point.</t>
        </is>
      </c>
      <c r="FS171" s="56" t="inlineStr">
        <is>
          <t>Common themes in role-holders' answers: scheduling · customers shared · sales · cold · navigator fetch · database
Common themes in role-holders' answers: building · crm · outreach · linkedin · right · company
Common themes in role-holders' answers: discovery · meetings · revenue
Common themes in role-holders' answers: if · relevant · meeting · lead
Common themes in role-holders' answers: outreach
If the work is missed · role-holders' themes: pipeline.</t>
        </is>
      </c>
      <c r="FT171" s="56" t="inlineStr">
        <is>
          <t>Self-identified: Client, sales &amp; stakeholders
For the next role: Product &amp; tool knowledge · Client, sales &amp; stakeholders</t>
        </is>
      </c>
      <c r="FU171" s="56" t="inlineStr">
        <is>
          <t>Per-person summary · CARBON Mapping Master</t>
        </is>
      </c>
    </row>
    <row r="172" ht="90" customHeight="1">
      <c r="A172" s="51" t="inlineStr">
        <is>
          <t>◂ Back</t>
        </is>
      </c>
      <c r="B172" s="29" t="inlineStr">
        <is>
          <t>Mapped</t>
        </is>
      </c>
      <c r="C172" s="28" t="inlineStr">
        <is>
          <t>CARBON</t>
        </is>
      </c>
      <c r="D172" s="29" t="inlineStr">
        <is>
          <t>IRIS1734</t>
        </is>
      </c>
      <c r="E172" s="29" t="inlineStr">
        <is>
          <t>Rohit Bansal</t>
        </is>
      </c>
      <c r="F172" s="29" t="inlineStr">
        <is>
          <t>Sales</t>
        </is>
      </c>
      <c r="G172" s="29" t="inlineStr">
        <is>
          <t>Senior Manager Sales</t>
        </is>
      </c>
      <c r="H172" s="29" t="inlineStr">
        <is>
          <t>Lead Account Executive</t>
        </is>
      </c>
      <c r="I172" s="29" t="inlineStr">
        <is>
          <t>Not in current mapping files</t>
        </is>
      </c>
      <c r="J172" s="29" t="inlineStr">
        <is>
          <t>B2</t>
        </is>
      </c>
      <c r="K172" s="29" t="inlineStr">
        <is>
          <t>● Newly mapped</t>
        </is>
      </c>
      <c r="L172" s="29" t="inlineStr">
        <is>
          <t>Sales &amp; Business Development</t>
        </is>
      </c>
      <c r="M172" s="29" t="inlineStr">
        <is>
          <t>Sales Leadership</t>
        </is>
      </c>
      <c r="N172" s="29" t="n"/>
      <c r="O172" s="29" t="n">
        <v>20</v>
      </c>
      <c r="P172" s="28" t="inlineStr">
        <is>
          <t>P4 / M3</t>
        </is>
      </c>
      <c r="Q172" s="29" t="inlineStr">
        <is>
          <t>Senior / Manager</t>
        </is>
      </c>
      <c r="R172" s="29" t="inlineStr">
        <is>
          <t>4–5</t>
        </is>
      </c>
      <c r="S172" s="29" t="inlineStr">
        <is>
          <t>6–9 yrs</t>
        </is>
      </c>
      <c r="T172" s="29" t="inlineStr">
        <is>
          <t>7–10 · 6–11</t>
        </is>
      </c>
      <c r="U172" s="29" t="inlineStr">
        <is>
          <t>Enterprise / Strategic AE</t>
        </is>
      </c>
      <c r="V172" s="29" t="inlineStr">
        <is>
          <t>IRIS Vs Competitor Benchmark — SaaS sales ladder — IC: Mid-Market AE · IRIS Vs Competitor Benchmark — SaaS sales ladder — management: Sales Manager</t>
        </is>
      </c>
      <c r="W172" s="29" t="inlineStr">
        <is>
          <t>SaaS sales ladder · SDR → AE → Enterprise AE → VP / CRO; MEDDICC-style qualification</t>
        </is>
      </c>
      <c r="X172" s="29" t="inlineStr">
        <is>
          <t>Core 3 · Future 3 · Functional 4 · Leadership 2</t>
        </is>
      </c>
      <c r="Y172" s="52" t="n">
        <v>150</v>
      </c>
      <c r="Z172" s="53" t="inlineStr">
        <is>
          <t>IRIS1734</t>
        </is>
      </c>
      <c r="AA172" s="53" t="inlineStr">
        <is>
          <t>Employee</t>
        </is>
      </c>
      <c r="AB172" s="53" t="inlineStr">
        <is>
          <t>Active</t>
        </is>
      </c>
      <c r="AC172" s="53" t="inlineStr">
        <is>
          <t>Rohit Bansal</t>
        </is>
      </c>
      <c r="AD172" s="54" t="n">
        <v>43311</v>
      </c>
      <c r="AE172" s="53" t="inlineStr">
        <is>
          <t>Senior Manager Sales</t>
        </is>
      </c>
      <c r="AF172" s="53" t="inlineStr">
        <is>
          <t>MBA</t>
        </is>
      </c>
      <c r="AG172" s="53" t="inlineStr">
        <is>
          <t>Anuradha Rk</t>
        </is>
      </c>
      <c r="AH172" s="53" t="inlineStr">
        <is>
          <t>N-3</t>
        </is>
      </c>
      <c r="AI172" s="53" t="inlineStr">
        <is>
          <t>Individual Contributor</t>
        </is>
      </c>
      <c r="AJ172" s="53" t="inlineStr">
        <is>
          <t>8 years, 4 months, 0 days</t>
        </is>
      </c>
      <c r="AK172" s="53" t="inlineStr">
        <is>
          <t>8 years, 0 months, 26 days</t>
        </is>
      </c>
      <c r="AL172" s="53" t="inlineStr">
        <is>
          <t>Regtech</t>
        </is>
      </c>
      <c r="AM172" s="53" t="inlineStr">
        <is>
          <t>CARBON</t>
        </is>
      </c>
      <c r="AN172" s="53" t="inlineStr">
        <is>
          <t>Sales</t>
        </is>
      </c>
      <c r="AO172" s="53" t="inlineStr">
        <is>
          <t>Sales</t>
        </is>
      </c>
      <c r="AP172" s="53" t="inlineStr">
        <is>
          <t>No</t>
        </is>
      </c>
      <c r="AQ172" s="53" t="inlineStr">
        <is>
          <t>Sales, Marketing &amp; Support</t>
        </is>
      </c>
      <c r="AR172" s="53" t="inlineStr">
        <is>
          <t>Sales</t>
        </is>
      </c>
      <c r="AS172" s="53" t="inlineStr">
        <is>
          <t>Non-technical</t>
        </is>
      </c>
      <c r="AT172" s="53" t="n">
        <v>20</v>
      </c>
      <c r="AU172" s="53" t="inlineStr">
        <is>
          <t>Covered</t>
        </is>
      </c>
      <c r="AV172" s="53" t="inlineStr">
        <is>
          <t>IRIS1734</t>
        </is>
      </c>
      <c r="AW172" s="53" t="inlineStr">
        <is>
          <t>Rohit Bansal</t>
        </is>
      </c>
      <c r="AX172" s="53" t="inlineStr">
        <is>
          <t>Sales</t>
        </is>
      </c>
      <c r="AY172" s="53" t="inlineStr">
        <is>
          <t>Sales &amp; Business Development</t>
        </is>
      </c>
      <c r="AZ172" s="53" t="inlineStr">
        <is>
          <t>Enterprise sales</t>
        </is>
      </c>
      <c r="BA172" s="53" t="n"/>
      <c r="BB172" s="53" t="n"/>
      <c r="BC172" s="53" t="inlineStr">
        <is>
          <t>Employee</t>
        </is>
      </c>
      <c r="BD172" s="53" t="inlineStr">
        <is>
          <t>Anuradha Rk</t>
        </is>
      </c>
      <c r="BE172" s="53" t="inlineStr">
        <is>
          <t>Anuradha RK</t>
        </is>
      </c>
      <c r="BF172" s="53" t="inlineStr">
        <is>
          <t>New entry</t>
        </is>
      </c>
      <c r="BG172" s="53" t="inlineStr">
        <is>
          <t>Head Client Solutions</t>
        </is>
      </c>
      <c r="BH172" s="53" t="inlineStr">
        <is>
          <t>Senior Manager - Sales</t>
        </is>
      </c>
      <c r="BI172" s="53" t="inlineStr">
        <is>
          <t>N/A · new entry</t>
        </is>
      </c>
      <c r="BJ172" s="53" t="inlineStr">
        <is>
          <t>—</t>
        </is>
      </c>
      <c r="BK172" s="53" t="inlineStr">
        <is>
          <t>—</t>
        </is>
      </c>
      <c r="BL172" s="53" t="inlineStr">
        <is>
          <t>—</t>
        </is>
      </c>
      <c r="BM172" s="53" t="inlineStr">
        <is>
          <t>Not a manager</t>
        </is>
      </c>
      <c r="BN172" s="53" t="inlineStr">
        <is>
          <t>—</t>
        </is>
      </c>
      <c r="BO172" s="53" t="inlineStr">
        <is>
          <t>—</t>
        </is>
      </c>
      <c r="BP172" s="53" t="inlineStr">
        <is>
          <t>—</t>
        </is>
      </c>
      <c r="BQ172" s="53" t="inlineStr">
        <is>
          <t>Not a manager</t>
        </is>
      </c>
      <c r="BR172" s="53" t="inlineStr">
        <is>
          <t>—</t>
        </is>
      </c>
      <c r="BS172" s="53" t="n"/>
      <c r="BT172" s="53" t="n"/>
      <c r="BU172" s="53" t="inlineStr">
        <is>
          <t>No designation change — current record value carried forward</t>
        </is>
      </c>
      <c r="BV172" s="53" t="n"/>
      <c r="BW172" s="53" t="n"/>
      <c r="BX172" s="53" t="inlineStr">
        <is>
          <t>Not region specific; But focus on EU and US.</t>
        </is>
      </c>
      <c r="BY172" s="53" t="n"/>
      <c r="BZ172" s="53" t="inlineStr">
        <is>
          <t>IRIS1734</t>
        </is>
      </c>
      <c r="CA172" s="53" t="inlineStr">
        <is>
          <t>Employee</t>
        </is>
      </c>
      <c r="CB172" s="53" t="inlineStr">
        <is>
          <t>Active</t>
        </is>
      </c>
      <c r="CC172" s="53" t="inlineStr">
        <is>
          <t>Rohit Bansal</t>
        </is>
      </c>
      <c r="CD172" s="53" t="n">
        <v>40</v>
      </c>
      <c r="CE172" s="53" t="inlineStr">
        <is>
          <t>Head Client Solutions</t>
        </is>
      </c>
      <c r="CF172" s="53" t="inlineStr">
        <is>
          <t>EU Region: Understand the shortlisted customers details from SDR team, schedule the discovery call, demo call and make the presetation/Demo to the client - Follow up -till the deal closure  along with price negotiations</t>
        </is>
      </c>
      <c r="CG172" s="53" t="inlineStr">
        <is>
          <t>Sales &amp; Business Development</t>
        </is>
      </c>
      <c r="CH172" s="53" t="inlineStr">
        <is>
          <t>Sales / Account Management</t>
        </is>
      </c>
      <c r="CI172" s="53" t="inlineStr">
        <is>
          <t>Head Client Solutions</t>
        </is>
      </c>
      <c r="CJ172" s="53" t="inlineStr">
        <is>
          <t>L7 – Head / Sr Director</t>
        </is>
      </c>
      <c r="CK172" s="53" t="inlineStr">
        <is>
          <t>Anuradha Rk</t>
        </is>
      </c>
      <c r="CL172" s="53" t="inlineStr">
        <is>
          <t>N-3</t>
        </is>
      </c>
      <c r="CM172" s="53" t="n"/>
      <c r="CN172" s="53" t="inlineStr">
        <is>
          <t>Individual Contributor</t>
        </is>
      </c>
      <c r="CO172" s="53" t="inlineStr">
        <is>
          <t>Sales</t>
        </is>
      </c>
      <c r="CP172" s="53" t="inlineStr">
        <is>
          <t>8 years, 4 months, 0 days</t>
        </is>
      </c>
      <c r="CQ172" s="53" t="n"/>
      <c r="CR172" s="53" t="inlineStr">
        <is>
          <t>7 years, 10 months, 21 days</t>
        </is>
      </c>
      <c r="CS172" s="53" t="inlineStr">
        <is>
          <t>16 years, 2 months, 21 days</t>
        </is>
      </c>
      <c r="CT172" s="53" t="n"/>
      <c r="CU172" s="53" t="n"/>
      <c r="CV172" s="53" t="n"/>
      <c r="CW172" s="53" t="inlineStr">
        <is>
          <t>Regtech</t>
        </is>
      </c>
      <c r="CX172" s="53" t="inlineStr">
        <is>
          <t>CARBON</t>
        </is>
      </c>
      <c r="CY172" s="53" t="inlineStr">
        <is>
          <t>Sales</t>
        </is>
      </c>
      <c r="CZ172" s="53" t="inlineStr">
        <is>
          <t>Sales</t>
        </is>
      </c>
      <c r="DA172" s="53" t="inlineStr">
        <is>
          <t>No</t>
        </is>
      </c>
      <c r="DB172" s="53" t="inlineStr">
        <is>
          <t>Sales, Marketing &amp; Support</t>
        </is>
      </c>
      <c r="DC172" s="53" t="n"/>
      <c r="DD172" s="53" t="n"/>
      <c r="DE172" s="53" t="n"/>
      <c r="DF172" s="53" t="n"/>
      <c r="DG172" s="53" t="n"/>
      <c r="DH172" s="53" t="n"/>
      <c r="DI172" s="53" t="n"/>
      <c r="DJ172" s="53" t="n"/>
      <c r="DK172" s="53" t="n"/>
      <c r="DL172" s="53" t="n"/>
      <c r="DM172" s="53" t="n"/>
      <c r="DN172" s="53" t="n"/>
      <c r="DO172" s="53" t="n"/>
      <c r="DP172" s="53" t="n"/>
      <c r="DQ172" s="53" t="n"/>
      <c r="DR172" s="53" t="n"/>
      <c r="DS172" s="53" t="n"/>
      <c r="DT172" s="53" t="n"/>
      <c r="DU172" s="53" t="n"/>
      <c r="DV172" s="53" t="n"/>
      <c r="DW172" s="53" t="n"/>
      <c r="DX172" s="53" t="n"/>
      <c r="DY172" s="53" t="n"/>
      <c r="DZ172" s="53" t="n"/>
      <c r="EA172" s="53" t="n"/>
      <c r="EB172" s="53" t="n"/>
      <c r="EC172" s="53" t="n"/>
      <c r="ED172" s="53" t="n"/>
      <c r="EE172" s="53" t="n"/>
      <c r="EF172" s="53" t="n"/>
      <c r="EG172" s="53" t="n"/>
      <c r="EH172" s="53" t="n"/>
      <c r="EI172" s="53" t="n"/>
      <c r="EJ172" s="53" t="n"/>
      <c r="EK172" s="53" t="n"/>
      <c r="EL172" s="53" t="n"/>
      <c r="EM172" s="53" t="n"/>
      <c r="EN172" s="53" t="n"/>
      <c r="EO172" s="53" t="n"/>
      <c r="EP172" s="53" t="n"/>
      <c r="EQ172" s="53" t="n"/>
      <c r="ER172" s="53" t="n"/>
      <c r="ES172" s="53" t="n"/>
      <c r="ET172" s="53" t="n"/>
      <c r="EU172" s="53" t="n"/>
      <c r="EV172" s="53" t="n"/>
      <c r="EW172" s="52" t="n"/>
      <c r="EX172" s="53" t="inlineStr">
        <is>
          <t>• Role / sub-team: Sales — Senior Manager Sales.
• Core purpose: To drive business growth by identifying new opportunities, building strong client relationships, converting prospects into long-term customers, and delivering right value to both clients and business.
• Decision-making autonomy: Can independently drive deals; Pursue opportunities; Building proposals.
• Is this something only they do: I independently own key accounts, opportunities, and revenue targets, while working closely with cross-functional teams to deliver results.
• What's different about this role: The passion of winning and driving revenues. Remain on top of the things to ensure we don't miss out on the opportunities.</t>
        </is>
      </c>
      <c r="EY172" s="53" t="inlineStr">
        <is>
          <t>• Key responsibilities include: Revenue growth; Building healthy pipeline; Maintaining Relationships; Architecting deals; Understanding requirement.
• Personally accountable for: Responsible for revenue generation, customer acquisition, and understanding right requirements of our prospects.
• Impact if missed or done wrong: Can result in lost opportunities, revenue impact and customers/prospects dissatisfaction.
• How measured: Different — primarily measured by revenue, pipeline, conversions, and customer closed.</t>
        </is>
      </c>
      <c r="EZ172" s="53" t="inlineStr">
        <is>
          <t>• Current capabilities: Consultative selling; Client relationship; Requirements gathering; Negotiations; Core domain knowledge; Financial reporting.
• Tools / software used: CRM tools like HubSpot; IRIS CARBON.
• Workload: Rated a heavy load · 4/5 in a typical week.
• Judgment/way of working: Business judgment, customer understanding, commercial thinking, and the ability to build trust.</t>
        </is>
      </c>
      <c r="FA172" s="53" t="inlineStr">
        <is>
          <t>• Development priorities: More enterprise accounts, Complex deal management.
• Learning and Development Need: On-the-job learning; Customer interactions; Mentorship; Hands-on experience in BD; Product fitment. Internal processes, I wish I had started focusing on BD earlier.
• Role evolving toward: Increasing focus on strategic sales, AI-driven capabilities and solutioning, and evolving customer needs.</t>
        </is>
      </c>
      <c r="FB172" s="53" t="inlineStr">
        <is>
          <t>• Key challenges: Long business cycles; Building Pipeline; Client education.
• Support required: Cross-function dependencies.</t>
        </is>
      </c>
      <c r="FC172" s="53" t="n"/>
      <c r="FD172" s="53" t="n"/>
      <c r="FE172" s="55" t="inlineStr">
        <is>
          <t>KRAs not received · manager to supply</t>
        </is>
      </c>
      <c r="FF172" s="56" t="n"/>
      <c r="FG172" s="56" t="n"/>
      <c r="FH172" s="56" t="n"/>
      <c r="FI172" s="56" t="inlineStr">
        <is>
          <t>EU Region: Understand the shortlisted customers details from SDR team, schedule the discovery call, demo call and make the presetation/Demo to the client - Follow up -till the deal closure  along with price negotiations</t>
        </is>
      </c>
      <c r="FJ172" s="32" t="inlineStr">
        <is>
          <t>KRAs not received · manager to supply</t>
        </is>
      </c>
      <c r="FK172" s="56" t="inlineStr">
        <is>
          <t>CARBON Talent Mapping · Raw</t>
        </is>
      </c>
      <c r="FL172" s="56" t="n">
        <v>20</v>
      </c>
      <c r="FM172" s="56" t="inlineStr">
        <is>
          <t>• Role / sub-team: Sales — Senior Manager Sales.
• Core purpose: To drive business growth by identifying new opportunities, building strong client relationships, converting prospects into long-term customers, and delivering right value to both clients and business.
• Decision-making autonomy: Can independently drive deals; Pursue opportunities; Building proposals.
• Is this something only they do: I independently own key accounts, opportunities, and revenue targets, while working closely with cross-functional teams to deliver results.
• What's different about this role: The passion of winning and driving revenues. Remain on top of the things to ensure we don't miss out on the opportunities.</t>
        </is>
      </c>
      <c r="FN172" s="56" t="inlineStr">
        <is>
          <t>• Key responsibilities include: Revenue growth; Building healthy pipeline; Maintaining Relationships; Architecting deals; Understanding requirement.
• Personally accountable for: Responsible for revenue generation, customer acquisition, and understanding right requirements of our prospects.
• Impact if missed or done wrong: Can result in lost opportunities, revenue impact and customers/prospects dissatisfaction.
• How measured: Different — primarily measured by revenue, pipeline, conversions, and customer closed.</t>
        </is>
      </c>
      <c r="FO172" s="56" t="inlineStr">
        <is>
          <t>• Current capabilities: Consultative selling; Client relationship; Requirements gathering; Negotiations; Core domain knowledge; Financial reporting.
• Tools / software used: CRM tools like HubSpot; IRIS CARBON.
• Workload: Rated a heavy load · 4/5 in a typical week.
• Judgment/way of working: Business judgment, customer understanding, commercial thinking, and the ability to build trust.</t>
        </is>
      </c>
      <c r="FP172" s="56" t="inlineStr">
        <is>
          <t>• Development priorities: More enterprise accounts, Complex deal management.
• Learning and Development Need: On-the-job learning; Customer interactions; Mentorship; Hands-on experience in BD; Product fitment. Internal processes, I wish I had started focusing on BD earlier.
• Role evolving toward: Increasing focus on strategic sales, AI-driven capabilities and solutioning, and evolving customer needs.</t>
        </is>
      </c>
      <c r="FQ172" s="56" t="inlineStr">
        <is>
          <t>• Key challenges: Long business cycles; Building Pipeline; Client education.
• Support required: Cross-function dependencies.</t>
        </is>
      </c>
      <c r="FR172" s="56" t="inlineStr">
        <is>
          <t>Complexity: Evidence reads like B1: Consultative selling: requirements gathering, architecting deals, proposals and negotiation in financial reporting domain → moved down 1
Autonomy: Evidence reads like B1: Independently drives deals, pursues opportunities and builds proposals on own key accounts → moved down 1
Accountability: Evidence reads like B2: Revenue generation and customer acquisition; owns key accounts and revenue targets → moved down 0.5
Leadership: Evidence reads like A1: Works with cross-functional teams; no people guidance described → moved down 1
Business Impact: No survey or manager-mapping signal on criticality: kept at the start point.</t>
        </is>
      </c>
      <c r="FS172" s="56" t="inlineStr">
        <is>
          <t>Common themes in sub-family holders, all levels' answers: client · follow till · negotiations · details sdr · understand · call
Common themes in sub-family holders, all levels' answers: building · partner
Common themes in sub-family holders, all levels' answers: sales
Common themes in sub-family holders, all levels' answers: revenue · generation · sales
If the work is missed · role-holders' themes: revenue · opportunities · lost.</t>
        </is>
      </c>
      <c r="FT172" s="56" t="inlineStr">
        <is>
          <t>Self-identified: Client, sales &amp; stakeholders · Broader exposure &amp; ownership
For the next role: Client, sales &amp; stakeholders · Broader exposure &amp; ownership</t>
        </is>
      </c>
      <c r="FU172" s="56" t="inlineStr">
        <is>
          <t>Per-person summary · CARBON Mapping Master</t>
        </is>
      </c>
    </row>
    <row r="173" ht="90" customHeight="1">
      <c r="A173" s="51" t="inlineStr">
        <is>
          <t>◂ Back</t>
        </is>
      </c>
      <c r="B173" s="29" t="inlineStr">
        <is>
          <t>Mapped</t>
        </is>
      </c>
      <c r="C173" s="28" t="inlineStr">
        <is>
          <t>CARBON</t>
        </is>
      </c>
      <c r="D173" s="29" t="inlineStr">
        <is>
          <t>IRIS2351</t>
        </is>
      </c>
      <c r="E173" s="29" t="inlineStr">
        <is>
          <t>Aniket Das</t>
        </is>
      </c>
      <c r="F173" s="29" t="inlineStr">
        <is>
          <t>Sales</t>
        </is>
      </c>
      <c r="G173" s="29" t="inlineStr">
        <is>
          <t>Senior Analyst, Strategy and Operations</t>
        </is>
      </c>
      <c r="H173" s="29" t="inlineStr">
        <is>
          <t>Sales Operations Specialist – POD Lead</t>
        </is>
      </c>
      <c r="I173" s="29" t="inlineStr">
        <is>
          <t>Not in current mapping files</t>
        </is>
      </c>
      <c r="J173" s="29" t="inlineStr">
        <is>
          <t>B1</t>
        </is>
      </c>
      <c r="K173" s="29" t="inlineStr">
        <is>
          <t>● Newly mapped</t>
        </is>
      </c>
      <c r="L173" s="29" t="inlineStr">
        <is>
          <t>Sales &amp; Business Development</t>
        </is>
      </c>
      <c r="M173" s="29" t="inlineStr">
        <is>
          <t>Bids, RFP &amp; Sales Operations</t>
        </is>
      </c>
      <c r="N173" s="29" t="n"/>
      <c r="O173" s="29" t="n">
        <v>20</v>
      </c>
      <c r="P173" s="28" t="inlineStr">
        <is>
          <t>P3 / M2</t>
        </is>
      </c>
      <c r="Q173" s="29" t="inlineStr">
        <is>
          <t>Career / · Team Lead</t>
        </is>
      </c>
      <c r="R173" s="29" t="inlineStr">
        <is>
          <t>4 Enable</t>
        </is>
      </c>
      <c r="S173" s="29" t="inlineStr">
        <is>
          <t>4–7 yrs</t>
        </is>
      </c>
      <c r="T173" s="29" t="inlineStr">
        <is>
          <t>5–8 · 4–8</t>
        </is>
      </c>
      <c r="U173" s="29" t="inlineStr">
        <is>
          <t>Account Executive</t>
        </is>
      </c>
      <c r="V173" s="29" t="inlineStr">
        <is>
          <t>IRIS Vs Competitor Benchmark — SaaS sales ladder — IC: Account Executive · SMB · IRIS Vs Competitor Benchmark — SaaS sales ladder — management: SDR Team Lead</t>
        </is>
      </c>
      <c r="W173" s="29" t="inlineStr">
        <is>
          <t>SaaS sales ladder · SDR → AE → Enterprise AE → VP / CRO; MEDDICC-style qualification</t>
        </is>
      </c>
      <c r="X173" s="29" t="inlineStr">
        <is>
          <t>Core 3 · Future 3 · Functional 3 · Leadership 2</t>
        </is>
      </c>
      <c r="Y173" s="52" t="n">
        <v>361</v>
      </c>
      <c r="Z173" s="53" t="inlineStr">
        <is>
          <t>IRIS2351</t>
        </is>
      </c>
      <c r="AA173" s="53" t="inlineStr">
        <is>
          <t>Employee</t>
        </is>
      </c>
      <c r="AB173" s="53" t="inlineStr">
        <is>
          <t>Active</t>
        </is>
      </c>
      <c r="AC173" s="53" t="inlineStr">
        <is>
          <t>Aniket Das</t>
        </is>
      </c>
      <c r="AD173" s="54" t="n">
        <v>45726</v>
      </c>
      <c r="AE173" s="53" t="inlineStr">
        <is>
          <t>Senior Analyst, Strategy and Operations</t>
        </is>
      </c>
      <c r="AF173" s="53" t="inlineStr">
        <is>
          <t>MBA</t>
        </is>
      </c>
      <c r="AG173" s="53" t="inlineStr">
        <is>
          <t>Anuradha Rk</t>
        </is>
      </c>
      <c r="AH173" s="53" t="inlineStr">
        <is>
          <t>N-3</t>
        </is>
      </c>
      <c r="AI173" s="53" t="inlineStr">
        <is>
          <t>Manager</t>
        </is>
      </c>
      <c r="AJ173" s="53" t="inlineStr">
        <is>
          <t>3 years, 8 months, 0 days</t>
        </is>
      </c>
      <c r="AK173" s="53" t="inlineStr">
        <is>
          <t>1 years, 5 months, 15 days</t>
        </is>
      </c>
      <c r="AL173" s="53" t="inlineStr">
        <is>
          <t>Regtech</t>
        </is>
      </c>
      <c r="AM173" s="53" t="inlineStr">
        <is>
          <t>CARBON</t>
        </is>
      </c>
      <c r="AN173" s="53" t="inlineStr">
        <is>
          <t>Sales</t>
        </is>
      </c>
      <c r="AO173" s="53" t="inlineStr">
        <is>
          <t>Sales</t>
        </is>
      </c>
      <c r="AP173" s="53" t="inlineStr">
        <is>
          <t>No</t>
        </is>
      </c>
      <c r="AQ173" s="53" t="inlineStr">
        <is>
          <t>Sales, Marketing &amp; Support</t>
        </is>
      </c>
      <c r="AR173" s="53" t="inlineStr">
        <is>
          <t>Sales</t>
        </is>
      </c>
      <c r="AS173" s="53" t="inlineStr">
        <is>
          <t>Non-technical</t>
        </is>
      </c>
      <c r="AT173" s="53" t="n">
        <v>20</v>
      </c>
      <c r="AU173" s="53" t="inlineStr">
        <is>
          <t>Covered</t>
        </is>
      </c>
      <c r="AV173" s="53" t="inlineStr">
        <is>
          <t>IRIS2351</t>
        </is>
      </c>
      <c r="AW173" s="53" t="inlineStr">
        <is>
          <t>Aniket Das</t>
        </is>
      </c>
      <c r="AX173" s="53" t="inlineStr">
        <is>
          <t>Sales</t>
        </is>
      </c>
      <c r="AY173" s="53" t="inlineStr">
        <is>
          <t>Sales &amp; Business Development</t>
        </is>
      </c>
      <c r="AZ173" s="53" t="inlineStr">
        <is>
          <t>Sales Operations - MIS Analytics</t>
        </is>
      </c>
      <c r="BA173" s="53" t="n"/>
      <c r="BB173" s="53" t="n"/>
      <c r="BC173" s="53" t="inlineStr">
        <is>
          <t>Employee</t>
        </is>
      </c>
      <c r="BD173" s="53" t="inlineStr">
        <is>
          <t>Anuradha Rk</t>
        </is>
      </c>
      <c r="BE173" s="53" t="inlineStr">
        <is>
          <t>Anuradha RK</t>
        </is>
      </c>
      <c r="BF173" s="53" t="inlineStr">
        <is>
          <t>New entry</t>
        </is>
      </c>
      <c r="BG173" s="53" t="inlineStr">
        <is>
          <t>Senior Analyst, Strategy and Operations</t>
        </is>
      </c>
      <c r="BH173" s="53" t="inlineStr">
        <is>
          <t>Senior Analyst, Strategy and Operations</t>
        </is>
      </c>
      <c r="BI173" s="53" t="inlineStr">
        <is>
          <t>N/A · new entry</t>
        </is>
      </c>
      <c r="BJ173" s="53" t="inlineStr">
        <is>
          <t>—</t>
        </is>
      </c>
      <c r="BK173" s="53" t="inlineStr">
        <is>
          <t>—</t>
        </is>
      </c>
      <c r="BL173" s="53" t="inlineStr">
        <is>
          <t>—</t>
        </is>
      </c>
      <c r="BM173" s="53" t="inlineStr">
        <is>
          <t>Not a manager</t>
        </is>
      </c>
      <c r="BN173" s="53" t="inlineStr">
        <is>
          <t>—</t>
        </is>
      </c>
      <c r="BO173" s="53" t="inlineStr">
        <is>
          <t>—</t>
        </is>
      </c>
      <c r="BP173" s="53" t="inlineStr">
        <is>
          <t>—</t>
        </is>
      </c>
      <c r="BQ173" s="53" t="inlineStr">
        <is>
          <t>Not a manager</t>
        </is>
      </c>
      <c r="BR173" s="53" t="inlineStr">
        <is>
          <t>—</t>
        </is>
      </c>
      <c r="BS173" s="53" t="n"/>
      <c r="BT173" s="53" t="n"/>
      <c r="BU173" s="53" t="inlineStr">
        <is>
          <t>No designation change — current record value carried forward</t>
        </is>
      </c>
      <c r="BV173" s="53" t="n"/>
      <c r="BW173" s="53" t="n"/>
      <c r="BX173" s="53" t="inlineStr">
        <is>
          <t>Entire Geo</t>
        </is>
      </c>
      <c r="BY173" s="53" t="n"/>
      <c r="BZ173" s="53" t="inlineStr">
        <is>
          <t>IRIS2351</t>
        </is>
      </c>
      <c r="CA173" s="53" t="inlineStr">
        <is>
          <t>Employee</t>
        </is>
      </c>
      <c r="CB173" s="53" t="inlineStr">
        <is>
          <t>Active</t>
        </is>
      </c>
      <c r="CC173" s="53" t="inlineStr">
        <is>
          <t>Aniket Das</t>
        </is>
      </c>
      <c r="CD173" s="54" t="n">
        <v>36167</v>
      </c>
      <c r="CE173" s="53" t="inlineStr">
        <is>
          <t>Senior Analyst, Strategy and Operations</t>
        </is>
      </c>
      <c r="CF173" s="53" t="inlineStr">
        <is>
          <t>Takes care of Sales data reporting, inbound database distribution, performance Dashboard maintenance for WBRX and Review meeting</t>
        </is>
      </c>
      <c r="CG173" s="53" t="inlineStr">
        <is>
          <t>Sales &amp; Business Development</t>
        </is>
      </c>
      <c r="CH173" s="53" t="inlineStr">
        <is>
          <t>Sales / Account Management</t>
        </is>
      </c>
      <c r="CI173" s="53" t="inlineStr">
        <is>
          <t>Senior Analyst, Strategy and Operations</t>
        </is>
      </c>
      <c r="CJ173" s="53" t="inlineStr">
        <is>
          <t>L4 – Senior</t>
        </is>
      </c>
      <c r="CK173" s="53" t="inlineStr">
        <is>
          <t>Anuradha Rk</t>
        </is>
      </c>
      <c r="CL173" s="53" t="inlineStr">
        <is>
          <t>N-3</t>
        </is>
      </c>
      <c r="CM173" s="53" t="n"/>
      <c r="CN173" s="53" t="inlineStr">
        <is>
          <t>Individual Contributor</t>
        </is>
      </c>
      <c r="CO173" s="53" t="inlineStr">
        <is>
          <t>Sales</t>
        </is>
      </c>
      <c r="CP173" s="53" t="inlineStr">
        <is>
          <t>3 years, 8 months, 0 days</t>
        </is>
      </c>
      <c r="CQ173" s="53" t="n"/>
      <c r="CR173" s="53" t="inlineStr">
        <is>
          <t>1 years, 3 months, 10 days</t>
        </is>
      </c>
      <c r="CS173" s="53" t="inlineStr">
        <is>
          <t>4 years, 11 months, 10 days</t>
        </is>
      </c>
      <c r="CT173" s="53" t="n"/>
      <c r="CU173" s="53" t="n"/>
      <c r="CV173" s="53" t="n"/>
      <c r="CW173" s="53" t="inlineStr">
        <is>
          <t>Regtech</t>
        </is>
      </c>
      <c r="CX173" s="53" t="inlineStr">
        <is>
          <t>CARBON</t>
        </is>
      </c>
      <c r="CY173" s="53" t="inlineStr">
        <is>
          <t>Sales</t>
        </is>
      </c>
      <c r="CZ173" s="53" t="inlineStr">
        <is>
          <t>Sales</t>
        </is>
      </c>
      <c r="DA173" s="53" t="inlineStr">
        <is>
          <t>No</t>
        </is>
      </c>
      <c r="DB173" s="53" t="inlineStr">
        <is>
          <t>Sales, Marketing &amp; Support</t>
        </is>
      </c>
      <c r="DC173" s="53" t="n"/>
      <c r="DD173" s="53" t="n"/>
      <c r="DE173" s="53" t="n"/>
      <c r="DF173" s="53" t="n"/>
      <c r="DG173" s="53" t="n"/>
      <c r="DH173" s="53" t="n"/>
      <c r="DI173" s="53" t="n"/>
      <c r="DJ173" s="53" t="n"/>
      <c r="DK173" s="53" t="n"/>
      <c r="DL173" s="53" t="n"/>
      <c r="DM173" s="53" t="n"/>
      <c r="DN173" s="53" t="n"/>
      <c r="DO173" s="53" t="n"/>
      <c r="DP173" s="53" t="n"/>
      <c r="DQ173" s="53" t="n"/>
      <c r="DR173" s="53" t="n"/>
      <c r="DS173" s="53" t="n"/>
      <c r="DT173" s="53" t="n"/>
      <c r="DU173" s="53" t="n"/>
      <c r="DV173" s="53" t="n"/>
      <c r="DW173" s="53" t="n"/>
      <c r="DX173" s="53" t="n"/>
      <c r="DY173" s="53" t="n"/>
      <c r="DZ173" s="53" t="n"/>
      <c r="EA173" s="53" t="n"/>
      <c r="EB173" s="53" t="n"/>
      <c r="EC173" s="53" t="n"/>
      <c r="ED173" s="53" t="n"/>
      <c r="EE173" s="53" t="n"/>
      <c r="EF173" s="53" t="n"/>
      <c r="EG173" s="53" t="n"/>
      <c r="EH173" s="53" t="n"/>
      <c r="EI173" s="53" t="n"/>
      <c r="EJ173" s="53" t="n"/>
      <c r="EK173" s="53" t="n"/>
      <c r="EL173" s="53" t="n"/>
      <c r="EM173" s="53" t="n"/>
      <c r="EN173" s="53" t="n"/>
      <c r="EO173" s="53" t="n"/>
      <c r="EP173" s="53" t="n"/>
      <c r="EQ173" s="53" t="n"/>
      <c r="ER173" s="53" t="n"/>
      <c r="ES173" s="53" t="n"/>
      <c r="ET173" s="53" t="n"/>
      <c r="EU173" s="53" t="n"/>
      <c r="EV173" s="53" t="n"/>
      <c r="EW173" s="52" t="n"/>
      <c r="EX173" s="53" t="inlineStr">
        <is>
          <t>Managing Business Revenue Metrics and Analysing Pipeline Funnel; Business CRM and Data Hub</t>
        </is>
      </c>
      <c r="EY173" s="53" t="inlineStr">
        <is>
          <t>Revenue; Business Metrics Output and Pipeline Revenue Generation Business Revenue Numbers; Revenue Operations Support Pipeline CRM CRM Management; Wrong metrics goes into the board and company results Business revenue fluctuates showing a wrong picture where we are heading in future and how we are growing.</t>
        </is>
      </c>
      <c r="EZ173" s="53" t="inlineStr">
        <is>
          <t>Advanced Excel HubSpot CRM Sales Funnel; HubSpot CRM MS Office Suite Power BI; Soft Skill, Communication, Business Acumen, Data Governance, Presentation</t>
        </is>
      </c>
      <c r="FA173" s="53" t="inlineStr">
        <is>
          <t>Learn more about the business including the roadmap it is heading to.; On the job; Managing People/Stakeholders, Strategic and critical thinking.</t>
        </is>
      </c>
      <c r="FB173" s="53" t="inlineStr">
        <is>
          <t>Missing on Follow-Ups Active Participation Staleness; Swift support from teams including adaptability of new process.</t>
        </is>
      </c>
      <c r="FC173" s="53" t="n"/>
      <c r="FD173" s="53" t="n"/>
      <c r="FE173" s="55" t="inlineStr">
        <is>
          <t>KRAs not received · manager to supply</t>
        </is>
      </c>
      <c r="FF173" s="56" t="n"/>
      <c r="FG173" s="56" t="n"/>
      <c r="FH173" s="56" t="n"/>
      <c r="FI173" s="56" t="inlineStr">
        <is>
          <t>Takes care of Sales data reporting, inbound database distribution, performance Dashboard maintenance for WBRX and Review meeting</t>
        </is>
      </c>
      <c r="FJ173" s="32" t="inlineStr">
        <is>
          <t>KRAs not received · manager to supply</t>
        </is>
      </c>
      <c r="FK173" s="56" t="inlineStr">
        <is>
          <t>CARBON Talent Mapping · Raw</t>
        </is>
      </c>
      <c r="FL173" s="56" t="n">
        <v>20</v>
      </c>
      <c r="FM173" s="56" t="inlineStr">
        <is>
          <t>Managing Business Revenue Metrics and Analysing Pipeline Funnel; Business CRM and Data Hub</t>
        </is>
      </c>
      <c r="FN173" s="56" t="inlineStr">
        <is>
          <t>Revenue; Business Metrics Output and Pipeline Revenue Generation Business Revenue Numbers; Revenue Operations Support Pipeline CRM CRM Management; Wrong metrics goes into the board and company results Business revenue fluctuates showing a wrong picture where we are heading in future and how we are growing.</t>
        </is>
      </c>
      <c r="FO173" s="56" t="inlineStr">
        <is>
          <t>Advanced Excel HubSpot CRM Sales Funnel; HubSpot CRM MS Office Suite Power BI; Soft Skill, Communication, Business Acumen, Data Governance, Presentation</t>
        </is>
      </c>
      <c r="FP173" s="56" t="inlineStr">
        <is>
          <t>Learn more about the business including the roadmap it is heading to.; On the job; Managing People/Stakeholders, Strategic and critical thinking.</t>
        </is>
      </c>
      <c r="FQ173" s="56" t="inlineStr">
        <is>
          <t>Missing on Follow-Ups Active Participation Staleness; Swift support from teams including adaptability of new process.</t>
        </is>
      </c>
      <c r="FR173" s="56" t="inlineStr">
        <is>
          <t>Complexity: Evidence reads like B1: Analyses pipeline funnel and all CARBON revenue metrics · new logos, expansion, churn for board reporting → moved up 0.5
Autonomy: Evidence reads like A3: Decides on the business CRM and data hub; no wider decisions stated → matches the start
Accountability: Evidence reads like B1: Owns CARBON revenue metrics and HubSpot CRM; wrong numbers reach the board → moved up 0.5
Leadership: Evidence reads like A2: One direct report in HR data, but no guiding or reviewing described → moved down 0.5
Business Impact: No survey or manager-mapping signal on criticality: kept at the start point.</t>
        </is>
      </c>
      <c r="FS173" s="56" t="n"/>
      <c r="FT173" s="56" t="inlineStr">
        <is>
          <t>Self-identified: Client, sales &amp; stakeholders · Strategy &amp; business acumen
For the next role: Client, sales &amp; stakeholders · Strategy &amp; business acumen</t>
        </is>
      </c>
      <c r="FU173" s="56" t="inlineStr">
        <is>
          <t>Per-person summary · CARBON Mapping Master</t>
        </is>
      </c>
    </row>
    <row r="174" ht="90" customHeight="1">
      <c r="A174" s="51" t="inlineStr">
        <is>
          <t>◂ Back</t>
        </is>
      </c>
      <c r="B174" s="29" t="inlineStr">
        <is>
          <t>Mapped</t>
        </is>
      </c>
      <c r="C174" s="28" t="inlineStr">
        <is>
          <t>CARBON</t>
        </is>
      </c>
      <c r="D174" s="29" t="inlineStr">
        <is>
          <t>IRIS0118</t>
        </is>
      </c>
      <c r="E174" s="29" t="inlineStr">
        <is>
          <t>Mayur Narvekar</t>
        </is>
      </c>
      <c r="F174" s="29" t="inlineStr">
        <is>
          <t>Support</t>
        </is>
      </c>
      <c r="G174" s="29" t="inlineStr">
        <is>
          <t>Image Processing Specialist</t>
        </is>
      </c>
      <c r="H174" s="29" t="inlineStr">
        <is>
          <t>MIS Specialist</t>
        </is>
      </c>
      <c r="I174" s="29" t="inlineStr">
        <is>
          <t>L3 – Professional / Associate</t>
        </is>
      </c>
      <c r="J174" s="29" t="inlineStr">
        <is>
          <t>A3</t>
        </is>
      </c>
      <c r="K174" s="29" t="inlineStr">
        <is>
          <t>▲ Up</t>
        </is>
      </c>
      <c r="L174" s="29" t="inlineStr">
        <is>
          <t>Data &amp; Analytics</t>
        </is>
      </c>
      <c r="M174" s="29" t="inlineStr">
        <is>
          <t>MIS &amp; Business Reporting</t>
        </is>
      </c>
      <c r="N174" s="29" t="n"/>
      <c r="O174" s="29" t="n">
        <v>18</v>
      </c>
      <c r="P174" s="28" t="inlineStr">
        <is>
          <t>P2</t>
        </is>
      </c>
      <c r="Q174" s="29" t="inlineStr">
        <is>
          <t>Developing</t>
        </is>
      </c>
      <c r="R174" s="29" t="inlineStr">
        <is>
          <t>3 Apply</t>
        </is>
      </c>
      <c r="S174" s="29" t="inlineStr">
        <is>
          <t>2–4 yrs</t>
        </is>
      </c>
      <c r="T174" s="29" t="inlineStr">
        <is>
          <t>3–5 · 2–5</t>
        </is>
      </c>
      <c r="U174" s="29" t="inlineStr">
        <is>
          <t>Senior Data Analyst</t>
        </is>
      </c>
      <c r="V174" s="29" t="inlineStr">
        <is>
          <t>Atlassian company-wide P-levels: P40 Analyst · IRIS Vs Competitor Benchmark — data analyst ladder: Data Analyst II</t>
        </is>
      </c>
      <c r="W174" s="29" t="inlineStr">
        <is>
          <t>DAMA-DMBOK · 11 knowledge areas around data governance</t>
        </is>
      </c>
      <c r="X174" s="29" t="inlineStr">
        <is>
          <t>Core 2 · Future 2 · Functional 3 · Leadership not scored</t>
        </is>
      </c>
      <c r="Y174" s="52" t="n">
        <v>27</v>
      </c>
      <c r="Z174" s="53" t="inlineStr">
        <is>
          <t>IRIS0118</t>
        </is>
      </c>
      <c r="AA174" s="53" t="inlineStr">
        <is>
          <t>Employee</t>
        </is>
      </c>
      <c r="AB174" s="53" t="inlineStr">
        <is>
          <t>Active</t>
        </is>
      </c>
      <c r="AC174" s="53" t="inlineStr">
        <is>
          <t>Mayur Narvekar</t>
        </is>
      </c>
      <c r="AD174" s="54" t="n">
        <v>39326</v>
      </c>
      <c r="AE174" s="53" t="inlineStr">
        <is>
          <t>Image Processing Specialist</t>
        </is>
      </c>
      <c r="AF174" s="53" t="inlineStr">
        <is>
          <t>B.Com</t>
        </is>
      </c>
      <c r="AG174" s="53" t="inlineStr">
        <is>
          <t>Aniket Das</t>
        </is>
      </c>
      <c r="AH174" s="53" t="inlineStr">
        <is>
          <t>N-4</t>
        </is>
      </c>
      <c r="AI174" s="53" t="inlineStr">
        <is>
          <t>Individual Contributor</t>
        </is>
      </c>
      <c r="AJ174" s="53" t="inlineStr">
        <is>
          <t>0 years, 0 months, 0 days</t>
        </is>
      </c>
      <c r="AK174" s="53" t="inlineStr">
        <is>
          <t>18 years, 11 months, 24 days</t>
        </is>
      </c>
      <c r="AL174" s="53" t="inlineStr">
        <is>
          <t>Regtech</t>
        </is>
      </c>
      <c r="AM174" s="53" t="inlineStr">
        <is>
          <t>CARBON</t>
        </is>
      </c>
      <c r="AN174" s="53" t="inlineStr">
        <is>
          <t>Support</t>
        </is>
      </c>
      <c r="AO174" s="53" t="inlineStr">
        <is>
          <t>Sales Support</t>
        </is>
      </c>
      <c r="AP174" s="53" t="inlineStr">
        <is>
          <t>No</t>
        </is>
      </c>
      <c r="AQ174" s="53" t="inlineStr">
        <is>
          <t>Sales, Marketing &amp; Support</t>
        </is>
      </c>
      <c r="AR174" s="53" t="inlineStr">
        <is>
          <t>OCR/Image procesing</t>
        </is>
      </c>
      <c r="AS174" s="53" t="inlineStr">
        <is>
          <t>Non-technical</t>
        </is>
      </c>
      <c r="AT174" s="53" t="n">
        <v>20</v>
      </c>
      <c r="AU174" s="53" t="inlineStr">
        <is>
          <t>Covered</t>
        </is>
      </c>
      <c r="AV174" s="53" t="inlineStr">
        <is>
          <t>IRIS0118</t>
        </is>
      </c>
      <c r="AW174" s="53" t="inlineStr">
        <is>
          <t>Mayur Narvekar</t>
        </is>
      </c>
      <c r="AX174" s="53" t="inlineStr">
        <is>
          <t>Sales</t>
        </is>
      </c>
      <c r="AY174" s="53" t="inlineStr">
        <is>
          <t>Sales &amp; Business Development</t>
        </is>
      </c>
      <c r="AZ174" s="53" t="inlineStr">
        <is>
          <t>Sales Operations - MIS Analytics</t>
        </is>
      </c>
      <c r="BA174" s="53" t="n"/>
      <c r="BB174" s="53" t="n"/>
      <c r="BC174" s="53" t="inlineStr">
        <is>
          <t>Employee</t>
        </is>
      </c>
      <c r="BD174" s="53" t="inlineStr">
        <is>
          <t>K Ashok Kumar</t>
        </is>
      </c>
      <c r="BE174" s="53" t="inlineStr">
        <is>
          <t>Aniket Das</t>
        </is>
      </c>
      <c r="BF174" s="53" t="inlineStr">
        <is>
          <t>Yes</t>
        </is>
      </c>
      <c r="BG174" s="53" t="inlineStr">
        <is>
          <t>Image Processing Specialist</t>
        </is>
      </c>
      <c r="BH174" s="53" t="inlineStr">
        <is>
          <t>MIS Analyst</t>
        </is>
      </c>
      <c r="BI174" s="53" t="inlineStr">
        <is>
          <t>Yes</t>
        </is>
      </c>
      <c r="BJ174" s="53" t="inlineStr">
        <is>
          <t>—</t>
        </is>
      </c>
      <c r="BK174" s="53" t="inlineStr">
        <is>
          <t>—</t>
        </is>
      </c>
      <c r="BL174" s="53" t="inlineStr">
        <is>
          <t>—</t>
        </is>
      </c>
      <c r="BM174" s="53" t="inlineStr">
        <is>
          <t>Not a manager</t>
        </is>
      </c>
      <c r="BN174" s="53" t="inlineStr">
        <is>
          <t>—</t>
        </is>
      </c>
      <c r="BO174" s="53" t="inlineStr">
        <is>
          <t>—</t>
        </is>
      </c>
      <c r="BP174" s="53" t="inlineStr">
        <is>
          <t>—</t>
        </is>
      </c>
      <c r="BQ174" s="53" t="inlineStr">
        <is>
          <t>Not a manager</t>
        </is>
      </c>
      <c r="BR174" s="53" t="inlineStr">
        <is>
          <t>—</t>
        </is>
      </c>
      <c r="BS174" s="53" t="inlineStr">
        <is>
          <t>L3 – Professional / Associate</t>
        </is>
      </c>
      <c r="BT174" s="53" t="inlineStr">
        <is>
          <t>L2</t>
        </is>
      </c>
      <c r="BU174" s="53" t="inlineStr">
        <is>
          <t>Matched from Title Hierarchy · new designation</t>
        </is>
      </c>
      <c r="BV174" s="53" t="n"/>
      <c r="BW174" s="53" t="n"/>
      <c r="BX174" s="53" t="inlineStr">
        <is>
          <t>Global.</t>
        </is>
      </c>
      <c r="BY174" s="53" t="n"/>
      <c r="BZ174" s="53" t="inlineStr">
        <is>
          <t>IRIS0118</t>
        </is>
      </c>
      <c r="CA174" s="53" t="inlineStr">
        <is>
          <t>Employee</t>
        </is>
      </c>
      <c r="CB174" s="53" t="inlineStr">
        <is>
          <t>Active</t>
        </is>
      </c>
      <c r="CC174" s="53" t="inlineStr">
        <is>
          <t>Mayur Narvekar</t>
        </is>
      </c>
      <c r="CD174" s="54" t="n">
        <v>39326</v>
      </c>
      <c r="CE174" s="53" t="inlineStr">
        <is>
          <t>Image Processing Specialist</t>
        </is>
      </c>
      <c r="CF174" s="53" t="n"/>
      <c r="CG174" s="53" t="inlineStr">
        <is>
          <t>Professional Services</t>
        </is>
      </c>
      <c r="CH174" s="53" t="inlineStr">
        <is>
          <t>Digitization &amp; Image Processing</t>
        </is>
      </c>
      <c r="CI174" s="53" t="inlineStr">
        <is>
          <t>Image Processing Specialist</t>
        </is>
      </c>
      <c r="CJ174" s="53" t="inlineStr">
        <is>
          <t>L3 – Professional / Associate</t>
        </is>
      </c>
      <c r="CK174" s="53" t="inlineStr">
        <is>
          <t>K Ashok Kumar</t>
        </is>
      </c>
      <c r="CL174" s="53" t="inlineStr">
        <is>
          <t>N-5</t>
        </is>
      </c>
      <c r="CM174" s="53" t="inlineStr">
        <is>
          <t>Individual Contributor</t>
        </is>
      </c>
      <c r="CN174" s="53" t="inlineStr">
        <is>
          <t>Regtech</t>
        </is>
      </c>
      <c r="CO174" s="53" t="inlineStr">
        <is>
          <t>Support</t>
        </is>
      </c>
      <c r="CP174" s="53" t="inlineStr">
        <is>
          <t>18 years, 9 months, 19 days</t>
        </is>
      </c>
      <c r="CQ174" s="53" t="inlineStr">
        <is>
          <t>Sr.Services Specialist</t>
        </is>
      </c>
      <c r="CR174" s="53" t="n"/>
      <c r="CS174" s="53" t="n"/>
      <c r="CT174" s="53" t="n"/>
      <c r="CU174" s="53" t="n"/>
      <c r="CV174" s="53" t="n"/>
      <c r="CW174" s="53" t="n"/>
      <c r="CX174" s="53" t="n"/>
      <c r="CY174" s="53" t="n"/>
      <c r="CZ174" s="53" t="n"/>
      <c r="DA174" s="53" t="n"/>
      <c r="DB174" s="53" t="inlineStr">
        <is>
          <t>He is not part of Assisted services team and currently working with Suman and Anu. Title to be Standardized to: Sr.Services Specialist</t>
        </is>
      </c>
      <c r="DC174" s="53" t="n"/>
      <c r="DD174" s="53" t="n"/>
      <c r="DE174" s="53" t="n"/>
      <c r="DF174" s="53" t="n"/>
      <c r="DG174" s="53" t="n"/>
      <c r="DH174" s="53" t="n"/>
      <c r="DI174" s="53" t="n"/>
      <c r="DJ174" s="53" t="n"/>
      <c r="DK174" s="53" t="n"/>
      <c r="DL174" s="53" t="n"/>
      <c r="DM174" s="53" t="n"/>
      <c r="DN174" s="53" t="n"/>
      <c r="DO174" s="53" t="n"/>
      <c r="DP174" s="53" t="n"/>
      <c r="DQ174" s="53" t="n"/>
      <c r="DR174" s="53" t="n"/>
      <c r="DS174" s="53" t="n"/>
      <c r="DT174" s="53" t="n"/>
      <c r="DU174" s="53" t="n"/>
      <c r="DV174" s="53" t="n"/>
      <c r="DW174" s="53" t="n"/>
      <c r="DX174" s="53" t="n"/>
      <c r="DY174" s="53" t="n"/>
      <c r="DZ174" s="53" t="n"/>
      <c r="EA174" s="53" t="n"/>
      <c r="EB174" s="53" t="n"/>
      <c r="EC174" s="53" t="n"/>
      <c r="ED174" s="53" t="n"/>
      <c r="EE174" s="53" t="n"/>
      <c r="EF174" s="53" t="n"/>
      <c r="EG174" s="53" t="n"/>
      <c r="EH174" s="53" t="n"/>
      <c r="EI174" s="53" t="n"/>
      <c r="EJ174" s="53" t="n"/>
      <c r="EK174" s="53" t="n"/>
      <c r="EL174" s="53" t="n"/>
      <c r="EM174" s="53" t="n"/>
      <c r="EN174" s="53" t="n"/>
      <c r="EO174" s="53" t="n"/>
      <c r="EP174" s="53" t="n"/>
      <c r="EQ174" s="53" t="n"/>
      <c r="ER174" s="53" t="n"/>
      <c r="ES174" s="53" t="n"/>
      <c r="ET174" s="53" t="n"/>
      <c r="EU174" s="53" t="n"/>
      <c r="EV174" s="53" t="n"/>
      <c r="EW174" s="52" t="n"/>
      <c r="EX174" s="53" t="inlineStr">
        <is>
          <t>• Role / sub-team: Client Success / Support — Image Processing Specialist.
• Core purpose: Revenue and expenses operations and data analysis.
• Decision-making autonomy: Can independently handle revenue forecasting, ARR forecasting, client interaction, raising invoices, IR data preparation, and OF updates.
• Is this something only he does: Largely his alone.
• What's different about this role: Accounting knowledge required.</t>
        </is>
      </c>
      <c r="EY174" s="53" t="inlineStr">
        <is>
          <t>• Key responsibilities include: Confidential numbers and OF · operational figures.
• Impact if missed or done wrong: Wrong assumptions, leading to rework and lost effort.
• How measured: Different from the rest of the team, on a quarterly, half-yearly and annual basis.</t>
        </is>
      </c>
      <c r="EZ174" s="53" t="inlineStr">
        <is>
          <t>• Current capabilities: Data collection; adaptability.
• Tools / software used: MS Office; PDF Professional.
• Workload: Rated a moderate load · 3/5 in a typical week.
• Judgment/way of working: Budget creation.</t>
        </is>
      </c>
      <c r="FA174" s="53" t="inlineStr">
        <is>
          <t>• Learning and Development Need: Training on other tasks cited as making a difference.</t>
        </is>
      </c>
      <c r="FB174" s="53" t="inlineStr">
        <is>
          <t>• Key challenges: New tasks added over the last 3 months.
• Support required: Better scheduling and time-framing of work.</t>
        </is>
      </c>
      <c r="FC174" s="53" t="n"/>
      <c r="FD174" s="53" t="n"/>
      <c r="FE174" s="55" t="inlineStr">
        <is>
          <t>KRAs not received · manager to supply</t>
        </is>
      </c>
      <c r="FF174" s="56" t="n"/>
      <c r="FG174" s="56" t="n"/>
      <c r="FH174" s="56" t="n"/>
      <c r="FI174" s="56" t="n"/>
      <c r="FJ174" s="32" t="inlineStr">
        <is>
          <t>KRAs not received · manager to supply</t>
        </is>
      </c>
      <c r="FK174" s="56" t="n"/>
      <c r="FL174" s="56" t="n">
        <v>18</v>
      </c>
      <c r="FM174" s="56" t="inlineStr">
        <is>
          <t>• Role / sub-team: Client Success / Support — Image Processing Specialist.
• Core purpose: Revenue and expenses operations and data analysis.
• Decision-making autonomy: Can independently handle revenue forecasting, ARR forecasting, client interaction, raising invoices, IR data preparation, and OF updates.
• Is this something only he does: Largely his alone.
• What's different about this role: Accounting knowledge required.</t>
        </is>
      </c>
      <c r="FN174" s="56" t="inlineStr">
        <is>
          <t>• Key responsibilities include: Confidential numbers and OF · operational figures.
• Impact if missed or done wrong: Wrong assumptions, leading to rework and lost effort.
• How measured: Different from the rest of the team, on a quarterly, half-yearly and annual basis.</t>
        </is>
      </c>
      <c r="FO174" s="56" t="inlineStr">
        <is>
          <t>• Current capabilities: Data collection; adaptability.
• Tools / software used: MS Office; PDF Professional.
• Workload: Rated a moderate load · 3/5 in a typical week.
• Judgment/way of working: Budget creation.</t>
        </is>
      </c>
      <c r="FP174" s="56" t="inlineStr">
        <is>
          <t>• Learning and Development Need: Training on other tasks cited as making a difference.</t>
        </is>
      </c>
      <c r="FQ174" s="56" t="inlineStr">
        <is>
          <t>• Key challenges: New tasks added over the last 3 months.
• Support required: Better scheduling and time-framing of work.</t>
        </is>
      </c>
      <c r="FR174" s="56" t="inlineStr">
        <is>
          <t>Complexity: Evidence reads like A3: Prepares revenue and ARR forecasts on assumptions, IR data and invoices; needs accounting knowledge → matches the start
Autonomy: Evidence reads like A2: No decisions stated; answerable for wrong forecast assumptions → moved down 0.5
Accountability: Evidence reads like A3: Revenue and ARR forecast, invoicing and IR data involving confidential numbers → matches the start
Leadership: Evidence reads like A1: No guidance of others described → moved down 0.5
Business Impact: No survey or manager-mapping signal on criticality: kept at the start point.</t>
        </is>
      </c>
      <c r="FS174" s="56" t="n"/>
      <c r="FT174" s="56" t="inlineStr">
        <is>
          <t>Self-identified: Answered · no common topic
For the next role: Answered · no common topic</t>
        </is>
      </c>
      <c r="FU174" s="56" t="inlineStr">
        <is>
          <t>Per-person summary · CARBON Mapping Master</t>
        </is>
      </c>
    </row>
    <row r="175" ht="90" customHeight="1">
      <c r="A175" s="51" t="inlineStr">
        <is>
          <t>◂ Back</t>
        </is>
      </c>
      <c r="B175" s="29" t="inlineStr">
        <is>
          <t>Mapped</t>
        </is>
      </c>
      <c r="C175" s="28" t="inlineStr">
        <is>
          <t>CARBON</t>
        </is>
      </c>
      <c r="D175" s="29" t="inlineStr">
        <is>
          <t>IRISC345</t>
        </is>
      </c>
      <c r="E175" s="29" t="inlineStr">
        <is>
          <t>Andrea Messiga</t>
        </is>
      </c>
      <c r="F175" s="29" t="inlineStr">
        <is>
          <t>Sales</t>
        </is>
      </c>
      <c r="G175" s="29" t="inlineStr">
        <is>
          <t>Regional Manager- Business Development</t>
        </is>
      </c>
      <c r="H175" s="29" t="inlineStr">
        <is>
          <t>Senior Consultant – Enterprise Sales &amp; Account Management</t>
        </is>
      </c>
      <c r="I175" s="29" t="inlineStr">
        <is>
          <t>—</t>
        </is>
      </c>
      <c r="J175" s="29" t="inlineStr">
        <is>
          <t>X3</t>
        </is>
      </c>
      <c r="K175" s="29" t="inlineStr">
        <is>
          <t>• Same level</t>
        </is>
      </c>
      <c r="L175" s="29" t="inlineStr">
        <is>
          <t>Sales &amp; Business Development</t>
        </is>
      </c>
      <c r="M175" s="29" t="inlineStr">
        <is>
          <t>Enterprise Sales &amp; Account Management</t>
        </is>
      </c>
      <c r="N175" s="29" t="n"/>
      <c r="O175" s="29" t="n">
        <v>0</v>
      </c>
      <c r="P175" s="28" t="inlineStr">
        <is>
          <t>Contractor</t>
        </is>
      </c>
      <c r="Q175" s="29" t="inlineStr">
        <is>
          <t>—</t>
        </is>
      </c>
      <c r="R175" s="29" t="inlineStr">
        <is>
          <t>—</t>
        </is>
      </c>
      <c r="S175" s="29" t="inlineStr">
        <is>
          <t>10+ yrs</t>
        </is>
      </c>
      <c r="T175" s="29" t="inlineStr">
        <is>
          <t>—</t>
        </is>
      </c>
      <c r="U175" s="29" t="inlineStr">
        <is>
          <t>Contractor · rate card</t>
        </is>
      </c>
      <c r="V175" s="29" t="inlineStr">
        <is>
          <t>—</t>
        </is>
      </c>
      <c r="W175" s="29" t="inlineStr">
        <is>
          <t>SaaS sales ladder · SDR → AE → Enterprise AE → VP / CRO; MEDDICC-style qualification</t>
        </is>
      </c>
      <c r="X175" s="29" t="inlineStr">
        <is>
          <t>Per statement of work</t>
        </is>
      </c>
      <c r="Y175" s="52" t="n">
        <v>479</v>
      </c>
      <c r="Z175" s="53" t="inlineStr">
        <is>
          <t>IRISC345</t>
        </is>
      </c>
      <c r="AA175" s="53" t="inlineStr">
        <is>
          <t>Full Time Consultant · Italy</t>
        </is>
      </c>
      <c r="AB175" s="53" t="inlineStr">
        <is>
          <t>Active</t>
        </is>
      </c>
      <c r="AC175" s="53" t="inlineStr">
        <is>
          <t>Andrea Messiga</t>
        </is>
      </c>
      <c r="AD175" s="54" t="n">
        <v>46120</v>
      </c>
      <c r="AE175" s="53" t="inlineStr">
        <is>
          <t>Regional Manager- Business Development</t>
        </is>
      </c>
      <c r="AF175" s="53" t="inlineStr">
        <is>
          <t>-</t>
        </is>
      </c>
      <c r="AG175" s="53" t="inlineStr">
        <is>
          <t>Anuradha RK</t>
        </is>
      </c>
      <c r="AH175" s="53" t="inlineStr">
        <is>
          <t>N-3</t>
        </is>
      </c>
      <c r="AI175" s="53" t="inlineStr">
        <is>
          <t>Individual Contributor</t>
        </is>
      </c>
      <c r="AJ175" s="53" t="n"/>
      <c r="AK175" s="53" t="n"/>
      <c r="AL175" s="53" t="inlineStr">
        <is>
          <t>Regtech</t>
        </is>
      </c>
      <c r="AM175" s="53" t="inlineStr">
        <is>
          <t>CARBON</t>
        </is>
      </c>
      <c r="AN175" s="53" t="inlineStr">
        <is>
          <t>Sales</t>
        </is>
      </c>
      <c r="AO175" s="53" t="inlineStr">
        <is>
          <t>Sales</t>
        </is>
      </c>
      <c r="AP175" s="53" t="inlineStr">
        <is>
          <t>No</t>
        </is>
      </c>
      <c r="AQ175" s="53" t="inlineStr">
        <is>
          <t>Sales, Marketing &amp; Support</t>
        </is>
      </c>
      <c r="AR175" s="53" t="inlineStr">
        <is>
          <t>Sales</t>
        </is>
      </c>
      <c r="AS175" s="53" t="inlineStr">
        <is>
          <t>Non-technical</t>
        </is>
      </c>
      <c r="AT175" s="53" t="n">
        <v>0</v>
      </c>
      <c r="AU175" s="53" t="inlineStr">
        <is>
          <t>Excluded</t>
        </is>
      </c>
      <c r="AV175" s="53" t="inlineStr">
        <is>
          <t>IRISC345</t>
        </is>
      </c>
      <c r="AW175" s="53" t="inlineStr">
        <is>
          <t>Andrea Messiga</t>
        </is>
      </c>
      <c r="AX175" s="53" t="inlineStr">
        <is>
          <t>Sales</t>
        </is>
      </c>
      <c r="AY175" s="53" t="inlineStr">
        <is>
          <t>Sales &amp; Business Development</t>
        </is>
      </c>
      <c r="AZ175" s="53" t="inlineStr">
        <is>
          <t>Enterprise sales</t>
        </is>
      </c>
      <c r="BA175" s="53" t="inlineStr">
        <is>
          <t>Consulting</t>
        </is>
      </c>
      <c r="BB175" s="53" t="n"/>
      <c r="BC175" s="53" t="inlineStr">
        <is>
          <t>Full Time Consultant · Italy</t>
        </is>
      </c>
      <c r="BD175" s="53" t="inlineStr">
        <is>
          <t>Anuradha RK</t>
        </is>
      </c>
      <c r="BE175" s="53" t="inlineStr">
        <is>
          <t>Anuradha RK</t>
        </is>
      </c>
      <c r="BF175" s="53" t="inlineStr">
        <is>
          <t>New entry</t>
        </is>
      </c>
      <c r="BG175" s="53" t="inlineStr">
        <is>
          <t>Consultant</t>
        </is>
      </c>
      <c r="BH175" s="53" t="inlineStr">
        <is>
          <t>Regional Manager Sales</t>
        </is>
      </c>
      <c r="BI175" s="53" t="inlineStr">
        <is>
          <t>N/A · new entry</t>
        </is>
      </c>
      <c r="BJ175" s="53" t="inlineStr">
        <is>
          <t>—</t>
        </is>
      </c>
      <c r="BK175" s="53" t="inlineStr">
        <is>
          <t>—</t>
        </is>
      </c>
      <c r="BL175" s="53" t="inlineStr">
        <is>
          <t>—</t>
        </is>
      </c>
      <c r="BM175" s="53" t="inlineStr">
        <is>
          <t>Not a manager</t>
        </is>
      </c>
      <c r="BN175" s="53" t="inlineStr">
        <is>
          <t>—</t>
        </is>
      </c>
      <c r="BO175" s="53" t="inlineStr">
        <is>
          <t>—</t>
        </is>
      </c>
      <c r="BP175" s="53" t="inlineStr">
        <is>
          <t>—</t>
        </is>
      </c>
      <c r="BQ175" s="53" t="inlineStr">
        <is>
          <t>Not a manager</t>
        </is>
      </c>
      <c r="BR175" s="53" t="inlineStr">
        <is>
          <t>—</t>
        </is>
      </c>
      <c r="BS175" s="53" t="n"/>
      <c r="BT175" s="53" t="n"/>
      <c r="BU175" s="53" t="inlineStr">
        <is>
          <t>No designation change — current record value carried forward</t>
        </is>
      </c>
      <c r="BV175" s="53" t="n"/>
      <c r="BW175" s="53" t="n"/>
      <c r="BX175" s="53" t="n"/>
      <c r="BY175" s="53" t="n"/>
      <c r="BZ175" s="53" t="inlineStr">
        <is>
          <t>IRISC345</t>
        </is>
      </c>
      <c r="CA175" s="53" t="inlineStr">
        <is>
          <t>Full Time Consultant · Italy</t>
        </is>
      </c>
      <c r="CB175" s="53" t="inlineStr">
        <is>
          <t>Active</t>
        </is>
      </c>
      <c r="CC175" s="53" t="inlineStr">
        <is>
          <t>Andrea Messiga</t>
        </is>
      </c>
      <c r="CD175" s="54" t="n">
        <v>27407</v>
      </c>
      <c r="CE175" s="53" t="inlineStr">
        <is>
          <t>Consultant</t>
        </is>
      </c>
      <c r="CF175" s="53" t="inlineStr">
        <is>
          <t>Works based out of Milan, client management, engagement, lead generation -e2e sales</t>
        </is>
      </c>
      <c r="CG175" s="53" t="inlineStr">
        <is>
          <t>Consulting  Services</t>
        </is>
      </c>
      <c r="CH175" s="53" t="inlineStr">
        <is>
          <t>XBRL / Regulatory Reporting</t>
        </is>
      </c>
      <c r="CI175" s="53" t="inlineStr">
        <is>
          <t>Consultant</t>
        </is>
      </c>
      <c r="CJ175" s="53" t="inlineStr">
        <is>
          <t>L3 – Professional / Associate</t>
        </is>
      </c>
      <c r="CK175" s="53" t="inlineStr">
        <is>
          <t>Anuradha RK</t>
        </is>
      </c>
      <c r="CL175" s="53" t="inlineStr">
        <is>
          <t>N-3</t>
        </is>
      </c>
      <c r="CM175" s="53" t="n"/>
      <c r="CN175" s="53" t="inlineStr">
        <is>
          <t>Individual Contributor</t>
        </is>
      </c>
      <c r="CO175" s="53" t="inlineStr">
        <is>
          <t>Sales</t>
        </is>
      </c>
      <c r="CP175" s="53" t="inlineStr">
        <is>
          <t>-</t>
        </is>
      </c>
      <c r="CQ175" s="53" t="n"/>
      <c r="CR175" s="53" t="inlineStr">
        <is>
          <t>0 years, 2 months, 12 days</t>
        </is>
      </c>
      <c r="CS175" s="53" t="n"/>
      <c r="CT175" s="53" t="n"/>
      <c r="CU175" s="53" t="n"/>
      <c r="CV175" s="53" t="n"/>
      <c r="CW175" s="53" t="inlineStr">
        <is>
          <t>Regtech</t>
        </is>
      </c>
      <c r="CX175" s="53" t="inlineStr">
        <is>
          <t>CARBON</t>
        </is>
      </c>
      <c r="CY175" s="53" t="inlineStr">
        <is>
          <t>Sales</t>
        </is>
      </c>
      <c r="CZ175" s="53" t="inlineStr">
        <is>
          <t>Sales</t>
        </is>
      </c>
      <c r="DA175" s="53" t="inlineStr">
        <is>
          <t>No</t>
        </is>
      </c>
      <c r="DB175" s="53" t="inlineStr">
        <is>
          <t>Sales, Marketing &amp; Support</t>
        </is>
      </c>
      <c r="DC175" s="53" t="n"/>
      <c r="DD175" s="53" t="n"/>
      <c r="DE175" s="53" t="n"/>
      <c r="DF175" s="53" t="n"/>
      <c r="DG175" s="53" t="n"/>
      <c r="DH175" s="53" t="n"/>
      <c r="DI175" s="53" t="n"/>
      <c r="DJ175" s="53" t="n"/>
      <c r="DK175" s="53" t="n"/>
      <c r="DL175" s="53" t="n"/>
      <c r="DM175" s="53" t="n"/>
      <c r="DN175" s="53" t="n"/>
      <c r="DO175" s="53" t="n"/>
      <c r="DP175" s="53" t="n"/>
      <c r="DQ175" s="53" t="n"/>
      <c r="DR175" s="53" t="n"/>
      <c r="DS175" s="53" t="n"/>
      <c r="DT175" s="53" t="n"/>
      <c r="DU175" s="53" t="n"/>
      <c r="DV175" s="53" t="n"/>
      <c r="DW175" s="53" t="n"/>
      <c r="DX175" s="53" t="n"/>
      <c r="DY175" s="53" t="n"/>
      <c r="DZ175" s="53" t="n"/>
      <c r="EA175" s="53" t="n"/>
      <c r="EB175" s="53" t="n"/>
      <c r="EC175" s="53" t="n"/>
      <c r="ED175" s="53" t="n"/>
      <c r="EE175" s="53" t="n"/>
      <c r="EF175" s="53" t="n"/>
      <c r="EG175" s="53" t="n"/>
      <c r="EH175" s="53" t="n"/>
      <c r="EI175" s="53" t="n"/>
      <c r="EJ175" s="53" t="n"/>
      <c r="EK175" s="53" t="n"/>
      <c r="EL175" s="53" t="n"/>
      <c r="EM175" s="53" t="n"/>
      <c r="EN175" s="53" t="n"/>
      <c r="EO175" s="53" t="n"/>
      <c r="EP175" s="53" t="n"/>
      <c r="EQ175" s="53" t="n"/>
      <c r="ER175" s="53" t="n"/>
      <c r="ES175" s="53" t="n"/>
      <c r="ET175" s="53" t="n"/>
      <c r="EU175" s="53" t="n"/>
      <c r="EV175" s="53" t="n"/>
      <c r="EW175" s="52" t="n"/>
      <c r="EX175" s="53" t="n"/>
      <c r="EY175" s="53" t="n"/>
      <c r="EZ175" s="53" t="n"/>
      <c r="FA175" s="53" t="n"/>
      <c r="FB175" s="53" t="n"/>
      <c r="FC175" s="53" t="n"/>
      <c r="FD175" s="53" t="n"/>
      <c r="FE175" s="55" t="inlineStr">
        <is>
          <t>KRAs not received · manager to supply</t>
        </is>
      </c>
      <c r="FF175" s="56" t="n"/>
      <c r="FG175" s="56" t="n"/>
      <c r="FH175" s="56" t="n"/>
      <c r="FI175" s="56" t="inlineStr">
        <is>
          <t>Works based out of Milan, client management, engagement, lead generation -e2e sales</t>
        </is>
      </c>
      <c r="FJ175" s="32" t="inlineStr">
        <is>
          <t>KRAs not received · manager to supply</t>
        </is>
      </c>
      <c r="FK175" s="56" t="inlineStr">
        <is>
          <t>CARBON Talent Mapping · Raw</t>
        </is>
      </c>
      <c r="FL175" s="56" t="n">
        <v>0</v>
      </c>
      <c r="FM175" s="32" t="inlineStr">
        <is>
          <t>No survey response on file</t>
        </is>
      </c>
      <c r="FN175" s="56" t="inlineStr">
        <is>
          <t>—</t>
        </is>
      </c>
      <c r="FO175" s="56" t="inlineStr">
        <is>
          <t>—</t>
        </is>
      </c>
      <c r="FP175" s="56" t="inlineStr">
        <is>
          <t>—</t>
        </is>
      </c>
      <c r="FQ175" s="56" t="inlineStr">
        <is>
          <t>—</t>
        </is>
      </c>
      <c r="FR175" s="56" t="n"/>
      <c r="FS175" s="56" t="inlineStr">
        <is>
          <t>Common themes in sub-family holders, all levels' answers: sales · company · revenue
Common themes in sub-family holders, all levels' answers: ups · follow
Common themes in sub-family holders, all levels' answers: client
Common themes in sub-family holders, all levels' answers: revenue · client · target
Common themes in sub-family holders, all levels' answers: meeting</t>
        </is>
      </c>
      <c r="FT175" s="56" t="n"/>
      <c r="FU175" s="32" t="inlineStr">
        <is>
          <t>No survey response on file</t>
        </is>
      </c>
    </row>
    <row r="176" ht="90" customHeight="1">
      <c r="A176" s="51" t="inlineStr">
        <is>
          <t>◂ Back</t>
        </is>
      </c>
      <c r="B176" s="29" t="inlineStr">
        <is>
          <t>Mapped</t>
        </is>
      </c>
      <c r="C176" s="28" t="inlineStr">
        <is>
          <t>Corporate</t>
        </is>
      </c>
      <c r="D176" s="29" t="inlineStr">
        <is>
          <t>IRIS0919</t>
        </is>
      </c>
      <c r="E176" s="29" t="inlineStr">
        <is>
          <t>Vineet Kandoi</t>
        </is>
      </c>
      <c r="F176" s="29" t="inlineStr">
        <is>
          <t>Finance</t>
        </is>
      </c>
      <c r="G176" s="29" t="inlineStr">
        <is>
          <t>Chief Financial Officer</t>
        </is>
      </c>
      <c r="H176" s="29" t="inlineStr">
        <is>
          <t>Chief Financial Officer</t>
        </is>
      </c>
      <c r="I176" s="29" t="inlineStr">
        <is>
          <t>Not in current mapping files</t>
        </is>
      </c>
      <c r="J176" s="29" t="inlineStr">
        <is>
          <t>E1</t>
        </is>
      </c>
      <c r="K176" s="29" t="inlineStr">
        <is>
          <t>● Newly mapped</t>
        </is>
      </c>
      <c r="L176" s="29" t="inlineStr">
        <is>
          <t>Enterprise Leadership</t>
        </is>
      </c>
      <c r="M176" s="29" t="inlineStr">
        <is>
          <t>Chief Officers · CXO</t>
        </is>
      </c>
      <c r="N176" s="29" t="inlineStr">
        <is>
          <t>• Survey response or KRAs describing the work · nothing on file — Employee + manager</t>
        </is>
      </c>
      <c r="O176" s="29" t="n">
        <v>0</v>
      </c>
      <c r="P176" s="28" t="inlineStr">
        <is>
          <t>E5</t>
        </is>
      </c>
      <c r="Q176" s="29" t="inlineStr">
        <is>
          <t>C-Level</t>
        </is>
      </c>
      <c r="R176" s="29" t="inlineStr">
        <is>
          <t>7</t>
        </is>
      </c>
      <c r="S176" s="29" t="inlineStr">
        <is>
          <t>20+ yrs</t>
        </is>
      </c>
      <c r="T176" s="29" t="inlineStr">
        <is>
          <t>—</t>
        </is>
      </c>
      <c r="U176" s="29" t="inlineStr">
        <is>
          <t>CXO · functional chief</t>
        </is>
      </c>
      <c r="V176" s="29" t="inlineStr">
        <is>
          <t>IRIS Vs Market Benchmark — Aon Radford / Mercer executive codes: E5 C-level · functional · IRIS Vs Competitor Benchmark — regtech / SaaS executive titles: CTO · CFO · CRO · CCO · COO</t>
        </is>
      </c>
      <c r="W176" s="29" t="inlineStr">
        <is>
          <t>Aon Radford executive levels E1–E6; Mercer ET1–ET3; Korn Ferry Leadership Architect</t>
        </is>
      </c>
      <c r="X176" s="29" t="inlineStr">
        <is>
          <t>Core 5 · Future 5 · Functional 4 · Leadership 5</t>
        </is>
      </c>
      <c r="Y176" s="52" t="n">
        <v>99</v>
      </c>
      <c r="Z176" s="53" t="inlineStr">
        <is>
          <t>IRIS0919</t>
        </is>
      </c>
      <c r="AA176" s="53" t="inlineStr">
        <is>
          <t>Employee</t>
        </is>
      </c>
      <c r="AB176" s="53" t="inlineStr">
        <is>
          <t>Active</t>
        </is>
      </c>
      <c r="AC176" s="53" t="inlineStr">
        <is>
          <t>Vineet Kandoi</t>
        </is>
      </c>
      <c r="AD176" s="54" t="n">
        <v>40806</v>
      </c>
      <c r="AE176" s="53" t="inlineStr">
        <is>
          <t>Chief Financial Officer</t>
        </is>
      </c>
      <c r="AF176" s="53" t="inlineStr">
        <is>
          <t>CA + Senior Management Program</t>
        </is>
      </c>
      <c r="AG176" s="53" t="inlineStr">
        <is>
          <t>Balachandran K</t>
        </is>
      </c>
      <c r="AH176" s="53" t="inlineStr">
        <is>
          <t>N-1</t>
        </is>
      </c>
      <c r="AI176" s="53" t="inlineStr">
        <is>
          <t>Manager</t>
        </is>
      </c>
      <c r="AJ176" s="53" t="inlineStr">
        <is>
          <t>0 years, 0 months, 0 days</t>
        </is>
      </c>
      <c r="AK176" s="53" t="inlineStr">
        <is>
          <t>14 years, 11 months, 5 days</t>
        </is>
      </c>
      <c r="AL176" s="53" t="inlineStr">
        <is>
          <t>Corporate</t>
        </is>
      </c>
      <c r="AM176" s="53" t="inlineStr">
        <is>
          <t>Corporate</t>
        </is>
      </c>
      <c r="AN176" s="53" t="inlineStr">
        <is>
          <t>Finance</t>
        </is>
      </c>
      <c r="AO176" s="53" t="inlineStr">
        <is>
          <t>Accounting</t>
        </is>
      </c>
      <c r="AP176" s="53" t="inlineStr">
        <is>
          <t>No</t>
        </is>
      </c>
      <c r="AQ176" s="53" t="inlineStr">
        <is>
          <t>General &amp; Admin</t>
        </is>
      </c>
      <c r="AR176" s="53" t="inlineStr">
        <is>
          <t>Accounting</t>
        </is>
      </c>
      <c r="AS176" s="53" t="inlineStr">
        <is>
          <t>Non-technical</t>
        </is>
      </c>
      <c r="AT176" s="53" t="n">
        <v>0</v>
      </c>
      <c r="AU176" s="53" t="inlineStr">
        <is>
          <t>E-Top management</t>
        </is>
      </c>
      <c r="AV176" s="53" t="n"/>
      <c r="AW176" s="53" t="n"/>
      <c r="AX176" s="53" t="n"/>
      <c r="AY176" s="53" t="n"/>
      <c r="AZ176" s="53" t="n"/>
      <c r="BA176" s="53" t="n"/>
      <c r="BB176" s="53" t="n"/>
      <c r="BC176" s="53" t="n"/>
      <c r="BD176" s="53" t="n"/>
      <c r="BE176" s="53" t="n"/>
      <c r="BF176" s="53" t="n"/>
      <c r="BG176" s="53" t="n"/>
      <c r="BH176" s="53" t="n"/>
      <c r="BI176" s="53" t="n"/>
      <c r="BJ176" s="53" t="n"/>
      <c r="BK176" s="53" t="n"/>
      <c r="BL176" s="53" t="n"/>
      <c r="BM176" s="53" t="n"/>
      <c r="BN176" s="53" t="n"/>
      <c r="BO176" s="53" t="n"/>
      <c r="BP176" s="53" t="n"/>
      <c r="BQ176" s="53" t="n"/>
      <c r="BR176" s="53" t="n"/>
      <c r="BS176" s="53" t="n"/>
      <c r="BT176" s="53" t="n"/>
      <c r="BU176" s="53" t="n"/>
      <c r="BV176" s="53" t="n"/>
      <c r="BW176" s="53" t="n"/>
      <c r="BX176" s="53" t="n"/>
      <c r="BY176" s="53" t="n"/>
      <c r="BZ176" s="53" t="n"/>
      <c r="CA176" s="53" t="n"/>
      <c r="CB176" s="53" t="n"/>
      <c r="CC176" s="53" t="n"/>
      <c r="CD176" s="53" t="n"/>
      <c r="CE176" s="53" t="n"/>
      <c r="CF176" s="53" t="n"/>
      <c r="CG176" s="53" t="n"/>
      <c r="CH176" s="53" t="n"/>
      <c r="CI176" s="53" t="n"/>
      <c r="CJ176" s="53" t="n"/>
      <c r="CK176" s="53" t="n"/>
      <c r="CL176" s="53" t="n"/>
      <c r="CM176" s="53" t="n"/>
      <c r="CN176" s="53" t="n"/>
      <c r="CO176" s="53" t="n"/>
      <c r="CP176" s="53" t="n"/>
      <c r="CQ176" s="53" t="n"/>
      <c r="CR176" s="53" t="n"/>
      <c r="CS176" s="53" t="n"/>
      <c r="CT176" s="53" t="n"/>
      <c r="CU176" s="53" t="n"/>
      <c r="CV176" s="53" t="n"/>
      <c r="CW176" s="53" t="n"/>
      <c r="CX176" s="53" t="n"/>
      <c r="CY176" s="53" t="n"/>
      <c r="CZ176" s="53" t="n"/>
      <c r="DA176" s="53" t="n"/>
      <c r="DB176" s="53" t="n"/>
      <c r="DC176" s="53" t="n"/>
      <c r="DD176" s="53" t="n"/>
      <c r="DE176" s="53" t="n"/>
      <c r="DF176" s="53" t="n"/>
      <c r="DG176" s="53" t="n"/>
      <c r="DH176" s="53" t="n"/>
      <c r="DI176" s="53" t="n"/>
      <c r="DJ176" s="53" t="n"/>
      <c r="DK176" s="53" t="n"/>
      <c r="DL176" s="53" t="n"/>
      <c r="DM176" s="53" t="n"/>
      <c r="DN176" s="53" t="n"/>
      <c r="DO176" s="53" t="n"/>
      <c r="DP176" s="53" t="n"/>
      <c r="DQ176" s="53" t="n"/>
      <c r="DR176" s="53" t="n"/>
      <c r="DS176" s="53" t="n"/>
      <c r="DT176" s="53" t="n"/>
      <c r="DU176" s="53" t="n"/>
      <c r="DV176" s="53" t="n"/>
      <c r="DW176" s="53" t="n"/>
      <c r="DX176" s="53" t="n"/>
      <c r="DY176" s="53" t="n"/>
      <c r="DZ176" s="53" t="n"/>
      <c r="EA176" s="53" t="n"/>
      <c r="EB176" s="53" t="n"/>
      <c r="EC176" s="53" t="n"/>
      <c r="ED176" s="53" t="n"/>
      <c r="EE176" s="53" t="n"/>
      <c r="EF176" s="53" t="n"/>
      <c r="EG176" s="53" t="n"/>
      <c r="EH176" s="53" t="n"/>
      <c r="EI176" s="53" t="n"/>
      <c r="EJ176" s="53" t="n"/>
      <c r="EK176" s="53" t="n"/>
      <c r="EL176" s="53" t="n"/>
      <c r="EM176" s="53" t="n"/>
      <c r="EN176" s="53" t="n"/>
      <c r="EO176" s="53" t="n"/>
      <c r="EP176" s="53" t="n"/>
      <c r="EQ176" s="53" t="n"/>
      <c r="ER176" s="53" t="n"/>
      <c r="ES176" s="53" t="n"/>
      <c r="ET176" s="53" t="n"/>
      <c r="EU176" s="53" t="n"/>
      <c r="EV176" s="53" t="n"/>
      <c r="EW176" s="52" t="n"/>
      <c r="EX176" s="53" t="n"/>
      <c r="EY176" s="53" t="n"/>
      <c r="EZ176" s="53" t="n"/>
      <c r="FA176" s="53" t="n"/>
      <c r="FB176" s="53" t="n"/>
      <c r="FC176" s="53" t="n"/>
      <c r="FD176" s="53" t="n"/>
      <c r="FE176" s="55" t="inlineStr">
        <is>
          <t>KRAs not received · manager to supply</t>
        </is>
      </c>
      <c r="FF176" s="56" t="n"/>
      <c r="FG176" s="56" t="n"/>
      <c r="FH176" s="56" t="n"/>
      <c r="FI176" s="56" t="n"/>
      <c r="FJ176" s="32" t="inlineStr">
        <is>
          <t>KRAs not received · manager to supply</t>
        </is>
      </c>
      <c r="FK176" s="56" t="n"/>
      <c r="FL176" s="56" t="n">
        <v>0</v>
      </c>
      <c r="FM176" s="32" t="inlineStr">
        <is>
          <t>No survey response on file</t>
        </is>
      </c>
      <c r="FN176" s="56" t="inlineStr">
        <is>
          <t>—</t>
        </is>
      </c>
      <c r="FO176" s="56" t="inlineStr">
        <is>
          <t>—</t>
        </is>
      </c>
      <c r="FP176" s="56" t="inlineStr">
        <is>
          <t>—</t>
        </is>
      </c>
      <c r="FQ176" s="56" t="inlineStr">
        <is>
          <t>—</t>
        </is>
      </c>
      <c r="FR176" s="56"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FS176" s="56" t="n"/>
      <c r="FT176" s="56" t="n"/>
      <c r="FU176" s="32" t="inlineStr">
        <is>
          <t>No survey response on file</t>
        </is>
      </c>
    </row>
    <row r="177" ht="90" customHeight="1">
      <c r="A177" s="51" t="inlineStr">
        <is>
          <t>◂ Back</t>
        </is>
      </c>
      <c r="B177" s="29" t="inlineStr">
        <is>
          <t>Mapped</t>
        </is>
      </c>
      <c r="C177" s="28" t="inlineStr">
        <is>
          <t>Corporate</t>
        </is>
      </c>
      <c r="D177" s="29" t="inlineStr">
        <is>
          <t>IRIS1918</t>
        </is>
      </c>
      <c r="E177" s="29" t="inlineStr">
        <is>
          <t>Nishant Gupta</t>
        </is>
      </c>
      <c r="F177" s="29" t="inlineStr">
        <is>
          <t>Finance</t>
        </is>
      </c>
      <c r="G177" s="29" t="inlineStr">
        <is>
          <t>Head Finance &amp; Accounts</t>
        </is>
      </c>
      <c r="H177" s="29" t="inlineStr">
        <is>
          <t>Associate Head – Finance &amp; Accounts</t>
        </is>
      </c>
      <c r="I177" s="29" t="inlineStr">
        <is>
          <t>Not in current mapping files</t>
        </is>
      </c>
      <c r="J177" s="29" t="inlineStr">
        <is>
          <t>C1</t>
        </is>
      </c>
      <c r="K177" s="29" t="inlineStr">
        <is>
          <t>● Newly mapped</t>
        </is>
      </c>
      <c r="L177" s="29" t="inlineStr">
        <is>
          <t>Finance &amp; Accounts</t>
        </is>
      </c>
      <c r="M177" s="29" t="inlineStr">
        <is>
          <t>Finance Leadership</t>
        </is>
      </c>
      <c r="N177" s="29" t="inlineStr">
        <is>
          <t>• Survey response or KRAs describing the work · nothing on file — Employee + manager</t>
        </is>
      </c>
      <c r="O177" s="29" t="n">
        <v>0</v>
      </c>
      <c r="P177" s="28" t="inlineStr">
        <is>
          <t>P6 / M5</t>
        </is>
      </c>
      <c r="Q177" s="29" t="inlineStr">
        <is>
          <t>Principal / Director</t>
        </is>
      </c>
      <c r="R177" s="29" t="inlineStr">
        <is>
          <t>5–6</t>
        </is>
      </c>
      <c r="S177" s="29" t="inlineStr">
        <is>
          <t>10–14 yrs</t>
        </is>
      </c>
      <c r="T177" s="29" t="inlineStr">
        <is>
          <t>12–16 · 12–18</t>
        </is>
      </c>
      <c r="U177" s="29" t="inlineStr">
        <is>
          <t>Head of Function / AGM</t>
        </is>
      </c>
      <c r="V177" s="29" t="inlineStr">
        <is>
          <t>Atlassian company-wide P-levels: P60 Accountant · Principal · IRIS Vs Competitor Benchmark — finance ladder: Associate Director Finance</t>
        </is>
      </c>
      <c r="W177" s="29" t="inlineStr">
        <is>
          <t>IMA Management Accounting Competency Framework; ICAI / CA; Ind AS</t>
        </is>
      </c>
      <c r="X177" s="29" t="inlineStr">
        <is>
          <t>Core 4 · Future 4 · Functional 4 · Leadership 4</t>
        </is>
      </c>
      <c r="Y177" s="52" t="n">
        <v>182</v>
      </c>
      <c r="Z177" s="53" t="inlineStr">
        <is>
          <t>IRIS1918</t>
        </is>
      </c>
      <c r="AA177" s="53" t="inlineStr">
        <is>
          <t>Employee</t>
        </is>
      </c>
      <c r="AB177" s="53" t="inlineStr">
        <is>
          <t>Active</t>
        </is>
      </c>
      <c r="AC177" s="53" t="inlineStr">
        <is>
          <t>Nishant Gupta</t>
        </is>
      </c>
      <c r="AD177" s="54" t="n">
        <v>44357</v>
      </c>
      <c r="AE177" s="53" t="inlineStr">
        <is>
          <t>Head Finance &amp; Accounts</t>
        </is>
      </c>
      <c r="AF177" s="53" t="inlineStr">
        <is>
          <t>CA</t>
        </is>
      </c>
      <c r="AG177" s="53" t="inlineStr">
        <is>
          <t>Vineet Kandoi</t>
        </is>
      </c>
      <c r="AH177" s="53" t="inlineStr">
        <is>
          <t>N-2</t>
        </is>
      </c>
      <c r="AI177" s="53" t="inlineStr">
        <is>
          <t>Manager</t>
        </is>
      </c>
      <c r="AJ177" s="53" t="inlineStr">
        <is>
          <t>2 years, 0 months, 0 days</t>
        </is>
      </c>
      <c r="AK177" s="53" t="inlineStr">
        <is>
          <t>5 years, 2 months, 15 days</t>
        </is>
      </c>
      <c r="AL177" s="53" t="inlineStr">
        <is>
          <t>Corporate</t>
        </is>
      </c>
      <c r="AM177" s="53" t="inlineStr">
        <is>
          <t>Corporate</t>
        </is>
      </c>
      <c r="AN177" s="53" t="inlineStr">
        <is>
          <t>Finance</t>
        </is>
      </c>
      <c r="AO177" s="53" t="inlineStr">
        <is>
          <t>Accounting</t>
        </is>
      </c>
      <c r="AP177" s="53" t="inlineStr">
        <is>
          <t>No</t>
        </is>
      </c>
      <c r="AQ177" s="53" t="inlineStr">
        <is>
          <t>General &amp; Admin</t>
        </is>
      </c>
      <c r="AR177" s="53" t="inlineStr">
        <is>
          <t>Accounting</t>
        </is>
      </c>
      <c r="AS177" s="53" t="inlineStr">
        <is>
          <t>Non-technical</t>
        </is>
      </c>
      <c r="AT177" s="53" t="n">
        <v>0</v>
      </c>
      <c r="AU177" s="53" t="inlineStr">
        <is>
          <t>E-Top management</t>
        </is>
      </c>
      <c r="AV177" s="53" t="n"/>
      <c r="AW177" s="53" t="n"/>
      <c r="AX177" s="53" t="n"/>
      <c r="AY177" s="53" t="n"/>
      <c r="AZ177" s="53" t="n"/>
      <c r="BA177" s="53" t="n"/>
      <c r="BB177" s="53" t="n"/>
      <c r="BC177" s="53" t="n"/>
      <c r="BD177" s="53" t="n"/>
      <c r="BE177" s="53" t="n"/>
      <c r="BF177" s="53" t="n"/>
      <c r="BG177" s="53" t="n"/>
      <c r="BH177" s="53" t="n"/>
      <c r="BI177" s="53" t="n"/>
      <c r="BJ177" s="53" t="n"/>
      <c r="BK177" s="53" t="n"/>
      <c r="BL177" s="53" t="n"/>
      <c r="BM177" s="53" t="n"/>
      <c r="BN177" s="53" t="n"/>
      <c r="BO177" s="53" t="n"/>
      <c r="BP177" s="53" t="n"/>
      <c r="BQ177" s="53" t="n"/>
      <c r="BR177" s="53" t="n"/>
      <c r="BS177" s="53" t="n"/>
      <c r="BT177" s="53" t="n"/>
      <c r="BU177" s="53" t="n"/>
      <c r="BV177" s="53" t="n"/>
      <c r="BW177" s="53" t="n"/>
      <c r="BX177" s="53" t="n"/>
      <c r="BY177" s="53" t="n"/>
      <c r="BZ177" s="53" t="n"/>
      <c r="CA177" s="53" t="n"/>
      <c r="CB177" s="53" t="n"/>
      <c r="CC177" s="53" t="n"/>
      <c r="CD177" s="53" t="n"/>
      <c r="CE177" s="53" t="n"/>
      <c r="CF177" s="53" t="n"/>
      <c r="CG177" s="53" t="n"/>
      <c r="CH177" s="53" t="n"/>
      <c r="CI177" s="53" t="n"/>
      <c r="CJ177" s="53" t="n"/>
      <c r="CK177" s="53" t="n"/>
      <c r="CL177" s="53" t="n"/>
      <c r="CM177" s="53" t="n"/>
      <c r="CN177" s="53" t="n"/>
      <c r="CO177" s="53" t="n"/>
      <c r="CP177" s="53" t="n"/>
      <c r="CQ177" s="53" t="n"/>
      <c r="CR177" s="53" t="n"/>
      <c r="CS177" s="53" t="n"/>
      <c r="CT177" s="53" t="n"/>
      <c r="CU177" s="53" t="n"/>
      <c r="CV177" s="53" t="n"/>
      <c r="CW177" s="53" t="n"/>
      <c r="CX177" s="53" t="n"/>
      <c r="CY177" s="53" t="n"/>
      <c r="CZ177" s="53" t="n"/>
      <c r="DA177" s="53" t="n"/>
      <c r="DB177" s="53" t="n"/>
      <c r="DC177" s="53" t="n"/>
      <c r="DD177" s="53" t="n"/>
      <c r="DE177" s="53" t="n"/>
      <c r="DF177" s="53" t="n"/>
      <c r="DG177" s="53" t="n"/>
      <c r="DH177" s="53" t="n"/>
      <c r="DI177" s="53" t="n"/>
      <c r="DJ177" s="53" t="n"/>
      <c r="DK177" s="53" t="n"/>
      <c r="DL177" s="53" t="n"/>
      <c r="DM177" s="53" t="n"/>
      <c r="DN177" s="53" t="n"/>
      <c r="DO177" s="53" t="n"/>
      <c r="DP177" s="53" t="n"/>
      <c r="DQ177" s="53" t="n"/>
      <c r="DR177" s="53" t="n"/>
      <c r="DS177" s="53" t="n"/>
      <c r="DT177" s="53" t="n"/>
      <c r="DU177" s="53" t="n"/>
      <c r="DV177" s="53" t="n"/>
      <c r="DW177" s="53" t="n"/>
      <c r="DX177" s="53" t="n"/>
      <c r="DY177" s="53" t="n"/>
      <c r="DZ177" s="53" t="n"/>
      <c r="EA177" s="53" t="n"/>
      <c r="EB177" s="53" t="n"/>
      <c r="EC177" s="53" t="n"/>
      <c r="ED177" s="53" t="n"/>
      <c r="EE177" s="53" t="n"/>
      <c r="EF177" s="53" t="n"/>
      <c r="EG177" s="53" t="n"/>
      <c r="EH177" s="53" t="n"/>
      <c r="EI177" s="53" t="n"/>
      <c r="EJ177" s="53" t="n"/>
      <c r="EK177" s="53" t="n"/>
      <c r="EL177" s="53" t="n"/>
      <c r="EM177" s="53" t="n"/>
      <c r="EN177" s="53" t="n"/>
      <c r="EO177" s="53" t="n"/>
      <c r="EP177" s="53" t="n"/>
      <c r="EQ177" s="53" t="n"/>
      <c r="ER177" s="53" t="n"/>
      <c r="ES177" s="53" t="n"/>
      <c r="ET177" s="53" t="n"/>
      <c r="EU177" s="53" t="n"/>
      <c r="EV177" s="53" t="n"/>
      <c r="EW177" s="52" t="n"/>
      <c r="EX177" s="53" t="n"/>
      <c r="EY177" s="53" t="n"/>
      <c r="EZ177" s="53" t="n"/>
      <c r="FA177" s="53" t="n"/>
      <c r="FB177" s="53" t="n"/>
      <c r="FC177" s="53" t="n"/>
      <c r="FD177" s="53" t="n"/>
      <c r="FE177" s="55" t="inlineStr">
        <is>
          <t>KRAs not received · manager to supply</t>
        </is>
      </c>
      <c r="FF177" s="56" t="n"/>
      <c r="FG177" s="56" t="n"/>
      <c r="FH177" s="56" t="n"/>
      <c r="FI177" s="56" t="n"/>
      <c r="FJ177" s="32" t="inlineStr">
        <is>
          <t>KRAs not received · manager to supply</t>
        </is>
      </c>
      <c r="FK177" s="56" t="n"/>
      <c r="FL177" s="56" t="n">
        <v>0</v>
      </c>
      <c r="FM177" s="32" t="inlineStr">
        <is>
          <t>No survey response on file</t>
        </is>
      </c>
      <c r="FN177" s="56" t="inlineStr">
        <is>
          <t>—</t>
        </is>
      </c>
      <c r="FO177" s="56" t="inlineStr">
        <is>
          <t>—</t>
        </is>
      </c>
      <c r="FP177" s="56" t="inlineStr">
        <is>
          <t>—</t>
        </is>
      </c>
      <c r="FQ177" s="56" t="inlineStr">
        <is>
          <t>—</t>
        </is>
      </c>
      <c r="FR177" s="56"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FS177" s="56" t="n"/>
      <c r="FT177" s="56" t="n"/>
      <c r="FU177" s="32" t="inlineStr">
        <is>
          <t>No survey response on file</t>
        </is>
      </c>
    </row>
    <row r="178" ht="90" customHeight="1">
      <c r="A178" s="51" t="inlineStr">
        <is>
          <t>◂ Back</t>
        </is>
      </c>
      <c r="B178" s="29" t="inlineStr">
        <is>
          <t>Mapped</t>
        </is>
      </c>
      <c r="C178" s="28" t="inlineStr">
        <is>
          <t>Corporate</t>
        </is>
      </c>
      <c r="D178" s="29" t="inlineStr">
        <is>
          <t>IRIS1508</t>
        </is>
      </c>
      <c r="E178" s="29" t="inlineStr">
        <is>
          <t>Winny Nair</t>
        </is>
      </c>
      <c r="F178" s="29" t="inlineStr">
        <is>
          <t>Finance</t>
        </is>
      </c>
      <c r="G178" s="29" t="inlineStr">
        <is>
          <t>Manager - Finance and Accounts</t>
        </is>
      </c>
      <c r="H178" s="29" t="inlineStr">
        <is>
          <t>Senior Finance Specialist – POD Lead</t>
        </is>
      </c>
      <c r="I178" s="29" t="inlineStr">
        <is>
          <t>Not in current mapping files</t>
        </is>
      </c>
      <c r="J178" s="29" t="inlineStr">
        <is>
          <t>B2</t>
        </is>
      </c>
      <c r="K178" s="29" t="inlineStr">
        <is>
          <t>● Newly mapped</t>
        </is>
      </c>
      <c r="L178" s="29" t="inlineStr">
        <is>
          <t>Finance &amp; Accounts</t>
        </is>
      </c>
      <c r="M178" s="29" t="inlineStr">
        <is>
          <t>Financial Reporting, Compliance &amp; Audit</t>
        </is>
      </c>
      <c r="N178" s="29" t="n"/>
      <c r="O178" s="29" t="n">
        <v>19</v>
      </c>
      <c r="P178" s="28" t="inlineStr">
        <is>
          <t>P4 / M3</t>
        </is>
      </c>
      <c r="Q178" s="29" t="inlineStr">
        <is>
          <t>Senior / Manager</t>
        </is>
      </c>
      <c r="R178" s="29" t="inlineStr">
        <is>
          <t>4–5</t>
        </is>
      </c>
      <c r="S178" s="29" t="inlineStr">
        <is>
          <t>6–9 yrs</t>
        </is>
      </c>
      <c r="T178" s="29" t="inlineStr">
        <is>
          <t>7–10 · 6–11</t>
        </is>
      </c>
      <c r="U178" s="29" t="inlineStr">
        <is>
          <t>Finance Specialist / Asst. Manager</t>
        </is>
      </c>
      <c r="V178" s="29" t="inlineStr">
        <is>
          <t>Atlassian company-wide P-levels: P50 Senior · Toppan Merrill: Senior Financial Analyst · IRIS Vs Competitor Benchmark — finance ladder: Finance Manager</t>
        </is>
      </c>
      <c r="W178" s="29" t="inlineStr">
        <is>
          <t>IMA Management Accounting Competency Framework; ICAI / CA; Ind AS</t>
        </is>
      </c>
      <c r="X178" s="29" t="inlineStr">
        <is>
          <t>Core 3 · Future 3 · Functional 4 · Leadership 3</t>
        </is>
      </c>
      <c r="Y178" s="52" t="n">
        <v>124</v>
      </c>
      <c r="Z178" s="53" t="inlineStr">
        <is>
          <t>IRIS1508</t>
        </is>
      </c>
      <c r="AA178" s="53" t="inlineStr">
        <is>
          <t>Employee</t>
        </is>
      </c>
      <c r="AB178" s="53" t="inlineStr">
        <is>
          <t>Active</t>
        </is>
      </c>
      <c r="AC178" s="53" t="inlineStr">
        <is>
          <t>Winny Nair</t>
        </is>
      </c>
      <c r="AD178" s="54" t="n">
        <v>42019</v>
      </c>
      <c r="AE178" s="53" t="inlineStr">
        <is>
          <t>Manager - Finance and Accounts</t>
        </is>
      </c>
      <c r="AF178" s="53" t="inlineStr">
        <is>
          <t>PGDM</t>
        </is>
      </c>
      <c r="AG178" s="53" t="inlineStr">
        <is>
          <t>Nishant Gupta</t>
        </is>
      </c>
      <c r="AH178" s="53" t="inlineStr">
        <is>
          <t>N-3</t>
        </is>
      </c>
      <c r="AI178" s="53" t="inlineStr">
        <is>
          <t>Manager</t>
        </is>
      </c>
      <c r="AJ178" s="53" t="inlineStr">
        <is>
          <t>8 years, 2 months, 0 days</t>
        </is>
      </c>
      <c r="AK178" s="53" t="inlineStr">
        <is>
          <t>11 years, 7 months, 10 days</t>
        </is>
      </c>
      <c r="AL178" s="53" t="inlineStr">
        <is>
          <t>Corporate</t>
        </is>
      </c>
      <c r="AM178" s="53" t="inlineStr">
        <is>
          <t>Corporate</t>
        </is>
      </c>
      <c r="AN178" s="53" t="inlineStr">
        <is>
          <t>Finance</t>
        </is>
      </c>
      <c r="AO178" s="53" t="inlineStr">
        <is>
          <t>Accounting</t>
        </is>
      </c>
      <c r="AP178" s="53" t="inlineStr">
        <is>
          <t>No</t>
        </is>
      </c>
      <c r="AQ178" s="53" t="inlineStr">
        <is>
          <t>General &amp; Admin</t>
        </is>
      </c>
      <c r="AR178" s="53" t="inlineStr">
        <is>
          <t>Accounting</t>
        </is>
      </c>
      <c r="AS178" s="53" t="inlineStr">
        <is>
          <t>Non-technical</t>
        </is>
      </c>
      <c r="AT178" s="53" t="n">
        <v>20</v>
      </c>
      <c r="AU178" s="53" t="inlineStr">
        <is>
          <t>Covered</t>
        </is>
      </c>
      <c r="AV178" s="53" t="n"/>
      <c r="AW178" s="53" t="n"/>
      <c r="AX178" s="53" t="n"/>
      <c r="AY178" s="53" t="n"/>
      <c r="AZ178" s="53" t="n"/>
      <c r="BA178" s="53" t="n"/>
      <c r="BB178" s="53" t="n"/>
      <c r="BC178" s="53" t="n"/>
      <c r="BD178" s="53" t="n"/>
      <c r="BE178" s="53" t="n"/>
      <c r="BF178" s="53" t="n"/>
      <c r="BG178" s="53" t="n"/>
      <c r="BH178" s="53" t="n"/>
      <c r="BI178" s="53" t="n"/>
      <c r="BJ178" s="53" t="n"/>
      <c r="BK178" s="53" t="n"/>
      <c r="BL178" s="53" t="n"/>
      <c r="BM178" s="53" t="n"/>
      <c r="BN178" s="53" t="n"/>
      <c r="BO178" s="53" t="n"/>
      <c r="BP178" s="53" t="n"/>
      <c r="BQ178" s="53" t="n"/>
      <c r="BR178" s="53" t="n"/>
      <c r="BS178" s="53" t="n"/>
      <c r="BT178" s="53" t="n"/>
      <c r="BU178" s="53" t="n"/>
      <c r="BV178" s="53" t="n"/>
      <c r="BW178" s="53" t="n"/>
      <c r="BX178" s="53" t="n"/>
      <c r="BY178" s="53" t="n"/>
      <c r="BZ178" s="53" t="n"/>
      <c r="CA178" s="53" t="n"/>
      <c r="CB178" s="53" t="n"/>
      <c r="CC178" s="53" t="n"/>
      <c r="CD178" s="53" t="n"/>
      <c r="CE178" s="53" t="n"/>
      <c r="CF178" s="53" t="n"/>
      <c r="CG178" s="53" t="n"/>
      <c r="CH178" s="53" t="n"/>
      <c r="CI178" s="53" t="n"/>
      <c r="CJ178" s="53" t="n"/>
      <c r="CK178" s="53" t="n"/>
      <c r="CL178" s="53" t="n"/>
      <c r="CM178" s="53" t="n"/>
      <c r="CN178" s="53" t="n"/>
      <c r="CO178" s="53" t="n"/>
      <c r="CP178" s="53" t="n"/>
      <c r="CQ178" s="53" t="n"/>
      <c r="CR178" s="53" t="n"/>
      <c r="CS178" s="53" t="n"/>
      <c r="CT178" s="53" t="n"/>
      <c r="CU178" s="53" t="n"/>
      <c r="CV178" s="53" t="n"/>
      <c r="CW178" s="53" t="n"/>
      <c r="CX178" s="53" t="n"/>
      <c r="CY178" s="53" t="n"/>
      <c r="CZ178" s="53" t="n"/>
      <c r="DA178" s="53" t="n"/>
      <c r="DB178" s="53" t="n"/>
      <c r="DC178" s="53" t="n"/>
      <c r="DD178" s="53" t="n"/>
      <c r="DE178" s="53" t="n"/>
      <c r="DF178" s="53" t="n"/>
      <c r="DG178" s="53" t="n"/>
      <c r="DH178" s="53" t="n"/>
      <c r="DI178" s="53" t="n"/>
      <c r="DJ178" s="53" t="n"/>
      <c r="DK178" s="53" t="n"/>
      <c r="DL178" s="53" t="n"/>
      <c r="DM178" s="53" t="n"/>
      <c r="DN178" s="53" t="n"/>
      <c r="DO178" s="53" t="n"/>
      <c r="DP178" s="53" t="n"/>
      <c r="DQ178" s="53" t="n"/>
      <c r="DR178" s="53" t="n"/>
      <c r="DS178" s="53" t="n"/>
      <c r="DT178" s="53" t="n"/>
      <c r="DU178" s="53" t="n"/>
      <c r="DV178" s="53" t="n"/>
      <c r="DW178" s="53" t="n"/>
      <c r="DX178" s="53" t="n"/>
      <c r="DY178" s="53" t="n"/>
      <c r="DZ178" s="53" t="n"/>
      <c r="EA178" s="53" t="n"/>
      <c r="EB178" s="53" t="n"/>
      <c r="EC178" s="53" t="n"/>
      <c r="ED178" s="53" t="n"/>
      <c r="EE178" s="53" t="n"/>
      <c r="EF178" s="53" t="n"/>
      <c r="EG178" s="53" t="n"/>
      <c r="EH178" s="53" t="n"/>
      <c r="EI178" s="53" t="n"/>
      <c r="EJ178" s="53" t="n"/>
      <c r="EK178" s="53" t="n"/>
      <c r="EL178" s="53" t="n"/>
      <c r="EM178" s="53" t="n"/>
      <c r="EN178" s="53" t="n"/>
      <c r="EO178" s="53" t="n"/>
      <c r="EP178" s="53" t="n"/>
      <c r="EQ178" s="53" t="n"/>
      <c r="ER178" s="53" t="n"/>
      <c r="ES178" s="53" t="n"/>
      <c r="ET178" s="53" t="n"/>
      <c r="EU178" s="53" t="n"/>
      <c r="EV178" s="53" t="n"/>
      <c r="EW178" s="52" t="n"/>
      <c r="EX178" s="53" t="n"/>
      <c r="EY178" s="53" t="n"/>
      <c r="EZ178" s="53" t="n"/>
      <c r="FA178" s="53" t="n"/>
      <c r="FB178" s="53" t="n"/>
      <c r="FC178" s="53" t="n"/>
      <c r="FD178" s="53" t="n"/>
      <c r="FE178" s="55" t="inlineStr">
        <is>
          <t>KRAs not received · manager to supply</t>
        </is>
      </c>
      <c r="FF178" s="56" t="n"/>
      <c r="FG178" s="56" t="n"/>
      <c r="FH178" s="56" t="n"/>
      <c r="FI178" s="56" t="n"/>
      <c r="FJ178" s="32" t="inlineStr">
        <is>
          <t>KRAs not received · manager to supply</t>
        </is>
      </c>
      <c r="FK178" s="56" t="n"/>
      <c r="FL178" s="56" t="n">
        <v>19</v>
      </c>
      <c r="FM178" s="32" t="inlineStr">
        <is>
          <t>Full survey answers not in the files received · How We Grow export needed · HR</t>
        </is>
      </c>
      <c r="FN178" s="56" t="inlineStr">
        <is>
          <t>—</t>
        </is>
      </c>
      <c r="FO178" s="56" t="inlineStr">
        <is>
          <t>—</t>
        </is>
      </c>
      <c r="FP178" s="56" t="inlineStr">
        <is>
          <t>—</t>
        </is>
      </c>
      <c r="FQ178" s="56" t="inlineStr">
        <is>
          <t>—</t>
        </is>
      </c>
      <c r="FR178" s="56" t="inlineStr">
        <is>
          <t>Complexity: Evidence reads like B2: Spans statutory compliance, subsidiary book closing, audits, banking, forex hedging and regulatory notices → matches the start
Autonomy: Evidence reads like A2: States decides 'Nothing' independently, though approves entries and executes forex hedging → moved down 1
Accountability: Evidence reads like B2: own survey / KRA answers · summarised by the rater; not quoted → moved up 0.2
Leadership: Evidence reads like A3: Approves entries and gets work done through others; 1 direct report → moved down 0.5
Business Impact: No survey or manager-mapping signal on criticality: kept at the start point.</t>
        </is>
      </c>
      <c r="FS178" s="56" t="inlineStr">
        <is>
          <t>Common themes in sub-family holders, all levels' answers: financial · company · business · reason · management
Common themes in sub-family holders, all levels' answers: order · approval · business · sales · invoice
Common themes in sub-family holders, all levels' answers: financial statements
Common themes in sub-family holders, all levels' answers: book · subsidiary · report · order</t>
        </is>
      </c>
      <c r="FT178" s="56" t="inlineStr">
        <is>
          <t>Self-identified: Leadership &amp; people management
For the next role: Leadership &amp; people management</t>
        </is>
      </c>
      <c r="FU178" s="32" t="inlineStr">
        <is>
          <t>Full survey answers not in the files received · How We Grow export needed · HR</t>
        </is>
      </c>
    </row>
    <row r="179" ht="90" customHeight="1">
      <c r="A179" s="51" t="inlineStr">
        <is>
          <t>◂ Back</t>
        </is>
      </c>
      <c r="B179" s="29" t="inlineStr">
        <is>
          <t>Mapped</t>
        </is>
      </c>
      <c r="C179" s="28" t="inlineStr">
        <is>
          <t>Corporate</t>
        </is>
      </c>
      <c r="D179" s="29" t="inlineStr">
        <is>
          <t>IRIS2214</t>
        </is>
      </c>
      <c r="E179" s="29" t="inlineStr">
        <is>
          <t>Shreya Singh</t>
        </is>
      </c>
      <c r="F179" s="29" t="inlineStr">
        <is>
          <t>Finance</t>
        </is>
      </c>
      <c r="G179" s="29" t="inlineStr">
        <is>
          <t>Assistant Manager - Finance and Accounts</t>
        </is>
      </c>
      <c r="H179" s="29" t="inlineStr">
        <is>
          <t>Finance Specialist – POD Lead</t>
        </is>
      </c>
      <c r="I179" s="29" t="inlineStr">
        <is>
          <t>Not in current mapping files</t>
        </is>
      </c>
      <c r="J179" s="29" t="inlineStr">
        <is>
          <t>B1</t>
        </is>
      </c>
      <c r="K179" s="29" t="inlineStr">
        <is>
          <t>● Newly mapped</t>
        </is>
      </c>
      <c r="L179" s="29" t="inlineStr">
        <is>
          <t>Finance &amp; Accounts</t>
        </is>
      </c>
      <c r="M179" s="29" t="inlineStr">
        <is>
          <t>Financial Reporting, Compliance &amp; Audit</t>
        </is>
      </c>
      <c r="N179" s="29" t="n"/>
      <c r="O179" s="29" t="n">
        <v>20</v>
      </c>
      <c r="P179" s="28" t="inlineStr">
        <is>
          <t>P3 / M2</t>
        </is>
      </c>
      <c r="Q179" s="29" t="inlineStr">
        <is>
          <t>Career / · Team Lead</t>
        </is>
      </c>
      <c r="R179" s="29" t="inlineStr">
        <is>
          <t>4 Enable</t>
        </is>
      </c>
      <c r="S179" s="29" t="inlineStr">
        <is>
          <t>4–7 yrs</t>
        </is>
      </c>
      <c r="T179" s="29" t="inlineStr">
        <is>
          <t>5–8 · 4–8</t>
        </is>
      </c>
      <c r="U179" s="29" t="inlineStr">
        <is>
          <t>Senior Accountant</t>
        </is>
      </c>
      <c r="V179" s="29" t="inlineStr">
        <is>
          <t>Toppan Merrill: Senior Accountant · IRIS Vs Competitor Benchmark — finance ladder: Finance Specialist / Asst. Manager</t>
        </is>
      </c>
      <c r="W179" s="29" t="inlineStr">
        <is>
          <t>IMA Management Accounting Competency Framework; ICAI / CA; Ind AS</t>
        </is>
      </c>
      <c r="X179" s="29" t="inlineStr">
        <is>
          <t>Core 3 · Future 3 · Functional 3 · Leadership 2</t>
        </is>
      </c>
      <c r="Y179" s="52" t="n">
        <v>301</v>
      </c>
      <c r="Z179" s="53" t="inlineStr">
        <is>
          <t>IRIS2214</t>
        </is>
      </c>
      <c r="AA179" s="53" t="inlineStr">
        <is>
          <t>Employee</t>
        </is>
      </c>
      <c r="AB179" s="53" t="inlineStr">
        <is>
          <t>Active</t>
        </is>
      </c>
      <c r="AC179" s="53" t="inlineStr">
        <is>
          <t>Shreya Singh</t>
        </is>
      </c>
      <c r="AD179" s="54" t="n">
        <v>45278</v>
      </c>
      <c r="AE179" s="53" t="inlineStr">
        <is>
          <t>Assistant Manager - Finance and Accounts</t>
        </is>
      </c>
      <c r="AF179" s="53" t="inlineStr">
        <is>
          <t>B.Com</t>
        </is>
      </c>
      <c r="AG179" s="53" t="inlineStr">
        <is>
          <t>Winny Nair</t>
        </is>
      </c>
      <c r="AH179" s="53" t="inlineStr">
        <is>
          <t>N-4</t>
        </is>
      </c>
      <c r="AI179" s="53" t="inlineStr">
        <is>
          <t>Manager</t>
        </is>
      </c>
      <c r="AJ179" s="53" t="inlineStr">
        <is>
          <t>3 years, 4 months, 0 days</t>
        </is>
      </c>
      <c r="AK179" s="53" t="inlineStr">
        <is>
          <t>2 years, 8 months, 7 days</t>
        </is>
      </c>
      <c r="AL179" s="53" t="inlineStr">
        <is>
          <t>Corporate</t>
        </is>
      </c>
      <c r="AM179" s="53" t="inlineStr">
        <is>
          <t>Corporate</t>
        </is>
      </c>
      <c r="AN179" s="53" t="inlineStr">
        <is>
          <t>Finance</t>
        </is>
      </c>
      <c r="AO179" s="53" t="inlineStr">
        <is>
          <t>Accounting</t>
        </is>
      </c>
      <c r="AP179" s="53" t="inlineStr">
        <is>
          <t>No</t>
        </is>
      </c>
      <c r="AQ179" s="53" t="inlineStr">
        <is>
          <t>General &amp; Admin</t>
        </is>
      </c>
      <c r="AR179" s="53" t="inlineStr">
        <is>
          <t>Accounting</t>
        </is>
      </c>
      <c r="AS179" s="53" t="inlineStr">
        <is>
          <t>Non-technical</t>
        </is>
      </c>
      <c r="AT179" s="53" t="n">
        <v>20</v>
      </c>
      <c r="AU179" s="53" t="inlineStr">
        <is>
          <t>Covered</t>
        </is>
      </c>
      <c r="AV179" s="53" t="n"/>
      <c r="AW179" s="53" t="n"/>
      <c r="AX179" s="53" t="n"/>
      <c r="AY179" s="53" t="n"/>
      <c r="AZ179" s="53" t="n"/>
      <c r="BA179" s="53" t="n"/>
      <c r="BB179" s="53" t="n"/>
      <c r="BC179" s="53" t="n"/>
      <c r="BD179" s="53" t="n"/>
      <c r="BE179" s="53" t="n"/>
      <c r="BF179" s="53" t="n"/>
      <c r="BG179" s="53" t="n"/>
      <c r="BH179" s="53" t="n"/>
      <c r="BI179" s="53" t="n"/>
      <c r="BJ179" s="53" t="n"/>
      <c r="BK179" s="53" t="n"/>
      <c r="BL179" s="53" t="n"/>
      <c r="BM179" s="53" t="n"/>
      <c r="BN179" s="53" t="n"/>
      <c r="BO179" s="53" t="n"/>
      <c r="BP179" s="53" t="n"/>
      <c r="BQ179" s="53" t="n"/>
      <c r="BR179" s="53" t="n"/>
      <c r="BS179" s="53" t="n"/>
      <c r="BT179" s="53" t="n"/>
      <c r="BU179" s="53" t="n"/>
      <c r="BV179" s="53" t="n"/>
      <c r="BW179" s="53" t="n"/>
      <c r="BX179" s="53" t="n"/>
      <c r="BY179" s="53" t="n"/>
      <c r="BZ179" s="53" t="n"/>
      <c r="CA179" s="53" t="n"/>
      <c r="CB179" s="53" t="n"/>
      <c r="CC179" s="53" t="n"/>
      <c r="CD179" s="53" t="n"/>
      <c r="CE179" s="53" t="n"/>
      <c r="CF179" s="53" t="n"/>
      <c r="CG179" s="53" t="n"/>
      <c r="CH179" s="53" t="n"/>
      <c r="CI179" s="53" t="n"/>
      <c r="CJ179" s="53" t="n"/>
      <c r="CK179" s="53" t="n"/>
      <c r="CL179" s="53" t="n"/>
      <c r="CM179" s="53" t="n"/>
      <c r="CN179" s="53" t="n"/>
      <c r="CO179" s="53" t="n"/>
      <c r="CP179" s="53" t="n"/>
      <c r="CQ179" s="53" t="n"/>
      <c r="CR179" s="53" t="n"/>
      <c r="CS179" s="53" t="n"/>
      <c r="CT179" s="53" t="n"/>
      <c r="CU179" s="53" t="n"/>
      <c r="CV179" s="53" t="n"/>
      <c r="CW179" s="53" t="n"/>
      <c r="CX179" s="53" t="n"/>
      <c r="CY179" s="53" t="n"/>
      <c r="CZ179" s="53" t="n"/>
      <c r="DA179" s="53" t="n"/>
      <c r="DB179" s="53" t="n"/>
      <c r="DC179" s="53" t="n"/>
      <c r="DD179" s="53" t="n"/>
      <c r="DE179" s="53" t="n"/>
      <c r="DF179" s="53" t="n"/>
      <c r="DG179" s="53" t="n"/>
      <c r="DH179" s="53" t="n"/>
      <c r="DI179" s="53" t="n"/>
      <c r="DJ179" s="53" t="n"/>
      <c r="DK179" s="53" t="n"/>
      <c r="DL179" s="53" t="n"/>
      <c r="DM179" s="53" t="n"/>
      <c r="DN179" s="53" t="n"/>
      <c r="DO179" s="53" t="n"/>
      <c r="DP179" s="53" t="n"/>
      <c r="DQ179" s="53" t="n"/>
      <c r="DR179" s="53" t="n"/>
      <c r="DS179" s="53" t="n"/>
      <c r="DT179" s="53" t="n"/>
      <c r="DU179" s="53" t="n"/>
      <c r="DV179" s="53" t="n"/>
      <c r="DW179" s="53" t="n"/>
      <c r="DX179" s="53" t="n"/>
      <c r="DY179" s="53" t="n"/>
      <c r="DZ179" s="53" t="n"/>
      <c r="EA179" s="53" t="n"/>
      <c r="EB179" s="53" t="n"/>
      <c r="EC179" s="53" t="n"/>
      <c r="ED179" s="53" t="n"/>
      <c r="EE179" s="53" t="n"/>
      <c r="EF179" s="53" t="n"/>
      <c r="EG179" s="53" t="n"/>
      <c r="EH179" s="53" t="n"/>
      <c r="EI179" s="53" t="n"/>
      <c r="EJ179" s="53" t="n"/>
      <c r="EK179" s="53" t="n"/>
      <c r="EL179" s="53" t="n"/>
      <c r="EM179" s="53" t="n"/>
      <c r="EN179" s="53" t="n"/>
      <c r="EO179" s="53" t="n"/>
      <c r="EP179" s="53" t="n"/>
      <c r="EQ179" s="53" t="n"/>
      <c r="ER179" s="53" t="n"/>
      <c r="ES179" s="53" t="n"/>
      <c r="ET179" s="53" t="n"/>
      <c r="EU179" s="53" t="n"/>
      <c r="EV179" s="53" t="n"/>
      <c r="EW179" s="52" t="n"/>
      <c r="EX179" s="53" t="n"/>
      <c r="EY179" s="53" t="n"/>
      <c r="EZ179" s="53" t="n"/>
      <c r="FA179" s="53" t="n"/>
      <c r="FB179" s="53" t="n"/>
      <c r="FC179" s="53" t="n"/>
      <c r="FD179" s="53" t="n"/>
      <c r="FE179" s="55" t="inlineStr">
        <is>
          <t>KRAs not received · manager to supply</t>
        </is>
      </c>
      <c r="FF179" s="56" t="n"/>
      <c r="FG179" s="56" t="n"/>
      <c r="FH179" s="56" t="n"/>
      <c r="FI179" s="56" t="n"/>
      <c r="FJ179" s="32" t="inlineStr">
        <is>
          <t>KRAs not received · manager to supply</t>
        </is>
      </c>
      <c r="FK179" s="56" t="n"/>
      <c r="FL179" s="56" t="n">
        <v>20</v>
      </c>
      <c r="FM179" s="32" t="inlineStr">
        <is>
          <t>Full survey answers not in the files received · How We Grow export needed · HR</t>
        </is>
      </c>
      <c r="FN179" s="56" t="inlineStr">
        <is>
          <t>—</t>
        </is>
      </c>
      <c r="FO179" s="56" t="inlineStr">
        <is>
          <t>—</t>
        </is>
      </c>
      <c r="FP179" s="56" t="inlineStr">
        <is>
          <t>—</t>
        </is>
      </c>
      <c r="FQ179" s="56" t="inlineStr">
        <is>
          <t>—</t>
        </is>
      </c>
      <c r="FR179" s="56" t="inlineStr">
        <is>
          <t>Complexity: Evidence reads like B1: Revenue report, standalone financial statements, statutory auditor queries, ERP phase 2 development, DM tool → matches the start
Autonomy: Evidence reads like A3: Decides sales order renewals; approves sales orders and invoices → moved down 0.5
Accountability: Evidence reads like B1: own survey / KRA answers · summarised by the rater; not quoted → matches the start
Leadership: Evidence reads like A3: Approves entries made by others; 2 direct reports → moved down 0.5
Business Impact: No survey or manager-mapping signal on criticality: kept at the start point.</t>
        </is>
      </c>
      <c r="FS179" s="56" t="inlineStr">
        <is>
          <t>Common themes in role-holders' answers: business · financial · reason · management
Common themes in role-holders' answers: order · business · sales · invoice
Common themes in role-holders' answers: financial statements
Common themes in role-holders' answers: order</t>
        </is>
      </c>
      <c r="FT179" s="56" t="inlineStr">
        <is>
          <t>Self-identified: Strategy &amp; business acumen · Certification / formal course · Broader exposure &amp; ownership
For the next role: Strategy &amp; business acumen · Certification / formal course · Broader exposure &amp; ownership</t>
        </is>
      </c>
      <c r="FU179" s="32" t="inlineStr">
        <is>
          <t>Full survey answers not in the files received · How We Grow export needed · HR</t>
        </is>
      </c>
    </row>
    <row r="180" ht="90" customHeight="1">
      <c r="A180" s="51" t="inlineStr">
        <is>
          <t>◂ Back</t>
        </is>
      </c>
      <c r="B180" s="29" t="inlineStr">
        <is>
          <t>Mapped</t>
        </is>
      </c>
      <c r="C180" s="28" t="inlineStr">
        <is>
          <t>Corporate</t>
        </is>
      </c>
      <c r="D180" s="29" t="inlineStr">
        <is>
          <t>IRIS1724</t>
        </is>
      </c>
      <c r="E180" s="29" t="inlineStr">
        <is>
          <t>Anita Chavan</t>
        </is>
      </c>
      <c r="F180" s="29" t="inlineStr">
        <is>
          <t>Finance</t>
        </is>
      </c>
      <c r="G180" s="29" t="inlineStr">
        <is>
          <t>Senior Executive Accounts</t>
        </is>
      </c>
      <c r="H180" s="29" t="inlineStr">
        <is>
          <t>Accounts Specialist – POD Lead</t>
        </is>
      </c>
      <c r="I180" s="29" t="inlineStr">
        <is>
          <t>Not in current mapping files</t>
        </is>
      </c>
      <c r="J180" s="29" t="inlineStr">
        <is>
          <t>B1</t>
        </is>
      </c>
      <c r="K180" s="29" t="inlineStr">
        <is>
          <t>● Newly mapped</t>
        </is>
      </c>
      <c r="L180" s="29" t="inlineStr">
        <is>
          <t>Finance &amp; Accounts</t>
        </is>
      </c>
      <c r="M180" s="29" t="inlineStr">
        <is>
          <t>Accounting &amp; Transaction Processing</t>
        </is>
      </c>
      <c r="N180" s="29" t="n"/>
      <c r="O180" s="29" t="n">
        <v>20</v>
      </c>
      <c r="P180" s="28" t="inlineStr">
        <is>
          <t>P3 / M2</t>
        </is>
      </c>
      <c r="Q180" s="29" t="inlineStr">
        <is>
          <t>Career / · Team Lead</t>
        </is>
      </c>
      <c r="R180" s="29" t="inlineStr">
        <is>
          <t>4 Enable</t>
        </is>
      </c>
      <c r="S180" s="29" t="inlineStr">
        <is>
          <t>4–7 yrs</t>
        </is>
      </c>
      <c r="T180" s="29" t="inlineStr">
        <is>
          <t>5–8 · 4–8</t>
        </is>
      </c>
      <c r="U180" s="29" t="inlineStr">
        <is>
          <t>Senior Accountant</t>
        </is>
      </c>
      <c r="V180" s="29" t="inlineStr">
        <is>
          <t>Toppan Merrill: Senior Accountant · IRIS Vs Competitor Benchmark — finance ladder: Finance Specialist / Asst. Manager</t>
        </is>
      </c>
      <c r="W180" s="29" t="inlineStr">
        <is>
          <t>IMA Management Accounting Competency Framework; ICAI / CA; Ind AS</t>
        </is>
      </c>
      <c r="X180" s="29" t="inlineStr">
        <is>
          <t>Core 3 · Future 3 · Functional 3 · Leadership 2</t>
        </is>
      </c>
      <c r="Y180" s="52" t="n">
        <v>148</v>
      </c>
      <c r="Z180" s="53" t="inlineStr">
        <is>
          <t>IRIS1724</t>
        </is>
      </c>
      <c r="AA180" s="53" t="inlineStr">
        <is>
          <t>Employee</t>
        </is>
      </c>
      <c r="AB180" s="53" t="inlineStr">
        <is>
          <t>Active</t>
        </is>
      </c>
      <c r="AC180" s="53" t="inlineStr">
        <is>
          <t>Anita Chavan</t>
        </is>
      </c>
      <c r="AD180" s="54" t="n">
        <v>43262</v>
      </c>
      <c r="AE180" s="53" t="inlineStr">
        <is>
          <t>Senior Executive Accounts</t>
        </is>
      </c>
      <c r="AF180" s="53" t="inlineStr">
        <is>
          <t>B.Com</t>
        </is>
      </c>
      <c r="AG180" s="53" t="inlineStr">
        <is>
          <t>Shreya Singh</t>
        </is>
      </c>
      <c r="AH180" s="53" t="inlineStr">
        <is>
          <t>N-5</t>
        </is>
      </c>
      <c r="AI180" s="53" t="inlineStr">
        <is>
          <t>Manager</t>
        </is>
      </c>
      <c r="AJ180" s="53" t="inlineStr">
        <is>
          <t>12 years, 4 months, 0 days</t>
        </is>
      </c>
      <c r="AK180" s="53" t="inlineStr">
        <is>
          <t>8 years, 2 months, 14 days</t>
        </is>
      </c>
      <c r="AL180" s="53" t="inlineStr">
        <is>
          <t>Corporate</t>
        </is>
      </c>
      <c r="AM180" s="53" t="inlineStr">
        <is>
          <t>Corporate</t>
        </is>
      </c>
      <c r="AN180" s="53" t="inlineStr">
        <is>
          <t>Finance</t>
        </is>
      </c>
      <c r="AO180" s="53" t="inlineStr">
        <is>
          <t>Accounting</t>
        </is>
      </c>
      <c r="AP180" s="53" t="inlineStr">
        <is>
          <t>No</t>
        </is>
      </c>
      <c r="AQ180" s="53" t="inlineStr">
        <is>
          <t>General &amp; Admin</t>
        </is>
      </c>
      <c r="AR180" s="53" t="inlineStr">
        <is>
          <t>Accounting</t>
        </is>
      </c>
      <c r="AS180" s="53" t="inlineStr">
        <is>
          <t>Non-technical</t>
        </is>
      </c>
      <c r="AT180" s="53" t="n">
        <v>20</v>
      </c>
      <c r="AU180" s="53" t="inlineStr">
        <is>
          <t>Covered</t>
        </is>
      </c>
      <c r="AV180" s="53" t="n"/>
      <c r="AW180" s="53" t="n"/>
      <c r="AX180" s="53" t="n"/>
      <c r="AY180" s="53" t="n"/>
      <c r="AZ180" s="53" t="n"/>
      <c r="BA180" s="53" t="n"/>
      <c r="BB180" s="53" t="n"/>
      <c r="BC180" s="53" t="n"/>
      <c r="BD180" s="53" t="n"/>
      <c r="BE180" s="53" t="n"/>
      <c r="BF180" s="53" t="n"/>
      <c r="BG180" s="53" t="n"/>
      <c r="BH180" s="53" t="n"/>
      <c r="BI180" s="53" t="n"/>
      <c r="BJ180" s="53" t="n"/>
      <c r="BK180" s="53" t="n"/>
      <c r="BL180" s="53" t="n"/>
      <c r="BM180" s="53" t="n"/>
      <c r="BN180" s="53" t="n"/>
      <c r="BO180" s="53" t="n"/>
      <c r="BP180" s="53" t="n"/>
      <c r="BQ180" s="53" t="n"/>
      <c r="BR180" s="53" t="n"/>
      <c r="BS180" s="53" t="n"/>
      <c r="BT180" s="53" t="n"/>
      <c r="BU180" s="53" t="n"/>
      <c r="BV180" s="53" t="n"/>
      <c r="BW180" s="53" t="n"/>
      <c r="BX180" s="53" t="n"/>
      <c r="BY180" s="53" t="n"/>
      <c r="BZ180" s="53" t="n"/>
      <c r="CA180" s="53" t="n"/>
      <c r="CB180" s="53" t="n"/>
      <c r="CC180" s="53" t="n"/>
      <c r="CD180" s="53" t="n"/>
      <c r="CE180" s="53" t="n"/>
      <c r="CF180" s="53" t="n"/>
      <c r="CG180" s="53" t="n"/>
      <c r="CH180" s="53" t="n"/>
      <c r="CI180" s="53" t="n"/>
      <c r="CJ180" s="53" t="n"/>
      <c r="CK180" s="53" t="n"/>
      <c r="CL180" s="53" t="n"/>
      <c r="CM180" s="53" t="n"/>
      <c r="CN180" s="53" t="n"/>
      <c r="CO180" s="53" t="n"/>
      <c r="CP180" s="53" t="n"/>
      <c r="CQ180" s="53" t="n"/>
      <c r="CR180" s="53" t="n"/>
      <c r="CS180" s="53" t="n"/>
      <c r="CT180" s="53" t="n"/>
      <c r="CU180" s="53" t="n"/>
      <c r="CV180" s="53" t="n"/>
      <c r="CW180" s="53" t="n"/>
      <c r="CX180" s="53" t="n"/>
      <c r="CY180" s="53" t="n"/>
      <c r="CZ180" s="53" t="n"/>
      <c r="DA180" s="53" t="n"/>
      <c r="DB180" s="53" t="n"/>
      <c r="DC180" s="53" t="n"/>
      <c r="DD180" s="53" t="n"/>
      <c r="DE180" s="53" t="n"/>
      <c r="DF180" s="53" t="n"/>
      <c r="DG180" s="53" t="n"/>
      <c r="DH180" s="53" t="n"/>
      <c r="DI180" s="53" t="n"/>
      <c r="DJ180" s="53" t="n"/>
      <c r="DK180" s="53" t="n"/>
      <c r="DL180" s="53" t="n"/>
      <c r="DM180" s="53" t="n"/>
      <c r="DN180" s="53" t="n"/>
      <c r="DO180" s="53" t="n"/>
      <c r="DP180" s="53" t="n"/>
      <c r="DQ180" s="53" t="n"/>
      <c r="DR180" s="53" t="n"/>
      <c r="DS180" s="53" t="n"/>
      <c r="DT180" s="53" t="n"/>
      <c r="DU180" s="53" t="n"/>
      <c r="DV180" s="53" t="n"/>
      <c r="DW180" s="53" t="n"/>
      <c r="DX180" s="53" t="n"/>
      <c r="DY180" s="53" t="n"/>
      <c r="DZ180" s="53" t="n"/>
      <c r="EA180" s="53" t="n"/>
      <c r="EB180" s="53" t="n"/>
      <c r="EC180" s="53" t="n"/>
      <c r="ED180" s="53" t="n"/>
      <c r="EE180" s="53" t="n"/>
      <c r="EF180" s="53" t="n"/>
      <c r="EG180" s="53" t="n"/>
      <c r="EH180" s="53" t="n"/>
      <c r="EI180" s="53" t="n"/>
      <c r="EJ180" s="53" t="n"/>
      <c r="EK180" s="53" t="n"/>
      <c r="EL180" s="53" t="n"/>
      <c r="EM180" s="53" t="n"/>
      <c r="EN180" s="53" t="n"/>
      <c r="EO180" s="53" t="n"/>
      <c r="EP180" s="53" t="n"/>
      <c r="EQ180" s="53" t="n"/>
      <c r="ER180" s="53" t="n"/>
      <c r="ES180" s="53" t="n"/>
      <c r="ET180" s="53" t="n"/>
      <c r="EU180" s="53" t="n"/>
      <c r="EV180" s="53" t="n"/>
      <c r="EW180" s="52" t="n"/>
      <c r="EX180" s="53" t="n"/>
      <c r="EY180" s="53" t="n"/>
      <c r="EZ180" s="53" t="n"/>
      <c r="FA180" s="53" t="n"/>
      <c r="FB180" s="53" t="n"/>
      <c r="FC180" s="53" t="n"/>
      <c r="FD180" s="53" t="n"/>
      <c r="FE180" s="55" t="inlineStr">
        <is>
          <t>KRAs not received · manager to supply</t>
        </is>
      </c>
      <c r="FF180" s="56" t="n"/>
      <c r="FG180" s="56" t="n"/>
      <c r="FH180" s="56" t="n"/>
      <c r="FI180" s="56" t="n"/>
      <c r="FJ180" s="32" t="inlineStr">
        <is>
          <t>KRAs not received · manager to supply</t>
        </is>
      </c>
      <c r="FK180" s="56" t="n"/>
      <c r="FL180" s="56" t="n">
        <v>20</v>
      </c>
      <c r="FM180" s="32" t="inlineStr">
        <is>
          <t>Full survey answers not in the files received · How We Grow export needed · HR</t>
        </is>
      </c>
      <c r="FN180" s="56" t="inlineStr">
        <is>
          <t>—</t>
        </is>
      </c>
      <c r="FO180" s="56" t="inlineStr">
        <is>
          <t>—</t>
        </is>
      </c>
      <c r="FP180" s="56" t="inlineStr">
        <is>
          <t>—</t>
        </is>
      </c>
      <c r="FQ180" s="56" t="inlineStr">
        <is>
          <t>—</t>
        </is>
      </c>
      <c r="FR180" s="56" t="inlineStr">
        <is>
          <t>Complexity: Evidence reads like A3: Bank payments, TDS and GST compliance, reimbursements, ledger reconciliations, audit and reporting → matches the start
Autonomy: Evidence reads like A2: Decides within compliance activities; routine → moved down 0.5
Accountability: Evidence reads like A3: Timely statutory and bank payments; delays bring penalties or interest → moved down 0.5
Leadership: Evidence reads like A1: No guidance of others described despite 1 direct report → moved down 1
Business Impact: No survey or manager-mapping signal on criticality: kept at the start point.</t>
        </is>
      </c>
      <c r="FS180" s="56" t="inlineStr">
        <is>
          <t>Common themes in sub-family holders, all levels' answers: compliance · reporting · bank
Common themes in sub-family holders, all levels' answers: bank · employee · compliance · gst · sales · creation
Common themes in sub-family holders, all levels' answers: timely
Common themes in sub-family holders, all levels' answers: bank
Common themes in sub-family holders, all levels' answers: compliance
If the work is missed · role-holders' themes: delayed.</t>
        </is>
      </c>
      <c r="FT180" s="56" t="inlineStr">
        <is>
          <t>Self-identified: Answered · no common topic
For the next role: Answered · no common topic</t>
        </is>
      </c>
      <c r="FU180" s="32" t="inlineStr">
        <is>
          <t>Full survey answers not in the files received · How We Grow export needed · HR</t>
        </is>
      </c>
    </row>
    <row r="181" ht="90" customHeight="1">
      <c r="A181" s="51" t="inlineStr">
        <is>
          <t>◂ Back</t>
        </is>
      </c>
      <c r="B181" s="29" t="inlineStr">
        <is>
          <t>Mapped</t>
        </is>
      </c>
      <c r="C181" s="28" t="inlineStr">
        <is>
          <t>Corporate</t>
        </is>
      </c>
      <c r="D181" s="29" t="inlineStr">
        <is>
          <t>IRIS2217</t>
        </is>
      </c>
      <c r="E181" s="29" t="inlineStr">
        <is>
          <t>Bhushan Kashid</t>
        </is>
      </c>
      <c r="F181" s="29" t="inlineStr">
        <is>
          <t>Finance</t>
        </is>
      </c>
      <c r="G181" s="29" t="inlineStr">
        <is>
          <t>Executive Accounts</t>
        </is>
      </c>
      <c r="H181" s="29" t="inlineStr">
        <is>
          <t>Senior Accounts Executive</t>
        </is>
      </c>
      <c r="I181" s="29" t="inlineStr">
        <is>
          <t>Not in current mapping files</t>
        </is>
      </c>
      <c r="J181" s="29" t="inlineStr">
        <is>
          <t>A3</t>
        </is>
      </c>
      <c r="K181" s="29" t="inlineStr">
        <is>
          <t>● Newly mapped</t>
        </is>
      </c>
      <c r="L181" s="29" t="inlineStr">
        <is>
          <t>Finance &amp; Accounts</t>
        </is>
      </c>
      <c r="M181" s="29" t="inlineStr">
        <is>
          <t>Accounting &amp; Transaction Processing</t>
        </is>
      </c>
      <c r="N181" s="29" t="n"/>
      <c r="O181" s="29" t="n">
        <v>19</v>
      </c>
      <c r="P181" s="28" t="inlineStr">
        <is>
          <t>P2</t>
        </is>
      </c>
      <c r="Q181" s="29" t="inlineStr">
        <is>
          <t>Developing</t>
        </is>
      </c>
      <c r="R181" s="29" t="inlineStr">
        <is>
          <t>3 Apply</t>
        </is>
      </c>
      <c r="S181" s="29" t="inlineStr">
        <is>
          <t>2–4 yrs</t>
        </is>
      </c>
      <c r="T181" s="29" t="inlineStr">
        <is>
          <t>3–5 · 2–5</t>
        </is>
      </c>
      <c r="U181" s="29" t="inlineStr">
        <is>
          <t>Accounts Executive</t>
        </is>
      </c>
      <c r="V181" s="29" t="inlineStr">
        <is>
          <t>Atlassian company-wide P-levels: P40 · IRIS Vs Competitor Benchmark — finance ladder: Senior Accountant</t>
        </is>
      </c>
      <c r="W181" s="29" t="inlineStr">
        <is>
          <t>IMA Management Accounting Competency Framework; ICAI / CA; Ind AS</t>
        </is>
      </c>
      <c r="X181" s="29" t="inlineStr">
        <is>
          <t>Core 2 · Future 2 · Functional 3 · Leadership not scored</t>
        </is>
      </c>
      <c r="Y181" s="52" t="n">
        <v>303</v>
      </c>
      <c r="Z181" s="53" t="inlineStr">
        <is>
          <t>IRIS2217</t>
        </is>
      </c>
      <c r="AA181" s="53" t="inlineStr">
        <is>
          <t>Employee</t>
        </is>
      </c>
      <c r="AB181" s="53" t="inlineStr">
        <is>
          <t>Active</t>
        </is>
      </c>
      <c r="AC181" s="53" t="inlineStr">
        <is>
          <t>Bhushan Kashid</t>
        </is>
      </c>
      <c r="AD181" s="54" t="n">
        <v>45299</v>
      </c>
      <c r="AE181" s="53" t="inlineStr">
        <is>
          <t>Executive Accounts</t>
        </is>
      </c>
      <c r="AF181" s="53" t="inlineStr">
        <is>
          <t>B.Com</t>
        </is>
      </c>
      <c r="AG181" s="53" t="inlineStr">
        <is>
          <t>Anita Chavan</t>
        </is>
      </c>
      <c r="AH181" s="53" t="inlineStr">
        <is>
          <t>N-6</t>
        </is>
      </c>
      <c r="AI181" s="53" t="inlineStr">
        <is>
          <t>Individual Contributor</t>
        </is>
      </c>
      <c r="AJ181" s="53" t="inlineStr">
        <is>
          <t>6 years, 0 months, 0 days</t>
        </is>
      </c>
      <c r="AK181" s="53" t="inlineStr">
        <is>
          <t>2 years, 7 months, 17 days</t>
        </is>
      </c>
      <c r="AL181" s="53" t="inlineStr">
        <is>
          <t>Corporate</t>
        </is>
      </c>
      <c r="AM181" s="53" t="inlineStr">
        <is>
          <t>Corporate</t>
        </is>
      </c>
      <c r="AN181" s="53" t="inlineStr">
        <is>
          <t>Finance</t>
        </is>
      </c>
      <c r="AO181" s="53" t="inlineStr">
        <is>
          <t>Accounting</t>
        </is>
      </c>
      <c r="AP181" s="53" t="inlineStr">
        <is>
          <t>No</t>
        </is>
      </c>
      <c r="AQ181" s="53" t="inlineStr">
        <is>
          <t>General &amp; Admin</t>
        </is>
      </c>
      <c r="AR181" s="53" t="inlineStr">
        <is>
          <t>Accounting</t>
        </is>
      </c>
      <c r="AS181" s="53" t="inlineStr">
        <is>
          <t>Non-technical</t>
        </is>
      </c>
      <c r="AT181" s="53" t="n">
        <v>20</v>
      </c>
      <c r="AU181" s="53" t="inlineStr">
        <is>
          <t>Covered</t>
        </is>
      </c>
      <c r="AV181" s="53" t="n"/>
      <c r="AW181" s="53" t="n"/>
      <c r="AX181" s="53" t="n"/>
      <c r="AY181" s="53" t="n"/>
      <c r="AZ181" s="53" t="n"/>
      <c r="BA181" s="53" t="n"/>
      <c r="BB181" s="53" t="n"/>
      <c r="BC181" s="53" t="n"/>
      <c r="BD181" s="53" t="n"/>
      <c r="BE181" s="53" t="n"/>
      <c r="BF181" s="53" t="n"/>
      <c r="BG181" s="53" t="n"/>
      <c r="BH181" s="53" t="n"/>
      <c r="BI181" s="53" t="n"/>
      <c r="BJ181" s="53" t="n"/>
      <c r="BK181" s="53" t="n"/>
      <c r="BL181" s="53" t="n"/>
      <c r="BM181" s="53" t="n"/>
      <c r="BN181" s="53" t="n"/>
      <c r="BO181" s="53" t="n"/>
      <c r="BP181" s="53" t="n"/>
      <c r="BQ181" s="53" t="n"/>
      <c r="BR181" s="53" t="n"/>
      <c r="BS181" s="53" t="n"/>
      <c r="BT181" s="53" t="n"/>
      <c r="BU181" s="53" t="n"/>
      <c r="BV181" s="53" t="n"/>
      <c r="BW181" s="53" t="n"/>
      <c r="BX181" s="53" t="n"/>
      <c r="BY181" s="53" t="n"/>
      <c r="BZ181" s="53" t="n"/>
      <c r="CA181" s="53" t="n"/>
      <c r="CB181" s="53" t="n"/>
      <c r="CC181" s="53" t="n"/>
      <c r="CD181" s="53" t="n"/>
      <c r="CE181" s="53" t="n"/>
      <c r="CF181" s="53" t="n"/>
      <c r="CG181" s="53" t="n"/>
      <c r="CH181" s="53" t="n"/>
      <c r="CI181" s="53" t="n"/>
      <c r="CJ181" s="53" t="n"/>
      <c r="CK181" s="53" t="n"/>
      <c r="CL181" s="53" t="n"/>
      <c r="CM181" s="53" t="n"/>
      <c r="CN181" s="53" t="n"/>
      <c r="CO181" s="53" t="n"/>
      <c r="CP181" s="53" t="n"/>
      <c r="CQ181" s="53" t="n"/>
      <c r="CR181" s="53" t="n"/>
      <c r="CS181" s="53" t="n"/>
      <c r="CT181" s="53" t="n"/>
      <c r="CU181" s="53" t="n"/>
      <c r="CV181" s="53" t="n"/>
      <c r="CW181" s="53" t="n"/>
      <c r="CX181" s="53" t="n"/>
      <c r="CY181" s="53" t="n"/>
      <c r="CZ181" s="53" t="n"/>
      <c r="DA181" s="53" t="n"/>
      <c r="DB181" s="53" t="n"/>
      <c r="DC181" s="53" t="n"/>
      <c r="DD181" s="53" t="n"/>
      <c r="DE181" s="53" t="n"/>
      <c r="DF181" s="53" t="n"/>
      <c r="DG181" s="53" t="n"/>
      <c r="DH181" s="53" t="n"/>
      <c r="DI181" s="53" t="n"/>
      <c r="DJ181" s="53" t="n"/>
      <c r="DK181" s="53" t="n"/>
      <c r="DL181" s="53" t="n"/>
      <c r="DM181" s="53" t="n"/>
      <c r="DN181" s="53" t="n"/>
      <c r="DO181" s="53" t="n"/>
      <c r="DP181" s="53" t="n"/>
      <c r="DQ181" s="53" t="n"/>
      <c r="DR181" s="53" t="n"/>
      <c r="DS181" s="53" t="n"/>
      <c r="DT181" s="53" t="n"/>
      <c r="DU181" s="53" t="n"/>
      <c r="DV181" s="53" t="n"/>
      <c r="DW181" s="53" t="n"/>
      <c r="DX181" s="53" t="n"/>
      <c r="DY181" s="53" t="n"/>
      <c r="DZ181" s="53" t="n"/>
      <c r="EA181" s="53" t="n"/>
      <c r="EB181" s="53" t="n"/>
      <c r="EC181" s="53" t="n"/>
      <c r="ED181" s="53" t="n"/>
      <c r="EE181" s="53" t="n"/>
      <c r="EF181" s="53" t="n"/>
      <c r="EG181" s="53" t="n"/>
      <c r="EH181" s="53" t="n"/>
      <c r="EI181" s="53" t="n"/>
      <c r="EJ181" s="53" t="n"/>
      <c r="EK181" s="53" t="n"/>
      <c r="EL181" s="53" t="n"/>
      <c r="EM181" s="53" t="n"/>
      <c r="EN181" s="53" t="n"/>
      <c r="EO181" s="53" t="n"/>
      <c r="EP181" s="53" t="n"/>
      <c r="EQ181" s="53" t="n"/>
      <c r="ER181" s="53" t="n"/>
      <c r="ES181" s="53" t="n"/>
      <c r="ET181" s="53" t="n"/>
      <c r="EU181" s="53" t="n"/>
      <c r="EV181" s="53" t="n"/>
      <c r="EW181" s="52" t="n"/>
      <c r="EX181" s="53" t="n"/>
      <c r="EY181" s="53" t="n"/>
      <c r="EZ181" s="53" t="n"/>
      <c r="FA181" s="53" t="n"/>
      <c r="FB181" s="53" t="n"/>
      <c r="FC181" s="53" t="n"/>
      <c r="FD181" s="53" t="n"/>
      <c r="FE181" s="55" t="inlineStr">
        <is>
          <t>KRAs not received · manager to supply</t>
        </is>
      </c>
      <c r="FF181" s="56" t="n"/>
      <c r="FG181" s="56" t="n"/>
      <c r="FH181" s="56" t="n"/>
      <c r="FI181" s="56" t="n"/>
      <c r="FJ181" s="32" t="inlineStr">
        <is>
          <t>KRAs not received · manager to supply</t>
        </is>
      </c>
      <c r="FK181" s="56" t="n"/>
      <c r="FL181" s="56" t="n">
        <v>19</v>
      </c>
      <c r="FM181" s="32" t="inlineStr">
        <is>
          <t>Full survey answers not in the files received · How We Grow export needed · HR</t>
        </is>
      </c>
      <c r="FN181" s="56" t="inlineStr">
        <is>
          <t>—</t>
        </is>
      </c>
      <c r="FO181" s="56" t="inlineStr">
        <is>
          <t>—</t>
        </is>
      </c>
      <c r="FP181" s="56" t="inlineStr">
        <is>
          <t>—</t>
        </is>
      </c>
      <c r="FQ181" s="56" t="inlineStr">
        <is>
          <t>—</t>
        </is>
      </c>
      <c r="FR181" s="56" t="inlineStr">
        <is>
          <t>Complexity: Evidence reads like A2: Invoice verification and booking, payment processing, vendor reconciliation, supplier creation → matches the start
Autonomy: Evidence reads like A2: Decides purchase booking; queries anomalies rather than deciding them → matches the start
Accountability: Evidence reads like A2: Accuracy of own invoice bookings, payment entries and reconciliations → matches the start
Leadership: Evidence reads like A1: No guidance or leadership of others described → matches the start
Business Impact: No survey or manager-mapping signal on criticality: kept at the start point.</t>
        </is>
      </c>
      <c r="FS181" s="56" t="inlineStr">
        <is>
          <t>Common themes in sub-family holders, all levels' answers: compliance · reporting · bank
Common themes in sub-family holders, all levels' answers: bank · employee · compliance · gst · sales · creation
Common themes in sub-family holders, all levels' answers: timely
Common themes in sub-family holders, all levels' answers: bank
Common themes in sub-family holders, all levels' answers: compliance
If the work is missed · role-holders' themes: delayed.</t>
        </is>
      </c>
      <c r="FT181" s="56" t="inlineStr">
        <is>
          <t>Self-identified: Domain, regulatory &amp; XBRL
For the next role: Domain, regulatory &amp; XBRL</t>
        </is>
      </c>
      <c r="FU181" s="32" t="inlineStr">
        <is>
          <t>Full survey answers not in the files received · How We Grow export needed · HR</t>
        </is>
      </c>
    </row>
    <row r="182" ht="90" customHeight="1">
      <c r="A182" s="51" t="inlineStr">
        <is>
          <t>◂ Back</t>
        </is>
      </c>
      <c r="B182" s="29" t="inlineStr">
        <is>
          <t>Mapped</t>
        </is>
      </c>
      <c r="C182" s="28" t="inlineStr">
        <is>
          <t>Corporate</t>
        </is>
      </c>
      <c r="D182" s="29" t="inlineStr">
        <is>
          <t>IRIS1557</t>
        </is>
      </c>
      <c r="E182" s="29" t="inlineStr">
        <is>
          <t>Gaurangee Gaurav Tawde</t>
        </is>
      </c>
      <c r="F182" s="29" t="inlineStr">
        <is>
          <t>Finance</t>
        </is>
      </c>
      <c r="G182" s="29" t="inlineStr">
        <is>
          <t>Senior Executive Accounts</t>
        </is>
      </c>
      <c r="H182" s="29" t="inlineStr">
        <is>
          <t>Accounts Specialist – POD Lead</t>
        </is>
      </c>
      <c r="I182" s="29" t="inlineStr">
        <is>
          <t>Not in current mapping files</t>
        </is>
      </c>
      <c r="J182" s="29" t="inlineStr">
        <is>
          <t>B1</t>
        </is>
      </c>
      <c r="K182" s="29" t="inlineStr">
        <is>
          <t>● Newly mapped</t>
        </is>
      </c>
      <c r="L182" s="29" t="inlineStr">
        <is>
          <t>Finance &amp; Accounts</t>
        </is>
      </c>
      <c r="M182" s="29" t="inlineStr">
        <is>
          <t>Accounting &amp; Transaction Processing</t>
        </is>
      </c>
      <c r="N182" s="29" t="n"/>
      <c r="O182" s="29" t="n">
        <v>20</v>
      </c>
      <c r="P182" s="28" t="inlineStr">
        <is>
          <t>P3 / M2</t>
        </is>
      </c>
      <c r="Q182" s="29" t="inlineStr">
        <is>
          <t>Career / · Team Lead</t>
        </is>
      </c>
      <c r="R182" s="29" t="inlineStr">
        <is>
          <t>4 Enable</t>
        </is>
      </c>
      <c r="S182" s="29" t="inlineStr">
        <is>
          <t>4–7 yrs</t>
        </is>
      </c>
      <c r="T182" s="29" t="inlineStr">
        <is>
          <t>5–8 · 4–8</t>
        </is>
      </c>
      <c r="U182" s="29" t="inlineStr">
        <is>
          <t>Senior Accountant</t>
        </is>
      </c>
      <c r="V182" s="29" t="inlineStr">
        <is>
          <t>Toppan Merrill: Senior Accountant · IRIS Vs Competitor Benchmark — finance ladder: Finance Specialist / Asst. Manager</t>
        </is>
      </c>
      <c r="W182" s="29" t="inlineStr">
        <is>
          <t>IMA Management Accounting Competency Framework; ICAI / CA; Ind AS</t>
        </is>
      </c>
      <c r="X182" s="29" t="inlineStr">
        <is>
          <t>Core 3 · Future 3 · Functional 3 · Leadership 2</t>
        </is>
      </c>
      <c r="Y182" s="52" t="n">
        <v>127</v>
      </c>
      <c r="Z182" s="53" t="inlineStr">
        <is>
          <t>IRIS1557</t>
        </is>
      </c>
      <c r="AA182" s="53" t="inlineStr">
        <is>
          <t>Employee</t>
        </is>
      </c>
      <c r="AB182" s="53" t="inlineStr">
        <is>
          <t>Active</t>
        </is>
      </c>
      <c r="AC182" s="53" t="inlineStr">
        <is>
          <t>Gaurangee Gaurav Tawde</t>
        </is>
      </c>
      <c r="AD182" s="54" t="n">
        <v>42219</v>
      </c>
      <c r="AE182" s="53" t="inlineStr">
        <is>
          <t>Senior Executive Accounts</t>
        </is>
      </c>
      <c r="AF182" s="53" t="inlineStr">
        <is>
          <t>PGDM</t>
        </is>
      </c>
      <c r="AG182" s="53" t="inlineStr">
        <is>
          <t>Shreya Singh</t>
        </is>
      </c>
      <c r="AH182" s="53" t="inlineStr">
        <is>
          <t>N-5</t>
        </is>
      </c>
      <c r="AI182" s="53" t="inlineStr">
        <is>
          <t>Manager</t>
        </is>
      </c>
      <c r="AJ182" s="53" t="inlineStr">
        <is>
          <t>9 years, 0 months, 0 days</t>
        </is>
      </c>
      <c r="AK182" s="53" t="inlineStr">
        <is>
          <t>11 years, 0 months, 22 days</t>
        </is>
      </c>
      <c r="AL182" s="53" t="inlineStr">
        <is>
          <t>Corporate</t>
        </is>
      </c>
      <c r="AM182" s="53" t="inlineStr">
        <is>
          <t>Corporate</t>
        </is>
      </c>
      <c r="AN182" s="53" t="inlineStr">
        <is>
          <t>Finance</t>
        </is>
      </c>
      <c r="AO182" s="53" t="inlineStr">
        <is>
          <t>Accounting</t>
        </is>
      </c>
      <c r="AP182" s="53" t="inlineStr">
        <is>
          <t>No</t>
        </is>
      </c>
      <c r="AQ182" s="53" t="inlineStr">
        <is>
          <t>General &amp; Admin</t>
        </is>
      </c>
      <c r="AR182" s="53" t="inlineStr">
        <is>
          <t>Accounting</t>
        </is>
      </c>
      <c r="AS182" s="53" t="inlineStr">
        <is>
          <t>Non-technical</t>
        </is>
      </c>
      <c r="AT182" s="53" t="n">
        <v>20</v>
      </c>
      <c r="AU182" s="53" t="inlineStr">
        <is>
          <t>Covered</t>
        </is>
      </c>
      <c r="AV182" s="53" t="n"/>
      <c r="AW182" s="53" t="n"/>
      <c r="AX182" s="53" t="n"/>
      <c r="AY182" s="53" t="n"/>
      <c r="AZ182" s="53" t="n"/>
      <c r="BA182" s="53" t="n"/>
      <c r="BB182" s="53" t="n"/>
      <c r="BC182" s="53" t="n"/>
      <c r="BD182" s="53" t="n"/>
      <c r="BE182" s="53" t="n"/>
      <c r="BF182" s="53" t="n"/>
      <c r="BG182" s="53" t="n"/>
      <c r="BH182" s="53" t="n"/>
      <c r="BI182" s="53" t="n"/>
      <c r="BJ182" s="53" t="n"/>
      <c r="BK182" s="53" t="n"/>
      <c r="BL182" s="53" t="n"/>
      <c r="BM182" s="53" t="n"/>
      <c r="BN182" s="53" t="n"/>
      <c r="BO182" s="53" t="n"/>
      <c r="BP182" s="53" t="n"/>
      <c r="BQ182" s="53" t="n"/>
      <c r="BR182" s="53" t="n"/>
      <c r="BS182" s="53" t="n"/>
      <c r="BT182" s="53" t="n"/>
      <c r="BU182" s="53" t="n"/>
      <c r="BV182" s="53" t="n"/>
      <c r="BW182" s="53" t="n"/>
      <c r="BX182" s="53" t="n"/>
      <c r="BY182" s="53" t="n"/>
      <c r="BZ182" s="53" t="n"/>
      <c r="CA182" s="53" t="n"/>
      <c r="CB182" s="53" t="n"/>
      <c r="CC182" s="53" t="n"/>
      <c r="CD182" s="53" t="n"/>
      <c r="CE182" s="53" t="n"/>
      <c r="CF182" s="53" t="n"/>
      <c r="CG182" s="53" t="n"/>
      <c r="CH182" s="53" t="n"/>
      <c r="CI182" s="53" t="n"/>
      <c r="CJ182" s="53" t="n"/>
      <c r="CK182" s="53" t="n"/>
      <c r="CL182" s="53" t="n"/>
      <c r="CM182" s="53" t="n"/>
      <c r="CN182" s="53" t="n"/>
      <c r="CO182" s="53" t="n"/>
      <c r="CP182" s="53" t="n"/>
      <c r="CQ182" s="53" t="n"/>
      <c r="CR182" s="53" t="n"/>
      <c r="CS182" s="53" t="n"/>
      <c r="CT182" s="53" t="n"/>
      <c r="CU182" s="53" t="n"/>
      <c r="CV182" s="53" t="n"/>
      <c r="CW182" s="53" t="n"/>
      <c r="CX182" s="53" t="n"/>
      <c r="CY182" s="53" t="n"/>
      <c r="CZ182" s="53" t="n"/>
      <c r="DA182" s="53" t="n"/>
      <c r="DB182" s="53" t="n"/>
      <c r="DC182" s="53" t="n"/>
      <c r="DD182" s="53" t="n"/>
      <c r="DE182" s="53" t="n"/>
      <c r="DF182" s="53" t="n"/>
      <c r="DG182" s="53" t="n"/>
      <c r="DH182" s="53" t="n"/>
      <c r="DI182" s="53" t="n"/>
      <c r="DJ182" s="53" t="n"/>
      <c r="DK182" s="53" t="n"/>
      <c r="DL182" s="53" t="n"/>
      <c r="DM182" s="53" t="n"/>
      <c r="DN182" s="53" t="n"/>
      <c r="DO182" s="53" t="n"/>
      <c r="DP182" s="53" t="n"/>
      <c r="DQ182" s="53" t="n"/>
      <c r="DR182" s="53" t="n"/>
      <c r="DS182" s="53" t="n"/>
      <c r="DT182" s="53" t="n"/>
      <c r="DU182" s="53" t="n"/>
      <c r="DV182" s="53" t="n"/>
      <c r="DW182" s="53" t="n"/>
      <c r="DX182" s="53" t="n"/>
      <c r="DY182" s="53" t="n"/>
      <c r="DZ182" s="53" t="n"/>
      <c r="EA182" s="53" t="n"/>
      <c r="EB182" s="53" t="n"/>
      <c r="EC182" s="53" t="n"/>
      <c r="ED182" s="53" t="n"/>
      <c r="EE182" s="53" t="n"/>
      <c r="EF182" s="53" t="n"/>
      <c r="EG182" s="53" t="n"/>
      <c r="EH182" s="53" t="n"/>
      <c r="EI182" s="53" t="n"/>
      <c r="EJ182" s="53" t="n"/>
      <c r="EK182" s="53" t="n"/>
      <c r="EL182" s="53" t="n"/>
      <c r="EM182" s="53" t="n"/>
      <c r="EN182" s="53" t="n"/>
      <c r="EO182" s="53" t="n"/>
      <c r="EP182" s="53" t="n"/>
      <c r="EQ182" s="53" t="n"/>
      <c r="ER182" s="53" t="n"/>
      <c r="ES182" s="53" t="n"/>
      <c r="ET182" s="53" t="n"/>
      <c r="EU182" s="53" t="n"/>
      <c r="EV182" s="53" t="n"/>
      <c r="EW182" s="52" t="n"/>
      <c r="EX182" s="53" t="n"/>
      <c r="EY182" s="53" t="n"/>
      <c r="EZ182" s="53" t="n"/>
      <c r="FA182" s="53" t="n"/>
      <c r="FB182" s="53" t="n"/>
      <c r="FC182" s="53" t="n"/>
      <c r="FD182" s="53" t="n"/>
      <c r="FE182" s="55" t="inlineStr">
        <is>
          <t>KRAs not received · manager to supply</t>
        </is>
      </c>
      <c r="FF182" s="56" t="n"/>
      <c r="FG182" s="56" t="n"/>
      <c r="FH182" s="56" t="n"/>
      <c r="FI182" s="56" t="n"/>
      <c r="FJ182" s="32" t="inlineStr">
        <is>
          <t>KRAs not received · manager to supply</t>
        </is>
      </c>
      <c r="FK182" s="56" t="n"/>
      <c r="FL182" s="56" t="n">
        <v>20</v>
      </c>
      <c r="FM182" s="32" t="inlineStr">
        <is>
          <t>Full survey answers not in the files received · How We Grow export needed · HR</t>
        </is>
      </c>
      <c r="FN182" s="56" t="inlineStr">
        <is>
          <t>—</t>
        </is>
      </c>
      <c r="FO182" s="56" t="inlineStr">
        <is>
          <t>—</t>
        </is>
      </c>
      <c r="FP182" s="56" t="inlineStr">
        <is>
          <t>—</t>
        </is>
      </c>
      <c r="FQ182" s="56" t="inlineStr">
        <is>
          <t>—</t>
        </is>
      </c>
      <c r="FR182" s="56" t="inlineStr">
        <is>
          <t>Complexity: Evidence reads like A3: GST compliance, bank guarantees, Softex settlement, forward contract booking, audit coordination, MIS → matches the start
Autonomy: Evidence reads like A2: Decides within compliance work; nothing broader stated → moved down 0.5
Accountability: Evidence reads like A3: GST, bank guarantee and Softex compliance; late filing fees if missed → moved down 0.5
Leadership: Evidence reads like A1: No guidance of others described despite 1 direct report → moved down 1
Business Impact: No survey or manager-mapping signal on criticality: kept at the start point.</t>
        </is>
      </c>
      <c r="FS182" s="56" t="inlineStr">
        <is>
          <t>Common themes in sub-family holders, all levels' answers: compliance · reporting · bank
Common themes in sub-family holders, all levels' answers: bank · employee · compliance · gst · sales · creation
Common themes in sub-family holders, all levels' answers: timely
Common themes in sub-family holders, all levels' answers: bank
Common themes in sub-family holders, all levels' answers: compliance
If the work is missed · role-holders' themes: delayed.</t>
        </is>
      </c>
      <c r="FT182" s="56" t="inlineStr">
        <is>
          <t>Self-identified: Leadership &amp; people management
For the next role: Leadership &amp; people management</t>
        </is>
      </c>
      <c r="FU182" s="32" t="inlineStr">
        <is>
          <t>Full survey answers not in the files received · How We Grow export needed · HR</t>
        </is>
      </c>
    </row>
    <row r="183" ht="90" customHeight="1">
      <c r="A183" s="51" t="inlineStr">
        <is>
          <t>◂ Back</t>
        </is>
      </c>
      <c r="B183" s="29" t="inlineStr">
        <is>
          <t>Mapped</t>
        </is>
      </c>
      <c r="C183" s="28" t="inlineStr">
        <is>
          <t>Corporate</t>
        </is>
      </c>
      <c r="D183" s="29" t="inlineStr">
        <is>
          <t>IRIS2062</t>
        </is>
      </c>
      <c r="E183" s="29" t="inlineStr">
        <is>
          <t>Riddhi Narkar</t>
        </is>
      </c>
      <c r="F183" s="29" t="inlineStr">
        <is>
          <t>Finance</t>
        </is>
      </c>
      <c r="G183" s="29" t="inlineStr">
        <is>
          <t>Executive Accounts</t>
        </is>
      </c>
      <c r="H183" s="29" t="inlineStr">
        <is>
          <t>Senior Accounts Executive</t>
        </is>
      </c>
      <c r="I183" s="29" t="inlineStr">
        <is>
          <t>Not in current mapping files</t>
        </is>
      </c>
      <c r="J183" s="29" t="inlineStr">
        <is>
          <t>A3</t>
        </is>
      </c>
      <c r="K183" s="29" t="inlineStr">
        <is>
          <t>● Newly mapped</t>
        </is>
      </c>
      <c r="L183" s="29" t="inlineStr">
        <is>
          <t>Finance &amp; Accounts</t>
        </is>
      </c>
      <c r="M183" s="29" t="inlineStr">
        <is>
          <t>Accounting &amp; Transaction Processing</t>
        </is>
      </c>
      <c r="N183" s="29" t="n"/>
      <c r="O183" s="29" t="n">
        <v>19</v>
      </c>
      <c r="P183" s="28" t="inlineStr">
        <is>
          <t>P2</t>
        </is>
      </c>
      <c r="Q183" s="29" t="inlineStr">
        <is>
          <t>Developing</t>
        </is>
      </c>
      <c r="R183" s="29" t="inlineStr">
        <is>
          <t>3 Apply</t>
        </is>
      </c>
      <c r="S183" s="29" t="inlineStr">
        <is>
          <t>2–4 yrs</t>
        </is>
      </c>
      <c r="T183" s="29" t="inlineStr">
        <is>
          <t>3–5 · 2–5</t>
        </is>
      </c>
      <c r="U183" s="29" t="inlineStr">
        <is>
          <t>Accounts Executive</t>
        </is>
      </c>
      <c r="V183" s="29" t="inlineStr">
        <is>
          <t>Atlassian company-wide P-levels: P40 · IRIS Vs Competitor Benchmark — finance ladder: Senior Accountant</t>
        </is>
      </c>
      <c r="W183" s="29" t="inlineStr">
        <is>
          <t>IMA Management Accounting Competency Framework; ICAI / CA; Ind AS</t>
        </is>
      </c>
      <c r="X183" s="29" t="inlineStr">
        <is>
          <t>Core 2 · Future 2 · Functional 3 · Leadership not scored</t>
        </is>
      </c>
      <c r="Y183" s="52" t="n">
        <v>241</v>
      </c>
      <c r="Z183" s="53" t="inlineStr">
        <is>
          <t>IRIS2062</t>
        </is>
      </c>
      <c r="AA183" s="53" t="inlineStr">
        <is>
          <t>Employee</t>
        </is>
      </c>
      <c r="AB183" s="53" t="inlineStr">
        <is>
          <t>Active</t>
        </is>
      </c>
      <c r="AC183" s="53" t="inlineStr">
        <is>
          <t>Riddhi Narkar</t>
        </is>
      </c>
      <c r="AD183" s="54" t="n">
        <v>44811</v>
      </c>
      <c r="AE183" s="53" t="inlineStr">
        <is>
          <t>Executive Accounts</t>
        </is>
      </c>
      <c r="AF183" s="53" t="inlineStr">
        <is>
          <t>B.Com</t>
        </is>
      </c>
      <c r="AG183" s="53" t="inlineStr">
        <is>
          <t>Gaurangee Gaurav Tawde</t>
        </is>
      </c>
      <c r="AH183" s="53" t="inlineStr">
        <is>
          <t>N-6</t>
        </is>
      </c>
      <c r="AI183" s="53" t="inlineStr">
        <is>
          <t>Individual Contributor</t>
        </is>
      </c>
      <c r="AJ183" s="53" t="inlineStr">
        <is>
          <t>5 years, 10 months, 0 days</t>
        </is>
      </c>
      <c r="AK183" s="53" t="inlineStr">
        <is>
          <t>3 years, 11 months, 18 days</t>
        </is>
      </c>
      <c r="AL183" s="53" t="inlineStr">
        <is>
          <t>Corporate</t>
        </is>
      </c>
      <c r="AM183" s="53" t="inlineStr">
        <is>
          <t>Corporate</t>
        </is>
      </c>
      <c r="AN183" s="53" t="inlineStr">
        <is>
          <t>Finance</t>
        </is>
      </c>
      <c r="AO183" s="53" t="inlineStr">
        <is>
          <t>Accounting</t>
        </is>
      </c>
      <c r="AP183" s="53" t="inlineStr">
        <is>
          <t>No</t>
        </is>
      </c>
      <c r="AQ183" s="53" t="inlineStr">
        <is>
          <t>General &amp; Admin</t>
        </is>
      </c>
      <c r="AR183" s="53" t="inlineStr">
        <is>
          <t>Accounting</t>
        </is>
      </c>
      <c r="AS183" s="53" t="inlineStr">
        <is>
          <t>Non-technical</t>
        </is>
      </c>
      <c r="AT183" s="53" t="n">
        <v>20</v>
      </c>
      <c r="AU183" s="53" t="inlineStr">
        <is>
          <t>Covered</t>
        </is>
      </c>
      <c r="AV183" s="53" t="n"/>
      <c r="AW183" s="53" t="n"/>
      <c r="AX183" s="53" t="n"/>
      <c r="AY183" s="53" t="n"/>
      <c r="AZ183" s="53" t="n"/>
      <c r="BA183" s="53" t="n"/>
      <c r="BB183" s="53" t="n"/>
      <c r="BC183" s="53" t="n"/>
      <c r="BD183" s="53" t="n"/>
      <c r="BE183" s="53" t="n"/>
      <c r="BF183" s="53" t="n"/>
      <c r="BG183" s="53" t="n"/>
      <c r="BH183" s="53" t="n"/>
      <c r="BI183" s="53" t="n"/>
      <c r="BJ183" s="53" t="n"/>
      <c r="BK183" s="53" t="n"/>
      <c r="BL183" s="53" t="n"/>
      <c r="BM183" s="53" t="n"/>
      <c r="BN183" s="53" t="n"/>
      <c r="BO183" s="53" t="n"/>
      <c r="BP183" s="53" t="n"/>
      <c r="BQ183" s="53" t="n"/>
      <c r="BR183" s="53" t="n"/>
      <c r="BS183" s="53" t="n"/>
      <c r="BT183" s="53" t="n"/>
      <c r="BU183" s="53" t="n"/>
      <c r="BV183" s="53" t="n"/>
      <c r="BW183" s="53" t="n"/>
      <c r="BX183" s="53" t="n"/>
      <c r="BY183" s="53" t="n"/>
      <c r="BZ183" s="53" t="n"/>
      <c r="CA183" s="53" t="n"/>
      <c r="CB183" s="53" t="n"/>
      <c r="CC183" s="53" t="n"/>
      <c r="CD183" s="53" t="n"/>
      <c r="CE183" s="53" t="n"/>
      <c r="CF183" s="53" t="n"/>
      <c r="CG183" s="53" t="n"/>
      <c r="CH183" s="53" t="n"/>
      <c r="CI183" s="53" t="n"/>
      <c r="CJ183" s="53" t="n"/>
      <c r="CK183" s="53" t="n"/>
      <c r="CL183" s="53" t="n"/>
      <c r="CM183" s="53" t="n"/>
      <c r="CN183" s="53" t="n"/>
      <c r="CO183" s="53" t="n"/>
      <c r="CP183" s="53" t="n"/>
      <c r="CQ183" s="53" t="n"/>
      <c r="CR183" s="53" t="n"/>
      <c r="CS183" s="53" t="n"/>
      <c r="CT183" s="53" t="n"/>
      <c r="CU183" s="53" t="n"/>
      <c r="CV183" s="53" t="n"/>
      <c r="CW183" s="53" t="n"/>
      <c r="CX183" s="53" t="n"/>
      <c r="CY183" s="53" t="n"/>
      <c r="CZ183" s="53" t="n"/>
      <c r="DA183" s="53" t="n"/>
      <c r="DB183" s="53" t="n"/>
      <c r="DC183" s="53" t="n"/>
      <c r="DD183" s="53" t="n"/>
      <c r="DE183" s="53" t="n"/>
      <c r="DF183" s="53" t="n"/>
      <c r="DG183" s="53" t="n"/>
      <c r="DH183" s="53" t="n"/>
      <c r="DI183" s="53" t="n"/>
      <c r="DJ183" s="53" t="n"/>
      <c r="DK183" s="53" t="n"/>
      <c r="DL183" s="53" t="n"/>
      <c r="DM183" s="53" t="n"/>
      <c r="DN183" s="53" t="n"/>
      <c r="DO183" s="53" t="n"/>
      <c r="DP183" s="53" t="n"/>
      <c r="DQ183" s="53" t="n"/>
      <c r="DR183" s="53" t="n"/>
      <c r="DS183" s="53" t="n"/>
      <c r="DT183" s="53" t="n"/>
      <c r="DU183" s="53" t="n"/>
      <c r="DV183" s="53" t="n"/>
      <c r="DW183" s="53" t="n"/>
      <c r="DX183" s="53" t="n"/>
      <c r="DY183" s="53" t="n"/>
      <c r="DZ183" s="53" t="n"/>
      <c r="EA183" s="53" t="n"/>
      <c r="EB183" s="53" t="n"/>
      <c r="EC183" s="53" t="n"/>
      <c r="ED183" s="53" t="n"/>
      <c r="EE183" s="53" t="n"/>
      <c r="EF183" s="53" t="n"/>
      <c r="EG183" s="53" t="n"/>
      <c r="EH183" s="53" t="n"/>
      <c r="EI183" s="53" t="n"/>
      <c r="EJ183" s="53" t="n"/>
      <c r="EK183" s="53" t="n"/>
      <c r="EL183" s="53" t="n"/>
      <c r="EM183" s="53" t="n"/>
      <c r="EN183" s="53" t="n"/>
      <c r="EO183" s="53" t="n"/>
      <c r="EP183" s="53" t="n"/>
      <c r="EQ183" s="53" t="n"/>
      <c r="ER183" s="53" t="n"/>
      <c r="ES183" s="53" t="n"/>
      <c r="ET183" s="53" t="n"/>
      <c r="EU183" s="53" t="n"/>
      <c r="EV183" s="53" t="n"/>
      <c r="EW183" s="52" t="n"/>
      <c r="EX183" s="53" t="n"/>
      <c r="EY183" s="53" t="n"/>
      <c r="EZ183" s="53" t="n"/>
      <c r="FA183" s="53" t="n"/>
      <c r="FB183" s="53" t="n"/>
      <c r="FC183" s="53" t="n"/>
      <c r="FD183" s="53" t="n"/>
      <c r="FE183" s="55" t="inlineStr">
        <is>
          <t>KRAs not received · manager to supply</t>
        </is>
      </c>
      <c r="FF183" s="56" t="n"/>
      <c r="FG183" s="56" t="n"/>
      <c r="FH183" s="56" t="n"/>
      <c r="FI183" s="56" t="n"/>
      <c r="FJ183" s="32" t="inlineStr">
        <is>
          <t>KRAs not received · manager to supply</t>
        </is>
      </c>
      <c r="FK183" s="56" t="n"/>
      <c r="FL183" s="56" t="n">
        <v>19</v>
      </c>
      <c r="FM183" s="32" t="inlineStr">
        <is>
          <t>Full survey answers not in the files received · How We Grow export needed · HR</t>
        </is>
      </c>
      <c r="FN183" s="56" t="inlineStr">
        <is>
          <t>—</t>
        </is>
      </c>
      <c r="FO183" s="56" t="inlineStr">
        <is>
          <t>—</t>
        </is>
      </c>
      <c r="FP183" s="56" t="inlineStr">
        <is>
          <t>—</t>
        </is>
      </c>
      <c r="FQ183" s="56" t="inlineStr">
        <is>
          <t>—</t>
        </is>
      </c>
      <c r="FR183" s="56" t="inlineStr">
        <is>
          <t>Complexity: Evidence reads like A2: Creates sales orders and invoices, records daily bank transactions, fixed asset data → matches the start
Autonomy: Evidence reads like A1: States 'No freedom' to decide independently → moved down 0.5
Accountability: Evidence reads like A2: Entry-level accuracy and reports feeding the revenue report → matches the start
Leadership: Evidence reads like A1: No guidance or leadership of others described → matches the start
Business Impact: No survey or manager-mapping signal on criticality: kept at the start point.</t>
        </is>
      </c>
      <c r="FS183" s="56" t="inlineStr">
        <is>
          <t>Common themes in sub-family holders, all levels' answers: compliance · reporting · bank
Common themes in sub-family holders, all levels' answers: bank · employee · compliance · gst · sales · creation
Common themes in sub-family holders, all levels' answers: timely
Common themes in sub-family holders, all levels' answers: bank
Common themes in sub-family holders, all levels' answers: compliance
If the work is missed · role-holders' themes: delayed.</t>
        </is>
      </c>
      <c r="FT183" s="56" t="inlineStr">
        <is>
          <t>Self-identified: Broader exposure &amp; ownership
For the next role: Broader exposure &amp; ownership</t>
        </is>
      </c>
      <c r="FU183" s="32" t="inlineStr">
        <is>
          <t>Full survey answers not in the files received · How We Grow export needed · HR</t>
        </is>
      </c>
    </row>
    <row r="184" ht="90" customHeight="1">
      <c r="A184" s="51" t="inlineStr">
        <is>
          <t>◂ Back</t>
        </is>
      </c>
      <c r="B184" s="29" t="inlineStr">
        <is>
          <t>Mapped</t>
        </is>
      </c>
      <c r="C184" s="28" t="inlineStr">
        <is>
          <t>Corporate</t>
        </is>
      </c>
      <c r="D184" s="29" t="inlineStr">
        <is>
          <t>IRIS2547</t>
        </is>
      </c>
      <c r="E184" s="29" t="inlineStr">
        <is>
          <t>Lalit Choudhary</t>
        </is>
      </c>
      <c r="F184" s="29" t="inlineStr">
        <is>
          <t>Finance</t>
        </is>
      </c>
      <c r="G184" s="29" t="inlineStr">
        <is>
          <t>Assistant Manager - Finance and Accounts</t>
        </is>
      </c>
      <c r="H184" s="29" t="inlineStr">
        <is>
          <t>Finance Specialist</t>
        </is>
      </c>
      <c r="I184" s="29" t="inlineStr">
        <is>
          <t>Not in current mapping files</t>
        </is>
      </c>
      <c r="J184" s="29" t="inlineStr">
        <is>
          <t>B1</t>
        </is>
      </c>
      <c r="K184" s="29" t="inlineStr">
        <is>
          <t>● Newly mapped</t>
        </is>
      </c>
      <c r="L184" s="29" t="inlineStr">
        <is>
          <t>Finance &amp; Accounts</t>
        </is>
      </c>
      <c r="M184" s="29" t="inlineStr">
        <is>
          <t>Financial Reporting, Compliance &amp; Audit</t>
        </is>
      </c>
      <c r="N184" s="29" t="n"/>
      <c r="O184" s="29" t="n">
        <v>19</v>
      </c>
      <c r="P184" s="28" t="inlineStr">
        <is>
          <t>P3 / M2</t>
        </is>
      </c>
      <c r="Q184" s="29" t="inlineStr">
        <is>
          <t>Career / · Team Lead</t>
        </is>
      </c>
      <c r="R184" s="29" t="inlineStr">
        <is>
          <t>4 Enable</t>
        </is>
      </c>
      <c r="S184" s="29" t="inlineStr">
        <is>
          <t>4–7 yrs</t>
        </is>
      </c>
      <c r="T184" s="29" t="inlineStr">
        <is>
          <t>5–8 · 4–8</t>
        </is>
      </c>
      <c r="U184" s="29" t="inlineStr">
        <is>
          <t>Senior Accountant</t>
        </is>
      </c>
      <c r="V184" s="29" t="inlineStr">
        <is>
          <t>Toppan Merrill: Senior Accountant · IRIS Vs Competitor Benchmark — finance ladder: Finance Specialist / Asst. Manager</t>
        </is>
      </c>
      <c r="W184" s="29" t="inlineStr">
        <is>
          <t>IMA Management Accounting Competency Framework; ICAI / CA; Ind AS</t>
        </is>
      </c>
      <c r="X184" s="29" t="inlineStr">
        <is>
          <t>Core 3 · Future 3 · Functional 3 · Leadership 1</t>
        </is>
      </c>
      <c r="Y184" s="52" t="n">
        <v>521</v>
      </c>
      <c r="Z184" s="53" t="inlineStr">
        <is>
          <t>IRIS2547</t>
        </is>
      </c>
      <c r="AA184" s="53" t="inlineStr">
        <is>
          <t>Employee</t>
        </is>
      </c>
      <c r="AB184" s="53" t="inlineStr">
        <is>
          <t>Active</t>
        </is>
      </c>
      <c r="AC184" s="53" t="inlineStr">
        <is>
          <t>Lalit Choudhary</t>
        </is>
      </c>
      <c r="AD184" s="54" t="n">
        <v>46223</v>
      </c>
      <c r="AE184" s="53" t="inlineStr">
        <is>
          <t>Assistant Manager - Finance and Accounts</t>
        </is>
      </c>
      <c r="AF184" s="53" t="inlineStr">
        <is>
          <t>CA</t>
        </is>
      </c>
      <c r="AG184" s="53" t="inlineStr">
        <is>
          <t>Nishant Gupta</t>
        </is>
      </c>
      <c r="AH184" s="53" t="inlineStr">
        <is>
          <t>N-3</t>
        </is>
      </c>
      <c r="AI184" s="53" t="inlineStr">
        <is>
          <t>Individual Contributor</t>
        </is>
      </c>
      <c r="AJ184" s="53" t="inlineStr">
        <is>
          <t>4 years, 7 months, 0 days</t>
        </is>
      </c>
      <c r="AK184" s="53" t="inlineStr">
        <is>
          <t>0 years, 1 months, 5 days</t>
        </is>
      </c>
      <c r="AL184" s="53" t="inlineStr">
        <is>
          <t>Corporate</t>
        </is>
      </c>
      <c r="AM184" s="53" t="inlineStr">
        <is>
          <t>Corporate</t>
        </is>
      </c>
      <c r="AN184" s="53" t="inlineStr">
        <is>
          <t>Finance</t>
        </is>
      </c>
      <c r="AO184" s="53" t="inlineStr">
        <is>
          <t>Accounting</t>
        </is>
      </c>
      <c r="AP184" s="53" t="inlineStr">
        <is>
          <t>No</t>
        </is>
      </c>
      <c r="AQ184" s="53" t="inlineStr">
        <is>
          <t>General &amp; Admin</t>
        </is>
      </c>
      <c r="AR184" s="53" t="inlineStr">
        <is>
          <t>Accounting</t>
        </is>
      </c>
      <c r="AS184" s="53" t="inlineStr">
        <is>
          <t>Non-technical</t>
        </is>
      </c>
      <c r="AT184" s="53" t="n">
        <v>20</v>
      </c>
      <c r="AU184" s="53" t="inlineStr">
        <is>
          <t>Covered</t>
        </is>
      </c>
      <c r="AV184" s="53" t="n"/>
      <c r="AW184" s="53" t="n"/>
      <c r="AX184" s="53" t="n"/>
      <c r="AY184" s="53" t="n"/>
      <c r="AZ184" s="53" t="n"/>
      <c r="BA184" s="53" t="n"/>
      <c r="BB184" s="53" t="n"/>
      <c r="BC184" s="53" t="n"/>
      <c r="BD184" s="53" t="n"/>
      <c r="BE184" s="53" t="n"/>
      <c r="BF184" s="53" t="n"/>
      <c r="BG184" s="53" t="n"/>
      <c r="BH184" s="53" t="n"/>
      <c r="BI184" s="53" t="n"/>
      <c r="BJ184" s="53" t="n"/>
      <c r="BK184" s="53" t="n"/>
      <c r="BL184" s="53" t="n"/>
      <c r="BM184" s="53" t="n"/>
      <c r="BN184" s="53" t="n"/>
      <c r="BO184" s="53" t="n"/>
      <c r="BP184" s="53" t="n"/>
      <c r="BQ184" s="53" t="n"/>
      <c r="BR184" s="53" t="n"/>
      <c r="BS184" s="53" t="n"/>
      <c r="BT184" s="53" t="n"/>
      <c r="BU184" s="53" t="n"/>
      <c r="BV184" s="53" t="n"/>
      <c r="BW184" s="53" t="n"/>
      <c r="BX184" s="53" t="n"/>
      <c r="BY184" s="53" t="n"/>
      <c r="BZ184" s="53" t="n"/>
      <c r="CA184" s="53" t="n"/>
      <c r="CB184" s="53" t="n"/>
      <c r="CC184" s="53" t="n"/>
      <c r="CD184" s="53" t="n"/>
      <c r="CE184" s="53" t="n"/>
      <c r="CF184" s="53" t="n"/>
      <c r="CG184" s="53" t="n"/>
      <c r="CH184" s="53" t="n"/>
      <c r="CI184" s="53" t="n"/>
      <c r="CJ184" s="53" t="n"/>
      <c r="CK184" s="53" t="n"/>
      <c r="CL184" s="53" t="n"/>
      <c r="CM184" s="53" t="n"/>
      <c r="CN184" s="53" t="n"/>
      <c r="CO184" s="53" t="n"/>
      <c r="CP184" s="53" t="n"/>
      <c r="CQ184" s="53" t="n"/>
      <c r="CR184" s="53" t="n"/>
      <c r="CS184" s="53" t="n"/>
      <c r="CT184" s="53" t="n"/>
      <c r="CU184" s="53" t="n"/>
      <c r="CV184" s="53" t="n"/>
      <c r="CW184" s="53" t="n"/>
      <c r="CX184" s="53" t="n"/>
      <c r="CY184" s="53" t="n"/>
      <c r="CZ184" s="53" t="n"/>
      <c r="DA184" s="53" t="n"/>
      <c r="DB184" s="53" t="n"/>
      <c r="DC184" s="53" t="n"/>
      <c r="DD184" s="53" t="n"/>
      <c r="DE184" s="53" t="n"/>
      <c r="DF184" s="53" t="n"/>
      <c r="DG184" s="53" t="n"/>
      <c r="DH184" s="53" t="n"/>
      <c r="DI184" s="53" t="n"/>
      <c r="DJ184" s="53" t="n"/>
      <c r="DK184" s="53" t="n"/>
      <c r="DL184" s="53" t="n"/>
      <c r="DM184" s="53" t="n"/>
      <c r="DN184" s="53" t="n"/>
      <c r="DO184" s="53" t="n"/>
      <c r="DP184" s="53" t="n"/>
      <c r="DQ184" s="53" t="n"/>
      <c r="DR184" s="53" t="n"/>
      <c r="DS184" s="53" t="n"/>
      <c r="DT184" s="53" t="n"/>
      <c r="DU184" s="53" t="n"/>
      <c r="DV184" s="53" t="n"/>
      <c r="DW184" s="53" t="n"/>
      <c r="DX184" s="53" t="n"/>
      <c r="DY184" s="53" t="n"/>
      <c r="DZ184" s="53" t="n"/>
      <c r="EA184" s="53" t="n"/>
      <c r="EB184" s="53" t="n"/>
      <c r="EC184" s="53" t="n"/>
      <c r="ED184" s="53" t="n"/>
      <c r="EE184" s="53" t="n"/>
      <c r="EF184" s="53" t="n"/>
      <c r="EG184" s="53" t="n"/>
      <c r="EH184" s="53" t="n"/>
      <c r="EI184" s="53" t="n"/>
      <c r="EJ184" s="53" t="n"/>
      <c r="EK184" s="53" t="n"/>
      <c r="EL184" s="53" t="n"/>
      <c r="EM184" s="53" t="n"/>
      <c r="EN184" s="53" t="n"/>
      <c r="EO184" s="53" t="n"/>
      <c r="EP184" s="53" t="n"/>
      <c r="EQ184" s="53" t="n"/>
      <c r="ER184" s="53" t="n"/>
      <c r="ES184" s="53" t="n"/>
      <c r="ET184" s="53" t="n"/>
      <c r="EU184" s="53" t="n"/>
      <c r="EV184" s="53" t="n"/>
      <c r="EW184" s="52" t="n"/>
      <c r="EX184" s="53" t="n"/>
      <c r="EY184" s="53" t="n"/>
      <c r="EZ184" s="53" t="n"/>
      <c r="FA184" s="53" t="n"/>
      <c r="FB184" s="53" t="n"/>
      <c r="FC184" s="53" t="n"/>
      <c r="FD184" s="53" t="n"/>
      <c r="FE184" s="55" t="inlineStr">
        <is>
          <t>KRAs not received · manager to supply</t>
        </is>
      </c>
      <c r="FF184" s="56" t="n"/>
      <c r="FG184" s="56" t="n"/>
      <c r="FH184" s="56" t="n"/>
      <c r="FI184" s="56" t="n"/>
      <c r="FJ184" s="32" t="inlineStr">
        <is>
          <t>KRAs not received · manager to supply</t>
        </is>
      </c>
      <c r="FK184" s="56" t="n"/>
      <c r="FL184" s="56" t="n">
        <v>19</v>
      </c>
      <c r="FM184" s="32" t="inlineStr">
        <is>
          <t>Full survey answers not in the files received · How We Grow export needed · HR</t>
        </is>
      </c>
      <c r="FN184" s="56" t="inlineStr">
        <is>
          <t>—</t>
        </is>
      </c>
      <c r="FO184" s="56" t="inlineStr">
        <is>
          <t>—</t>
        </is>
      </c>
      <c r="FP184" s="56" t="inlineStr">
        <is>
          <t>—</t>
        </is>
      </c>
      <c r="FQ184" s="56" t="inlineStr">
        <is>
          <t>—</t>
        </is>
      </c>
      <c r="FR184" s="56" t="inlineStr">
        <is>
          <t>Complexity: Evidence reads like B1: Expense variance analysis, subsidiary and consolidated financial statements, budget preparation, GST/MSME compliance → matches the start
Autonomy: Evidence reads like A2: Independent decisions limited to how expenses are analysed → moved down 1
Accountability: Evidence reads like A3: Owns expense analysis and the Ideal Business order book feeding financials → moved down 0.5
Leadership: Evidence reads like A1: No guidance or leadership of others described → moved down 1
Business Impact: No survey or manager-mapping signal on criticality: kept at the start point.</t>
        </is>
      </c>
      <c r="FS184" s="56" t="inlineStr">
        <is>
          <t>Common themes in role-holders' answers: business · financial · reason · management
Common themes in role-holders' answers: order · business · sales · invoice
Common themes in role-holders' answers: financial statements
Common themes in role-holders' answers: order</t>
        </is>
      </c>
      <c r="FT184" s="56" t="inlineStr">
        <is>
          <t>Self-identified: Answered · no common topic
For the next role: Answered · no common topic</t>
        </is>
      </c>
      <c r="FU184" s="32" t="inlineStr">
        <is>
          <t>Full survey answers not in the files received · How We Grow export needed · HR</t>
        </is>
      </c>
    </row>
    <row r="185" ht="90" customHeight="1">
      <c r="A185" s="51" t="inlineStr">
        <is>
          <t>◂ Back</t>
        </is>
      </c>
      <c r="B185" s="29" t="inlineStr">
        <is>
          <t>Mapped</t>
        </is>
      </c>
      <c r="C185" s="28" t="inlineStr">
        <is>
          <t>Corporate</t>
        </is>
      </c>
      <c r="D185" s="29" t="inlineStr">
        <is>
          <t>IRIS2561</t>
        </is>
      </c>
      <c r="E185" s="29" t="inlineStr">
        <is>
          <t>Radhika Karnani</t>
        </is>
      </c>
      <c r="F185" s="29" t="inlineStr">
        <is>
          <t>Finance</t>
        </is>
      </c>
      <c r="G185" s="29" t="inlineStr">
        <is>
          <t>Assistant Manager - Finance and Accounts</t>
        </is>
      </c>
      <c r="H185" s="29" t="inlineStr">
        <is>
          <t>Finance Specialist</t>
        </is>
      </c>
      <c r="I185" s="29" t="inlineStr">
        <is>
          <t>Not in current mapping files</t>
        </is>
      </c>
      <c r="J185" s="29" t="inlineStr">
        <is>
          <t>B1</t>
        </is>
      </c>
      <c r="K185" s="29" t="inlineStr">
        <is>
          <t>● Newly mapped</t>
        </is>
      </c>
      <c r="L185" s="29" t="inlineStr">
        <is>
          <t>Finance &amp; Accounts</t>
        </is>
      </c>
      <c r="M185" s="29" t="inlineStr">
        <is>
          <t>Financial Reporting, Compliance &amp; Audit</t>
        </is>
      </c>
      <c r="N185" s="29" t="inlineStr">
        <is>
          <t>• Total experience · outside + at IRIS — HR — HRIS
• Confirm prior experience · provisional placement — HR</t>
        </is>
      </c>
      <c r="O185" s="29" t="n">
        <v>19</v>
      </c>
      <c r="P185" s="28" t="inlineStr">
        <is>
          <t>P3 / M2</t>
        </is>
      </c>
      <c r="Q185" s="29" t="inlineStr">
        <is>
          <t>Career / · Team Lead</t>
        </is>
      </c>
      <c r="R185" s="29" t="inlineStr">
        <is>
          <t>4 Enable</t>
        </is>
      </c>
      <c r="S185" s="29" t="inlineStr">
        <is>
          <t>4–7 yrs</t>
        </is>
      </c>
      <c r="T185" s="29" t="inlineStr">
        <is>
          <t>5–8 · 4–8</t>
        </is>
      </c>
      <c r="U185" s="29" t="inlineStr">
        <is>
          <t>Senior Accountant</t>
        </is>
      </c>
      <c r="V185" s="29" t="inlineStr">
        <is>
          <t>Toppan Merrill: Senior Accountant · IRIS Vs Competitor Benchmark — finance ladder: Finance Specialist / Asst. Manager</t>
        </is>
      </c>
      <c r="W185" s="29" t="inlineStr">
        <is>
          <t>IMA Management Accounting Competency Framework; ICAI / CA; Ind AS</t>
        </is>
      </c>
      <c r="X185" s="29" t="inlineStr">
        <is>
          <t>Core 3 · Future 3 · Functional 3 · Leadership 1</t>
        </is>
      </c>
      <c r="Y185" s="52" t="n">
        <v>534</v>
      </c>
      <c r="Z185" s="53" t="inlineStr">
        <is>
          <t>IRIS2561</t>
        </is>
      </c>
      <c r="AA185" s="53" t="inlineStr">
        <is>
          <t>Employee</t>
        </is>
      </c>
      <c r="AB185" s="53" t="inlineStr">
        <is>
          <t>Active</t>
        </is>
      </c>
      <c r="AC185" s="53" t="inlineStr">
        <is>
          <t>Radhika Karnani</t>
        </is>
      </c>
      <c r="AD185" s="54" t="n">
        <v>46268</v>
      </c>
      <c r="AE185" s="53" t="inlineStr">
        <is>
          <t>Assistant Manager - Finance and Accounts</t>
        </is>
      </c>
      <c r="AF185" s="53" t="inlineStr">
        <is>
          <t>CA</t>
        </is>
      </c>
      <c r="AG185" s="53" t="inlineStr">
        <is>
          <t>Nishant Gupta</t>
        </is>
      </c>
      <c r="AH185" s="53" t="inlineStr">
        <is>
          <t>N-3</t>
        </is>
      </c>
      <c r="AI185" s="53" t="inlineStr">
        <is>
          <t>Individual Contributor</t>
        </is>
      </c>
      <c r="AJ185" s="53" t="n"/>
      <c r="AK185" s="53" t="n"/>
      <c r="AL185" s="53" t="inlineStr">
        <is>
          <t>Corporate</t>
        </is>
      </c>
      <c r="AM185" s="53" t="inlineStr">
        <is>
          <t>Corporate</t>
        </is>
      </c>
      <c r="AN185" s="53" t="inlineStr">
        <is>
          <t>Finance</t>
        </is>
      </c>
      <c r="AO185" s="53" t="inlineStr">
        <is>
          <t>Accounting</t>
        </is>
      </c>
      <c r="AP185" s="53" t="inlineStr">
        <is>
          <t>No</t>
        </is>
      </c>
      <c r="AQ185" s="53" t="inlineStr">
        <is>
          <t>General &amp; Admin</t>
        </is>
      </c>
      <c r="AR185" s="53" t="inlineStr">
        <is>
          <t>Accounting</t>
        </is>
      </c>
      <c r="AS185" s="53" t="inlineStr">
        <is>
          <t>Non-technical</t>
        </is>
      </c>
      <c r="AT185" s="53" t="n">
        <v>20</v>
      </c>
      <c r="AU185" s="53" t="inlineStr">
        <is>
          <t>Covered</t>
        </is>
      </c>
      <c r="AV185" s="53" t="n"/>
      <c r="AW185" s="53" t="n"/>
      <c r="AX185" s="53" t="n"/>
      <c r="AY185" s="53" t="n"/>
      <c r="AZ185" s="53" t="n"/>
      <c r="BA185" s="53" t="n"/>
      <c r="BB185" s="53" t="n"/>
      <c r="BC185" s="53" t="n"/>
      <c r="BD185" s="53" t="n"/>
      <c r="BE185" s="53" t="n"/>
      <c r="BF185" s="53" t="n"/>
      <c r="BG185" s="53" t="n"/>
      <c r="BH185" s="53" t="n"/>
      <c r="BI185" s="53" t="n"/>
      <c r="BJ185" s="53" t="n"/>
      <c r="BK185" s="53" t="n"/>
      <c r="BL185" s="53" t="n"/>
      <c r="BM185" s="53" t="n"/>
      <c r="BN185" s="53" t="n"/>
      <c r="BO185" s="53" t="n"/>
      <c r="BP185" s="53" t="n"/>
      <c r="BQ185" s="53" t="n"/>
      <c r="BR185" s="53" t="n"/>
      <c r="BS185" s="53" t="n"/>
      <c r="BT185" s="53" t="n"/>
      <c r="BU185" s="53" t="n"/>
      <c r="BV185" s="53" t="n"/>
      <c r="BW185" s="53" t="n"/>
      <c r="BX185" s="53" t="n"/>
      <c r="BY185" s="53" t="n"/>
      <c r="BZ185" s="53" t="n"/>
      <c r="CA185" s="53" t="n"/>
      <c r="CB185" s="53" t="n"/>
      <c r="CC185" s="53" t="n"/>
      <c r="CD185" s="53" t="n"/>
      <c r="CE185" s="53" t="n"/>
      <c r="CF185" s="53" t="n"/>
      <c r="CG185" s="53" t="n"/>
      <c r="CH185" s="53" t="n"/>
      <c r="CI185" s="53" t="n"/>
      <c r="CJ185" s="53" t="n"/>
      <c r="CK185" s="53" t="n"/>
      <c r="CL185" s="53" t="n"/>
      <c r="CM185" s="53" t="n"/>
      <c r="CN185" s="53" t="n"/>
      <c r="CO185" s="53" t="n"/>
      <c r="CP185" s="53" t="n"/>
      <c r="CQ185" s="53" t="n"/>
      <c r="CR185" s="53" t="n"/>
      <c r="CS185" s="53" t="n"/>
      <c r="CT185" s="53" t="n"/>
      <c r="CU185" s="53" t="n"/>
      <c r="CV185" s="53" t="n"/>
      <c r="CW185" s="53" t="n"/>
      <c r="CX185" s="53" t="n"/>
      <c r="CY185" s="53" t="n"/>
      <c r="CZ185" s="53" t="n"/>
      <c r="DA185" s="53" t="n"/>
      <c r="DB185" s="53" t="n"/>
      <c r="DC185" s="53" t="n"/>
      <c r="DD185" s="53" t="n"/>
      <c r="DE185" s="53" t="n"/>
      <c r="DF185" s="53" t="n"/>
      <c r="DG185" s="53" t="n"/>
      <c r="DH185" s="53" t="n"/>
      <c r="DI185" s="53" t="n"/>
      <c r="DJ185" s="53" t="n"/>
      <c r="DK185" s="53" t="n"/>
      <c r="DL185" s="53" t="n"/>
      <c r="DM185" s="53" t="n"/>
      <c r="DN185" s="53" t="n"/>
      <c r="DO185" s="53" t="n"/>
      <c r="DP185" s="53" t="n"/>
      <c r="DQ185" s="53" t="n"/>
      <c r="DR185" s="53" t="n"/>
      <c r="DS185" s="53" t="n"/>
      <c r="DT185" s="53" t="n"/>
      <c r="DU185" s="53" t="n"/>
      <c r="DV185" s="53" t="n"/>
      <c r="DW185" s="53" t="n"/>
      <c r="DX185" s="53" t="n"/>
      <c r="DY185" s="53" t="n"/>
      <c r="DZ185" s="53" t="n"/>
      <c r="EA185" s="53" t="n"/>
      <c r="EB185" s="53" t="n"/>
      <c r="EC185" s="53" t="n"/>
      <c r="ED185" s="53" t="n"/>
      <c r="EE185" s="53" t="n"/>
      <c r="EF185" s="53" t="n"/>
      <c r="EG185" s="53" t="n"/>
      <c r="EH185" s="53" t="n"/>
      <c r="EI185" s="53" t="n"/>
      <c r="EJ185" s="53" t="n"/>
      <c r="EK185" s="53" t="n"/>
      <c r="EL185" s="53" t="n"/>
      <c r="EM185" s="53" t="n"/>
      <c r="EN185" s="53" t="n"/>
      <c r="EO185" s="53" t="n"/>
      <c r="EP185" s="53" t="n"/>
      <c r="EQ185" s="53" t="n"/>
      <c r="ER185" s="53" t="n"/>
      <c r="ES185" s="53" t="n"/>
      <c r="ET185" s="53" t="n"/>
      <c r="EU185" s="53" t="n"/>
      <c r="EV185" s="53" t="n"/>
      <c r="EW185" s="52" t="n"/>
      <c r="EX185" s="53" t="n"/>
      <c r="EY185" s="53" t="n"/>
      <c r="EZ185" s="53" t="n"/>
      <c r="FA185" s="53" t="n"/>
      <c r="FB185" s="53" t="n"/>
      <c r="FC185" s="53" t="n"/>
      <c r="FD185" s="53" t="n"/>
      <c r="FE185" s="55" t="inlineStr">
        <is>
          <t>KRAs not received · manager to supply</t>
        </is>
      </c>
      <c r="FF185" s="56" t="n"/>
      <c r="FG185" s="56" t="n"/>
      <c r="FH185" s="56" t="n"/>
      <c r="FI185" s="56" t="n"/>
      <c r="FJ185" s="32" t="inlineStr">
        <is>
          <t>KRAs not received · manager to supply</t>
        </is>
      </c>
      <c r="FK185" s="56" t="n"/>
      <c r="FL185" s="56" t="n">
        <v>19</v>
      </c>
      <c r="FM185" s="32" t="inlineStr">
        <is>
          <t>Full survey answers not in the files received · How We Grow export needed · HR</t>
        </is>
      </c>
      <c r="FN185" s="56" t="inlineStr">
        <is>
          <t>—</t>
        </is>
      </c>
      <c r="FO185" s="56" t="inlineStr">
        <is>
          <t>—</t>
        </is>
      </c>
      <c r="FP185" s="56" t="inlineStr">
        <is>
          <t>—</t>
        </is>
      </c>
      <c r="FQ185" s="56" t="inlineStr">
        <is>
          <t>—</t>
        </is>
      </c>
      <c r="FR185" s="56" t="inlineStr">
        <is>
          <t>Complexity: Evidence reads like B1: own survey / KRA answers · summarised by the rater; not quoted → matches the start
Autonomy: Evidence reads like A2: Only 'process improvement' named as an independent decision → moved down 1
Accountability: Evidence reads like A3: own survey / KRA answers · summarised by the rater; not quoted → moved down 0.5
Leadership: Evidence reads like A2: Reviews sales orders and invoices prepared by others; no guiding role stated → moved down 0.5
Business Impact: No survey or manager-mapping signal on criticality: kept at the start point.</t>
        </is>
      </c>
      <c r="FS185" s="56" t="inlineStr">
        <is>
          <t>Common themes in role-holders' answers: business · financial · reason · management
Common themes in role-holders' answers: order · business · sales · invoice
Common themes in role-holders' answers: financial statements
Common themes in role-holders' answers: order</t>
        </is>
      </c>
      <c r="FT185" s="56" t="inlineStr">
        <is>
          <t>Self-identified: Answered · no common topic
For the next role: Answered · no common topic</t>
        </is>
      </c>
      <c r="FU185" s="32" t="inlineStr">
        <is>
          <t>Full survey answers not in the files received · How We Grow export needed · HR</t>
        </is>
      </c>
    </row>
    <row r="186" ht="90" customHeight="1">
      <c r="A186" s="51" t="inlineStr">
        <is>
          <t>◂ Back</t>
        </is>
      </c>
      <c r="B186" s="29" t="inlineStr">
        <is>
          <t>Mapped</t>
        </is>
      </c>
      <c r="C186" s="28" t="inlineStr">
        <is>
          <t>Corporate</t>
        </is>
      </c>
      <c r="D186" s="29" t="inlineStr">
        <is>
          <t>IRIS0006</t>
        </is>
      </c>
      <c r="E186" s="29" t="inlineStr">
        <is>
          <t>Sudhakar Sawant</t>
        </is>
      </c>
      <c r="F186" s="29" t="inlineStr">
        <is>
          <t>Finance</t>
        </is>
      </c>
      <c r="G186" s="29" t="inlineStr">
        <is>
          <t>Head – Admin &amp; Internal Audit</t>
        </is>
      </c>
      <c r="H186" s="29" t="inlineStr">
        <is>
          <t>Associate Head – Admin &amp; Internal Audit</t>
        </is>
      </c>
      <c r="I186" s="29" t="inlineStr">
        <is>
          <t>Not in current mapping files</t>
        </is>
      </c>
      <c r="J186" s="29" t="inlineStr">
        <is>
          <t>C1</t>
        </is>
      </c>
      <c r="K186" s="29" t="inlineStr">
        <is>
          <t>● Newly mapped</t>
        </is>
      </c>
      <c r="L186" s="29" t="inlineStr">
        <is>
          <t>Finance &amp; Accounts</t>
        </is>
      </c>
      <c r="M186" s="29" t="inlineStr">
        <is>
          <t>Finance Leadership</t>
        </is>
      </c>
      <c r="N186" s="29" t="inlineStr">
        <is>
          <t>• Survey response or KRAs describing the work · nothing on file — Employee + manager
• Confirm structure behind the senior title · org chart — Business head</t>
        </is>
      </c>
      <c r="O186" s="29" t="n">
        <v>0</v>
      </c>
      <c r="P186" s="28" t="inlineStr">
        <is>
          <t>P6 / M5</t>
        </is>
      </c>
      <c r="Q186" s="29" t="inlineStr">
        <is>
          <t>Principal / Director</t>
        </is>
      </c>
      <c r="R186" s="29" t="inlineStr">
        <is>
          <t>5–6</t>
        </is>
      </c>
      <c r="S186" s="29" t="inlineStr">
        <is>
          <t>10–14 yrs</t>
        </is>
      </c>
      <c r="T186" s="29" t="inlineStr">
        <is>
          <t>12–16 · 12–18</t>
        </is>
      </c>
      <c r="U186" s="29" t="inlineStr">
        <is>
          <t>Head of Function / AGM</t>
        </is>
      </c>
      <c r="V186" s="29" t="inlineStr">
        <is>
          <t>Atlassian company-wide P-levels: P60 Accountant · Principal · IRIS Vs Competitor Benchmark — finance ladder: Associate Director Finance</t>
        </is>
      </c>
      <c r="W186" s="29" t="inlineStr">
        <is>
          <t>IMA Management Accounting Competency Framework; ICAI / CA; Ind AS</t>
        </is>
      </c>
      <c r="X186" s="29" t="inlineStr">
        <is>
          <t>Core 4 · Future 4 · Functional 4 · Leadership 4</t>
        </is>
      </c>
      <c r="Y186" s="52" t="n">
        <v>3</v>
      </c>
      <c r="Z186" s="53" t="inlineStr">
        <is>
          <t>IRIS0006</t>
        </is>
      </c>
      <c r="AA186" s="53" t="inlineStr">
        <is>
          <t>Employee</t>
        </is>
      </c>
      <c r="AB186" s="53" t="inlineStr">
        <is>
          <t>Active</t>
        </is>
      </c>
      <c r="AC186" s="53" t="inlineStr">
        <is>
          <t>Sudhakar Sawant</t>
        </is>
      </c>
      <c r="AD186" s="54" t="n">
        <v>38200</v>
      </c>
      <c r="AE186" s="53" t="inlineStr">
        <is>
          <t>Head – Admin &amp; Internal Audit</t>
        </is>
      </c>
      <c r="AF186" s="53" t="inlineStr">
        <is>
          <t>B.Com</t>
        </is>
      </c>
      <c r="AG186" s="53" t="inlineStr">
        <is>
          <t>Vineet Kandoi</t>
        </is>
      </c>
      <c r="AH186" s="53" t="inlineStr">
        <is>
          <t>N-2</t>
        </is>
      </c>
      <c r="AI186" s="53" t="inlineStr">
        <is>
          <t>Manager</t>
        </is>
      </c>
      <c r="AJ186" s="53" t="inlineStr">
        <is>
          <t>6 years, 3 months, 0 days</t>
        </is>
      </c>
      <c r="AK186" s="53" t="inlineStr">
        <is>
          <t>22 years, 0 months, 24 days</t>
        </is>
      </c>
      <c r="AL186" s="53" t="inlineStr">
        <is>
          <t>Corporate</t>
        </is>
      </c>
      <c r="AM186" s="53" t="inlineStr">
        <is>
          <t>Corporate</t>
        </is>
      </c>
      <c r="AN186" s="53" t="inlineStr">
        <is>
          <t>Finance</t>
        </is>
      </c>
      <c r="AO186" s="53" t="inlineStr">
        <is>
          <t>Accounting</t>
        </is>
      </c>
      <c r="AP186" s="53" t="inlineStr">
        <is>
          <t>No</t>
        </is>
      </c>
      <c r="AQ186" s="53" t="inlineStr">
        <is>
          <t>General &amp; Admin</t>
        </is>
      </c>
      <c r="AR186" s="53" t="inlineStr">
        <is>
          <t>Accounting</t>
        </is>
      </c>
      <c r="AS186" s="53" t="inlineStr">
        <is>
          <t>Non-technical</t>
        </is>
      </c>
      <c r="AT186" s="53" t="n">
        <v>0</v>
      </c>
      <c r="AU186" s="53" t="inlineStr">
        <is>
          <t>E-Top management</t>
        </is>
      </c>
      <c r="AV186" s="53" t="n"/>
      <c r="AW186" s="53" t="n"/>
      <c r="AX186" s="53" t="n"/>
      <c r="AY186" s="53" t="n"/>
      <c r="AZ186" s="53" t="n"/>
      <c r="BA186" s="53" t="n"/>
      <c r="BB186" s="53" t="n"/>
      <c r="BC186" s="53" t="n"/>
      <c r="BD186" s="53" t="n"/>
      <c r="BE186" s="53" t="n"/>
      <c r="BF186" s="53" t="n"/>
      <c r="BG186" s="53" t="n"/>
      <c r="BH186" s="53" t="n"/>
      <c r="BI186" s="53" t="n"/>
      <c r="BJ186" s="53" t="n"/>
      <c r="BK186" s="53" t="n"/>
      <c r="BL186" s="53" t="n"/>
      <c r="BM186" s="53" t="n"/>
      <c r="BN186" s="53" t="n"/>
      <c r="BO186" s="53" t="n"/>
      <c r="BP186" s="53" t="n"/>
      <c r="BQ186" s="53" t="n"/>
      <c r="BR186" s="53" t="n"/>
      <c r="BS186" s="53" t="n"/>
      <c r="BT186" s="53" t="n"/>
      <c r="BU186" s="53" t="n"/>
      <c r="BV186" s="53" t="n"/>
      <c r="BW186" s="53" t="n"/>
      <c r="BX186" s="53" t="n"/>
      <c r="BY186" s="53" t="n"/>
      <c r="BZ186" s="53" t="n"/>
      <c r="CA186" s="53" t="n"/>
      <c r="CB186" s="53" t="n"/>
      <c r="CC186" s="53" t="n"/>
      <c r="CD186" s="53" t="n"/>
      <c r="CE186" s="53" t="n"/>
      <c r="CF186" s="53" t="n"/>
      <c r="CG186" s="53" t="n"/>
      <c r="CH186" s="53" t="n"/>
      <c r="CI186" s="53" t="n"/>
      <c r="CJ186" s="53" t="n"/>
      <c r="CK186" s="53" t="n"/>
      <c r="CL186" s="53" t="n"/>
      <c r="CM186" s="53" t="n"/>
      <c r="CN186" s="53" t="n"/>
      <c r="CO186" s="53" t="n"/>
      <c r="CP186" s="53" t="n"/>
      <c r="CQ186" s="53" t="n"/>
      <c r="CR186" s="53" t="n"/>
      <c r="CS186" s="53" t="n"/>
      <c r="CT186" s="53" t="n"/>
      <c r="CU186" s="53" t="n"/>
      <c r="CV186" s="53" t="n"/>
      <c r="CW186" s="53" t="n"/>
      <c r="CX186" s="53" t="n"/>
      <c r="CY186" s="53" t="n"/>
      <c r="CZ186" s="53" t="n"/>
      <c r="DA186" s="53" t="n"/>
      <c r="DB186" s="53" t="n"/>
      <c r="DC186" s="53" t="n"/>
      <c r="DD186" s="53" t="n"/>
      <c r="DE186" s="53" t="n"/>
      <c r="DF186" s="53" t="n"/>
      <c r="DG186" s="53" t="n"/>
      <c r="DH186" s="53" t="n"/>
      <c r="DI186" s="53" t="n"/>
      <c r="DJ186" s="53" t="n"/>
      <c r="DK186" s="53" t="n"/>
      <c r="DL186" s="53" t="n"/>
      <c r="DM186" s="53" t="n"/>
      <c r="DN186" s="53" t="n"/>
      <c r="DO186" s="53" t="n"/>
      <c r="DP186" s="53" t="n"/>
      <c r="DQ186" s="53" t="n"/>
      <c r="DR186" s="53" t="n"/>
      <c r="DS186" s="53" t="n"/>
      <c r="DT186" s="53" t="n"/>
      <c r="DU186" s="53" t="n"/>
      <c r="DV186" s="53" t="n"/>
      <c r="DW186" s="53" t="n"/>
      <c r="DX186" s="53" t="n"/>
      <c r="DY186" s="53" t="n"/>
      <c r="DZ186" s="53" t="n"/>
      <c r="EA186" s="53" t="n"/>
      <c r="EB186" s="53" t="n"/>
      <c r="EC186" s="53" t="n"/>
      <c r="ED186" s="53" t="n"/>
      <c r="EE186" s="53" t="n"/>
      <c r="EF186" s="53" t="n"/>
      <c r="EG186" s="53" t="n"/>
      <c r="EH186" s="53" t="n"/>
      <c r="EI186" s="53" t="n"/>
      <c r="EJ186" s="53" t="n"/>
      <c r="EK186" s="53" t="n"/>
      <c r="EL186" s="53" t="n"/>
      <c r="EM186" s="53" t="n"/>
      <c r="EN186" s="53" t="n"/>
      <c r="EO186" s="53" t="n"/>
      <c r="EP186" s="53" t="n"/>
      <c r="EQ186" s="53" t="n"/>
      <c r="ER186" s="53" t="n"/>
      <c r="ES186" s="53" t="n"/>
      <c r="ET186" s="53" t="n"/>
      <c r="EU186" s="53" t="n"/>
      <c r="EV186" s="53" t="n"/>
      <c r="EW186" s="52" t="n"/>
      <c r="EX186" s="53" t="n"/>
      <c r="EY186" s="53" t="n"/>
      <c r="EZ186" s="53" t="n"/>
      <c r="FA186" s="53" t="n"/>
      <c r="FB186" s="53" t="n"/>
      <c r="FC186" s="53" t="n"/>
      <c r="FD186" s="53" t="n"/>
      <c r="FE186" s="55" t="inlineStr">
        <is>
          <t>KRAs not received · manager to supply</t>
        </is>
      </c>
      <c r="FF186" s="56" t="n"/>
      <c r="FG186" s="56" t="n"/>
      <c r="FH186" s="56" t="n"/>
      <c r="FI186" s="56" t="n"/>
      <c r="FJ186" s="32" t="inlineStr">
        <is>
          <t>KRAs not received · manager to supply</t>
        </is>
      </c>
      <c r="FK186" s="56" t="n"/>
      <c r="FL186" s="56" t="n">
        <v>0</v>
      </c>
      <c r="FM186" s="32" t="inlineStr">
        <is>
          <t>No survey response on file</t>
        </is>
      </c>
      <c r="FN186" s="56" t="inlineStr">
        <is>
          <t>—</t>
        </is>
      </c>
      <c r="FO186" s="56" t="inlineStr">
        <is>
          <t>—</t>
        </is>
      </c>
      <c r="FP186" s="56" t="inlineStr">
        <is>
          <t>—</t>
        </is>
      </c>
      <c r="FQ186" s="56" t="inlineStr">
        <is>
          <t>—</t>
        </is>
      </c>
      <c r="FR186" s="56"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FS186" s="56" t="n"/>
      <c r="FT186" s="56" t="n"/>
      <c r="FU186" s="32" t="inlineStr">
        <is>
          <t>No survey response on file</t>
        </is>
      </c>
    </row>
    <row r="187" ht="90" customHeight="1">
      <c r="A187" s="51" t="inlineStr">
        <is>
          <t>◂ Back</t>
        </is>
      </c>
      <c r="B187" s="29" t="inlineStr">
        <is>
          <t>Mapped</t>
        </is>
      </c>
      <c r="C187" s="28" t="inlineStr">
        <is>
          <t>Corporate</t>
        </is>
      </c>
      <c r="D187" s="29" t="inlineStr">
        <is>
          <t>IRIS1326</t>
        </is>
      </c>
      <c r="E187" s="29" t="inlineStr">
        <is>
          <t>Sujit Acharya</t>
        </is>
      </c>
      <c r="F187" s="29" t="inlineStr">
        <is>
          <t>Administration</t>
        </is>
      </c>
      <c r="G187" s="29" t="inlineStr">
        <is>
          <t>Manager Administration</t>
        </is>
      </c>
      <c r="H187" s="29" t="inlineStr">
        <is>
          <t>Manager – Administration</t>
        </is>
      </c>
      <c r="I187" s="29" t="inlineStr">
        <is>
          <t>Not in current mapping files</t>
        </is>
      </c>
      <c r="J187" s="29" t="inlineStr">
        <is>
          <t>B2</t>
        </is>
      </c>
      <c r="K187" s="29" t="inlineStr">
        <is>
          <t>● Newly mapped</t>
        </is>
      </c>
      <c r="L187" s="29" t="inlineStr">
        <is>
          <t>Administration, Legal &amp; Secretarial</t>
        </is>
      </c>
      <c r="M187" s="29" t="inlineStr">
        <is>
          <t>Administration &amp; Facilities</t>
        </is>
      </c>
      <c r="N187" s="29" t="n"/>
      <c r="O187" s="29" t="n">
        <v>20</v>
      </c>
      <c r="P187" s="28" t="inlineStr">
        <is>
          <t>P4 / M3</t>
        </is>
      </c>
      <c r="Q187" s="29" t="inlineStr">
        <is>
          <t>Senior / Manager</t>
        </is>
      </c>
      <c r="R187" s="29" t="inlineStr">
        <is>
          <t>4–5</t>
        </is>
      </c>
      <c r="S187" s="29" t="inlineStr">
        <is>
          <t>6–9 yrs</t>
        </is>
      </c>
      <c r="T187" s="29" t="inlineStr">
        <is>
          <t>7–10 · 6–11</t>
        </is>
      </c>
      <c r="U187" s="29" t="inlineStr">
        <is>
          <t>Manager</t>
        </is>
      </c>
      <c r="V187" s="29" t="inlineStr">
        <is>
          <t>IRIS Vs Competitor Benchmark — corporate services ladder: Manager</t>
        </is>
      </c>
      <c r="W187" s="29" t="inlineStr">
        <is>
          <t>ICSI · Company Secretary; Companies Act 2013; IFMA · facilities; CIPS · procurement</t>
        </is>
      </c>
      <c r="X187" s="29" t="inlineStr">
        <is>
          <t>Core 3 · Future 3 · Functional 4 · Leadership 3</t>
        </is>
      </c>
      <c r="Y187" s="52" t="n">
        <v>116</v>
      </c>
      <c r="Z187" s="53" t="inlineStr">
        <is>
          <t>IRIS1326</t>
        </is>
      </c>
      <c r="AA187" s="53" t="inlineStr">
        <is>
          <t>Employee</t>
        </is>
      </c>
      <c r="AB187" s="53" t="inlineStr">
        <is>
          <t>Active</t>
        </is>
      </c>
      <c r="AC187" s="53" t="inlineStr">
        <is>
          <t>Sujit Acharya</t>
        </is>
      </c>
      <c r="AD187" s="54" t="n">
        <v>41353</v>
      </c>
      <c r="AE187" s="53" t="inlineStr">
        <is>
          <t>Manager Administration</t>
        </is>
      </c>
      <c r="AF187" s="53" t="inlineStr">
        <is>
          <t>B.Com</t>
        </is>
      </c>
      <c r="AG187" s="53" t="inlineStr">
        <is>
          <t>Sudhakar Sawant</t>
        </is>
      </c>
      <c r="AH187" s="53" t="inlineStr">
        <is>
          <t>N-3</t>
        </is>
      </c>
      <c r="AI187" s="53" t="inlineStr">
        <is>
          <t>Manager</t>
        </is>
      </c>
      <c r="AJ187" s="53" t="inlineStr">
        <is>
          <t>8 years, 3 months, 0 days</t>
        </is>
      </c>
      <c r="AK187" s="53" t="inlineStr">
        <is>
          <t>13 years, 5 months, 5 days</t>
        </is>
      </c>
      <c r="AL187" s="53" t="inlineStr">
        <is>
          <t>Corporate</t>
        </is>
      </c>
      <c r="AM187" s="53" t="inlineStr">
        <is>
          <t>Corporate</t>
        </is>
      </c>
      <c r="AN187" s="53" t="inlineStr">
        <is>
          <t>Administration</t>
        </is>
      </c>
      <c r="AO187" s="53" t="inlineStr">
        <is>
          <t>Administration</t>
        </is>
      </c>
      <c r="AP187" s="53" t="inlineStr">
        <is>
          <t>No</t>
        </is>
      </c>
      <c r="AQ187" s="53" t="inlineStr">
        <is>
          <t>General &amp; Admin</t>
        </is>
      </c>
      <c r="AR187" s="53" t="inlineStr">
        <is>
          <t>Administration</t>
        </is>
      </c>
      <c r="AS187" s="53" t="inlineStr">
        <is>
          <t>Non-technical</t>
        </is>
      </c>
      <c r="AT187" s="53" t="n">
        <v>20</v>
      </c>
      <c r="AU187" s="53" t="inlineStr">
        <is>
          <t>Covered</t>
        </is>
      </c>
      <c r="AV187" s="53" t="n"/>
      <c r="AW187" s="53" t="n"/>
      <c r="AX187" s="53" t="n"/>
      <c r="AY187" s="53" t="n"/>
      <c r="AZ187" s="53" t="n"/>
      <c r="BA187" s="53" t="n"/>
      <c r="BB187" s="53" t="n"/>
      <c r="BC187" s="53" t="n"/>
      <c r="BD187" s="53" t="n"/>
      <c r="BE187" s="53" t="n"/>
      <c r="BF187" s="53" t="n"/>
      <c r="BG187" s="53" t="n"/>
      <c r="BH187" s="53" t="n"/>
      <c r="BI187" s="53" t="n"/>
      <c r="BJ187" s="53" t="n"/>
      <c r="BK187" s="53" t="n"/>
      <c r="BL187" s="53" t="n"/>
      <c r="BM187" s="53" t="n"/>
      <c r="BN187" s="53" t="n"/>
      <c r="BO187" s="53" t="n"/>
      <c r="BP187" s="53" t="n"/>
      <c r="BQ187" s="53" t="n"/>
      <c r="BR187" s="53" t="n"/>
      <c r="BS187" s="53" t="n"/>
      <c r="BT187" s="53" t="n"/>
      <c r="BU187" s="53" t="n"/>
      <c r="BV187" s="53" t="n"/>
      <c r="BW187" s="53" t="n"/>
      <c r="BX187" s="53" t="n"/>
      <c r="BY187" s="53" t="n"/>
      <c r="BZ187" s="53" t="n"/>
      <c r="CA187" s="53" t="n"/>
      <c r="CB187" s="53" t="n"/>
      <c r="CC187" s="53" t="n"/>
      <c r="CD187" s="53" t="n"/>
      <c r="CE187" s="53" t="n"/>
      <c r="CF187" s="53" t="n"/>
      <c r="CG187" s="53" t="n"/>
      <c r="CH187" s="53" t="n"/>
      <c r="CI187" s="53" t="n"/>
      <c r="CJ187" s="53" t="n"/>
      <c r="CK187" s="53" t="n"/>
      <c r="CL187" s="53" t="n"/>
      <c r="CM187" s="53" t="n"/>
      <c r="CN187" s="53" t="n"/>
      <c r="CO187" s="53" t="n"/>
      <c r="CP187" s="53" t="n"/>
      <c r="CQ187" s="53" t="n"/>
      <c r="CR187" s="53" t="n"/>
      <c r="CS187" s="53" t="n"/>
      <c r="CT187" s="53" t="n"/>
      <c r="CU187" s="53" t="n"/>
      <c r="CV187" s="53" t="n"/>
      <c r="CW187" s="53" t="n"/>
      <c r="CX187" s="53" t="n"/>
      <c r="CY187" s="53" t="n"/>
      <c r="CZ187" s="53" t="n"/>
      <c r="DA187" s="53" t="n"/>
      <c r="DB187" s="53" t="n"/>
      <c r="DC187" s="53" t="n"/>
      <c r="DD187" s="53" t="n"/>
      <c r="DE187" s="53" t="n"/>
      <c r="DF187" s="53" t="n"/>
      <c r="DG187" s="53" t="n"/>
      <c r="DH187" s="53" t="n"/>
      <c r="DI187" s="53" t="n"/>
      <c r="DJ187" s="53" t="n"/>
      <c r="DK187" s="53" t="n"/>
      <c r="DL187" s="53" t="n"/>
      <c r="DM187" s="53" t="n"/>
      <c r="DN187" s="53" t="n"/>
      <c r="DO187" s="53" t="n"/>
      <c r="DP187" s="53" t="n"/>
      <c r="DQ187" s="53" t="n"/>
      <c r="DR187" s="53" t="n"/>
      <c r="DS187" s="53" t="n"/>
      <c r="DT187" s="53" t="n"/>
      <c r="DU187" s="53" t="n"/>
      <c r="DV187" s="53" t="n"/>
      <c r="DW187" s="53" t="n"/>
      <c r="DX187" s="53" t="n"/>
      <c r="DY187" s="53" t="n"/>
      <c r="DZ187" s="53" t="n"/>
      <c r="EA187" s="53" t="n"/>
      <c r="EB187" s="53" t="n"/>
      <c r="EC187" s="53" t="n"/>
      <c r="ED187" s="53" t="n"/>
      <c r="EE187" s="53" t="n"/>
      <c r="EF187" s="53" t="n"/>
      <c r="EG187" s="53" t="n"/>
      <c r="EH187" s="53" t="n"/>
      <c r="EI187" s="53" t="n"/>
      <c r="EJ187" s="53" t="n"/>
      <c r="EK187" s="53" t="n"/>
      <c r="EL187" s="53" t="n"/>
      <c r="EM187" s="53" t="n"/>
      <c r="EN187" s="53" t="n"/>
      <c r="EO187" s="53" t="n"/>
      <c r="EP187" s="53" t="n"/>
      <c r="EQ187" s="53" t="n"/>
      <c r="ER187" s="53" t="n"/>
      <c r="ES187" s="53" t="n"/>
      <c r="ET187" s="53" t="n"/>
      <c r="EU187" s="53" t="n"/>
      <c r="EV187" s="53" t="n"/>
      <c r="EW187" s="52" t="n"/>
      <c r="EX187" s="53" t="n"/>
      <c r="EY187" s="53" t="n"/>
      <c r="EZ187" s="53" t="n"/>
      <c r="FA187" s="53" t="n"/>
      <c r="FB187" s="53" t="n"/>
      <c r="FC187" s="53" t="n"/>
      <c r="FD187" s="53" t="n"/>
      <c r="FE187" s="55" t="inlineStr">
        <is>
          <t>KRAs not received · manager to supply</t>
        </is>
      </c>
      <c r="FF187" s="56" t="n"/>
      <c r="FG187" s="56" t="n"/>
      <c r="FH187" s="56" t="n"/>
      <c r="FI187" s="56" t="n"/>
      <c r="FJ187" s="32" t="inlineStr">
        <is>
          <t>KRAs not received · manager to supply</t>
        </is>
      </c>
      <c r="FK187" s="56" t="n"/>
      <c r="FL187" s="56" t="n">
        <v>20</v>
      </c>
      <c r="FM187" s="32" t="inlineStr">
        <is>
          <t>Full survey answers not in the files received · How We Grow export needed · HR</t>
        </is>
      </c>
      <c r="FN187" s="56" t="inlineStr">
        <is>
          <t>—</t>
        </is>
      </c>
      <c r="FO187" s="56" t="inlineStr">
        <is>
          <t>—</t>
        </is>
      </c>
      <c r="FP187" s="56" t="inlineStr">
        <is>
          <t>—</t>
        </is>
      </c>
      <c r="FQ187" s="56" t="inlineStr">
        <is>
          <t>—</t>
        </is>
      </c>
      <c r="FR187" s="56" t="inlineStr">
        <is>
          <t>Complexity: Evidence reads like A3: Runs travel, facilities, vendor contracts, billing and procurement; negotiates routine rates within policy → moved down 1
Autonomy: Evidence reads like A3: Selects from approved vendors, negotiates routine rates, schedules maintenance within delegated authority → moved down 1
Accountability: Evidence reads like B1: Owns admin area: cost, quality, timeliness of travel, vendor services, maintenance, procurement → moved down 0.5
Leadership: Evidence reads like A3: HR shows 5 reports, but text describes no allocation, review or coaching → moved down 0.5
Business Impact: No survey or manager-mapping signal on criticality: kept at the start point.</t>
        </is>
      </c>
      <c r="FS187" s="56" t="n"/>
      <c r="FT187" s="56" t="inlineStr">
        <is>
          <t>Self-identified: Strategy &amp; business acumen · Broader exposure &amp; ownership
For the next role: AI / automation · Leadership &amp; people management · Project / programme management · Strategy &amp; business acumen · Broader exposure &amp; ownership</t>
        </is>
      </c>
      <c r="FU187" s="32" t="inlineStr">
        <is>
          <t>Full survey answers not in the files received · How We Grow export needed · HR</t>
        </is>
      </c>
    </row>
    <row r="188" ht="90" customHeight="1">
      <c r="A188" s="51" t="inlineStr">
        <is>
          <t>◂ Back</t>
        </is>
      </c>
      <c r="B188" s="29" t="inlineStr">
        <is>
          <t>Mapped</t>
        </is>
      </c>
      <c r="C188" s="28" t="inlineStr">
        <is>
          <t>Corporate</t>
        </is>
      </c>
      <c r="D188" s="29" t="inlineStr">
        <is>
          <t>IRIS2431</t>
        </is>
      </c>
      <c r="E188" s="29" t="inlineStr">
        <is>
          <t>Ashish Pawar</t>
        </is>
      </c>
      <c r="F188" s="29" t="inlineStr">
        <is>
          <t>Administration</t>
        </is>
      </c>
      <c r="G188" s="29" t="inlineStr">
        <is>
          <t>Executive Administration</t>
        </is>
      </c>
      <c r="H188" s="29" t="inlineStr">
        <is>
          <t>Senior Administration Executive</t>
        </is>
      </c>
      <c r="I188" s="29" t="inlineStr">
        <is>
          <t>Not in current mapping files</t>
        </is>
      </c>
      <c r="J188" s="29" t="inlineStr">
        <is>
          <t>A3</t>
        </is>
      </c>
      <c r="K188" s="29" t="inlineStr">
        <is>
          <t>● Newly mapped</t>
        </is>
      </c>
      <c r="L188" s="29" t="inlineStr">
        <is>
          <t>Administration, Legal &amp; Secretarial</t>
        </is>
      </c>
      <c r="M188" s="29" t="inlineStr">
        <is>
          <t>Administration &amp; Facilities</t>
        </is>
      </c>
      <c r="N188" s="29" t="n"/>
      <c r="O188" s="29" t="n">
        <v>19</v>
      </c>
      <c r="P188" s="28" t="inlineStr">
        <is>
          <t>P2</t>
        </is>
      </c>
      <c r="Q188" s="29" t="inlineStr">
        <is>
          <t>Developing</t>
        </is>
      </c>
      <c r="R188" s="29" t="inlineStr">
        <is>
          <t>3 Apply</t>
        </is>
      </c>
      <c r="S188" s="29" t="inlineStr">
        <is>
          <t>2–4 yrs</t>
        </is>
      </c>
      <c r="T188" s="29" t="inlineStr">
        <is>
          <t>3–5 · 2–5</t>
        </is>
      </c>
      <c r="U188" s="29" t="inlineStr">
        <is>
          <t>Admin / Secretarial Executive</t>
        </is>
      </c>
      <c r="V188" s="29" t="inlineStr">
        <is>
          <t>IRIS Vs Competitor Benchmark — corporate services ladder: Senior Executive</t>
        </is>
      </c>
      <c r="W188" s="29" t="inlineStr">
        <is>
          <t>ICSI · Company Secretary; Companies Act 2013; IFMA · facilities; CIPS · procurement</t>
        </is>
      </c>
      <c r="X188" s="29" t="inlineStr">
        <is>
          <t>Core 2 · Future 2 · Functional 3 · Leadership not scored</t>
        </is>
      </c>
      <c r="Y188" s="52" t="n">
        <v>400</v>
      </c>
      <c r="Z188" s="53" t="inlineStr">
        <is>
          <t>IRIS2431</t>
        </is>
      </c>
      <c r="AA188" s="53" t="inlineStr">
        <is>
          <t>Employee</t>
        </is>
      </c>
      <c r="AB188" s="53" t="inlineStr">
        <is>
          <t>Active</t>
        </is>
      </c>
      <c r="AC188" s="53" t="inlineStr">
        <is>
          <t>Ashish Pawar</t>
        </is>
      </c>
      <c r="AD188" s="54" t="n">
        <v>45918</v>
      </c>
      <c r="AE188" s="53" t="inlineStr">
        <is>
          <t>Executive Administration</t>
        </is>
      </c>
      <c r="AF188" s="53" t="inlineStr">
        <is>
          <t>BA</t>
        </is>
      </c>
      <c r="AG188" s="53" t="inlineStr">
        <is>
          <t>Sujit Acharya</t>
        </is>
      </c>
      <c r="AH188" s="53" t="inlineStr">
        <is>
          <t>N-4</t>
        </is>
      </c>
      <c r="AI188" s="53" t="inlineStr">
        <is>
          <t>Individual Contributor</t>
        </is>
      </c>
      <c r="AJ188" s="53" t="inlineStr">
        <is>
          <t>12 years, 2 months, 0 days</t>
        </is>
      </c>
      <c r="AK188" s="53" t="inlineStr">
        <is>
          <t>0 years, 11 months, 7 days</t>
        </is>
      </c>
      <c r="AL188" s="53" t="inlineStr">
        <is>
          <t>Corporate</t>
        </is>
      </c>
      <c r="AM188" s="53" t="inlineStr">
        <is>
          <t>Corporate</t>
        </is>
      </c>
      <c r="AN188" s="53" t="inlineStr">
        <is>
          <t>Administration</t>
        </is>
      </c>
      <c r="AO188" s="53" t="inlineStr">
        <is>
          <t>Administration</t>
        </is>
      </c>
      <c r="AP188" s="53" t="inlineStr">
        <is>
          <t>No</t>
        </is>
      </c>
      <c r="AQ188" s="53" t="inlineStr">
        <is>
          <t>General &amp; Admin</t>
        </is>
      </c>
      <c r="AR188" s="53" t="inlineStr">
        <is>
          <t>Administration</t>
        </is>
      </c>
      <c r="AS188" s="53" t="inlineStr">
        <is>
          <t>Non-technical</t>
        </is>
      </c>
      <c r="AT188" s="53" t="n">
        <v>20</v>
      </c>
      <c r="AU188" s="53" t="inlineStr">
        <is>
          <t>Covered</t>
        </is>
      </c>
      <c r="AV188" s="53" t="n"/>
      <c r="AW188" s="53" t="n"/>
      <c r="AX188" s="53" t="n"/>
      <c r="AY188" s="53" t="n"/>
      <c r="AZ188" s="53" t="n"/>
      <c r="BA188" s="53" t="n"/>
      <c r="BB188" s="53" t="n"/>
      <c r="BC188" s="53" t="n"/>
      <c r="BD188" s="53" t="n"/>
      <c r="BE188" s="53" t="n"/>
      <c r="BF188" s="53" t="n"/>
      <c r="BG188" s="53" t="n"/>
      <c r="BH188" s="53" t="n"/>
      <c r="BI188" s="53" t="n"/>
      <c r="BJ188" s="53" t="n"/>
      <c r="BK188" s="53" t="n"/>
      <c r="BL188" s="53" t="n"/>
      <c r="BM188" s="53" t="n"/>
      <c r="BN188" s="53" t="n"/>
      <c r="BO188" s="53" t="n"/>
      <c r="BP188" s="53" t="n"/>
      <c r="BQ188" s="53" t="n"/>
      <c r="BR188" s="53" t="n"/>
      <c r="BS188" s="53" t="n"/>
      <c r="BT188" s="53" t="n"/>
      <c r="BU188" s="53" t="n"/>
      <c r="BV188" s="53" t="n"/>
      <c r="BW188" s="53" t="n"/>
      <c r="BX188" s="53" t="n"/>
      <c r="BY188" s="53" t="n"/>
      <c r="BZ188" s="53" t="n"/>
      <c r="CA188" s="53" t="n"/>
      <c r="CB188" s="53" t="n"/>
      <c r="CC188" s="53" t="n"/>
      <c r="CD188" s="53" t="n"/>
      <c r="CE188" s="53" t="n"/>
      <c r="CF188" s="53" t="n"/>
      <c r="CG188" s="53" t="n"/>
      <c r="CH188" s="53" t="n"/>
      <c r="CI188" s="53" t="n"/>
      <c r="CJ188" s="53" t="n"/>
      <c r="CK188" s="53" t="n"/>
      <c r="CL188" s="53" t="n"/>
      <c r="CM188" s="53" t="n"/>
      <c r="CN188" s="53" t="n"/>
      <c r="CO188" s="53" t="n"/>
      <c r="CP188" s="53" t="n"/>
      <c r="CQ188" s="53" t="n"/>
      <c r="CR188" s="53" t="n"/>
      <c r="CS188" s="53" t="n"/>
      <c r="CT188" s="53" t="n"/>
      <c r="CU188" s="53" t="n"/>
      <c r="CV188" s="53" t="n"/>
      <c r="CW188" s="53" t="n"/>
      <c r="CX188" s="53" t="n"/>
      <c r="CY188" s="53" t="n"/>
      <c r="CZ188" s="53" t="n"/>
      <c r="DA188" s="53" t="n"/>
      <c r="DB188" s="53" t="n"/>
      <c r="DC188" s="53" t="n"/>
      <c r="DD188" s="53" t="n"/>
      <c r="DE188" s="53" t="n"/>
      <c r="DF188" s="53" t="n"/>
      <c r="DG188" s="53" t="n"/>
      <c r="DH188" s="53" t="n"/>
      <c r="DI188" s="53" t="n"/>
      <c r="DJ188" s="53" t="n"/>
      <c r="DK188" s="53" t="n"/>
      <c r="DL188" s="53" t="n"/>
      <c r="DM188" s="53" t="n"/>
      <c r="DN188" s="53" t="n"/>
      <c r="DO188" s="53" t="n"/>
      <c r="DP188" s="53" t="n"/>
      <c r="DQ188" s="53" t="n"/>
      <c r="DR188" s="53" t="n"/>
      <c r="DS188" s="53" t="n"/>
      <c r="DT188" s="53" t="n"/>
      <c r="DU188" s="53" t="n"/>
      <c r="DV188" s="53" t="n"/>
      <c r="DW188" s="53" t="n"/>
      <c r="DX188" s="53" t="n"/>
      <c r="DY188" s="53" t="n"/>
      <c r="DZ188" s="53" t="n"/>
      <c r="EA188" s="53" t="n"/>
      <c r="EB188" s="53" t="n"/>
      <c r="EC188" s="53" t="n"/>
      <c r="ED188" s="53" t="n"/>
      <c r="EE188" s="53" t="n"/>
      <c r="EF188" s="53" t="n"/>
      <c r="EG188" s="53" t="n"/>
      <c r="EH188" s="53" t="n"/>
      <c r="EI188" s="53" t="n"/>
      <c r="EJ188" s="53" t="n"/>
      <c r="EK188" s="53" t="n"/>
      <c r="EL188" s="53" t="n"/>
      <c r="EM188" s="53" t="n"/>
      <c r="EN188" s="53" t="n"/>
      <c r="EO188" s="53" t="n"/>
      <c r="EP188" s="53" t="n"/>
      <c r="EQ188" s="53" t="n"/>
      <c r="ER188" s="53" t="n"/>
      <c r="ES188" s="53" t="n"/>
      <c r="ET188" s="53" t="n"/>
      <c r="EU188" s="53" t="n"/>
      <c r="EV188" s="53" t="n"/>
      <c r="EW188" s="52" t="n"/>
      <c r="EX188" s="53" t="n"/>
      <c r="EY188" s="53" t="n"/>
      <c r="EZ188" s="53" t="n"/>
      <c r="FA188" s="53" t="n"/>
      <c r="FB188" s="53" t="n"/>
      <c r="FC188" s="53" t="n"/>
      <c r="FD188" s="53" t="n"/>
      <c r="FE188" s="55" t="inlineStr">
        <is>
          <t>KRAs not received · manager to supply</t>
        </is>
      </c>
      <c r="FF188" s="56" t="n"/>
      <c r="FG188" s="56" t="n"/>
      <c r="FH188" s="56" t="n"/>
      <c r="FI188" s="56" t="n"/>
      <c r="FJ188" s="32" t="inlineStr">
        <is>
          <t>KRAs not received · manager to supply</t>
        </is>
      </c>
      <c r="FK188" s="56" t="n"/>
      <c r="FL188" s="56" t="n">
        <v>19</v>
      </c>
      <c r="FM188" s="32" t="inlineStr">
        <is>
          <t>Full survey answers not in the files received · How We Grow export needed · HR</t>
        </is>
      </c>
      <c r="FN188" s="56" t="inlineStr">
        <is>
          <t>—</t>
        </is>
      </c>
      <c r="FO188" s="56" t="inlineStr">
        <is>
          <t>—</t>
        </is>
      </c>
      <c r="FP188" s="56" t="inlineStr">
        <is>
          <t>—</t>
        </is>
      </c>
      <c r="FQ188" s="56" t="inlineStr">
        <is>
          <t>—</t>
        </is>
      </c>
      <c r="FR188" s="56" t="inlineStr">
        <is>
          <t>Complexity: Evidence reads like A2: own survey / KRA answers · summarised by the rater; not quoted → matches the start
Autonomy: Evidence reads like A2: States 'routine decisions' only → matches the start
Accountability: Evidence reads like A2: Own admin support and vendor coordination; errors cause delays or extra cost → matches the start
Leadership: Evidence reads like A1: No guidance or leadership of others described → matches the start
Business Impact: No survey or manager-mapping signal on criticality: kept at the start point.</t>
        </is>
      </c>
      <c r="FS188" s="56" t="n"/>
      <c r="FT188" s="56" t="inlineStr">
        <is>
          <t>Self-identified: Data, SQL &amp; analytics
For the next role: Data, SQL &amp; analytics</t>
        </is>
      </c>
      <c r="FU188" s="32" t="inlineStr">
        <is>
          <t>Full survey answers not in the files received · How We Grow export needed · HR</t>
        </is>
      </c>
    </row>
    <row r="189" ht="90" customHeight="1">
      <c r="A189" s="51" t="inlineStr">
        <is>
          <t>◂ Back</t>
        </is>
      </c>
      <c r="B189" s="29" t="inlineStr">
        <is>
          <t>Mapped</t>
        </is>
      </c>
      <c r="C189" s="28" t="inlineStr">
        <is>
          <t>Corporate</t>
        </is>
      </c>
      <c r="D189" s="29" t="inlineStr">
        <is>
          <t>IRIS0020</t>
        </is>
      </c>
      <c r="E189" s="29" t="inlineStr">
        <is>
          <t>Mangesh Kosty</t>
        </is>
      </c>
      <c r="F189" s="29" t="inlineStr">
        <is>
          <t>Administration</t>
        </is>
      </c>
      <c r="G189" s="29" t="inlineStr">
        <is>
          <t>Executive Administration</t>
        </is>
      </c>
      <c r="H189" s="29" t="inlineStr">
        <is>
          <t>Senior Administration Executive</t>
        </is>
      </c>
      <c r="I189" s="29" t="inlineStr">
        <is>
          <t>Not in current mapping files</t>
        </is>
      </c>
      <c r="J189" s="29" t="inlineStr">
        <is>
          <t>A3</t>
        </is>
      </c>
      <c r="K189" s="29" t="inlineStr">
        <is>
          <t>● Newly mapped</t>
        </is>
      </c>
      <c r="L189" s="29" t="inlineStr">
        <is>
          <t>Administration, Legal &amp; Secretarial</t>
        </is>
      </c>
      <c r="M189" s="29" t="inlineStr">
        <is>
          <t>Administration &amp; Facilities</t>
        </is>
      </c>
      <c r="N189" s="29" t="inlineStr">
        <is>
          <t>• Survey response or KRAs describing the work · nothing on file — Employee + manager
• Correct the experience record — HR</t>
        </is>
      </c>
      <c r="O189" s="29" t="n">
        <v>0</v>
      </c>
      <c r="P189" s="28" t="inlineStr">
        <is>
          <t>P2</t>
        </is>
      </c>
      <c r="Q189" s="29" t="inlineStr">
        <is>
          <t>Developing</t>
        </is>
      </c>
      <c r="R189" s="29" t="inlineStr">
        <is>
          <t>3 Apply</t>
        </is>
      </c>
      <c r="S189" s="29" t="inlineStr">
        <is>
          <t>2–4 yrs</t>
        </is>
      </c>
      <c r="T189" s="29" t="inlineStr">
        <is>
          <t>3–5 · 2–5</t>
        </is>
      </c>
      <c r="U189" s="29" t="inlineStr">
        <is>
          <t>Admin / Secretarial Executive</t>
        </is>
      </c>
      <c r="V189" s="29" t="inlineStr">
        <is>
          <t>IRIS Vs Competitor Benchmark — corporate services ladder: Senior Executive</t>
        </is>
      </c>
      <c r="W189" s="29" t="inlineStr">
        <is>
          <t>ICSI · Company Secretary; Companies Act 2013; IFMA · facilities; CIPS · procurement</t>
        </is>
      </c>
      <c r="X189" s="29" t="inlineStr">
        <is>
          <t>Core 2 · Future 2 · Functional 3 · Leadership not scored</t>
        </is>
      </c>
      <c r="Y189" s="52" t="n">
        <v>10</v>
      </c>
      <c r="Z189" s="53" t="inlineStr">
        <is>
          <t>IRIS0020</t>
        </is>
      </c>
      <c r="AA189" s="53" t="inlineStr">
        <is>
          <t>Employee</t>
        </is>
      </c>
      <c r="AB189" s="53" t="inlineStr">
        <is>
          <t>Active</t>
        </is>
      </c>
      <c r="AC189" s="53" t="inlineStr">
        <is>
          <t>Mangesh Kosty</t>
        </is>
      </c>
      <c r="AD189" s="54" t="n">
        <v>38353</v>
      </c>
      <c r="AE189" s="53" t="inlineStr">
        <is>
          <t>Executive Administration</t>
        </is>
      </c>
      <c r="AF189" s="53" t="inlineStr">
        <is>
          <t>Undergraduate</t>
        </is>
      </c>
      <c r="AG189" s="53" t="inlineStr">
        <is>
          <t>Sujit Acharya</t>
        </is>
      </c>
      <c r="AH189" s="53" t="inlineStr">
        <is>
          <t>N-4</t>
        </is>
      </c>
      <c r="AI189" s="53" t="inlineStr">
        <is>
          <t>Individual Contributor</t>
        </is>
      </c>
      <c r="AJ189" s="53" t="inlineStr">
        <is>
          <t>0 years, 0 months, 0 days</t>
        </is>
      </c>
      <c r="AK189" s="53" t="inlineStr">
        <is>
          <t>21 years, 7 months, 24 days</t>
        </is>
      </c>
      <c r="AL189" s="53" t="inlineStr">
        <is>
          <t>Corporate</t>
        </is>
      </c>
      <c r="AM189" s="53" t="inlineStr">
        <is>
          <t>Corporate</t>
        </is>
      </c>
      <c r="AN189" s="53" t="inlineStr">
        <is>
          <t>Administration</t>
        </is>
      </c>
      <c r="AO189" s="53" t="inlineStr">
        <is>
          <t>Administration</t>
        </is>
      </c>
      <c r="AP189" s="53" t="inlineStr">
        <is>
          <t>No</t>
        </is>
      </c>
      <c r="AQ189" s="53" t="inlineStr">
        <is>
          <t>General &amp; Admin</t>
        </is>
      </c>
      <c r="AR189" s="53" t="inlineStr">
        <is>
          <t>Administration</t>
        </is>
      </c>
      <c r="AS189" s="53" t="inlineStr">
        <is>
          <t>Non-technical</t>
        </is>
      </c>
      <c r="AT189" s="53" t="n">
        <v>0</v>
      </c>
      <c r="AU189" s="53" t="inlineStr">
        <is>
          <t>E-Office Boy</t>
        </is>
      </c>
      <c r="AV189" s="53" t="n"/>
      <c r="AW189" s="53" t="n"/>
      <c r="AX189" s="53" t="n"/>
      <c r="AY189" s="53" t="n"/>
      <c r="AZ189" s="53" t="n"/>
      <c r="BA189" s="53" t="n"/>
      <c r="BB189" s="53" t="n"/>
      <c r="BC189" s="53" t="n"/>
      <c r="BD189" s="53" t="n"/>
      <c r="BE189" s="53" t="n"/>
      <c r="BF189" s="53" t="n"/>
      <c r="BG189" s="53" t="n"/>
      <c r="BH189" s="53" t="n"/>
      <c r="BI189" s="53" t="n"/>
      <c r="BJ189" s="53" t="n"/>
      <c r="BK189" s="53" t="n"/>
      <c r="BL189" s="53" t="n"/>
      <c r="BM189" s="53" t="n"/>
      <c r="BN189" s="53" t="n"/>
      <c r="BO189" s="53" t="n"/>
      <c r="BP189" s="53" t="n"/>
      <c r="BQ189" s="53" t="n"/>
      <c r="BR189" s="53" t="n"/>
      <c r="BS189" s="53" t="n"/>
      <c r="BT189" s="53" t="n"/>
      <c r="BU189" s="53" t="n"/>
      <c r="BV189" s="53" t="n"/>
      <c r="BW189" s="53" t="n"/>
      <c r="BX189" s="53" t="n"/>
      <c r="BY189" s="53" t="n"/>
      <c r="BZ189" s="53" t="n"/>
      <c r="CA189" s="53" t="n"/>
      <c r="CB189" s="53" t="n"/>
      <c r="CC189" s="53" t="n"/>
      <c r="CD189" s="53" t="n"/>
      <c r="CE189" s="53" t="n"/>
      <c r="CF189" s="53" t="n"/>
      <c r="CG189" s="53" t="n"/>
      <c r="CH189" s="53" t="n"/>
      <c r="CI189" s="53" t="n"/>
      <c r="CJ189" s="53" t="n"/>
      <c r="CK189" s="53" t="n"/>
      <c r="CL189" s="53" t="n"/>
      <c r="CM189" s="53" t="n"/>
      <c r="CN189" s="53" t="n"/>
      <c r="CO189" s="53" t="n"/>
      <c r="CP189" s="53" t="n"/>
      <c r="CQ189" s="53" t="n"/>
      <c r="CR189" s="53" t="n"/>
      <c r="CS189" s="53" t="n"/>
      <c r="CT189" s="53" t="n"/>
      <c r="CU189" s="53" t="n"/>
      <c r="CV189" s="53" t="n"/>
      <c r="CW189" s="53" t="n"/>
      <c r="CX189" s="53" t="n"/>
      <c r="CY189" s="53" t="n"/>
      <c r="CZ189" s="53" t="n"/>
      <c r="DA189" s="53" t="n"/>
      <c r="DB189" s="53" t="n"/>
      <c r="DC189" s="53" t="n"/>
      <c r="DD189" s="53" t="n"/>
      <c r="DE189" s="53" t="n"/>
      <c r="DF189" s="53" t="n"/>
      <c r="DG189" s="53" t="n"/>
      <c r="DH189" s="53" t="n"/>
      <c r="DI189" s="53" t="n"/>
      <c r="DJ189" s="53" t="n"/>
      <c r="DK189" s="53" t="n"/>
      <c r="DL189" s="53" t="n"/>
      <c r="DM189" s="53" t="n"/>
      <c r="DN189" s="53" t="n"/>
      <c r="DO189" s="53" t="n"/>
      <c r="DP189" s="53" t="n"/>
      <c r="DQ189" s="53" t="n"/>
      <c r="DR189" s="53" t="n"/>
      <c r="DS189" s="53" t="n"/>
      <c r="DT189" s="53" t="n"/>
      <c r="DU189" s="53" t="n"/>
      <c r="DV189" s="53" t="n"/>
      <c r="DW189" s="53" t="n"/>
      <c r="DX189" s="53" t="n"/>
      <c r="DY189" s="53" t="n"/>
      <c r="DZ189" s="53" t="n"/>
      <c r="EA189" s="53" t="n"/>
      <c r="EB189" s="53" t="n"/>
      <c r="EC189" s="53" t="n"/>
      <c r="ED189" s="53" t="n"/>
      <c r="EE189" s="53" t="n"/>
      <c r="EF189" s="53" t="n"/>
      <c r="EG189" s="53" t="n"/>
      <c r="EH189" s="53" t="n"/>
      <c r="EI189" s="53" t="n"/>
      <c r="EJ189" s="53" t="n"/>
      <c r="EK189" s="53" t="n"/>
      <c r="EL189" s="53" t="n"/>
      <c r="EM189" s="53" t="n"/>
      <c r="EN189" s="53" t="n"/>
      <c r="EO189" s="53" t="n"/>
      <c r="EP189" s="53" t="n"/>
      <c r="EQ189" s="53" t="n"/>
      <c r="ER189" s="53" t="n"/>
      <c r="ES189" s="53" t="n"/>
      <c r="ET189" s="53" t="n"/>
      <c r="EU189" s="53" t="n"/>
      <c r="EV189" s="53" t="n"/>
      <c r="EW189" s="52" t="n"/>
      <c r="EX189" s="53" t="n"/>
      <c r="EY189" s="53" t="n"/>
      <c r="EZ189" s="53" t="n"/>
      <c r="FA189" s="53" t="n"/>
      <c r="FB189" s="53" t="n"/>
      <c r="FC189" s="53" t="n"/>
      <c r="FD189" s="53" t="n"/>
      <c r="FE189" s="55" t="inlineStr">
        <is>
          <t>KRAs not received · manager to supply</t>
        </is>
      </c>
      <c r="FF189" s="56" t="n"/>
      <c r="FG189" s="56" t="n"/>
      <c r="FH189" s="56" t="n"/>
      <c r="FI189" s="56" t="n"/>
      <c r="FJ189" s="32" t="inlineStr">
        <is>
          <t>KRAs not received · manager to supply</t>
        </is>
      </c>
      <c r="FK189" s="56" t="n"/>
      <c r="FL189" s="56" t="n">
        <v>0</v>
      </c>
      <c r="FM189" s="32" t="inlineStr">
        <is>
          <t>No survey response on file</t>
        </is>
      </c>
      <c r="FN189" s="56" t="inlineStr">
        <is>
          <t>—</t>
        </is>
      </c>
      <c r="FO189" s="56" t="inlineStr">
        <is>
          <t>—</t>
        </is>
      </c>
      <c r="FP189" s="56" t="inlineStr">
        <is>
          <t>—</t>
        </is>
      </c>
      <c r="FQ189" s="56" t="inlineStr">
        <is>
          <t>—</t>
        </is>
      </c>
      <c r="FR189" s="56"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FS189" s="56" t="n"/>
      <c r="FT189" s="56" t="n"/>
      <c r="FU189" s="32" t="inlineStr">
        <is>
          <t>No survey response on file</t>
        </is>
      </c>
    </row>
    <row r="190" ht="90" customHeight="1">
      <c r="A190" s="51" t="inlineStr">
        <is>
          <t>◂ Back</t>
        </is>
      </c>
      <c r="B190" s="29" t="inlineStr">
        <is>
          <t>Mapped</t>
        </is>
      </c>
      <c r="C190" s="28" t="inlineStr">
        <is>
          <t>Corporate</t>
        </is>
      </c>
      <c r="D190" s="29" t="inlineStr">
        <is>
          <t>IRIS0021</t>
        </is>
      </c>
      <c r="E190" s="29" t="inlineStr">
        <is>
          <t>Rajesh Khurambe</t>
        </is>
      </c>
      <c r="F190" s="29" t="inlineStr">
        <is>
          <t>Administration</t>
        </is>
      </c>
      <c r="G190" s="29" t="inlineStr">
        <is>
          <t>Executive Administration</t>
        </is>
      </c>
      <c r="H190" s="29" t="inlineStr">
        <is>
          <t>Senior Administration Executive</t>
        </is>
      </c>
      <c r="I190" s="29" t="inlineStr">
        <is>
          <t>Not in current mapping files</t>
        </is>
      </c>
      <c r="J190" s="29" t="inlineStr">
        <is>
          <t>A3</t>
        </is>
      </c>
      <c r="K190" s="29" t="inlineStr">
        <is>
          <t>● Newly mapped</t>
        </is>
      </c>
      <c r="L190" s="29" t="inlineStr">
        <is>
          <t>Administration, Legal &amp; Secretarial</t>
        </is>
      </c>
      <c r="M190" s="29" t="inlineStr">
        <is>
          <t>Administration &amp; Facilities</t>
        </is>
      </c>
      <c r="N190" s="29" t="inlineStr">
        <is>
          <t>• Survey response or KRAs describing the work · nothing on file — Employee + manager
• Correct the experience record — HR</t>
        </is>
      </c>
      <c r="O190" s="29" t="n">
        <v>0</v>
      </c>
      <c r="P190" s="28" t="inlineStr">
        <is>
          <t>P2</t>
        </is>
      </c>
      <c r="Q190" s="29" t="inlineStr">
        <is>
          <t>Developing</t>
        </is>
      </c>
      <c r="R190" s="29" t="inlineStr">
        <is>
          <t>3 Apply</t>
        </is>
      </c>
      <c r="S190" s="29" t="inlineStr">
        <is>
          <t>2–4 yrs</t>
        </is>
      </c>
      <c r="T190" s="29" t="inlineStr">
        <is>
          <t>3–5 · 2–5</t>
        </is>
      </c>
      <c r="U190" s="29" t="inlineStr">
        <is>
          <t>Admin / Secretarial Executive</t>
        </is>
      </c>
      <c r="V190" s="29" t="inlineStr">
        <is>
          <t>IRIS Vs Competitor Benchmark — corporate services ladder: Senior Executive</t>
        </is>
      </c>
      <c r="W190" s="29" t="inlineStr">
        <is>
          <t>ICSI · Company Secretary; Companies Act 2013; IFMA · facilities; CIPS · procurement</t>
        </is>
      </c>
      <c r="X190" s="29" t="inlineStr">
        <is>
          <t>Core 2 · Future 2 · Functional 3 · Leadership not scored</t>
        </is>
      </c>
      <c r="Y190" s="52" t="n">
        <v>11</v>
      </c>
      <c r="Z190" s="53" t="inlineStr">
        <is>
          <t>IRIS0021</t>
        </is>
      </c>
      <c r="AA190" s="53" t="inlineStr">
        <is>
          <t>Employee</t>
        </is>
      </c>
      <c r="AB190" s="53" t="inlineStr">
        <is>
          <t>Active</t>
        </is>
      </c>
      <c r="AC190" s="53" t="inlineStr">
        <is>
          <t>Rajesh Khurambe</t>
        </is>
      </c>
      <c r="AD190" s="54" t="n">
        <v>38353</v>
      </c>
      <c r="AE190" s="53" t="inlineStr">
        <is>
          <t>Executive Administration</t>
        </is>
      </c>
      <c r="AF190" s="53" t="inlineStr">
        <is>
          <t>Undergraduate</t>
        </is>
      </c>
      <c r="AG190" s="53" t="inlineStr">
        <is>
          <t>Sujit Acharya</t>
        </is>
      </c>
      <c r="AH190" s="53" t="inlineStr">
        <is>
          <t>N-4</t>
        </is>
      </c>
      <c r="AI190" s="53" t="inlineStr">
        <is>
          <t>Individual Contributor</t>
        </is>
      </c>
      <c r="AJ190" s="53" t="inlineStr">
        <is>
          <t>0 years, 0 months, 0 days</t>
        </is>
      </c>
      <c r="AK190" s="53" t="inlineStr">
        <is>
          <t>21 years, 7 months, 24 days</t>
        </is>
      </c>
      <c r="AL190" s="53" t="inlineStr">
        <is>
          <t>Corporate</t>
        </is>
      </c>
      <c r="AM190" s="53" t="inlineStr">
        <is>
          <t>Corporate</t>
        </is>
      </c>
      <c r="AN190" s="53" t="inlineStr">
        <is>
          <t>Administration</t>
        </is>
      </c>
      <c r="AO190" s="53" t="inlineStr">
        <is>
          <t>Administration</t>
        </is>
      </c>
      <c r="AP190" s="53" t="inlineStr">
        <is>
          <t>No</t>
        </is>
      </c>
      <c r="AQ190" s="53" t="inlineStr">
        <is>
          <t>General &amp; Admin</t>
        </is>
      </c>
      <c r="AR190" s="53" t="inlineStr">
        <is>
          <t>Administration</t>
        </is>
      </c>
      <c r="AS190" s="53" t="inlineStr">
        <is>
          <t>Non-technical</t>
        </is>
      </c>
      <c r="AT190" s="53" t="n">
        <v>0</v>
      </c>
      <c r="AU190" s="53" t="inlineStr">
        <is>
          <t>E-Office Boy</t>
        </is>
      </c>
      <c r="AV190" s="53" t="n"/>
      <c r="AW190" s="53" t="n"/>
      <c r="AX190" s="53" t="n"/>
      <c r="AY190" s="53" t="n"/>
      <c r="AZ190" s="53" t="n"/>
      <c r="BA190" s="53" t="n"/>
      <c r="BB190" s="53" t="n"/>
      <c r="BC190" s="53" t="n"/>
      <c r="BD190" s="53" t="n"/>
      <c r="BE190" s="53" t="n"/>
      <c r="BF190" s="53" t="n"/>
      <c r="BG190" s="53" t="n"/>
      <c r="BH190" s="53" t="n"/>
      <c r="BI190" s="53" t="n"/>
      <c r="BJ190" s="53" t="n"/>
      <c r="BK190" s="53" t="n"/>
      <c r="BL190" s="53" t="n"/>
      <c r="BM190" s="53" t="n"/>
      <c r="BN190" s="53" t="n"/>
      <c r="BO190" s="53" t="n"/>
      <c r="BP190" s="53" t="n"/>
      <c r="BQ190" s="53" t="n"/>
      <c r="BR190" s="53" t="n"/>
      <c r="BS190" s="53" t="n"/>
      <c r="BT190" s="53" t="n"/>
      <c r="BU190" s="53" t="n"/>
      <c r="BV190" s="53" t="n"/>
      <c r="BW190" s="53" t="n"/>
      <c r="BX190" s="53" t="n"/>
      <c r="BY190" s="53" t="n"/>
      <c r="BZ190" s="53" t="n"/>
      <c r="CA190" s="53" t="n"/>
      <c r="CB190" s="53" t="n"/>
      <c r="CC190" s="53" t="n"/>
      <c r="CD190" s="53" t="n"/>
      <c r="CE190" s="53" t="n"/>
      <c r="CF190" s="53" t="n"/>
      <c r="CG190" s="53" t="n"/>
      <c r="CH190" s="53" t="n"/>
      <c r="CI190" s="53" t="n"/>
      <c r="CJ190" s="53" t="n"/>
      <c r="CK190" s="53" t="n"/>
      <c r="CL190" s="53" t="n"/>
      <c r="CM190" s="53" t="n"/>
      <c r="CN190" s="53" t="n"/>
      <c r="CO190" s="53" t="n"/>
      <c r="CP190" s="53" t="n"/>
      <c r="CQ190" s="53" t="n"/>
      <c r="CR190" s="53" t="n"/>
      <c r="CS190" s="53" t="n"/>
      <c r="CT190" s="53" t="n"/>
      <c r="CU190" s="53" t="n"/>
      <c r="CV190" s="53" t="n"/>
      <c r="CW190" s="53" t="n"/>
      <c r="CX190" s="53" t="n"/>
      <c r="CY190" s="53" t="n"/>
      <c r="CZ190" s="53" t="n"/>
      <c r="DA190" s="53" t="n"/>
      <c r="DB190" s="53" t="n"/>
      <c r="DC190" s="53" t="n"/>
      <c r="DD190" s="53" t="n"/>
      <c r="DE190" s="53" t="n"/>
      <c r="DF190" s="53" t="n"/>
      <c r="DG190" s="53" t="n"/>
      <c r="DH190" s="53" t="n"/>
      <c r="DI190" s="53" t="n"/>
      <c r="DJ190" s="53" t="n"/>
      <c r="DK190" s="53" t="n"/>
      <c r="DL190" s="53" t="n"/>
      <c r="DM190" s="53" t="n"/>
      <c r="DN190" s="53" t="n"/>
      <c r="DO190" s="53" t="n"/>
      <c r="DP190" s="53" t="n"/>
      <c r="DQ190" s="53" t="n"/>
      <c r="DR190" s="53" t="n"/>
      <c r="DS190" s="53" t="n"/>
      <c r="DT190" s="53" t="n"/>
      <c r="DU190" s="53" t="n"/>
      <c r="DV190" s="53" t="n"/>
      <c r="DW190" s="53" t="n"/>
      <c r="DX190" s="53" t="n"/>
      <c r="DY190" s="53" t="n"/>
      <c r="DZ190" s="53" t="n"/>
      <c r="EA190" s="53" t="n"/>
      <c r="EB190" s="53" t="n"/>
      <c r="EC190" s="53" t="n"/>
      <c r="ED190" s="53" t="n"/>
      <c r="EE190" s="53" t="n"/>
      <c r="EF190" s="53" t="n"/>
      <c r="EG190" s="53" t="n"/>
      <c r="EH190" s="53" t="n"/>
      <c r="EI190" s="53" t="n"/>
      <c r="EJ190" s="53" t="n"/>
      <c r="EK190" s="53" t="n"/>
      <c r="EL190" s="53" t="n"/>
      <c r="EM190" s="53" t="n"/>
      <c r="EN190" s="53" t="n"/>
      <c r="EO190" s="53" t="n"/>
      <c r="EP190" s="53" t="n"/>
      <c r="EQ190" s="53" t="n"/>
      <c r="ER190" s="53" t="n"/>
      <c r="ES190" s="53" t="n"/>
      <c r="ET190" s="53" t="n"/>
      <c r="EU190" s="53" t="n"/>
      <c r="EV190" s="53" t="n"/>
      <c r="EW190" s="52" t="n"/>
      <c r="EX190" s="53" t="n"/>
      <c r="EY190" s="53" t="n"/>
      <c r="EZ190" s="53" t="n"/>
      <c r="FA190" s="53" t="n"/>
      <c r="FB190" s="53" t="n"/>
      <c r="FC190" s="53" t="n"/>
      <c r="FD190" s="53" t="n"/>
      <c r="FE190" s="55" t="inlineStr">
        <is>
          <t>KRAs not received · manager to supply</t>
        </is>
      </c>
      <c r="FF190" s="56" t="n"/>
      <c r="FG190" s="56" t="n"/>
      <c r="FH190" s="56" t="n"/>
      <c r="FI190" s="56" t="n"/>
      <c r="FJ190" s="32" t="inlineStr">
        <is>
          <t>KRAs not received · manager to supply</t>
        </is>
      </c>
      <c r="FK190" s="56" t="n"/>
      <c r="FL190" s="56" t="n">
        <v>0</v>
      </c>
      <c r="FM190" s="32" t="inlineStr">
        <is>
          <t>No survey response on file</t>
        </is>
      </c>
      <c r="FN190" s="56" t="inlineStr">
        <is>
          <t>—</t>
        </is>
      </c>
      <c r="FO190" s="56" t="inlineStr">
        <is>
          <t>—</t>
        </is>
      </c>
      <c r="FP190" s="56" t="inlineStr">
        <is>
          <t>—</t>
        </is>
      </c>
      <c r="FQ190" s="56" t="inlineStr">
        <is>
          <t>—</t>
        </is>
      </c>
      <c r="FR190" s="56"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FS190" s="56" t="n"/>
      <c r="FT190" s="56" t="n"/>
      <c r="FU190" s="32" t="inlineStr">
        <is>
          <t>No survey response on file</t>
        </is>
      </c>
    </row>
    <row r="191" ht="90" customHeight="1">
      <c r="A191" s="51" t="inlineStr">
        <is>
          <t>◂ Back</t>
        </is>
      </c>
      <c r="B191" s="29" t="inlineStr">
        <is>
          <t>Mapped</t>
        </is>
      </c>
      <c r="C191" s="28" t="inlineStr">
        <is>
          <t>Corporate</t>
        </is>
      </c>
      <c r="D191" s="29" t="inlineStr">
        <is>
          <t>IRIS1008</t>
        </is>
      </c>
      <c r="E191" s="29" t="inlineStr">
        <is>
          <t>Sunil Pawar</t>
        </is>
      </c>
      <c r="F191" s="29" t="inlineStr">
        <is>
          <t>Administration</t>
        </is>
      </c>
      <c r="G191" s="29" t="inlineStr">
        <is>
          <t>Executive Administration</t>
        </is>
      </c>
      <c r="H191" s="29" t="inlineStr">
        <is>
          <t>Senior Administration Executive</t>
        </is>
      </c>
      <c r="I191" s="29" t="inlineStr">
        <is>
          <t>Not in current mapping files</t>
        </is>
      </c>
      <c r="J191" s="29" t="inlineStr">
        <is>
          <t>A3</t>
        </is>
      </c>
      <c r="K191" s="29" t="inlineStr">
        <is>
          <t>● Newly mapped</t>
        </is>
      </c>
      <c r="L191" s="29" t="inlineStr">
        <is>
          <t>Administration, Legal &amp; Secretarial</t>
        </is>
      </c>
      <c r="M191" s="29" t="inlineStr">
        <is>
          <t>Administration &amp; Facilities</t>
        </is>
      </c>
      <c r="N191" s="29" t="inlineStr">
        <is>
          <t>• Survey response or KRAs describing the work · nothing on file — Employee + manager
• Correct the experience record — HR</t>
        </is>
      </c>
      <c r="O191" s="29" t="n">
        <v>0</v>
      </c>
      <c r="P191" s="28" t="inlineStr">
        <is>
          <t>P2</t>
        </is>
      </c>
      <c r="Q191" s="29" t="inlineStr">
        <is>
          <t>Developing</t>
        </is>
      </c>
      <c r="R191" s="29" t="inlineStr">
        <is>
          <t>3 Apply</t>
        </is>
      </c>
      <c r="S191" s="29" t="inlineStr">
        <is>
          <t>2–4 yrs</t>
        </is>
      </c>
      <c r="T191" s="29" t="inlineStr">
        <is>
          <t>3–5 · 2–5</t>
        </is>
      </c>
      <c r="U191" s="29" t="inlineStr">
        <is>
          <t>Admin / Secretarial Executive</t>
        </is>
      </c>
      <c r="V191" s="29" t="inlineStr">
        <is>
          <t>IRIS Vs Competitor Benchmark — corporate services ladder: Senior Executive</t>
        </is>
      </c>
      <c r="W191" s="29" t="inlineStr">
        <is>
          <t>ICSI · Company Secretary; Companies Act 2013; IFMA · facilities; CIPS · procurement</t>
        </is>
      </c>
      <c r="X191" s="29" t="inlineStr">
        <is>
          <t>Core 2 · Future 2 · Functional 3 · Leadership not scored</t>
        </is>
      </c>
      <c r="Y191" s="52" t="n">
        <v>104</v>
      </c>
      <c r="Z191" s="53" t="inlineStr">
        <is>
          <t>IRIS1008</t>
        </is>
      </c>
      <c r="AA191" s="53" t="inlineStr">
        <is>
          <t>Employee</t>
        </is>
      </c>
      <c r="AB191" s="53" t="inlineStr">
        <is>
          <t>Active</t>
        </is>
      </c>
      <c r="AC191" s="53" t="inlineStr">
        <is>
          <t>Sunil Pawar</t>
        </is>
      </c>
      <c r="AD191" s="54" t="n">
        <v>40854</v>
      </c>
      <c r="AE191" s="53" t="inlineStr">
        <is>
          <t>Executive Administration</t>
        </is>
      </c>
      <c r="AF191" s="53" t="inlineStr">
        <is>
          <t>Undergraduate</t>
        </is>
      </c>
      <c r="AG191" s="53" t="inlineStr">
        <is>
          <t>Sujit Acharya</t>
        </is>
      </c>
      <c r="AH191" s="53" t="inlineStr">
        <is>
          <t>N-4</t>
        </is>
      </c>
      <c r="AI191" s="53" t="inlineStr">
        <is>
          <t>Individual Contributor</t>
        </is>
      </c>
      <c r="AJ191" s="53" t="inlineStr">
        <is>
          <t>0 years, 0 months, 0 days</t>
        </is>
      </c>
      <c r="AK191" s="53" t="inlineStr">
        <is>
          <t>14 years, 9 months, 18 days</t>
        </is>
      </c>
      <c r="AL191" s="53" t="inlineStr">
        <is>
          <t>Corporate</t>
        </is>
      </c>
      <c r="AM191" s="53" t="inlineStr">
        <is>
          <t>Corporate</t>
        </is>
      </c>
      <c r="AN191" s="53" t="inlineStr">
        <is>
          <t>Administration</t>
        </is>
      </c>
      <c r="AO191" s="53" t="inlineStr">
        <is>
          <t>Administration</t>
        </is>
      </c>
      <c r="AP191" s="53" t="inlineStr">
        <is>
          <t>No</t>
        </is>
      </c>
      <c r="AQ191" s="53" t="inlineStr">
        <is>
          <t>General &amp; Admin</t>
        </is>
      </c>
      <c r="AR191" s="53" t="inlineStr">
        <is>
          <t>Administration</t>
        </is>
      </c>
      <c r="AS191" s="53" t="inlineStr">
        <is>
          <t>Non-technical</t>
        </is>
      </c>
      <c r="AT191" s="53" t="n">
        <v>0</v>
      </c>
      <c r="AU191" s="53" t="inlineStr">
        <is>
          <t>E-Office Boy</t>
        </is>
      </c>
      <c r="AV191" s="53" t="n"/>
      <c r="AW191" s="53" t="n"/>
      <c r="AX191" s="53" t="n"/>
      <c r="AY191" s="53" t="n"/>
      <c r="AZ191" s="53" t="n"/>
      <c r="BA191" s="53" t="n"/>
      <c r="BB191" s="53" t="n"/>
      <c r="BC191" s="53" t="n"/>
      <c r="BD191" s="53" t="n"/>
      <c r="BE191" s="53" t="n"/>
      <c r="BF191" s="53" t="n"/>
      <c r="BG191" s="53" t="n"/>
      <c r="BH191" s="53" t="n"/>
      <c r="BI191" s="53" t="n"/>
      <c r="BJ191" s="53" t="n"/>
      <c r="BK191" s="53" t="n"/>
      <c r="BL191" s="53" t="n"/>
      <c r="BM191" s="53" t="n"/>
      <c r="BN191" s="53" t="n"/>
      <c r="BO191" s="53" t="n"/>
      <c r="BP191" s="53" t="n"/>
      <c r="BQ191" s="53" t="n"/>
      <c r="BR191" s="53" t="n"/>
      <c r="BS191" s="53" t="n"/>
      <c r="BT191" s="53" t="n"/>
      <c r="BU191" s="53" t="n"/>
      <c r="BV191" s="53" t="n"/>
      <c r="BW191" s="53" t="n"/>
      <c r="BX191" s="53" t="n"/>
      <c r="BY191" s="53" t="n"/>
      <c r="BZ191" s="53" t="n"/>
      <c r="CA191" s="53" t="n"/>
      <c r="CB191" s="53" t="n"/>
      <c r="CC191" s="53" t="n"/>
      <c r="CD191" s="53" t="n"/>
      <c r="CE191" s="53" t="n"/>
      <c r="CF191" s="53" t="n"/>
      <c r="CG191" s="53" t="n"/>
      <c r="CH191" s="53" t="n"/>
      <c r="CI191" s="53" t="n"/>
      <c r="CJ191" s="53" t="n"/>
      <c r="CK191" s="53" t="n"/>
      <c r="CL191" s="53" t="n"/>
      <c r="CM191" s="53" t="n"/>
      <c r="CN191" s="53" t="n"/>
      <c r="CO191" s="53" t="n"/>
      <c r="CP191" s="53" t="n"/>
      <c r="CQ191" s="53" t="n"/>
      <c r="CR191" s="53" t="n"/>
      <c r="CS191" s="53" t="n"/>
      <c r="CT191" s="53" t="n"/>
      <c r="CU191" s="53" t="n"/>
      <c r="CV191" s="53" t="n"/>
      <c r="CW191" s="53" t="n"/>
      <c r="CX191" s="53" t="n"/>
      <c r="CY191" s="53" t="n"/>
      <c r="CZ191" s="53" t="n"/>
      <c r="DA191" s="53" t="n"/>
      <c r="DB191" s="53" t="n"/>
      <c r="DC191" s="53" t="n"/>
      <c r="DD191" s="53" t="n"/>
      <c r="DE191" s="53" t="n"/>
      <c r="DF191" s="53" t="n"/>
      <c r="DG191" s="53" t="n"/>
      <c r="DH191" s="53" t="n"/>
      <c r="DI191" s="53" t="n"/>
      <c r="DJ191" s="53" t="n"/>
      <c r="DK191" s="53" t="n"/>
      <c r="DL191" s="53" t="n"/>
      <c r="DM191" s="53" t="n"/>
      <c r="DN191" s="53" t="n"/>
      <c r="DO191" s="53" t="n"/>
      <c r="DP191" s="53" t="n"/>
      <c r="DQ191" s="53" t="n"/>
      <c r="DR191" s="53" t="n"/>
      <c r="DS191" s="53" t="n"/>
      <c r="DT191" s="53" t="n"/>
      <c r="DU191" s="53" t="n"/>
      <c r="DV191" s="53" t="n"/>
      <c r="DW191" s="53" t="n"/>
      <c r="DX191" s="53" t="n"/>
      <c r="DY191" s="53" t="n"/>
      <c r="DZ191" s="53" t="n"/>
      <c r="EA191" s="53" t="n"/>
      <c r="EB191" s="53" t="n"/>
      <c r="EC191" s="53" t="n"/>
      <c r="ED191" s="53" t="n"/>
      <c r="EE191" s="53" t="n"/>
      <c r="EF191" s="53" t="n"/>
      <c r="EG191" s="53" t="n"/>
      <c r="EH191" s="53" t="n"/>
      <c r="EI191" s="53" t="n"/>
      <c r="EJ191" s="53" t="n"/>
      <c r="EK191" s="53" t="n"/>
      <c r="EL191" s="53" t="n"/>
      <c r="EM191" s="53" t="n"/>
      <c r="EN191" s="53" t="n"/>
      <c r="EO191" s="53" t="n"/>
      <c r="EP191" s="53" t="n"/>
      <c r="EQ191" s="53" t="n"/>
      <c r="ER191" s="53" t="n"/>
      <c r="ES191" s="53" t="n"/>
      <c r="ET191" s="53" t="n"/>
      <c r="EU191" s="53" t="n"/>
      <c r="EV191" s="53" t="n"/>
      <c r="EW191" s="52" t="n"/>
      <c r="EX191" s="53" t="n"/>
      <c r="EY191" s="53" t="n"/>
      <c r="EZ191" s="53" t="n"/>
      <c r="FA191" s="53" t="n"/>
      <c r="FB191" s="53" t="n"/>
      <c r="FC191" s="53" t="n"/>
      <c r="FD191" s="53" t="n"/>
      <c r="FE191" s="55" t="inlineStr">
        <is>
          <t>KRAs not received · manager to supply</t>
        </is>
      </c>
      <c r="FF191" s="56" t="n"/>
      <c r="FG191" s="56" t="n"/>
      <c r="FH191" s="56" t="n"/>
      <c r="FI191" s="56" t="n"/>
      <c r="FJ191" s="32" t="inlineStr">
        <is>
          <t>KRAs not received · manager to supply</t>
        </is>
      </c>
      <c r="FK191" s="56" t="n"/>
      <c r="FL191" s="56" t="n">
        <v>0</v>
      </c>
      <c r="FM191" s="32" t="inlineStr">
        <is>
          <t>No survey response on file</t>
        </is>
      </c>
      <c r="FN191" s="56" t="inlineStr">
        <is>
          <t>—</t>
        </is>
      </c>
      <c r="FO191" s="56" t="inlineStr">
        <is>
          <t>—</t>
        </is>
      </c>
      <c r="FP191" s="56" t="inlineStr">
        <is>
          <t>—</t>
        </is>
      </c>
      <c r="FQ191" s="56" t="inlineStr">
        <is>
          <t>—</t>
        </is>
      </c>
      <c r="FR191" s="56"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FS191" s="56" t="n"/>
      <c r="FT191" s="56" t="n"/>
      <c r="FU191" s="32" t="inlineStr">
        <is>
          <t>No survey response on file</t>
        </is>
      </c>
    </row>
    <row r="192" ht="90" customHeight="1">
      <c r="A192" s="51" t="inlineStr">
        <is>
          <t>◂ Back</t>
        </is>
      </c>
      <c r="B192" s="29" t="inlineStr">
        <is>
          <t>Mapped</t>
        </is>
      </c>
      <c r="C192" s="28" t="inlineStr">
        <is>
          <t>Corporate</t>
        </is>
      </c>
      <c r="D192" s="29" t="inlineStr">
        <is>
          <t>IRISC291</t>
        </is>
      </c>
      <c r="E192" s="29" t="inlineStr">
        <is>
          <t>Ganesh Prabhakar Amrutsagar</t>
        </is>
      </c>
      <c r="F192" s="29" t="inlineStr">
        <is>
          <t>Administration</t>
        </is>
      </c>
      <c r="G192" s="29" t="inlineStr">
        <is>
          <t>Consultant</t>
        </is>
      </c>
      <c r="H192" s="29" t="inlineStr">
        <is>
          <t>Associate Consultant – Administration &amp; Facilities</t>
        </is>
      </c>
      <c r="I192" s="29" t="inlineStr">
        <is>
          <t>—</t>
        </is>
      </c>
      <c r="J192" s="29" t="inlineStr">
        <is>
          <t>X1</t>
        </is>
      </c>
      <c r="K192" s="29" t="inlineStr">
        <is>
          <t>• Same level</t>
        </is>
      </c>
      <c r="L192" s="29" t="inlineStr">
        <is>
          <t>Administration, Legal &amp; Secretarial</t>
        </is>
      </c>
      <c r="M192" s="29" t="inlineStr">
        <is>
          <t>Administration &amp; Facilities</t>
        </is>
      </c>
      <c r="N192" s="29" t="n"/>
      <c r="O192" s="29" t="n">
        <v>0</v>
      </c>
      <c r="P192" s="28" t="inlineStr">
        <is>
          <t>Contractor</t>
        </is>
      </c>
      <c r="Q192" s="29" t="inlineStr">
        <is>
          <t>—</t>
        </is>
      </c>
      <c r="R192" s="29" t="inlineStr">
        <is>
          <t>—</t>
        </is>
      </c>
      <c r="S192" s="29" t="inlineStr">
        <is>
          <t>0–5 yrs</t>
        </is>
      </c>
      <c r="T192" s="29" t="inlineStr">
        <is>
          <t>—</t>
        </is>
      </c>
      <c r="U192" s="29" t="inlineStr">
        <is>
          <t>Contractor · rate card</t>
        </is>
      </c>
      <c r="V192" s="29" t="inlineStr">
        <is>
          <t>—</t>
        </is>
      </c>
      <c r="W192" s="29" t="inlineStr">
        <is>
          <t>ICSI · Company Secretary; Companies Act 2013; IFMA · facilities; CIPS · procurement</t>
        </is>
      </c>
      <c r="X192" s="29" t="inlineStr">
        <is>
          <t>Per statement of work</t>
        </is>
      </c>
      <c r="Y192" s="52" t="n">
        <v>305</v>
      </c>
      <c r="Z192" s="53" t="inlineStr">
        <is>
          <t>IRISC291</t>
        </is>
      </c>
      <c r="AA192" s="53" t="inlineStr">
        <is>
          <t>Full Time Consultant</t>
        </is>
      </c>
      <c r="AB192" s="53" t="inlineStr">
        <is>
          <t>Active</t>
        </is>
      </c>
      <c r="AC192" s="53" t="inlineStr">
        <is>
          <t>Ganesh Prabhakar Amrutsagar</t>
        </is>
      </c>
      <c r="AD192" s="54" t="n">
        <v>45327</v>
      </c>
      <c r="AE192" s="53" t="inlineStr">
        <is>
          <t>Consultant</t>
        </is>
      </c>
      <c r="AF192" s="53" t="inlineStr">
        <is>
          <t>Undergraduate</t>
        </is>
      </c>
      <c r="AG192" s="53" t="inlineStr">
        <is>
          <t>Sujit Acharya</t>
        </is>
      </c>
      <c r="AH192" s="53" t="inlineStr">
        <is>
          <t>N-4</t>
        </is>
      </c>
      <c r="AI192" s="53" t="inlineStr">
        <is>
          <t>Individual Contributor</t>
        </is>
      </c>
      <c r="AJ192" s="53" t="inlineStr">
        <is>
          <t>0 years, 0 months, 0 days</t>
        </is>
      </c>
      <c r="AK192" s="53" t="inlineStr">
        <is>
          <t>2 years, 6 months, 20 days</t>
        </is>
      </c>
      <c r="AL192" s="53" t="inlineStr">
        <is>
          <t>Corporate</t>
        </is>
      </c>
      <c r="AM192" s="53" t="inlineStr">
        <is>
          <t>Corporate</t>
        </is>
      </c>
      <c r="AN192" s="53" t="inlineStr">
        <is>
          <t>Administration</t>
        </is>
      </c>
      <c r="AO192" s="53" t="inlineStr">
        <is>
          <t>Administration</t>
        </is>
      </c>
      <c r="AP192" s="53" t="inlineStr">
        <is>
          <t>No</t>
        </is>
      </c>
      <c r="AQ192" s="53" t="inlineStr">
        <is>
          <t>General &amp; Admin</t>
        </is>
      </c>
      <c r="AR192" s="53" t="inlineStr">
        <is>
          <t>Administration</t>
        </is>
      </c>
      <c r="AS192" s="53" t="inlineStr">
        <is>
          <t>Non-technical</t>
        </is>
      </c>
      <c r="AT192" s="53" t="n">
        <v>0</v>
      </c>
      <c r="AU192" s="53" t="inlineStr">
        <is>
          <t>E-Office Boy</t>
        </is>
      </c>
      <c r="AV192" s="53" t="n"/>
      <c r="AW192" s="53" t="n"/>
      <c r="AX192" s="53" t="n"/>
      <c r="AY192" s="53" t="n"/>
      <c r="AZ192" s="53" t="n"/>
      <c r="BA192" s="53" t="n"/>
      <c r="BB192" s="53" t="n"/>
      <c r="BC192" s="53" t="n"/>
      <c r="BD192" s="53" t="n"/>
      <c r="BE192" s="53" t="n"/>
      <c r="BF192" s="53" t="n"/>
      <c r="BG192" s="53" t="n"/>
      <c r="BH192" s="53" t="n"/>
      <c r="BI192" s="53" t="n"/>
      <c r="BJ192" s="53" t="n"/>
      <c r="BK192" s="53" t="n"/>
      <c r="BL192" s="53" t="n"/>
      <c r="BM192" s="53" t="n"/>
      <c r="BN192" s="53" t="n"/>
      <c r="BO192" s="53" t="n"/>
      <c r="BP192" s="53" t="n"/>
      <c r="BQ192" s="53" t="n"/>
      <c r="BR192" s="53" t="n"/>
      <c r="BS192" s="53" t="n"/>
      <c r="BT192" s="53" t="n"/>
      <c r="BU192" s="53" t="n"/>
      <c r="BV192" s="53" t="n"/>
      <c r="BW192" s="53" t="n"/>
      <c r="BX192" s="53" t="n"/>
      <c r="BY192" s="53" t="n"/>
      <c r="BZ192" s="53" t="n"/>
      <c r="CA192" s="53" t="n"/>
      <c r="CB192" s="53" t="n"/>
      <c r="CC192" s="53" t="n"/>
      <c r="CD192" s="53" t="n"/>
      <c r="CE192" s="53" t="n"/>
      <c r="CF192" s="53" t="n"/>
      <c r="CG192" s="53" t="n"/>
      <c r="CH192" s="53" t="n"/>
      <c r="CI192" s="53" t="n"/>
      <c r="CJ192" s="53" t="n"/>
      <c r="CK192" s="53" t="n"/>
      <c r="CL192" s="53" t="n"/>
      <c r="CM192" s="53" t="n"/>
      <c r="CN192" s="53" t="n"/>
      <c r="CO192" s="53" t="n"/>
      <c r="CP192" s="53" t="n"/>
      <c r="CQ192" s="53" t="n"/>
      <c r="CR192" s="53" t="n"/>
      <c r="CS192" s="53" t="n"/>
      <c r="CT192" s="53" t="n"/>
      <c r="CU192" s="53" t="n"/>
      <c r="CV192" s="53" t="n"/>
      <c r="CW192" s="53" t="n"/>
      <c r="CX192" s="53" t="n"/>
      <c r="CY192" s="53" t="n"/>
      <c r="CZ192" s="53" t="n"/>
      <c r="DA192" s="53" t="n"/>
      <c r="DB192" s="53" t="n"/>
      <c r="DC192" s="53" t="n"/>
      <c r="DD192" s="53" t="n"/>
      <c r="DE192" s="53" t="n"/>
      <c r="DF192" s="53" t="n"/>
      <c r="DG192" s="53" t="n"/>
      <c r="DH192" s="53" t="n"/>
      <c r="DI192" s="53" t="n"/>
      <c r="DJ192" s="53" t="n"/>
      <c r="DK192" s="53" t="n"/>
      <c r="DL192" s="53" t="n"/>
      <c r="DM192" s="53" t="n"/>
      <c r="DN192" s="53" t="n"/>
      <c r="DO192" s="53" t="n"/>
      <c r="DP192" s="53" t="n"/>
      <c r="DQ192" s="53" t="n"/>
      <c r="DR192" s="53" t="n"/>
      <c r="DS192" s="53" t="n"/>
      <c r="DT192" s="53" t="n"/>
      <c r="DU192" s="53" t="n"/>
      <c r="DV192" s="53" t="n"/>
      <c r="DW192" s="53" t="n"/>
      <c r="DX192" s="53" t="n"/>
      <c r="DY192" s="53" t="n"/>
      <c r="DZ192" s="53" t="n"/>
      <c r="EA192" s="53" t="n"/>
      <c r="EB192" s="53" t="n"/>
      <c r="EC192" s="53" t="n"/>
      <c r="ED192" s="53" t="n"/>
      <c r="EE192" s="53" t="n"/>
      <c r="EF192" s="53" t="n"/>
      <c r="EG192" s="53" t="n"/>
      <c r="EH192" s="53" t="n"/>
      <c r="EI192" s="53" t="n"/>
      <c r="EJ192" s="53" t="n"/>
      <c r="EK192" s="53" t="n"/>
      <c r="EL192" s="53" t="n"/>
      <c r="EM192" s="53" t="n"/>
      <c r="EN192" s="53" t="n"/>
      <c r="EO192" s="53" t="n"/>
      <c r="EP192" s="53" t="n"/>
      <c r="EQ192" s="53" t="n"/>
      <c r="ER192" s="53" t="n"/>
      <c r="ES192" s="53" t="n"/>
      <c r="ET192" s="53" t="n"/>
      <c r="EU192" s="53" t="n"/>
      <c r="EV192" s="53" t="n"/>
      <c r="EW192" s="52" t="n"/>
      <c r="EX192" s="53" t="n"/>
      <c r="EY192" s="53" t="n"/>
      <c r="EZ192" s="53" t="n"/>
      <c r="FA192" s="53" t="n"/>
      <c r="FB192" s="53" t="n"/>
      <c r="FC192" s="53" t="n"/>
      <c r="FD192" s="53" t="n"/>
      <c r="FE192" s="55" t="inlineStr">
        <is>
          <t>KRAs not received · manager to supply</t>
        </is>
      </c>
      <c r="FF192" s="56" t="n"/>
      <c r="FG192" s="56" t="n"/>
      <c r="FH192" s="56" t="n"/>
      <c r="FI192" s="56" t="n"/>
      <c r="FJ192" s="32" t="inlineStr">
        <is>
          <t>KRAs not received · manager to supply</t>
        </is>
      </c>
      <c r="FK192" s="56" t="n"/>
      <c r="FL192" s="56" t="n">
        <v>0</v>
      </c>
      <c r="FM192" s="32" t="inlineStr">
        <is>
          <t>No survey response on file</t>
        </is>
      </c>
      <c r="FN192" s="56" t="inlineStr">
        <is>
          <t>—</t>
        </is>
      </c>
      <c r="FO192" s="56" t="inlineStr">
        <is>
          <t>—</t>
        </is>
      </c>
      <c r="FP192" s="56" t="inlineStr">
        <is>
          <t>—</t>
        </is>
      </c>
      <c r="FQ192" s="56" t="inlineStr">
        <is>
          <t>—</t>
        </is>
      </c>
      <c r="FR192" s="56" t="n"/>
      <c r="FS192" s="56" t="n"/>
      <c r="FT192" s="56" t="n"/>
      <c r="FU192" s="32" t="inlineStr">
        <is>
          <t>No survey response on file</t>
        </is>
      </c>
    </row>
    <row r="193" ht="90" customHeight="1">
      <c r="A193" s="51" t="inlineStr">
        <is>
          <t>◂ Back</t>
        </is>
      </c>
      <c r="B193" s="29" t="inlineStr">
        <is>
          <t>Mapped</t>
        </is>
      </c>
      <c r="C193" s="28" t="inlineStr">
        <is>
          <t>iFile</t>
        </is>
      </c>
      <c r="D193" s="29" t="inlineStr">
        <is>
          <t>IRIS0012</t>
        </is>
      </c>
      <c r="E193" s="29" t="inlineStr">
        <is>
          <t>Shailesh Gupta</t>
        </is>
      </c>
      <c r="F193" s="29" t="inlineStr">
        <is>
          <t>Sales</t>
        </is>
      </c>
      <c r="G193" s="29" t="inlineStr">
        <is>
          <t>Business Head – SupTech &amp; Bank-RegTech</t>
        </is>
      </c>
      <c r="H193" s="29" t="inlineStr">
        <is>
          <t>Business Head – SupTech &amp; Bank-RegTech</t>
        </is>
      </c>
      <c r="I193" s="29" t="inlineStr">
        <is>
          <t>Not in current mapping files</t>
        </is>
      </c>
      <c r="J193" s="29" t="inlineStr">
        <is>
          <t>D2</t>
        </is>
      </c>
      <c r="K193" s="29" t="inlineStr">
        <is>
          <t>● Newly mapped</t>
        </is>
      </c>
      <c r="L193" s="29" t="inlineStr">
        <is>
          <t>Executive Leadership</t>
        </is>
      </c>
      <c r="M193" s="29" t="inlineStr">
        <is>
          <t>Business Head</t>
        </is>
      </c>
      <c r="N193" s="29" t="inlineStr">
        <is>
          <t>• Survey response or KRAs describing the work · nothing on file — Employee + manager</t>
        </is>
      </c>
      <c r="O193" s="29" t="n">
        <v>0</v>
      </c>
      <c r="P193" s="28" t="inlineStr">
        <is>
          <t>E3–E4</t>
        </is>
      </c>
      <c r="Q193" s="29" t="inlineStr">
        <is>
          <t>SVP</t>
        </is>
      </c>
      <c r="R193" s="29" t="inlineStr">
        <is>
          <t>7 Set strategy</t>
        </is>
      </c>
      <c r="S193" s="29" t="inlineStr">
        <is>
          <t>18–24 yrs</t>
        </is>
      </c>
      <c r="T193" s="29" t="inlineStr">
        <is>
          <t>—</t>
        </is>
      </c>
      <c r="U193" s="29" t="inlineStr">
        <is>
          <t>Associate Vice President</t>
        </is>
      </c>
      <c r="V193" s="29" t="inlineStr">
        <is>
          <t>IRIS Vs Market Benchmark — Aon Radford / Mercer executive codes: E3–E4 SVP · IRIS Vs Competitor Benchmark — regtech / SaaS executive titles: SVP</t>
        </is>
      </c>
      <c r="W193" s="29" t="inlineStr">
        <is>
          <t>Aon Radford executive levels E1–E6; Mercer ET1–ET3; Korn Ferry Leadership Architect</t>
        </is>
      </c>
      <c r="X193" s="29" t="inlineStr">
        <is>
          <t>Core 5 · Future 4 · Functional 4 · Leadership 5</t>
        </is>
      </c>
      <c r="Y193" s="52" t="n">
        <v>6</v>
      </c>
      <c r="Z193" s="53" t="inlineStr">
        <is>
          <t>IRIS0012</t>
        </is>
      </c>
      <c r="AA193" s="53" t="inlineStr">
        <is>
          <t>Employee</t>
        </is>
      </c>
      <c r="AB193" s="53" t="inlineStr">
        <is>
          <t>Active</t>
        </is>
      </c>
      <c r="AC193" s="53" t="inlineStr">
        <is>
          <t>Shailesh Gupta</t>
        </is>
      </c>
      <c r="AD193" s="54" t="n">
        <v>38250</v>
      </c>
      <c r="AE193" s="53" t="inlineStr">
        <is>
          <t>Business Head – SupTech &amp; Bank-RegTech</t>
        </is>
      </c>
      <c r="AF193" s="53" t="inlineStr">
        <is>
          <t>MBA</t>
        </is>
      </c>
      <c r="AG193" s="53" t="inlineStr">
        <is>
          <t>Balachandran K</t>
        </is>
      </c>
      <c r="AH193" s="53" t="inlineStr">
        <is>
          <t>N-1</t>
        </is>
      </c>
      <c r="AI193" s="53" t="inlineStr">
        <is>
          <t>Manager</t>
        </is>
      </c>
      <c r="AJ193" s="53" t="inlineStr">
        <is>
          <t>0 years, 0 months, 0 days</t>
        </is>
      </c>
      <c r="AK193" s="53" t="inlineStr">
        <is>
          <t>21 years, 11 months, 5 days</t>
        </is>
      </c>
      <c r="AL193" s="53" t="inlineStr">
        <is>
          <t>Suptech</t>
        </is>
      </c>
      <c r="AM193" s="53" t="inlineStr">
        <is>
          <t>iFile</t>
        </is>
      </c>
      <c r="AN193" s="53" t="inlineStr">
        <is>
          <t>Sales</t>
        </is>
      </c>
      <c r="AO193" s="53" t="inlineStr">
        <is>
          <t>Pre-Sales</t>
        </is>
      </c>
      <c r="AP193" s="53" t="inlineStr">
        <is>
          <t>No</t>
        </is>
      </c>
      <c r="AQ193" s="53" t="inlineStr">
        <is>
          <t>Sales, Marketing &amp; Support</t>
        </is>
      </c>
      <c r="AR193" s="53" t="inlineStr">
        <is>
          <t>Pre-Sales</t>
        </is>
      </c>
      <c r="AS193" s="53" t="inlineStr">
        <is>
          <t>Non-technical</t>
        </is>
      </c>
      <c r="AT193" s="53" t="n">
        <v>0</v>
      </c>
      <c r="AU193" s="53" t="inlineStr">
        <is>
          <t>E-Top management</t>
        </is>
      </c>
      <c r="AV193" s="53" t="n"/>
      <c r="AW193" s="53" t="n"/>
      <c r="AX193" s="53" t="n"/>
      <c r="AY193" s="53" t="n"/>
      <c r="AZ193" s="53" t="n"/>
      <c r="BA193" s="53" t="n"/>
      <c r="BB193" s="53" t="n"/>
      <c r="BC193" s="53" t="n"/>
      <c r="BD193" s="53" t="n"/>
      <c r="BE193" s="53" t="n"/>
      <c r="BF193" s="53" t="n"/>
      <c r="BG193" s="53" t="n"/>
      <c r="BH193" s="53" t="n"/>
      <c r="BI193" s="53" t="n"/>
      <c r="BJ193" s="53" t="n"/>
      <c r="BK193" s="53" t="n"/>
      <c r="BL193" s="53" t="n"/>
      <c r="BM193" s="53" t="n"/>
      <c r="BN193" s="53" t="n"/>
      <c r="BO193" s="53" t="n"/>
      <c r="BP193" s="53" t="n"/>
      <c r="BQ193" s="53" t="n"/>
      <c r="BR193" s="53" t="n"/>
      <c r="BS193" s="53" t="n"/>
      <c r="BT193" s="53" t="n"/>
      <c r="BU193" s="53" t="n"/>
      <c r="BV193" s="53" t="n"/>
      <c r="BW193" s="53" t="n"/>
      <c r="BX193" s="53" t="n"/>
      <c r="BY193" s="53" t="n"/>
      <c r="BZ193" s="53" t="n"/>
      <c r="CA193" s="53" t="n"/>
      <c r="CB193" s="53" t="n"/>
      <c r="CC193" s="53" t="n"/>
      <c r="CD193" s="53" t="n"/>
      <c r="CE193" s="53" t="n"/>
      <c r="CF193" s="53" t="n"/>
      <c r="CG193" s="53" t="n"/>
      <c r="CH193" s="53" t="n"/>
      <c r="CI193" s="53" t="n"/>
      <c r="CJ193" s="53" t="n"/>
      <c r="CK193" s="53" t="n"/>
      <c r="CL193" s="53" t="n"/>
      <c r="CM193" s="53" t="n"/>
      <c r="CN193" s="53" t="n"/>
      <c r="CO193" s="53" t="n"/>
      <c r="CP193" s="53" t="n"/>
      <c r="CQ193" s="53" t="n"/>
      <c r="CR193" s="53" t="n"/>
      <c r="CS193" s="53" t="n"/>
      <c r="CT193" s="53" t="n"/>
      <c r="CU193" s="53" t="n"/>
      <c r="CV193" s="53" t="n"/>
      <c r="CW193" s="53" t="n"/>
      <c r="CX193" s="53" t="n"/>
      <c r="CY193" s="53" t="n"/>
      <c r="CZ193" s="53" t="n"/>
      <c r="DA193" s="53" t="n"/>
      <c r="DB193" s="53" t="n"/>
      <c r="DC193" s="53" t="n"/>
      <c r="DD193" s="53" t="n"/>
      <c r="DE193" s="53" t="n"/>
      <c r="DF193" s="53" t="n"/>
      <c r="DG193" s="53" t="n"/>
      <c r="DH193" s="53" t="n"/>
      <c r="DI193" s="53" t="n"/>
      <c r="DJ193" s="53" t="n"/>
      <c r="DK193" s="53" t="n"/>
      <c r="DL193" s="53" t="n"/>
      <c r="DM193" s="53" t="n"/>
      <c r="DN193" s="53" t="n"/>
      <c r="DO193" s="53" t="n"/>
      <c r="DP193" s="53" t="n"/>
      <c r="DQ193" s="53" t="n"/>
      <c r="DR193" s="53" t="n"/>
      <c r="DS193" s="53" t="n"/>
      <c r="DT193" s="53" t="n"/>
      <c r="DU193" s="53" t="n"/>
      <c r="DV193" s="53" t="n"/>
      <c r="DW193" s="53" t="n"/>
      <c r="DX193" s="53" t="n"/>
      <c r="DY193" s="53" t="n"/>
      <c r="DZ193" s="53" t="n"/>
      <c r="EA193" s="53" t="n"/>
      <c r="EB193" s="53" t="n"/>
      <c r="EC193" s="53" t="n"/>
      <c r="ED193" s="53" t="n"/>
      <c r="EE193" s="53" t="n"/>
      <c r="EF193" s="53" t="n"/>
      <c r="EG193" s="53" t="n"/>
      <c r="EH193" s="53" t="n"/>
      <c r="EI193" s="53" t="n"/>
      <c r="EJ193" s="53" t="n"/>
      <c r="EK193" s="53" t="n"/>
      <c r="EL193" s="53" t="n"/>
      <c r="EM193" s="53" t="n"/>
      <c r="EN193" s="53" t="n"/>
      <c r="EO193" s="53" t="n"/>
      <c r="EP193" s="53" t="n"/>
      <c r="EQ193" s="53" t="n"/>
      <c r="ER193" s="53" t="n"/>
      <c r="ES193" s="53" t="n"/>
      <c r="ET193" s="53" t="n"/>
      <c r="EU193" s="53" t="n"/>
      <c r="EV193" s="53" t="n"/>
      <c r="EW193" s="52" t="n"/>
      <c r="EX193" s="53" t="n"/>
      <c r="EY193" s="53" t="n"/>
      <c r="EZ193" s="53" t="n"/>
      <c r="FA193" s="53" t="n"/>
      <c r="FB193" s="53" t="n"/>
      <c r="FC193" s="53" t="n"/>
      <c r="FD193" s="53" t="n"/>
      <c r="FE193" s="55" t="inlineStr">
        <is>
          <t>KRAs not received · manager to supply</t>
        </is>
      </c>
      <c r="FF193" s="56" t="n"/>
      <c r="FG193" s="56" t="n"/>
      <c r="FH193" s="56" t="n"/>
      <c r="FI193" s="56" t="n"/>
      <c r="FJ193" s="32" t="inlineStr">
        <is>
          <t>KRAs not received · manager to supply</t>
        </is>
      </c>
      <c r="FK193" s="56" t="n"/>
      <c r="FL193" s="56" t="n">
        <v>0</v>
      </c>
      <c r="FM193" s="32" t="inlineStr">
        <is>
          <t>No survey response on file</t>
        </is>
      </c>
      <c r="FN193" s="56" t="inlineStr">
        <is>
          <t>—</t>
        </is>
      </c>
      <c r="FO193" s="56" t="inlineStr">
        <is>
          <t>—</t>
        </is>
      </c>
      <c r="FP193" s="56" t="inlineStr">
        <is>
          <t>—</t>
        </is>
      </c>
      <c r="FQ193" s="56" t="inlineStr">
        <is>
          <t>—</t>
        </is>
      </c>
      <c r="FR193" s="56"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FS193" s="56" t="n"/>
      <c r="FT193" s="56" t="n"/>
      <c r="FU193" s="32" t="inlineStr">
        <is>
          <t>No survey response on file</t>
        </is>
      </c>
    </row>
    <row r="194" ht="90" customHeight="1">
      <c r="A194" s="51" t="inlineStr">
        <is>
          <t>◂ Back</t>
        </is>
      </c>
      <c r="B194" s="29" t="inlineStr">
        <is>
          <t>Mapped</t>
        </is>
      </c>
      <c r="C194" s="28" t="inlineStr">
        <is>
          <t>iDEAL</t>
        </is>
      </c>
      <c r="D194" s="29" t="inlineStr">
        <is>
          <t>IRIS1224</t>
        </is>
      </c>
      <c r="E194" s="29" t="inlineStr">
        <is>
          <t>Hemant Karale</t>
        </is>
      </c>
      <c r="F194" s="29" t="inlineStr">
        <is>
          <t>iDEAL Business Head</t>
        </is>
      </c>
      <c r="G194" s="29" t="inlineStr">
        <is>
          <t>Business Head IRIS iDEAL</t>
        </is>
      </c>
      <c r="H194" s="29" t="inlineStr">
        <is>
          <t>Business Head – iDEAL</t>
        </is>
      </c>
      <c r="I194" s="29" t="inlineStr">
        <is>
          <t>L7 – Head / Sr Director</t>
        </is>
      </c>
      <c r="J194" s="29" t="inlineStr">
        <is>
          <t>D1</t>
        </is>
      </c>
      <c r="K194" s="29" t="inlineStr">
        <is>
          <t>▲ Up</t>
        </is>
      </c>
      <c r="L194" s="29" t="inlineStr">
        <is>
          <t>Executive Leadership</t>
        </is>
      </c>
      <c r="M194" s="29" t="inlineStr">
        <is>
          <t>Business Head</t>
        </is>
      </c>
      <c r="N194" s="29" t="n"/>
      <c r="O194" s="29" t="n">
        <v>0</v>
      </c>
      <c r="P194" s="28" t="inlineStr">
        <is>
          <t>E1–E2</t>
        </is>
      </c>
      <c r="Q194" s="29" t="inlineStr">
        <is>
          <t>VP</t>
        </is>
      </c>
      <c r="R194" s="29" t="inlineStr">
        <is>
          <t>6–7</t>
        </is>
      </c>
      <c r="S194" s="29" t="inlineStr">
        <is>
          <t>15–20 yrs</t>
        </is>
      </c>
      <c r="T194" s="29" t="inlineStr">
        <is>
          <t>—</t>
        </is>
      </c>
      <c r="U194" s="29" t="inlineStr">
        <is>
          <t>Associate Vice President</t>
        </is>
      </c>
      <c r="V194" s="29" t="inlineStr">
        <is>
          <t>IRIS Vs Market Benchmark — Aon Radford / Mercer executive codes: E1–E2 VP / Business Head · IRIS Vs Competitor Benchmark — regtech / SaaS executive titles: General Manager / VP</t>
        </is>
      </c>
      <c r="W194" s="29" t="inlineStr">
        <is>
          <t>Aon Radford executive levels E1–E6; Mercer ET1–ET3; Korn Ferry Leadership Architect</t>
        </is>
      </c>
      <c r="X194" s="29" t="inlineStr">
        <is>
          <t>Core 5 · Future 4 · Functional 4 · Leadership 5</t>
        </is>
      </c>
      <c r="Y194" s="52" t="n">
        <v>112</v>
      </c>
      <c r="Z194" s="53" t="inlineStr">
        <is>
          <t>IRIS1224</t>
        </is>
      </c>
      <c r="AA194" s="53" t="inlineStr">
        <is>
          <t>Employee</t>
        </is>
      </c>
      <c r="AB194" s="53" t="inlineStr">
        <is>
          <t>Active</t>
        </is>
      </c>
      <c r="AC194" s="53" t="inlineStr">
        <is>
          <t>Hemant Karale</t>
        </is>
      </c>
      <c r="AD194" s="54" t="n">
        <v>41106</v>
      </c>
      <c r="AE194" s="53" t="inlineStr">
        <is>
          <t>Business Head IRIS iDEAL</t>
        </is>
      </c>
      <c r="AF194" s="53" t="inlineStr">
        <is>
          <t>MBA</t>
        </is>
      </c>
      <c r="AG194" s="53" t="inlineStr">
        <is>
          <t>Shailesh Gupta</t>
        </is>
      </c>
      <c r="AH194" s="53" t="inlineStr">
        <is>
          <t>N-2</t>
        </is>
      </c>
      <c r="AI194" s="53" t="inlineStr">
        <is>
          <t>Manager</t>
        </is>
      </c>
      <c r="AJ194" s="53" t="inlineStr">
        <is>
          <t>3 years, 5 months, 0 days</t>
        </is>
      </c>
      <c r="AK194" s="53" t="inlineStr">
        <is>
          <t>14 years, 1 months, 9 days</t>
        </is>
      </c>
      <c r="AL194" s="53" t="inlineStr">
        <is>
          <t>Regtech</t>
        </is>
      </c>
      <c r="AM194" s="53" t="inlineStr">
        <is>
          <t>iDEAL</t>
        </is>
      </c>
      <c r="AN194" s="53" t="inlineStr">
        <is>
          <t>iDEAL Business Head</t>
        </is>
      </c>
      <c r="AO194" s="53" t="inlineStr">
        <is>
          <t>Client Engagement</t>
        </is>
      </c>
      <c r="AP194" s="53" t="inlineStr">
        <is>
          <t>No</t>
        </is>
      </c>
      <c r="AQ194" s="53" t="inlineStr">
        <is>
          <t>Client Engagement</t>
        </is>
      </c>
      <c r="AR194" s="53" t="inlineStr">
        <is>
          <t>Product Management</t>
        </is>
      </c>
      <c r="AS194" s="53" t="inlineStr">
        <is>
          <t>Technical · BA, PM and QA</t>
        </is>
      </c>
      <c r="AT194" s="53" t="n">
        <v>0</v>
      </c>
      <c r="AU194" s="53" t="inlineStr">
        <is>
          <t>E-Top management</t>
        </is>
      </c>
      <c r="AV194" s="53" t="n"/>
      <c r="AW194" s="53" t="n"/>
      <c r="AX194" s="53" t="n"/>
      <c r="AY194" s="53" t="n"/>
      <c r="AZ194" s="53" t="n"/>
      <c r="BA194" s="53" t="n"/>
      <c r="BB194" s="53" t="n"/>
      <c r="BC194" s="53" t="n"/>
      <c r="BD194" s="53" t="n"/>
      <c r="BE194" s="53" t="n"/>
      <c r="BF194" s="53" t="n"/>
      <c r="BG194" s="53" t="n"/>
      <c r="BH194" s="53" t="n"/>
      <c r="BI194" s="53" t="n"/>
      <c r="BJ194" s="53" t="n"/>
      <c r="BK194" s="53" t="n"/>
      <c r="BL194" s="53" t="n"/>
      <c r="BM194" s="53" t="n"/>
      <c r="BN194" s="53" t="n"/>
      <c r="BO194" s="53" t="n"/>
      <c r="BP194" s="53" t="n"/>
      <c r="BQ194" s="53" t="n"/>
      <c r="BR194" s="53" t="n"/>
      <c r="BS194" s="53" t="n"/>
      <c r="BT194" s="53" t="n"/>
      <c r="BU194" s="53" t="n"/>
      <c r="BV194" s="53" t="n"/>
      <c r="BW194" s="53" t="n"/>
      <c r="BX194" s="53" t="n"/>
      <c r="BY194" s="53" t="n"/>
      <c r="BZ194" s="53" t="n"/>
      <c r="CA194" s="53" t="n"/>
      <c r="CB194" s="53" t="n"/>
      <c r="CC194" s="53" t="n"/>
      <c r="CD194" s="53" t="n"/>
      <c r="CE194" s="53" t="n"/>
      <c r="CF194" s="53" t="n"/>
      <c r="CG194" s="53" t="n"/>
      <c r="CH194" s="53" t="n"/>
      <c r="CI194" s="53" t="n"/>
      <c r="CJ194" s="53" t="n"/>
      <c r="CK194" s="53" t="n"/>
      <c r="CL194" s="53" t="n"/>
      <c r="CM194" s="53" t="n"/>
      <c r="CN194" s="53" t="n"/>
      <c r="CO194" s="53" t="n"/>
      <c r="CP194" s="53" t="n"/>
      <c r="CQ194" s="53" t="n"/>
      <c r="CR194" s="53" t="n"/>
      <c r="CS194" s="53" t="n"/>
      <c r="CT194" s="53" t="n"/>
      <c r="CU194" s="53" t="n"/>
      <c r="CV194" s="53" t="n"/>
      <c r="CW194" s="53" t="n"/>
      <c r="CX194" s="53" t="n"/>
      <c r="CY194" s="53" t="n"/>
      <c r="CZ194" s="53" t="n"/>
      <c r="DA194" s="53" t="n"/>
      <c r="DB194" s="53" t="n"/>
      <c r="DC194" s="53" t="n"/>
      <c r="DD194" s="53" t="inlineStr">
        <is>
          <t>IRIS1224</t>
        </is>
      </c>
      <c r="DE194" s="53" t="inlineStr">
        <is>
          <t>Employee</t>
        </is>
      </c>
      <c r="DF194" s="53" t="inlineStr">
        <is>
          <t>Active</t>
        </is>
      </c>
      <c r="DG194" s="53" t="inlineStr">
        <is>
          <t>Hemant Karale</t>
        </is>
      </c>
      <c r="DH194" s="54" t="n">
        <v>41106</v>
      </c>
      <c r="DI194" s="53" t="inlineStr">
        <is>
          <t>Business Head IRIS iDEAL</t>
        </is>
      </c>
      <c r="DJ194" s="53" t="inlineStr">
        <is>
          <t>Executive Leadership</t>
        </is>
      </c>
      <c r="DK194" s="53" t="inlineStr">
        <is>
          <t>Business / Functional Leadership</t>
        </is>
      </c>
      <c r="DL194" s="53" t="inlineStr">
        <is>
          <t>Business Head IRIS iDEAL</t>
        </is>
      </c>
      <c r="DM194" s="53" t="inlineStr">
        <is>
          <t>L7 – Head / Sr Director</t>
        </is>
      </c>
      <c r="DN194" s="53" t="inlineStr">
        <is>
          <t>MBA</t>
        </is>
      </c>
      <c r="DO194" s="53" t="inlineStr">
        <is>
          <t>Dixit Jasani</t>
        </is>
      </c>
      <c r="DP194" s="53" t="inlineStr">
        <is>
          <t>N-2</t>
        </is>
      </c>
      <c r="DQ194" s="53" t="inlineStr">
        <is>
          <t>Manager</t>
        </is>
      </c>
      <c r="DR194" s="53" t="inlineStr">
        <is>
          <t>3 years, 5 months, 0 days</t>
        </is>
      </c>
      <c r="DS194" s="53" t="inlineStr">
        <is>
          <t>13 years, 11 months, 4 days</t>
        </is>
      </c>
      <c r="DT194" s="53" t="inlineStr">
        <is>
          <t>17 years, 4 months, 4 days</t>
        </is>
      </c>
      <c r="DU194" s="53" t="n">
        <v>13.9276255707763</v>
      </c>
      <c r="DV194" s="53" t="inlineStr">
        <is>
          <t>Regtech</t>
        </is>
      </c>
      <c r="DW194" s="53" t="inlineStr">
        <is>
          <t>iDEAL</t>
        </is>
      </c>
      <c r="DX194" s="53" t="inlineStr">
        <is>
          <t>iDEAL Business Head</t>
        </is>
      </c>
      <c r="DY194" s="53" t="inlineStr">
        <is>
          <t>Client Engagement</t>
        </is>
      </c>
      <c r="DZ194" s="53" t="inlineStr">
        <is>
          <t>No</t>
        </is>
      </c>
      <c r="EA194" s="53" t="inlineStr">
        <is>
          <t>Client Engagement</t>
        </is>
      </c>
      <c r="EB194" s="53" t="inlineStr">
        <is>
          <t>Product Management</t>
        </is>
      </c>
      <c r="EC194" s="53" t="inlineStr">
        <is>
          <t>Technical · BA, PM and QA</t>
        </is>
      </c>
      <c r="ED194" s="53" t="inlineStr">
        <is>
          <t>Remote- Outside Mumbai</t>
        </is>
      </c>
      <c r="EE194" s="53" t="inlineStr">
        <is>
          <t>1. Deliver FY27 Revenue &amp; Growth Commitments of Rs 19Cr &amp; Generate New ARR · 4Cr 
2. Meet 100% FY27 revenue recognition plan as per finance forecast
3. Onboard 1 New qualified sales + domain partner per foreign market · e.g., Nigeria, Jordan, Qatar, Europe &amp; Generate New ARR of 1Cr from foreign markets with partner
4. Increase AI adoption in the team, Launch at least 1 Major AI-powered features/products to market &amp; Reduce production defect by 20%
5. Conduct quarterly knowledge sessions with product, sales &amp; delivery leaders</t>
        </is>
      </c>
      <c r="EF194" s="53" t="n"/>
      <c r="EG194" s="53" t="n"/>
      <c r="EH194" s="53" t="n"/>
      <c r="EI194" s="53" t="n"/>
      <c r="EJ194" s="53" t="inlineStr">
        <is>
          <t>Same as per records</t>
        </is>
      </c>
      <c r="EK194" s="53" t="n"/>
      <c r="EL194" s="53" t="n"/>
      <c r="EM194" s="53" t="n"/>
      <c r="EN194" s="53" t="n"/>
      <c r="EO194" s="53" t="n"/>
      <c r="EP194" s="53" t="n"/>
      <c r="EQ194" s="53" t="n"/>
      <c r="ER194" s="53" t="n"/>
      <c r="ES194" s="53" t="inlineStr">
        <is>
          <t>Training on the effective utilization of AI tools.</t>
        </is>
      </c>
      <c r="ET194" s="53" t="n"/>
      <c r="EU194" s="53" t="n"/>
      <c r="EV194" s="53" t="n"/>
      <c r="EW194" s="52" t="n"/>
      <c r="EX194" s="53" t="n"/>
      <c r="EY194" s="53" t="n"/>
      <c r="EZ194" s="53" t="n"/>
      <c r="FA194" s="53" t="n"/>
      <c r="FB194" s="53" t="n"/>
      <c r="FC194" s="53" t="inlineStr">
        <is>
          <t>Annual KRAs · objective Measurable Minimum 5 - Self</t>
        </is>
      </c>
      <c r="FD194" s="53" t="n"/>
      <c r="FE194" s="55" t="inlineStr">
        <is>
          <t>KRAs not received · manager to supply</t>
        </is>
      </c>
      <c r="FF194" s="56" t="n"/>
      <c r="FG194" s="56" t="inlineStr">
        <is>
          <t>1. Deliver FY27 Revenue &amp; Growth Commitments of Rs 19Cr &amp; Generate New ARR · 4Cr 
2. Meet 100% FY27 revenue recognition plan as per finance forecast
3. Onboard 1 New qualified sales + domain partner per foreign market · e.g., Nigeria, Jordan, Qatar, Europe &amp; Generate New ARR of 1Cr from foreign markets with partner
4. Increase AI adoption in the team, Launch at least 1 Major AI-powered features/products to market &amp; Reduce production defect by 20%
5. Conduct quarterly knowledge sessions with product, sales &amp; delivery leaders</t>
        </is>
      </c>
      <c r="FH194" s="56" t="n"/>
      <c r="FI194" s="56" t="n"/>
      <c r="FJ194" s="56" t="inlineStr">
        <is>
          <t>Received · self</t>
        </is>
      </c>
      <c r="FK194" s="56" t="inlineStr">
        <is>
          <t>Talent Mapping · iDEAL</t>
        </is>
      </c>
      <c r="FL194" s="56" t="n">
        <v>0</v>
      </c>
      <c r="FM194" s="32" t="inlineStr">
        <is>
          <t>No survey response on file</t>
        </is>
      </c>
      <c r="FN194" s="56" t="inlineStr">
        <is>
          <t>—</t>
        </is>
      </c>
      <c r="FO194" s="56" t="inlineStr">
        <is>
          <t>—</t>
        </is>
      </c>
      <c r="FP194" s="56" t="inlineStr">
        <is>
          <t>—</t>
        </is>
      </c>
      <c r="FQ194" s="56" t="inlineStr">
        <is>
          <t>—</t>
        </is>
      </c>
      <c r="FR194" s="56" t="inlineStr">
        <is>
          <t>Complexity: Evidence reads like C2: KRA only: business revenue, foreign-market partner onboarding, AI product launches, defect reduction → moved down 0.5
Autonomy: Evidence reads like C2: KRA only: commits business revenue, partner onboarding and product launches; no decisions stated directly → moved down 0.5
Accountability: Evidence reads like D1: KRA: FY27 revenue of Rs 19Cr, new ARR Rs 4Cr, revenue recognition plan → matches the start
Leadership: Evidence reads like C1: KRA: knowledge sessions with product, sales, delivery leaders; team AI adoption; 8 reports → moved down 0.5
Business Impact: No survey or manager-mapping signal on criticality: kept at the start point.</t>
        </is>
      </c>
      <c r="FS194" s="56" t="n"/>
      <c r="FT194" s="56" t="n"/>
      <c r="FU194" s="32" t="inlineStr">
        <is>
          <t>No survey response on file</t>
        </is>
      </c>
    </row>
    <row r="195" ht="90" customHeight="1">
      <c r="A195" s="51" t="inlineStr">
        <is>
          <t>◂ Back</t>
        </is>
      </c>
      <c r="B195" s="29" t="inlineStr">
        <is>
          <t>Mapped</t>
        </is>
      </c>
      <c r="C195" s="28" t="inlineStr">
        <is>
          <t>iDEAL</t>
        </is>
      </c>
      <c r="D195" s="29" t="inlineStr">
        <is>
          <t>IRIS0810</t>
        </is>
      </c>
      <c r="E195" s="29" t="inlineStr">
        <is>
          <t>Jitendra Kumar</t>
        </is>
      </c>
      <c r="F195" s="29" t="inlineStr">
        <is>
          <t>Technology</t>
        </is>
      </c>
      <c r="G195" s="29" t="inlineStr">
        <is>
          <t>Technical Architect</t>
        </is>
      </c>
      <c r="H195" s="29" t="inlineStr">
        <is>
          <t>Practice Lead – Solution &amp; Technical Architecture · Player-Coach</t>
        </is>
      </c>
      <c r="I195" s="29" t="inlineStr">
        <is>
          <t>L3 – Professional / Associate</t>
        </is>
      </c>
      <c r="J195" s="29" t="inlineStr">
        <is>
          <t>B+</t>
        </is>
      </c>
      <c r="K195" s="29" t="inlineStr">
        <is>
          <t>▲ Up</t>
        </is>
      </c>
      <c r="L195" s="29" t="inlineStr">
        <is>
          <t>Engineering &amp; Architecture</t>
        </is>
      </c>
      <c r="M195" s="29" t="inlineStr">
        <is>
          <t>Solution &amp; Technical Architecture</t>
        </is>
      </c>
      <c r="N195" s="29" t="n"/>
      <c r="O195" s="29" t="n">
        <v>20</v>
      </c>
      <c r="P195" s="28" t="inlineStr">
        <is>
          <t>P5–P6 / M4–M5</t>
        </is>
      </c>
      <c r="Q195" s="29" t="inlineStr">
        <is>
          <t>Expert / Senior Manager · player-coach</t>
        </is>
      </c>
      <c r="R195" s="29" t="inlineStr">
        <is>
          <t>5 Ensure, advise</t>
        </is>
      </c>
      <c r="S195" s="29" t="inlineStr">
        <is>
          <t>9–14 yrs</t>
        </is>
      </c>
      <c r="T195" s="29" t="inlineStr">
        <is>
          <t>9–13 · 9–14</t>
        </is>
      </c>
      <c r="U195" s="29" t="inlineStr">
        <is>
          <t>Tech Lead Manager / Practice Lead · player-coach</t>
        </is>
      </c>
      <c r="V195" s="29" t="inlineStr">
        <is>
          <t>Google: Tech Lead Manager · TLM · McKinsey player/coach · 3–5 reports · SaaS: player-coach team lead carrying own work</t>
        </is>
      </c>
      <c r="W195" s="29" t="inlineStr">
        <is>
          <t>SFIA 9 · solution architecture; TOGAF; AWS / Azure architect certifications</t>
        </is>
      </c>
      <c r="X195" s="29" t="inlineStr">
        <is>
          <t>Core 4 · Future 4 · Functional 4 · Leadership 4</t>
        </is>
      </c>
      <c r="Y195" s="52" t="n">
        <v>91</v>
      </c>
      <c r="Z195" s="53" t="inlineStr">
        <is>
          <t>IRIS0810</t>
        </is>
      </c>
      <c r="AA195" s="53" t="inlineStr">
        <is>
          <t>Employee</t>
        </is>
      </c>
      <c r="AB195" s="53" t="inlineStr">
        <is>
          <t>Active</t>
        </is>
      </c>
      <c r="AC195" s="53" t="inlineStr">
        <is>
          <t>Jitendra Kumar</t>
        </is>
      </c>
      <c r="AD195" s="54" t="n">
        <v>40751</v>
      </c>
      <c r="AE195" s="53" t="inlineStr">
        <is>
          <t>Technical Architect</t>
        </is>
      </c>
      <c r="AF195" s="53" t="inlineStr">
        <is>
          <t>MCA</t>
        </is>
      </c>
      <c r="AG195" s="53" t="inlineStr">
        <is>
          <t>Hemant Karale</t>
        </is>
      </c>
      <c r="AH195" s="53" t="inlineStr">
        <is>
          <t>N-3</t>
        </is>
      </c>
      <c r="AI195" s="53" t="inlineStr">
        <is>
          <t>Manager</t>
        </is>
      </c>
      <c r="AJ195" s="53" t="inlineStr">
        <is>
          <t>1 years, 5 months, 0 days</t>
        </is>
      </c>
      <c r="AK195" s="53" t="inlineStr">
        <is>
          <t>15 years, 0 months, 29 days</t>
        </is>
      </c>
      <c r="AL195" s="53" t="inlineStr">
        <is>
          <t>Regtech</t>
        </is>
      </c>
      <c r="AM195" s="53" t="inlineStr">
        <is>
          <t>iDEAL</t>
        </is>
      </c>
      <c r="AN195" s="53" t="inlineStr">
        <is>
          <t>Technology</t>
        </is>
      </c>
      <c r="AO195" s="53" t="inlineStr">
        <is>
          <t>Development</t>
        </is>
      </c>
      <c r="AP195" s="53" t="inlineStr">
        <is>
          <t>Yes</t>
        </is>
      </c>
      <c r="AQ195" s="53" t="inlineStr">
        <is>
          <t>Product/Project</t>
        </is>
      </c>
      <c r="AR195" s="53" t="inlineStr">
        <is>
          <t>.NET MVC</t>
        </is>
      </c>
      <c r="AS195" s="53" t="inlineStr">
        <is>
          <t>Technical - Developer</t>
        </is>
      </c>
      <c r="AT195" s="53" t="n">
        <v>20</v>
      </c>
      <c r="AU195" s="53" t="inlineStr">
        <is>
          <t>Covered</t>
        </is>
      </c>
      <c r="AV195" s="53" t="n"/>
      <c r="AW195" s="53" t="n"/>
      <c r="AX195" s="53" t="n"/>
      <c r="AY195" s="53" t="n"/>
      <c r="AZ195" s="53" t="n"/>
      <c r="BA195" s="53" t="n"/>
      <c r="BB195" s="53" t="n"/>
      <c r="BC195" s="53" t="n"/>
      <c r="BD195" s="53" t="n"/>
      <c r="BE195" s="53" t="n"/>
      <c r="BF195" s="53" t="n"/>
      <c r="BG195" s="53" t="n"/>
      <c r="BH195" s="53" t="n"/>
      <c r="BI195" s="53" t="n"/>
      <c r="BJ195" s="53" t="n"/>
      <c r="BK195" s="53" t="n"/>
      <c r="BL195" s="53" t="n"/>
      <c r="BM195" s="53" t="n"/>
      <c r="BN195" s="53" t="n"/>
      <c r="BO195" s="53" t="n"/>
      <c r="BP195" s="53" t="n"/>
      <c r="BQ195" s="53" t="n"/>
      <c r="BR195" s="53" t="n"/>
      <c r="BS195" s="53" t="n"/>
      <c r="BT195" s="53" t="n"/>
      <c r="BU195" s="53" t="n"/>
      <c r="BV195" s="53" t="n"/>
      <c r="BW195" s="53" t="n"/>
      <c r="BX195" s="53" t="n"/>
      <c r="BY195" s="53" t="n"/>
      <c r="BZ195" s="53" t="n"/>
      <c r="CA195" s="53" t="n"/>
      <c r="CB195" s="53" t="n"/>
      <c r="CC195" s="53" t="n"/>
      <c r="CD195" s="53" t="n"/>
      <c r="CE195" s="53" t="n"/>
      <c r="CF195" s="53" t="n"/>
      <c r="CG195" s="53" t="n"/>
      <c r="CH195" s="53" t="n"/>
      <c r="CI195" s="53" t="n"/>
      <c r="CJ195" s="53" t="n"/>
      <c r="CK195" s="53" t="n"/>
      <c r="CL195" s="53" t="n"/>
      <c r="CM195" s="53" t="n"/>
      <c r="CN195" s="53" t="n"/>
      <c r="CO195" s="53" t="n"/>
      <c r="CP195" s="53" t="n"/>
      <c r="CQ195" s="53" t="n"/>
      <c r="CR195" s="53" t="n"/>
      <c r="CS195" s="53" t="n"/>
      <c r="CT195" s="53" t="n"/>
      <c r="CU195" s="53" t="n"/>
      <c r="CV195" s="53" t="n"/>
      <c r="CW195" s="53" t="n"/>
      <c r="CX195" s="53" t="n"/>
      <c r="CY195" s="53" t="n"/>
      <c r="CZ195" s="53" t="n"/>
      <c r="DA195" s="53" t="n"/>
      <c r="DB195" s="53" t="n"/>
      <c r="DC195" s="53" t="n"/>
      <c r="DD195" s="53" t="inlineStr">
        <is>
          <t>IRIS0810</t>
        </is>
      </c>
      <c r="DE195" s="53" t="inlineStr">
        <is>
          <t>Employee</t>
        </is>
      </c>
      <c r="DF195" s="53" t="inlineStr">
        <is>
          <t>Active</t>
        </is>
      </c>
      <c r="DG195" s="53" t="inlineStr">
        <is>
          <t>Jitendra Kumar</t>
        </is>
      </c>
      <c r="DH195" s="54" t="n">
        <v>40751</v>
      </c>
      <c r="DI195" s="53" t="inlineStr">
        <is>
          <t>Technical Architect</t>
        </is>
      </c>
      <c r="DJ195" s="53" t="inlineStr">
        <is>
          <t>Engineering &amp; Architecture</t>
        </is>
      </c>
      <c r="DK195" s="53" t="inlineStr">
        <is>
          <t>Solution / Software Architecture</t>
        </is>
      </c>
      <c r="DL195" s="53" t="inlineStr">
        <is>
          <t>Technical Architect</t>
        </is>
      </c>
      <c r="DM195" s="53" t="inlineStr">
        <is>
          <t>L3 – Professional / Associate</t>
        </is>
      </c>
      <c r="DN195" s="53" t="inlineStr">
        <is>
          <t>MCA</t>
        </is>
      </c>
      <c r="DO195" s="53" t="inlineStr">
        <is>
          <t>Hemant Karale</t>
        </is>
      </c>
      <c r="DP195" s="53" t="inlineStr">
        <is>
          <t>N-3</t>
        </is>
      </c>
      <c r="DQ195" s="53" t="inlineStr">
        <is>
          <t>Manager</t>
        </is>
      </c>
      <c r="DR195" s="53" t="inlineStr">
        <is>
          <t>1 years, 5 months, 0 days</t>
        </is>
      </c>
      <c r="DS195" s="53" t="inlineStr">
        <is>
          <t>14 years, 10 months, 24 days</t>
        </is>
      </c>
      <c r="DT195" s="53" t="inlineStr">
        <is>
          <t>16 years, 3 months, 24 days</t>
        </is>
      </c>
      <c r="DU195" s="53" t="n">
        <v>14.8990867579909</v>
      </c>
      <c r="DV195" s="53" t="inlineStr">
        <is>
          <t>Regtech</t>
        </is>
      </c>
      <c r="DW195" s="53" t="inlineStr">
        <is>
          <t>iDEAL</t>
        </is>
      </c>
      <c r="DX195" s="53" t="inlineStr">
        <is>
          <t>Technology</t>
        </is>
      </c>
      <c r="DY195" s="53" t="inlineStr">
        <is>
          <t>Development</t>
        </is>
      </c>
      <c r="DZ195" s="53" t="inlineStr">
        <is>
          <t>Yes</t>
        </is>
      </c>
      <c r="EA195" s="53" t="inlineStr">
        <is>
          <t>Product/Project</t>
        </is>
      </c>
      <c r="EB195" s="53" t="inlineStr">
        <is>
          <t>.NET MVC</t>
        </is>
      </c>
      <c r="EC195" s="53" t="inlineStr">
        <is>
          <t>Technical - Developer</t>
        </is>
      </c>
      <c r="ED195" s="53" t="inlineStr">
        <is>
          <t>Work From Office - Turbhe</t>
        </is>
      </c>
      <c r="EE195" s="53" t="inlineStr">
        <is>
          <t>1. Identify and develop AI-driven functionalities to improve business efficiency and operational effectiveness.
2. Successfully launch iDEAL 6.0 with enhanced functionality and improved features.
3. Design and develop an end-to-end iDEAL solution addressing ETL and reporting requirements.
4. Drive an AI-First approach across Development and Project Management practices.
5. Implement project management and issue-tracking solutions to strengthen the Software Development Life Cycle · SDLC.
6. Develop and mentor technical leaders within the engineering team.</t>
        </is>
      </c>
      <c r="EF195" s="53" t="inlineStr">
        <is>
          <t>1. Identify and develop AI-driven functionalities. At least 2 · fully developed New AI Features to be released with the year. Encourage the AI adoption in the team to improve Software development business efficiency and operational effectiveness.
2. Successfully launch iDEAL 6.0 with enhanced functionality and improved features within a set timelines.
3. Design and develop an end-to-end iDEAL solution addressing ETL and reporting requirements by end to the financial year.
4. Drive measurable adoption: Drive AI-First approach across Development and Project Management practices. Improve the development efficiency &gt;= 30% during the year
5. Keep customer-reported defects on new features &lt;=5% · &lt;=1 defect per functionality during the year
6. Develop and mentor technical leaders within the engineering team.</t>
        </is>
      </c>
      <c r="EG195" s="53" t="inlineStr">
        <is>
          <t>1.Strengthen and enhance support for QCB, QFCRA, and EU Taxonomy compliance requirements.
2.Conduct requirement gathering, analysis, and project planning for SARB MVP4.
3.Develop iDEAL 6.0 in compliance with established security standards and guidelines.
4.Develop and enhance TableLinkBase Rendering functionality.
5.Expand AI adoption across Development and Project Management processes.</t>
        </is>
      </c>
      <c r="EH195" s="53" t="n">
        <v>4</v>
      </c>
      <c r="EI195" s="53" t="n"/>
      <c r="EJ195" s="53" t="inlineStr">
        <is>
          <t>Same as per records</t>
        </is>
      </c>
      <c r="EK195" s="53" t="n"/>
      <c r="EL195" s="53" t="n"/>
      <c r="EM195" s="53" t="n"/>
      <c r="EN195" s="53" t="n"/>
      <c r="EO195" s="53" t="n"/>
      <c r="EP195" s="53" t="n"/>
      <c r="EQ195" s="53" t="n"/>
      <c r="ER195" s="53" t="n"/>
      <c r="ES195" s="53" t="inlineStr">
        <is>
          <t>Training on the effective utilization of AI tools.</t>
        </is>
      </c>
      <c r="ET195" s="53" t="n"/>
      <c r="EU195" s="53" t="n"/>
      <c r="EV195" s="53" t="n"/>
      <c r="EW195" s="52" t="n"/>
      <c r="EX195" s="53" t="n"/>
      <c r="EY195" s="53" t="n"/>
      <c r="EZ195" s="53" t="n"/>
      <c r="FA195" s="53" t="n"/>
      <c r="FB195" s="53" t="n"/>
      <c r="FC195" s="53" t="n"/>
      <c r="FD195" s="53" t="n"/>
      <c r="FE195" s="57" t="inlineStr">
        <is>
          <t>1. Identify and develop AI-driven functionalities. At least 2 · fully developed New AI Features to be released with the year. Encourage the AI adoption in the team to improve Software development business efficiency and operational effectiveness.
2. Successfully launch iDEAL 6.0 with enhanced functionality and improved features within a set timelines.
3. Design and develop an end-to-end iDEAL solution addressing ETL and reporting requirements by end to the financial year.
4. Drive measurable adoption: Drive AI-First approach across Development and Project Management practices. Improve the development efficiency &gt;= 30% during the year
5. Keep customer-reported defects on new features &lt;=5% · &lt;=1 defect per functionality during the year
6. Develop and mentor technical leaders within the engineering team.</t>
        </is>
      </c>
      <c r="FF195" s="56" t="inlineStr">
        <is>
          <t>1.Strengthen and enhance support for QCB, QFCRA, and EU Taxonomy compliance requirements.
2.Conduct requirement gathering, analysis, and project planning for SARB MVP4.
3.Develop iDEAL 6.0 in compliance with established security standards and guidelines.
4.Develop and enhance TableLinkBase Rendering functionality.
5.Expand AI adoption across Development and Project Management processes.</t>
        </is>
      </c>
      <c r="FG195" s="56" t="inlineStr">
        <is>
          <t>1. Identify and develop AI-driven functionalities to improve business efficiency and operational effectiveness.
2. Successfully launch iDEAL 6.0 with enhanced functionality and improved features.
3. Design and develop an end-to-end iDEAL solution addressing ETL and reporting requirements.
4. Drive an AI-First approach across Development and Project Management practices.
5. Implement project management and issue-tracking solutions to strengthen the Software Development Life Cycle · SDLC.
6. Develop and mentor technical leaders within the engineering team.</t>
        </is>
      </c>
      <c r="FH195" s="56" t="inlineStr">
        <is>
          <t>4</t>
        </is>
      </c>
      <c r="FI195" s="56" t="n"/>
      <c r="FJ195" s="56" t="inlineStr">
        <is>
          <t>Received · manager annual, quarterly, self</t>
        </is>
      </c>
      <c r="FK195" s="56" t="inlineStr">
        <is>
          <t>Talent Mapping · iDEAL</t>
        </is>
      </c>
      <c r="FL195" s="56" t="n">
        <v>20</v>
      </c>
      <c r="FM195" s="32" t="inlineStr">
        <is>
          <t>Full survey answers not in the files received · How We Grow export needed · HR</t>
        </is>
      </c>
      <c r="FN195" s="56" t="inlineStr">
        <is>
          <t>—</t>
        </is>
      </c>
      <c r="FO195" s="56" t="inlineStr">
        <is>
          <t>—</t>
        </is>
      </c>
      <c r="FP195" s="56" t="inlineStr">
        <is>
          <t>—</t>
        </is>
      </c>
      <c r="FQ195" s="56" t="inlineStr">
        <is>
          <t>—</t>
        </is>
      </c>
      <c r="FR195" s="56" t="inlineStr">
        <is>
          <t>Complexity: Evidence reads like B2: Runs all technical aspects of a bank XBRL reporting product: requirements,.NET development, delivery, client support → moved down 1
Autonomy: Evidence reads like B2: Decides application enhancements; coordinates a nine-person team; leads client discussions → moved down 1
Accountability: Evidence reads like B2: Accountable for any application failure at client side and project deliverables; team of nine → moved down 0.5
Leadership: Evidence reads like B2: Coordinates nine direct reports; KRA: develop and mentor technical leaders → moved down 0.5
Business Impact: No survey or manager-mapping signal on criticality: kept at the start point.</t>
        </is>
      </c>
      <c r="FS195" s="56" t="inlineStr">
        <is>
          <t>Common themes in role-holders' answers: technical · client · design · understanding · solution · application
Common themes in role-holders' answers: client · documentation · technical · solution · requirement · meeting
Common themes in role-holders' answers: solution · architecture · design
Common themes in role-holders' answers: client · if · solution · architecture · design · technical
Common themes in role-holders' answers: approach
If the work is missed · role-holders' themes: client · time.
Measured on · manager-set KRA themes: support · technical · project · completion · develop · year.</t>
        </is>
      </c>
      <c r="FT195" s="56" t="inlineStr">
        <is>
          <t>Self-identified: Answered · no common topic
For the next role: Answered · no common topic</t>
        </is>
      </c>
      <c r="FU195" s="32" t="inlineStr">
        <is>
          <t>Full survey answers not in the files received · How We Grow export needed · HR</t>
        </is>
      </c>
    </row>
    <row r="196" ht="90" customHeight="1">
      <c r="A196" s="51" t="inlineStr">
        <is>
          <t>◂ Back</t>
        </is>
      </c>
      <c r="B196" s="29" t="inlineStr">
        <is>
          <t>Mapped</t>
        </is>
      </c>
      <c r="C196" s="28" t="inlineStr">
        <is>
          <t>iDEAL</t>
        </is>
      </c>
      <c r="D196" s="29" t="inlineStr">
        <is>
          <t>IRIS1809</t>
        </is>
      </c>
      <c r="E196" s="29" t="inlineStr">
        <is>
          <t>Jignasha Sawla</t>
        </is>
      </c>
      <c r="F196" s="29" t="inlineStr">
        <is>
          <t>Technology</t>
        </is>
      </c>
      <c r="G196" s="29" t="inlineStr">
        <is>
          <t>Database Lead</t>
        </is>
      </c>
      <c r="H196" s="29" t="inlineStr">
        <is>
          <t>Database Specialist – POD Lead</t>
        </is>
      </c>
      <c r="I196" s="29" t="inlineStr">
        <is>
          <t>L5 – Lead · IC</t>
        </is>
      </c>
      <c r="J196" s="29" t="inlineStr">
        <is>
          <t>B1</t>
        </is>
      </c>
      <c r="K196" s="29" t="inlineStr">
        <is>
          <t>▼ Down · protected</t>
        </is>
      </c>
      <c r="L196" s="29" t="inlineStr">
        <is>
          <t>Engineering &amp; Development</t>
        </is>
      </c>
      <c r="M196" s="29" t="inlineStr">
        <is>
          <t>Data Engineering &amp; Database Development</t>
        </is>
      </c>
      <c r="N196" s="29" t="n"/>
      <c r="O196" s="29" t="n">
        <v>20</v>
      </c>
      <c r="P196" s="28" t="inlineStr">
        <is>
          <t>P3 / M2</t>
        </is>
      </c>
      <c r="Q196" s="29" t="inlineStr">
        <is>
          <t>Career / · Team Lead</t>
        </is>
      </c>
      <c r="R196" s="29" t="inlineStr">
        <is>
          <t>4 Enable</t>
        </is>
      </c>
      <c r="S196" s="29" t="inlineStr">
        <is>
          <t>4–7 yrs</t>
        </is>
      </c>
      <c r="T196" s="29" t="inlineStr">
        <is>
          <t>5–8 · 4–8</t>
        </is>
      </c>
      <c r="U196" s="29" t="inlineStr">
        <is>
          <t>Senior Software Engineer</t>
        </is>
      </c>
      <c r="V196" s="29" t="inlineStr">
        <is>
          <t>Workiva: SE / Senior SE · Broadridge India: Senior SE · Nasdaq / AxiomSL: Senior SE · Salesforce: MTS · Atlassian: P40 · Freshworks: Senior SE</t>
        </is>
      </c>
      <c r="W196" s="29" t="inlineStr">
        <is>
          <t>SFIA 9 · software development, programming; OWASP secure coding; cloud vendor certifications</t>
        </is>
      </c>
      <c r="X196" s="29" t="inlineStr">
        <is>
          <t>Core 3 · Future 3 · Functional 3 · Leadership 2</t>
        </is>
      </c>
      <c r="Y196" s="52" t="n">
        <v>160</v>
      </c>
      <c r="Z196" s="53" t="inlineStr">
        <is>
          <t>IRIS1809</t>
        </is>
      </c>
      <c r="AA196" s="53" t="inlineStr">
        <is>
          <t>Employee</t>
        </is>
      </c>
      <c r="AB196" s="53" t="inlineStr">
        <is>
          <t>Active</t>
        </is>
      </c>
      <c r="AC196" s="53" t="inlineStr">
        <is>
          <t>Jignasha Sawla</t>
        </is>
      </c>
      <c r="AD196" s="54" t="n">
        <v>43731</v>
      </c>
      <c r="AE196" s="53" t="inlineStr">
        <is>
          <t>Database Lead</t>
        </is>
      </c>
      <c r="AF196" s="53" t="inlineStr">
        <is>
          <t>B.E</t>
        </is>
      </c>
      <c r="AG196" s="53" t="inlineStr">
        <is>
          <t>Jitendra Kumar</t>
        </is>
      </c>
      <c r="AH196" s="53" t="inlineStr">
        <is>
          <t>N-4</t>
        </is>
      </c>
      <c r="AI196" s="53" t="inlineStr">
        <is>
          <t>Manager</t>
        </is>
      </c>
      <c r="AJ196" s="53" t="inlineStr">
        <is>
          <t>10 years, 0 months, 0 days</t>
        </is>
      </c>
      <c r="AK196" s="53" t="inlineStr">
        <is>
          <t>6 years, 11 months, 2 days</t>
        </is>
      </c>
      <c r="AL196" s="53" t="inlineStr">
        <is>
          <t>Regtech</t>
        </is>
      </c>
      <c r="AM196" s="53" t="inlineStr">
        <is>
          <t>iDEAL</t>
        </is>
      </c>
      <c r="AN196" s="53" t="inlineStr">
        <is>
          <t>Technology</t>
        </is>
      </c>
      <c r="AO196" s="53" t="inlineStr">
        <is>
          <t>Development</t>
        </is>
      </c>
      <c r="AP196" s="53" t="inlineStr">
        <is>
          <t>Yes</t>
        </is>
      </c>
      <c r="AQ196" s="53" t="inlineStr">
        <is>
          <t>Product/Project</t>
        </is>
      </c>
      <c r="AR196" s="53" t="inlineStr">
        <is>
          <t>SQL</t>
        </is>
      </c>
      <c r="AS196" s="53" t="inlineStr">
        <is>
          <t>Technical - Developer</t>
        </is>
      </c>
      <c r="AT196" s="53" t="n">
        <v>20</v>
      </c>
      <c r="AU196" s="53" t="inlineStr">
        <is>
          <t>Covered</t>
        </is>
      </c>
      <c r="AV196" s="53" t="n"/>
      <c r="AW196" s="53" t="n"/>
      <c r="AX196" s="53" t="n"/>
      <c r="AY196" s="53" t="n"/>
      <c r="AZ196" s="53" t="n"/>
      <c r="BA196" s="53" t="n"/>
      <c r="BB196" s="53" t="n"/>
      <c r="BC196" s="53" t="n"/>
      <c r="BD196" s="53" t="n"/>
      <c r="BE196" s="53" t="n"/>
      <c r="BF196" s="53" t="n"/>
      <c r="BG196" s="53" t="n"/>
      <c r="BH196" s="53" t="n"/>
      <c r="BI196" s="53" t="n"/>
      <c r="BJ196" s="53" t="n"/>
      <c r="BK196" s="53" t="n"/>
      <c r="BL196" s="53" t="n"/>
      <c r="BM196" s="53" t="n"/>
      <c r="BN196" s="53" t="n"/>
      <c r="BO196" s="53" t="n"/>
      <c r="BP196" s="53" t="n"/>
      <c r="BQ196" s="53" t="n"/>
      <c r="BR196" s="53" t="n"/>
      <c r="BS196" s="53" t="n"/>
      <c r="BT196" s="53" t="n"/>
      <c r="BU196" s="53" t="n"/>
      <c r="BV196" s="53" t="n"/>
      <c r="BW196" s="53" t="n"/>
      <c r="BX196" s="53" t="n"/>
      <c r="BY196" s="53" t="n"/>
      <c r="BZ196" s="53" t="n"/>
      <c r="CA196" s="53" t="n"/>
      <c r="CB196" s="53" t="n"/>
      <c r="CC196" s="53" t="n"/>
      <c r="CD196" s="53" t="n"/>
      <c r="CE196" s="53" t="n"/>
      <c r="CF196" s="53" t="n"/>
      <c r="CG196" s="53" t="n"/>
      <c r="CH196" s="53" t="n"/>
      <c r="CI196" s="53" t="n"/>
      <c r="CJ196" s="53" t="n"/>
      <c r="CK196" s="53" t="n"/>
      <c r="CL196" s="53" t="n"/>
      <c r="CM196" s="53" t="n"/>
      <c r="CN196" s="53" t="n"/>
      <c r="CO196" s="53" t="n"/>
      <c r="CP196" s="53" t="n"/>
      <c r="CQ196" s="53" t="n"/>
      <c r="CR196" s="53" t="n"/>
      <c r="CS196" s="53" t="n"/>
      <c r="CT196" s="53" t="n"/>
      <c r="CU196" s="53" t="n"/>
      <c r="CV196" s="53" t="n"/>
      <c r="CW196" s="53" t="n"/>
      <c r="CX196" s="53" t="n"/>
      <c r="CY196" s="53" t="n"/>
      <c r="CZ196" s="53" t="n"/>
      <c r="DA196" s="53" t="n"/>
      <c r="DB196" s="53" t="n"/>
      <c r="DC196" s="53" t="n"/>
      <c r="DD196" s="53" t="inlineStr">
        <is>
          <t>IRIS1809</t>
        </is>
      </c>
      <c r="DE196" s="53" t="inlineStr">
        <is>
          <t>Employee</t>
        </is>
      </c>
      <c r="DF196" s="53" t="inlineStr">
        <is>
          <t>Active</t>
        </is>
      </c>
      <c r="DG196" s="53" t="inlineStr">
        <is>
          <t>Jignasha Sawla</t>
        </is>
      </c>
      <c r="DH196" s="54" t="n">
        <v>43731</v>
      </c>
      <c r="DI196" s="53" t="inlineStr">
        <is>
          <t>Database Lead</t>
        </is>
      </c>
      <c r="DJ196" s="53" t="inlineStr">
        <is>
          <t>Engineering &amp; Development</t>
        </is>
      </c>
      <c r="DK196" s="53" t="inlineStr">
        <is>
          <t>Software Engineering</t>
        </is>
      </c>
      <c r="DL196" s="53" t="inlineStr">
        <is>
          <t>Database Lead</t>
        </is>
      </c>
      <c r="DM196" s="53" t="inlineStr">
        <is>
          <t>L5 – Lead · IC</t>
        </is>
      </c>
      <c r="DN196" s="53" t="inlineStr">
        <is>
          <t>B.E</t>
        </is>
      </c>
      <c r="DO196" s="53" t="inlineStr">
        <is>
          <t>Jitendra Kumar</t>
        </is>
      </c>
      <c r="DP196" s="53" t="inlineStr">
        <is>
          <t>N-4</t>
        </is>
      </c>
      <c r="DQ196" s="53" t="inlineStr">
        <is>
          <t>Manager</t>
        </is>
      </c>
      <c r="DR196" s="53" t="inlineStr">
        <is>
          <t>10 years, 0 months, 0 days</t>
        </is>
      </c>
      <c r="DS196" s="53" t="inlineStr">
        <is>
          <t>6 years, 8 months, 28 days</t>
        </is>
      </c>
      <c r="DT196" s="53" t="inlineStr">
        <is>
          <t>16 years, 8 months, 28 days</t>
        </is>
      </c>
      <c r="DU196" s="53" t="n">
        <v>6.74337899543379</v>
      </c>
      <c r="DV196" s="53" t="inlineStr">
        <is>
          <t>Regtech</t>
        </is>
      </c>
      <c r="DW196" s="53" t="inlineStr">
        <is>
          <t>iDEAL</t>
        </is>
      </c>
      <c r="DX196" s="53" t="inlineStr">
        <is>
          <t>Technology</t>
        </is>
      </c>
      <c r="DY196" s="53" t="inlineStr">
        <is>
          <t>Development</t>
        </is>
      </c>
      <c r="DZ196" s="53" t="inlineStr">
        <is>
          <t>Yes</t>
        </is>
      </c>
      <c r="EA196" s="53" t="inlineStr">
        <is>
          <t>Product/Project</t>
        </is>
      </c>
      <c r="EB196" s="53" t="inlineStr">
        <is>
          <t>SQL</t>
        </is>
      </c>
      <c r="EC196" s="53" t="inlineStr">
        <is>
          <t>Technical - Developer</t>
        </is>
      </c>
      <c r="ED196" s="53" t="inlineStr">
        <is>
          <t>Remote - Mumbai</t>
        </is>
      </c>
      <c r="EE196" s="53" t="inlineStr">
        <is>
          <t>Focused on delivering reliable, scalable, and optimized solutions while also aiming to enhance team productivity, adopt AI-driven development practices, and continuously upskill in ETL and BI tools like Apache Hop.</t>
        </is>
      </c>
      <c r="EF196" s="53" t="inlineStr">
        <is>
          <t>1. Deliver end-to-end database development and project deliverables with high quality, timely execution, and adherence to business requirements.
2. Lead technical execution, coordinate with stakeholders, and mentor team members to ensure successful project delivery and knowledge sharing.
3. Ensure application stability by resolving client issues, performing code reviews, testing, and supporting production deployments.
4. Drive innovation and productivity by leveraging AI, automation, and modern database/ETL technologies to improve development efficiency.
5. Continuously improve application performance, database optimization, and customer satisfaction through proactive enhancements and process improvements.</t>
        </is>
      </c>
      <c r="EG196" s="53" t="inlineStr">
        <is>
          <t>1	Achieve ≥ 98% defect-free delivery in production releases.
2	Complete assigned development tasks within agreed timelines · ≥ 95% on-time delivery.
3	Perform impact analysis for 100% of change requests before development.
4	Achieve ≥ 95% success rate in SIT/UAT cycles without major defects.
5	Ensure zero critical issues during production deployment.
6	Conduct daily/weekly status tracking with 100% task visibility.
7	Ensure balanced workload distribution across team · no resource overloaded &gt;110%.
8	Resolve team blockers within 24–48 hours.
9	Improve team delivery efficiency by ≥ 15% over the cycle.</t>
        </is>
      </c>
      <c r="EH196" s="53" t="n">
        <v>2</v>
      </c>
      <c r="EI196" s="53" t="n"/>
      <c r="EJ196" s="53" t="inlineStr">
        <is>
          <t>Same as per records</t>
        </is>
      </c>
      <c r="EK196" s="53" t="n"/>
      <c r="EL196" s="53" t="n">
        <v>2</v>
      </c>
      <c r="EM196" s="53" t="inlineStr">
        <is>
          <t>Low</t>
        </is>
      </c>
      <c r="EN196" s="53" t="inlineStr">
        <is>
          <t>Performance Risk</t>
        </is>
      </c>
      <c r="EO196" s="53" t="inlineStr">
        <is>
          <t>Not Ready</t>
        </is>
      </c>
      <c r="EP196" s="53" t="inlineStr">
        <is>
          <t>No</t>
        </is>
      </c>
      <c r="EQ196" s="53" t="inlineStr">
        <is>
          <t>No</t>
        </is>
      </c>
      <c r="ER196" s="53" t="n"/>
      <c r="ES196" s="53" t="inlineStr">
        <is>
          <t>Training on the effective utilization of AI tools.</t>
        </is>
      </c>
      <c r="ET196" s="53" t="n"/>
      <c r="EU196" s="53" t="n"/>
      <c r="EV196" s="53" t="n"/>
      <c r="EW196" s="52" t="n"/>
      <c r="EX196" s="53" t="n"/>
      <c r="EY196" s="53" t="n"/>
      <c r="EZ196" s="53" t="n"/>
      <c r="FA196" s="53" t="n"/>
      <c r="FB196" s="53" t="n"/>
      <c r="FC196" s="53" t="n"/>
      <c r="FD196" s="53" t="n"/>
      <c r="FE196" s="57" t="inlineStr">
        <is>
          <t>1. Deliver end-to-end database development and project deliverables with high quality, timely execution, and adherence to business requirements.
2. Lead technical execution, coordinate with stakeholders, and mentor team members to ensure successful project delivery and knowledge sharing.
3. Ensure application stability by resolving client issues, performing code reviews, testing, and supporting production deployments.
4. Drive innovation and productivity by leveraging AI, automation, and modern database/ETL technologies to improve development efficiency.
5. Continuously improve application performance, database optimization, and customer satisfaction through proactive enhancements and process improvements.</t>
        </is>
      </c>
      <c r="FF196" s="56" t="inlineStr">
        <is>
          <t>1	Achieve ≥ 98% defect-free delivery in production releases.
2	Complete assigned development tasks within agreed timelines · ≥ 95% on-time delivery.
3	Perform impact analysis for 100% of change requests before development.
4	Achieve ≥ 95% success rate in SIT/UAT cycles without major defects.
5	Ensure zero critical issues during production deployment.
6	Conduct daily/weekly status tracking with 100% task visibility.
7	Ensure balanced workload distribution across team · no resource overloaded &gt;110%.
8	Resolve team blockers within 24–48 hours.
9	Improve team delivery efficiency by ≥ 15% over the cycle.</t>
        </is>
      </c>
      <c r="FG196" s="56" t="inlineStr">
        <is>
          <t>Focused on delivering reliable, scalable, and optimized solutions while also aiming to enhance team productivity, adopt AI-driven development practices, and continuously upskill in ETL and BI tools like Apache Hop.</t>
        </is>
      </c>
      <c r="FH196" s="56" t="inlineStr">
        <is>
          <t>2</t>
        </is>
      </c>
      <c r="FI196" s="56" t="n"/>
      <c r="FJ196" s="56" t="inlineStr">
        <is>
          <t>Received · manager annual, quarterly, self</t>
        </is>
      </c>
      <c r="FK196" s="56" t="inlineStr">
        <is>
          <t>Talent Mapping · iDEAL</t>
        </is>
      </c>
      <c r="FL196" s="56" t="n">
        <v>20</v>
      </c>
      <c r="FM196" s="32" t="inlineStr">
        <is>
          <t>Full survey answers not in the files received · How We Grow export needed · HR</t>
        </is>
      </c>
      <c r="FN196" s="56" t="inlineStr">
        <is>
          <t>—</t>
        </is>
      </c>
      <c r="FO196" s="56" t="inlineStr">
        <is>
          <t>—</t>
        </is>
      </c>
      <c r="FP196" s="56" t="inlineStr">
        <is>
          <t>—</t>
        </is>
      </c>
      <c r="FQ196" s="56" t="inlineStr">
        <is>
          <t>—</t>
        </is>
      </c>
      <c r="FR196" s="56" t="inlineStr">
        <is>
          <t>Complexity: Evidence reads like A3: Database development of procedures and functions, ETL tools, resolves production database issues → moved down 0.5
Autonomy: Evidence reads like A3: Independently decides how to resolve database issues → moved down 0.5
Accountability: Evidence reads like A3: Accountable for any database issues, including out-of-hours production fixes → moved down 0.2
Leadership: Evidence reads like A3: Manages tasks and status of the team; 1 direct report → moved down 0.5</t>
        </is>
      </c>
      <c r="FS196" s="56" t="inlineStr">
        <is>
          <t>Common themes in sub-family holders, all levels' answers: business · support · data · solutions · build · reliable
Common themes in sub-family holders, all levels' answers: issue · support · development · data · resolution · deployment
Common themes in sub-family holders, all levels' answers: deliver · enhancements · solutions · product · data · models
Common themes in sub-family holders, all levels' answers: accountable · am · assigned · quality · solutions · personally
Common themes in sub-family holders, all levels' answers: issues · troubleshoot · independently · client · implement · technical
If the work is missed · role-holders' themes: issues · lead · incorrect.</t>
        </is>
      </c>
      <c r="FT196" s="56" t="inlineStr">
        <is>
          <t>Self-identified: Project / programme management
For the next role: Project / programme management</t>
        </is>
      </c>
      <c r="FU196" s="32" t="inlineStr">
        <is>
          <t>Full survey answers not in the files received · How We Grow export needed · HR</t>
        </is>
      </c>
    </row>
    <row r="197" ht="90" customHeight="1">
      <c r="A197" s="51" t="inlineStr">
        <is>
          <t>◂ Back</t>
        </is>
      </c>
      <c r="B197" s="29" t="inlineStr">
        <is>
          <t>Mapped</t>
        </is>
      </c>
      <c r="C197" s="28" t="inlineStr">
        <is>
          <t>iDEAL</t>
        </is>
      </c>
      <c r="D197" s="29" t="inlineStr">
        <is>
          <t>IRIS1858</t>
        </is>
      </c>
      <c r="E197" s="29" t="inlineStr">
        <is>
          <t>Prasad Bhoite</t>
        </is>
      </c>
      <c r="F197" s="29" t="inlineStr">
        <is>
          <t>Technology</t>
        </is>
      </c>
      <c r="G197" s="29" t="inlineStr">
        <is>
          <t>Software Engineer</t>
        </is>
      </c>
      <c r="H197" s="29" t="inlineStr">
        <is>
          <t>Senior Database Engineer</t>
        </is>
      </c>
      <c r="I197" s="29" t="inlineStr">
        <is>
          <t>L3 – Professional / Associate</t>
        </is>
      </c>
      <c r="J197" s="29" t="inlineStr">
        <is>
          <t>A3</t>
        </is>
      </c>
      <c r="K197" s="29" t="inlineStr">
        <is>
          <t>▲ Up</t>
        </is>
      </c>
      <c r="L197" s="29" t="inlineStr">
        <is>
          <t>Engineering &amp; Development</t>
        </is>
      </c>
      <c r="M197" s="29" t="inlineStr">
        <is>
          <t>Data Engineering &amp; Database Development</t>
        </is>
      </c>
      <c r="N197" s="29" t="n"/>
      <c r="O197" s="29" t="n">
        <v>20</v>
      </c>
      <c r="P197" s="28" t="inlineStr">
        <is>
          <t>P2</t>
        </is>
      </c>
      <c r="Q197" s="29" t="inlineStr">
        <is>
          <t>Developing</t>
        </is>
      </c>
      <c r="R197" s="29" t="inlineStr">
        <is>
          <t>3 Apply</t>
        </is>
      </c>
      <c r="S197" s="29" t="inlineStr">
        <is>
          <t>2–4 yrs</t>
        </is>
      </c>
      <c r="T197" s="29" t="inlineStr">
        <is>
          <t>3–5 · 2–5</t>
        </is>
      </c>
      <c r="U197" s="29" t="inlineStr">
        <is>
          <t>Software Engineer</t>
        </is>
      </c>
      <c r="V197" s="29" t="inlineStr">
        <is>
          <t>Workiva: SE · Broadridge India: SE · Nasdaq / AxiomSL: SE · Salesforce: MTS · Atlassian: P40 · 3–7 yrs · Freshworks: Senior SE</t>
        </is>
      </c>
      <c r="W197" s="29" t="inlineStr">
        <is>
          <t>SFIA 9 · software development, programming; OWASP secure coding; cloud vendor certifications</t>
        </is>
      </c>
      <c r="X197" s="29" t="inlineStr">
        <is>
          <t>Core 2 · Future 2 · Functional 3 · Leadership not scored</t>
        </is>
      </c>
      <c r="Y197" s="52" t="n">
        <v>166</v>
      </c>
      <c r="Z197" s="53" t="inlineStr">
        <is>
          <t>IRIS1858</t>
        </is>
      </c>
      <c r="AA197" s="53" t="inlineStr">
        <is>
          <t>Employee</t>
        </is>
      </c>
      <c r="AB197" s="53" t="inlineStr">
        <is>
          <t>Active</t>
        </is>
      </c>
      <c r="AC197" s="53" t="inlineStr">
        <is>
          <t>Prasad Bhoite</t>
        </is>
      </c>
      <c r="AD197" s="54" t="n">
        <v>43983</v>
      </c>
      <c r="AE197" s="53" t="inlineStr">
        <is>
          <t>Software Engineer</t>
        </is>
      </c>
      <c r="AF197" s="53" t="inlineStr">
        <is>
          <t>BCA</t>
        </is>
      </c>
      <c r="AG197" s="53" t="inlineStr">
        <is>
          <t>Jignasha Sawla</t>
        </is>
      </c>
      <c r="AH197" s="53" t="inlineStr">
        <is>
          <t>N-5</t>
        </is>
      </c>
      <c r="AI197" s="53" t="inlineStr">
        <is>
          <t>Individual Contributor</t>
        </is>
      </c>
      <c r="AJ197" s="53" t="inlineStr">
        <is>
          <t>0 years, 7 months, 4 days</t>
        </is>
      </c>
      <c r="AK197" s="53" t="inlineStr">
        <is>
          <t>6 years, 2 months, 24 days</t>
        </is>
      </c>
      <c r="AL197" s="53" t="inlineStr">
        <is>
          <t>Regtech</t>
        </is>
      </c>
      <c r="AM197" s="53" t="inlineStr">
        <is>
          <t>iDEAL</t>
        </is>
      </c>
      <c r="AN197" s="53" t="inlineStr">
        <is>
          <t>Technology</t>
        </is>
      </c>
      <c r="AO197" s="53" t="inlineStr">
        <is>
          <t>Development</t>
        </is>
      </c>
      <c r="AP197" s="53" t="inlineStr">
        <is>
          <t>Yes</t>
        </is>
      </c>
      <c r="AQ197" s="53" t="inlineStr">
        <is>
          <t>Product/Project</t>
        </is>
      </c>
      <c r="AR197" s="53" t="inlineStr">
        <is>
          <t>Java</t>
        </is>
      </c>
      <c r="AS197" s="53" t="inlineStr">
        <is>
          <t>Technical - Developer</t>
        </is>
      </c>
      <c r="AT197" s="53" t="n">
        <v>20</v>
      </c>
      <c r="AU197" s="53" t="inlineStr">
        <is>
          <t>Covered</t>
        </is>
      </c>
      <c r="AV197" s="53" t="n"/>
      <c r="AW197" s="53" t="n"/>
      <c r="AX197" s="53" t="n"/>
      <c r="AY197" s="53" t="n"/>
      <c r="AZ197" s="53" t="n"/>
      <c r="BA197" s="53" t="n"/>
      <c r="BB197" s="53" t="n"/>
      <c r="BC197" s="53" t="n"/>
      <c r="BD197" s="53" t="n"/>
      <c r="BE197" s="53" t="n"/>
      <c r="BF197" s="53" t="n"/>
      <c r="BG197" s="53" t="n"/>
      <c r="BH197" s="53" t="n"/>
      <c r="BI197" s="53" t="n"/>
      <c r="BJ197" s="53" t="n"/>
      <c r="BK197" s="53" t="n"/>
      <c r="BL197" s="53" t="n"/>
      <c r="BM197" s="53" t="n"/>
      <c r="BN197" s="53" t="n"/>
      <c r="BO197" s="53" t="n"/>
      <c r="BP197" s="53" t="n"/>
      <c r="BQ197" s="53" t="n"/>
      <c r="BR197" s="53" t="n"/>
      <c r="BS197" s="53" t="n"/>
      <c r="BT197" s="53" t="n"/>
      <c r="BU197" s="53" t="n"/>
      <c r="BV197" s="53" t="n"/>
      <c r="BW197" s="53" t="n"/>
      <c r="BX197" s="53" t="n"/>
      <c r="BY197" s="53" t="n"/>
      <c r="BZ197" s="53" t="n"/>
      <c r="CA197" s="53" t="n"/>
      <c r="CB197" s="53" t="n"/>
      <c r="CC197" s="53" t="n"/>
      <c r="CD197" s="53" t="n"/>
      <c r="CE197" s="53" t="n"/>
      <c r="CF197" s="53" t="n"/>
      <c r="CG197" s="53" t="n"/>
      <c r="CH197" s="53" t="n"/>
      <c r="CI197" s="53" t="n"/>
      <c r="CJ197" s="53" t="n"/>
      <c r="CK197" s="53" t="n"/>
      <c r="CL197" s="53" t="n"/>
      <c r="CM197" s="53" t="n"/>
      <c r="CN197" s="53" t="n"/>
      <c r="CO197" s="53" t="n"/>
      <c r="CP197" s="53" t="n"/>
      <c r="CQ197" s="53" t="n"/>
      <c r="CR197" s="53" t="n"/>
      <c r="CS197" s="53" t="n"/>
      <c r="CT197" s="53" t="n"/>
      <c r="CU197" s="53" t="n"/>
      <c r="CV197" s="53" t="n"/>
      <c r="CW197" s="53" t="n"/>
      <c r="CX197" s="53" t="n"/>
      <c r="CY197" s="53" t="n"/>
      <c r="CZ197" s="53" t="n"/>
      <c r="DA197" s="53" t="n"/>
      <c r="DB197" s="53" t="n"/>
      <c r="DC197" s="53" t="n"/>
      <c r="DD197" s="53" t="inlineStr">
        <is>
          <t>IRIS1858</t>
        </is>
      </c>
      <c r="DE197" s="53" t="inlineStr">
        <is>
          <t>Employee</t>
        </is>
      </c>
      <c r="DF197" s="53" t="inlineStr">
        <is>
          <t>Active</t>
        </is>
      </c>
      <c r="DG197" s="53" t="inlineStr">
        <is>
          <t>Prasad Bhoite</t>
        </is>
      </c>
      <c r="DH197" s="54" t="n">
        <v>43983</v>
      </c>
      <c r="DI197" s="53" t="inlineStr">
        <is>
          <t>Software Engineer</t>
        </is>
      </c>
      <c r="DJ197" s="53" t="inlineStr">
        <is>
          <t>Engineering &amp; Development</t>
        </is>
      </c>
      <c r="DK197" s="53" t="inlineStr">
        <is>
          <t>Backend Engineering · Java</t>
        </is>
      </c>
      <c r="DL197" s="53" t="inlineStr">
        <is>
          <t>Software Engineer</t>
        </is>
      </c>
      <c r="DM197" s="53" t="inlineStr">
        <is>
          <t>L3 – Professional / Associate</t>
        </is>
      </c>
      <c r="DN197" s="53" t="inlineStr">
        <is>
          <t>BCA</t>
        </is>
      </c>
      <c r="DO197" s="53" t="inlineStr">
        <is>
          <t>Jignasha Sawla</t>
        </is>
      </c>
      <c r="DP197" s="53" t="inlineStr">
        <is>
          <t>N-5</t>
        </is>
      </c>
      <c r="DQ197" s="53" t="inlineStr">
        <is>
          <t>Individual Contributor</t>
        </is>
      </c>
      <c r="DR197" s="53" t="inlineStr">
        <is>
          <t>0 years, 7 months, 4 days</t>
        </is>
      </c>
      <c r="DS197" s="53" t="inlineStr">
        <is>
          <t>6 years, 0 months, 19 days</t>
        </is>
      </c>
      <c r="DT197" s="53" t="inlineStr">
        <is>
          <t>6 years, 7 months, 23 days</t>
        </is>
      </c>
      <c r="DU197" s="53" t="n"/>
      <c r="DV197" s="53" t="inlineStr">
        <is>
          <t>Regtech</t>
        </is>
      </c>
      <c r="DW197" s="53" t="inlineStr">
        <is>
          <t>iDEAL</t>
        </is>
      </c>
      <c r="DX197" s="53" t="inlineStr">
        <is>
          <t>Technology</t>
        </is>
      </c>
      <c r="DY197" s="53" t="inlineStr">
        <is>
          <t>Development</t>
        </is>
      </c>
      <c r="DZ197" s="53" t="inlineStr">
        <is>
          <t>Yes</t>
        </is>
      </c>
      <c r="EA197" s="53" t="inlineStr">
        <is>
          <t>Product/Project</t>
        </is>
      </c>
      <c r="EB197" s="53" t="inlineStr">
        <is>
          <t>Java</t>
        </is>
      </c>
      <c r="EC197" s="53" t="inlineStr">
        <is>
          <t>Technical - Developer</t>
        </is>
      </c>
      <c r="ED197" s="53" t="inlineStr">
        <is>
          <t>Remote- Outside Mumbai</t>
        </is>
      </c>
      <c r="EE197" s="53" t="inlineStr">
        <is>
          <t>1.Improve expertise in advanced database development and performance optimization.
2.Strengthen skills in SQL, PL/SQL, stored procedures, triggers, and query tuning.
3.Learn advanced query optimization to enhance performance of complex queries.
4.Gain experience in Oracle, SQL Server, and PostgreSQL, focusing on clean and reusable code.
5.Explore AI integration for automation, analytics, and predictive reporting.
6.Understand ETL concepts · Extract, Transform, Load and data integration tools for data warehousing.</t>
        </is>
      </c>
      <c r="EF197" s="53" t="inlineStr">
        <is>
          <t>1.Ensure timely and high-quality delivery of database development tasks across Oracle and SQL Server
2.Ensure continuous skill development in advanced database technologies and tools within the team
3.Promote best practices in database development, code quality, and performance optimization
4. Learn ETL tools like Apache Hop and use it in the project even for achieving basic ETL functions.
5.Facilitate effective requirement gathering and ensure technical inputs improve solution design</t>
        </is>
      </c>
      <c r="EG197" s="53" t="inlineStr">
        <is>
          <t>1. Deliver database development tasks for Bharat Forge in Oracle and SQL Server aligned with business requirements.
2.Independently handle database activities with reduced dependency on senior team members.
3.Supported new modules and evolving client requirements effectively
4.Contributed to requirement discussions with actionable technical suggestions
5.Provided client support for database operations including procedures, data migration, and data updates
6.Manage backend operations for Reliance project · data uploads, master data, truncation, updates
Implemented change requests and ensured successful production deployments.</t>
        </is>
      </c>
      <c r="EH197" s="53" t="n">
        <v>3</v>
      </c>
      <c r="EI197" s="53" t="n"/>
      <c r="EJ197" s="53" t="inlineStr">
        <is>
          <t>Same as per records</t>
        </is>
      </c>
      <c r="EK197" s="53" t="n"/>
      <c r="EL197" s="53" t="n">
        <v>3</v>
      </c>
      <c r="EM197" s="53" t="inlineStr">
        <is>
          <t>Medium</t>
        </is>
      </c>
      <c r="EN197" s="53" t="inlineStr">
        <is>
          <t>Emerging Talent</t>
        </is>
      </c>
      <c r="EO197" s="53" t="inlineStr">
        <is>
          <t>Not Ready</t>
        </is>
      </c>
      <c r="EP197" s="53" t="inlineStr">
        <is>
          <t>No</t>
        </is>
      </c>
      <c r="EQ197" s="53" t="inlineStr">
        <is>
          <t>Yes</t>
        </is>
      </c>
      <c r="ER197" s="53" t="n"/>
      <c r="ES197" s="53" t="inlineStr">
        <is>
          <t>Training on the effective utilization of AI tools.</t>
        </is>
      </c>
      <c r="ET197" s="53" t="n"/>
      <c r="EU197" s="53" t="n"/>
      <c r="EV197" s="53" t="n"/>
      <c r="EW197" s="52" t="n"/>
      <c r="EX197" s="53" t="n"/>
      <c r="EY197" s="53" t="n"/>
      <c r="EZ197" s="53" t="n"/>
      <c r="FA197" s="53" t="n"/>
      <c r="FB197" s="53" t="n"/>
      <c r="FC197" s="53" t="n"/>
      <c r="FD197" s="53" t="n"/>
      <c r="FE197" s="57" t="inlineStr">
        <is>
          <t>1.Ensure timely and high-quality delivery of database development tasks across Oracle and SQL Server
2.Ensure continuous skill development in advanced database technologies and tools within the team
3.Promote best practices in database development, code quality, and performance optimization
4. Learn ETL tools like Apache Hop and use it in the project even for achieving basic ETL functions.
5.Facilitate effective requirement gathering and ensure technical inputs improve solution design</t>
        </is>
      </c>
      <c r="FF197" s="56" t="inlineStr">
        <is>
          <t>1. Deliver database development tasks for Bharat Forge in Oracle and SQL Server aligned with business requirements.
2.Independently handle database activities with reduced dependency on senior team members.
3.Supported new modules and evolving client requirements effectively
4.Contributed to requirement discussions with actionable technical suggestions
5.Provided client support for database operations including procedures, data migration, and data updates
6.Manage backend operations for Reliance project · data uploads, master data, truncation, updates
Implemented change requests and ensured successful production deployments.</t>
        </is>
      </c>
      <c r="FG197" s="56" t="inlineStr">
        <is>
          <t>1.Improve expertise in advanced database development and performance optimization.
2.Strengthen skills in SQL, PL/SQL, stored procedures, triggers, and query tuning.
3.Learn advanced query optimization to enhance performance of complex queries.
4.Gain experience in Oracle, SQL Server, and PostgreSQL, focusing on clean and reusable code.
5.Explore AI integration for automation, analytics, and predictive reporting.
6.Understand ETL concepts · Extract, Transform, Load and data integration tools for data warehousing.</t>
        </is>
      </c>
      <c r="FH197" s="56" t="inlineStr">
        <is>
          <t>3</t>
        </is>
      </c>
      <c r="FI197" s="56" t="n"/>
      <c r="FJ197" s="56" t="inlineStr">
        <is>
          <t>Received · manager annual, quarterly, self</t>
        </is>
      </c>
      <c r="FK197" s="56" t="inlineStr">
        <is>
          <t>Talent Mapping · iDEAL</t>
        </is>
      </c>
      <c r="FL197" s="56" t="n">
        <v>20</v>
      </c>
      <c r="FM197" s="32" t="inlineStr">
        <is>
          <t>Full survey answers not in the files received · How We Grow export needed · HR</t>
        </is>
      </c>
      <c r="FN197" s="56" t="inlineStr">
        <is>
          <t>—</t>
        </is>
      </c>
      <c r="FO197" s="56" t="inlineStr">
        <is>
          <t>—</t>
        </is>
      </c>
      <c r="FP197" s="56" t="inlineStr">
        <is>
          <t>—</t>
        </is>
      </c>
      <c r="FQ197" s="56" t="inlineStr">
        <is>
          <t>—</t>
        </is>
      </c>
      <c r="FR197" s="56" t="inlineStr">
        <is>
          <t>Complexity: Evidence reads like A3: Data models, stored procedures, query optimisation, performance monitoring and production issue support → moved up 0.5
Autonomy: Evidence reads like A2: own survey / KRA answers · summarised by the rater; not quoted → matches the start
Accountability: Evidence reads like A3: Data integrity and database performance; errors cause downtime or reporting issues → moved up 0.5
Leadership: Evidence reads like A1: No guidance of others described → matches the start
Business Impact: Moved +0.5: the survey / manager mapping marks it business-critical.</t>
        </is>
      </c>
      <c r="FS197" s="56" t="inlineStr">
        <is>
          <t>Common themes in role-holders' answers: business · support · data · solutions · build · reliable
Common themes in role-holders' answers: issue · support · development · data · resolution · deployment
Common themes in role-holders' answers: deliver · enhancements · solutions · product · data · models
Common themes in role-holders' answers: accountable · assigned · quality · solutions · personally · delivery
Common themes in role-holders' answers: issues · troubleshoot · independently · client · implement · technical
If the work is missed · role-holders' themes: issues · lead · incorrect · data.
Measured on · manager-set KRA themes: quality · deliver · project · timely · development · code.</t>
        </is>
      </c>
      <c r="FT197" s="56" t="inlineStr">
        <is>
          <t>Self-identified: AI / automation · Technical depth &amp; architecture · Data, SQL &amp; analytics · Broader exposure &amp; ownership
For the next role: AI / automation · Technical depth &amp; architecture · Data, SQL &amp; analytics · Broader exposure &amp; ownership</t>
        </is>
      </c>
      <c r="FU197" s="32" t="inlineStr">
        <is>
          <t>Full survey answers not in the files received · How We Grow export needed · HR</t>
        </is>
      </c>
    </row>
    <row r="198" ht="90" customHeight="1">
      <c r="A198" s="51" t="inlineStr">
        <is>
          <t>◂ Back</t>
        </is>
      </c>
      <c r="B198" s="29" t="inlineStr">
        <is>
          <t>Mapped</t>
        </is>
      </c>
      <c r="C198" s="28" t="inlineStr">
        <is>
          <t>iDEAL</t>
        </is>
      </c>
      <c r="D198" s="29" t="inlineStr">
        <is>
          <t>IRIS2052</t>
        </is>
      </c>
      <c r="E198" s="29" t="inlineStr">
        <is>
          <t>Akshata Sabale</t>
        </is>
      </c>
      <c r="F198" s="29" t="inlineStr">
        <is>
          <t>Technology</t>
        </is>
      </c>
      <c r="G198" s="29" t="inlineStr">
        <is>
          <t>Software Engineer</t>
        </is>
      </c>
      <c r="H198" s="29" t="inlineStr">
        <is>
          <t>Senior Software Engineer</t>
        </is>
      </c>
      <c r="I198" s="29" t="inlineStr">
        <is>
          <t>L3 – Professional / Associate</t>
        </is>
      </c>
      <c r="J198" s="29" t="inlineStr">
        <is>
          <t>A3</t>
        </is>
      </c>
      <c r="K198" s="29" t="inlineStr">
        <is>
          <t>▲ Up</t>
        </is>
      </c>
      <c r="L198" s="29" t="inlineStr">
        <is>
          <t>Engineering &amp; Development</t>
        </is>
      </c>
      <c r="M198" s="29" t="inlineStr">
        <is>
          <t>Backend Development</t>
        </is>
      </c>
      <c r="N198" s="29" t="n"/>
      <c r="O198" s="29" t="n">
        <v>20</v>
      </c>
      <c r="P198" s="28" t="inlineStr">
        <is>
          <t>P2</t>
        </is>
      </c>
      <c r="Q198" s="29" t="inlineStr">
        <is>
          <t>Developing</t>
        </is>
      </c>
      <c r="R198" s="29" t="inlineStr">
        <is>
          <t>3 Apply</t>
        </is>
      </c>
      <c r="S198" s="29" t="inlineStr">
        <is>
          <t>2–4 yrs</t>
        </is>
      </c>
      <c r="T198" s="29" t="inlineStr">
        <is>
          <t>3–5 · 2–5</t>
        </is>
      </c>
      <c r="U198" s="29" t="inlineStr">
        <is>
          <t>Software Engineer</t>
        </is>
      </c>
      <c r="V198" s="29" t="inlineStr">
        <is>
          <t>Workiva: SE · Broadridge India: SE · Nasdaq / AxiomSL: SE · Salesforce: MTS · Atlassian: P40 · 3–7 yrs · Freshworks: Senior SE</t>
        </is>
      </c>
      <c r="W198" s="29" t="inlineStr">
        <is>
          <t>SFIA 9 · software development, programming; OWASP secure coding; cloud vendor certifications</t>
        </is>
      </c>
      <c r="X198" s="29" t="inlineStr">
        <is>
          <t>Core 2 · Future 2 · Functional 3 · Leadership not scored</t>
        </is>
      </c>
      <c r="Y198" s="52" t="n">
        <v>236</v>
      </c>
      <c r="Z198" s="53" t="inlineStr">
        <is>
          <t>IRIS2052</t>
        </is>
      </c>
      <c r="AA198" s="53" t="inlineStr">
        <is>
          <t>Employee</t>
        </is>
      </c>
      <c r="AB198" s="53" t="inlineStr">
        <is>
          <t>Active</t>
        </is>
      </c>
      <c r="AC198" s="53" t="inlineStr">
        <is>
          <t>Akshata Sabale</t>
        </is>
      </c>
      <c r="AD198" s="54" t="n">
        <v>44774</v>
      </c>
      <c r="AE198" s="53" t="inlineStr">
        <is>
          <t>Software Engineer</t>
        </is>
      </c>
      <c r="AF198" s="53" t="inlineStr">
        <is>
          <t>B.E</t>
        </is>
      </c>
      <c r="AG198" s="53" t="inlineStr">
        <is>
          <t>Jitendra Kumar</t>
        </is>
      </c>
      <c r="AH198" s="53" t="inlineStr">
        <is>
          <t>N-4</t>
        </is>
      </c>
      <c r="AI198" s="53" t="inlineStr">
        <is>
          <t>Individual Contributor</t>
        </is>
      </c>
      <c r="AJ198" s="53" t="inlineStr">
        <is>
          <t>1 years, 0 months, 0 days</t>
        </is>
      </c>
      <c r="AK198" s="53" t="inlineStr">
        <is>
          <t>4 years, 0 months, 24 days</t>
        </is>
      </c>
      <c r="AL198" s="53" t="inlineStr">
        <is>
          <t>Regtech</t>
        </is>
      </c>
      <c r="AM198" s="53" t="inlineStr">
        <is>
          <t>iDEAL</t>
        </is>
      </c>
      <c r="AN198" s="53" t="inlineStr">
        <is>
          <t>Technology</t>
        </is>
      </c>
      <c r="AO198" s="53" t="inlineStr">
        <is>
          <t>Development</t>
        </is>
      </c>
      <c r="AP198" s="53" t="inlineStr">
        <is>
          <t>Yes</t>
        </is>
      </c>
      <c r="AQ198" s="53" t="inlineStr">
        <is>
          <t>Product/Project</t>
        </is>
      </c>
      <c r="AR198" s="53" t="inlineStr">
        <is>
          <t>.NET MVC</t>
        </is>
      </c>
      <c r="AS198" s="53" t="inlineStr">
        <is>
          <t>Technical - Developer</t>
        </is>
      </c>
      <c r="AT198" s="53" t="n">
        <v>20</v>
      </c>
      <c r="AU198" s="53" t="inlineStr">
        <is>
          <t>Covered</t>
        </is>
      </c>
      <c r="AV198" s="53" t="n"/>
      <c r="AW198" s="53" t="n"/>
      <c r="AX198" s="53" t="n"/>
      <c r="AY198" s="53" t="n"/>
      <c r="AZ198" s="53" t="n"/>
      <c r="BA198" s="53" t="n"/>
      <c r="BB198" s="53" t="n"/>
      <c r="BC198" s="53" t="n"/>
      <c r="BD198" s="53" t="n"/>
      <c r="BE198" s="53" t="n"/>
      <c r="BF198" s="53" t="n"/>
      <c r="BG198" s="53" t="n"/>
      <c r="BH198" s="53" t="n"/>
      <c r="BI198" s="53" t="n"/>
      <c r="BJ198" s="53" t="n"/>
      <c r="BK198" s="53" t="n"/>
      <c r="BL198" s="53" t="n"/>
      <c r="BM198" s="53" t="n"/>
      <c r="BN198" s="53" t="n"/>
      <c r="BO198" s="53" t="n"/>
      <c r="BP198" s="53" t="n"/>
      <c r="BQ198" s="53" t="n"/>
      <c r="BR198" s="53" t="n"/>
      <c r="BS198" s="53" t="n"/>
      <c r="BT198" s="53" t="n"/>
      <c r="BU198" s="53" t="n"/>
      <c r="BV198" s="53" t="n"/>
      <c r="BW198" s="53" t="n"/>
      <c r="BX198" s="53" t="n"/>
      <c r="BY198" s="53" t="n"/>
      <c r="BZ198" s="53" t="n"/>
      <c r="CA198" s="53" t="n"/>
      <c r="CB198" s="53" t="n"/>
      <c r="CC198" s="53" t="n"/>
      <c r="CD198" s="53" t="n"/>
      <c r="CE198" s="53" t="n"/>
      <c r="CF198" s="53" t="n"/>
      <c r="CG198" s="53" t="n"/>
      <c r="CH198" s="53" t="n"/>
      <c r="CI198" s="53" t="n"/>
      <c r="CJ198" s="53" t="n"/>
      <c r="CK198" s="53" t="n"/>
      <c r="CL198" s="53" t="n"/>
      <c r="CM198" s="53" t="n"/>
      <c r="CN198" s="53" t="n"/>
      <c r="CO198" s="53" t="n"/>
      <c r="CP198" s="53" t="n"/>
      <c r="CQ198" s="53" t="n"/>
      <c r="CR198" s="53" t="n"/>
      <c r="CS198" s="53" t="n"/>
      <c r="CT198" s="53" t="n"/>
      <c r="CU198" s="53" t="n"/>
      <c r="CV198" s="53" t="n"/>
      <c r="CW198" s="53" t="n"/>
      <c r="CX198" s="53" t="n"/>
      <c r="CY198" s="53" t="n"/>
      <c r="CZ198" s="53" t="n"/>
      <c r="DA198" s="53" t="n"/>
      <c r="DB198" s="53" t="n"/>
      <c r="DC198" s="53" t="n"/>
      <c r="DD198" s="53" t="inlineStr">
        <is>
          <t>IRIS2052</t>
        </is>
      </c>
      <c r="DE198" s="53" t="inlineStr">
        <is>
          <t>Employee</t>
        </is>
      </c>
      <c r="DF198" s="53" t="inlineStr">
        <is>
          <t>Active</t>
        </is>
      </c>
      <c r="DG198" s="53" t="inlineStr">
        <is>
          <t>Akshata Sabale</t>
        </is>
      </c>
      <c r="DH198" s="54" t="n">
        <v>44774</v>
      </c>
      <c r="DI198" s="53" t="inlineStr">
        <is>
          <t>Software Engineer</t>
        </is>
      </c>
      <c r="DJ198" s="53" t="inlineStr">
        <is>
          <t>Engineering &amp; Development</t>
        </is>
      </c>
      <c r="DK198" s="53" t="inlineStr">
        <is>
          <t>Backend Engineering ·.NET</t>
        </is>
      </c>
      <c r="DL198" s="53" t="inlineStr">
        <is>
          <t>Software Engineer</t>
        </is>
      </c>
      <c r="DM198" s="53" t="inlineStr">
        <is>
          <t>L3 – Professional / Associate</t>
        </is>
      </c>
      <c r="DN198" s="53" t="inlineStr">
        <is>
          <t>B.E</t>
        </is>
      </c>
      <c r="DO198" s="53" t="inlineStr">
        <is>
          <t>Jitendra Kumar</t>
        </is>
      </c>
      <c r="DP198" s="53" t="inlineStr">
        <is>
          <t>N-4</t>
        </is>
      </c>
      <c r="DQ198" s="53" t="inlineStr">
        <is>
          <t>Individual Contributor</t>
        </is>
      </c>
      <c r="DR198" s="53" t="inlineStr">
        <is>
          <t>1 years, 0 months, 0 days</t>
        </is>
      </c>
      <c r="DS198" s="53" t="inlineStr">
        <is>
          <t>3 years, 10 months, 19 days</t>
        </is>
      </c>
      <c r="DT198" s="53" t="inlineStr">
        <is>
          <t>4 years, 10 months, 19 days</t>
        </is>
      </c>
      <c r="DU198" s="53" t="n"/>
      <c r="DV198" s="53" t="inlineStr">
        <is>
          <t>Regtech</t>
        </is>
      </c>
      <c r="DW198" s="53" t="inlineStr">
        <is>
          <t>iDEAL</t>
        </is>
      </c>
      <c r="DX198" s="53" t="inlineStr">
        <is>
          <t>Technology</t>
        </is>
      </c>
      <c r="DY198" s="53" t="inlineStr">
        <is>
          <t>Development</t>
        </is>
      </c>
      <c r="DZ198" s="53" t="inlineStr">
        <is>
          <t>Yes</t>
        </is>
      </c>
      <c r="EA198" s="53" t="inlineStr">
        <is>
          <t>Product/Project</t>
        </is>
      </c>
      <c r="EB198" s="53" t="inlineStr">
        <is>
          <t>.NET MVC</t>
        </is>
      </c>
      <c r="EC198" s="53" t="inlineStr">
        <is>
          <t>Technical - Developer</t>
        </is>
      </c>
      <c r="ED198" s="53" t="inlineStr">
        <is>
          <t>Remote- Outside Mumbai</t>
        </is>
      </c>
      <c r="EE198" s="53" t="inlineStr">
        <is>
          <t>1	RPT Application Enhancement, Support &amp; Future Development
		1. Continuously enhance and maintain the RPT application by implementing future client requirements, new features, and business-driven enhancements to ensure the application evolves according to changing business needs. Provide ongoing support across all modules by resolving issues and fixing bugs on time to keep the application stable, reliable, and bug-free.
		2. Focus on improving system performance, usability, and maintainability through clean development practices, proper validations, testing, and workflow optimization to improve overall application quality and user experience.
		3. Strengthen the application architecture for future scalability by supporting continuous enhancements, maintaining system stability, and ensuring the RPT application remains an efficient, client-ready, and long-term sustainable solution.
2	Skill Enhancement &amp; End-to-End Development Contribution in WebIDEAL 6.0
	Build strong technical expertise while working on the new React-based WebIDEAL 6.0 application by learning and adapting to the new technology stack. Understand the business logic and functionality of the existing application and successfully implement it on the new platform. Actively contribute to both frontend and backend development, while participating in application development, enhancements, optimization, and future improvements to support successful project delivery and contribute to the long-term growth of the application.
3	Ownership and Handling of Mutual Fund &amp; FATCA Application	
Act as the primary development resource for the Mutual Fund &amp; FATCA Application, managing complete report development lifecycle, change request execution, client issue resolution, and ongoing system improvements. Ensure stable operations, accurate report generation, and efficient support delivery while maintaining overall application quality.
4	Technical Growth, Cross-Team Contribution &amp; Continuous Improvement
	Demonstrate flexibility in handling diverse project assignments by taking responsibility for successful task execution and delivering quality solutions within timelines. Continuously enhance technical expertise by learning new technologies, frameworks, and development practices to expand overall capability and adaptability. Contribute proactively to team success by supporting colleagues wherever needed and collaborating across multiple projects. Continuously improve work efficiency and delivery speed by effectively utilizing modern development tools such as GitHub Copilot, enabling faster development, better productivity, and continuous process improvement.
5	Building a Reusable Enterprise Data Comparison Framework for Long-Term Reporting Automation in WebIDEAL 5.5
	Strengthen and evolve the configurable Data Variation and Log framework in WebIDEAL 5.5 into a long-term reusable reporting solution capable of supporting diverse report structures through flexible configuration-based implementation. Establish a standardized architecture for report comparison by enabling dynamic table-level configuration, unique field-based matching logic, configurable column mapping, and consistent variance generation across reports. Drive continuous enhancement of the framework to improve scalability, reduce future development dependency, accelerate report onboarding, and create a sustainable automation-driven solution for efficient data validation and reporting consistency across the platform.</t>
        </is>
      </c>
      <c r="EF198" s="53" t="inlineStr">
        <is>
          <t>1. AI-Assisted Development Adoption: Use AI coding assistants for at least 60% of development tasks , with no increase in bug-escape rate.
2. ownership: Take complete ownership of the iDEAL RPT ensuring timely delivery of client requirements, production support, and continuous improvements.
3. Test Coverage: Achieve and maintain 80%+ unit test coverage on all new code contributions.
4. Code Reviews: Conduct at least 50 peer code reviews over the year with actionable feedback.
5.Secure Coding Mentorship: Conduct quarterly secure coding training/workshops for the team · e.g., OWASP Top 10, secure API design, with measurable reduction in recurring vulnerability classes found in audits · target: 25% YoY reduction.</t>
        </is>
      </c>
      <c r="EG198" s="53" t="inlineStr">
        <is>
          <t>1	RPT Application Enhancement, Development, and Stabilization
2	Learning, Skill Enhancement &amp; Development Contribution in WebIDEAL 6.0
3	Report Development, Validation &amp; Automated File Processing Enhancement
4	Mutual Fund &amp; FATCA Application Development, Change Management &amp; Client Support
5	Data Variation Report Configuration &amp; Standardization</t>
        </is>
      </c>
      <c r="EH198" s="53" t="n">
        <v>3</v>
      </c>
      <c r="EI198" s="53" t="n"/>
      <c r="EJ198" s="53" t="inlineStr">
        <is>
          <t>Same as per records</t>
        </is>
      </c>
      <c r="EK198" s="53" t="n"/>
      <c r="EL198" s="53" t="n">
        <v>3</v>
      </c>
      <c r="EM198" s="53" t="inlineStr">
        <is>
          <t>Medium</t>
        </is>
      </c>
      <c r="EN198" s="53" t="inlineStr">
        <is>
          <t>Core Contributor</t>
        </is>
      </c>
      <c r="EO198" s="53" t="inlineStr">
        <is>
          <t>Not Ready</t>
        </is>
      </c>
      <c r="EP198" s="53" t="inlineStr">
        <is>
          <t>No</t>
        </is>
      </c>
      <c r="EQ198" s="53" t="inlineStr">
        <is>
          <t>No</t>
        </is>
      </c>
      <c r="ER198" s="53" t="n"/>
      <c r="ES198" s="53" t="inlineStr">
        <is>
          <t>XBRL Training, Training on the effective utilization of AI tools.</t>
        </is>
      </c>
      <c r="ET198" s="53" t="n"/>
      <c r="EU198" s="53" t="n"/>
      <c r="EV198" s="53" t="n"/>
      <c r="EW198" s="52" t="n"/>
      <c r="EX198" s="53" t="n"/>
      <c r="EY198" s="53" t="n"/>
      <c r="EZ198" s="53" t="n"/>
      <c r="FA198" s="53" t="n"/>
      <c r="FB198" s="53" t="n"/>
      <c r="FC198" s="53" t="inlineStr">
        <is>
          <t>Annual KRAs · objective Measurable Minimum 5 - set by Manager</t>
        </is>
      </c>
      <c r="FD198" s="53" t="n"/>
      <c r="FE198" s="57" t="inlineStr">
        <is>
          <t>1. AI-Assisted Development Adoption: Use AI coding assistants for at least 60% of development tasks , with no increase in bug-escape rate.
2. ownership: Take complete ownership of the iDEAL RPT ensuring timely delivery of client requirements, production support, and continuous improvements.
3. Test Coverage: Achieve and maintain 80%+ unit test coverage on all new code contributions.
4. Code Reviews: Conduct at least 50 peer code reviews over the year with actionable feedback.
5.Secure Coding Mentorship: Conduct quarterly secure coding training/workshops for the team · e.g., OWASP Top 10, secure API design, with measurable reduction in recurring vulnerability classes found in audits · target: 25% YoY reduction.</t>
        </is>
      </c>
      <c r="FF198" s="56" t="inlineStr">
        <is>
          <t>1	RPT Application Enhancement, Development, and Stabilization
2	Learning, Skill Enhancement &amp; Development Contribution in WebIDEAL 6.0
3	Report Development, Validation &amp; Automated File Processing Enhancement
4	Mutual Fund &amp; FATCA Application Development, Change Management &amp; Client Support
5	Data Variation Report Configuration &amp; Standardization</t>
        </is>
      </c>
      <c r="FG198" s="56" t="inlineStr">
        <is>
          <t>1	RPT Application Enhancement, Support &amp; Future Development
		1. Continuously enhance and maintain the RPT application by implementing future client requirements, new features, and business-driven enhancements to ensure the application evolves according to changing business needs. Provide ongoing support across all modules by resolving issues and fixing bugs on time to keep the application stable, reliable, and bug-free.
		2. Focus on improving system performance, usability, and maintainability through clean development practices, proper validations, testing, and workflow optimization to improve overall application quality and user experience.
		3. Strengthen the application architecture for future scalability by supporting continuous enhancements, maintaining system stability, and ensuring the RPT application remains an efficient, client-ready, and long-term sustainable solution.
2	Skill Enhancement &amp; End-to-End Development Contribution in WebIDEAL 6.0
	Build strong technical expertise while working on the new React-based WebIDEAL 6.0 application by learning and adapting to the new technology stack. Understand the business logic and functionality of the existing application and successfully implement it on the new platform. Actively contribute to both frontend and backend development, while participating in application development, enhancements, optimization, and future improvements to support successful project delivery and contribute to the long-term growth of the application.
3	Ownership and Handling of Mutual Fund &amp; FATCA Application	
Act as the primary development resource for the Mutual Fund &amp; FATCA Application, managing complete report development lifecycle, change request execution, client issue resolution, and ongoing system improvements. Ensure stable operations, accurate report generation, and efficient support delivery while maintaining overall application quality.
4	Technical Growth, Cross-Team Contribution &amp; Continuous Improvement
	Demonstrate flexibility in handling diverse project assignments by taking responsibility for successful task execution and delivering quality solutions within timelines. Continuously enhance technical expertise by learning new technologies, frameworks, and development practices to expand overall capability and adaptability. Contribute proactively to team success by supporting colleagues wherever needed and collaborating across multiple projects. Continuously improve work efficiency and delivery speed by effectively utilizing modern development tools such as GitHub Copilot, enabling faster development, better productivity, and continuous process improvement.
5	Building a Reusable Enterprise Data Comparison Framework for Long-Term Reporting Automation in WebIDEAL 5.5
	Strengthen and evolve the configurable Data Variation and Log framework in WebIDEAL 5.5 into a long-term reusable reporting solution capable of supporting diverse report structures through flexible configuration-based implementation. Establish a standardized architecture for report comparison by enabling dynamic table-level configuration, unique field-based matching logic, configurable column mapping, and consistent variance generation across reports. Drive continuous enhancement of the framework to improve scalability, reduce future development dependency, accelerate report onboarding, and create a sustainable automation-driven solution for efficient data validation and reporting consistency across the platform.</t>
        </is>
      </c>
      <c r="FH198" s="56" t="inlineStr">
        <is>
          <t>3</t>
        </is>
      </c>
      <c r="FI198" s="56" t="n"/>
      <c r="FJ198" s="56" t="inlineStr">
        <is>
          <t>Received · manager annual, quarterly, self</t>
        </is>
      </c>
      <c r="FK198" s="56" t="inlineStr">
        <is>
          <t>Talent Mapping · iDEAL</t>
        </is>
      </c>
      <c r="FL198" s="56" t="n">
        <v>20</v>
      </c>
      <c r="FM198" s="32" t="inlineStr">
        <is>
          <t>Full survey answers not in the files received · How We Grow export needed · HR</t>
        </is>
      </c>
      <c r="FN198" s="56" t="inlineStr">
        <is>
          <t>—</t>
        </is>
      </c>
      <c r="FO198" s="56" t="inlineStr">
        <is>
          <t>—</t>
        </is>
      </c>
      <c r="FP198" s="56" t="inlineStr">
        <is>
          <t>—</t>
        </is>
      </c>
      <c r="FQ198" s="56" t="inlineStr">
        <is>
          <t>—</t>
        </is>
      </c>
      <c r="FR198" s="56" t="inlineStr">
        <is>
          <t>Complexity: Evidence reads like A3: New features, bug fixes, code review, live-issue debugging, report development, unit testing on RPT application → moved up 0.5
Autonomy: Evidence reads like A2: Only 'code implementation' given as independent decision → matches the start
Accountability: Evidence reads like A3: Code he ships to production; breakage means urgent fix by him → moved up 0.5
Leadership: Evidence reads like A1: Reviews code but no guidance of others described → matches the start
Business Impact: No survey or manager-mapping signal on criticality: kept at the start point.</t>
        </is>
      </c>
      <c r="FS198"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198" s="56" t="inlineStr">
        <is>
          <t>Self-identified: Answered · no common topic
For the next role: Answered · no common topic</t>
        </is>
      </c>
      <c r="FU198" s="32" t="inlineStr">
        <is>
          <t>Full survey answers not in the files received · How We Grow export needed · HR</t>
        </is>
      </c>
    </row>
    <row r="199" ht="90" customHeight="1">
      <c r="A199" s="51" t="inlineStr">
        <is>
          <t>◂ Back</t>
        </is>
      </c>
      <c r="B199" s="29" t="inlineStr">
        <is>
          <t>Mapped</t>
        </is>
      </c>
      <c r="C199" s="28" t="inlineStr">
        <is>
          <t>iDEAL</t>
        </is>
      </c>
      <c r="D199" s="29" t="inlineStr">
        <is>
          <t>IRIS1922</t>
        </is>
      </c>
      <c r="E199" s="29" t="inlineStr">
        <is>
          <t>H Marenna</t>
        </is>
      </c>
      <c r="F199" s="29" t="inlineStr">
        <is>
          <t>Technology</t>
        </is>
      </c>
      <c r="G199" s="29" t="inlineStr">
        <is>
          <t>Senior Software Engineer</t>
        </is>
      </c>
      <c r="H199" s="29" t="inlineStr">
        <is>
          <t>Senior Database Engineer</t>
        </is>
      </c>
      <c r="I199" s="29" t="inlineStr">
        <is>
          <t>L4 – Senior</t>
        </is>
      </c>
      <c r="J199" s="29" t="inlineStr">
        <is>
          <t>A3</t>
        </is>
      </c>
      <c r="K199" s="29" t="inlineStr">
        <is>
          <t>• Same level</t>
        </is>
      </c>
      <c r="L199" s="29" t="inlineStr">
        <is>
          <t>Engineering &amp; Development</t>
        </is>
      </c>
      <c r="M199" s="29" t="inlineStr">
        <is>
          <t>Data Engineering &amp; Database Development</t>
        </is>
      </c>
      <c r="N199" s="29" t="n"/>
      <c r="O199" s="29" t="n">
        <v>20</v>
      </c>
      <c r="P199" s="28" t="inlineStr">
        <is>
          <t>P2</t>
        </is>
      </c>
      <c r="Q199" s="29" t="inlineStr">
        <is>
          <t>Developing</t>
        </is>
      </c>
      <c r="R199" s="29" t="inlineStr">
        <is>
          <t>3 Apply</t>
        </is>
      </c>
      <c r="S199" s="29" t="inlineStr">
        <is>
          <t>2–4 yrs</t>
        </is>
      </c>
      <c r="T199" s="29" t="inlineStr">
        <is>
          <t>3–5 · 2–5</t>
        </is>
      </c>
      <c r="U199" s="29" t="inlineStr">
        <is>
          <t>Software Engineer</t>
        </is>
      </c>
      <c r="V199" s="29" t="inlineStr">
        <is>
          <t>Workiva: SE · Broadridge India: SE · Nasdaq / AxiomSL: SE · Salesforce: MTS · Atlassian: P40 · 3–7 yrs · Freshworks: Senior SE</t>
        </is>
      </c>
      <c r="W199" s="29" t="inlineStr">
        <is>
          <t>SFIA 9 · software development, programming; OWASP secure coding; cloud vendor certifications</t>
        </is>
      </c>
      <c r="X199" s="29" t="inlineStr">
        <is>
          <t>Core 2 · Future 2 · Functional 3 · Leadership not scored</t>
        </is>
      </c>
      <c r="Y199" s="52" t="n">
        <v>185</v>
      </c>
      <c r="Z199" s="53" t="inlineStr">
        <is>
          <t>IRIS1922</t>
        </is>
      </c>
      <c r="AA199" s="53" t="inlineStr">
        <is>
          <t>Employee</t>
        </is>
      </c>
      <c r="AB199" s="53" t="inlineStr">
        <is>
          <t>Active</t>
        </is>
      </c>
      <c r="AC199" s="53" t="inlineStr">
        <is>
          <t>H Marenna</t>
        </is>
      </c>
      <c r="AD199" s="54" t="n">
        <v>44375</v>
      </c>
      <c r="AE199" s="53" t="inlineStr">
        <is>
          <t>Senior Software Engineer</t>
        </is>
      </c>
      <c r="AF199" s="53" t="inlineStr">
        <is>
          <t>B.Tech</t>
        </is>
      </c>
      <c r="AG199" s="53" t="inlineStr">
        <is>
          <t>Jitendra Kumar</t>
        </is>
      </c>
      <c r="AH199" s="53" t="inlineStr">
        <is>
          <t>N-4</t>
        </is>
      </c>
      <c r="AI199" s="53" t="inlineStr">
        <is>
          <t>Individual Contributor</t>
        </is>
      </c>
      <c r="AJ199" s="53" t="inlineStr">
        <is>
          <t>4 years, 0 months, 0 days</t>
        </is>
      </c>
      <c r="AK199" s="53" t="inlineStr">
        <is>
          <t>5 years, 1 months, 28 days</t>
        </is>
      </c>
      <c r="AL199" s="53" t="inlineStr">
        <is>
          <t>Regtech</t>
        </is>
      </c>
      <c r="AM199" s="53" t="inlineStr">
        <is>
          <t>iDEAL</t>
        </is>
      </c>
      <c r="AN199" s="53" t="inlineStr">
        <is>
          <t>Technology</t>
        </is>
      </c>
      <c r="AO199" s="53" t="inlineStr">
        <is>
          <t>Development</t>
        </is>
      </c>
      <c r="AP199" s="53" t="inlineStr">
        <is>
          <t>Yes</t>
        </is>
      </c>
      <c r="AQ199" s="53" t="inlineStr">
        <is>
          <t>Product/Project</t>
        </is>
      </c>
      <c r="AR199" s="53" t="inlineStr">
        <is>
          <t>Talend</t>
        </is>
      </c>
      <c r="AS199" s="53" t="inlineStr">
        <is>
          <t>Technical - Developer</t>
        </is>
      </c>
      <c r="AT199" s="53" t="n">
        <v>20</v>
      </c>
      <c r="AU199" s="53" t="inlineStr">
        <is>
          <t>Covered</t>
        </is>
      </c>
      <c r="AV199" s="53" t="n"/>
      <c r="AW199" s="53" t="n"/>
      <c r="AX199" s="53" t="n"/>
      <c r="AY199" s="53" t="n"/>
      <c r="AZ199" s="53" t="n"/>
      <c r="BA199" s="53" t="n"/>
      <c r="BB199" s="53" t="n"/>
      <c r="BC199" s="53" t="n"/>
      <c r="BD199" s="53" t="n"/>
      <c r="BE199" s="53" t="n"/>
      <c r="BF199" s="53" t="n"/>
      <c r="BG199" s="53" t="n"/>
      <c r="BH199" s="53" t="n"/>
      <c r="BI199" s="53" t="n"/>
      <c r="BJ199" s="53" t="n"/>
      <c r="BK199" s="53" t="n"/>
      <c r="BL199" s="53" t="n"/>
      <c r="BM199" s="53" t="n"/>
      <c r="BN199" s="53" t="n"/>
      <c r="BO199" s="53" t="n"/>
      <c r="BP199" s="53" t="n"/>
      <c r="BQ199" s="53" t="n"/>
      <c r="BR199" s="53" t="n"/>
      <c r="BS199" s="53" t="n"/>
      <c r="BT199" s="53" t="n"/>
      <c r="BU199" s="53" t="n"/>
      <c r="BV199" s="53" t="n"/>
      <c r="BW199" s="53" t="n"/>
      <c r="BX199" s="53" t="n"/>
      <c r="BY199" s="53" t="n"/>
      <c r="BZ199" s="53" t="n"/>
      <c r="CA199" s="53" t="n"/>
      <c r="CB199" s="53" t="n"/>
      <c r="CC199" s="53" t="n"/>
      <c r="CD199" s="53" t="n"/>
      <c r="CE199" s="53" t="n"/>
      <c r="CF199" s="53" t="n"/>
      <c r="CG199" s="53" t="n"/>
      <c r="CH199" s="53" t="n"/>
      <c r="CI199" s="53" t="n"/>
      <c r="CJ199" s="53" t="n"/>
      <c r="CK199" s="53" t="n"/>
      <c r="CL199" s="53" t="n"/>
      <c r="CM199" s="53" t="n"/>
      <c r="CN199" s="53" t="n"/>
      <c r="CO199" s="53" t="n"/>
      <c r="CP199" s="53" t="n"/>
      <c r="CQ199" s="53" t="n"/>
      <c r="CR199" s="53" t="n"/>
      <c r="CS199" s="53" t="n"/>
      <c r="CT199" s="53" t="n"/>
      <c r="CU199" s="53" t="n"/>
      <c r="CV199" s="53" t="n"/>
      <c r="CW199" s="53" t="n"/>
      <c r="CX199" s="53" t="n"/>
      <c r="CY199" s="53" t="n"/>
      <c r="CZ199" s="53" t="n"/>
      <c r="DA199" s="53" t="n"/>
      <c r="DB199" s="53" t="n"/>
      <c r="DC199" s="53" t="n"/>
      <c r="DD199" s="53" t="inlineStr">
        <is>
          <t>IRIS1922</t>
        </is>
      </c>
      <c r="DE199" s="53" t="inlineStr">
        <is>
          <t>Employee</t>
        </is>
      </c>
      <c r="DF199" s="53" t="inlineStr">
        <is>
          <t>Active</t>
        </is>
      </c>
      <c r="DG199" s="53" t="inlineStr">
        <is>
          <t>H Marenna</t>
        </is>
      </c>
      <c r="DH199" s="54" t="n">
        <v>44375</v>
      </c>
      <c r="DI199" s="53" t="inlineStr">
        <is>
          <t>Senior Software Engineer</t>
        </is>
      </c>
      <c r="DJ199" s="53" t="inlineStr">
        <is>
          <t>Engineering &amp; Development</t>
        </is>
      </c>
      <c r="DK199" s="53" t="inlineStr">
        <is>
          <t>Software Engineering</t>
        </is>
      </c>
      <c r="DL199" s="53" t="inlineStr">
        <is>
          <t>Senior Software Engineer</t>
        </is>
      </c>
      <c r="DM199" s="53" t="inlineStr">
        <is>
          <t>L4 – Senior</t>
        </is>
      </c>
      <c r="DN199" s="53" t="inlineStr">
        <is>
          <t>B.Tech</t>
        </is>
      </c>
      <c r="DO199" s="53" t="inlineStr">
        <is>
          <t>Jignasha Sawla</t>
        </is>
      </c>
      <c r="DP199" s="53" t="inlineStr">
        <is>
          <t>N-5</t>
        </is>
      </c>
      <c r="DQ199" s="53" t="inlineStr">
        <is>
          <t>Individual Contributor</t>
        </is>
      </c>
      <c r="DR199" s="53" t="inlineStr">
        <is>
          <t>4 years, 0 months, 0 days</t>
        </is>
      </c>
      <c r="DS199" s="53" t="inlineStr">
        <is>
          <t>4 years, 11 months, 23 days</t>
        </is>
      </c>
      <c r="DT199" s="53" t="inlineStr">
        <is>
          <t>8 years, 11 months, 23 days</t>
        </is>
      </c>
      <c r="DU199" s="53" t="n"/>
      <c r="DV199" s="53" t="inlineStr">
        <is>
          <t>Regtech</t>
        </is>
      </c>
      <c r="DW199" s="53" t="inlineStr">
        <is>
          <t>iDEAL</t>
        </is>
      </c>
      <c r="DX199" s="53" t="inlineStr">
        <is>
          <t>Technology</t>
        </is>
      </c>
      <c r="DY199" s="53" t="inlineStr">
        <is>
          <t>Development</t>
        </is>
      </c>
      <c r="DZ199" s="53" t="inlineStr">
        <is>
          <t>Yes</t>
        </is>
      </c>
      <c r="EA199" s="53" t="inlineStr">
        <is>
          <t>Product/Project</t>
        </is>
      </c>
      <c r="EB199" s="53" t="inlineStr">
        <is>
          <t>Talend</t>
        </is>
      </c>
      <c r="EC199" s="53" t="inlineStr">
        <is>
          <t>Technical - Developer</t>
        </is>
      </c>
      <c r="ED199" s="53" t="inlineStr">
        <is>
          <t>Hybrid</t>
        </is>
      </c>
      <c r="EE199" s="53" t="inlineStr">
        <is>
          <t>1. Achieve SME-level proficiency in Oracle, PostgreSQL and MSSQL 
2.Proficiency in query optimization, performance tuning and database architecture.
2. Gain hands-on expertise in end-to-end data migration from Oracle to PostgreSQL 
   and MSSQL, ensuring data integrity and zero data loss.
3. Build strong skills in end-to-end testing and quality assurance for database migration projects, 
   ensuring accurate and validated data delivery.
4. Attain familiarity with AI tools to enhance database optimization, automated testing and overall 
   productivity.</t>
        </is>
      </c>
      <c r="EF199" s="53" t="inlineStr">
        <is>
          <t>1.Promote best practices in database development, code quality, and performance optimization.
2.Drive team capability in handling database tasks independently with minimal supervision
3.Ensure timely and high-quality delivery of database development tasks across Oracle and SQL Server
4. Learn ETL tools like Apache Hop and use it in the project even for achieving basic ETL functions.
5.Take up more complex tasks and successfully deliver them</t>
        </is>
      </c>
      <c r="EG199" s="53" t="inlineStr">
        <is>
          <t>1.Translate business requirements into end-to-end database solutions, including schema design and development</t>
        </is>
      </c>
      <c r="EH199" s="53" t="n">
        <v>2</v>
      </c>
      <c r="EI199" s="53" t="n"/>
      <c r="EJ199" s="53" t="inlineStr">
        <is>
          <t>Same as per records</t>
        </is>
      </c>
      <c r="EK199" s="53" t="n"/>
      <c r="EL199" s="53" t="n">
        <v>2</v>
      </c>
      <c r="EM199" s="53" t="inlineStr">
        <is>
          <t>Low</t>
        </is>
      </c>
      <c r="EN199" s="53" t="inlineStr">
        <is>
          <t>Reliable Specialist</t>
        </is>
      </c>
      <c r="EO199" s="53" t="inlineStr">
        <is>
          <t>Not Ready</t>
        </is>
      </c>
      <c r="EP199" s="53" t="inlineStr">
        <is>
          <t>No</t>
        </is>
      </c>
      <c r="EQ199" s="53" t="inlineStr">
        <is>
          <t>No</t>
        </is>
      </c>
      <c r="ER199" s="53" t="n"/>
      <c r="ES199" s="53" t="inlineStr">
        <is>
          <t>Training on the effective utilization of AI tools.</t>
        </is>
      </c>
      <c r="ET199" s="53" t="n"/>
      <c r="EU199" s="53" t="n"/>
      <c r="EV199" s="53" t="n"/>
      <c r="EW199" s="52" t="n"/>
      <c r="EX199" s="53" t="n"/>
      <c r="EY199" s="53" t="n"/>
      <c r="EZ199" s="53" t="n"/>
      <c r="FA199" s="53" t="n"/>
      <c r="FB199" s="53" t="n"/>
      <c r="FC199" s="53" t="n"/>
      <c r="FD199" s="53" t="n"/>
      <c r="FE199" s="57" t="inlineStr">
        <is>
          <t>1.Promote best practices in database development, code quality, and performance optimization.
2.Drive team capability in handling database tasks independently with minimal supervision
3.Ensure timely and high-quality delivery of database development tasks across Oracle and SQL Server
4. Learn ETL tools like Apache Hop and use it in the project even for achieving basic ETL functions.
5.Take up more complex tasks and successfully deliver them</t>
        </is>
      </c>
      <c r="FF199" s="56" t="inlineStr">
        <is>
          <t>1.Translate business requirements into end-to-end database solutions, including schema design and development</t>
        </is>
      </c>
      <c r="FG199" s="56" t="inlineStr">
        <is>
          <t>1. Achieve SME-level proficiency in Oracle, PostgreSQL and MSSQL 
2.Proficiency in query optimization, performance tuning and database architecture.
2. Gain hands-on expertise in end-to-end data migration from Oracle to PostgreSQL 
   and MSSQL, ensuring data integrity and zero data loss.
3. Build strong skills in end-to-end testing and quality assurance for database migration projects, 
   ensuring accurate and validated data delivery.
4. Attain familiarity with AI tools to enhance database optimization, automated testing and overall 
   productivity.</t>
        </is>
      </c>
      <c r="FH199" s="56" t="inlineStr">
        <is>
          <t>2</t>
        </is>
      </c>
      <c r="FI199" s="56" t="n"/>
      <c r="FJ199" s="56" t="inlineStr">
        <is>
          <t>Received · manager annual, quarterly, self</t>
        </is>
      </c>
      <c r="FK199" s="56" t="inlineStr">
        <is>
          <t>Talent Mapping · iDEAL</t>
        </is>
      </c>
      <c r="FL199" s="56" t="n">
        <v>20</v>
      </c>
      <c r="FM199" s="32" t="inlineStr">
        <is>
          <t>Full survey answers not in the files received · How We Grow export needed · HR</t>
        </is>
      </c>
      <c r="FN199" s="56" t="inlineStr">
        <is>
          <t>—</t>
        </is>
      </c>
      <c r="FO199" s="56" t="inlineStr">
        <is>
          <t>—</t>
        </is>
      </c>
      <c r="FP199" s="56" t="inlineStr">
        <is>
          <t>—</t>
        </is>
      </c>
      <c r="FQ199" s="56" t="inlineStr">
        <is>
          <t>—</t>
        </is>
      </c>
      <c r="FR199" s="56" t="inlineStr">
        <is>
          <t>Complexity: Evidence reads like A2: Database / ETL issue resolution on assigned work; no harder cases described → moved down 0.5
Autonomy: Evidence reads like A2: Only says troubleshooting issues is done independently → moved down 0.5
Accountability: Evidence reads like A2: own survey / KRA answers · summarised by the rater; not quoted → moved down 0.5
Leadership: Evidence reads like A1: No guiding or reviewing of others described → moved down 0.5
Business Impact: No move: the survey / manager mapping does not mark it business-critical or unique.</t>
        </is>
      </c>
      <c r="FS199" s="56" t="inlineStr">
        <is>
          <t>Common themes in role-holders' answers: business · support · data · solutions · build · reliable
Common themes in role-holders' answers: issue · support · development · data · resolution · deployment
Common themes in role-holders' answers: deliver · enhancements · solutions · product · data · models
Common themes in role-holders' answers: accountable · assigned · quality · solutions · personally · delivery
Common themes in role-holders' answers: issues · troubleshoot · independently · client · implement · technical
If the work is missed · role-holders' themes: issues · lead · incorrect · data.
Measured on · manager-set KRA themes: quality · deliver · project · timely · development · code.</t>
        </is>
      </c>
      <c r="FT199" s="56" t="inlineStr">
        <is>
          <t>Self-identified: AI / automation · Product &amp; tool knowledge
For the next role: AI / automation · Product &amp; tool knowledge</t>
        </is>
      </c>
      <c r="FU199" s="32" t="inlineStr">
        <is>
          <t>Full survey answers not in the files received · How We Grow export needed · HR</t>
        </is>
      </c>
    </row>
    <row r="200" ht="90" customHeight="1">
      <c r="A200" s="51" t="inlineStr">
        <is>
          <t>◂ Back</t>
        </is>
      </c>
      <c r="B200" s="29" t="inlineStr">
        <is>
          <t>Mapped</t>
        </is>
      </c>
      <c r="C200" s="28" t="inlineStr">
        <is>
          <t>iDEAL</t>
        </is>
      </c>
      <c r="D200" s="29" t="inlineStr">
        <is>
          <t>IRIS2530</t>
        </is>
      </c>
      <c r="E200" s="29" t="inlineStr">
        <is>
          <t>Jay Gudhka</t>
        </is>
      </c>
      <c r="F200" s="29" t="inlineStr">
        <is>
          <t>Technology</t>
        </is>
      </c>
      <c r="G200" s="29" t="inlineStr">
        <is>
          <t>Senior Software Engineer</t>
        </is>
      </c>
      <c r="H200" s="29" t="inlineStr">
        <is>
          <t>Technical Specialist</t>
        </is>
      </c>
      <c r="I200" s="29" t="inlineStr">
        <is>
          <t>L4 – Senior</t>
        </is>
      </c>
      <c r="J200" s="29" t="inlineStr">
        <is>
          <t>A3</t>
        </is>
      </c>
      <c r="K200" s="29" t="inlineStr">
        <is>
          <t>▲ Up</t>
        </is>
      </c>
      <c r="L200" s="29" t="inlineStr">
        <is>
          <t>Engineering &amp; Development</t>
        </is>
      </c>
      <c r="M200" s="29" t="inlineStr">
        <is>
          <t>Full-Stack Development</t>
        </is>
      </c>
      <c r="N200" s="29" t="n"/>
      <c r="O200" s="29" t="n">
        <v>20</v>
      </c>
      <c r="P200" s="28" t="inlineStr">
        <is>
          <t>P2</t>
        </is>
      </c>
      <c r="Q200" s="29" t="inlineStr">
        <is>
          <t>Developing</t>
        </is>
      </c>
      <c r="R200" s="29" t="inlineStr">
        <is>
          <t>3 Apply</t>
        </is>
      </c>
      <c r="S200" s="29" t="inlineStr">
        <is>
          <t>2–4 yrs</t>
        </is>
      </c>
      <c r="T200" s="29" t="inlineStr">
        <is>
          <t>3–5 · 2–5</t>
        </is>
      </c>
      <c r="U200" s="29" t="inlineStr">
        <is>
          <t>Senior Software Engineer</t>
        </is>
      </c>
      <c r="V200" s="29" t="inlineStr">
        <is>
          <t>Workiva: SE · Broadridge India: SE · Nasdaq / AxiomSL: SE · Salesforce: MTS · Atlassian: P40 · 3–7 yrs · Freshworks: Senior SE</t>
        </is>
      </c>
      <c r="W200" s="29" t="inlineStr">
        <is>
          <t>SFIA 9 · software development, programming; OWASP secure coding; cloud vendor certifications</t>
        </is>
      </c>
      <c r="X200" s="29" t="inlineStr">
        <is>
          <t>Core 2 · Future 2 · Functional 3 · Leadership not scored</t>
        </is>
      </c>
      <c r="Y200" s="52" t="n">
        <v>502</v>
      </c>
      <c r="Z200" s="53" t="inlineStr">
        <is>
          <t>IRIS2530</t>
        </is>
      </c>
      <c r="AA200" s="53" t="inlineStr">
        <is>
          <t>Employee</t>
        </is>
      </c>
      <c r="AB200" s="53" t="inlineStr">
        <is>
          <t>Active</t>
        </is>
      </c>
      <c r="AC200" s="53" t="inlineStr">
        <is>
          <t>Jay Gudhka</t>
        </is>
      </c>
      <c r="AD200" s="54" t="n">
        <v>46153</v>
      </c>
      <c r="AE200" s="53" t="inlineStr">
        <is>
          <t>Senior Software Engineer</t>
        </is>
      </c>
      <c r="AF200" s="53" t="inlineStr">
        <is>
          <t>B.E</t>
        </is>
      </c>
      <c r="AG200" s="53" t="inlineStr">
        <is>
          <t>Jitendra Kumar</t>
        </is>
      </c>
      <c r="AH200" s="53" t="inlineStr">
        <is>
          <t>N-4</t>
        </is>
      </c>
      <c r="AI200" s="53" t="inlineStr">
        <is>
          <t>Individual Contributor</t>
        </is>
      </c>
      <c r="AJ200" s="53" t="inlineStr">
        <is>
          <t>6 years, 9 months, 0 days</t>
        </is>
      </c>
      <c r="AK200" s="53" t="inlineStr">
        <is>
          <t>0 years, 3 months, 14 days</t>
        </is>
      </c>
      <c r="AL200" s="53" t="inlineStr">
        <is>
          <t>Regtech</t>
        </is>
      </c>
      <c r="AM200" s="53" t="inlineStr">
        <is>
          <t>iDEAL</t>
        </is>
      </c>
      <c r="AN200" s="53" t="inlineStr">
        <is>
          <t>Technology</t>
        </is>
      </c>
      <c r="AO200" s="53" t="inlineStr">
        <is>
          <t>Development</t>
        </is>
      </c>
      <c r="AP200" s="53" t="inlineStr">
        <is>
          <t>Yes</t>
        </is>
      </c>
      <c r="AQ200" s="53" t="inlineStr">
        <is>
          <t>Product/Project</t>
        </is>
      </c>
      <c r="AR200" s="53" t="inlineStr">
        <is>
          <t>.NET MVC + Angular</t>
        </is>
      </c>
      <c r="AS200" s="53" t="inlineStr">
        <is>
          <t>Technical - Developer</t>
        </is>
      </c>
      <c r="AT200" s="53" t="n">
        <v>20</v>
      </c>
      <c r="AU200" s="53" t="inlineStr">
        <is>
          <t>Covered</t>
        </is>
      </c>
      <c r="AV200" s="53" t="n"/>
      <c r="AW200" s="53" t="n"/>
      <c r="AX200" s="53" t="n"/>
      <c r="AY200" s="53" t="n"/>
      <c r="AZ200" s="53" t="n"/>
      <c r="BA200" s="53" t="n"/>
      <c r="BB200" s="53" t="n"/>
      <c r="BC200" s="53" t="n"/>
      <c r="BD200" s="53" t="n"/>
      <c r="BE200" s="53" t="n"/>
      <c r="BF200" s="53" t="n"/>
      <c r="BG200" s="53" t="n"/>
      <c r="BH200" s="53" t="n"/>
      <c r="BI200" s="53" t="n"/>
      <c r="BJ200" s="53" t="n"/>
      <c r="BK200" s="53" t="n"/>
      <c r="BL200" s="53" t="n"/>
      <c r="BM200" s="53" t="n"/>
      <c r="BN200" s="53" t="n"/>
      <c r="BO200" s="53" t="n"/>
      <c r="BP200" s="53" t="n"/>
      <c r="BQ200" s="53" t="n"/>
      <c r="BR200" s="53" t="n"/>
      <c r="BS200" s="53" t="n"/>
      <c r="BT200" s="53" t="n"/>
      <c r="BU200" s="53" t="n"/>
      <c r="BV200" s="53" t="n"/>
      <c r="BW200" s="53" t="n"/>
      <c r="BX200" s="53" t="n"/>
      <c r="BY200" s="53" t="n"/>
      <c r="BZ200" s="53" t="n"/>
      <c r="CA200" s="53" t="n"/>
      <c r="CB200" s="53" t="n"/>
      <c r="CC200" s="53" t="n"/>
      <c r="CD200" s="53" t="n"/>
      <c r="CE200" s="53" t="n"/>
      <c r="CF200" s="53" t="n"/>
      <c r="CG200" s="53" t="n"/>
      <c r="CH200" s="53" t="n"/>
      <c r="CI200" s="53" t="n"/>
      <c r="CJ200" s="53" t="n"/>
      <c r="CK200" s="53" t="n"/>
      <c r="CL200" s="53" t="n"/>
      <c r="CM200" s="53" t="n"/>
      <c r="CN200" s="53" t="n"/>
      <c r="CO200" s="53" t="n"/>
      <c r="CP200" s="53" t="n"/>
      <c r="CQ200" s="53" t="n"/>
      <c r="CR200" s="53" t="n"/>
      <c r="CS200" s="53" t="n"/>
      <c r="CT200" s="53" t="n"/>
      <c r="CU200" s="53" t="n"/>
      <c r="CV200" s="53" t="n"/>
      <c r="CW200" s="53" t="n"/>
      <c r="CX200" s="53" t="n"/>
      <c r="CY200" s="53" t="n"/>
      <c r="CZ200" s="53" t="n"/>
      <c r="DA200" s="53" t="n"/>
      <c r="DB200" s="53" t="n"/>
      <c r="DC200" s="53" t="n"/>
      <c r="DD200" s="53" t="inlineStr">
        <is>
          <t>IRIS2530</t>
        </is>
      </c>
      <c r="DE200" s="53" t="inlineStr">
        <is>
          <t>Employee</t>
        </is>
      </c>
      <c r="DF200" s="53" t="inlineStr">
        <is>
          <t>Active</t>
        </is>
      </c>
      <c r="DG200" s="53" t="inlineStr">
        <is>
          <t>Jay Gudhka</t>
        </is>
      </c>
      <c r="DH200" s="54" t="n">
        <v>46153</v>
      </c>
      <c r="DI200" s="53" t="inlineStr">
        <is>
          <t>Senior Software Engineer</t>
        </is>
      </c>
      <c r="DJ200" s="53" t="inlineStr">
        <is>
          <t>Engineering &amp; Development</t>
        </is>
      </c>
      <c r="DK200" s="53" t="inlineStr">
        <is>
          <t>Backend Engineering ·.NET</t>
        </is>
      </c>
      <c r="DL200" s="53" t="inlineStr">
        <is>
          <t>Senior Software Engineer</t>
        </is>
      </c>
      <c r="DM200" s="53" t="inlineStr">
        <is>
          <t>L4 – Senior</t>
        </is>
      </c>
      <c r="DN200" s="53" t="inlineStr">
        <is>
          <t>B.E</t>
        </is>
      </c>
      <c r="DO200" s="53" t="inlineStr">
        <is>
          <t>Jitendra Kumar</t>
        </is>
      </c>
      <c r="DP200" s="53" t="inlineStr">
        <is>
          <t>N-4</t>
        </is>
      </c>
      <c r="DQ200" s="53" t="inlineStr">
        <is>
          <t>Individual Contributor</t>
        </is>
      </c>
      <c r="DR200" s="53" t="inlineStr">
        <is>
          <t>6 years, 9 months, 0 days</t>
        </is>
      </c>
      <c r="DS200" s="53" t="inlineStr">
        <is>
          <t>0 years, 1 months, 9 days</t>
        </is>
      </c>
      <c r="DT200" s="53" t="inlineStr">
        <is>
          <t>6 years, 10 months, 9 days</t>
        </is>
      </c>
      <c r="DU200" s="53" t="n"/>
      <c r="DV200" s="53" t="inlineStr">
        <is>
          <t>Regtech</t>
        </is>
      </c>
      <c r="DW200" s="53" t="inlineStr">
        <is>
          <t>iDEAL</t>
        </is>
      </c>
      <c r="DX200" s="53" t="inlineStr">
        <is>
          <t>Technology</t>
        </is>
      </c>
      <c r="DY200" s="53" t="inlineStr">
        <is>
          <t>Development</t>
        </is>
      </c>
      <c r="DZ200" s="53" t="inlineStr">
        <is>
          <t>Yes</t>
        </is>
      </c>
      <c r="EA200" s="53" t="inlineStr">
        <is>
          <t>Product/Project</t>
        </is>
      </c>
      <c r="EB200" s="53" t="inlineStr">
        <is>
          <t>.Net + Angular</t>
        </is>
      </c>
      <c r="EC200" s="53" t="inlineStr">
        <is>
          <t>Technical - Developer</t>
        </is>
      </c>
      <c r="ED200" s="53" t="inlineStr">
        <is>
          <t>Work From Office - Turbhe</t>
        </is>
      </c>
      <c r="EE200" s="53" t="inlineStr">
        <is>
          <t>1.Become a credible AI engineer through proven outcomes
2.Make a high-impact contribution to the React migration
3.Design and build the central team productivity app
4.Master XBRL taxonomy landscape across global regulators 
5.Build a general-purpose C# XBRL parser library</t>
        </is>
      </c>
      <c r="EF200" s="53" t="inlineStr">
        <is>
          <t>1.	AI Feature Architecture: Design and lead implementation of at least 1 AI-powered feature in the application · e.g. auto Mapping, from architecture through production rollout.
2.	Mentorship in AI Practices: Train team members on effective AI-assisted coding practices, with measurable improvement in team's AI tool adoption rate · e.g., 80%+ of team actively using approved AI tools by year-end.
3.	Delivery Ownership: Achieve 90%+ on-time delivery rate for committed sprint/project deliverables owned individually.
4.	System Upgrade: Enhance iDEAL 6.0 Taxonomy Loading, Mapping, and Rendering to Support All Global Taxonomies
5.	Code Quality: Maintain a personal code review turnaround of under 24 hours and conduct at least 50 code reviews over the year with constructive, documented feedback.</t>
        </is>
      </c>
      <c r="EG200" s="53" t="inlineStr">
        <is>
          <t>Guide and deliver the AI chatbot integration
Lead and deliver the RPT solution
Deliver XBRL TableLink for Europe &amp; Qatar taxonomies</t>
        </is>
      </c>
      <c r="EH200" s="53" t="n">
        <v>3</v>
      </c>
      <c r="EI200" s="53" t="n"/>
      <c r="EJ200" s="53" t="inlineStr">
        <is>
          <t>Same as per records</t>
        </is>
      </c>
      <c r="EK200" s="53" t="n"/>
      <c r="EL200" s="53" t="n">
        <v>3</v>
      </c>
      <c r="EM200" s="53" t="inlineStr">
        <is>
          <t>Medium</t>
        </is>
      </c>
      <c r="EN200" s="53" t="inlineStr">
        <is>
          <t>Emerging Talent</t>
        </is>
      </c>
      <c r="EO200" s="53" t="inlineStr">
        <is>
          <t>Ready in 12 Months</t>
        </is>
      </c>
      <c r="EP200" s="53" t="inlineStr">
        <is>
          <t>No</t>
        </is>
      </c>
      <c r="EQ200" s="53" t="inlineStr">
        <is>
          <t>No</t>
        </is>
      </c>
      <c r="ER200" s="53" t="n"/>
      <c r="ES200" s="53" t="inlineStr">
        <is>
          <t>XBRL Training, Training on the effective utilization of AI tools.</t>
        </is>
      </c>
      <c r="ET200" s="53" t="n"/>
      <c r="EU200" s="53" t="n"/>
      <c r="EV200" s="53" t="n"/>
      <c r="EW200" s="52" t="n"/>
      <c r="EX200" s="53" t="n"/>
      <c r="EY200" s="53" t="n"/>
      <c r="EZ200" s="53" t="n"/>
      <c r="FA200" s="53" t="n"/>
      <c r="FB200" s="53" t="n"/>
      <c r="FC200" s="53" t="inlineStr">
        <is>
          <t>Annual KRAs · objective Measurable Minimum 5 - set by Manager</t>
        </is>
      </c>
      <c r="FD200" s="53" t="n"/>
      <c r="FE200" s="57" t="inlineStr">
        <is>
          <t>1.	AI Feature Architecture: Design and lead implementation of at least 1 AI-powered feature in the application · e.g. auto Mapping, from architecture through production rollout.
2.	Mentorship in AI Practices: Train team members on effective AI-assisted coding practices, with measurable improvement in team's AI tool adoption rate · e.g., 80%+ of team actively using approved AI tools by year-end.
3.	Delivery Ownership: Achieve 90%+ on-time delivery rate for committed sprint/project deliverables owned individually.
4.	System Upgrade: Enhance iDEAL 6.0 Taxonomy Loading, Mapping, and Rendering to Support All Global Taxonomies
5.	Code Quality: Maintain a personal code review turnaround of under 24 hours and conduct at least 50 code reviews over the year with constructive, documented feedback.</t>
        </is>
      </c>
      <c r="FF200" s="56" t="inlineStr">
        <is>
          <t>Guide and deliver the AI chatbot integration
Lead and deliver the RPT solution
Deliver XBRL TableLink for Europe &amp; Qatar taxonomies</t>
        </is>
      </c>
      <c r="FG200" s="56" t="inlineStr">
        <is>
          <t>1.Become a credible AI engineer through proven outcomes
2.Make a high-impact contribution to the React migration
3.Design and build the central team productivity app
4.Master XBRL taxonomy landscape across global regulators 
5.Build a general-purpose C# XBRL parser library</t>
        </is>
      </c>
      <c r="FH200" s="56" t="inlineStr">
        <is>
          <t>3</t>
        </is>
      </c>
      <c r="FI200" s="56" t="n"/>
      <c r="FJ200" s="56" t="inlineStr">
        <is>
          <t>Received · manager annual, quarterly, self</t>
        </is>
      </c>
      <c r="FK200" s="56" t="inlineStr">
        <is>
          <t>Talent Mapping · iDEAL</t>
        </is>
      </c>
      <c r="FL200" s="56" t="n">
        <v>20</v>
      </c>
      <c r="FM200" s="32" t="inlineStr">
        <is>
          <t>Full survey answers not in the files received · How We Grow export needed · HR</t>
        </is>
      </c>
      <c r="FN200" s="56" t="inlineStr">
        <is>
          <t>—</t>
        </is>
      </c>
      <c r="FO200" s="56" t="inlineStr">
        <is>
          <t>—</t>
        </is>
      </c>
      <c r="FP200" s="56" t="inlineStr">
        <is>
          <t>—</t>
        </is>
      </c>
      <c r="FQ200" s="56" t="inlineStr">
        <is>
          <t>—</t>
        </is>
      </c>
      <c r="FR200" s="56" t="inlineStr">
        <is>
          <t>Complexity: Evidence reads like B1: Full-stack development, API design and RAG/LLM integration with no established internal process → moved up 0.5
Autonomy: Evidence reads like A3: Makes the tech and design choices on what is built → matches the start
Accountability: Evidence reads like A3: own survey / KRA answers · summarised by the rater; not quoted → matches the start
Leadership: Evidence reads like A3: Mentoring is a listed responsibility; KRA includes training the team on AI coding → moved up 0.5
Business Impact: No survey or manager-mapping signal on criticality: kept at the start point.</t>
        </is>
      </c>
      <c r="FS200" s="56"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FT200" s="56" t="inlineStr">
        <is>
          <t>Self-identified: AI / automation · Technical depth &amp; architecture · Domain, regulatory &amp; XBRL · Broader exposure &amp; ownership
For the next role: AI / automation · Technical depth &amp; architecture · Domain, regulatory &amp; XBRL · Broader exposure &amp; ownership</t>
        </is>
      </c>
      <c r="FU200" s="32" t="inlineStr">
        <is>
          <t>Full survey answers not in the files received · How We Grow export needed · HR</t>
        </is>
      </c>
    </row>
    <row r="201" ht="90" customHeight="1">
      <c r="A201" s="51" t="inlineStr">
        <is>
          <t>◂ Back</t>
        </is>
      </c>
      <c r="B201" s="29" t="inlineStr">
        <is>
          <t>Mapped</t>
        </is>
      </c>
      <c r="C201" s="28" t="inlineStr">
        <is>
          <t>iDEAL</t>
        </is>
      </c>
      <c r="D201" s="29" t="inlineStr">
        <is>
          <t>IRIS2260</t>
        </is>
      </c>
      <c r="E201" s="29" t="inlineStr">
        <is>
          <t>Pratik Ekhande</t>
        </is>
      </c>
      <c r="F201" s="29" t="inlineStr">
        <is>
          <t>Technology</t>
        </is>
      </c>
      <c r="G201" s="29" t="inlineStr">
        <is>
          <t>Software Engineer</t>
        </is>
      </c>
      <c r="H201" s="29" t="inlineStr">
        <is>
          <t>Senior Software Engineer</t>
        </is>
      </c>
      <c r="I201" s="29" t="inlineStr">
        <is>
          <t>L3 – Professional / Associate</t>
        </is>
      </c>
      <c r="J201" s="29" t="inlineStr">
        <is>
          <t>A3</t>
        </is>
      </c>
      <c r="K201" s="29" t="inlineStr">
        <is>
          <t>▲ Up</t>
        </is>
      </c>
      <c r="L201" s="29" t="inlineStr">
        <is>
          <t>Engineering &amp; Development</t>
        </is>
      </c>
      <c r="M201" s="29" t="inlineStr">
        <is>
          <t>Backend Development</t>
        </is>
      </c>
      <c r="N201" s="29" t="n"/>
      <c r="O201" s="29" t="n">
        <v>20</v>
      </c>
      <c r="P201" s="28" t="inlineStr">
        <is>
          <t>P2</t>
        </is>
      </c>
      <c r="Q201" s="29" t="inlineStr">
        <is>
          <t>Developing</t>
        </is>
      </c>
      <c r="R201" s="29" t="inlineStr">
        <is>
          <t>3 Apply</t>
        </is>
      </c>
      <c r="S201" s="29" t="inlineStr">
        <is>
          <t>2–4 yrs</t>
        </is>
      </c>
      <c r="T201" s="29" t="inlineStr">
        <is>
          <t>3–5 · 2–5</t>
        </is>
      </c>
      <c r="U201" s="29" t="inlineStr">
        <is>
          <t>Software Engineer</t>
        </is>
      </c>
      <c r="V201" s="29" t="inlineStr">
        <is>
          <t>Workiva: SE · Broadridge India: SE · Nasdaq / AxiomSL: SE · Salesforce: MTS · Atlassian: P40 · 3–7 yrs · Freshworks: Senior SE</t>
        </is>
      </c>
      <c r="W201" s="29" t="inlineStr">
        <is>
          <t>SFIA 9 · software development, programming; OWASP secure coding; cloud vendor certifications</t>
        </is>
      </c>
      <c r="X201" s="29" t="inlineStr">
        <is>
          <t>Core 2 · Future 2 · Functional 3 · Leadership not scored</t>
        </is>
      </c>
      <c r="Y201" s="52" t="n">
        <v>323</v>
      </c>
      <c r="Z201" s="53" t="inlineStr">
        <is>
          <t>IRIS2260</t>
        </is>
      </c>
      <c r="AA201" s="53" t="inlineStr">
        <is>
          <t>Employee</t>
        </is>
      </c>
      <c r="AB201" s="53" t="inlineStr">
        <is>
          <t>Active</t>
        </is>
      </c>
      <c r="AC201" s="53" t="inlineStr">
        <is>
          <t>Pratik Ekhande</t>
        </is>
      </c>
      <c r="AD201" s="54" t="n">
        <v>45446</v>
      </c>
      <c r="AE201" s="53" t="inlineStr">
        <is>
          <t>Software Engineer</t>
        </is>
      </c>
      <c r="AF201" s="53" t="inlineStr">
        <is>
          <t>B.E</t>
        </is>
      </c>
      <c r="AG201" s="53" t="inlineStr">
        <is>
          <t>Jitendra Kumar</t>
        </is>
      </c>
      <c r="AH201" s="53" t="inlineStr">
        <is>
          <t>N-4</t>
        </is>
      </c>
      <c r="AI201" s="53" t="inlineStr">
        <is>
          <t>Individual Contributor</t>
        </is>
      </c>
      <c r="AJ201" s="53" t="inlineStr">
        <is>
          <t>0 years, 0 months, 0 days</t>
        </is>
      </c>
      <c r="AK201" s="53" t="inlineStr">
        <is>
          <t>2 years, 2 months, 22 days</t>
        </is>
      </c>
      <c r="AL201" s="53" t="inlineStr">
        <is>
          <t>Regtech</t>
        </is>
      </c>
      <c r="AM201" s="53" t="inlineStr">
        <is>
          <t>iDEAL</t>
        </is>
      </c>
      <c r="AN201" s="53" t="inlineStr">
        <is>
          <t>Technology</t>
        </is>
      </c>
      <c r="AO201" s="53" t="inlineStr">
        <is>
          <t>Development</t>
        </is>
      </c>
      <c r="AP201" s="53" t="inlineStr">
        <is>
          <t>Yes</t>
        </is>
      </c>
      <c r="AQ201" s="53" t="inlineStr">
        <is>
          <t>Product/Project</t>
        </is>
      </c>
      <c r="AR201" s="53" t="inlineStr">
        <is>
          <t>.NET MVC</t>
        </is>
      </c>
      <c r="AS201" s="53" t="inlineStr">
        <is>
          <t>Technical - Developer</t>
        </is>
      </c>
      <c r="AT201" s="53" t="n">
        <v>20</v>
      </c>
      <c r="AU201" s="53" t="inlineStr">
        <is>
          <t>Covered</t>
        </is>
      </c>
      <c r="AV201" s="53" t="n"/>
      <c r="AW201" s="53" t="n"/>
      <c r="AX201" s="53" t="n"/>
      <c r="AY201" s="53" t="n"/>
      <c r="AZ201" s="53" t="n"/>
      <c r="BA201" s="53" t="n"/>
      <c r="BB201" s="53" t="n"/>
      <c r="BC201" s="53" t="n"/>
      <c r="BD201" s="53" t="n"/>
      <c r="BE201" s="53" t="n"/>
      <c r="BF201" s="53" t="n"/>
      <c r="BG201" s="53" t="n"/>
      <c r="BH201" s="53" t="n"/>
      <c r="BI201" s="53" t="n"/>
      <c r="BJ201" s="53" t="n"/>
      <c r="BK201" s="53" t="n"/>
      <c r="BL201" s="53" t="n"/>
      <c r="BM201" s="53" t="n"/>
      <c r="BN201" s="53" t="n"/>
      <c r="BO201" s="53" t="n"/>
      <c r="BP201" s="53" t="n"/>
      <c r="BQ201" s="53" t="n"/>
      <c r="BR201" s="53" t="n"/>
      <c r="BS201" s="53" t="n"/>
      <c r="BT201" s="53" t="n"/>
      <c r="BU201" s="53" t="n"/>
      <c r="BV201" s="53" t="n"/>
      <c r="BW201" s="53" t="n"/>
      <c r="BX201" s="53" t="n"/>
      <c r="BY201" s="53" t="n"/>
      <c r="BZ201" s="53" t="n"/>
      <c r="CA201" s="53" t="n"/>
      <c r="CB201" s="53" t="n"/>
      <c r="CC201" s="53" t="n"/>
      <c r="CD201" s="53" t="n"/>
      <c r="CE201" s="53" t="n"/>
      <c r="CF201" s="53" t="n"/>
      <c r="CG201" s="53" t="n"/>
      <c r="CH201" s="53" t="n"/>
      <c r="CI201" s="53" t="n"/>
      <c r="CJ201" s="53" t="n"/>
      <c r="CK201" s="53" t="n"/>
      <c r="CL201" s="53" t="n"/>
      <c r="CM201" s="53" t="n"/>
      <c r="CN201" s="53" t="n"/>
      <c r="CO201" s="53" t="n"/>
      <c r="CP201" s="53" t="n"/>
      <c r="CQ201" s="53" t="n"/>
      <c r="CR201" s="53" t="n"/>
      <c r="CS201" s="53" t="n"/>
      <c r="CT201" s="53" t="n"/>
      <c r="CU201" s="53" t="n"/>
      <c r="CV201" s="53" t="n"/>
      <c r="CW201" s="53" t="n"/>
      <c r="CX201" s="53" t="n"/>
      <c r="CY201" s="53" t="n"/>
      <c r="CZ201" s="53" t="n"/>
      <c r="DA201" s="53" t="n"/>
      <c r="DB201" s="53" t="n"/>
      <c r="DC201" s="53" t="n"/>
      <c r="DD201" s="53" t="inlineStr">
        <is>
          <t>IRIS2260</t>
        </is>
      </c>
      <c r="DE201" s="53" t="inlineStr">
        <is>
          <t>Employee</t>
        </is>
      </c>
      <c r="DF201" s="53" t="inlineStr">
        <is>
          <t>Active</t>
        </is>
      </c>
      <c r="DG201" s="53" t="inlineStr">
        <is>
          <t>Pratik Ekhande</t>
        </is>
      </c>
      <c r="DH201" s="54" t="n">
        <v>45446</v>
      </c>
      <c r="DI201" s="53" t="inlineStr">
        <is>
          <t>Software Engineer</t>
        </is>
      </c>
      <c r="DJ201" s="53" t="inlineStr">
        <is>
          <t>Engineering &amp; Development</t>
        </is>
      </c>
      <c r="DK201" s="53" t="inlineStr">
        <is>
          <t>Backend Engineering ·.NET</t>
        </is>
      </c>
      <c r="DL201" s="53" t="inlineStr">
        <is>
          <t>Software Engineer</t>
        </is>
      </c>
      <c r="DM201" s="53" t="inlineStr">
        <is>
          <t>L3 – Professional / Associate</t>
        </is>
      </c>
      <c r="DN201" s="53" t="inlineStr">
        <is>
          <t>B.E</t>
        </is>
      </c>
      <c r="DO201" s="53" t="inlineStr">
        <is>
          <t>Jitendra Kumar</t>
        </is>
      </c>
      <c r="DP201" s="53" t="inlineStr">
        <is>
          <t>N-4</t>
        </is>
      </c>
      <c r="DQ201" s="53" t="inlineStr">
        <is>
          <t>Individual Contributor</t>
        </is>
      </c>
      <c r="DR201" s="53" t="inlineStr">
        <is>
          <t>0 years, 0 months, 0 days</t>
        </is>
      </c>
      <c r="DS201" s="53" t="inlineStr">
        <is>
          <t>2 years, 0 months, 17 days</t>
        </is>
      </c>
      <c r="DT201" s="53" t="inlineStr">
        <is>
          <t>2 years, 0 months, 17 days</t>
        </is>
      </c>
      <c r="DU201" s="53" t="n"/>
      <c r="DV201" s="53" t="inlineStr">
        <is>
          <t>Regtech</t>
        </is>
      </c>
      <c r="DW201" s="53" t="inlineStr">
        <is>
          <t>iDEAL</t>
        </is>
      </c>
      <c r="DX201" s="53" t="inlineStr">
        <is>
          <t>Technology</t>
        </is>
      </c>
      <c r="DY201" s="53" t="inlineStr">
        <is>
          <t>Development</t>
        </is>
      </c>
      <c r="DZ201" s="53" t="inlineStr">
        <is>
          <t>Yes</t>
        </is>
      </c>
      <c r="EA201" s="53" t="inlineStr">
        <is>
          <t>Product/Project</t>
        </is>
      </c>
      <c r="EB201" s="53" t="inlineStr">
        <is>
          <t>.NET MVC</t>
        </is>
      </c>
      <c r="EC201" s="53" t="inlineStr">
        <is>
          <t>Technical - Developer</t>
        </is>
      </c>
      <c r="ED201" s="53" t="inlineStr">
        <is>
          <t>Work From Office - Turbhe</t>
        </is>
      </c>
      <c r="EE201" s="53" t="inlineStr">
        <is>
          <t>1. To make IRIS IDEAL a stable, robust, scalable, and trusted SDMX reporting solution for all banks by continuously improving application performance, security, reliability, user experience, and regulatory compliance.
2. To enhance my skill set in.NET 8/10, ASP.NET Core Web API, Entity Framework Core, C#, and the latest React ecosystem · React 19, Redux Toolkit, state based architecture etc
3. To learn modern security standards and application development architectures, multiple SSO standards, OpenID Connect · OIDC, JWT Authentication, Clean Architecture, Microservices, and SOLID principles, to build expertise in industry-standard software development.
4. To focus on upcoming changes in the Retch field related to Artificial Intelligence · AI and explore opportunities to integrate technologies such as GitHub Copilot, AI-assisted testing, and intelligent validation into WebIDEAL enhancements.
5. To enhance my skills in.NET Minimal APIs, Native OpenAPI support, Swagger/OpenAPI, ASP.NET Identity, JWT-based authentication, Role-Based Access Control · RBAC, and modern authorization standards.
6. To adapt to the latest features introduced in.NET 8 and.NET 10, including Native AOT, performance optimizations,and modern API development, to stay aligned with current industry practices.
7. To become a complete Full Stack Developer by strengthening my frontend skills using React, JavaScript/TypeScript,Tailwind CSS, and expanding my knowledge of multiple databases such as Oracle, SQL Server, PostgreSQL.</t>
        </is>
      </c>
      <c r="EF201" s="53" t="inlineStr">
        <is>
          <t>1. Feature Delivery: Complete assigned features/stories with 90%+ sprint commitment accuracy .
2. Code Quality: Maintain a bug-escape rate below 5% · bugs found in production vs. total bugs for code shipped to production.
3. Test Coverage: Achieve and maintain 80%+ unit test coverage on all new code contributions.
4. Ownership: Take complete ownership of the EBR/SDMX ensuring timely delivery of client requirements, production support, and continuous improvements.
5. Stack expertise:Learn and apply at least 1 new technology, framework, or language relevant to the product roadmap · e.g. React. Deliver at least 1 production feature using the new technology within the year.</t>
        </is>
      </c>
      <c r="EG201" s="53" t="inlineStr">
        <is>
          <t>1. Develop and deliver all newly released EBR reports as per RBI regulatory requirements within the stipulated timelines.
Implement comprehensive data-level validations across all EBR reports to ensure accurate, compliant, and error-free regulatory filing.
2. Enhance the SDMX end-to-end testing process by implementing comprehensive test cases, including AI-assisted and custom-designed test scenarios.
3. Provide deployment support during the initial rollout of EBR implementations at client locations and automate deployment activities to minimize manual intervention, reduce deployment errors, and improve efficiency.
4. Enhance the EBR workflow by implementing new features and usability improvements based on business requirements and client feedback, further strengthening IRIS IDEAL as a reliable and trusted solution.
5. Contribute to the development of WebIDEAL 6.0 by building modules using the .NET Core Web API architecture while leveraging the proven functionality of WebIDEAL 5.5.
6. Develop frontend modules using the React framework in WebIDEAL 6.0 to enhance technical expertise, improve user experience, and align the application with modern industry standards.
7. Automate the EBR CMS-to-Data Mapping process to reduce manual effort, improve accuracy, and streamline report preparation.
8. Migrate the metadata management component of the Data Preparation Module from static files to a database-driven approach to improve scalability, maintainability, and operational efficiency.</t>
        </is>
      </c>
      <c r="EH201" s="53" t="n">
        <v>4</v>
      </c>
      <c r="EI201" s="53" t="n"/>
      <c r="EJ201" s="53" t="inlineStr">
        <is>
          <t>Same as per records</t>
        </is>
      </c>
      <c r="EK201" s="53" t="n"/>
      <c r="EL201" s="53" t="n">
        <v>4</v>
      </c>
      <c r="EM201" s="53" t="inlineStr">
        <is>
          <t>High</t>
        </is>
      </c>
      <c r="EN201" s="53" t="inlineStr">
        <is>
          <t>Emerging Talent</t>
        </is>
      </c>
      <c r="EO201" s="53" t="inlineStr">
        <is>
          <t>Not Ready</t>
        </is>
      </c>
      <c r="EP201" s="53" t="inlineStr">
        <is>
          <t>No</t>
        </is>
      </c>
      <c r="EQ201" s="53" t="inlineStr">
        <is>
          <t>Yes</t>
        </is>
      </c>
      <c r="ER201" s="53" t="n"/>
      <c r="ES201" s="53" t="inlineStr">
        <is>
          <t>XBRL Training, Training on the effective utilization of AI tools.</t>
        </is>
      </c>
      <c r="ET201" s="53" t="n"/>
      <c r="EU201" s="53" t="n"/>
      <c r="EV201" s="53" t="n"/>
      <c r="EW201" s="52" t="n"/>
      <c r="EX201" s="53" t="n"/>
      <c r="EY201" s="53" t="n"/>
      <c r="EZ201" s="53" t="n"/>
      <c r="FA201" s="53" t="n"/>
      <c r="FB201" s="53" t="n"/>
      <c r="FC201" s="53" t="inlineStr">
        <is>
          <t>Annual KRAs · objective Measurable Minimum 5 - set by Manager</t>
        </is>
      </c>
      <c r="FD201" s="53" t="n"/>
      <c r="FE201" s="57" t="inlineStr">
        <is>
          <t>1. Feature Delivery: Complete assigned features/stories with 90%+ sprint commitment accuracy .
2. Code Quality: Maintain a bug-escape rate below 5% · bugs found in production vs. total bugs for code shipped to production.
3. Test Coverage: Achieve and maintain 80%+ unit test coverage on all new code contributions.
4. Ownership: Take complete ownership of the EBR/SDMX ensuring timely delivery of client requirements, production support, and continuous improvements.
5. Stack expertise:Learn and apply at least 1 new technology, framework, or language relevant to the product roadmap · e.g. React. Deliver at least 1 production feature using the new technology within the year.</t>
        </is>
      </c>
      <c r="FF201" s="56" t="inlineStr">
        <is>
          <t>1. Develop and deliver all newly released EBR reports as per RBI regulatory requirements within the stipulated timelines.
Implement comprehensive data-level validations across all EBR reports to ensure accurate, compliant, and error-free regulatory filing.
2. Enhance the SDMX end-to-end testing process by implementing comprehensive test cases, including AI-assisted and custom-designed test scenarios.
3. Provide deployment support during the initial rollout of EBR implementations at client locations and automate deployment activities to minimize manual intervention, reduce deployment errors, and improve efficiency.
4. Enhance the EBR workflow by implementing new features and usability improvements based on business requirements and client feedback, further strengthening IRIS IDEAL as a reliable and trusted solution.
5. Contribute to the development of WebIDEAL 6.0 by building modules using the .NET Core Web API architecture while leveraging the proven functionality of WebIDEAL 5.5.
6. Develop frontend modules using the React framework in WebIDEAL 6.0 to enhance technical expertise, improve user experience, and align the application with modern industry standards.
7. Automate the EBR CMS-to-Data Mapping process to reduce manual effort, improve accuracy, and streamline report preparation.
8. Migrate the metadata management component of the Data Preparation Module from static files to a database-driven approach to improve scalability, maintainability, and operational efficiency.</t>
        </is>
      </c>
      <c r="FG201" s="56" t="inlineStr">
        <is>
          <t>1. To make IRIS IDEAL a stable, robust, scalable, and trusted SDMX reporting solution for all banks by continuously improving application performance, security, reliability, user experience, and regulatory compliance.
2. To enhance my skill set in .NET 8/10, ASP.NET Core Web API, Entity Framework Core, C#, and the latest React ecosystem · React 19, Redux Toolkit, state based architecture etc
3. To learn modern security standards and application development architectures, multiple SSO standards, OpenID Connect · OIDC, JWT Authentication, Clean Architecture, Microservices, and SOLID principles, to build expertise in industry-standard software development.
4. To focus on upcoming changes in the Retch field related to Artificial Intelligence · AI and explore opportunities to integrate technologies such as GitHub Copilot, AI-assisted testing, and intelligent validation into WebIDEAL enhancements.
5. To enhance my skills in .NET Minimal APIs, Native OpenAPI support, Swagger/OpenAPI, ASP.NET Identity, JWT-based authentication, Role-Based Access Control · RBAC, and modern authorization standards.
6. To adapt to the latest features introduced in .NET 8 and .NET 10, including Native AOT, performance optimizations,and modern API development, to stay aligned with current industry practices.
7. To become a complete Full Stack Developer by strengthening my frontend skills using React, JavaScript/TypeScript,Tailwind CSS, and expanding my knowledge of multiple databases such as Oracle, SQL Server, PostgreSQL.</t>
        </is>
      </c>
      <c r="FH201" s="56" t="inlineStr">
        <is>
          <t>4</t>
        </is>
      </c>
      <c r="FI201" s="56" t="n"/>
      <c r="FJ201" s="56" t="inlineStr">
        <is>
          <t>Received · manager annual, quarterly, self</t>
        </is>
      </c>
      <c r="FK201" s="56" t="inlineStr">
        <is>
          <t>Talent Mapping · iDEAL</t>
        </is>
      </c>
      <c r="FL201" s="56" t="n">
        <v>20</v>
      </c>
      <c r="FM201" s="32" t="inlineStr">
        <is>
          <t>Full survey answers not in the files received · How We Grow export needed · HR</t>
        </is>
      </c>
      <c r="FN201" s="56" t="inlineStr">
        <is>
          <t>—</t>
        </is>
      </c>
      <c r="FO201" s="56" t="inlineStr">
        <is>
          <t>—</t>
        </is>
      </c>
      <c r="FP201" s="56" t="inlineStr">
        <is>
          <t>—</t>
        </is>
      </c>
      <c r="FQ201" s="56" t="inlineStr">
        <is>
          <t>—</t>
        </is>
      </c>
      <c r="FR201" s="56" t="inlineStr">
        <is>
          <t>Complexity: Evidence reads like A2:.NET Core development from requirements; asks experienced seniors for review → matches the start
Autonomy: Evidence reads like A2: Decides prerequisites / BRD design; relies on senior review → matches the start
Accountability: Evidence reads like A3: Module flow errors produce improper instances and entity filing issues → moved up 0.5
Leadership: Evidence reads like A1: No guidance of others described → matches the start
Business Impact: Moved +0.5: the survey / manager mapping marks it business-critical.</t>
        </is>
      </c>
      <c r="FS201"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201" s="56" t="inlineStr">
        <is>
          <t>Self-identified: AI / automation · Technical depth &amp; architecture · Product &amp; tool knowledge · Certification / formal course
For the next role: AI / automation · Technical depth &amp; architecture · Product &amp; tool knowledge · Certification / formal course</t>
        </is>
      </c>
      <c r="FU201" s="32" t="inlineStr">
        <is>
          <t>Full survey answers not in the files received · How We Grow export needed · HR</t>
        </is>
      </c>
    </row>
    <row r="202" ht="90" customHeight="1">
      <c r="A202" s="51" t="inlineStr">
        <is>
          <t>◂ Back</t>
        </is>
      </c>
      <c r="B202" s="29" t="inlineStr">
        <is>
          <t>Mapped</t>
        </is>
      </c>
      <c r="C202" s="28" t="inlineStr">
        <is>
          <t>iDEAL</t>
        </is>
      </c>
      <c r="D202" s="29" t="inlineStr">
        <is>
          <t>IRIS2038</t>
        </is>
      </c>
      <c r="E202" s="29" t="inlineStr">
        <is>
          <t>Swapnil Shirke</t>
        </is>
      </c>
      <c r="F202" s="29" t="inlineStr">
        <is>
          <t>Technology</t>
        </is>
      </c>
      <c r="G202" s="29" t="inlineStr">
        <is>
          <t>Software Engineer</t>
        </is>
      </c>
      <c r="H202" s="29" t="inlineStr">
        <is>
          <t>Senior Software Engineer</t>
        </is>
      </c>
      <c r="I202" s="29" t="inlineStr">
        <is>
          <t>L3 – Professional / Associate</t>
        </is>
      </c>
      <c r="J202" s="29" t="inlineStr">
        <is>
          <t>A3</t>
        </is>
      </c>
      <c r="K202" s="29" t="inlineStr">
        <is>
          <t>▲ Up</t>
        </is>
      </c>
      <c r="L202" s="29" t="inlineStr">
        <is>
          <t>Engineering &amp; Development</t>
        </is>
      </c>
      <c r="M202" s="29" t="inlineStr">
        <is>
          <t>Backend Development</t>
        </is>
      </c>
      <c r="N202" s="29" t="inlineStr">
        <is>
          <t>• Confirm the reporting line — Manager</t>
        </is>
      </c>
      <c r="O202" s="29" t="n">
        <v>20</v>
      </c>
      <c r="P202" s="28" t="inlineStr">
        <is>
          <t>P2</t>
        </is>
      </c>
      <c r="Q202" s="29" t="inlineStr">
        <is>
          <t>Developing</t>
        </is>
      </c>
      <c r="R202" s="29" t="inlineStr">
        <is>
          <t>3 Apply</t>
        </is>
      </c>
      <c r="S202" s="29" t="inlineStr">
        <is>
          <t>2–4 yrs</t>
        </is>
      </c>
      <c r="T202" s="29" t="inlineStr">
        <is>
          <t>3–5 · 2–5</t>
        </is>
      </c>
      <c r="U202" s="29" t="inlineStr">
        <is>
          <t>Software Engineer</t>
        </is>
      </c>
      <c r="V202" s="29" t="inlineStr">
        <is>
          <t>Workiva: SE · Broadridge India: SE · Nasdaq / AxiomSL: SE · Salesforce: MTS · Atlassian: P40 · 3–7 yrs · Freshworks: Senior SE</t>
        </is>
      </c>
      <c r="W202" s="29" t="inlineStr">
        <is>
          <t>SFIA 9 · software development, programming; OWASP secure coding; cloud vendor certifications</t>
        </is>
      </c>
      <c r="X202" s="29" t="inlineStr">
        <is>
          <t>Core 2 · Future 2 · Functional 3 · Leadership not scored</t>
        </is>
      </c>
      <c r="Y202" s="52" t="n">
        <v>228</v>
      </c>
      <c r="Z202" s="53" t="inlineStr">
        <is>
          <t>IRIS2038</t>
        </is>
      </c>
      <c r="AA202" s="53" t="inlineStr">
        <is>
          <t>Employee</t>
        </is>
      </c>
      <c r="AB202" s="53" t="inlineStr">
        <is>
          <t>Active</t>
        </is>
      </c>
      <c r="AC202" s="53" t="inlineStr">
        <is>
          <t>Swapnil Shirke</t>
        </is>
      </c>
      <c r="AD202" s="54" t="n">
        <v>44754</v>
      </c>
      <c r="AE202" s="53" t="inlineStr">
        <is>
          <t>Software Engineer</t>
        </is>
      </c>
      <c r="AF202" s="53" t="inlineStr">
        <is>
          <t>B.E</t>
        </is>
      </c>
      <c r="AG202" s="53" t="inlineStr">
        <is>
          <t>Jitendra Kumar</t>
        </is>
      </c>
      <c r="AH202" s="53" t="inlineStr">
        <is>
          <t>N-4</t>
        </is>
      </c>
      <c r="AI202" s="53" t="inlineStr">
        <is>
          <t>Manager</t>
        </is>
      </c>
      <c r="AJ202" s="53" t="inlineStr">
        <is>
          <t>0 years, 0 months, 0 days</t>
        </is>
      </c>
      <c r="AK202" s="53" t="inlineStr">
        <is>
          <t>4 years, 1 months, 13 days</t>
        </is>
      </c>
      <c r="AL202" s="53" t="inlineStr">
        <is>
          <t>Regtech</t>
        </is>
      </c>
      <c r="AM202" s="53" t="inlineStr">
        <is>
          <t>iDEAL</t>
        </is>
      </c>
      <c r="AN202" s="53" t="inlineStr">
        <is>
          <t>Technology</t>
        </is>
      </c>
      <c r="AO202" s="53" t="inlineStr">
        <is>
          <t>Development</t>
        </is>
      </c>
      <c r="AP202" s="53" t="inlineStr">
        <is>
          <t>Yes</t>
        </is>
      </c>
      <c r="AQ202" s="53" t="inlineStr">
        <is>
          <t>Product/Project</t>
        </is>
      </c>
      <c r="AR202" s="53" t="inlineStr">
        <is>
          <t>.NET MVC</t>
        </is>
      </c>
      <c r="AS202" s="53" t="inlineStr">
        <is>
          <t>Technical - Developer</t>
        </is>
      </c>
      <c r="AT202" s="53" t="n">
        <v>20</v>
      </c>
      <c r="AU202" s="53" t="inlineStr">
        <is>
          <t>Covered</t>
        </is>
      </c>
      <c r="AV202" s="53" t="n"/>
      <c r="AW202" s="53" t="n"/>
      <c r="AX202" s="53" t="n"/>
      <c r="AY202" s="53" t="n"/>
      <c r="AZ202" s="53" t="n"/>
      <c r="BA202" s="53" t="n"/>
      <c r="BB202" s="53" t="n"/>
      <c r="BC202" s="53" t="n"/>
      <c r="BD202" s="53" t="n"/>
      <c r="BE202" s="53" t="n"/>
      <c r="BF202" s="53" t="n"/>
      <c r="BG202" s="53" t="n"/>
      <c r="BH202" s="53" t="n"/>
      <c r="BI202" s="53" t="n"/>
      <c r="BJ202" s="53" t="n"/>
      <c r="BK202" s="53" t="n"/>
      <c r="BL202" s="53" t="n"/>
      <c r="BM202" s="53" t="n"/>
      <c r="BN202" s="53" t="n"/>
      <c r="BO202" s="53" t="n"/>
      <c r="BP202" s="53" t="n"/>
      <c r="BQ202" s="53" t="n"/>
      <c r="BR202" s="53" t="n"/>
      <c r="BS202" s="53" t="n"/>
      <c r="BT202" s="53" t="n"/>
      <c r="BU202" s="53" t="n"/>
      <c r="BV202" s="53" t="n"/>
      <c r="BW202" s="53" t="n"/>
      <c r="BX202" s="53" t="n"/>
      <c r="BY202" s="53" t="n"/>
      <c r="BZ202" s="53" t="n"/>
      <c r="CA202" s="53" t="n"/>
      <c r="CB202" s="53" t="n"/>
      <c r="CC202" s="53" t="n"/>
      <c r="CD202" s="53" t="n"/>
      <c r="CE202" s="53" t="n"/>
      <c r="CF202" s="53" t="n"/>
      <c r="CG202" s="53" t="n"/>
      <c r="CH202" s="53" t="n"/>
      <c r="CI202" s="53" t="n"/>
      <c r="CJ202" s="53" t="n"/>
      <c r="CK202" s="53" t="n"/>
      <c r="CL202" s="53" t="n"/>
      <c r="CM202" s="53" t="n"/>
      <c r="CN202" s="53" t="n"/>
      <c r="CO202" s="53" t="n"/>
      <c r="CP202" s="53" t="n"/>
      <c r="CQ202" s="53" t="n"/>
      <c r="CR202" s="53" t="n"/>
      <c r="CS202" s="53" t="n"/>
      <c r="CT202" s="53" t="n"/>
      <c r="CU202" s="53" t="n"/>
      <c r="CV202" s="53" t="n"/>
      <c r="CW202" s="53" t="n"/>
      <c r="CX202" s="53" t="n"/>
      <c r="CY202" s="53" t="n"/>
      <c r="CZ202" s="53" t="n"/>
      <c r="DA202" s="53" t="n"/>
      <c r="DB202" s="53" t="n"/>
      <c r="DC202" s="53" t="n"/>
      <c r="DD202" s="53" t="inlineStr">
        <is>
          <t>IRIS2038</t>
        </is>
      </c>
      <c r="DE202" s="53" t="inlineStr">
        <is>
          <t>Employee</t>
        </is>
      </c>
      <c r="DF202" s="53" t="inlineStr">
        <is>
          <t>Active</t>
        </is>
      </c>
      <c r="DG202" s="53" t="inlineStr">
        <is>
          <t>Swapnil Shirke</t>
        </is>
      </c>
      <c r="DH202" s="54" t="n">
        <v>44754</v>
      </c>
      <c r="DI202" s="53" t="inlineStr">
        <is>
          <t>Software Engineer</t>
        </is>
      </c>
      <c r="DJ202" s="53" t="inlineStr">
        <is>
          <t>Engineering &amp; Development</t>
        </is>
      </c>
      <c r="DK202" s="53" t="inlineStr">
        <is>
          <t>Backend Engineering ·.NET</t>
        </is>
      </c>
      <c r="DL202" s="53" t="inlineStr">
        <is>
          <t>Software Engineer</t>
        </is>
      </c>
      <c r="DM202" s="53" t="inlineStr">
        <is>
          <t>L3 – Professional / Associate</t>
        </is>
      </c>
      <c r="DN202" s="53" t="inlineStr">
        <is>
          <t>B.E</t>
        </is>
      </c>
      <c r="DO202" s="53" t="inlineStr">
        <is>
          <t>Jitendra Kumar</t>
        </is>
      </c>
      <c r="DP202" s="53" t="inlineStr">
        <is>
          <t>N-4</t>
        </is>
      </c>
      <c r="DQ202" s="53" t="inlineStr">
        <is>
          <t>Manager</t>
        </is>
      </c>
      <c r="DR202" s="53" t="inlineStr">
        <is>
          <t>0 years, 0 months, 0 days</t>
        </is>
      </c>
      <c r="DS202" s="53" t="inlineStr">
        <is>
          <t>3 years, 11 months, 8 days</t>
        </is>
      </c>
      <c r="DT202" s="53" t="inlineStr">
        <is>
          <t>3 years, 11 months, 8 days</t>
        </is>
      </c>
      <c r="DU202" s="53" t="n">
        <v>3.93858447488585</v>
      </c>
      <c r="DV202" s="53" t="inlineStr">
        <is>
          <t>Regtech</t>
        </is>
      </c>
      <c r="DW202" s="53" t="inlineStr">
        <is>
          <t>iDEAL</t>
        </is>
      </c>
      <c r="DX202" s="53" t="inlineStr">
        <is>
          <t>Technology</t>
        </is>
      </c>
      <c r="DY202" s="53" t="inlineStr">
        <is>
          <t>Development</t>
        </is>
      </c>
      <c r="DZ202" s="53" t="inlineStr">
        <is>
          <t>Yes</t>
        </is>
      </c>
      <c r="EA202" s="53" t="inlineStr">
        <is>
          <t>Product/Project</t>
        </is>
      </c>
      <c r="EB202" s="53" t="inlineStr">
        <is>
          <t>.NET MVC</t>
        </is>
      </c>
      <c r="EC202" s="53" t="inlineStr">
        <is>
          <t>Technical - Developer</t>
        </is>
      </c>
      <c r="ED202" s="53" t="inlineStr">
        <is>
          <t>Remote- Outside Mumbai</t>
        </is>
      </c>
      <c r="EE202" s="53" t="inlineStr">
        <is>
          <t>1. Follow secure coding standards, development best practices, and continuous learning to build scalable, reliable, and secure applications.
2. Strengthen technical leadership by mentoring team members, supporting project delivery, and ensuring timely resolution of production issues with root cause analysis.
3. Explore and integrate AI technologies to enhance application functionality, automation, and user experience.
4. Continuously enhance technical skills by learning new technologies, frameworks, and industry best practices.
5. Continuously improve customer satisfaction by delivering high-quality, reliable, and maintainable software solutions.
6. Improve application performance, scalability, and maintainability.</t>
        </is>
      </c>
      <c r="EF202" s="53" t="inlineStr">
        <is>
          <t>1. AI-Assisted Development Adoption: Use AI coding assistants for at least 60% of development tasks , with no increase in bug-escape rate.
2. Test Coverage: Achieve and maintain 80%+ unit test coverage on all new code contributions.
3. Code Reviews: Conduct at least 50 peer code reviews over the year with actionable feedback.
4. Complete CIC Application development with end-to-end ownership and timely execution.
5.Secure Coding Mentorship: Conduct quarterly secure coding training/workshops for the team · e.g., OWASP Top 10, secure API design, with measurable reduction in recurring vulnerability classes found in audits · target: 25% YoY reduction.</t>
        </is>
      </c>
      <c r="EG202" s="53" t="inlineStr">
        <is>
          <t>1. Complete the  CIC project features by implementing all pending business requirements, ensuring timely delivery, quality, and successful user acceptance.
2. Deliver client-specific customization requests by developing, testing, and deploying requested enhancements while adhering to coding standards and committed project timelines.
3. Enhance application quality and stability by resolving reported defects, optimizing existing functionalities, performing unit testing, and minimizing production issues.
4. Improve application performance and user experience by optimizing existing modules, and implementing performance improvements based on client feedback.
5. Support project delivery and continuous improvement by participating in  code reviews, knowledge sharing, and implementing automation or process improvements to increase development efficiency.</t>
        </is>
      </c>
      <c r="EH202" s="53" t="n">
        <v>5</v>
      </c>
      <c r="EI202" s="53" t="n"/>
      <c r="EJ202" s="53" t="inlineStr">
        <is>
          <t>Same as per records</t>
        </is>
      </c>
      <c r="EK202" s="53" t="inlineStr">
        <is>
          <t>Carries manager responsibility on a non-lead title – align title/grade to people-management scope</t>
        </is>
      </c>
      <c r="EL202" s="53" t="n">
        <v>5</v>
      </c>
      <c r="EM202" s="53" t="inlineStr">
        <is>
          <t>High</t>
        </is>
      </c>
      <c r="EN202" s="53" t="inlineStr">
        <is>
          <t>High Impact / Growth Talent</t>
        </is>
      </c>
      <c r="EO202" s="53" t="inlineStr">
        <is>
          <t>Ready Now</t>
        </is>
      </c>
      <c r="EP202" s="53" t="inlineStr">
        <is>
          <t>No</t>
        </is>
      </c>
      <c r="EQ202" s="53" t="inlineStr">
        <is>
          <t>Yes</t>
        </is>
      </c>
      <c r="ER202" s="53" t="n"/>
      <c r="ES202" s="53" t="inlineStr">
        <is>
          <t>XBRL Training, Training on the effective utilization of AI tools.</t>
        </is>
      </c>
      <c r="ET202" s="53" t="inlineStr">
        <is>
          <t>Advanced System Design &amp; Software Architecture:
1 - Microservices Architecture
2 - Design Patterns and SOLID Principles
3 - Scalable Application Design
4 - Distributed Systems Fundamentals</t>
        </is>
      </c>
      <c r="EU202" s="53" t="n"/>
      <c r="EV202" s="53" t="n"/>
      <c r="EW202" s="52" t="n"/>
      <c r="EX202" s="53" t="n"/>
      <c r="EY202" s="53" t="n"/>
      <c r="EZ202" s="53" t="n"/>
      <c r="FA202" s="53" t="n"/>
      <c r="FB202" s="53" t="n"/>
      <c r="FC202" s="53" t="inlineStr">
        <is>
          <t>Annual KRAs · objective Measurable Minimum 5 - set by Manager</t>
        </is>
      </c>
      <c r="FD202" s="53" t="n"/>
      <c r="FE202" s="57" t="inlineStr">
        <is>
          <t>1. AI-Assisted Development Adoption: Use AI coding assistants for at least 60% of development tasks , with no increase in bug-escape rate.
2. Test Coverage: Achieve and maintain 80%+ unit test coverage on all new code contributions.
3. Code Reviews: Conduct at least 50 peer code reviews over the year with actionable feedback.
4. Complete CIC Application development with end-to-end ownership and timely execution.
5.Secure Coding Mentorship: Conduct quarterly secure coding training/workshops for the team · e.g., OWASP Top 10, secure API design, with measurable reduction in recurring vulnerability classes found in audits · target: 25% YoY reduction.</t>
        </is>
      </c>
      <c r="FF202" s="56" t="inlineStr">
        <is>
          <t>1. Complete the  CIC project features by implementing all pending business requirements, ensuring timely delivery, quality, and successful user acceptance.
2. Deliver client-specific customization requests by developing, testing, and deploying requested enhancements while adhering to coding standards and committed project timelines.
3. Enhance application quality and stability by resolving reported defects, optimizing existing functionalities, performing unit testing, and minimizing production issues.
4. Improve application performance and user experience by optimizing existing modules, and implementing performance improvements based on client feedback.
5. Support project delivery and continuous improvement by participating in  code reviews, knowledge sharing, and implementing automation or process improvements to increase development efficiency.</t>
        </is>
      </c>
      <c r="FG202" s="56" t="inlineStr">
        <is>
          <t>1. Follow secure coding standards, development best practices, and continuous learning to build scalable, reliable, and secure applications.
2. Strengthen technical leadership by mentoring team members, supporting project delivery, and ensuring timely resolution of production issues with root cause analysis.
3. Explore and integrate AI technologies to enhance application functionality, automation, and user experience.
4. Continuously enhance technical skills by learning new technologies, frameworks, and industry best practices.
5. Continuously improve customer satisfaction by delivering high-quality, reliable, and maintainable software solutions.
6. Improve application performance, scalability, and maintainability.</t>
        </is>
      </c>
      <c r="FH202" s="56" t="inlineStr">
        <is>
          <t>5</t>
        </is>
      </c>
      <c r="FI202" s="56" t="n"/>
      <c r="FJ202" s="56" t="inlineStr">
        <is>
          <t>Received · manager annual, quarterly, self</t>
        </is>
      </c>
      <c r="FK202" s="56" t="inlineStr">
        <is>
          <t>Talent Mapping · iDEAL</t>
        </is>
      </c>
      <c r="FL202" s="56" t="n">
        <v>20</v>
      </c>
      <c r="FM202" s="32" t="inlineStr">
        <is>
          <t>Full survey answers not in the files received · How We Grow export needed · HR</t>
        </is>
      </c>
      <c r="FN202" s="56" t="inlineStr">
        <is>
          <t>—</t>
        </is>
      </c>
      <c r="FO202" s="56" t="inlineStr">
        <is>
          <t>—</t>
        </is>
      </c>
      <c r="FP202" s="56" t="inlineStr">
        <is>
          <t>—</t>
        </is>
      </c>
      <c r="FQ202" s="56" t="inlineStr">
        <is>
          <t>—</t>
        </is>
      </c>
      <c r="FR202" s="56" t="inlineStr">
        <is>
          <t>Business Impact: Moved +0.5: the survey / manager mapping marks it business-critical.</t>
        </is>
      </c>
      <c r="FS202"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202" s="56" t="inlineStr">
        <is>
          <t>Self-identified: Leadership &amp; people management · Project / programme management · Broader exposure &amp; ownership
For the next role: Leadership &amp; people management · Project / programme management · Broader exposure &amp; ownership</t>
        </is>
      </c>
      <c r="FU202" s="32" t="inlineStr">
        <is>
          <t>Full survey answers not in the files received · How We Grow export needed · HR</t>
        </is>
      </c>
    </row>
    <row r="203" ht="90" customHeight="1">
      <c r="A203" s="51" t="inlineStr">
        <is>
          <t>◂ Back</t>
        </is>
      </c>
      <c r="B203" s="29" t="inlineStr">
        <is>
          <t>Mapped</t>
        </is>
      </c>
      <c r="C203" s="28" t="inlineStr">
        <is>
          <t>iDEAL</t>
        </is>
      </c>
      <c r="D203" s="29" t="inlineStr">
        <is>
          <t>IRIS2426</t>
        </is>
      </c>
      <c r="E203" s="29" t="inlineStr">
        <is>
          <t>Abhay Pandey</t>
        </is>
      </c>
      <c r="F203" s="29" t="inlineStr">
        <is>
          <t>Technology</t>
        </is>
      </c>
      <c r="G203" s="29" t="inlineStr">
        <is>
          <t>Trainee Software Engineer</t>
        </is>
      </c>
      <c r="H203" s="29" t="inlineStr">
        <is>
          <t>Software Engineer</t>
        </is>
      </c>
      <c r="I203" s="29" t="inlineStr">
        <is>
          <t>L2 – Trainee</t>
        </is>
      </c>
      <c r="J203" s="29" t="inlineStr">
        <is>
          <t>A2</t>
        </is>
      </c>
      <c r="K203" s="29" t="inlineStr">
        <is>
          <t>▲ Up</t>
        </is>
      </c>
      <c r="L203" s="29" t="inlineStr">
        <is>
          <t>Engineering &amp; Development</t>
        </is>
      </c>
      <c r="M203" s="29" t="inlineStr">
        <is>
          <t>Backend Development</t>
        </is>
      </c>
      <c r="N203" s="29" t="n"/>
      <c r="O203" s="29" t="n">
        <v>20</v>
      </c>
      <c r="P203" s="28" t="inlineStr">
        <is>
          <t>P1–P2</t>
        </is>
      </c>
      <c r="Q203" s="29" t="inlineStr">
        <is>
          <t>Entry / Developing</t>
        </is>
      </c>
      <c r="R203" s="29" t="inlineStr">
        <is>
          <t>2 Assist</t>
        </is>
      </c>
      <c r="S203" s="29" t="inlineStr">
        <is>
          <t>0–2 yrs</t>
        </is>
      </c>
      <c r="T203" s="29" t="inlineStr">
        <is>
          <t>1–3 · 0–3</t>
        </is>
      </c>
      <c r="U203" s="29" t="inlineStr">
        <is>
          <t>Associate Software Engineer / Software Engineer</t>
        </is>
      </c>
      <c r="V203" s="29" t="inlineStr">
        <is>
          <t>Workiva: Associate SE · Broadridge India: SE · Nasdaq / AxiomSL: SE · Salesforce: AMTS · Atlassian: P30 Junior · 0–2 yrs · Freshworks: SE</t>
        </is>
      </c>
      <c r="W203" s="29" t="inlineStr">
        <is>
          <t>SFIA 9 · software development, programming; OWASP secure coding; cloud vendor certifications</t>
        </is>
      </c>
      <c r="X203" s="29" t="inlineStr">
        <is>
          <t>Core 2 · Future 2 · Functional 2 · Leadership not scored</t>
        </is>
      </c>
      <c r="Y203" s="52" t="n">
        <v>395</v>
      </c>
      <c r="Z203" s="53" t="inlineStr">
        <is>
          <t>IRIS2426</t>
        </is>
      </c>
      <c r="AA203" s="53" t="inlineStr">
        <is>
          <t>Employee</t>
        </is>
      </c>
      <c r="AB203" s="53" t="inlineStr">
        <is>
          <t>Active</t>
        </is>
      </c>
      <c r="AC203" s="53" t="inlineStr">
        <is>
          <t>Abhay Pandey</t>
        </is>
      </c>
      <c r="AD203" s="54" t="n">
        <v>45894</v>
      </c>
      <c r="AE203" s="53" t="inlineStr">
        <is>
          <t>Trainee Software Engineer</t>
        </is>
      </c>
      <c r="AF203" s="53" t="inlineStr">
        <is>
          <t>B.E</t>
        </is>
      </c>
      <c r="AG203" s="53" t="inlineStr">
        <is>
          <t>Swapnil Shirke</t>
        </is>
      </c>
      <c r="AH203" s="53" t="inlineStr">
        <is>
          <t>N-5</t>
        </is>
      </c>
      <c r="AI203" s="53" t="inlineStr">
        <is>
          <t>Individual Contributor</t>
        </is>
      </c>
      <c r="AJ203" s="53" t="inlineStr">
        <is>
          <t>0 years, 0 months, 0 days</t>
        </is>
      </c>
      <c r="AK203" s="53" t="inlineStr">
        <is>
          <t>1 years, 0 months, 0 days</t>
        </is>
      </c>
      <c r="AL203" s="53" t="inlineStr">
        <is>
          <t>Regtech</t>
        </is>
      </c>
      <c r="AM203" s="53" t="inlineStr">
        <is>
          <t>iDEAL</t>
        </is>
      </c>
      <c r="AN203" s="53" t="inlineStr">
        <is>
          <t>Technology</t>
        </is>
      </c>
      <c r="AO203" s="53" t="inlineStr">
        <is>
          <t>Development</t>
        </is>
      </c>
      <c r="AP203" s="53" t="inlineStr">
        <is>
          <t>Yes</t>
        </is>
      </c>
      <c r="AQ203" s="53" t="inlineStr">
        <is>
          <t>Product/Project</t>
        </is>
      </c>
      <c r="AR203" s="53" t="inlineStr">
        <is>
          <t>.NET MVC</t>
        </is>
      </c>
      <c r="AS203" s="53" t="inlineStr">
        <is>
          <t>Technical - Developer</t>
        </is>
      </c>
      <c r="AT203" s="53" t="n">
        <v>20</v>
      </c>
      <c r="AU203" s="53" t="inlineStr">
        <is>
          <t>Covered</t>
        </is>
      </c>
      <c r="AV203" s="53" t="n"/>
      <c r="AW203" s="53" t="n"/>
      <c r="AX203" s="53" t="n"/>
      <c r="AY203" s="53" t="n"/>
      <c r="AZ203" s="53" t="n"/>
      <c r="BA203" s="53" t="n"/>
      <c r="BB203" s="53" t="n"/>
      <c r="BC203" s="53" t="n"/>
      <c r="BD203" s="53" t="n"/>
      <c r="BE203" s="53" t="n"/>
      <c r="BF203" s="53" t="n"/>
      <c r="BG203" s="53" t="n"/>
      <c r="BH203" s="53" t="n"/>
      <c r="BI203" s="53" t="n"/>
      <c r="BJ203" s="53" t="n"/>
      <c r="BK203" s="53" t="n"/>
      <c r="BL203" s="53" t="n"/>
      <c r="BM203" s="53" t="n"/>
      <c r="BN203" s="53" t="n"/>
      <c r="BO203" s="53" t="n"/>
      <c r="BP203" s="53" t="n"/>
      <c r="BQ203" s="53" t="n"/>
      <c r="BR203" s="53" t="n"/>
      <c r="BS203" s="53" t="n"/>
      <c r="BT203" s="53" t="n"/>
      <c r="BU203" s="53" t="n"/>
      <c r="BV203" s="53" t="n"/>
      <c r="BW203" s="53" t="n"/>
      <c r="BX203" s="53" t="n"/>
      <c r="BY203" s="53" t="n"/>
      <c r="BZ203" s="53" t="n"/>
      <c r="CA203" s="53" t="n"/>
      <c r="CB203" s="53" t="n"/>
      <c r="CC203" s="53" t="n"/>
      <c r="CD203" s="53" t="n"/>
      <c r="CE203" s="53" t="n"/>
      <c r="CF203" s="53" t="n"/>
      <c r="CG203" s="53" t="n"/>
      <c r="CH203" s="53" t="n"/>
      <c r="CI203" s="53" t="n"/>
      <c r="CJ203" s="53" t="n"/>
      <c r="CK203" s="53" t="n"/>
      <c r="CL203" s="53" t="n"/>
      <c r="CM203" s="53" t="n"/>
      <c r="CN203" s="53" t="n"/>
      <c r="CO203" s="53" t="n"/>
      <c r="CP203" s="53" t="n"/>
      <c r="CQ203" s="53" t="n"/>
      <c r="CR203" s="53" t="n"/>
      <c r="CS203" s="53" t="n"/>
      <c r="CT203" s="53" t="n"/>
      <c r="CU203" s="53" t="n"/>
      <c r="CV203" s="53" t="n"/>
      <c r="CW203" s="53" t="n"/>
      <c r="CX203" s="53" t="n"/>
      <c r="CY203" s="53" t="n"/>
      <c r="CZ203" s="53" t="n"/>
      <c r="DA203" s="53" t="n"/>
      <c r="DB203" s="53" t="n"/>
      <c r="DC203" s="53" t="n"/>
      <c r="DD203" s="53" t="inlineStr">
        <is>
          <t>IRIS2426</t>
        </is>
      </c>
      <c r="DE203" s="53" t="inlineStr">
        <is>
          <t>Employee</t>
        </is>
      </c>
      <c r="DF203" s="53" t="inlineStr">
        <is>
          <t>Active</t>
        </is>
      </c>
      <c r="DG203" s="53" t="inlineStr">
        <is>
          <t>Abhay Pandey</t>
        </is>
      </c>
      <c r="DH203" s="54" t="n">
        <v>45894</v>
      </c>
      <c r="DI203" s="53" t="inlineStr">
        <is>
          <t>Trainee Software Engineer</t>
        </is>
      </c>
      <c r="DJ203" s="53" t="inlineStr">
        <is>
          <t>Engineering &amp; Development</t>
        </is>
      </c>
      <c r="DK203" s="53" t="inlineStr">
        <is>
          <t>Backend Engineering ·.NET</t>
        </is>
      </c>
      <c r="DL203" s="53" t="inlineStr">
        <is>
          <t>Trainee Software Engineer</t>
        </is>
      </c>
      <c r="DM203" s="53" t="inlineStr">
        <is>
          <t>L2 – Trainee</t>
        </is>
      </c>
      <c r="DN203" s="53" t="inlineStr">
        <is>
          <t>B.E</t>
        </is>
      </c>
      <c r="DO203" s="53" t="inlineStr">
        <is>
          <t>Swapnil Shirke</t>
        </is>
      </c>
      <c r="DP203" s="53" t="inlineStr">
        <is>
          <t>N-5</t>
        </is>
      </c>
      <c r="DQ203" s="53" t="inlineStr">
        <is>
          <t>Individual Contributor</t>
        </is>
      </c>
      <c r="DR203" s="53" t="inlineStr">
        <is>
          <t>0 years, 0 months, 0 days</t>
        </is>
      </c>
      <c r="DS203" s="53" t="inlineStr">
        <is>
          <t>0 years, 9 months, 26 days</t>
        </is>
      </c>
      <c r="DT203" s="53" t="inlineStr">
        <is>
          <t>0 years, 9 months, 26 days</t>
        </is>
      </c>
      <c r="DU203" s="53" t="n"/>
      <c r="DV203" s="53" t="inlineStr">
        <is>
          <t>Regtech</t>
        </is>
      </c>
      <c r="DW203" s="53" t="inlineStr">
        <is>
          <t>iDEAL</t>
        </is>
      </c>
      <c r="DX203" s="53" t="inlineStr">
        <is>
          <t>Technology</t>
        </is>
      </c>
      <c r="DY203" s="53" t="inlineStr">
        <is>
          <t>Development</t>
        </is>
      </c>
      <c r="DZ203" s="53" t="inlineStr">
        <is>
          <t>Yes</t>
        </is>
      </c>
      <c r="EA203" s="53" t="inlineStr">
        <is>
          <t>Product/Project</t>
        </is>
      </c>
      <c r="EB203" s="53" t="inlineStr">
        <is>
          <t>.NET MVC</t>
        </is>
      </c>
      <c r="EC203" s="53" t="inlineStr">
        <is>
          <t>Technical - Developer</t>
        </is>
      </c>
      <c r="ED203" s="53" t="inlineStr">
        <is>
          <t>Work From Office - Turbhe</t>
        </is>
      </c>
      <c r="EE203" s="53" t="inlineStr">
        <is>
          <t>1.	Build audit and activity logs to record system changes and improve security.
2.	Simplify data querying for users by building easy-to-use search and preparation tools.
3.	Improve file upload validation to ensure reporting accuracy and faster error resolution.
4.	Enhance dashboard interfaces to support compliance tracking and deadline monitoring.
5.	Adopt React.js and modern development tools to build user interface screens for the new version.</t>
        </is>
      </c>
      <c r="EF203" s="53" t="inlineStr">
        <is>
          <t>1.	Develop and enhance secure, scalable application features, including audit logging, data processing, and reporting capabilities. 
2.	Improve application performance, data validation, and user experience through optimized query processing, error handling, and workflow enhancements. 
3.	Design and deliver robust reporting and file generation solutions to ensure accurate, compliant, and efficient data processing. 
4.	Build expertise in React.js and modern development technologies to contribute to the development of responsive, next-generation application interfaces. 
5.	Drive continuous improvement by resolving defects, implementing automation, and delivering high-quality solutions that enhance application reliability and security.</t>
        </is>
      </c>
      <c r="EG203" s="53" t="inlineStr">
        <is>
          <t>1.	Design a new logging framework to support automated security alerts and secure history downloads.
2.	Re-engineer the backend query engines to process large volumes of data with lower latency.
3.	Build interactive error logs that provide users with step-by-step resolution suggestions.
4.	Build a file generation engine to compile database records and export them into standardized xml and csv reporting formats.
5.	Adopt React.js to build interactive and responsive user interface screens across the core application modules.</t>
        </is>
      </c>
      <c r="EH203" s="53" t="n">
        <v>3</v>
      </c>
      <c r="EI203" s="53" t="n"/>
      <c r="EJ203" s="53" t="inlineStr">
        <is>
          <t>Same as per records</t>
        </is>
      </c>
      <c r="EK203" s="53" t="n"/>
      <c r="EL203" s="53" t="n">
        <v>3</v>
      </c>
      <c r="EM203" s="53" t="inlineStr">
        <is>
          <t>Medium</t>
        </is>
      </c>
      <c r="EN203" s="53" t="inlineStr">
        <is>
          <t>Core Contributor</t>
        </is>
      </c>
      <c r="EO203" s="53" t="inlineStr">
        <is>
          <t>Not Ready</t>
        </is>
      </c>
      <c r="EP203" s="53" t="inlineStr">
        <is>
          <t>No</t>
        </is>
      </c>
      <c r="EQ203" s="53" t="inlineStr">
        <is>
          <t>No</t>
        </is>
      </c>
      <c r="ER203" s="53" t="n"/>
      <c r="ES203" s="53" t="inlineStr">
        <is>
          <t>XBRL Training, Training on the effective utilization of AI tools.</t>
        </is>
      </c>
      <c r="ET203" s="53" t="n"/>
      <c r="EU203" s="53" t="n"/>
      <c r="EV203" s="53" t="n"/>
      <c r="EW203" s="52" t="n"/>
      <c r="EX203" s="53" t="n"/>
      <c r="EY203" s="53" t="n"/>
      <c r="EZ203" s="53" t="n"/>
      <c r="FA203" s="53" t="n"/>
      <c r="FB203" s="53" t="n"/>
      <c r="FC203" s="53" t="n"/>
      <c r="FD203" s="53" t="n"/>
      <c r="FE203" s="57" t="inlineStr">
        <is>
          <t>1.	Develop and enhance secure, scalable application features, including audit logging, data processing, and reporting capabilities. 
2.	Improve application performance, data validation, and user experience through optimized query processing, error handling, and workflow enhancements. 
3.	Design and deliver robust reporting and file generation solutions to ensure accurate, compliant, and efficient data processing. 
4.	Build expertise in React.js and modern development technologies to contribute to the development of responsive, next-generation application interfaces. 
5.	Drive continuous improvement by resolving defects, implementing automation, and delivering high-quality solutions that enhance application reliability and security.</t>
        </is>
      </c>
      <c r="FF203" s="56" t="inlineStr">
        <is>
          <t>1.	Design a new logging framework to support automated security alerts and secure history downloads.
2.	Re-engineer the backend query engines to process large volumes of data with lower latency.
3.	Build interactive error logs that provide users with step-by-step resolution suggestions.
4.	Build a file generation engine to compile database records and export them into standardized xml and csv reporting formats.
5.	Adopt React.js to build interactive and responsive user interface screens across the core application modules.</t>
        </is>
      </c>
      <c r="FG203" s="56" t="inlineStr">
        <is>
          <t>1.	Build audit and activity logs to record system changes and improve security.
2.	Simplify data querying for users by building easy-to-use search and preparation tools.
3.	Improve file upload validation to ensure reporting accuracy and faster error resolution.
4.	Enhance dashboard interfaces to support compliance tracking and deadline monitoring.
5.	Adopt React.js and modern development tools to build user interface screens for the new version.</t>
        </is>
      </c>
      <c r="FH203" s="56" t="inlineStr">
        <is>
          <t>3</t>
        </is>
      </c>
      <c r="FI203" s="56" t="n"/>
      <c r="FJ203" s="56" t="inlineStr">
        <is>
          <t>Received · manager annual, quarterly, self</t>
        </is>
      </c>
      <c r="FK203" s="56" t="inlineStr">
        <is>
          <t>Talent Mapping · iDEAL</t>
        </is>
      </c>
      <c r="FL203" s="56" t="n">
        <v>20</v>
      </c>
      <c r="FM203" s="32" t="inlineStr">
        <is>
          <t>Full survey answers not in the files received · How We Grow export needed · HR</t>
        </is>
      </c>
      <c r="FN203" s="56" t="inlineStr">
        <is>
          <t>—</t>
        </is>
      </c>
      <c r="FO203" s="56" t="inlineStr">
        <is>
          <t>—</t>
        </is>
      </c>
      <c r="FP203" s="56" t="inlineStr">
        <is>
          <t>—</t>
        </is>
      </c>
      <c r="FQ203" s="56" t="inlineStr">
        <is>
          <t>—</t>
        </is>
      </c>
      <c r="FR203" s="56" t="inlineStr">
        <is>
          <t>Business Impact: No survey or manager-mapping signal on criticality: kept at the start point.</t>
        </is>
      </c>
      <c r="FS203" s="56" t="inlineStr">
        <is>
          <t>Common themes in role-holders' answers: software · time · maintain · take · solutions · efficiency
Common themes in role-holders' answers: fixing · quality · bug · development · client · code
Common themes in role-holders' answers: solutions · bug · fixes · features
Common themes in role-holders' answers: quality · personally · reliable · delivering · am · accountable
Common themes in role-holders' answers: implement · solutions · issues · structure · design
If the work is missed · role-holders' themes: rework · incorrectly · issues · delays.
Measured on · manager-set KRA themes: improve · deliver · modules · committed · coverage · automated.</t>
        </is>
      </c>
      <c r="FT203" s="56" t="inlineStr">
        <is>
          <t>Self-identified: Strategy &amp; business acumen · Broader exposure &amp; ownership
For the next role: Strategy &amp; business acumen · Broader exposure &amp; ownership</t>
        </is>
      </c>
      <c r="FU203" s="32" t="inlineStr">
        <is>
          <t>Full survey answers not in the files received · How We Grow export needed · HR</t>
        </is>
      </c>
    </row>
    <row r="204" ht="90" customHeight="1">
      <c r="A204" s="51" t="inlineStr">
        <is>
          <t>◂ Back</t>
        </is>
      </c>
      <c r="B204" s="29" t="inlineStr">
        <is>
          <t>Mapped</t>
        </is>
      </c>
      <c r="C204" s="28" t="inlineStr">
        <is>
          <t>iDEAL</t>
        </is>
      </c>
      <c r="D204" s="29" t="inlineStr">
        <is>
          <t>IRIS2427</t>
        </is>
      </c>
      <c r="E204" s="29" t="inlineStr">
        <is>
          <t>Sumeet Laxman Kurdia</t>
        </is>
      </c>
      <c r="F204" s="29" t="inlineStr">
        <is>
          <t>Technology</t>
        </is>
      </c>
      <c r="G204" s="29" t="inlineStr">
        <is>
          <t>Trainee Software Engineer</t>
        </is>
      </c>
      <c r="H204" s="29" t="inlineStr">
        <is>
          <t>Software Engineer</t>
        </is>
      </c>
      <c r="I204" s="29" t="inlineStr">
        <is>
          <t>L2 – Trainee</t>
        </is>
      </c>
      <c r="J204" s="29" t="inlineStr">
        <is>
          <t>A2</t>
        </is>
      </c>
      <c r="K204" s="29" t="inlineStr">
        <is>
          <t>▲ Up</t>
        </is>
      </c>
      <c r="L204" s="29" t="inlineStr">
        <is>
          <t>Engineering &amp; Development</t>
        </is>
      </c>
      <c r="M204" s="29" t="inlineStr">
        <is>
          <t>Backend Development</t>
        </is>
      </c>
      <c r="N204" s="29" t="n"/>
      <c r="O204" s="29" t="n">
        <v>20</v>
      </c>
      <c r="P204" s="28" t="inlineStr">
        <is>
          <t>P1–P2</t>
        </is>
      </c>
      <c r="Q204" s="29" t="inlineStr">
        <is>
          <t>Entry / Developing</t>
        </is>
      </c>
      <c r="R204" s="29" t="inlineStr">
        <is>
          <t>2 Assist</t>
        </is>
      </c>
      <c r="S204" s="29" t="inlineStr">
        <is>
          <t>0–2 yrs</t>
        </is>
      </c>
      <c r="T204" s="29" t="inlineStr">
        <is>
          <t>1–3 · 0–3</t>
        </is>
      </c>
      <c r="U204" s="29" t="inlineStr">
        <is>
          <t>Associate Software Engineer / Software Engineer</t>
        </is>
      </c>
      <c r="V204" s="29" t="inlineStr">
        <is>
          <t>Workiva: Associate SE · Broadridge India: SE · Nasdaq / AxiomSL: SE · Salesforce: AMTS · Atlassian: P30 Junior · 0–2 yrs · Freshworks: SE</t>
        </is>
      </c>
      <c r="W204" s="29" t="inlineStr">
        <is>
          <t>SFIA 9 · software development, programming; OWASP secure coding; cloud vendor certifications</t>
        </is>
      </c>
      <c r="X204" s="29" t="inlineStr">
        <is>
          <t>Core 2 · Future 2 · Functional 2 · Leadership not scored</t>
        </is>
      </c>
      <c r="Y204" s="52" t="n">
        <v>396</v>
      </c>
      <c r="Z204" s="53" t="inlineStr">
        <is>
          <t>IRIS2427</t>
        </is>
      </c>
      <c r="AA204" s="53" t="inlineStr">
        <is>
          <t>Employee</t>
        </is>
      </c>
      <c r="AB204" s="53" t="inlineStr">
        <is>
          <t>Active</t>
        </is>
      </c>
      <c r="AC204" s="53" t="inlineStr">
        <is>
          <t>Sumeet Laxman Kurdia</t>
        </is>
      </c>
      <c r="AD204" s="54" t="n">
        <v>45894</v>
      </c>
      <c r="AE204" s="53" t="inlineStr">
        <is>
          <t>Trainee Software Engineer</t>
        </is>
      </c>
      <c r="AF204" s="53" t="inlineStr">
        <is>
          <t>B.Sc</t>
        </is>
      </c>
      <c r="AG204" s="53" t="inlineStr">
        <is>
          <t>Swapnil Shirke</t>
        </is>
      </c>
      <c r="AH204" s="53" t="inlineStr">
        <is>
          <t>N-5</t>
        </is>
      </c>
      <c r="AI204" s="53" t="inlineStr">
        <is>
          <t>Individual Contributor</t>
        </is>
      </c>
      <c r="AJ204" s="53" t="inlineStr">
        <is>
          <t>0 years, 9 months, 0 days</t>
        </is>
      </c>
      <c r="AK204" s="53" t="inlineStr">
        <is>
          <t>1 years, 0 months, 0 days</t>
        </is>
      </c>
      <c r="AL204" s="53" t="inlineStr">
        <is>
          <t>Regtech</t>
        </is>
      </c>
      <c r="AM204" s="53" t="inlineStr">
        <is>
          <t>iDEAL</t>
        </is>
      </c>
      <c r="AN204" s="53" t="inlineStr">
        <is>
          <t>Technology</t>
        </is>
      </c>
      <c r="AO204" s="53" t="inlineStr">
        <is>
          <t>Development</t>
        </is>
      </c>
      <c r="AP204" s="53" t="inlineStr">
        <is>
          <t>Yes</t>
        </is>
      </c>
      <c r="AQ204" s="53" t="inlineStr">
        <is>
          <t>Product/Project</t>
        </is>
      </c>
      <c r="AR204" s="53" t="inlineStr">
        <is>
          <t>.NET MVC</t>
        </is>
      </c>
      <c r="AS204" s="53" t="inlineStr">
        <is>
          <t>Technical - Developer</t>
        </is>
      </c>
      <c r="AT204" s="53" t="n">
        <v>20</v>
      </c>
      <c r="AU204" s="53" t="inlineStr">
        <is>
          <t>Covered</t>
        </is>
      </c>
      <c r="AV204" s="53" t="n"/>
      <c r="AW204" s="53" t="n"/>
      <c r="AX204" s="53" t="n"/>
      <c r="AY204" s="53" t="n"/>
      <c r="AZ204" s="53" t="n"/>
      <c r="BA204" s="53" t="n"/>
      <c r="BB204" s="53" t="n"/>
      <c r="BC204" s="53" t="n"/>
      <c r="BD204" s="53" t="n"/>
      <c r="BE204" s="53" t="n"/>
      <c r="BF204" s="53" t="n"/>
      <c r="BG204" s="53" t="n"/>
      <c r="BH204" s="53" t="n"/>
      <c r="BI204" s="53" t="n"/>
      <c r="BJ204" s="53" t="n"/>
      <c r="BK204" s="53" t="n"/>
      <c r="BL204" s="53" t="n"/>
      <c r="BM204" s="53" t="n"/>
      <c r="BN204" s="53" t="n"/>
      <c r="BO204" s="53" t="n"/>
      <c r="BP204" s="53" t="n"/>
      <c r="BQ204" s="53" t="n"/>
      <c r="BR204" s="53" t="n"/>
      <c r="BS204" s="53" t="n"/>
      <c r="BT204" s="53" t="n"/>
      <c r="BU204" s="53" t="n"/>
      <c r="BV204" s="53" t="n"/>
      <c r="BW204" s="53" t="n"/>
      <c r="BX204" s="53" t="n"/>
      <c r="BY204" s="53" t="n"/>
      <c r="BZ204" s="53" t="n"/>
      <c r="CA204" s="53" t="n"/>
      <c r="CB204" s="53" t="n"/>
      <c r="CC204" s="53" t="n"/>
      <c r="CD204" s="53" t="n"/>
      <c r="CE204" s="53" t="n"/>
      <c r="CF204" s="53" t="n"/>
      <c r="CG204" s="53" t="n"/>
      <c r="CH204" s="53" t="n"/>
      <c r="CI204" s="53" t="n"/>
      <c r="CJ204" s="53" t="n"/>
      <c r="CK204" s="53" t="n"/>
      <c r="CL204" s="53" t="n"/>
      <c r="CM204" s="53" t="n"/>
      <c r="CN204" s="53" t="n"/>
      <c r="CO204" s="53" t="n"/>
      <c r="CP204" s="53" t="n"/>
      <c r="CQ204" s="53" t="n"/>
      <c r="CR204" s="53" t="n"/>
      <c r="CS204" s="53" t="n"/>
      <c r="CT204" s="53" t="n"/>
      <c r="CU204" s="53" t="n"/>
      <c r="CV204" s="53" t="n"/>
      <c r="CW204" s="53" t="n"/>
      <c r="CX204" s="53" t="n"/>
      <c r="CY204" s="53" t="n"/>
      <c r="CZ204" s="53" t="n"/>
      <c r="DA204" s="53" t="n"/>
      <c r="DB204" s="53" t="n"/>
      <c r="DC204" s="53" t="n"/>
      <c r="DD204" s="53" t="inlineStr">
        <is>
          <t>IRIS2427</t>
        </is>
      </c>
      <c r="DE204" s="53" t="inlineStr">
        <is>
          <t>Employee</t>
        </is>
      </c>
      <c r="DF204" s="53" t="inlineStr">
        <is>
          <t>Active</t>
        </is>
      </c>
      <c r="DG204" s="53" t="inlineStr">
        <is>
          <t>Sumeet Laxman Kurdia</t>
        </is>
      </c>
      <c r="DH204" s="54" t="n">
        <v>45894</v>
      </c>
      <c r="DI204" s="53" t="inlineStr">
        <is>
          <t>Trainee Software Engineer</t>
        </is>
      </c>
      <c r="DJ204" s="53" t="inlineStr">
        <is>
          <t>Engineering &amp; Development</t>
        </is>
      </c>
      <c r="DK204" s="53" t="inlineStr">
        <is>
          <t>Backend Engineering ·.NET</t>
        </is>
      </c>
      <c r="DL204" s="53" t="inlineStr">
        <is>
          <t>Trainee Software Engineer</t>
        </is>
      </c>
      <c r="DM204" s="53" t="inlineStr">
        <is>
          <t>L2 – Trainee</t>
        </is>
      </c>
      <c r="DN204" s="53" t="inlineStr">
        <is>
          <t>B.Sc</t>
        </is>
      </c>
      <c r="DO204" s="53" t="inlineStr">
        <is>
          <t>Swapnil Shirke</t>
        </is>
      </c>
      <c r="DP204" s="53" t="inlineStr">
        <is>
          <t>N-5</t>
        </is>
      </c>
      <c r="DQ204" s="53" t="inlineStr">
        <is>
          <t>Individual Contributor</t>
        </is>
      </c>
      <c r="DR204" s="53" t="inlineStr">
        <is>
          <t>0 years, 9 months, 0 days</t>
        </is>
      </c>
      <c r="DS204" s="53" t="inlineStr">
        <is>
          <t>0 years, 9 months, 26 days</t>
        </is>
      </c>
      <c r="DT204" s="53" t="inlineStr">
        <is>
          <t>1 years, 6 months, 26 days</t>
        </is>
      </c>
      <c r="DU204" s="53" t="n"/>
      <c r="DV204" s="53" t="inlineStr">
        <is>
          <t>Regtech</t>
        </is>
      </c>
      <c r="DW204" s="53" t="inlineStr">
        <is>
          <t>iDEAL</t>
        </is>
      </c>
      <c r="DX204" s="53" t="inlineStr">
        <is>
          <t>Technology</t>
        </is>
      </c>
      <c r="DY204" s="53" t="inlineStr">
        <is>
          <t>Development</t>
        </is>
      </c>
      <c r="DZ204" s="53" t="inlineStr">
        <is>
          <t>Yes</t>
        </is>
      </c>
      <c r="EA204" s="53" t="inlineStr">
        <is>
          <t>Product/Project</t>
        </is>
      </c>
      <c r="EB204" s="53" t="inlineStr">
        <is>
          <t>.NET MVC</t>
        </is>
      </c>
      <c r="EC204" s="53" t="inlineStr">
        <is>
          <t>Technical - Developer</t>
        </is>
      </c>
      <c r="ED204" s="53" t="inlineStr">
        <is>
          <t>Work From Office - Turbhe</t>
        </is>
      </c>
      <c r="EE204" s="53" t="inlineStr">
        <is>
          <t>Build scalable and reusable application components.
Improve application performance and reporting efficiency.
Adopt modern technologies and engineering best practices.
Increase development productivity through automation.
Drive continuous innovation and product quality improvements.</t>
        </is>
      </c>
      <c r="EF204" s="53" t="inlineStr">
        <is>
          <t>1. Deliver high-quality application enhancements, business features, and defect resolutions within committed timelines while ensuring application stability and reliability.
2. Design and develop scalable, reusable, and maintainable application components using modern technologies and engineering best practices.
3. Improve application performance, reporting capabilities, data validation, and overall user experience through continuous optimization.
4. Enhance technical expertise in ASP.NET Core, Angular, REST APIs, and modern development frameworks to support current and future business requirements.
5. Drive continuous improvement through automation, process optimization, and innovation to increase development productivity and software quality.</t>
        </is>
      </c>
      <c r="EG204" s="53" t="inlineStr">
        <is>
          <t>Deliver the SADP Dashboard with high quality and within project timelines.
Enhance the Instance Generation Module by implementing new business requirements.
Design and deliver new Return Development to improve business operations.
Deliver assigned development activities while maintaining quality and timely execution.
Support application stability through timely issue resolution and continuous improvements.</t>
        </is>
      </c>
      <c r="EH204" s="53" t="n">
        <v>3</v>
      </c>
      <c r="EI204" s="53" t="n"/>
      <c r="EJ204" s="53" t="inlineStr">
        <is>
          <t>Same as per records</t>
        </is>
      </c>
      <c r="EK204" s="53" t="n"/>
      <c r="EL204" s="53" t="n">
        <v>3</v>
      </c>
      <c r="EM204" s="53" t="inlineStr">
        <is>
          <t>Medium</t>
        </is>
      </c>
      <c r="EN204" s="53" t="inlineStr">
        <is>
          <t>Core Contributor</t>
        </is>
      </c>
      <c r="EO204" s="53" t="inlineStr">
        <is>
          <t>Not Ready</t>
        </is>
      </c>
      <c r="EP204" s="53" t="inlineStr">
        <is>
          <t>No</t>
        </is>
      </c>
      <c r="EQ204" s="53" t="inlineStr">
        <is>
          <t>No</t>
        </is>
      </c>
      <c r="ER204" s="53" t="n"/>
      <c r="ES204" s="53" t="inlineStr">
        <is>
          <t>XBRL Training, Training on the effective utilization of AI tools.</t>
        </is>
      </c>
      <c r="ET204" s="53" t="n"/>
      <c r="EU204" s="53" t="n"/>
      <c r="EV204" s="53" t="n"/>
      <c r="EW204" s="52" t="n"/>
      <c r="EX204" s="53" t="n"/>
      <c r="EY204" s="53" t="n"/>
      <c r="EZ204" s="53" t="n"/>
      <c r="FA204" s="53" t="n"/>
      <c r="FB204" s="53" t="n"/>
      <c r="FC204" s="53" t="n"/>
      <c r="FD204" s="53" t="n"/>
      <c r="FE204" s="57" t="inlineStr">
        <is>
          <t>1. Deliver high-quality application enhancements, business features, and defect resolutions within committed timelines while ensuring application stability and reliability.
2. Design and develop scalable, reusable, and maintainable application components using modern technologies and engineering best practices.
3. Improve application performance, reporting capabilities, data validation, and overall user experience through continuous optimization.
4. Enhance technical expertise in ASP.NET Core, Angular, REST APIs, and modern development frameworks to support current and future business requirements.
5. Drive continuous improvement through automation, process optimization, and innovation to increase development productivity and software quality.</t>
        </is>
      </c>
      <c r="FF204" s="56" t="inlineStr">
        <is>
          <t>Deliver the SADP Dashboard with high quality and within project timelines.
Enhance the Instance Generation Module by implementing new business requirements.
Design and deliver new Return Development to improve business operations.
Deliver assigned development activities while maintaining quality and timely execution.
Support application stability through timely issue resolution and continuous improvements.</t>
        </is>
      </c>
      <c r="FG204" s="56" t="inlineStr">
        <is>
          <t>Build scalable and reusable application components.
Improve application performance and reporting efficiency.
Adopt modern technologies and engineering best practices.
Increase development productivity through automation.
Drive continuous innovation and product quality improvements.</t>
        </is>
      </c>
      <c r="FH204" s="56" t="inlineStr">
        <is>
          <t>3</t>
        </is>
      </c>
      <c r="FI204" s="56" t="n"/>
      <c r="FJ204" s="56" t="inlineStr">
        <is>
          <t>Received · manager annual, quarterly, self</t>
        </is>
      </c>
      <c r="FK204" s="56" t="inlineStr">
        <is>
          <t>Talent Mapping · iDEAL</t>
        </is>
      </c>
      <c r="FL204" s="56" t="n">
        <v>20</v>
      </c>
      <c r="FM204" s="32" t="inlineStr">
        <is>
          <t>Full survey answers not in the files received · How We Grow export needed · HR</t>
        </is>
      </c>
      <c r="FN204" s="56" t="inlineStr">
        <is>
          <t>—</t>
        </is>
      </c>
      <c r="FO204" s="56" t="inlineStr">
        <is>
          <t>—</t>
        </is>
      </c>
      <c r="FP204" s="56" t="inlineStr">
        <is>
          <t>—</t>
        </is>
      </c>
      <c r="FQ204" s="56" t="inlineStr">
        <is>
          <t>—</t>
        </is>
      </c>
      <c r="FR204" s="56" t="inlineStr">
        <is>
          <t>Complexity: Evidence reads like A2: ASP.NET MVC development and bug fixing with Excel/XML/Oracle integrations for financial reporting → moved up 0.5
Autonomy: Evidence reads like A2: Only 'technical analysis' named → moved up 0.5
Accountability: Evidence reads like A2: Quality of own features and fixes; errors cause incorrect data and bugs → moved up 0.5
Leadership: Evidence reads like A1: None described → matches the start
Business Impact: No survey or manager-mapping signal on criticality: kept at the start point.</t>
        </is>
      </c>
      <c r="FS204" s="56" t="inlineStr">
        <is>
          <t>Common themes in role-holders' answers: software · time · maintain · take · solutions · efficiency
Common themes in role-holders' answers: fixing · quality · bug · development · client · code
Common themes in role-holders' answers: solutions · bug · fixes · features
Common themes in role-holders' answers: quality · personally · reliable · delivering · am · accountable
Common themes in role-holders' answers: implement · solutions · issues · structure · design
If the work is missed · role-holders' themes: rework · incorrectly · issues · delays.
Measured on · manager-set KRA themes: improve · deliver · modules · committed · coverage · automated.</t>
        </is>
      </c>
      <c r="FT204" s="56" t="inlineStr">
        <is>
          <t>Self-identified: AI / automation · Technical depth &amp; architecture · Broader exposure &amp; ownership
For the next role: AI / automation · Technical depth &amp; architecture · Broader exposure &amp; ownership</t>
        </is>
      </c>
      <c r="FU204" s="32" t="inlineStr">
        <is>
          <t>Full survey answers not in the files received · How We Grow export needed · HR</t>
        </is>
      </c>
    </row>
    <row r="205" ht="90" customHeight="1">
      <c r="A205" s="51" t="inlineStr">
        <is>
          <t>◂ Back</t>
        </is>
      </c>
      <c r="B205" s="29" t="inlineStr">
        <is>
          <t>Mapped</t>
        </is>
      </c>
      <c r="C205" s="28" t="inlineStr">
        <is>
          <t>iDEAL</t>
        </is>
      </c>
      <c r="D205" s="29" t="inlineStr">
        <is>
          <t>IRIS2538</t>
        </is>
      </c>
      <c r="E205" s="29" t="inlineStr">
        <is>
          <t>Atharv Sameer Shevade</t>
        </is>
      </c>
      <c r="F205" s="29" t="inlineStr">
        <is>
          <t>Technology</t>
        </is>
      </c>
      <c r="G205" s="29" t="inlineStr">
        <is>
          <t>Trainee Software Engineer</t>
        </is>
      </c>
      <c r="H205" s="29" t="inlineStr">
        <is>
          <t>Trainee Software Engineer</t>
        </is>
      </c>
      <c r="I205" s="29" t="inlineStr">
        <is>
          <t>L1 – Intern</t>
        </is>
      </c>
      <c r="J205" s="29" t="inlineStr">
        <is>
          <t>A1</t>
        </is>
      </c>
      <c r="K205" s="29" t="inlineStr">
        <is>
          <t>• Same level</t>
        </is>
      </c>
      <c r="L205" s="29" t="inlineStr">
        <is>
          <t>Engineering &amp; Development</t>
        </is>
      </c>
      <c r="M205" s="29" t="inlineStr">
        <is>
          <t>Full-Stack Development</t>
        </is>
      </c>
      <c r="N205" s="29" t="n"/>
      <c r="O205" s="29" t="n">
        <v>20</v>
      </c>
      <c r="P205" s="28" t="inlineStr">
        <is>
          <t>Entry / P1 · intern</t>
        </is>
      </c>
      <c r="Q205" s="29" t="inlineStr">
        <is>
          <t>Entry</t>
        </is>
      </c>
      <c r="R205" s="29" t="inlineStr">
        <is>
          <t>1 Follow</t>
        </is>
      </c>
      <c r="S205" s="29" t="inlineStr">
        <is>
          <t>0 yrs · fresher / intern</t>
        </is>
      </c>
      <c r="T205" s="29" t="inlineStr">
        <is>
          <t>—</t>
        </is>
      </c>
      <c r="U205" s="29" t="inlineStr">
        <is>
          <t>Associate Software Engineer</t>
        </is>
      </c>
      <c r="V205" s="29" t="inlineStr">
        <is>
          <t>—</t>
        </is>
      </c>
      <c r="W205" s="29" t="inlineStr">
        <is>
          <t>SFIA 9 · software development, programming; OWASP secure coding; cloud vendor certifications</t>
        </is>
      </c>
      <c r="X205" s="29" t="inlineStr">
        <is>
          <t>Core 1 · Future 1 · Functional 1 · Leadership not scored</t>
        </is>
      </c>
      <c r="Y205" s="52" t="n">
        <v>511</v>
      </c>
      <c r="Z205" s="53" t="inlineStr">
        <is>
          <t>IRIS2538</t>
        </is>
      </c>
      <c r="AA205" s="53" t="inlineStr">
        <is>
          <t>Employee</t>
        </is>
      </c>
      <c r="AB205" s="53" t="inlineStr">
        <is>
          <t>Active</t>
        </is>
      </c>
      <c r="AC205" s="53" t="inlineStr">
        <is>
          <t>Atharv Sameer Shevade</t>
        </is>
      </c>
      <c r="AD205" s="54" t="n">
        <v>46189</v>
      </c>
      <c r="AE205" s="53" t="inlineStr">
        <is>
          <t>Trainee Software Engineer</t>
        </is>
      </c>
      <c r="AF205" s="53" t="inlineStr">
        <is>
          <t>B.Tech</t>
        </is>
      </c>
      <c r="AG205" s="53" t="inlineStr">
        <is>
          <t>Swapnil Shirke</t>
        </is>
      </c>
      <c r="AH205" s="53" t="inlineStr">
        <is>
          <t>N-5</t>
        </is>
      </c>
      <c r="AI205" s="53" t="inlineStr">
        <is>
          <t>Individual Contributor</t>
        </is>
      </c>
      <c r="AJ205" s="53" t="inlineStr">
        <is>
          <t>0 years, 0 months, 0 days</t>
        </is>
      </c>
      <c r="AK205" s="53" t="inlineStr">
        <is>
          <t>0 years, 2 months, 9 days</t>
        </is>
      </c>
      <c r="AL205" s="53" t="inlineStr">
        <is>
          <t>Regtech</t>
        </is>
      </c>
      <c r="AM205" s="53" t="inlineStr">
        <is>
          <t>iDEAL</t>
        </is>
      </c>
      <c r="AN205" s="53" t="inlineStr">
        <is>
          <t>Technology</t>
        </is>
      </c>
      <c r="AO205" s="53" t="inlineStr">
        <is>
          <t>Development</t>
        </is>
      </c>
      <c r="AP205" s="53" t="inlineStr">
        <is>
          <t>Yes</t>
        </is>
      </c>
      <c r="AQ205" s="53" t="inlineStr">
        <is>
          <t>Product/Project</t>
        </is>
      </c>
      <c r="AR205" s="53" t="inlineStr">
        <is>
          <t>.NET MVC</t>
        </is>
      </c>
      <c r="AS205" s="53" t="inlineStr">
        <is>
          <t>Technical - Developer</t>
        </is>
      </c>
      <c r="AT205" s="53" t="n">
        <v>20</v>
      </c>
      <c r="AU205" s="53" t="inlineStr">
        <is>
          <t>Covered</t>
        </is>
      </c>
      <c r="AV205" s="53" t="n"/>
      <c r="AW205" s="53" t="n"/>
      <c r="AX205" s="53" t="n"/>
      <c r="AY205" s="53" t="n"/>
      <c r="AZ205" s="53" t="n"/>
      <c r="BA205" s="53" t="n"/>
      <c r="BB205" s="53" t="n"/>
      <c r="BC205" s="53" t="n"/>
      <c r="BD205" s="53" t="n"/>
      <c r="BE205" s="53" t="n"/>
      <c r="BF205" s="53" t="n"/>
      <c r="BG205" s="53" t="n"/>
      <c r="BH205" s="53" t="n"/>
      <c r="BI205" s="53" t="n"/>
      <c r="BJ205" s="53" t="n"/>
      <c r="BK205" s="53" t="n"/>
      <c r="BL205" s="53" t="n"/>
      <c r="BM205" s="53" t="n"/>
      <c r="BN205" s="53" t="n"/>
      <c r="BO205" s="53" t="n"/>
      <c r="BP205" s="53" t="n"/>
      <c r="BQ205" s="53" t="n"/>
      <c r="BR205" s="53" t="n"/>
      <c r="BS205" s="53" t="n"/>
      <c r="BT205" s="53" t="n"/>
      <c r="BU205" s="53" t="n"/>
      <c r="BV205" s="53" t="n"/>
      <c r="BW205" s="53" t="n"/>
      <c r="BX205" s="53" t="n"/>
      <c r="BY205" s="53" t="n"/>
      <c r="BZ205" s="53" t="n"/>
      <c r="CA205" s="53" t="n"/>
      <c r="CB205" s="53" t="n"/>
      <c r="CC205" s="53" t="n"/>
      <c r="CD205" s="53" t="n"/>
      <c r="CE205" s="53" t="n"/>
      <c r="CF205" s="53" t="n"/>
      <c r="CG205" s="53" t="n"/>
      <c r="CH205" s="53" t="n"/>
      <c r="CI205" s="53" t="n"/>
      <c r="CJ205" s="53" t="n"/>
      <c r="CK205" s="53" t="n"/>
      <c r="CL205" s="53" t="n"/>
      <c r="CM205" s="53" t="n"/>
      <c r="CN205" s="53" t="n"/>
      <c r="CO205" s="53" t="n"/>
      <c r="CP205" s="53" t="n"/>
      <c r="CQ205" s="53" t="n"/>
      <c r="CR205" s="53" t="n"/>
      <c r="CS205" s="53" t="n"/>
      <c r="CT205" s="53" t="n"/>
      <c r="CU205" s="53" t="n"/>
      <c r="CV205" s="53" t="n"/>
      <c r="CW205" s="53" t="n"/>
      <c r="CX205" s="53" t="n"/>
      <c r="CY205" s="53" t="n"/>
      <c r="CZ205" s="53" t="n"/>
      <c r="DA205" s="53" t="n"/>
      <c r="DB205" s="53" t="n"/>
      <c r="DC205" s="53" t="n"/>
      <c r="DD205" s="53" t="inlineStr">
        <is>
          <t>INTN0299</t>
        </is>
      </c>
      <c r="DE205" s="53" t="inlineStr">
        <is>
          <t>Intern</t>
        </is>
      </c>
      <c r="DF205" s="53" t="inlineStr">
        <is>
          <t>Active</t>
        </is>
      </c>
      <c r="DG205" s="53" t="inlineStr">
        <is>
          <t>Atharv Sameer Shevade</t>
        </is>
      </c>
      <c r="DH205" s="54" t="n">
        <v>46097</v>
      </c>
      <c r="DI205" s="53" t="inlineStr">
        <is>
          <t>Intern</t>
        </is>
      </c>
      <c r="DJ205" s="53" t="inlineStr">
        <is>
          <t>Engineering &amp; Development</t>
        </is>
      </c>
      <c r="DK205" s="53" t="inlineStr">
        <is>
          <t>Backend Engineering ·.NET</t>
        </is>
      </c>
      <c r="DL205" s="53" t="inlineStr">
        <is>
          <t>Intern</t>
        </is>
      </c>
      <c r="DM205" s="53" t="inlineStr">
        <is>
          <t>L1 – Intern</t>
        </is>
      </c>
      <c r="DN205" s="53" t="inlineStr">
        <is>
          <t>B.Tech</t>
        </is>
      </c>
      <c r="DO205" s="53" t="inlineStr">
        <is>
          <t>Swapnil Shirke</t>
        </is>
      </c>
      <c r="DP205" s="53" t="inlineStr">
        <is>
          <t>N-5</t>
        </is>
      </c>
      <c r="DQ205" s="53" t="inlineStr">
        <is>
          <t>Individual Contributor</t>
        </is>
      </c>
      <c r="DR205" s="53" t="inlineStr">
        <is>
          <t>0 years, 0 months, 0 days</t>
        </is>
      </c>
      <c r="DS205" s="53" t="inlineStr">
        <is>
          <t>0 years, 3 months, 4 days</t>
        </is>
      </c>
      <c r="DT205" s="53" t="inlineStr">
        <is>
          <t>0 years, 3 months, 4 days</t>
        </is>
      </c>
      <c r="DU205" s="53" t="n"/>
      <c r="DV205" s="53" t="inlineStr">
        <is>
          <t>Regtech</t>
        </is>
      </c>
      <c r="DW205" s="53" t="inlineStr">
        <is>
          <t>iDEAL</t>
        </is>
      </c>
      <c r="DX205" s="53" t="inlineStr">
        <is>
          <t>Technology</t>
        </is>
      </c>
      <c r="DY205" s="53" t="inlineStr">
        <is>
          <t>Development</t>
        </is>
      </c>
      <c r="DZ205" s="53" t="inlineStr">
        <is>
          <t>Yes</t>
        </is>
      </c>
      <c r="EA205" s="53" t="inlineStr">
        <is>
          <t>Product/Project</t>
        </is>
      </c>
      <c r="EB205" s="53" t="inlineStr">
        <is>
          <t>.Net</t>
        </is>
      </c>
      <c r="EC205" s="53" t="inlineStr">
        <is>
          <t>Technical - Developer</t>
        </is>
      </c>
      <c r="ED205" s="53" t="inlineStr">
        <is>
          <t>Work From Office - Turbhe</t>
        </is>
      </c>
      <c r="EE205" s="53" t="inlineStr">
        <is>
          <t>1. Build strong proficiency in existing React and .NET applications and successfully complete assigned enhancements, bug fixes, and support requests within the committed timelines.
2. Ensure at least 90% timely completion of assigned development, enhancement, and support activities while following organizational coding guidelines and quality standards.
3. Develop and implement at least one AI-based or automation solution that improves operational efficiency, data accessibility, or the overall user experience. 
4. Propose and implement at least two process, performance, or automation improvements that enhance productivity, application performance, or user experience. 
5. Complete a minimum of three technical trainings or certifications in technologies such as React, .NET, Python, SQL, AI/ML, or Cloud, and effectively utilize the acquired knowledge in project execution.</t>
        </is>
      </c>
      <c r="EF205" s="53" t="inlineStr">
        <is>
          <t>1.Deliver high-quality development, enhancement, and support activities within committed timelines while adhering to coding standards and quality best practices.
2.Build strong expertise in React, .NET, SQL, and related technologies to effectively contribute to application development, maintenance, and modernization.
3.Develop and implement AI-driven solutions and automation initiatives to improve operational efficiency, productivity, and user experience.
4.Drive continuous improvement by optimizing application performance, resolving defects, and implementing process or automation enhancements.
5.Continuously enhance technical capabilities through training, certifications, and knowledge sharing to support business and project objectives.</t>
        </is>
      </c>
      <c r="EG205" s="53" t="inlineStr">
        <is>
          <t>1. Further improve the SQL Agent and AI Chatbot by increasing query accuracy, optimizing system performance, and implementing new business-driven features.
2. Support the enhancement and maintenance of existing React and .NET applications by delivering assigned functionalities and resolving defects within planned schedules. 
3. Continue enhancing the Data Variance Module by adding new capabilities, optimizing performance, and addressing reported issues efficiently.
4. Complete at least one professional training or certification in React, .NET, AI/ML, Cloud, or backend technologies and apply the learned concepts to ongoing projects. 
5. Achieve 90% or higher on-time completion of sprint assignments while ensuring prompt resolution of code review feedback and reported defects.</t>
        </is>
      </c>
      <c r="EH205" s="53" t="n">
        <v>3</v>
      </c>
      <c r="EI205" s="53" t="n"/>
      <c r="EJ205" s="53" t="inlineStr">
        <is>
          <t>Same as per records</t>
        </is>
      </c>
      <c r="EK205" s="53" t="n"/>
      <c r="EL205" s="53" t="n">
        <v>3</v>
      </c>
      <c r="EM205" s="53" t="inlineStr">
        <is>
          <t>Medium</t>
        </is>
      </c>
      <c r="EN205" s="53" t="inlineStr">
        <is>
          <t>Core Contributor</t>
        </is>
      </c>
      <c r="EO205" s="53" t="inlineStr">
        <is>
          <t>Not Ready</t>
        </is>
      </c>
      <c r="EP205" s="53" t="inlineStr">
        <is>
          <t>No</t>
        </is>
      </c>
      <c r="EQ205" s="53" t="inlineStr">
        <is>
          <t>No</t>
        </is>
      </c>
      <c r="ER205" s="53" t="n"/>
      <c r="ES205" s="53" t="inlineStr">
        <is>
          <t>XBRL Training, Training on the effective utilization of AI tools.</t>
        </is>
      </c>
      <c r="ET205" s="53" t="n"/>
      <c r="EU205" s="53" t="n"/>
      <c r="EV205" s="53" t="n"/>
      <c r="EW205" s="52" t="n"/>
      <c r="EX205" s="53" t="n"/>
      <c r="EY205" s="53" t="n"/>
      <c r="EZ205" s="53" t="n"/>
      <c r="FA205" s="53" t="n"/>
      <c r="FB205" s="53" t="n"/>
      <c r="FC205" s="53" t="n"/>
      <c r="FD205" s="53" t="inlineStr">
        <is>
          <t>INTN0299</t>
        </is>
      </c>
      <c r="FE205" s="57" t="inlineStr">
        <is>
          <t>1.Deliver high-quality development, enhancement, and support activities within committed timelines while adhering to coding standards and quality best practices.
2.Build strong expertise in React, .NET, SQL, and related technologies to effectively contribute to application development, maintenance, and modernization.
3.Develop and implement AI-driven solutions and automation initiatives to improve operational efficiency, productivity, and user experience.
4.Drive continuous improvement by optimizing application performance, resolving defects, and implementing process or automation enhancements.
5.Continuously enhance technical capabilities through training, certifications, and knowledge sharing to support business and project objectives.</t>
        </is>
      </c>
      <c r="FF205" s="56" t="inlineStr">
        <is>
          <t>1. Further improve the SQL Agent and AI Chatbot by increasing query accuracy, optimizing system performance, and implementing new business-driven features.
2. Support the enhancement and maintenance of existing React and .NET applications by delivering assigned functionalities and resolving defects within planned schedules. 
3. Continue enhancing the Data Variance Module by adding new capabilities, optimizing performance, and addressing reported issues efficiently.
4. Complete at least one professional training or certification in React, .NET, AI/ML, Cloud, or backend technologies and apply the learned concepts to ongoing projects. 
5. Achieve 90% or higher on-time completion of sprint assignments while ensuring prompt resolution of code review feedback and reported defects.</t>
        </is>
      </c>
      <c r="FG205" s="56" t="inlineStr">
        <is>
          <t>1. Build strong proficiency in existing React and .NET applications and successfully complete assigned enhancements, bug fixes, and support requests within the committed timelines.
2. Ensure at least 90% timely completion of assigned development, enhancement, and support activities while following organizational coding guidelines and quality standards.
3. Develop and implement at least one AI-based or automation solution that improves operational efficiency, data accessibility, or the overall user experience. 
4. Propose and implement at least two process, performance, or automation improvements that enhance productivity, application performance, or user experience. 
5. Complete a minimum of three technical trainings or certifications in technologies such as React, .NET, Python, SQL, AI/ML, or Cloud, and effectively utilize the acquired knowledge in project execution.</t>
        </is>
      </c>
      <c r="FH205" s="56" t="inlineStr">
        <is>
          <t>3</t>
        </is>
      </c>
      <c r="FI205" s="56" t="n"/>
      <c r="FJ205" s="56" t="inlineStr">
        <is>
          <t>Received · manager annual, quarterly, self</t>
        </is>
      </c>
      <c r="FK205" s="56" t="inlineStr">
        <is>
          <t>Talent Mapping · iDEAL</t>
        </is>
      </c>
      <c r="FL205" s="56" t="n">
        <v>20</v>
      </c>
      <c r="FM205" s="32" t="inlineStr">
        <is>
          <t>Full survey answers not in the files received · How We Grow export needed · HR</t>
        </is>
      </c>
      <c r="FN205" s="56" t="inlineStr">
        <is>
          <t>—</t>
        </is>
      </c>
      <c r="FO205" s="56" t="inlineStr">
        <is>
          <t>—</t>
        </is>
      </c>
      <c r="FP205" s="56" t="inlineStr">
        <is>
          <t>—</t>
        </is>
      </c>
      <c r="FQ205" s="56" t="inlineStr">
        <is>
          <t>—</t>
        </is>
      </c>
      <c r="FR205" s="56" t="n"/>
      <c r="FS205" s="56" t="inlineStr">
        <is>
          <t>Common themes in role-holders' answers: improving · software
Common themes in role-holders' answers: bug fixing · development · feature
Common themes in role-holders' answers: features · bug fixes · technical · apis · software
Common themes in role-holders' answers: development · am
Common themes in role-holders' answers: approaches · implementation
If the work is missed · role-holders' themes: rework · lead · delays.
Measured on · manager-set KRA themes: complete · assigned · improve · code · technical · quality.</t>
        </is>
      </c>
      <c r="FT205" s="56" t="inlineStr">
        <is>
          <t>Self-identified: Technical depth &amp; architecture · Data, SQL &amp; analytics · Product &amp; tool knowledge · Broader exposure &amp; ownership
For the next role: Technical depth &amp; architecture · Data, SQL &amp; analytics · Product &amp; tool knowledge · Broader exposure &amp; ownership</t>
        </is>
      </c>
      <c r="FU205" s="32" t="inlineStr">
        <is>
          <t>Full survey answers not in the files received · How We Grow export needed · HR</t>
        </is>
      </c>
    </row>
    <row r="206" ht="90" customHeight="1">
      <c r="A206" s="51" t="inlineStr">
        <is>
          <t>◂ Back</t>
        </is>
      </c>
      <c r="B206" s="29" t="inlineStr">
        <is>
          <t>Mapped</t>
        </is>
      </c>
      <c r="C206" s="28" t="inlineStr">
        <is>
          <t>iDEAL</t>
        </is>
      </c>
      <c r="D206" s="29" t="inlineStr">
        <is>
          <t>IRIS2539</t>
        </is>
      </c>
      <c r="E206" s="29" t="inlineStr">
        <is>
          <t>Vinayak Dadasaheb Suryawanshi</t>
        </is>
      </c>
      <c r="F206" s="29" t="inlineStr">
        <is>
          <t>Technology</t>
        </is>
      </c>
      <c r="G206" s="29" t="inlineStr">
        <is>
          <t>Trainee Software Engineer</t>
        </is>
      </c>
      <c r="H206" s="29" t="inlineStr">
        <is>
          <t>Trainee Software Engineer</t>
        </is>
      </c>
      <c r="I206" s="29" t="inlineStr">
        <is>
          <t>L1 – Intern</t>
        </is>
      </c>
      <c r="J206" s="29" t="inlineStr">
        <is>
          <t>A1</t>
        </is>
      </c>
      <c r="K206" s="29" t="inlineStr">
        <is>
          <t>• Same level</t>
        </is>
      </c>
      <c r="L206" s="29" t="inlineStr">
        <is>
          <t>Engineering &amp; Development</t>
        </is>
      </c>
      <c r="M206" s="29" t="inlineStr">
        <is>
          <t>Backend Development</t>
        </is>
      </c>
      <c r="N206" s="29" t="n"/>
      <c r="O206" s="29" t="n">
        <v>20</v>
      </c>
      <c r="P206" s="28" t="inlineStr">
        <is>
          <t>Entry / P1 · intern</t>
        </is>
      </c>
      <c r="Q206" s="29" t="inlineStr">
        <is>
          <t>Entry</t>
        </is>
      </c>
      <c r="R206" s="29" t="inlineStr">
        <is>
          <t>1 Follow</t>
        </is>
      </c>
      <c r="S206" s="29" t="inlineStr">
        <is>
          <t>0 yrs · fresher / intern</t>
        </is>
      </c>
      <c r="T206" s="29" t="inlineStr">
        <is>
          <t>—</t>
        </is>
      </c>
      <c r="U206" s="29" t="inlineStr">
        <is>
          <t>Associate Software Engineer</t>
        </is>
      </c>
      <c r="V206" s="29" t="inlineStr">
        <is>
          <t>—</t>
        </is>
      </c>
      <c r="W206" s="29" t="inlineStr">
        <is>
          <t>SFIA 9 · software development, programming; OWASP secure coding; cloud vendor certifications</t>
        </is>
      </c>
      <c r="X206" s="29" t="inlineStr">
        <is>
          <t>Core 1 · Future 1 · Functional 1 · Leadership not scored</t>
        </is>
      </c>
      <c r="Y206" s="52" t="n">
        <v>512</v>
      </c>
      <c r="Z206" s="53" t="inlineStr">
        <is>
          <t>IRIS2539</t>
        </is>
      </c>
      <c r="AA206" s="53" t="inlineStr">
        <is>
          <t>Employee</t>
        </is>
      </c>
      <c r="AB206" s="53" t="inlineStr">
        <is>
          <t>Active</t>
        </is>
      </c>
      <c r="AC206" s="53" t="inlineStr">
        <is>
          <t>Vinayak Dadasaheb Suryawanshi</t>
        </is>
      </c>
      <c r="AD206" s="54" t="n">
        <v>46189</v>
      </c>
      <c r="AE206" s="53" t="inlineStr">
        <is>
          <t>Trainee Software Engineer</t>
        </is>
      </c>
      <c r="AF206" s="53" t="inlineStr">
        <is>
          <t>B.Tech</t>
        </is>
      </c>
      <c r="AG206" s="53" t="inlineStr">
        <is>
          <t>Swapnil Shirke</t>
        </is>
      </c>
      <c r="AH206" s="53" t="inlineStr">
        <is>
          <t>N-5</t>
        </is>
      </c>
      <c r="AI206" s="53" t="inlineStr">
        <is>
          <t>Individual Contributor</t>
        </is>
      </c>
      <c r="AJ206" s="53" t="inlineStr">
        <is>
          <t>0 years, 0 months, 0 days</t>
        </is>
      </c>
      <c r="AK206" s="53" t="inlineStr">
        <is>
          <t>0 years, 2 months, 9 days</t>
        </is>
      </c>
      <c r="AL206" s="53" t="inlineStr">
        <is>
          <t>Regtech</t>
        </is>
      </c>
      <c r="AM206" s="53" t="inlineStr">
        <is>
          <t>iDEAL</t>
        </is>
      </c>
      <c r="AN206" s="53" t="inlineStr">
        <is>
          <t>Technology</t>
        </is>
      </c>
      <c r="AO206" s="53" t="inlineStr">
        <is>
          <t>Development</t>
        </is>
      </c>
      <c r="AP206" s="53" t="inlineStr">
        <is>
          <t>Yes</t>
        </is>
      </c>
      <c r="AQ206" s="53" t="inlineStr">
        <is>
          <t>Product/Project</t>
        </is>
      </c>
      <c r="AR206" s="53" t="inlineStr">
        <is>
          <t>.NET MVC</t>
        </is>
      </c>
      <c r="AS206" s="53" t="inlineStr">
        <is>
          <t>Technical - Developer</t>
        </is>
      </c>
      <c r="AT206" s="53" t="n">
        <v>20</v>
      </c>
      <c r="AU206" s="53" t="inlineStr">
        <is>
          <t>Covered</t>
        </is>
      </c>
      <c r="AV206" s="53" t="n"/>
      <c r="AW206" s="53" t="n"/>
      <c r="AX206" s="53" t="n"/>
      <c r="AY206" s="53" t="n"/>
      <c r="AZ206" s="53" t="n"/>
      <c r="BA206" s="53" t="n"/>
      <c r="BB206" s="53" t="n"/>
      <c r="BC206" s="53" t="n"/>
      <c r="BD206" s="53" t="n"/>
      <c r="BE206" s="53" t="n"/>
      <c r="BF206" s="53" t="n"/>
      <c r="BG206" s="53" t="n"/>
      <c r="BH206" s="53" t="n"/>
      <c r="BI206" s="53" t="n"/>
      <c r="BJ206" s="53" t="n"/>
      <c r="BK206" s="53" t="n"/>
      <c r="BL206" s="53" t="n"/>
      <c r="BM206" s="53" t="n"/>
      <c r="BN206" s="53" t="n"/>
      <c r="BO206" s="53" t="n"/>
      <c r="BP206" s="53" t="n"/>
      <c r="BQ206" s="53" t="n"/>
      <c r="BR206" s="53" t="n"/>
      <c r="BS206" s="53" t="n"/>
      <c r="BT206" s="53" t="n"/>
      <c r="BU206" s="53" t="n"/>
      <c r="BV206" s="53" t="n"/>
      <c r="BW206" s="53" t="n"/>
      <c r="BX206" s="53" t="n"/>
      <c r="BY206" s="53" t="n"/>
      <c r="BZ206" s="53" t="n"/>
      <c r="CA206" s="53" t="n"/>
      <c r="CB206" s="53" t="n"/>
      <c r="CC206" s="53" t="n"/>
      <c r="CD206" s="53" t="n"/>
      <c r="CE206" s="53" t="n"/>
      <c r="CF206" s="53" t="n"/>
      <c r="CG206" s="53" t="n"/>
      <c r="CH206" s="53" t="n"/>
      <c r="CI206" s="53" t="n"/>
      <c r="CJ206" s="53" t="n"/>
      <c r="CK206" s="53" t="n"/>
      <c r="CL206" s="53" t="n"/>
      <c r="CM206" s="53" t="n"/>
      <c r="CN206" s="53" t="n"/>
      <c r="CO206" s="53" t="n"/>
      <c r="CP206" s="53" t="n"/>
      <c r="CQ206" s="53" t="n"/>
      <c r="CR206" s="53" t="n"/>
      <c r="CS206" s="53" t="n"/>
      <c r="CT206" s="53" t="n"/>
      <c r="CU206" s="53" t="n"/>
      <c r="CV206" s="53" t="n"/>
      <c r="CW206" s="53" t="n"/>
      <c r="CX206" s="53" t="n"/>
      <c r="CY206" s="53" t="n"/>
      <c r="CZ206" s="53" t="n"/>
      <c r="DA206" s="53" t="n"/>
      <c r="DB206" s="53" t="n"/>
      <c r="DC206" s="53" t="n"/>
      <c r="DD206" s="53" t="inlineStr">
        <is>
          <t>INTN0298</t>
        </is>
      </c>
      <c r="DE206" s="53" t="inlineStr">
        <is>
          <t>Intern</t>
        </is>
      </c>
      <c r="DF206" s="53" t="inlineStr">
        <is>
          <t>Active</t>
        </is>
      </c>
      <c r="DG206" s="53" t="inlineStr">
        <is>
          <t>Vinayak Dadasaheb Suryawanshi</t>
        </is>
      </c>
      <c r="DH206" s="54" t="n">
        <v>46097</v>
      </c>
      <c r="DI206" s="53" t="inlineStr">
        <is>
          <t>Intern</t>
        </is>
      </c>
      <c r="DJ206" s="53" t="inlineStr">
        <is>
          <t>Engineering &amp; Development</t>
        </is>
      </c>
      <c r="DK206" s="53" t="inlineStr">
        <is>
          <t>Backend Engineering ·.NET</t>
        </is>
      </c>
      <c r="DL206" s="53" t="inlineStr">
        <is>
          <t>Intern</t>
        </is>
      </c>
      <c r="DM206" s="53" t="inlineStr">
        <is>
          <t>L1 – Intern</t>
        </is>
      </c>
      <c r="DN206" s="53" t="inlineStr">
        <is>
          <t>B.Tech</t>
        </is>
      </c>
      <c r="DO206" s="53" t="inlineStr">
        <is>
          <t>Swapnil Shirke</t>
        </is>
      </c>
      <c r="DP206" s="53" t="inlineStr">
        <is>
          <t>N-5</t>
        </is>
      </c>
      <c r="DQ206" s="53" t="inlineStr">
        <is>
          <t>Individual Contributor</t>
        </is>
      </c>
      <c r="DR206" s="53" t="inlineStr">
        <is>
          <t>0 years, 0 months, 0 days</t>
        </is>
      </c>
      <c r="DS206" s="53" t="inlineStr">
        <is>
          <t>0 years, 3 months, 4 days</t>
        </is>
      </c>
      <c r="DT206" s="53" t="inlineStr">
        <is>
          <t>0 years, 3 months, 4 days</t>
        </is>
      </c>
      <c r="DU206" s="53" t="n"/>
      <c r="DV206" s="53" t="inlineStr">
        <is>
          <t>Regtech</t>
        </is>
      </c>
      <c r="DW206" s="53" t="inlineStr">
        <is>
          <t>iDEAL</t>
        </is>
      </c>
      <c r="DX206" s="53" t="inlineStr">
        <is>
          <t>Technology</t>
        </is>
      </c>
      <c r="DY206" s="53" t="inlineStr">
        <is>
          <t>Development</t>
        </is>
      </c>
      <c r="DZ206" s="53" t="inlineStr">
        <is>
          <t>Yes</t>
        </is>
      </c>
      <c r="EA206" s="53" t="inlineStr">
        <is>
          <t>Product/Project</t>
        </is>
      </c>
      <c r="EB206" s="53" t="inlineStr">
        <is>
          <t>.Net</t>
        </is>
      </c>
      <c r="EC206" s="53" t="inlineStr">
        <is>
          <t>Technical - Developer</t>
        </is>
      </c>
      <c r="ED206" s="53" t="inlineStr">
        <is>
          <t>Work From Office - Turbhe</t>
        </is>
      </c>
      <c r="EE206" s="53" t="inlineStr">
        <is>
          <t>1. Achieve at least 90% on-time completion of assigned development, enhancement, and support tasks while adhering to organizational coding and quality standards.
2. Develop expertise in existing React and .NET applications and successfully resolve at least 90% of assigned enhancement, bug-fixing, and support tasks within agreed timelines.
3. Design and deliver at least one AI-driven or automation solution to improve operational efficiency, data accessibility, or user experience within the organization.
4. Complete a minimum of three technical trainings/certifications in React, .NET, Python, SQL, AI/ML, or Cloud technologies and apply the acquired knowledge in project deliverables.
5. Identify and implement at least two process improvements, performance optimizations, or automation initiatives to improve efficiency and user experience.</t>
        </is>
      </c>
      <c r="EF206" s="53" t="inlineStr">
        <is>
          <t>1. Deliver high-quality software solutions by completing assigned development, enhancement, and support activities within committed timelines while adhering to engineering standards.
2. Strengthen expertise in React, .NET, SQL, and AI technologies to contribute effectively to application development, maintenance, and modernization initiatives.
3. Design and implement AI-driven solutions and automation initiatives that improve operational efficiency, application functionality, and user experience.
4. Drive continuous improvement by enhancing application performance, resolving defects, optimizing existing modules, and ensuring application stability and reliability.
5. Continuously enhance technical capabilities through learning, collaboration, and adoption of modern development practices to improve individual and team productivity.</t>
        </is>
      </c>
      <c r="EG206" s="53" t="inlineStr">
        <is>
          <t>1. Enhance the SQL Agent and AI Chatbot by improving query accuracy, optimizing performance, and implementing additional capabilities based on business requirements.
2. Contribute to the enhancement, maintenance, and stabilization of existing React and .NET applications by delivering assigned features and resolving defects within agreed timelines.
3. Enhance the Data Variance Module by implementing new functionalities, improving performance, and resolving reported issues.
4. Complete at least one technical training or certification related to React, .NET, AI/ML, Cloud, or backend technologies and apply the acquired knowledge in project work.
5. Maintain at least 90% on-time delivery of assigned sprint tasks and ensure timely resolution of code review comments and defects.</t>
        </is>
      </c>
      <c r="EH206" s="53" t="n">
        <v>3</v>
      </c>
      <c r="EI206" s="53" t="n"/>
      <c r="EJ206" s="53" t="inlineStr">
        <is>
          <t>Same as per records</t>
        </is>
      </c>
      <c r="EK206" s="53" t="inlineStr">
        <is>
          <t>No</t>
        </is>
      </c>
      <c r="EL206" s="53" t="n">
        <v>3</v>
      </c>
      <c r="EM206" s="53" t="inlineStr">
        <is>
          <t>Medium</t>
        </is>
      </c>
      <c r="EN206" s="53" t="inlineStr">
        <is>
          <t>Emerging Talent</t>
        </is>
      </c>
      <c r="EO206" s="53" t="inlineStr">
        <is>
          <t>Not Ready</t>
        </is>
      </c>
      <c r="EP206" s="53" t="inlineStr">
        <is>
          <t>No</t>
        </is>
      </c>
      <c r="EQ206" s="53" t="inlineStr">
        <is>
          <t>No</t>
        </is>
      </c>
      <c r="ER206" s="53" t="n"/>
      <c r="ES206" s="53" t="inlineStr">
        <is>
          <t>XBRL Training, Training on the effective utilization of AI tools.</t>
        </is>
      </c>
      <c r="ET206" s="53" t="n"/>
      <c r="EU206" s="53" t="n"/>
      <c r="EV206" s="53" t="n"/>
      <c r="EW206" s="52" t="n"/>
      <c r="EX206" s="53" t="n"/>
      <c r="EY206" s="53" t="n"/>
      <c r="EZ206" s="53" t="n"/>
      <c r="FA206" s="53" t="n"/>
      <c r="FB206" s="53" t="n"/>
      <c r="FC206" s="53" t="n"/>
      <c r="FD206" s="53" t="inlineStr">
        <is>
          <t>INTN0298</t>
        </is>
      </c>
      <c r="FE206" s="57" t="inlineStr">
        <is>
          <t>1. Deliver high-quality software solutions by completing assigned development, enhancement, and support activities within committed timelines while adhering to engineering standards.
2. Strengthen expertise in React, .NET, SQL, and AI technologies to contribute effectively to application development, maintenance, and modernization initiatives.
3. Design and implement AI-driven solutions and automation initiatives that improve operational efficiency, application functionality, and user experience.
4. Drive continuous improvement by enhancing application performance, resolving defects, optimizing existing modules, and ensuring application stability and reliability.
5. Continuously enhance technical capabilities through learning, collaboration, and adoption of modern development practices to improve individual and team productivity.</t>
        </is>
      </c>
      <c r="FF206" s="56" t="inlineStr">
        <is>
          <t>1. Enhance the SQL Agent and AI Chatbot by improving query accuracy, optimizing performance, and implementing additional capabilities based on business requirements.
2. Contribute to the enhancement, maintenance, and stabilization of existing React and .NET applications by delivering assigned features and resolving defects within agreed timelines.
3. Enhance the Data Variance Module by implementing new functionalities, improving performance, and resolving reported issues.
4. Complete at least one technical training or certification related to React, .NET, AI/ML, Cloud, or backend technologies and apply the acquired knowledge in project work.
5. Maintain at least 90% on-time delivery of assigned sprint tasks and ensure timely resolution of code review comments and defects.</t>
        </is>
      </c>
      <c r="FG206" s="56" t="inlineStr">
        <is>
          <t>1. Achieve at least 90% on-time completion of assigned development, enhancement, and support tasks while adhering to organizational coding and quality standards.
2. Develop expertise in existing React and .NET applications and successfully resolve at least 90% of assigned enhancement, bug-fixing, and support tasks within agreed timelines.
3. Design and deliver at least one AI-driven or automation solution to improve operational efficiency, data accessibility, or user experience within the organization.
4. Complete a minimum of three technical trainings/certifications in React, .NET, Python, SQL, AI/ML, or Cloud technologies and apply the acquired knowledge in project deliverables.
5. Identify and implement at least two process improvements, performance optimizations, or automation initiatives to improve efficiency and user experience.</t>
        </is>
      </c>
      <c r="FH206" s="56" t="inlineStr">
        <is>
          <t>3</t>
        </is>
      </c>
      <c r="FI206" s="56" t="n"/>
      <c r="FJ206" s="56" t="inlineStr">
        <is>
          <t>Received · manager annual, quarterly, self</t>
        </is>
      </c>
      <c r="FK206" s="56" t="inlineStr">
        <is>
          <t>Talent Mapping · iDEAL</t>
        </is>
      </c>
      <c r="FL206" s="56" t="n">
        <v>20</v>
      </c>
      <c r="FM206" s="32" t="inlineStr">
        <is>
          <t>Full survey answers not in the files received · How We Grow export needed · HR</t>
        </is>
      </c>
      <c r="FN206" s="56" t="inlineStr">
        <is>
          <t>—</t>
        </is>
      </c>
      <c r="FO206" s="56" t="inlineStr">
        <is>
          <t>—</t>
        </is>
      </c>
      <c r="FP206" s="56" t="inlineStr">
        <is>
          <t>—</t>
        </is>
      </c>
      <c r="FQ206" s="56" t="inlineStr">
        <is>
          <t>—</t>
        </is>
      </c>
      <c r="FR206" s="56" t="n"/>
      <c r="FS206" s="56" t="inlineStr">
        <is>
          <t>Common themes in role-holders' answers: learn · core · software engineer · develop · purpose · design
Common themes in role-holders' answers: features · software · development · learning
Common themes in role-holders' answers: software · code · features
Common themes in role-holders' answers: quality · accountable · timely · if · data
Common themes in role-holders' answers: decisions · technical
If the work is missed · role-holders' themes: lead · delays · rework.
Measured on · manager-set KRA themes: code · technical · agreed · deliver · application · maintain.</t>
        </is>
      </c>
      <c r="FT206" s="56" t="inlineStr">
        <is>
          <t>Self-identified: Domain, regulatory &amp; XBRL
For the next role: Domain, regulatory &amp; XBRL</t>
        </is>
      </c>
      <c r="FU206" s="32" t="inlineStr">
        <is>
          <t>Full survey answers not in the files received · How We Grow export needed · HR</t>
        </is>
      </c>
    </row>
    <row r="207" ht="90" customHeight="1">
      <c r="A207" s="51" t="inlineStr">
        <is>
          <t>◂ Back</t>
        </is>
      </c>
      <c r="B207" s="29" t="inlineStr">
        <is>
          <t>Mapped</t>
        </is>
      </c>
      <c r="C207" s="28" t="inlineStr">
        <is>
          <t>iDEAL</t>
        </is>
      </c>
      <c r="D207" s="29" t="inlineStr">
        <is>
          <t>IRIS2259</t>
        </is>
      </c>
      <c r="E207" s="29" t="inlineStr">
        <is>
          <t>Tushar Kadu Nimbolkar</t>
        </is>
      </c>
      <c r="F207" s="29" t="inlineStr">
        <is>
          <t>Technology</t>
        </is>
      </c>
      <c r="G207" s="29" t="inlineStr">
        <is>
          <t>Software Engineer</t>
        </is>
      </c>
      <c r="H207" s="29" t="inlineStr">
        <is>
          <t>Senior Database Engineer</t>
        </is>
      </c>
      <c r="I207" s="29" t="inlineStr">
        <is>
          <t>L3 – Professional / Associate</t>
        </is>
      </c>
      <c r="J207" s="29" t="inlineStr">
        <is>
          <t>A3</t>
        </is>
      </c>
      <c r="K207" s="29" t="inlineStr">
        <is>
          <t>▲ Up</t>
        </is>
      </c>
      <c r="L207" s="29" t="inlineStr">
        <is>
          <t>Engineering &amp; Development</t>
        </is>
      </c>
      <c r="M207" s="29" t="inlineStr">
        <is>
          <t>Data Engineering &amp; Database Development</t>
        </is>
      </c>
      <c r="N207" s="29" t="n"/>
      <c r="O207" s="29" t="n">
        <v>20</v>
      </c>
      <c r="P207" s="28" t="inlineStr">
        <is>
          <t>P2</t>
        </is>
      </c>
      <c r="Q207" s="29" t="inlineStr">
        <is>
          <t>Developing</t>
        </is>
      </c>
      <c r="R207" s="29" t="inlineStr">
        <is>
          <t>3 Apply</t>
        </is>
      </c>
      <c r="S207" s="29" t="inlineStr">
        <is>
          <t>2–4 yrs</t>
        </is>
      </c>
      <c r="T207" s="29" t="inlineStr">
        <is>
          <t>3–5 · 2–5</t>
        </is>
      </c>
      <c r="U207" s="29" t="inlineStr">
        <is>
          <t>Software Engineer</t>
        </is>
      </c>
      <c r="V207" s="29" t="inlineStr">
        <is>
          <t>Workiva: SE · Broadridge India: SE · Nasdaq / AxiomSL: SE · Salesforce: MTS · Atlassian: P40 · 3–7 yrs · Freshworks: Senior SE</t>
        </is>
      </c>
      <c r="W207" s="29" t="inlineStr">
        <is>
          <t>SFIA 9 · software development, programming; OWASP secure coding; cloud vendor certifications</t>
        </is>
      </c>
      <c r="X207" s="29" t="inlineStr">
        <is>
          <t>Core 2 · Future 2 · Functional 3 · Leadership not scored</t>
        </is>
      </c>
      <c r="Y207" s="52" t="n">
        <v>322</v>
      </c>
      <c r="Z207" s="53" t="inlineStr">
        <is>
          <t>IRIS2259</t>
        </is>
      </c>
      <c r="AA207" s="53" t="inlineStr">
        <is>
          <t>Employee</t>
        </is>
      </c>
      <c r="AB207" s="53" t="inlineStr">
        <is>
          <t>Active</t>
        </is>
      </c>
      <c r="AC207" s="53" t="inlineStr">
        <is>
          <t>Tushar Kadu Nimbolkar</t>
        </is>
      </c>
      <c r="AD207" s="54" t="n">
        <v>45446</v>
      </c>
      <c r="AE207" s="53" t="inlineStr">
        <is>
          <t>Software Engineer</t>
        </is>
      </c>
      <c r="AF207" s="53" t="inlineStr">
        <is>
          <t>B.E</t>
        </is>
      </c>
      <c r="AG207" s="53" t="inlineStr">
        <is>
          <t>Jitendra Kumar</t>
        </is>
      </c>
      <c r="AH207" s="53" t="inlineStr">
        <is>
          <t>N-4</t>
        </is>
      </c>
      <c r="AI207" s="53" t="inlineStr">
        <is>
          <t>Individual Contributor</t>
        </is>
      </c>
      <c r="AJ207" s="53" t="inlineStr">
        <is>
          <t>0 years, 0 months, 0 days</t>
        </is>
      </c>
      <c r="AK207" s="53" t="inlineStr">
        <is>
          <t>2 years, 2 months, 22 days</t>
        </is>
      </c>
      <c r="AL207" s="53" t="inlineStr">
        <is>
          <t>Regtech</t>
        </is>
      </c>
      <c r="AM207" s="53" t="inlineStr">
        <is>
          <t>iDEAL</t>
        </is>
      </c>
      <c r="AN207" s="53" t="inlineStr">
        <is>
          <t>Technology</t>
        </is>
      </c>
      <c r="AO207" s="53" t="inlineStr">
        <is>
          <t>Development</t>
        </is>
      </c>
      <c r="AP207" s="53" t="inlineStr">
        <is>
          <t>Yes</t>
        </is>
      </c>
      <c r="AQ207" s="53" t="inlineStr">
        <is>
          <t>Product/Project</t>
        </is>
      </c>
      <c r="AR207" s="53" t="inlineStr">
        <is>
          <t>.NET MVC</t>
        </is>
      </c>
      <c r="AS207" s="53" t="inlineStr">
        <is>
          <t>Technical - Developer</t>
        </is>
      </c>
      <c r="AT207" s="53" t="n">
        <v>20</v>
      </c>
      <c r="AU207" s="53" t="inlineStr">
        <is>
          <t>Covered</t>
        </is>
      </c>
      <c r="AV207" s="53" t="n"/>
      <c r="AW207" s="53" t="n"/>
      <c r="AX207" s="53" t="n"/>
      <c r="AY207" s="53" t="n"/>
      <c r="AZ207" s="53" t="n"/>
      <c r="BA207" s="53" t="n"/>
      <c r="BB207" s="53" t="n"/>
      <c r="BC207" s="53" t="n"/>
      <c r="BD207" s="53" t="n"/>
      <c r="BE207" s="53" t="n"/>
      <c r="BF207" s="53" t="n"/>
      <c r="BG207" s="53" t="n"/>
      <c r="BH207" s="53" t="n"/>
      <c r="BI207" s="53" t="n"/>
      <c r="BJ207" s="53" t="n"/>
      <c r="BK207" s="53" t="n"/>
      <c r="BL207" s="53" t="n"/>
      <c r="BM207" s="53" t="n"/>
      <c r="BN207" s="53" t="n"/>
      <c r="BO207" s="53" t="n"/>
      <c r="BP207" s="53" t="n"/>
      <c r="BQ207" s="53" t="n"/>
      <c r="BR207" s="53" t="n"/>
      <c r="BS207" s="53" t="n"/>
      <c r="BT207" s="53" t="n"/>
      <c r="BU207" s="53" t="n"/>
      <c r="BV207" s="53" t="n"/>
      <c r="BW207" s="53" t="n"/>
      <c r="BX207" s="53" t="n"/>
      <c r="BY207" s="53" t="n"/>
      <c r="BZ207" s="53" t="n"/>
      <c r="CA207" s="53" t="n"/>
      <c r="CB207" s="53" t="n"/>
      <c r="CC207" s="53" t="n"/>
      <c r="CD207" s="53" t="n"/>
      <c r="CE207" s="53" t="n"/>
      <c r="CF207" s="53" t="n"/>
      <c r="CG207" s="53" t="n"/>
      <c r="CH207" s="53" t="n"/>
      <c r="CI207" s="53" t="n"/>
      <c r="CJ207" s="53" t="n"/>
      <c r="CK207" s="53" t="n"/>
      <c r="CL207" s="53" t="n"/>
      <c r="CM207" s="53" t="n"/>
      <c r="CN207" s="53" t="n"/>
      <c r="CO207" s="53" t="n"/>
      <c r="CP207" s="53" t="n"/>
      <c r="CQ207" s="53" t="n"/>
      <c r="CR207" s="53" t="n"/>
      <c r="CS207" s="53" t="n"/>
      <c r="CT207" s="53" t="n"/>
      <c r="CU207" s="53" t="n"/>
      <c r="CV207" s="53" t="n"/>
      <c r="CW207" s="53" t="n"/>
      <c r="CX207" s="53" t="n"/>
      <c r="CY207" s="53" t="n"/>
      <c r="CZ207" s="53" t="n"/>
      <c r="DA207" s="53" t="n"/>
      <c r="DB207" s="53" t="n"/>
      <c r="DC207" s="53" t="n"/>
      <c r="DD207" s="53" t="inlineStr">
        <is>
          <t>IRIS2259</t>
        </is>
      </c>
      <c r="DE207" s="53" t="inlineStr">
        <is>
          <t>Employee</t>
        </is>
      </c>
      <c r="DF207" s="53" t="inlineStr">
        <is>
          <t>Active</t>
        </is>
      </c>
      <c r="DG207" s="53" t="inlineStr">
        <is>
          <t>Tushar Kadu Nimbolkar</t>
        </is>
      </c>
      <c r="DH207" s="54" t="n">
        <v>45446</v>
      </c>
      <c r="DI207" s="53" t="inlineStr">
        <is>
          <t>Software Engineer</t>
        </is>
      </c>
      <c r="DJ207" s="53" t="inlineStr">
        <is>
          <t>Engineering &amp; Development</t>
        </is>
      </c>
      <c r="DK207" s="53" t="inlineStr">
        <is>
          <t>Backend Engineering ·.NET</t>
        </is>
      </c>
      <c r="DL207" s="53" t="inlineStr">
        <is>
          <t>Software Engineer</t>
        </is>
      </c>
      <c r="DM207" s="53" t="inlineStr">
        <is>
          <t>L3 – Professional / Associate</t>
        </is>
      </c>
      <c r="DN207" s="53" t="inlineStr">
        <is>
          <t>B.E</t>
        </is>
      </c>
      <c r="DO207" s="53" t="inlineStr">
        <is>
          <t>Jitendra Kumar</t>
        </is>
      </c>
      <c r="DP207" s="53" t="inlineStr">
        <is>
          <t>N-4</t>
        </is>
      </c>
      <c r="DQ207" s="53" t="inlineStr">
        <is>
          <t>Individual Contributor</t>
        </is>
      </c>
      <c r="DR207" s="53" t="inlineStr">
        <is>
          <t>0 years, 0 months, 0 days</t>
        </is>
      </c>
      <c r="DS207" s="53" t="inlineStr">
        <is>
          <t>2 years, 0 months, 17 days</t>
        </is>
      </c>
      <c r="DT207" s="53" t="inlineStr">
        <is>
          <t>2 years, 0 months, 17 days</t>
        </is>
      </c>
      <c r="DU207" s="53" t="n"/>
      <c r="DV207" s="53" t="inlineStr">
        <is>
          <t>Regtech</t>
        </is>
      </c>
      <c r="DW207" s="53" t="inlineStr">
        <is>
          <t>iDEAL</t>
        </is>
      </c>
      <c r="DX207" s="53" t="inlineStr">
        <is>
          <t>Technology</t>
        </is>
      </c>
      <c r="DY207" s="53" t="inlineStr">
        <is>
          <t>Development</t>
        </is>
      </c>
      <c r="DZ207" s="53" t="inlineStr">
        <is>
          <t>Yes</t>
        </is>
      </c>
      <c r="EA207" s="53" t="inlineStr">
        <is>
          <t>Product/Project</t>
        </is>
      </c>
      <c r="EB207" s="53" t="inlineStr">
        <is>
          <t>.NET MVC</t>
        </is>
      </c>
      <c r="EC207" s="53" t="inlineStr">
        <is>
          <t>Technical - Developer</t>
        </is>
      </c>
      <c r="ED207" s="53" t="inlineStr">
        <is>
          <t>Work From Office - Turbhe</t>
        </is>
      </c>
      <c r="EE207" s="53" t="inlineStr">
        <is>
          <t>Become a Confident Full Stack Developer · React +.NET
Level Up.NET Skills — Architecture, Performance &amp; Testing
Gain Database Expertise — MongoDB or Snowflake
Embed AI into Daily Engineering &amp; Influence Team Adoption
Own BOM, iDEAL 5.5/6.0 &amp; ESAF End-to-End
Grow as a Technical Contributor &amp; Team Influencer
100% Client Satisfaction &amp; Carbon Team Collaboration</t>
        </is>
      </c>
      <c r="EF207" s="53" t="inlineStr">
        <is>
          <t>1. Feature Delivery: Complete assigned features/stories with 90%+ sprint commitment accuracy .
2. Code Quality: Maintain a bug-escape rate below 5% · bugs found in production vs. total bugs for code shipped to production.
3. Test Coverage: Achieve and maintain 80%+ unit test coverage on all new code contributions.
4. Ownership: Take complete ownership of the iDEAL BOM/ iDEAL RBI ensuring timely delivery of client requirements, production support, and continuous improvements.
5. Stack expertise:Learn and apply at least 1 new technology, framework, or language relevant to the product roadmap · e.g. React. Deliver at least 1 production feature using the new technology within the year.</t>
        </is>
      </c>
      <c r="EG207" s="53" t="inlineStr">
        <is>
          <t>Deliver First React Feature in iDEAL New Version
Complete BOM → iDEAL 5.5 Migration &amp; Stabilise
Learn MongoDB or Snowflake &amp; Apply in Project
Embed AI into Full Development Lifecycle
Lead ADR &amp; Conduct Knowledge-Sharing Session
Complete ESAF Feature Development &amp; QA Sign-Off
Zero Critical Bugs &amp; Improve .NET Code Quality
Sustain 100% Client Support Satisfaction</t>
        </is>
      </c>
      <c r="EH207" s="53" t="n">
        <v>3</v>
      </c>
      <c r="EI207" s="53" t="n"/>
      <c r="EJ207" s="53" t="inlineStr">
        <is>
          <t>Same as per records</t>
        </is>
      </c>
      <c r="EK207" s="53" t="inlineStr">
        <is>
          <t>No</t>
        </is>
      </c>
      <c r="EL207" s="53" t="n">
        <v>3</v>
      </c>
      <c r="EM207" s="53" t="inlineStr">
        <is>
          <t>Medium</t>
        </is>
      </c>
      <c r="EN207" s="53" t="inlineStr">
        <is>
          <t>Emerging Talent</t>
        </is>
      </c>
      <c r="EO207" s="53" t="inlineStr">
        <is>
          <t>Not Ready</t>
        </is>
      </c>
      <c r="EP207" s="53" t="inlineStr">
        <is>
          <t>No</t>
        </is>
      </c>
      <c r="EQ207" s="53" t="inlineStr">
        <is>
          <t>Yes</t>
        </is>
      </c>
      <c r="ER207" s="53" t="n"/>
      <c r="ES207" s="53" t="inlineStr">
        <is>
          <t>XBRL Training, Training on the effective utilization of AI tools.</t>
        </is>
      </c>
      <c r="ET207" s="53" t="n"/>
      <c r="EU207" s="53" t="n"/>
      <c r="EV207" s="53" t="n"/>
      <c r="EW207" s="52" t="n"/>
      <c r="EX207" s="53" t="n"/>
      <c r="EY207" s="53" t="n"/>
      <c r="EZ207" s="53" t="n"/>
      <c r="FA207" s="53" t="n"/>
      <c r="FB207" s="53" t="n"/>
      <c r="FC207" s="53" t="inlineStr">
        <is>
          <t>Annual KRAs · objective Measurable Minimum 5 - set by Manager</t>
        </is>
      </c>
      <c r="FD207" s="53" t="n"/>
      <c r="FE207" s="57" t="inlineStr">
        <is>
          <t>1. Feature Delivery: Complete assigned features/stories with 90%+ sprint commitment accuracy .
2. Code Quality: Maintain a bug-escape rate below 5% · bugs found in production vs. total bugs for code shipped to production.
3. Test Coverage: Achieve and maintain 80%+ unit test coverage on all new code contributions.
4. Ownership: Take complete ownership of the iDEAL BOM/ iDEAL RBI ensuring timely delivery of client requirements, production support, and continuous improvements.
5. Stack expertise:Learn and apply at least 1 new technology, framework, or language relevant to the product roadmap · e.g. React. Deliver at least 1 production feature using the new technology within the year.</t>
        </is>
      </c>
      <c r="FF207" s="56" t="inlineStr">
        <is>
          <t>Deliver First React Feature in iDEAL New Version
Complete BOM → iDEAL 5.5 Migration &amp; Stabilise
Learn MongoDB or Snowflake &amp; Apply in Project
Embed AI into Full Development Lifecycle
Lead ADR &amp; Conduct Knowledge-Sharing Session
Complete ESAF Feature Development &amp; QA Sign-Off
Zero Critical Bugs &amp; Improve .NET Code Quality
Sustain 100% Client Support Satisfaction</t>
        </is>
      </c>
      <c r="FG207" s="56" t="inlineStr">
        <is>
          <t>Become a Confident Full Stack Developer · React + .NET
Level Up .NET Skills — Architecture, Performance &amp; Testing
Gain Database Expertise — MongoDB or Snowflake
Embed AI into Daily Engineering &amp; Influence Team Adoption
Own BOM, iDEAL 5.5/6.0 &amp; ESAF End-to-End
Grow as a Technical Contributor &amp; Team Influencer
100% Client Satisfaction &amp; Carbon Team Collaboration</t>
        </is>
      </c>
      <c r="FH207" s="56" t="inlineStr">
        <is>
          <t>3</t>
        </is>
      </c>
      <c r="FI207" s="56" t="n"/>
      <c r="FJ207" s="56" t="inlineStr">
        <is>
          <t>Received · manager annual, quarterly, self</t>
        </is>
      </c>
      <c r="FK207" s="56" t="inlineStr">
        <is>
          <t>Talent Mapping · iDEAL</t>
        </is>
      </c>
      <c r="FL207" s="56" t="n">
        <v>20</v>
      </c>
      <c r="FM207" s="32" t="inlineStr">
        <is>
          <t>Full survey answers not in the files received · How We Grow export needed · HR</t>
        </is>
      </c>
      <c r="FN207" s="56" t="inlineStr">
        <is>
          <t>—</t>
        </is>
      </c>
      <c r="FO207" s="56" t="inlineStr">
        <is>
          <t>—</t>
        </is>
      </c>
      <c r="FP207" s="56" t="inlineStr">
        <is>
          <t>—</t>
        </is>
      </c>
      <c r="FQ207" s="56" t="inlineStr">
        <is>
          <t>—</t>
        </is>
      </c>
      <c r="FR207" s="56" t="inlineStr">
        <is>
          <t>Complexity: Evidence reads like A3: Coding, client calls and support, deployment, R&amp;D, documentation; SQL, ETL and data engineering → moved up 0.5
Autonomy: Evidence reads like A3: Independently handles client support, issues and code enhancements → moved up 0.5
Accountability: Evidence reads like A3: Logic and code he develops, plus shared client support; escalations if wrong → moved up 0.5
Leadership: Evidence reads like A1: Leadership named only as a quality; no guidance described → matches the start
Business Impact: Moved +1: the survey / manager mapping marks it business-critical and it does work no one else does.</t>
        </is>
      </c>
      <c r="FS207" s="56" t="inlineStr">
        <is>
          <t>Common themes in role-holders' answers: business · support · data · solutions · build · reliable
Common themes in role-holders' answers: issue · support · development · data · resolution · deployment
Common themes in role-holders' answers: deliver · enhancements · solutions · product · data · models
Common themes in role-holders' answers: accountable · assigned · quality · solutions · personally · delivery
Common themes in role-holders' answers: issues · troubleshoot · independently · client · implement · technical
If the work is missed · role-holders' themes: issues · lead · incorrect · data.
Measured on · manager-set KRA themes: quality · deliver · project · timely · development · code.</t>
        </is>
      </c>
      <c r="FT207" s="56" t="inlineStr">
        <is>
          <t>Self-identified: Technical depth &amp; architecture · Data, SQL &amp; analytics
For the next role: Technical depth &amp; architecture · Data, SQL &amp; analytics</t>
        </is>
      </c>
      <c r="FU207" s="32" t="inlineStr">
        <is>
          <t>Full survey answers not in the files received · How We Grow export needed · HR</t>
        </is>
      </c>
    </row>
    <row r="208" ht="90" customHeight="1">
      <c r="A208" s="51" t="inlineStr">
        <is>
          <t>◂ Back</t>
        </is>
      </c>
      <c r="B208" s="29" t="inlineStr">
        <is>
          <t>Mapped</t>
        </is>
      </c>
      <c r="C208" s="28" t="inlineStr">
        <is>
          <t>iDEAL</t>
        </is>
      </c>
      <c r="D208" s="29" t="inlineStr">
        <is>
          <t>IRIS2258</t>
        </is>
      </c>
      <c r="E208" s="29" t="inlineStr">
        <is>
          <t>Vaibhav Govind Gahat</t>
        </is>
      </c>
      <c r="F208" s="29" t="inlineStr">
        <is>
          <t>Technology</t>
        </is>
      </c>
      <c r="G208" s="29" t="inlineStr">
        <is>
          <t>Software Engineer</t>
        </is>
      </c>
      <c r="H208" s="29" t="inlineStr">
        <is>
          <t>Senior Software Engineer</t>
        </is>
      </c>
      <c r="I208" s="29" t="inlineStr">
        <is>
          <t>L3 – Professional / Associate</t>
        </is>
      </c>
      <c r="J208" s="29" t="inlineStr">
        <is>
          <t>A3</t>
        </is>
      </c>
      <c r="K208" s="29" t="inlineStr">
        <is>
          <t>▲ Up</t>
        </is>
      </c>
      <c r="L208" s="29" t="inlineStr">
        <is>
          <t>Engineering &amp; Development</t>
        </is>
      </c>
      <c r="M208" s="29" t="inlineStr">
        <is>
          <t>Backend Development</t>
        </is>
      </c>
      <c r="N208" s="29" t="n"/>
      <c r="O208" s="29" t="n">
        <v>20</v>
      </c>
      <c r="P208" s="28" t="inlineStr">
        <is>
          <t>P2</t>
        </is>
      </c>
      <c r="Q208" s="29" t="inlineStr">
        <is>
          <t>Developing</t>
        </is>
      </c>
      <c r="R208" s="29" t="inlineStr">
        <is>
          <t>3 Apply</t>
        </is>
      </c>
      <c r="S208" s="29" t="inlineStr">
        <is>
          <t>2–4 yrs</t>
        </is>
      </c>
      <c r="T208" s="29" t="inlineStr">
        <is>
          <t>3–5 · 2–5</t>
        </is>
      </c>
      <c r="U208" s="29" t="inlineStr">
        <is>
          <t>Software Engineer</t>
        </is>
      </c>
      <c r="V208" s="29" t="inlineStr">
        <is>
          <t>Workiva: SE · Broadridge India: SE · Nasdaq / AxiomSL: SE · Salesforce: MTS · Atlassian: P40 · 3–7 yrs · Freshworks: Senior SE</t>
        </is>
      </c>
      <c r="W208" s="29" t="inlineStr">
        <is>
          <t>SFIA 9 · software development, programming; OWASP secure coding; cloud vendor certifications</t>
        </is>
      </c>
      <c r="X208" s="29" t="inlineStr">
        <is>
          <t>Core 2 · Future 2 · Functional 3 · Leadership not scored</t>
        </is>
      </c>
      <c r="Y208" s="52" t="n">
        <v>321</v>
      </c>
      <c r="Z208" s="53" t="inlineStr">
        <is>
          <t>IRIS2258</t>
        </is>
      </c>
      <c r="AA208" s="53" t="inlineStr">
        <is>
          <t>Employee</t>
        </is>
      </c>
      <c r="AB208" s="53" t="inlineStr">
        <is>
          <t>Active</t>
        </is>
      </c>
      <c r="AC208" s="53" t="inlineStr">
        <is>
          <t>Vaibhav Govind Gahat</t>
        </is>
      </c>
      <c r="AD208" s="54" t="n">
        <v>45446</v>
      </c>
      <c r="AE208" s="53" t="inlineStr">
        <is>
          <t>Software Engineer</t>
        </is>
      </c>
      <c r="AF208" s="53" t="inlineStr">
        <is>
          <t>B.E</t>
        </is>
      </c>
      <c r="AG208" s="53" t="inlineStr">
        <is>
          <t>Jitendra Kumar</t>
        </is>
      </c>
      <c r="AH208" s="53" t="inlineStr">
        <is>
          <t>N-4</t>
        </is>
      </c>
      <c r="AI208" s="53" t="inlineStr">
        <is>
          <t>Individual Contributor</t>
        </is>
      </c>
      <c r="AJ208" s="53" t="inlineStr">
        <is>
          <t>0 years, 0 months, 0 days</t>
        </is>
      </c>
      <c r="AK208" s="53" t="inlineStr">
        <is>
          <t>2 years, 2 months, 22 days</t>
        </is>
      </c>
      <c r="AL208" s="53" t="inlineStr">
        <is>
          <t>Regtech</t>
        </is>
      </c>
      <c r="AM208" s="53" t="inlineStr">
        <is>
          <t>iDEAL</t>
        </is>
      </c>
      <c r="AN208" s="53" t="inlineStr">
        <is>
          <t>Technology</t>
        </is>
      </c>
      <c r="AO208" s="53" t="inlineStr">
        <is>
          <t>Development</t>
        </is>
      </c>
      <c r="AP208" s="53" t="inlineStr">
        <is>
          <t>Yes</t>
        </is>
      </c>
      <c r="AQ208" s="53" t="inlineStr">
        <is>
          <t>Product/Project</t>
        </is>
      </c>
      <c r="AR208" s="53" t="inlineStr">
        <is>
          <t>.NET MVC</t>
        </is>
      </c>
      <c r="AS208" s="53" t="inlineStr">
        <is>
          <t>Technical - Developer</t>
        </is>
      </c>
      <c r="AT208" s="53" t="n">
        <v>20</v>
      </c>
      <c r="AU208" s="53" t="inlineStr">
        <is>
          <t>Covered</t>
        </is>
      </c>
      <c r="AV208" s="53" t="n"/>
      <c r="AW208" s="53" t="n"/>
      <c r="AX208" s="53" t="n"/>
      <c r="AY208" s="53" t="n"/>
      <c r="AZ208" s="53" t="n"/>
      <c r="BA208" s="53" t="n"/>
      <c r="BB208" s="53" t="n"/>
      <c r="BC208" s="53" t="n"/>
      <c r="BD208" s="53" t="n"/>
      <c r="BE208" s="53" t="n"/>
      <c r="BF208" s="53" t="n"/>
      <c r="BG208" s="53" t="n"/>
      <c r="BH208" s="53" t="n"/>
      <c r="BI208" s="53" t="n"/>
      <c r="BJ208" s="53" t="n"/>
      <c r="BK208" s="53" t="n"/>
      <c r="BL208" s="53" t="n"/>
      <c r="BM208" s="53" t="n"/>
      <c r="BN208" s="53" t="n"/>
      <c r="BO208" s="53" t="n"/>
      <c r="BP208" s="53" t="n"/>
      <c r="BQ208" s="53" t="n"/>
      <c r="BR208" s="53" t="n"/>
      <c r="BS208" s="53" t="n"/>
      <c r="BT208" s="53" t="n"/>
      <c r="BU208" s="53" t="n"/>
      <c r="BV208" s="53" t="n"/>
      <c r="BW208" s="53" t="n"/>
      <c r="BX208" s="53" t="n"/>
      <c r="BY208" s="53" t="n"/>
      <c r="BZ208" s="53" t="n"/>
      <c r="CA208" s="53" t="n"/>
      <c r="CB208" s="53" t="n"/>
      <c r="CC208" s="53" t="n"/>
      <c r="CD208" s="53" t="n"/>
      <c r="CE208" s="53" t="n"/>
      <c r="CF208" s="53" t="n"/>
      <c r="CG208" s="53" t="n"/>
      <c r="CH208" s="53" t="n"/>
      <c r="CI208" s="53" t="n"/>
      <c r="CJ208" s="53" t="n"/>
      <c r="CK208" s="53" t="n"/>
      <c r="CL208" s="53" t="n"/>
      <c r="CM208" s="53" t="n"/>
      <c r="CN208" s="53" t="n"/>
      <c r="CO208" s="53" t="n"/>
      <c r="CP208" s="53" t="n"/>
      <c r="CQ208" s="53" t="n"/>
      <c r="CR208" s="53" t="n"/>
      <c r="CS208" s="53" t="n"/>
      <c r="CT208" s="53" t="n"/>
      <c r="CU208" s="53" t="n"/>
      <c r="CV208" s="53" t="n"/>
      <c r="CW208" s="53" t="n"/>
      <c r="CX208" s="53" t="n"/>
      <c r="CY208" s="53" t="n"/>
      <c r="CZ208" s="53" t="n"/>
      <c r="DA208" s="53" t="n"/>
      <c r="DB208" s="53" t="n"/>
      <c r="DC208" s="53" t="n"/>
      <c r="DD208" s="53" t="inlineStr">
        <is>
          <t>IRIS2258</t>
        </is>
      </c>
      <c r="DE208" s="53" t="inlineStr">
        <is>
          <t>Employee</t>
        </is>
      </c>
      <c r="DF208" s="53" t="inlineStr">
        <is>
          <t>Active</t>
        </is>
      </c>
      <c r="DG208" s="53" t="inlineStr">
        <is>
          <t>Vaibhav Govind Gahat</t>
        </is>
      </c>
      <c r="DH208" s="54" t="n">
        <v>45446</v>
      </c>
      <c r="DI208" s="53" t="inlineStr">
        <is>
          <t>Software Engineer</t>
        </is>
      </c>
      <c r="DJ208" s="53" t="inlineStr">
        <is>
          <t>Engineering &amp; Development</t>
        </is>
      </c>
      <c r="DK208" s="53" t="inlineStr">
        <is>
          <t>Backend Engineering ·.NET</t>
        </is>
      </c>
      <c r="DL208" s="53" t="inlineStr">
        <is>
          <t>Software Engineer</t>
        </is>
      </c>
      <c r="DM208" s="53" t="inlineStr">
        <is>
          <t>L3 – Professional / Associate</t>
        </is>
      </c>
      <c r="DN208" s="53" t="inlineStr">
        <is>
          <t>B.E</t>
        </is>
      </c>
      <c r="DO208" s="53" t="inlineStr">
        <is>
          <t>Jitendra Kumar</t>
        </is>
      </c>
      <c r="DP208" s="53" t="inlineStr">
        <is>
          <t>N-4</t>
        </is>
      </c>
      <c r="DQ208" s="53" t="inlineStr">
        <is>
          <t>Individual Contributor</t>
        </is>
      </c>
      <c r="DR208" s="53" t="inlineStr">
        <is>
          <t>0 years, 0 months, 0 days</t>
        </is>
      </c>
      <c r="DS208" s="53" t="inlineStr">
        <is>
          <t>2 years, 0 months, 17 days</t>
        </is>
      </c>
      <c r="DT208" s="53" t="inlineStr">
        <is>
          <t>2 years, 0 months, 17 days</t>
        </is>
      </c>
      <c r="DU208" s="53" t="n"/>
      <c r="DV208" s="53" t="inlineStr">
        <is>
          <t>Regtech</t>
        </is>
      </c>
      <c r="DW208" s="53" t="inlineStr">
        <is>
          <t>iDEAL</t>
        </is>
      </c>
      <c r="DX208" s="53" t="inlineStr">
        <is>
          <t>Technology</t>
        </is>
      </c>
      <c r="DY208" s="53" t="inlineStr">
        <is>
          <t>Development</t>
        </is>
      </c>
      <c r="DZ208" s="53" t="inlineStr">
        <is>
          <t>Yes</t>
        </is>
      </c>
      <c r="EA208" s="53" t="inlineStr">
        <is>
          <t>Product/Project</t>
        </is>
      </c>
      <c r="EB208" s="53" t="inlineStr">
        <is>
          <t>.NET MVC</t>
        </is>
      </c>
      <c r="EC208" s="53" t="inlineStr">
        <is>
          <t>Technical - Developer</t>
        </is>
      </c>
      <c r="ED208" s="53" t="inlineStr">
        <is>
          <t>Work From Office - Turbhe</t>
        </is>
      </c>
      <c r="EE208" s="53" t="inlineStr">
        <is>
          <t>1. Design and deliver scalable multi-tenant and multi-source application features, completing assigned deliverables within planned timelines while maintaining high code quality.
2. Optimize the Data Preparation module to efficiently process large datasets, improving performance, reducing processing time, and enhancing system reliability.
3. Develop and enhance API-based backend services and React frontend components to support product modernization and improve user experience.
4. Develop and maintain unit test cases for all newly developed modules to improve code quality and reduce production defects.
5. Develop reusable and configurable solutions that reduce manual effort and minimize dependency on developers for routine product configuration and maintenance.
6. Enhance technical expertise by learning and applying React and other relevant technologies to support modern application development.</t>
        </is>
      </c>
      <c r="EF208" s="53" t="inlineStr">
        <is>
          <t>1. Feature Delivery: Complete assigned features/stories with 90%+ sprint commitment accuracy .
2. Code Quality: Maintain a bug-escape rate below 5% · bugs found in production vs. total bugs for code shipped to production.
3. Test Coverage: Achieve and maintain 80%+ unit test coverage on all new code contributions.
4. Ownership: Take complete ownership of the iDEAL 6.0 APIs ensuring timely delivery of client requirements, production support, and continuous improvements.
5. Stack expertise:Learn and apply at least 1 new technology, framework, or language relevant to the product roadmap · e.g. React. Deliver at least 1 production feature using the new technology within the year.</t>
        </is>
      </c>
      <c r="EG208" s="53" t="inlineStr">
        <is>
          <t>1. Enhance the Data Preparation module by implementing robust error handling and user-friendly validation reports for uploaded data files.
2. Continue developing and enhancing the API-based architecture and React frontend to deliver scalable, maintainable, and high-quality application features.
3. Develop and optimize backend services for report generation in the new 6.0 application.
4. Design and implement unit test cases for newly developed modules to improve code quality and reduce production defects.
5. Build an alternative mapping framework that minimizes developer dependency by enabling Business Analysts to configure and maintain Excel mappings efficiently.</t>
        </is>
      </c>
      <c r="EH208" s="53" t="n">
        <v>4</v>
      </c>
      <c r="EI208" s="53" t="n"/>
      <c r="EJ208" s="53" t="inlineStr">
        <is>
          <t>Same as per records</t>
        </is>
      </c>
      <c r="EK208" s="53" t="inlineStr">
        <is>
          <t>No</t>
        </is>
      </c>
      <c r="EL208" s="53" t="n">
        <v>4</v>
      </c>
      <c r="EM208" s="53" t="inlineStr">
        <is>
          <t>High</t>
        </is>
      </c>
      <c r="EN208" s="53" t="inlineStr">
        <is>
          <t>Emerging Talent</t>
        </is>
      </c>
      <c r="EO208" s="53" t="inlineStr">
        <is>
          <t>Not Ready</t>
        </is>
      </c>
      <c r="EP208" s="53" t="inlineStr">
        <is>
          <t>No</t>
        </is>
      </c>
      <c r="EQ208" s="53" t="inlineStr">
        <is>
          <t>Yes</t>
        </is>
      </c>
      <c r="ER208" s="53" t="n"/>
      <c r="ES208" s="53" t="inlineStr">
        <is>
          <t>XBRL Training, Training on the effective utilization of AI tools.</t>
        </is>
      </c>
      <c r="ET208" s="53" t="n"/>
      <c r="EU208" s="53" t="n"/>
      <c r="EV208" s="53" t="n"/>
      <c r="EW208" s="52" t="n"/>
      <c r="EX208" s="53" t="n"/>
      <c r="EY208" s="53" t="n"/>
      <c r="EZ208" s="53" t="n"/>
      <c r="FA208" s="53" t="n"/>
      <c r="FB208" s="53" t="n"/>
      <c r="FC208" s="53" t="inlineStr">
        <is>
          <t>Annual KRAs · objective Measurable Minimum 5 - set by Manager</t>
        </is>
      </c>
      <c r="FD208" s="53" t="n"/>
      <c r="FE208" s="57" t="inlineStr">
        <is>
          <t>1. Feature Delivery: Complete assigned features/stories with 90%+ sprint commitment accuracy .
2. Code Quality: Maintain a bug-escape rate below 5% · bugs found in production vs. total bugs for code shipped to production.
3. Test Coverage: Achieve and maintain 80%+ unit test coverage on all new code contributions.
4. Ownership: Take complete ownership of the iDEAL 6.0 APIs ensuring timely delivery of client requirements, production support, and continuous improvements.
5. Stack expertise:Learn and apply at least 1 new technology, framework, or language relevant to the product roadmap · e.g. React. Deliver at least 1 production feature using the new technology within the year.</t>
        </is>
      </c>
      <c r="FF208" s="56" t="inlineStr">
        <is>
          <t>1. Enhance the Data Preparation module by implementing robust error handling and user-friendly validation reports for uploaded data files.
2. Continue developing and enhancing the API-based architecture and React frontend to deliver scalable, maintainable, and high-quality application features.
3. Develop and optimize backend services for report generation in the new 6.0 application.
4. Design and implement unit test cases for newly developed modules to improve code quality and reduce production defects.
5. Build an alternative mapping framework that minimizes developer dependency by enabling Business Analysts to configure and maintain Excel mappings efficiently.</t>
        </is>
      </c>
      <c r="FG208" s="56" t="inlineStr">
        <is>
          <t>1. Design and deliver scalable multi-tenant and multi-source application features, completing assigned deliverables within planned timelines while maintaining high code quality.
2. Optimize the Data Preparation module to efficiently process large datasets, improving performance, reducing processing time, and enhancing system reliability.
3. Develop and enhance API-based backend services and React frontend components to support product modernization and improve user experience.
4. Develop and maintain unit test cases for all newly developed modules to improve code quality and reduce production defects.
5. Develop reusable and configurable solutions that reduce manual effort and minimize dependency on developers for routine product configuration and maintenance.
6. Enhance technical expertise by learning and applying React and other relevant technologies to support modern application development.</t>
        </is>
      </c>
      <c r="FH208" s="56" t="inlineStr">
        <is>
          <t>4</t>
        </is>
      </c>
      <c r="FI208" s="56" t="n"/>
      <c r="FJ208" s="56" t="inlineStr">
        <is>
          <t>Received · manager annual, quarterly, self</t>
        </is>
      </c>
      <c r="FK208" s="56" t="inlineStr">
        <is>
          <t>Talent Mapping · iDEAL</t>
        </is>
      </c>
      <c r="FL208" s="56" t="n">
        <v>20</v>
      </c>
      <c r="FM208" s="32" t="inlineStr">
        <is>
          <t>Full survey answers not in the files received · How We Grow export needed · HR</t>
        </is>
      </c>
      <c r="FN208" s="56" t="inlineStr">
        <is>
          <t>—</t>
        </is>
      </c>
      <c r="FO208" s="56" t="inlineStr">
        <is>
          <t>—</t>
        </is>
      </c>
      <c r="FP208" s="56" t="inlineStr">
        <is>
          <t>—</t>
        </is>
      </c>
      <c r="FQ208" s="56" t="inlineStr">
        <is>
          <t>—</t>
        </is>
      </c>
      <c r="FR208" s="56" t="inlineStr">
        <is>
          <t>Complexity: Evidence reads like A3: Answers for Data automation module and API issues; deployment, table creation, performance enhancements → moved up 0.5
Autonomy: Evidence reads like A2: Decides performance enhancements and documentation → matches the start
Accountability: Evidence reads like A3: Data automation module and API-related issues in iDEAL application → moved up 0.5
Leadership: Evidence reads like A1: No guidance of others described → matches the start
Business Impact: Moved +0.5: the survey / manager mapping marks it business-critical.</t>
        </is>
      </c>
      <c r="FS208"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208" s="56" t="inlineStr">
        <is>
          <t>Self-identified: Leadership &amp; people management · Broader exposure &amp; ownership
For the next role: Leadership &amp; people management · Broader exposure &amp; ownership</t>
        </is>
      </c>
      <c r="FU208" s="32" t="inlineStr">
        <is>
          <t>Full survey answers not in the files received · How We Grow export needed · HR</t>
        </is>
      </c>
    </row>
    <row r="209" ht="90" customHeight="1">
      <c r="A209" s="51" t="inlineStr">
        <is>
          <t>◂ Back</t>
        </is>
      </c>
      <c r="B209" s="29" t="inlineStr">
        <is>
          <t>Mapped</t>
        </is>
      </c>
      <c r="C209" s="28" t="inlineStr">
        <is>
          <t>iDEAL</t>
        </is>
      </c>
      <c r="D209" s="29" t="inlineStr">
        <is>
          <t>IRIS2018</t>
        </is>
      </c>
      <c r="E209" s="29" t="inlineStr">
        <is>
          <t>Varsha Patil</t>
        </is>
      </c>
      <c r="F209" s="29" t="inlineStr">
        <is>
          <t>Technology</t>
        </is>
      </c>
      <c r="G209" s="29" t="inlineStr">
        <is>
          <t>Software Engineer</t>
        </is>
      </c>
      <c r="H209" s="29" t="inlineStr">
        <is>
          <t>Senior Software Engineer</t>
        </is>
      </c>
      <c r="I209" s="29" t="inlineStr">
        <is>
          <t>L3 – Professional / Associate</t>
        </is>
      </c>
      <c r="J209" s="29" t="inlineStr">
        <is>
          <t>A3</t>
        </is>
      </c>
      <c r="K209" s="29" t="inlineStr">
        <is>
          <t>▲ Up</t>
        </is>
      </c>
      <c r="L209" s="29" t="inlineStr">
        <is>
          <t>Engineering &amp; Development</t>
        </is>
      </c>
      <c r="M209" s="29" t="inlineStr">
        <is>
          <t>Backend Development</t>
        </is>
      </c>
      <c r="N209" s="29" t="n"/>
      <c r="O209" s="29" t="n">
        <v>20</v>
      </c>
      <c r="P209" s="28" t="inlineStr">
        <is>
          <t>P2</t>
        </is>
      </c>
      <c r="Q209" s="29" t="inlineStr">
        <is>
          <t>Developing</t>
        </is>
      </c>
      <c r="R209" s="29" t="inlineStr">
        <is>
          <t>3 Apply</t>
        </is>
      </c>
      <c r="S209" s="29" t="inlineStr">
        <is>
          <t>2–4 yrs</t>
        </is>
      </c>
      <c r="T209" s="29" t="inlineStr">
        <is>
          <t>3–5 · 2–5</t>
        </is>
      </c>
      <c r="U209" s="29" t="inlineStr">
        <is>
          <t>Software Engineer</t>
        </is>
      </c>
      <c r="V209" s="29" t="inlineStr">
        <is>
          <t>Workiva: SE · Broadridge India: SE · Nasdaq / AxiomSL: SE · Salesforce: MTS · Atlassian: P40 · 3–7 yrs · Freshworks: Senior SE</t>
        </is>
      </c>
      <c r="W209" s="29" t="inlineStr">
        <is>
          <t>SFIA 9 · software development, programming; OWASP secure coding; cloud vendor certifications</t>
        </is>
      </c>
      <c r="X209" s="29" t="inlineStr">
        <is>
          <t>Core 2 · Future 2 · Functional 3 · Leadership not scored</t>
        </is>
      </c>
      <c r="Y209" s="52" t="n">
        <v>218</v>
      </c>
      <c r="Z209" s="53" t="inlineStr">
        <is>
          <t>IRIS2018</t>
        </is>
      </c>
      <c r="AA209" s="53" t="inlineStr">
        <is>
          <t>Employee</t>
        </is>
      </c>
      <c r="AB209" s="53" t="inlineStr">
        <is>
          <t>Active</t>
        </is>
      </c>
      <c r="AC209" s="53" t="inlineStr">
        <is>
          <t>Varsha Patil</t>
        </is>
      </c>
      <c r="AD209" s="54" t="n">
        <v>44706</v>
      </c>
      <c r="AE209" s="53" t="inlineStr">
        <is>
          <t>Software Engineer</t>
        </is>
      </c>
      <c r="AF209" s="53" t="inlineStr">
        <is>
          <t>B.E</t>
        </is>
      </c>
      <c r="AG209" s="53" t="inlineStr">
        <is>
          <t>Jitendra Kumar</t>
        </is>
      </c>
      <c r="AH209" s="53" t="inlineStr">
        <is>
          <t>N-4</t>
        </is>
      </c>
      <c r="AI209" s="53" t="inlineStr">
        <is>
          <t>Individual Contributor</t>
        </is>
      </c>
      <c r="AJ209" s="53" t="inlineStr">
        <is>
          <t>1 years, 0 months, 0 days</t>
        </is>
      </c>
      <c r="AK209" s="53" t="inlineStr">
        <is>
          <t>4 years, 3 months, 0 days</t>
        </is>
      </c>
      <c r="AL209" s="53" t="inlineStr">
        <is>
          <t>Regtech</t>
        </is>
      </c>
      <c r="AM209" s="53" t="inlineStr">
        <is>
          <t>iDEAL</t>
        </is>
      </c>
      <c r="AN209" s="53" t="inlineStr">
        <is>
          <t>Technology</t>
        </is>
      </c>
      <c r="AO209" s="53" t="inlineStr">
        <is>
          <t>Development</t>
        </is>
      </c>
      <c r="AP209" s="53" t="inlineStr">
        <is>
          <t>Yes</t>
        </is>
      </c>
      <c r="AQ209" s="53" t="inlineStr">
        <is>
          <t>Product/Project</t>
        </is>
      </c>
      <c r="AR209" s="53" t="inlineStr">
        <is>
          <t>.NET MVC</t>
        </is>
      </c>
      <c r="AS209" s="53" t="inlineStr">
        <is>
          <t>Technical - Developer</t>
        </is>
      </c>
      <c r="AT209" s="53" t="n">
        <v>20</v>
      </c>
      <c r="AU209" s="53" t="inlineStr">
        <is>
          <t>Covered</t>
        </is>
      </c>
      <c r="AV209" s="53" t="n"/>
      <c r="AW209" s="53" t="n"/>
      <c r="AX209" s="53" t="n"/>
      <c r="AY209" s="53" t="n"/>
      <c r="AZ209" s="53" t="n"/>
      <c r="BA209" s="53" t="n"/>
      <c r="BB209" s="53" t="n"/>
      <c r="BC209" s="53" t="n"/>
      <c r="BD209" s="53" t="n"/>
      <c r="BE209" s="53" t="n"/>
      <c r="BF209" s="53" t="n"/>
      <c r="BG209" s="53" t="n"/>
      <c r="BH209" s="53" t="n"/>
      <c r="BI209" s="53" t="n"/>
      <c r="BJ209" s="53" t="n"/>
      <c r="BK209" s="53" t="n"/>
      <c r="BL209" s="53" t="n"/>
      <c r="BM209" s="53" t="n"/>
      <c r="BN209" s="53" t="n"/>
      <c r="BO209" s="53" t="n"/>
      <c r="BP209" s="53" t="n"/>
      <c r="BQ209" s="53" t="n"/>
      <c r="BR209" s="53" t="n"/>
      <c r="BS209" s="53" t="n"/>
      <c r="BT209" s="53" t="n"/>
      <c r="BU209" s="53" t="n"/>
      <c r="BV209" s="53" t="n"/>
      <c r="BW209" s="53" t="n"/>
      <c r="BX209" s="53" t="n"/>
      <c r="BY209" s="53" t="n"/>
      <c r="BZ209" s="53" t="n"/>
      <c r="CA209" s="53" t="n"/>
      <c r="CB209" s="53" t="n"/>
      <c r="CC209" s="53" t="n"/>
      <c r="CD209" s="53" t="n"/>
      <c r="CE209" s="53" t="n"/>
      <c r="CF209" s="53" t="n"/>
      <c r="CG209" s="53" t="n"/>
      <c r="CH209" s="53" t="n"/>
      <c r="CI209" s="53" t="n"/>
      <c r="CJ209" s="53" t="n"/>
      <c r="CK209" s="53" t="n"/>
      <c r="CL209" s="53" t="n"/>
      <c r="CM209" s="53" t="n"/>
      <c r="CN209" s="53" t="n"/>
      <c r="CO209" s="53" t="n"/>
      <c r="CP209" s="53" t="n"/>
      <c r="CQ209" s="53" t="n"/>
      <c r="CR209" s="53" t="n"/>
      <c r="CS209" s="53" t="n"/>
      <c r="CT209" s="53" t="n"/>
      <c r="CU209" s="53" t="n"/>
      <c r="CV209" s="53" t="n"/>
      <c r="CW209" s="53" t="n"/>
      <c r="CX209" s="53" t="n"/>
      <c r="CY209" s="53" t="n"/>
      <c r="CZ209" s="53" t="n"/>
      <c r="DA209" s="53" t="n"/>
      <c r="DB209" s="53" t="n"/>
      <c r="DC209" s="53" t="n"/>
      <c r="DD209" s="53" t="inlineStr">
        <is>
          <t>IRIS2018</t>
        </is>
      </c>
      <c r="DE209" s="53" t="inlineStr">
        <is>
          <t>Employee</t>
        </is>
      </c>
      <c r="DF209" s="53" t="inlineStr">
        <is>
          <t>Active</t>
        </is>
      </c>
      <c r="DG209" s="53" t="inlineStr">
        <is>
          <t>Varsha Patil</t>
        </is>
      </c>
      <c r="DH209" s="54" t="n">
        <v>44706</v>
      </c>
      <c r="DI209" s="53" t="inlineStr">
        <is>
          <t>Software Engineer</t>
        </is>
      </c>
      <c r="DJ209" s="53" t="inlineStr">
        <is>
          <t>Engineering &amp; Development</t>
        </is>
      </c>
      <c r="DK209" s="53" t="inlineStr">
        <is>
          <t>Backend Engineering ·.NET</t>
        </is>
      </c>
      <c r="DL209" s="53" t="inlineStr">
        <is>
          <t>Software Engineer</t>
        </is>
      </c>
      <c r="DM209" s="53" t="inlineStr">
        <is>
          <t>L3 – Professional / Associate</t>
        </is>
      </c>
      <c r="DN209" s="53" t="inlineStr">
        <is>
          <t>B.E</t>
        </is>
      </c>
      <c r="DO209" s="53" t="inlineStr">
        <is>
          <t>Jitendra Kumar</t>
        </is>
      </c>
      <c r="DP209" s="53" t="inlineStr">
        <is>
          <t>N-4</t>
        </is>
      </c>
      <c r="DQ209" s="53" t="inlineStr">
        <is>
          <t>Individual Contributor</t>
        </is>
      </c>
      <c r="DR209" s="53" t="inlineStr">
        <is>
          <t>1 years, 0 months, 0 days</t>
        </is>
      </c>
      <c r="DS209" s="53" t="inlineStr">
        <is>
          <t>4 years, 0 months, 26 days</t>
        </is>
      </c>
      <c r="DT209" s="53" t="inlineStr">
        <is>
          <t>5 years, 0 months, 26 days</t>
        </is>
      </c>
      <c r="DU209" s="53" t="n"/>
      <c r="DV209" s="53" t="inlineStr">
        <is>
          <t>Regtech</t>
        </is>
      </c>
      <c r="DW209" s="53" t="inlineStr">
        <is>
          <t>iDEAL</t>
        </is>
      </c>
      <c r="DX209" s="53" t="inlineStr">
        <is>
          <t>Technology</t>
        </is>
      </c>
      <c r="DY209" s="53" t="inlineStr">
        <is>
          <t>Development</t>
        </is>
      </c>
      <c r="DZ209" s="53" t="inlineStr">
        <is>
          <t>Yes</t>
        </is>
      </c>
      <c r="EA209" s="53" t="inlineStr">
        <is>
          <t>Product/Project</t>
        </is>
      </c>
      <c r="EB209" s="53" t="inlineStr">
        <is>
          <t>.NET MVC</t>
        </is>
      </c>
      <c r="EC209" s="53" t="inlineStr">
        <is>
          <t>Technical - Developer</t>
        </is>
      </c>
      <c r="ED209" s="53" t="inlineStr">
        <is>
          <t>Remote - Mumbai</t>
        </is>
      </c>
      <c r="EE209" s="53" t="inlineStr">
        <is>
          <t>1	Deliver assigned development tasks, enhancements, and bug fixes within committed timelines while maintaining high coding standards, application quality, and adherence to project commitments.
2	Take end-to-end ownership of the non-XBRL modules in the WebIDEAL application by driving enhancements, production support, defect resolution, and continuous improvements to ensure a stable, reliable, and scalable application.Take end-to-end ownership of
 the non-XBRL modules in the WebIDEAL application by managing enhancements, production support, defect resolution, and continuous improvements to ensure a stable and reliable application.
3	Ensure the stability and continuous improvement of the IDEAL REST API application by providing client support, resolving defects, implementing change requests, and maintaining reliable API services through effective collaboration with cross-functional teams.
4	Strengthen front-end development skills by learning React and applying the knowledge to .NET 6 projects to build modern, reusable, and responsive user interfaces.
5	Leverage AI tools to improve development productivity, code quality, debugging, documentation, and overall efficiency while following organizational best practices and security guidelines.</t>
        </is>
      </c>
      <c r="EF209" s="53" t="inlineStr">
        <is>
          <t>1. AI-Assisted Development Adoption: Use AI coding assistants for at least 60% of development tasks , with no increase in bug-escape rate.
2. Test Coverage: Achieve and maintain 80%+ unit test coverage on all new code contributions.
3. Ownership: Complete iDEAL6.0 Application development with end-to-end ownership and timely execution.
4. Vulnerability Resolution: Resolve assigned security vulnerabilities · from SAST/DAST scans or audit reports within SLA, achieving 90%+ on-time closure rate, with severity-based prioritization.
5.Secure Coding Mentorship: Conduct quarterly secure coding training/workshops for the team · e.g., OWASP Top 10, secure API design, with measurable reduction in recurring vulnerability classes found in audits · target: 25% YoY reduction.</t>
        </is>
      </c>
      <c r="EG209" s="53" t="inlineStr">
        <is>
          <t>1	Complete the remaining development, testing, and deployment of the EBR Rendering and Error Grid modules within the planned timeline.
2	Maintain the stability and reliability of the IDEAL REST API application by resolving client issues, implementing approved change requests, and supporting production deployments.
3	Continue building React expertise by applying learned concepts through reusable components or project enhancements in .NET 6, wherever applicable.
4	Strengthen application security by analysing, resolving, and validating assigned VAPT findings before release.
5	Leverage AI tools to improve development productivity, code quality, debugging, documentation, and testing efficiency while following organizational best practices.</t>
        </is>
      </c>
      <c r="EH209" s="53" t="n">
        <v>3</v>
      </c>
      <c r="EI209" s="53" t="n"/>
      <c r="EJ209" s="53" t="inlineStr">
        <is>
          <t>Same as per records</t>
        </is>
      </c>
      <c r="EK209" s="53" t="inlineStr">
        <is>
          <t>No</t>
        </is>
      </c>
      <c r="EL209" s="53" t="n">
        <v>3</v>
      </c>
      <c r="EM209" s="53" t="inlineStr">
        <is>
          <t>Medium</t>
        </is>
      </c>
      <c r="EN209" s="53" t="inlineStr">
        <is>
          <t>Core Contributor</t>
        </is>
      </c>
      <c r="EO209" s="53" t="inlineStr">
        <is>
          <t>Ready in 12 Months</t>
        </is>
      </c>
      <c r="EP209" s="53" t="inlineStr">
        <is>
          <t>No</t>
        </is>
      </c>
      <c r="EQ209" s="53" t="inlineStr">
        <is>
          <t>No</t>
        </is>
      </c>
      <c r="ER209" s="53" t="n"/>
      <c r="ES209" s="53" t="inlineStr">
        <is>
          <t>XBRL Training, Training on the effective utilization of AI tools.</t>
        </is>
      </c>
      <c r="ET209" s="53" t="n"/>
      <c r="EU209" s="53" t="n"/>
      <c r="EV209" s="53" t="n"/>
      <c r="EW209" s="52" t="n"/>
      <c r="EX209" s="53" t="n"/>
      <c r="EY209" s="53" t="n"/>
      <c r="EZ209" s="53" t="n"/>
      <c r="FA209" s="53" t="n"/>
      <c r="FB209" s="53" t="n"/>
      <c r="FC209" s="53" t="inlineStr">
        <is>
          <t>Annual KRAs · objective Measurable Minimum 5 - set by Manager</t>
        </is>
      </c>
      <c r="FD209" s="53" t="n"/>
      <c r="FE209" s="57" t="inlineStr">
        <is>
          <t>1. AI-Assisted Development Adoption: Use AI coding assistants for at least 60% of development tasks , with no increase in bug-escape rate.
2. Test Coverage: Achieve and maintain 80%+ unit test coverage on all new code contributions.
3. Ownership: Complete iDEAL6.0 Application development with end-to-end ownership and timely execution.
4. Vulnerability Resolution: Resolve assigned security vulnerabilities · from SAST/DAST scans or audit reports within SLA, achieving 90%+ on-time closure rate, with severity-based prioritization.
5.Secure Coding Mentorship: Conduct quarterly secure coding training/workshops for the team · e.g., OWASP Top 10, secure API design, with measurable reduction in recurring vulnerability classes found in audits · target: 25% YoY reduction.</t>
        </is>
      </c>
      <c r="FF209" s="56" t="inlineStr">
        <is>
          <t>1	Complete the remaining development, testing, and deployment of the EBR Rendering and Error Grid modules within the planned timeline.
2	Maintain the stability and reliability of the IDEAL REST API application by resolving client issues, implementing approved change requests, and supporting production deployments.
3	Continue building React expertise by applying learned concepts through reusable components or project enhancements in .NET 6, wherever applicable.
4	Strengthen application security by analysing, resolving, and validating assigned VAPT findings before release.
5	Leverage AI tools to improve development productivity, code quality, debugging, documentation, and testing efficiency while following organizational best practices.</t>
        </is>
      </c>
      <c r="FG209" s="56" t="inlineStr">
        <is>
          <t>1	Deliver assigned development tasks, enhancements, and bug fixes within committed timelines while maintaining high coding standards, application quality, and adherence to project commitments.
2	Take end-to-end ownership of the non-XBRL modules in the WebIDEAL application by driving enhancements, production support, defect resolution, and continuous improvements to ensure a stable, reliable, and scalable application.Take end-to-end ownership of
 the non-XBRL modules in the WebIDEAL application by managing enhancements, production support, defect resolution, and continuous improvements to ensure a stable and reliable application.
3	Ensure the stability and continuous improvement of the IDEAL REST API application by providing client support, resolving defects, implementing change requests, and maintaining reliable API services through effective collaboration with cross-functional teams.
4	Strengthen front-end development skills by learning React and applying the knowledge to .NET 6 projects to build modern, reusable, and responsive user interfaces.
5	Leverage AI tools to improve development productivity, code quality, debugging, documentation, and overall efficiency while following organizational best practices and security guidelines.</t>
        </is>
      </c>
      <c r="FH209" s="56" t="inlineStr">
        <is>
          <t>3</t>
        </is>
      </c>
      <c r="FI209" s="56" t="n"/>
      <c r="FJ209" s="56" t="inlineStr">
        <is>
          <t>Received · manager annual, quarterly, self</t>
        </is>
      </c>
      <c r="FK209" s="56" t="inlineStr">
        <is>
          <t>Talent Mapping · iDEAL</t>
        </is>
      </c>
      <c r="FL209" s="56" t="n">
        <v>20</v>
      </c>
      <c r="FM209" s="32" t="inlineStr">
        <is>
          <t>Full survey answers not in the files received · How We Grow export needed · HR</t>
        </is>
      </c>
      <c r="FN209" s="56" t="inlineStr">
        <is>
          <t>—</t>
        </is>
      </c>
      <c r="FO209" s="56" t="inlineStr">
        <is>
          <t>—</t>
        </is>
      </c>
      <c r="FP209" s="56" t="inlineStr">
        <is>
          <t>—</t>
        </is>
      </c>
      <c r="FQ209" s="56" t="inlineStr">
        <is>
          <t>—</t>
        </is>
      </c>
      <c r="FR209" s="56" t="inlineStr">
        <is>
          <t>Complexity: Evidence reads like A2: Develops features, supports production issues, fixes bugs; no specifics in own answers → matches the start
Autonomy: Evidence reads like A2: Only 'improve existing code' given as independent decision → matches the start
Accountability: Evidence reads like A3: Production support; KRA gives ownership of non-XBRL WebIDEAL modules and REST API support → moved up 0.5
Leadership: Evidence reads like A1: No guidance of others described → matches the start
Business Impact: No survey or manager-mapping signal on criticality: kept at the start point.</t>
        </is>
      </c>
      <c r="FS209"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209" s="56" t="inlineStr">
        <is>
          <t>Self-identified: Broader exposure &amp; ownership
For the next role: Broader exposure &amp; ownership</t>
        </is>
      </c>
      <c r="FU209" s="32" t="inlineStr">
        <is>
          <t>Full survey answers not in the files received · How We Grow export needed · HR</t>
        </is>
      </c>
    </row>
    <row r="210" ht="90" customHeight="1">
      <c r="A210" s="51" t="inlineStr">
        <is>
          <t>◂ Back</t>
        </is>
      </c>
      <c r="B210" s="29" t="inlineStr">
        <is>
          <t>Mapped</t>
        </is>
      </c>
      <c r="C210" s="28" t="inlineStr">
        <is>
          <t>iDEAL</t>
        </is>
      </c>
      <c r="D210" s="29" t="inlineStr">
        <is>
          <t>IRIS2104</t>
        </is>
      </c>
      <c r="E210" s="29" t="inlineStr">
        <is>
          <t>Ravi Ranjan</t>
        </is>
      </c>
      <c r="F210" s="29" t="inlineStr">
        <is>
          <t>Technology</t>
        </is>
      </c>
      <c r="G210" s="29" t="inlineStr">
        <is>
          <t>Lead Software Engineer</t>
        </is>
      </c>
      <c r="H210" s="29" t="inlineStr">
        <is>
          <t>Lead Software Engineer</t>
        </is>
      </c>
      <c r="I210" s="29" t="inlineStr">
        <is>
          <t>L5 – Lead · IC</t>
        </is>
      </c>
      <c r="J210" s="29" t="inlineStr">
        <is>
          <t>B3</t>
        </is>
      </c>
      <c r="K210" s="29" t="inlineStr">
        <is>
          <t>• Same level</t>
        </is>
      </c>
      <c r="L210" s="29" t="inlineStr">
        <is>
          <t>Engineering &amp; Development</t>
        </is>
      </c>
      <c r="M210" s="29" t="inlineStr">
        <is>
          <t>Backend Development</t>
        </is>
      </c>
      <c r="N210" s="29" t="n"/>
      <c r="O210" s="29" t="n">
        <v>20</v>
      </c>
      <c r="P210" s="28" t="inlineStr">
        <is>
          <t>P5 / M4</t>
        </is>
      </c>
      <c r="Q210" s="29" t="inlineStr">
        <is>
          <t>Expert / Senior Manager</t>
        </is>
      </c>
      <c r="R210" s="29" t="inlineStr">
        <is>
          <t>5 Ensure, advise</t>
        </is>
      </c>
      <c r="S210" s="29" t="inlineStr">
        <is>
          <t>8–12 yrs</t>
        </is>
      </c>
      <c r="T210" s="29" t="inlineStr">
        <is>
          <t>9–13 · 9–14</t>
        </is>
      </c>
      <c r="U210" s="29" t="inlineStr">
        <is>
          <t>Principal Engineer</t>
        </is>
      </c>
      <c r="V210" s="29" t="inlineStr">
        <is>
          <t>Workiva: Staff SE · Broadridge India: Senior Lead SE · Nasdaq / AxiomSL: Lead SE · Salesforce: LMTS · Atlassian: P50 Senior · Freshworks: Staff SE</t>
        </is>
      </c>
      <c r="W210" s="29" t="inlineStr">
        <is>
          <t>SFIA 9 · software development, programming; OWASP secure coding; cloud vendor certifications</t>
        </is>
      </c>
      <c r="X210" s="29" t="inlineStr">
        <is>
          <t>Core 4 · Future 3 · Functional 4 · Leadership 3</t>
        </is>
      </c>
      <c r="Y210" s="52" t="n">
        <v>264</v>
      </c>
      <c r="Z210" s="53" t="inlineStr">
        <is>
          <t>IRIS2104</t>
        </is>
      </c>
      <c r="AA210" s="53" t="inlineStr">
        <is>
          <t>Employee</t>
        </is>
      </c>
      <c r="AB210" s="53" t="inlineStr">
        <is>
          <t>Active</t>
        </is>
      </c>
      <c r="AC210" s="53" t="inlineStr">
        <is>
          <t>Ravi Ranjan</t>
        </is>
      </c>
      <c r="AD210" s="54" t="n">
        <v>44986</v>
      </c>
      <c r="AE210" s="53" t="inlineStr">
        <is>
          <t>Lead Software Engineer</t>
        </is>
      </c>
      <c r="AF210" s="53" t="inlineStr">
        <is>
          <t>MCA</t>
        </is>
      </c>
      <c r="AG210" s="53" t="inlineStr">
        <is>
          <t>Hemant Karale</t>
        </is>
      </c>
      <c r="AH210" s="53" t="inlineStr">
        <is>
          <t>N-3</t>
        </is>
      </c>
      <c r="AI210" s="53" t="inlineStr">
        <is>
          <t>Individual Contributor</t>
        </is>
      </c>
      <c r="AJ210" s="53" t="inlineStr">
        <is>
          <t>22 years, 0 months, 0 days</t>
        </is>
      </c>
      <c r="AK210" s="53" t="inlineStr">
        <is>
          <t>3 years, 5 months, 24 days</t>
        </is>
      </c>
      <c r="AL210" s="53" t="inlineStr">
        <is>
          <t>Regtech</t>
        </is>
      </c>
      <c r="AM210" s="53" t="inlineStr">
        <is>
          <t>iDEAL</t>
        </is>
      </c>
      <c r="AN210" s="53" t="inlineStr">
        <is>
          <t>Technology</t>
        </is>
      </c>
      <c r="AO210" s="53" t="inlineStr">
        <is>
          <t>Development</t>
        </is>
      </c>
      <c r="AP210" s="53" t="inlineStr">
        <is>
          <t>Yes</t>
        </is>
      </c>
      <c r="AQ210" s="53" t="inlineStr">
        <is>
          <t>Product/Project</t>
        </is>
      </c>
      <c r="AR210" s="53" t="inlineStr">
        <is>
          <t>.NET MVC</t>
        </is>
      </c>
      <c r="AS210" s="53" t="inlineStr">
        <is>
          <t>Technical - Developer</t>
        </is>
      </c>
      <c r="AT210" s="53" t="n">
        <v>20</v>
      </c>
      <c r="AU210" s="53" t="inlineStr">
        <is>
          <t>Covered</t>
        </is>
      </c>
      <c r="AV210" s="53" t="n"/>
      <c r="AW210" s="53" t="n"/>
      <c r="AX210" s="53" t="n"/>
      <c r="AY210" s="53" t="n"/>
      <c r="AZ210" s="53" t="n"/>
      <c r="BA210" s="53" t="n"/>
      <c r="BB210" s="53" t="n"/>
      <c r="BC210" s="53" t="n"/>
      <c r="BD210" s="53" t="n"/>
      <c r="BE210" s="53" t="n"/>
      <c r="BF210" s="53" t="n"/>
      <c r="BG210" s="53" t="n"/>
      <c r="BH210" s="53" t="n"/>
      <c r="BI210" s="53" t="n"/>
      <c r="BJ210" s="53" t="n"/>
      <c r="BK210" s="53" t="n"/>
      <c r="BL210" s="53" t="n"/>
      <c r="BM210" s="53" t="n"/>
      <c r="BN210" s="53" t="n"/>
      <c r="BO210" s="53" t="n"/>
      <c r="BP210" s="53" t="n"/>
      <c r="BQ210" s="53" t="n"/>
      <c r="BR210" s="53" t="n"/>
      <c r="BS210" s="53" t="n"/>
      <c r="BT210" s="53" t="n"/>
      <c r="BU210" s="53" t="n"/>
      <c r="BV210" s="53" t="n"/>
      <c r="BW210" s="53" t="n"/>
      <c r="BX210" s="53" t="n"/>
      <c r="BY210" s="53" t="n"/>
      <c r="BZ210" s="53" t="n"/>
      <c r="CA210" s="53" t="n"/>
      <c r="CB210" s="53" t="n"/>
      <c r="CC210" s="53" t="n"/>
      <c r="CD210" s="53" t="n"/>
      <c r="CE210" s="53" t="n"/>
      <c r="CF210" s="53" t="n"/>
      <c r="CG210" s="53" t="n"/>
      <c r="CH210" s="53" t="n"/>
      <c r="CI210" s="53" t="n"/>
      <c r="CJ210" s="53" t="n"/>
      <c r="CK210" s="53" t="n"/>
      <c r="CL210" s="53" t="n"/>
      <c r="CM210" s="53" t="n"/>
      <c r="CN210" s="53" t="n"/>
      <c r="CO210" s="53" t="n"/>
      <c r="CP210" s="53" t="n"/>
      <c r="CQ210" s="53" t="n"/>
      <c r="CR210" s="53" t="n"/>
      <c r="CS210" s="53" t="n"/>
      <c r="CT210" s="53" t="n"/>
      <c r="CU210" s="53" t="n"/>
      <c r="CV210" s="53" t="n"/>
      <c r="CW210" s="53" t="n"/>
      <c r="CX210" s="53" t="n"/>
      <c r="CY210" s="53" t="n"/>
      <c r="CZ210" s="53" t="n"/>
      <c r="DA210" s="53" t="n"/>
      <c r="DB210" s="53" t="n"/>
      <c r="DC210" s="53" t="n"/>
      <c r="DD210" s="53" t="inlineStr">
        <is>
          <t>IRIS2104</t>
        </is>
      </c>
      <c r="DE210" s="53" t="inlineStr">
        <is>
          <t>Employee</t>
        </is>
      </c>
      <c r="DF210" s="53" t="inlineStr">
        <is>
          <t>Active</t>
        </is>
      </c>
      <c r="DG210" s="53" t="inlineStr">
        <is>
          <t>Ravi Ranjan</t>
        </is>
      </c>
      <c r="DH210" s="54" t="n">
        <v>44986</v>
      </c>
      <c r="DI210" s="53" t="inlineStr">
        <is>
          <t>Lead Software Engineer</t>
        </is>
      </c>
      <c r="DJ210" s="53" t="inlineStr">
        <is>
          <t>Engineering &amp; Development</t>
        </is>
      </c>
      <c r="DK210" s="53" t="inlineStr">
        <is>
          <t>Backend Engineering ·.NET</t>
        </is>
      </c>
      <c r="DL210" s="53" t="inlineStr">
        <is>
          <t>Lead Software Engineer</t>
        </is>
      </c>
      <c r="DM210" s="53" t="inlineStr">
        <is>
          <t>L5 – Lead · IC</t>
        </is>
      </c>
      <c r="DN210" s="53" t="inlineStr">
        <is>
          <t>MCA</t>
        </is>
      </c>
      <c r="DO210" s="53" t="inlineStr">
        <is>
          <t>Hemant Karale</t>
        </is>
      </c>
      <c r="DP210" s="53" t="inlineStr">
        <is>
          <t>N-3</t>
        </is>
      </c>
      <c r="DQ210" s="53" t="inlineStr">
        <is>
          <t>Individual Contributor</t>
        </is>
      </c>
      <c r="DR210" s="53" t="inlineStr">
        <is>
          <t>22 years, 0 months, 0 days</t>
        </is>
      </c>
      <c r="DS210" s="53" t="inlineStr">
        <is>
          <t>3 years, 3 months, 19 days</t>
        </is>
      </c>
      <c r="DT210" s="53" t="inlineStr">
        <is>
          <t>25 years, 3 months, 19 days</t>
        </is>
      </c>
      <c r="DU210" s="53" t="n"/>
      <c r="DV210" s="53" t="inlineStr">
        <is>
          <t>Regtech</t>
        </is>
      </c>
      <c r="DW210" s="53" t="inlineStr">
        <is>
          <t>iDEAL</t>
        </is>
      </c>
      <c r="DX210" s="53" t="inlineStr">
        <is>
          <t>Technology</t>
        </is>
      </c>
      <c r="DY210" s="53" t="inlineStr">
        <is>
          <t>Development</t>
        </is>
      </c>
      <c r="DZ210" s="53" t="inlineStr">
        <is>
          <t>Yes</t>
        </is>
      </c>
      <c r="EA210" s="53" t="inlineStr">
        <is>
          <t>Product/Project</t>
        </is>
      </c>
      <c r="EB210" s="53" t="inlineStr">
        <is>
          <t>.NET MVC</t>
        </is>
      </c>
      <c r="EC210" s="53" t="inlineStr">
        <is>
          <t>Technical - Developer</t>
        </is>
      </c>
      <c r="ED210" s="53" t="inlineStr">
        <is>
          <t>Remote- Outside Mumbai</t>
        </is>
      </c>
      <c r="EE210" s="53" t="inlineStr">
        <is>
          <t>1. iDEAL 6.0 Architecture Design
2. iDEAL Feature Enhancements 
3. iDEAL Performance Optimisation
4. iDEAL Security Hardening
5. AI Adoption &amp; Team Enablement</t>
        </is>
      </c>
      <c r="EF210" s="53" t="inlineStr">
        <is>
          <t>1. Identify and develop AI-driven functionalities. At least 2 · fully developed New AI Features to be released with the year. Encourage the AI adoption in the team to improve Software development business efficiency and operational effectiveness.
2. Successfully launch iDEAL 6.0 with enhanced functionality and improved features within a set timelines.
3. Design and develop an end-to-end iDEAL solution addressing ETL and reporting requirements by end to the financial year.
4. Drive measurable adoption: Drive AI-First approach across Development and Project Management practices. Improve the development efficiency &gt;= 30% during the year
5. Keep customer-reported defects on new features &lt;=5% · &lt;=1 defect per functionality during the year
6. Develop and mentor technical leaders within the engineering team.</t>
        </is>
      </c>
      <c r="EG210" s="53" t="inlineStr">
        <is>
          <t>1. AI Feature Planning and Road Map to be completed 
2. AI adoption and training to the team should be initiated 
3. iDEAL Readiness for EU, Qatar and Jordan Markets</t>
        </is>
      </c>
      <c r="EH210" s="53" t="n">
        <v>4</v>
      </c>
      <c r="EI210" s="53" t="n"/>
      <c r="EJ210" s="53" t="inlineStr">
        <is>
          <t>Same as per records</t>
        </is>
      </c>
      <c r="EK210" s="53" t="n"/>
      <c r="EL210" s="53" t="n"/>
      <c r="EM210" s="53" t="n"/>
      <c r="EN210" s="53" t="n"/>
      <c r="EO210" s="53" t="n"/>
      <c r="EP210" s="53" t="n"/>
      <c r="EQ210" s="53" t="inlineStr">
        <is>
          <t>Yes</t>
        </is>
      </c>
      <c r="ER210" s="53" t="n"/>
      <c r="ES210" s="53" t="inlineStr">
        <is>
          <t>XBRL Training, Training on the effective utilization of AI tools.</t>
        </is>
      </c>
      <c r="ET210" s="53" t="n"/>
      <c r="EU210" s="53" t="n"/>
      <c r="EV210" s="53" t="n"/>
      <c r="EW210" s="52" t="n"/>
      <c r="EX210" s="53" t="n"/>
      <c r="EY210" s="53" t="n"/>
      <c r="EZ210" s="53" t="n"/>
      <c r="FA210" s="53" t="n"/>
      <c r="FB210" s="53" t="n"/>
      <c r="FC210" s="53" t="n"/>
      <c r="FD210" s="53" t="n"/>
      <c r="FE210" s="57" t="inlineStr">
        <is>
          <t>1. Identify and develop AI-driven functionalities. At least 2 · fully developed New AI Features to be released with the year. Encourage the AI adoption in the team to improve Software development business efficiency and operational effectiveness.
2. Successfully launch iDEAL 6.0 with enhanced functionality and improved features within a set timelines.
3. Design and develop an end-to-end iDEAL solution addressing ETL and reporting requirements by end to the financial year.
4. Drive measurable adoption: Drive AI-First approach across Development and Project Management practices. Improve the development efficiency &gt;= 30% during the year
5. Keep customer-reported defects on new features &lt;=5% · &lt;=1 defect per functionality during the year
6. Develop and mentor technical leaders within the engineering team.</t>
        </is>
      </c>
      <c r="FF210" s="56" t="inlineStr">
        <is>
          <t>1. AI Feature Planning and Road Map to be completed 
2. AI adoption and training to the team should be initiated 
3. iDEAL Readiness for EU, Qatar and Jordan Markets</t>
        </is>
      </c>
      <c r="FG210" s="56" t="inlineStr">
        <is>
          <t>1. iDEAL 6.0 Architecture Design
2. iDEAL Feature Enhancements 
3. iDEAL Performance Optimisation
4. iDEAL Security Hardening
5. AI Adoption &amp; Team Enablement</t>
        </is>
      </c>
      <c r="FH210" s="56" t="inlineStr">
        <is>
          <t>4</t>
        </is>
      </c>
      <c r="FI210" s="56" t="n"/>
      <c r="FJ210" s="56" t="inlineStr">
        <is>
          <t>Received · manager annual, quarterly, self</t>
        </is>
      </c>
      <c r="FK210" s="56" t="inlineStr">
        <is>
          <t>Talent Mapping · iDEAL</t>
        </is>
      </c>
      <c r="FL210" s="56" t="n">
        <v>20</v>
      </c>
      <c r="FM210" s="32" t="inlineStr">
        <is>
          <t>Full survey answers not in the files received · How We Grow export needed · HR</t>
        </is>
      </c>
      <c r="FN210" s="56" t="inlineStr">
        <is>
          <t>—</t>
        </is>
      </c>
      <c r="FO210" s="56" t="inlineStr">
        <is>
          <t>—</t>
        </is>
      </c>
      <c r="FP210" s="56" t="inlineStr">
        <is>
          <t>—</t>
        </is>
      </c>
      <c r="FQ210" s="56" t="inlineStr">
        <is>
          <t>—</t>
        </is>
      </c>
      <c r="FR210" s="56" t="inlineStr">
        <is>
          <t>Complexity: Evidence reads like B1: SAML implementation,.NET Framework to.NET Core upgrade, load-balancer work, security testing with Burp Suite → moved down 1
Autonomy: Evidence reads like B1: Decides SAML feature enhancement and the framework upgrade for the product → moved down 1
Accountability: Evidence reads like A3: Accountable for SAML implementation and the.NET Core upgrade → moved down 1
Leadership: Evidence reads like A3: Dev team brings issues to him for discussion as a regular part of the role → moved down 1
Business Impact: Moved +0.5: the survey / manager mapping marks it business-critical.</t>
        </is>
      </c>
      <c r="FS210" s="56" t="inlineStr">
        <is>
          <t>Common themes in role-holders' answers: product
Measured on · manager-set KRA themes: technical · defect · quality · agreed · deliver · reviews.</t>
        </is>
      </c>
      <c r="FT210" s="56" t="inlineStr">
        <is>
          <t>Self-identified: AI / automation
For the next role: AI / automation</t>
        </is>
      </c>
      <c r="FU210" s="32" t="inlineStr">
        <is>
          <t>Full survey answers not in the files received · How We Grow export needed · HR</t>
        </is>
      </c>
    </row>
    <row r="211" ht="90" customHeight="1">
      <c r="A211" s="51" t="inlineStr">
        <is>
          <t>◂ Back</t>
        </is>
      </c>
      <c r="B211" s="29" t="inlineStr">
        <is>
          <t>Mapped</t>
        </is>
      </c>
      <c r="C211" s="28" t="inlineStr">
        <is>
          <t>iDEAL</t>
        </is>
      </c>
      <c r="D211" s="29" t="inlineStr">
        <is>
          <t>IRIS0971</t>
        </is>
      </c>
      <c r="E211" s="29" t="inlineStr">
        <is>
          <t>Dnyaneshwar Daund</t>
        </is>
      </c>
      <c r="F211" s="29" t="inlineStr">
        <is>
          <t>Product Management</t>
        </is>
      </c>
      <c r="G211" s="29" t="inlineStr">
        <is>
          <t>Product Manager</t>
        </is>
      </c>
      <c r="H211" s="29" t="inlineStr">
        <is>
          <t>Product Manager</t>
        </is>
      </c>
      <c r="I211" s="29" t="inlineStr">
        <is>
          <t>L5 – Manager</t>
        </is>
      </c>
      <c r="J211" s="29" t="inlineStr">
        <is>
          <t>B2</t>
        </is>
      </c>
      <c r="K211" s="29" t="inlineStr">
        <is>
          <t>• Same level</t>
        </is>
      </c>
      <c r="L211" s="29" t="inlineStr">
        <is>
          <t>Product Management</t>
        </is>
      </c>
      <c r="M211" s="29" t="inlineStr">
        <is>
          <t>Product Management</t>
        </is>
      </c>
      <c r="N211" s="29" t="n"/>
      <c r="O211" s="29" t="n">
        <v>20</v>
      </c>
      <c r="P211" s="28" t="inlineStr">
        <is>
          <t>P4 / M3</t>
        </is>
      </c>
      <c r="Q211" s="29" t="inlineStr">
        <is>
          <t>Senior / Manager</t>
        </is>
      </c>
      <c r="R211" s="29" t="inlineStr">
        <is>
          <t>4–5</t>
        </is>
      </c>
      <c r="S211" s="29" t="inlineStr">
        <is>
          <t>6–9 yrs</t>
        </is>
      </c>
      <c r="T211" s="29" t="inlineStr">
        <is>
          <t>7–10 · 6–11</t>
        </is>
      </c>
      <c r="U211" s="29" t="inlineStr">
        <is>
          <t>Manager</t>
        </is>
      </c>
      <c r="V211" s="29" t="inlineStr">
        <is>
          <t>IRIS Vs Competitor Benchmark — SaaS product ladder: Senior PM</t>
        </is>
      </c>
      <c r="W211" s="29" t="inlineStr">
        <is>
          <t>Pragmatic Institute Framework · 37 activities, 7 categories; AIPMM</t>
        </is>
      </c>
      <c r="X211" s="29" t="inlineStr">
        <is>
          <t>Core 3 · Future 3 · Functional 4 · Leadership 3</t>
        </is>
      </c>
      <c r="Y211" s="52" t="n">
        <v>101</v>
      </c>
      <c r="Z211" s="53" t="inlineStr">
        <is>
          <t>IRIS0971</t>
        </is>
      </c>
      <c r="AA211" s="53" t="inlineStr">
        <is>
          <t>Employee</t>
        </is>
      </c>
      <c r="AB211" s="53" t="inlineStr">
        <is>
          <t>Active</t>
        </is>
      </c>
      <c r="AC211" s="53" t="inlineStr">
        <is>
          <t>Dnyaneshwar Daund</t>
        </is>
      </c>
      <c r="AD211" s="54" t="n">
        <v>40826</v>
      </c>
      <c r="AE211" s="53" t="inlineStr">
        <is>
          <t>Product Manager</t>
        </is>
      </c>
      <c r="AF211" s="53" t="inlineStr">
        <is>
          <t>MMS</t>
        </is>
      </c>
      <c r="AG211" s="53" t="inlineStr">
        <is>
          <t>Hemant Karale</t>
        </is>
      </c>
      <c r="AH211" s="53" t="inlineStr">
        <is>
          <t>N-3</t>
        </is>
      </c>
      <c r="AI211" s="53" t="inlineStr">
        <is>
          <t>Manager</t>
        </is>
      </c>
      <c r="AJ211" s="53" t="inlineStr">
        <is>
          <t>1 years, 2 months, 0 days</t>
        </is>
      </c>
      <c r="AK211" s="53" t="inlineStr">
        <is>
          <t>14 years, 10 months, 15 days</t>
        </is>
      </c>
      <c r="AL211" s="53" t="inlineStr">
        <is>
          <t>Regtech</t>
        </is>
      </c>
      <c r="AM211" s="53" t="inlineStr">
        <is>
          <t>iDEAL</t>
        </is>
      </c>
      <c r="AN211" s="53" t="inlineStr">
        <is>
          <t>Product Management</t>
        </is>
      </c>
      <c r="AO211" s="53" t="inlineStr">
        <is>
          <t>Client Engagement</t>
        </is>
      </c>
      <c r="AP211" s="53" t="inlineStr">
        <is>
          <t>No</t>
        </is>
      </c>
      <c r="AQ211" s="53" t="inlineStr">
        <is>
          <t>Client Engagement</t>
        </is>
      </c>
      <c r="AR211" s="53" t="inlineStr">
        <is>
          <t>Product Management</t>
        </is>
      </c>
      <c r="AS211" s="53" t="inlineStr">
        <is>
          <t>Technical · BA, PM and QA</t>
        </is>
      </c>
      <c r="AT211" s="53" t="n">
        <v>20</v>
      </c>
      <c r="AU211" s="53" t="inlineStr">
        <is>
          <t>Covered</t>
        </is>
      </c>
      <c r="AV211" s="53" t="n"/>
      <c r="AW211" s="53" t="n"/>
      <c r="AX211" s="53" t="n"/>
      <c r="AY211" s="53" t="n"/>
      <c r="AZ211" s="53" t="n"/>
      <c r="BA211" s="53" t="n"/>
      <c r="BB211" s="53" t="n"/>
      <c r="BC211" s="53" t="n"/>
      <c r="BD211" s="53" t="n"/>
      <c r="BE211" s="53" t="n"/>
      <c r="BF211" s="53" t="n"/>
      <c r="BG211" s="53" t="n"/>
      <c r="BH211" s="53" t="n"/>
      <c r="BI211" s="53" t="n"/>
      <c r="BJ211" s="53" t="n"/>
      <c r="BK211" s="53" t="n"/>
      <c r="BL211" s="53" t="n"/>
      <c r="BM211" s="53" t="n"/>
      <c r="BN211" s="53" t="n"/>
      <c r="BO211" s="53" t="n"/>
      <c r="BP211" s="53" t="n"/>
      <c r="BQ211" s="53" t="n"/>
      <c r="BR211" s="53" t="n"/>
      <c r="BS211" s="53" t="n"/>
      <c r="BT211" s="53" t="n"/>
      <c r="BU211" s="53" t="n"/>
      <c r="BV211" s="53" t="n"/>
      <c r="BW211" s="53" t="n"/>
      <c r="BX211" s="53" t="n"/>
      <c r="BY211" s="53" t="n"/>
      <c r="BZ211" s="53" t="n"/>
      <c r="CA211" s="53" t="n"/>
      <c r="CB211" s="53" t="n"/>
      <c r="CC211" s="53" t="n"/>
      <c r="CD211" s="53" t="n"/>
      <c r="CE211" s="53" t="n"/>
      <c r="CF211" s="53" t="n"/>
      <c r="CG211" s="53" t="n"/>
      <c r="CH211" s="53" t="n"/>
      <c r="CI211" s="53" t="n"/>
      <c r="CJ211" s="53" t="n"/>
      <c r="CK211" s="53" t="n"/>
      <c r="CL211" s="53" t="n"/>
      <c r="CM211" s="53" t="n"/>
      <c r="CN211" s="53" t="n"/>
      <c r="CO211" s="53" t="n"/>
      <c r="CP211" s="53" t="n"/>
      <c r="CQ211" s="53" t="n"/>
      <c r="CR211" s="53" t="n"/>
      <c r="CS211" s="53" t="n"/>
      <c r="CT211" s="53" t="n"/>
      <c r="CU211" s="53" t="n"/>
      <c r="CV211" s="53" t="n"/>
      <c r="CW211" s="53" t="n"/>
      <c r="CX211" s="53" t="n"/>
      <c r="CY211" s="53" t="n"/>
      <c r="CZ211" s="53" t="n"/>
      <c r="DA211" s="53" t="n"/>
      <c r="DB211" s="53" t="n"/>
      <c r="DC211" s="53" t="n"/>
      <c r="DD211" s="53" t="inlineStr">
        <is>
          <t>IRIS0971</t>
        </is>
      </c>
      <c r="DE211" s="53" t="inlineStr">
        <is>
          <t>Employee</t>
        </is>
      </c>
      <c r="DF211" s="53" t="inlineStr">
        <is>
          <t>Active</t>
        </is>
      </c>
      <c r="DG211" s="53" t="inlineStr">
        <is>
          <t>Dnyaneshwar Daund</t>
        </is>
      </c>
      <c r="DH211" s="54" t="n">
        <v>40826</v>
      </c>
      <c r="DI211" s="53" t="inlineStr">
        <is>
          <t>Product Manager</t>
        </is>
      </c>
      <c r="DJ211" s="53" t="inlineStr">
        <is>
          <t>Product Management</t>
        </is>
      </c>
      <c r="DK211" s="53" t="inlineStr">
        <is>
          <t>Product Management</t>
        </is>
      </c>
      <c r="DL211" s="53" t="inlineStr">
        <is>
          <t>Product Manager</t>
        </is>
      </c>
      <c r="DM211" s="53" t="inlineStr">
        <is>
          <t>L5 – Manager</t>
        </is>
      </c>
      <c r="DN211" s="53" t="inlineStr">
        <is>
          <t>MMS</t>
        </is>
      </c>
      <c r="DO211" s="53" t="inlineStr">
        <is>
          <t>Hemant Karale</t>
        </is>
      </c>
      <c r="DP211" s="53" t="inlineStr">
        <is>
          <t>N-3</t>
        </is>
      </c>
      <c r="DQ211" s="53" t="inlineStr">
        <is>
          <t>Manager</t>
        </is>
      </c>
      <c r="DR211" s="53" t="inlineStr">
        <is>
          <t>1 years, 2 months, 0 days</t>
        </is>
      </c>
      <c r="DS211" s="53" t="inlineStr">
        <is>
          <t>14 years, 8 months, 10 days</t>
        </is>
      </c>
      <c r="DT211" s="53" t="inlineStr">
        <is>
          <t>15 years, 10 months, 10 days</t>
        </is>
      </c>
      <c r="DU211" s="53" t="n">
        <v>14.6940639269406</v>
      </c>
      <c r="DV211" s="53" t="inlineStr">
        <is>
          <t>Regtech</t>
        </is>
      </c>
      <c r="DW211" s="53" t="inlineStr">
        <is>
          <t>iDEAL</t>
        </is>
      </c>
      <c r="DX211" s="53" t="inlineStr">
        <is>
          <t>Product Management</t>
        </is>
      </c>
      <c r="DY211" s="53" t="inlineStr">
        <is>
          <t>Client Engagement</t>
        </is>
      </c>
      <c r="DZ211" s="53" t="inlineStr">
        <is>
          <t>No</t>
        </is>
      </c>
      <c r="EA211" s="53" t="inlineStr">
        <is>
          <t>Client Engagement</t>
        </is>
      </c>
      <c r="EB211" s="53" t="inlineStr">
        <is>
          <t>Product Management</t>
        </is>
      </c>
      <c r="EC211" s="53" t="inlineStr">
        <is>
          <t>Technical · BA, PM and QA</t>
        </is>
      </c>
      <c r="ED211" s="53" t="inlineStr">
        <is>
          <t>Hybrid</t>
        </is>
      </c>
      <c r="EE211" s="53" t="inlineStr">
        <is>
          <t>1. Ensure timely and quality delivery of client requirements, support, and development/customization requests: Lead and manage Business Analyst activities to ensure client support requests, new requirements, customizations, and development deliverables are completed within agreed timelines while minimizing escalations and maintaining high levels of client satisfaction.
2. Build a balanced, collaborative, and high-performing team environment: Ensure effective and balanced work and client allocation across the Business Analyst team and foster a supportive and collaborative work culture to improve team coordination, reduce delivery bottlenecks, and maintain consistent delivery quality throughout the year.
3. Enable market readiness, regional growth opportunities, and successful client onboarding and delivery across assigned portfolios: Ensure timely development, implementation, and delivery across the assigned client portfolio.
 - Qatar: Ensure regulatory taxonomies are analysed and configured, and the product and reports are ready for demonstration and delivery to prospective clients for QCB and QFCRA reporting requirements.
 - Jordan: Ensure regulatory taxonomies are analysed and configured, and the product and reports are ready for demonstration and delivery for prospective clients in alignment with CBJ &amp; JSE · JCM requirements, including Arabic language readiness.
 - Mauritius: Ensure all BOM reports are tested against the latest BOM taxonomies and validated in both MS SQL and PostgreSQL environments for Warwyck and Absa Bank. Ensure smooth onboarding, implementation readiness, and successful delivery for new clients. 
Lead and support client demonstrations, requirement discovery sessions, and solution walkthroughs for prospective and existing clients across regions.
4. Ensure successful execution and delivery of SARB Phase 4 backlog activities: Oversee and ensure all SARB Phase 4 backlog activities are effectively tracked, documented, developed, tested, approved, and delivered with quality and within agreed timelines. Actively participate in project management activities, lead key stakeholder and governance meetings related to iDEAL, and ensure effective coordination, decision-making, and execution across project workstreams.
5. Contribute to iDEAL product enhancement and continuous improvement initiatives: Support continuous improvement of the iDEAL 6.0 platform by collaborating with development teams on requirement, enhancement prioritization, testing, validation, and successful implementation of product improvements for foreign market.
6. Support ETL automation initiatives and solution delivery enablement: Contribute to ETL and data automation initiatives by providing inputs, supporting requirement understanding, participating in discussions, and enabling successful implementation to improve reporting automation and delivery efficiency.</t>
        </is>
      </c>
      <c r="EF211" s="53" t="inlineStr">
        <is>
          <t>1. Manage CIMS Report development and delivery with less than 4 defects/ Escalations in a year 
2. Manage EBR Report development and delivery with less than 4 defects/ Escalations in a year 
3. Support to BD Activities: Support Sales team in BD Activities for Middle East, Mauritius &amp; Africa Markets
4. Support Agreement management, Contract Renewals, Timely billing, and Revenue realization for all the existing iDEAL clients, to support organizational growth, profitability, and cash flow objectives.
5. Manage Kick-off, Requirement Gathering Documentation &amp; sign-offs, Report Development and Delivery as per the timeline set by the client, Coordination with Light Frame Team for Warwyck Bank delivery. Overall project should be &gt;=95% on track all the time. 
6. Learning &amp; Development: Participation in Team Learning Sessions - · Internal Trainings For Functional and Tech learning · ETL Processes, AI Features, Study Africa market requirements</t>
        </is>
      </c>
      <c r="EG211" s="53" t="inlineStr">
        <is>
          <t>1. Manage 15 EBR report development, delivery 
2. Manage complete applicable CIMS report development, delivery
3. Manage project kick-offs for important clients · Warwyck, SARB</t>
        </is>
      </c>
      <c r="EH211" s="53" t="n">
        <v>5</v>
      </c>
      <c r="EI211" s="53" t="n"/>
      <c r="EJ211" s="53" t="inlineStr">
        <is>
          <t>Same as current designation</t>
        </is>
      </c>
      <c r="EK211" s="53" t="inlineStr">
        <is>
          <t>No</t>
        </is>
      </c>
      <c r="EL211" s="53" t="n"/>
      <c r="EM211" s="53" t="n"/>
      <c r="EN211" s="53" t="n"/>
      <c r="EO211" s="53" t="n"/>
      <c r="EP211" s="53" t="n"/>
      <c r="EQ211" s="53" t="n"/>
      <c r="ER211" s="53" t="n"/>
      <c r="ES211" s="53" t="inlineStr">
        <is>
          <t>Training on the effective utilization of AI tools.</t>
        </is>
      </c>
      <c r="ET211" s="53" t="n"/>
      <c r="EU211" s="53" t="n"/>
      <c r="EV211" s="53" t="n"/>
      <c r="EW211" s="52" t="n"/>
      <c r="EX211" s="53" t="n"/>
      <c r="EY211" s="53" t="n"/>
      <c r="EZ211" s="53" t="n"/>
      <c r="FA211" s="53" t="n"/>
      <c r="FB211" s="53" t="n"/>
      <c r="FC211" s="53" t="n"/>
      <c r="FD211" s="53" t="n"/>
      <c r="FE211" s="57" t="inlineStr">
        <is>
          <t>1. Manage CIMS Report development and delivery with less than 4 defects/ Escalations in a year 
2. Manage EBR Report development and delivery with less than 4 defects/ Escalations in a year 
3. Support to BD Activities: Support Sales team in BD Activities for Middle East, Mauritius &amp; Africa Markets
4. Support Agreement management, Contract Renewals, Timely billing, and Revenue realization for all the existing iDEAL clients, to support organizational growth, profitability, and cash flow objectives.
5. Manage Kick-off, Requirement Gathering Documentation &amp; sign-offs, Report Development and Delivery as per the timeline set by the client, Coordination with Light Frame Team for Warwyck Bank delivery. Overall project should be &gt;=95% on track all the time. 
6. Learning &amp; Development: Participation in Team Learning Sessions - · Internal Trainings For Functional and Tech learning · ETL Processes, AI Features, Study Africa market requirements</t>
        </is>
      </c>
      <c r="FF211" s="56" t="inlineStr">
        <is>
          <t>1. Manage 15 EBR report development, delivery 
2. Manage complete applicable CIMS report development, delivery
3. Manage project kick-offs for important clients · Warwyck, SARB</t>
        </is>
      </c>
      <c r="FG211" s="56" t="inlineStr">
        <is>
          <t>1. Ensure timely and quality delivery of client requirements, support, and development/customization requests: Lead and manage Business Analyst activities to ensure client support requests, new requirements, customizations, and development deliverables are completed within agreed timelines while minimizing escalations and maintaining high levels of client satisfaction.
2. Build a balanced, collaborative, and high-performing team environment: Ensure effective and balanced work and client allocation across the Business Analyst team and foster a supportive and collaborative work culture to improve team coordination, reduce delivery bottlenecks, and maintain consistent delivery quality throughout the year.
3. Enable market readiness, regional growth opportunities, and successful client onboarding and delivery across assigned portfolios: Ensure timely development, implementation, and delivery across the assigned client portfolio.
 - Qatar: Ensure regulatory taxonomies are analysed and configured, and the product and reports are ready for demonstration and delivery to prospective clients for QCB and QFCRA reporting requirements.
 - Jordan: Ensure regulatory taxonomies are analysed and configured, and the product and reports are ready for demonstration and delivery for prospective clients in alignment with CBJ &amp; JSE · JCM requirements, including Arabic language readiness.
 - Mauritius: Ensure all BOM reports are tested against the latest BOM taxonomies and validated in both MS SQL and PostgreSQL environments for Warwyck and Absa Bank. Ensure smooth onboarding, implementation readiness, and successful delivery for new clients. 
Lead and support client demonstrations, requirement discovery sessions, and solution walkthroughs for prospective and existing clients across regions.
4. Ensure successful execution and delivery of SARB Phase 4 backlog activities: Oversee and ensure all SARB Phase 4 backlog activities are effectively tracked, documented, developed, tested, approved, and delivered with quality and within agreed timelines. Actively participate in project management activities, lead key stakeholder and governance meetings related to iDEAL, and ensure effective coordination, decision-making, and execution across project workstreams.
5. Contribute to iDEAL product enhancement and continuous improvement initiatives: Support continuous improvement of the iDEAL 6.0 platform by collaborating with development teams on requirement, enhancement prioritization, testing, validation, and successful implementation of product improvements for foreign market.
6. Support ETL automation initiatives and solution delivery enablement: Contribute to ETL and data automation initiatives by providing inputs, supporting requirement understanding, participating in discussions, and enabling successful implementation to improve reporting automation and delivery efficiency.</t>
        </is>
      </c>
      <c r="FH211" s="56" t="inlineStr">
        <is>
          <t>5</t>
        </is>
      </c>
      <c r="FI211" s="56" t="n"/>
      <c r="FJ211" s="56" t="inlineStr">
        <is>
          <t>Received · manager annual, quarterly, self</t>
        </is>
      </c>
      <c r="FK211" s="56" t="inlineStr">
        <is>
          <t>Talent Mapping · iDEAL</t>
        </is>
      </c>
      <c r="FL211" s="56" t="n">
        <v>20</v>
      </c>
      <c r="FM211" s="32" t="inlineStr">
        <is>
          <t>Full survey answers not in the files received · How We Grow export needed · HR</t>
        </is>
      </c>
      <c r="FN211" s="56" t="inlineStr">
        <is>
          <t>—</t>
        </is>
      </c>
      <c r="FO211" s="56" t="inlineStr">
        <is>
          <t>—</t>
        </is>
      </c>
      <c r="FP211" s="56" t="inlineStr">
        <is>
          <t>—</t>
        </is>
      </c>
      <c r="FQ211" s="56" t="inlineStr">
        <is>
          <t>—</t>
        </is>
      </c>
      <c r="FR211" s="56" t="inlineStr">
        <is>
          <t>Complexity: Evidence reads like B1: Researches regulatory mandates, translates them into product requirements, delivers and implements across several regions → moved down 0.5
Autonomy: Evidence reads like B1: Decides on new mandate research and iDEAL opportunities; work prioritisation and client problem-solving → moved down 0.5
Accountability: Evidence reads like B2: Accountable for on-time delivery and implementation, report accuracy and the team's support quality → moved up 0.5
Leadership: Evidence reads like B1: Team management and grooming listed; five direct reports → matches the start
Business Impact: No survey or manager-mapping signal on criticality: kept at the start point.</t>
        </is>
      </c>
      <c r="FS211" s="56" t="inlineStr">
        <is>
          <t>Common themes in role-holders' answers: product · market · delivery · business · revenue
Common themes in role-holders' answers: product · implementation · client · management · delivery
Common themes in role-holders' answers: product · revenue
Common themes in role-holders' answers: product · quality · delivery · revenue
Common themes in role-holders' answers: research
If the work is missed · role-holders' themes: delays · client · revenue.
Measured on · manager-set KRA themes: development participation · cash · market requirements · tech learning · support organizational · profitability.</t>
        </is>
      </c>
      <c r="FT211" s="56" t="inlineStr">
        <is>
          <t>Self-identified: Product &amp; tool knowledge · Strategy &amp; business acumen · Broader exposure &amp; ownership
For the next role: Technical depth &amp; architecture · Data, SQL &amp; analytics · Product &amp; tool knowledge · Strategy &amp; business acumen · Broader exposure &amp; ownership</t>
        </is>
      </c>
      <c r="FU211" s="32" t="inlineStr">
        <is>
          <t>Full survey answers not in the files received · How We Grow export needed · HR</t>
        </is>
      </c>
    </row>
    <row r="212" ht="90" customHeight="1">
      <c r="A212" s="51" t="inlineStr">
        <is>
          <t>◂ Back</t>
        </is>
      </c>
      <c r="B212" s="29" t="inlineStr">
        <is>
          <t>Mapped</t>
        </is>
      </c>
      <c r="C212" s="28" t="inlineStr">
        <is>
          <t>iDEAL</t>
        </is>
      </c>
      <c r="D212" s="29" t="inlineStr">
        <is>
          <t>IRIS2125</t>
        </is>
      </c>
      <c r="E212" s="29" t="inlineStr">
        <is>
          <t>Phuzel Siddiqui</t>
        </is>
      </c>
      <c r="F212" s="29" t="inlineStr">
        <is>
          <t>Technology</t>
        </is>
      </c>
      <c r="G212" s="29" t="inlineStr">
        <is>
          <t>Business Analyst</t>
        </is>
      </c>
      <c r="H212" s="29" t="inlineStr">
        <is>
          <t>Business Analysis Specialist – POD Lead</t>
        </is>
      </c>
      <c r="I212" s="29" t="inlineStr">
        <is>
          <t>L3 – Professional / Associate</t>
        </is>
      </c>
      <c r="J212" s="29" t="inlineStr">
        <is>
          <t>B1</t>
        </is>
      </c>
      <c r="K212" s="29" t="inlineStr">
        <is>
          <t>▲ Up</t>
        </is>
      </c>
      <c r="L212" s="29" t="inlineStr">
        <is>
          <t>Business Analysis</t>
        </is>
      </c>
      <c r="M212" s="29" t="inlineStr">
        <is>
          <t>Business Analysis</t>
        </is>
      </c>
      <c r="N212" s="29" t="n"/>
      <c r="O212" s="29" t="n">
        <v>18</v>
      </c>
      <c r="P212" s="28" t="inlineStr">
        <is>
          <t>P3 / M2</t>
        </is>
      </c>
      <c r="Q212" s="29" t="inlineStr">
        <is>
          <t>Career / · Team Lead</t>
        </is>
      </c>
      <c r="R212" s="29" t="inlineStr">
        <is>
          <t>4 Enable</t>
        </is>
      </c>
      <c r="S212" s="29" t="inlineStr">
        <is>
          <t>4–7 yrs</t>
        </is>
      </c>
      <c r="T212" s="29" t="inlineStr">
        <is>
          <t>5–8 · 4–8</t>
        </is>
      </c>
      <c r="U212" s="29" t="inlineStr">
        <is>
          <t>Senior Business Analyst</t>
        </is>
      </c>
      <c r="V212" s="29" t="inlineStr">
        <is>
          <t>Regnology — regulatory reporting: BA · Reg Reporting · Big Four consulting: Senior Consultant · IRIS Vs Market Benchmark — IIBA certification pathway: CCBA · Infosys / Accenture: JL4 · L9 Consultant</t>
        </is>
      </c>
      <c r="W212" s="29" t="inlineStr">
        <is>
          <t>IIBA BABOK v3; certifications ECBA · entry → CCBA → CBAP · senior</t>
        </is>
      </c>
      <c r="X212" s="29" t="inlineStr">
        <is>
          <t>Core 3 · Future 3 · Functional 3 · Leadership 2</t>
        </is>
      </c>
      <c r="Y212" s="52" t="n">
        <v>271</v>
      </c>
      <c r="Z212" s="53" t="inlineStr">
        <is>
          <t>IRIS2125</t>
        </is>
      </c>
      <c r="AA212" s="53" t="inlineStr">
        <is>
          <t>Employee</t>
        </is>
      </c>
      <c r="AB212" s="53" t="inlineStr">
        <is>
          <t>Active</t>
        </is>
      </c>
      <c r="AC212" s="53" t="inlineStr">
        <is>
          <t>Phuzel Siddiqui</t>
        </is>
      </c>
      <c r="AD212" s="54" t="n">
        <v>45048</v>
      </c>
      <c r="AE212" s="53" t="inlineStr">
        <is>
          <t>Business Analyst</t>
        </is>
      </c>
      <c r="AF212" s="53" t="inlineStr">
        <is>
          <t>B.E</t>
        </is>
      </c>
      <c r="AG212" s="53" t="inlineStr">
        <is>
          <t>Dnyaneshwar Daund</t>
        </is>
      </c>
      <c r="AH212" s="53" t="inlineStr">
        <is>
          <t>N-4</t>
        </is>
      </c>
      <c r="AI212" s="53" t="inlineStr">
        <is>
          <t>Manager</t>
        </is>
      </c>
      <c r="AJ212" s="53" t="inlineStr">
        <is>
          <t>6 years, 5 months, 0 days</t>
        </is>
      </c>
      <c r="AK212" s="53" t="inlineStr">
        <is>
          <t>3 years, 3 months, 23 days</t>
        </is>
      </c>
      <c r="AL212" s="53" t="inlineStr">
        <is>
          <t>Regtech</t>
        </is>
      </c>
      <c r="AM212" s="53" t="inlineStr">
        <is>
          <t>iDEAL</t>
        </is>
      </c>
      <c r="AN212" s="53" t="inlineStr">
        <is>
          <t>Technology</t>
        </is>
      </c>
      <c r="AO212" s="53" t="inlineStr">
        <is>
          <t>Business Analysis</t>
        </is>
      </c>
      <c r="AP212" s="53" t="inlineStr">
        <is>
          <t>No</t>
        </is>
      </c>
      <c r="AQ212" s="53" t="inlineStr">
        <is>
          <t>Product/Project</t>
        </is>
      </c>
      <c r="AR212" s="53" t="inlineStr">
        <is>
          <t>Business Analysis</t>
        </is>
      </c>
      <c r="AS212" s="53" t="inlineStr">
        <is>
          <t>Technical · BA, PM and QA</t>
        </is>
      </c>
      <c r="AT212" s="53" t="n">
        <v>20</v>
      </c>
      <c r="AU212" s="53" t="inlineStr">
        <is>
          <t>Covered</t>
        </is>
      </c>
      <c r="AV212" s="53" t="n"/>
      <c r="AW212" s="53" t="n"/>
      <c r="AX212" s="53" t="n"/>
      <c r="AY212" s="53" t="n"/>
      <c r="AZ212" s="53" t="n"/>
      <c r="BA212" s="53" t="n"/>
      <c r="BB212" s="53" t="n"/>
      <c r="BC212" s="53" t="n"/>
      <c r="BD212" s="53" t="n"/>
      <c r="BE212" s="53" t="n"/>
      <c r="BF212" s="53" t="n"/>
      <c r="BG212" s="53" t="n"/>
      <c r="BH212" s="53" t="n"/>
      <c r="BI212" s="53" t="n"/>
      <c r="BJ212" s="53" t="n"/>
      <c r="BK212" s="53" t="n"/>
      <c r="BL212" s="53" t="n"/>
      <c r="BM212" s="53" t="n"/>
      <c r="BN212" s="53" t="n"/>
      <c r="BO212" s="53" t="n"/>
      <c r="BP212" s="53" t="n"/>
      <c r="BQ212" s="53" t="n"/>
      <c r="BR212" s="53" t="n"/>
      <c r="BS212" s="53" t="n"/>
      <c r="BT212" s="53" t="n"/>
      <c r="BU212" s="53" t="n"/>
      <c r="BV212" s="53" t="n"/>
      <c r="BW212" s="53" t="n"/>
      <c r="BX212" s="53" t="n"/>
      <c r="BY212" s="53" t="n"/>
      <c r="BZ212" s="53" t="n"/>
      <c r="CA212" s="53" t="n"/>
      <c r="CB212" s="53" t="n"/>
      <c r="CC212" s="53" t="n"/>
      <c r="CD212" s="53" t="n"/>
      <c r="CE212" s="53" t="n"/>
      <c r="CF212" s="53" t="n"/>
      <c r="CG212" s="53" t="n"/>
      <c r="CH212" s="53" t="n"/>
      <c r="CI212" s="53" t="n"/>
      <c r="CJ212" s="53" t="n"/>
      <c r="CK212" s="53" t="n"/>
      <c r="CL212" s="53" t="n"/>
      <c r="CM212" s="53" t="n"/>
      <c r="CN212" s="53" t="n"/>
      <c r="CO212" s="53" t="n"/>
      <c r="CP212" s="53" t="n"/>
      <c r="CQ212" s="53" t="n"/>
      <c r="CR212" s="53" t="n"/>
      <c r="CS212" s="53" t="n"/>
      <c r="CT212" s="53" t="n"/>
      <c r="CU212" s="53" t="n"/>
      <c r="CV212" s="53" t="n"/>
      <c r="CW212" s="53" t="n"/>
      <c r="CX212" s="53" t="n"/>
      <c r="CY212" s="53" t="n"/>
      <c r="CZ212" s="53" t="n"/>
      <c r="DA212" s="53" t="n"/>
      <c r="DB212" s="53" t="n"/>
      <c r="DC212" s="53" t="n"/>
      <c r="DD212" s="53" t="inlineStr">
        <is>
          <t>IRIS2125</t>
        </is>
      </c>
      <c r="DE212" s="53" t="inlineStr">
        <is>
          <t>Employee</t>
        </is>
      </c>
      <c r="DF212" s="53" t="inlineStr">
        <is>
          <t>Active</t>
        </is>
      </c>
      <c r="DG212" s="53" t="inlineStr">
        <is>
          <t>Phuzel Siddiqui</t>
        </is>
      </c>
      <c r="DH212" s="54" t="n">
        <v>45048</v>
      </c>
      <c r="DI212" s="53" t="inlineStr">
        <is>
          <t>Business Analyst</t>
        </is>
      </c>
      <c r="DJ212" s="53" t="inlineStr">
        <is>
          <t>Business Analysis</t>
        </is>
      </c>
      <c r="DK212" s="53" t="inlineStr">
        <is>
          <t>Business / Functional Analysis</t>
        </is>
      </c>
      <c r="DL212" s="53" t="inlineStr">
        <is>
          <t>Business Analyst</t>
        </is>
      </c>
      <c r="DM212" s="53" t="inlineStr">
        <is>
          <t>L3 – Professional / Associate</t>
        </is>
      </c>
      <c r="DN212" s="53" t="inlineStr">
        <is>
          <t>B.E</t>
        </is>
      </c>
      <c r="DO212" s="53" t="inlineStr">
        <is>
          <t>Dnyaneshwar Daund</t>
        </is>
      </c>
      <c r="DP212" s="53" t="inlineStr">
        <is>
          <t>N-4</t>
        </is>
      </c>
      <c r="DQ212" s="53" t="inlineStr">
        <is>
          <t>Individual Contributor</t>
        </is>
      </c>
      <c r="DR212" s="53" t="inlineStr">
        <is>
          <t>6 years, 5 months, 0 days</t>
        </is>
      </c>
      <c r="DS212" s="53" t="inlineStr">
        <is>
          <t>3 years, 1 months, 18 days</t>
        </is>
      </c>
      <c r="DT212" s="53" t="inlineStr">
        <is>
          <t>9 years, 6 months, 18 days</t>
        </is>
      </c>
      <c r="DU212" s="53" t="n"/>
      <c r="DV212" s="53" t="inlineStr">
        <is>
          <t>Regtech</t>
        </is>
      </c>
      <c r="DW212" s="53" t="inlineStr">
        <is>
          <t>iDEAL</t>
        </is>
      </c>
      <c r="DX212" s="53" t="inlineStr">
        <is>
          <t>Technology</t>
        </is>
      </c>
      <c r="DY212" s="53" t="inlineStr">
        <is>
          <t>Business Analysis</t>
        </is>
      </c>
      <c r="DZ212" s="53" t="inlineStr">
        <is>
          <t>No</t>
        </is>
      </c>
      <c r="EA212" s="53" t="inlineStr">
        <is>
          <t>Product/Project</t>
        </is>
      </c>
      <c r="EB212" s="53" t="inlineStr">
        <is>
          <t>Business Analysis</t>
        </is>
      </c>
      <c r="EC212" s="53" t="inlineStr">
        <is>
          <t>Technical · BA, PM and QA</t>
        </is>
      </c>
      <c r="ED212" s="53" t="inlineStr">
        <is>
          <t>Remote - Mumbai</t>
        </is>
      </c>
      <c r="EE212" s="53" t="inlineStr">
        <is>
          <t>1. Establish a Robust Client Management Support Handover: Successfully managed all assigned clients while ensuring smooth day-to-day support operations. Effectively handled 4–5 critical client escalations by identifying root causes and providing timely resolutions. In addition to Compliance Reporting, I am independently managing FATCA and Mutual Fund Reporting, including new report development and report enhancements. Building on this experience, my objective is to establish a robust client management support framework and successfully hand over all critical operational activities—including deployments, escalation management, error resolution, FATCA reporting, and Mutual Fund Reporting—ensuring seamless ownership and business continuity.
2. Transition from Support to Project Lead: Beyond client support, I have actively contributed to business growth by conducting 50+ Ideal application pre-sales demonstrations and 15–20 EBR demonstrations, while successfully handling client queries and increasing customer confidence in the solution. I have also worked closely with the Sales team to execute 15+ automation demos for Excel-based clients, promoting end-to-end automation. My objective is to transition from a support-focused role to leading new projects by taking end-to-end ownership of project planning, execution, delivery, stakeholder management, and successful implementation.
3. Streamline the EBR Project: Conducted multiple EBR demonstrations to educate clients about the product's features, benefits, and business value, helping improve customer understanding and confidence in the EBR solution. Going forward, I aim to standardize and streamline the EBR project by implementing best practices from the RBR project, strengthening client onboarding, documentation, process standardization, and overall customer experience.
4. Build Expertise in ETL Processes: Contributed to the development of the Email Notification and Data Preparation · ETL modules, including front-end design and feature enhancement. My objective is to deepen my understanding of the complete ETL lifecycle by becoming hands-on in ETL development, optimization, and support, while completing relevant ETL training and certifications to enhance my technical expertise and contribute more effectively to ETL initiatives.
5. Expand Technical Skills Beyond Oracle: While working extensively on Oracle-based reporting solutions, Compliance Reporting, FATCA, Mutual Fund Reporting, and application support, I aim to expand my technical expertise by gaining proficiency in PostgreSQL and other modern database technologies. This will enable me to support evolving client technology requirements, improve solution delivery, and contribute more effectively to future product development initiatives.</t>
        </is>
      </c>
      <c r="EF212" s="53" t="inlineStr">
        <is>
          <t>1. Effectively manage the assigned portfolio of banks and maintain high customer satisfaction, with a target of zero critical client escalations attributable to service delivery gaps.
2. Acquire in-depth knowledge of EBR SDMX reports, validation rules and implementation processes to independently manage assigned client support activities, resolve issues within by September 2026.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EG212" s="53" t="inlineStr">
        <is>
          <t>1. Acquire in-depth knowledge of EBR SDMX reports, validations, and implementation processes to independently provide effective client support for assigned clients by Aug 2026.
2.Continue to support business leads in EBR/NBFC product demonstrations, client discussions and requirement clarification to facilitate successful client engagements and business opportunities.
3. Actively contribute to the development, testing, validation, and implementation of EBR SDMX reports and related product enhancements. Provide at least 2–3 constructive inputs, recommendations, or improvement suggestions before each release to enhance product quality.</t>
        </is>
      </c>
      <c r="EH212" s="53" t="n">
        <v>3</v>
      </c>
      <c r="EI212" s="54" t="n">
        <v>45931</v>
      </c>
      <c r="EJ212" s="53" t="inlineStr">
        <is>
          <t>Same as current designation</t>
        </is>
      </c>
      <c r="EK212" s="53" t="inlineStr">
        <is>
          <t>No</t>
        </is>
      </c>
      <c r="EL212" s="53" t="n">
        <v>3</v>
      </c>
      <c r="EM212" s="53" t="inlineStr">
        <is>
          <t>Medium</t>
        </is>
      </c>
      <c r="EN212" s="53" t="inlineStr">
        <is>
          <t>Emerging Talent</t>
        </is>
      </c>
      <c r="EO212" s="53" t="inlineStr">
        <is>
          <t>Ready in 12 Months</t>
        </is>
      </c>
      <c r="EP212" s="53" t="inlineStr">
        <is>
          <t>No</t>
        </is>
      </c>
      <c r="EQ212" s="53" t="inlineStr">
        <is>
          <t>Yes</t>
        </is>
      </c>
      <c r="ER212" s="53" t="n"/>
      <c r="ES212" s="53" t="inlineStr">
        <is>
          <t>Training on the effective utilization of AI tools.</t>
        </is>
      </c>
      <c r="ET212" s="53" t="n"/>
      <c r="EU212" s="53" t="n"/>
      <c r="EV212" s="53" t="n"/>
      <c r="EW212" s="52" t="n"/>
      <c r="EX212" s="53" t="n"/>
      <c r="EY212" s="53" t="n"/>
      <c r="EZ212" s="53" t="n"/>
      <c r="FA212" s="53" t="n"/>
      <c r="FB212" s="53" t="n"/>
      <c r="FC212" s="53" t="n"/>
      <c r="FD212" s="53" t="n"/>
      <c r="FE212" s="57" t="inlineStr">
        <is>
          <t>1. Effectively manage the assigned portfolio of banks and maintain high customer satisfaction, with a target of zero critical client escalations attributable to service delivery gaps.
2. Acquire in-depth knowledge of EBR SDMX reports, validation rules and implementation processes to independently manage assigned client support activities, resolve issues within by September 2026.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FF212" s="56" t="inlineStr">
        <is>
          <t>1. Acquire in-depth knowledge of EBR SDMX reports, validations, and implementation processes to independently provide effective client support for assigned clients by Aug 2026.
2.Continue to support business leads in EBR/NBFC product demonstrations, client discussions and requirement clarification to facilitate successful client engagements and business opportunities.
3. Actively contribute to the development, testing, validation, and implementation of EBR SDMX reports and related product enhancements. Provide at least 2–3 constructive inputs, recommendations, or improvement suggestions before each release to enhance product quality.</t>
        </is>
      </c>
      <c r="FG212" s="56" t="inlineStr">
        <is>
          <t>1. Establish a Robust Client Management Support Handover: Successfully managed all assigned clients while ensuring smooth day-to-day support operations. Effectively handled 4–5 critical client escalations by identifying root causes and providing timely resolutions. In addition to Compliance Reporting, I am independently managing FATCA and Mutual Fund Reporting, including new report development and report enhancements. Building on this experience, my objective is to establish a robust client management support framework and successfully hand over all critical operational activities—including deployments, escalation management, error resolution, FATCA reporting, and Mutual Fund Reporting—ensuring seamless ownership and business continuity.
2. Transition from Support to Project Lead: Beyond client support, I have actively contributed to business growth by conducting 50+ Ideal application pre-sales demonstrations and 15–20 EBR demonstrations, while successfully handling client queries and increasing customer confidence in the solution. I have also worked closely with the Sales team to execute 15+ automation demos for Excel-based clients, promoting end-to-end automation. My objective is to transition from a support-focused role to leading new projects by taking end-to-end ownership of project planning, execution, delivery, stakeholder management, and successful implementation.
3. Streamline the EBR Project: Conducted multiple EBR demonstrations to educate clients about the product's features, benefits, and business value, helping improve customer understanding and confidence in the EBR solution. Going forward, I aim to standardize and streamline the EBR project by implementing best practices from the RBR project, strengthening client onboarding, documentation, process standardization, and overall customer experience.
4. Build Expertise in ETL Processes: Contributed to the development of the Email Notification and Data Preparation · ETL modules, including front-end design and feature enhancement. My objective is to deepen my understanding of the complete ETL lifecycle by becoming hands-on in ETL development, optimization, and support, while completing relevant ETL training and certifications to enhance my technical expertise and contribute more effectively to ETL initiatives.
5. Expand Technical Skills Beyond Oracle: While working extensively on Oracle-based reporting solutions, Compliance Reporting, FATCA, Mutual Fund Reporting, and application support, I aim to expand my technical expertise by gaining proficiency in PostgreSQL and other modern database technologies. This will enable me to support evolving client technology requirements, improve solution delivery, and contribute more effectively to future product development initiatives.</t>
        </is>
      </c>
      <c r="FH212" s="56" t="inlineStr">
        <is>
          <t>3</t>
        </is>
      </c>
      <c r="FI212" s="56" t="n"/>
      <c r="FJ212" s="56" t="inlineStr">
        <is>
          <t>Received · manager annual, quarterly, self</t>
        </is>
      </c>
      <c r="FK212" s="56" t="inlineStr">
        <is>
          <t>Talent Mapping · iDEAL</t>
        </is>
      </c>
      <c r="FL212" s="56" t="n">
        <v>18</v>
      </c>
      <c r="FM212" s="32" t="inlineStr">
        <is>
          <t>Full survey answers not in the files received · How We Grow export needed · HR</t>
        </is>
      </c>
      <c r="FN212" s="56" t="inlineStr">
        <is>
          <t>—</t>
        </is>
      </c>
      <c r="FO212" s="56" t="inlineStr">
        <is>
          <t>—</t>
        </is>
      </c>
      <c r="FP212" s="56" t="inlineStr">
        <is>
          <t>—</t>
        </is>
      </c>
      <c r="FQ212" s="56" t="inlineStr">
        <is>
          <t>—</t>
        </is>
      </c>
      <c r="FR212" s="56" t="inlineStr">
        <is>
          <t>Complexity: Evidence reads like B1: Handles bank portfolio, product demos, EBR project, ETL coordination, enhancement pitches; FATCA and mutual fund reporting → moved up 0.5
Autonomy: Evidence reads like A3: Decides process streamlining and application improvement initiatives; manages portfolio independently → matches the start
Accountability: Evidence reads like B1: Accountable for 'the account assigned to me'; wrong report deployment hits bank's regulatory submission → moved up 0.5
Leadership: Evidence reads like A3: 1 direct report in HR data; coordinates ETL team; no mentoring described in text → moved down 0.5
Business Impact: Moved +0.5: the survey / manager mapping marks it business-critical.</t>
        </is>
      </c>
      <c r="FS212" s="56" t="inlineStr">
        <is>
          <t>Common themes in role-holders' answers: business · smooth · between · client · am · requirements
Common themes in role-holders' answers: requirement · stakeholder · gathering · client · project · portfolio
Common themes in role-holders' answers: product · regulator
Common themes in role-holders' answers: requirement · client · time · issue · assigned
Common themes in role-holders' answers: documentation
If the work is missed · role-holders' themes: client · delivery · escalation · unresolved · without.
Measured on · manager-set KRA themes: releases · satisfaction · delivery · assigned · requirement.</t>
        </is>
      </c>
      <c r="FT212" s="56" t="inlineStr">
        <is>
          <t>Self-identified: Project / programme management
For the next role: Project / programme management</t>
        </is>
      </c>
      <c r="FU212" s="32" t="inlineStr">
        <is>
          <t>Full survey answers not in the files received · How We Grow export needed · HR</t>
        </is>
      </c>
    </row>
    <row r="213" ht="90" customHeight="1">
      <c r="A213" s="51" t="inlineStr">
        <is>
          <t>◂ Back</t>
        </is>
      </c>
      <c r="B213" s="29" t="inlineStr">
        <is>
          <t>Mapped</t>
        </is>
      </c>
      <c r="C213" s="28" t="inlineStr">
        <is>
          <t>iDEAL</t>
        </is>
      </c>
      <c r="D213" s="29" t="inlineStr">
        <is>
          <t>IRIS2552</t>
        </is>
      </c>
      <c r="E213" s="29" t="inlineStr">
        <is>
          <t>Shreekanth Samala</t>
        </is>
      </c>
      <c r="F213" s="29" t="inlineStr">
        <is>
          <t>Technology</t>
        </is>
      </c>
      <c r="G213" s="29" t="inlineStr">
        <is>
          <t>Technical Support Analyst</t>
        </is>
      </c>
      <c r="H213" s="29" t="inlineStr">
        <is>
          <t>Support Specialist</t>
        </is>
      </c>
      <c r="I213" s="29" t="inlineStr">
        <is>
          <t>Not in current mapping files</t>
        </is>
      </c>
      <c r="J213" s="29" t="inlineStr">
        <is>
          <t>A3</t>
        </is>
      </c>
      <c r="K213" s="29" t="inlineStr">
        <is>
          <t>● Newly mapped</t>
        </is>
      </c>
      <c r="L213" s="29" t="inlineStr">
        <is>
          <t>Customer Success &amp; Support</t>
        </is>
      </c>
      <c r="M213" s="29" t="inlineStr">
        <is>
          <t>Application &amp; Product Support</t>
        </is>
      </c>
      <c r="N213" s="29" t="n"/>
      <c r="O213" s="29" t="n">
        <v>20</v>
      </c>
      <c r="P213" s="28" t="inlineStr">
        <is>
          <t>P2</t>
        </is>
      </c>
      <c r="Q213" s="29" t="inlineStr">
        <is>
          <t>Developing</t>
        </is>
      </c>
      <c r="R213" s="29" t="inlineStr">
        <is>
          <t>3 Apply</t>
        </is>
      </c>
      <c r="S213" s="29" t="inlineStr">
        <is>
          <t>2–4 yrs</t>
        </is>
      </c>
      <c r="T213" s="29" t="inlineStr">
        <is>
          <t>3–5 · 2–5</t>
        </is>
      </c>
      <c r="U213" s="29" t="inlineStr">
        <is>
          <t>Senior Executive / CSM</t>
        </is>
      </c>
      <c r="V213" s="29" t="inlineStr">
        <is>
          <t>IRIS Vs Competitor Benchmark — SaaS customer-success ladder: Associate CSM · Regnology: Product Support Specialist · Reg Reporting · IRIS Vs Competitor Benchmark — support tiers: L2 Application Support</t>
        </is>
      </c>
      <c r="W213" s="29" t="inlineStr">
        <is>
          <t>TSIA frameworks and benchmarks; ITIL 4 service desk; Gainsight customer-success practice</t>
        </is>
      </c>
      <c r="X213" s="29" t="inlineStr">
        <is>
          <t>Core 2 · Future 2 · Functional 3 · Leadership not scored</t>
        </is>
      </c>
      <c r="Y213" s="52" t="n">
        <v>525</v>
      </c>
      <c r="Z213" s="53" t="inlineStr">
        <is>
          <t>IRIS2552</t>
        </is>
      </c>
      <c r="AA213" s="53" t="inlineStr">
        <is>
          <t>Employee</t>
        </is>
      </c>
      <c r="AB213" s="53" t="inlineStr">
        <is>
          <t>Active</t>
        </is>
      </c>
      <c r="AC213" s="53" t="inlineStr">
        <is>
          <t>Shreekanth Samala</t>
        </is>
      </c>
      <c r="AD213" s="54" t="n">
        <v>46244</v>
      </c>
      <c r="AE213" s="53" t="inlineStr">
        <is>
          <t>Technical Support Analyst</t>
        </is>
      </c>
      <c r="AF213" s="53" t="inlineStr">
        <is>
          <t>MBA</t>
        </is>
      </c>
      <c r="AG213" s="53" t="inlineStr">
        <is>
          <t>Phuzel Siddiqui</t>
        </is>
      </c>
      <c r="AH213" s="53" t="inlineStr">
        <is>
          <t>N-5</t>
        </is>
      </c>
      <c r="AI213" s="53" t="inlineStr">
        <is>
          <t>Individual Contributor</t>
        </is>
      </c>
      <c r="AJ213" s="53" t="inlineStr">
        <is>
          <t>13 years, 4 months, 0 days</t>
        </is>
      </c>
      <c r="AK213" s="53" t="inlineStr">
        <is>
          <t>0 years, 0 months, 15 days</t>
        </is>
      </c>
      <c r="AL213" s="53" t="inlineStr">
        <is>
          <t>Regtech</t>
        </is>
      </c>
      <c r="AM213" s="53" t="inlineStr">
        <is>
          <t>iDEAL</t>
        </is>
      </c>
      <c r="AN213" s="53" t="inlineStr">
        <is>
          <t>Technology</t>
        </is>
      </c>
      <c r="AO213" s="53" t="inlineStr">
        <is>
          <t>Development</t>
        </is>
      </c>
      <c r="AP213" s="53" t="inlineStr">
        <is>
          <t>Yes</t>
        </is>
      </c>
      <c r="AQ213" s="53" t="inlineStr">
        <is>
          <t>Product/Project</t>
        </is>
      </c>
      <c r="AR213" s="53" t="inlineStr">
        <is>
          <t>Business Analysis</t>
        </is>
      </c>
      <c r="AS213" s="53" t="inlineStr">
        <is>
          <t>Technical · BA, PM and QA</t>
        </is>
      </c>
      <c r="AT213" s="53" t="n">
        <v>20</v>
      </c>
      <c r="AU213" s="53" t="inlineStr">
        <is>
          <t>Covered</t>
        </is>
      </c>
      <c r="AV213" s="53" t="n"/>
      <c r="AW213" s="53" t="n"/>
      <c r="AX213" s="53" t="n"/>
      <c r="AY213" s="53" t="n"/>
      <c r="AZ213" s="53" t="n"/>
      <c r="BA213" s="53" t="n"/>
      <c r="BB213" s="53" t="n"/>
      <c r="BC213" s="53" t="n"/>
      <c r="BD213" s="53" t="n"/>
      <c r="BE213" s="53" t="n"/>
      <c r="BF213" s="53" t="n"/>
      <c r="BG213" s="53" t="n"/>
      <c r="BH213" s="53" t="n"/>
      <c r="BI213" s="53" t="n"/>
      <c r="BJ213" s="53" t="n"/>
      <c r="BK213" s="53" t="n"/>
      <c r="BL213" s="53" t="n"/>
      <c r="BM213" s="53" t="n"/>
      <c r="BN213" s="53" t="n"/>
      <c r="BO213" s="53" t="n"/>
      <c r="BP213" s="53" t="n"/>
      <c r="BQ213" s="53" t="n"/>
      <c r="BR213" s="53" t="n"/>
      <c r="BS213" s="53" t="n"/>
      <c r="BT213" s="53" t="n"/>
      <c r="BU213" s="53" t="n"/>
      <c r="BV213" s="53" t="n"/>
      <c r="BW213" s="53" t="n"/>
      <c r="BX213" s="53" t="n"/>
      <c r="BY213" s="53" t="n"/>
      <c r="BZ213" s="53" t="n"/>
      <c r="CA213" s="53" t="n"/>
      <c r="CB213" s="53" t="n"/>
      <c r="CC213" s="53" t="n"/>
      <c r="CD213" s="53" t="n"/>
      <c r="CE213" s="53" t="n"/>
      <c r="CF213" s="53" t="n"/>
      <c r="CG213" s="53" t="n"/>
      <c r="CH213" s="53" t="n"/>
      <c r="CI213" s="53" t="n"/>
      <c r="CJ213" s="53" t="n"/>
      <c r="CK213" s="53" t="n"/>
      <c r="CL213" s="53" t="n"/>
      <c r="CM213" s="53" t="n"/>
      <c r="CN213" s="53" t="n"/>
      <c r="CO213" s="53" t="n"/>
      <c r="CP213" s="53" t="n"/>
      <c r="CQ213" s="53" t="n"/>
      <c r="CR213" s="53" t="n"/>
      <c r="CS213" s="53" t="n"/>
      <c r="CT213" s="53" t="n"/>
      <c r="CU213" s="53" t="n"/>
      <c r="CV213" s="53" t="n"/>
      <c r="CW213" s="53" t="n"/>
      <c r="CX213" s="53" t="n"/>
      <c r="CY213" s="53" t="n"/>
      <c r="CZ213" s="53" t="n"/>
      <c r="DA213" s="53" t="n"/>
      <c r="DB213" s="53" t="n"/>
      <c r="DC213" s="53" t="n"/>
      <c r="DD213" s="53" t="n"/>
      <c r="DE213" s="53" t="n"/>
      <c r="DF213" s="53" t="n"/>
      <c r="DG213" s="53" t="n"/>
      <c r="DH213" s="53" t="n"/>
      <c r="DI213" s="53" t="n"/>
      <c r="DJ213" s="53" t="n"/>
      <c r="DK213" s="53" t="n"/>
      <c r="DL213" s="53" t="n"/>
      <c r="DM213" s="53" t="n"/>
      <c r="DN213" s="53" t="n"/>
      <c r="DO213" s="53" t="n"/>
      <c r="DP213" s="53" t="n"/>
      <c r="DQ213" s="53" t="n"/>
      <c r="DR213" s="53" t="n"/>
      <c r="DS213" s="53" t="n"/>
      <c r="DT213" s="53" t="n"/>
      <c r="DU213" s="53" t="n"/>
      <c r="DV213" s="53" t="n"/>
      <c r="DW213" s="53" t="n"/>
      <c r="DX213" s="53" t="n"/>
      <c r="DY213" s="53" t="n"/>
      <c r="DZ213" s="53" t="n"/>
      <c r="EA213" s="53" t="n"/>
      <c r="EB213" s="53" t="n"/>
      <c r="EC213" s="53" t="n"/>
      <c r="ED213" s="53" t="n"/>
      <c r="EE213" s="53" t="n"/>
      <c r="EF213" s="53" t="n"/>
      <c r="EG213" s="53" t="n"/>
      <c r="EH213" s="53" t="n"/>
      <c r="EI213" s="53" t="n"/>
      <c r="EJ213" s="53" t="n"/>
      <c r="EK213" s="53" t="n"/>
      <c r="EL213" s="53" t="n"/>
      <c r="EM213" s="53" t="n"/>
      <c r="EN213" s="53" t="n"/>
      <c r="EO213" s="53" t="n"/>
      <c r="EP213" s="53" t="n"/>
      <c r="EQ213" s="53" t="n"/>
      <c r="ER213" s="53" t="n"/>
      <c r="ES213" s="53" t="n"/>
      <c r="ET213" s="53" t="n"/>
      <c r="EU213" s="53" t="n"/>
      <c r="EV213" s="53" t="n"/>
      <c r="EW213" s="52" t="n"/>
      <c r="EX213" s="53" t="n"/>
      <c r="EY213" s="53" t="n"/>
      <c r="EZ213" s="53" t="n"/>
      <c r="FA213" s="53" t="n"/>
      <c r="FB213" s="53" t="n"/>
      <c r="FC213" s="53" t="n"/>
      <c r="FD213" s="53" t="n"/>
      <c r="FE213" s="55" t="inlineStr">
        <is>
          <t>KRAs not received · manager to supply</t>
        </is>
      </c>
      <c r="FF213" s="56" t="n"/>
      <c r="FG213" s="56" t="n"/>
      <c r="FH213" s="56" t="n"/>
      <c r="FI213" s="56" t="n"/>
      <c r="FJ213" s="32" t="inlineStr">
        <is>
          <t>KRAs not received · manager to supply</t>
        </is>
      </c>
      <c r="FK213" s="56" t="n"/>
      <c r="FL213" s="56" t="n">
        <v>20</v>
      </c>
      <c r="FM213" s="32" t="inlineStr">
        <is>
          <t>Full survey answers not in the files received · How We Grow export needed · HR</t>
        </is>
      </c>
      <c r="FN213" s="56" t="inlineStr">
        <is>
          <t>—</t>
        </is>
      </c>
      <c r="FO213" s="56" t="inlineStr">
        <is>
          <t>—</t>
        </is>
      </c>
      <c r="FP213" s="56" t="inlineStr">
        <is>
          <t>—</t>
        </is>
      </c>
      <c r="FQ213" s="56" t="inlineStr">
        <is>
          <t>—</t>
        </is>
      </c>
      <c r="FR213" s="56"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FS213" s="56"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FT213" s="56" t="inlineStr">
        <is>
          <t>Self-identified: Product &amp; tool knowledge · Client, sales &amp; stakeholders · Strategy &amp; business acumen · Broader exposure &amp; ownership
For the next role: Product &amp; tool knowledge · Client, sales &amp; stakeholders · Strategy &amp; business acumen · Broader exposure &amp; ownership</t>
        </is>
      </c>
      <c r="FU213" s="32" t="inlineStr">
        <is>
          <t>Full survey answers not in the files received · How We Grow export needed · HR</t>
        </is>
      </c>
    </row>
    <row r="214" ht="90" customHeight="1">
      <c r="A214" s="51" t="inlineStr">
        <is>
          <t>◂ Back</t>
        </is>
      </c>
      <c r="B214" s="29" t="inlineStr">
        <is>
          <t>Mapped</t>
        </is>
      </c>
      <c r="C214" s="28" t="inlineStr">
        <is>
          <t>iDEAL</t>
        </is>
      </c>
      <c r="D214" s="29" t="inlineStr">
        <is>
          <t>IRIS0417</t>
        </is>
      </c>
      <c r="E214" s="29" t="inlineStr">
        <is>
          <t>Vishal Pingle</t>
        </is>
      </c>
      <c r="F214" s="29" t="inlineStr">
        <is>
          <t>Technology</t>
        </is>
      </c>
      <c r="G214" s="29" t="inlineStr">
        <is>
          <t>Senior Business Analyst</t>
        </is>
      </c>
      <c r="H214" s="29" t="inlineStr">
        <is>
          <t>Senior Business Analysis Specialist</t>
        </is>
      </c>
      <c r="I214" s="29" t="inlineStr">
        <is>
          <t>L4 – Senior</t>
        </is>
      </c>
      <c r="J214" s="29" t="inlineStr">
        <is>
          <t>B1</t>
        </is>
      </c>
      <c r="K214" s="29" t="inlineStr">
        <is>
          <t>▲ Up</t>
        </is>
      </c>
      <c r="L214" s="29" t="inlineStr">
        <is>
          <t>Business Analysis</t>
        </is>
      </c>
      <c r="M214" s="29" t="inlineStr">
        <is>
          <t>Business Analysis</t>
        </is>
      </c>
      <c r="N214" s="29" t="n"/>
      <c r="O214" s="29" t="n">
        <v>20</v>
      </c>
      <c r="P214" s="28" t="inlineStr">
        <is>
          <t>P3 / M2</t>
        </is>
      </c>
      <c r="Q214" s="29" t="inlineStr">
        <is>
          <t>Career / · Team Lead</t>
        </is>
      </c>
      <c r="R214" s="29" t="inlineStr">
        <is>
          <t>4 Enable</t>
        </is>
      </c>
      <c r="S214" s="29" t="inlineStr">
        <is>
          <t>4–7 yrs</t>
        </is>
      </c>
      <c r="T214" s="29" t="inlineStr">
        <is>
          <t>5–8 · 4–8</t>
        </is>
      </c>
      <c r="U214" s="29" t="inlineStr">
        <is>
          <t>Lead Business Analyst</t>
        </is>
      </c>
      <c r="V214" s="29" t="inlineStr">
        <is>
          <t>Regnology — regulatory reporting: BA · Reg Reporting · Big Four consulting: Senior Consultant · IRIS Vs Market Benchmark — IIBA certification pathway: CCBA · Infosys / Accenture: JL4 · L9 Consultant</t>
        </is>
      </c>
      <c r="W214" s="29" t="inlineStr">
        <is>
          <t>IIBA BABOK v3; certifications ECBA · entry → CCBA → CBAP · senior</t>
        </is>
      </c>
      <c r="X214" s="29" t="inlineStr">
        <is>
          <t>Core 3 · Future 3 · Functional 3 · Leadership 1</t>
        </is>
      </c>
      <c r="Y214" s="52" t="n">
        <v>61</v>
      </c>
      <c r="Z214" s="53" t="inlineStr">
        <is>
          <t>IRIS0417</t>
        </is>
      </c>
      <c r="AA214" s="53" t="inlineStr">
        <is>
          <t>Employee</t>
        </is>
      </c>
      <c r="AB214" s="53" t="inlineStr">
        <is>
          <t>Active</t>
        </is>
      </c>
      <c r="AC214" s="53" t="inlineStr">
        <is>
          <t>Vishal Pingle</t>
        </is>
      </c>
      <c r="AD214" s="54" t="n">
        <v>40448</v>
      </c>
      <c r="AE214" s="53" t="inlineStr">
        <is>
          <t>Senior Business Analyst</t>
        </is>
      </c>
      <c r="AF214" s="53" t="inlineStr">
        <is>
          <t>B.Com</t>
        </is>
      </c>
      <c r="AG214" s="53" t="inlineStr">
        <is>
          <t>Dnyaneshwar Daund</t>
        </is>
      </c>
      <c r="AH214" s="53" t="inlineStr">
        <is>
          <t>N-4</t>
        </is>
      </c>
      <c r="AI214" s="53" t="inlineStr">
        <is>
          <t>Individual Contributor</t>
        </is>
      </c>
      <c r="AJ214" s="53" t="inlineStr">
        <is>
          <t>0 years, 6 months, 0 days</t>
        </is>
      </c>
      <c r="AK214" s="53" t="inlineStr">
        <is>
          <t>15 years, 10 months, 29 days</t>
        </is>
      </c>
      <c r="AL214" s="53" t="inlineStr">
        <is>
          <t>Regtech</t>
        </is>
      </c>
      <c r="AM214" s="53" t="inlineStr">
        <is>
          <t>iDEAL</t>
        </is>
      </c>
      <c r="AN214" s="53" t="inlineStr">
        <is>
          <t>Technology</t>
        </is>
      </c>
      <c r="AO214" s="53" t="inlineStr">
        <is>
          <t>Business Analysis</t>
        </is>
      </c>
      <c r="AP214" s="53" t="inlineStr">
        <is>
          <t>No</t>
        </is>
      </c>
      <c r="AQ214" s="53" t="inlineStr">
        <is>
          <t>Product/Project</t>
        </is>
      </c>
      <c r="AR214" s="53" t="inlineStr">
        <is>
          <t>Business Analysis</t>
        </is>
      </c>
      <c r="AS214" s="53" t="inlineStr">
        <is>
          <t>Technical · BA, PM and QA</t>
        </is>
      </c>
      <c r="AT214" s="53" t="n">
        <v>20</v>
      </c>
      <c r="AU214" s="53" t="inlineStr">
        <is>
          <t>Covered</t>
        </is>
      </c>
      <c r="AV214" s="53" t="n"/>
      <c r="AW214" s="53" t="n"/>
      <c r="AX214" s="53" t="n"/>
      <c r="AY214" s="53" t="n"/>
      <c r="AZ214" s="53" t="n"/>
      <c r="BA214" s="53" t="n"/>
      <c r="BB214" s="53" t="n"/>
      <c r="BC214" s="53" t="n"/>
      <c r="BD214" s="53" t="n"/>
      <c r="BE214" s="53" t="n"/>
      <c r="BF214" s="53" t="n"/>
      <c r="BG214" s="53" t="n"/>
      <c r="BH214" s="53" t="n"/>
      <c r="BI214" s="53" t="n"/>
      <c r="BJ214" s="53" t="n"/>
      <c r="BK214" s="53" t="n"/>
      <c r="BL214" s="53" t="n"/>
      <c r="BM214" s="53" t="n"/>
      <c r="BN214" s="53" t="n"/>
      <c r="BO214" s="53" t="n"/>
      <c r="BP214" s="53" t="n"/>
      <c r="BQ214" s="53" t="n"/>
      <c r="BR214" s="53" t="n"/>
      <c r="BS214" s="53" t="n"/>
      <c r="BT214" s="53" t="n"/>
      <c r="BU214" s="53" t="n"/>
      <c r="BV214" s="53" t="n"/>
      <c r="BW214" s="53" t="n"/>
      <c r="BX214" s="53" t="n"/>
      <c r="BY214" s="53" t="n"/>
      <c r="BZ214" s="53" t="n"/>
      <c r="CA214" s="53" t="n"/>
      <c r="CB214" s="53" t="n"/>
      <c r="CC214" s="53" t="n"/>
      <c r="CD214" s="53" t="n"/>
      <c r="CE214" s="53" t="n"/>
      <c r="CF214" s="53" t="n"/>
      <c r="CG214" s="53" t="n"/>
      <c r="CH214" s="53" t="n"/>
      <c r="CI214" s="53" t="n"/>
      <c r="CJ214" s="53" t="n"/>
      <c r="CK214" s="53" t="n"/>
      <c r="CL214" s="53" t="n"/>
      <c r="CM214" s="53" t="n"/>
      <c r="CN214" s="53" t="n"/>
      <c r="CO214" s="53" t="n"/>
      <c r="CP214" s="53" t="n"/>
      <c r="CQ214" s="53" t="n"/>
      <c r="CR214" s="53" t="n"/>
      <c r="CS214" s="53" t="n"/>
      <c r="CT214" s="53" t="n"/>
      <c r="CU214" s="53" t="n"/>
      <c r="CV214" s="53" t="n"/>
      <c r="CW214" s="53" t="n"/>
      <c r="CX214" s="53" t="n"/>
      <c r="CY214" s="53" t="n"/>
      <c r="CZ214" s="53" t="n"/>
      <c r="DA214" s="53" t="n"/>
      <c r="DB214" s="53" t="n"/>
      <c r="DC214" s="53" t="n"/>
      <c r="DD214" s="53" t="inlineStr">
        <is>
          <t>IRIS0417</t>
        </is>
      </c>
      <c r="DE214" s="53" t="inlineStr">
        <is>
          <t>Employee</t>
        </is>
      </c>
      <c r="DF214" s="53" t="inlineStr">
        <is>
          <t>Active</t>
        </is>
      </c>
      <c r="DG214" s="53" t="inlineStr">
        <is>
          <t>Vishal Pingle</t>
        </is>
      </c>
      <c r="DH214" s="54" t="n">
        <v>40448</v>
      </c>
      <c r="DI214" s="53" t="inlineStr">
        <is>
          <t>Senior Business Analyst</t>
        </is>
      </c>
      <c r="DJ214" s="53" t="inlineStr">
        <is>
          <t>Business Analysis</t>
        </is>
      </c>
      <c r="DK214" s="53" t="inlineStr">
        <is>
          <t>Business / Functional Analysis</t>
        </is>
      </c>
      <c r="DL214" s="53" t="inlineStr">
        <is>
          <t>Senior Business Analyst</t>
        </is>
      </c>
      <c r="DM214" s="53" t="inlineStr">
        <is>
          <t>L4 – Senior</t>
        </is>
      </c>
      <c r="DN214" s="53" t="inlineStr">
        <is>
          <t>B.Com</t>
        </is>
      </c>
      <c r="DO214" s="53" t="inlineStr">
        <is>
          <t>Dnyaneshwar Daund</t>
        </is>
      </c>
      <c r="DP214" s="53" t="inlineStr">
        <is>
          <t>N-4</t>
        </is>
      </c>
      <c r="DQ214" s="53" t="inlineStr">
        <is>
          <t>Individual Contributor</t>
        </is>
      </c>
      <c r="DR214" s="53" t="inlineStr">
        <is>
          <t>0 years, 6 months, 0 days</t>
        </is>
      </c>
      <c r="DS214" s="53" t="inlineStr">
        <is>
          <t>15 years, 8 months, 24 days</t>
        </is>
      </c>
      <c r="DT214" s="53" t="inlineStr">
        <is>
          <t>16 years, 2 months, 24 days</t>
        </is>
      </c>
      <c r="DU214" s="53" t="n"/>
      <c r="DV214" s="53" t="inlineStr">
        <is>
          <t>Regtech</t>
        </is>
      </c>
      <c r="DW214" s="53" t="inlineStr">
        <is>
          <t>iDEAL</t>
        </is>
      </c>
      <c r="DX214" s="53" t="inlineStr">
        <is>
          <t>Technology</t>
        </is>
      </c>
      <c r="DY214" s="53" t="inlineStr">
        <is>
          <t>Business Analysis</t>
        </is>
      </c>
      <c r="DZ214" s="53" t="inlineStr">
        <is>
          <t>No</t>
        </is>
      </c>
      <c r="EA214" s="53" t="inlineStr">
        <is>
          <t>Product/Project</t>
        </is>
      </c>
      <c r="EB214" s="53" t="inlineStr">
        <is>
          <t>Business Analysis</t>
        </is>
      </c>
      <c r="EC214" s="53" t="inlineStr">
        <is>
          <t>Technical · BA, PM and QA</t>
        </is>
      </c>
      <c r="ED214" s="53" t="inlineStr">
        <is>
          <t>Remote - Mumbai</t>
        </is>
      </c>
      <c r="EE214" s="53" t="inlineStr">
        <is>
          <t>1. Deliver Regulatory Return Development: Ensure timely tracking, development and deliver all RBI regulatory changes in reports, including major and complex returns such as FR R162, RAQ, R380, R419, R156, and other new regulatory changes within the committed timelines while maintaining high quality standards.
2. Ensure Timely Project Delivery: Successfully gather business requirements, prepare functional documentation, coordinate with development teams, and ensure timely delivery of client-specific customizations, deployments, and production releases with minimal post-production issues.
3. Provide Excellent Client Support: Maintain high-quality support for assigned banking clients by ensuring timely issue resolution, proactive communication, regular follow-ups, and continuous support for EBR, ETL, XBRL, and Non-XBRL implementations to achieve high customer satisfaction.
4. Strengthen Business Analysis Skills: Enhance Business Analysis capabilities by completing at least one professional certification or training program · e.g., ECBA, Agile BA, Requirement Engineering and applying best practices in requirement gathering, impact analysis, stakeholder management, and documentation.
5. Understand EBR SDMX Expertise: Enhance expertise in RBI EBR SDMX reporting, implementation processes, and support activities to effectively analyse requirements, resolve functional issues, and provide accurate guidance and solutions to clients.
6. Improve Documentation &amp; Knowledge Management: Create and maintain standardized Business Requirement Documents · BRD, Functional Requirement Documents · FRD, Standard Operating Procedures · SOP, Deployment Guides, User Manuals, and RCA documents to improve process consistency and reduce dependency on individual resources.
7. Lead Deployment Automation Initiatives from the Business Team: Actively contribute to the automation of CIMS report and application deployments by supporting and validating automation processes related to kit preparation, deployment activities, server configuration, testing, and other repetitive operational tasks. This will help improve productivity, enhance deployment efficiency, and reduce manual effort and operational risks.
8. Support Team Collaboration &amp; Knowledge Sharing: Actively support team members by resolving complex functional issues, sharing domain knowledge, conducting knowledge-sharing sessions, and mentoring colleagues to improve overall team capability and delivery quality.</t>
        </is>
      </c>
      <c r="EF214" s="53" t="inlineStr">
        <is>
          <t>1. Effectively manage the assigned portfolio of banks and maintain high customer satisfaction, with a target of zero critical client escalations attributable to service delivery gaps.
2. Ensure 100% timely tracking, analysis, development, testing, and delivery of RBI CIMS taxonomy changes within prescribed regulatory and internal timelines. Proactively communicate all relevant updates, impacts, and deployment schedules to the respective Business Analysts and clients to ensure timely implementation and compliance.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EG214" s="53" t="inlineStr">
        <is>
          <t>1. Acquire in-depth knowledge of EBR SDMX reports, validations, and implementation processes to independently provide effective client support for assigned clients by Aug 2026.
2. Ensure 100% timely tracking, analysis, development, testing, and delivery of RBI CIMS taxonomy changes within prescribed regulatory and internal timelines. Proactively communicate all relevant updates, impacts, and deployment schedules to the respective Business Analysts and clients to ensure timely implementation and compliance.
3. Ensure the successful development and delivery of IDFC Bank's customization requirements by July 2026, including requirement clarification, UAT support, and obtaining formal sign-off from the client upon successful implementation.
4. Lead the testing, validation, and implementation of the Auto Deployment and Auto Kit Preparation tool, ensuring a defect-free rollout and successful adoption across all clients by the respective Business Analysts by July 2026.</t>
        </is>
      </c>
      <c r="EH214" s="53" t="n">
        <v>3</v>
      </c>
      <c r="EI214" s="54" t="n">
        <v>45931</v>
      </c>
      <c r="EJ214" s="53" t="inlineStr">
        <is>
          <t>Same as current designation</t>
        </is>
      </c>
      <c r="EK214" s="53" t="inlineStr">
        <is>
          <t>No</t>
        </is>
      </c>
      <c r="EL214" s="53" t="n">
        <v>3</v>
      </c>
      <c r="EM214" s="53" t="inlineStr">
        <is>
          <t>Medium</t>
        </is>
      </c>
      <c r="EN214" s="53" t="inlineStr">
        <is>
          <t>Trusted Professional</t>
        </is>
      </c>
      <c r="EO214" s="53" t="inlineStr">
        <is>
          <t>Not Ready</t>
        </is>
      </c>
      <c r="EP214" s="53" t="inlineStr">
        <is>
          <t>No</t>
        </is>
      </c>
      <c r="EQ214" s="53" t="inlineStr">
        <is>
          <t>Yes</t>
        </is>
      </c>
      <c r="ER214" s="53" t="n"/>
      <c r="ES214" s="53" t="inlineStr">
        <is>
          <t>Training on the effective utilization of AI tools.</t>
        </is>
      </c>
      <c r="ET214" s="53" t="n"/>
      <c r="EU214" s="53" t="n"/>
      <c r="EV214" s="53" t="n"/>
      <c r="EW214" s="52" t="n"/>
      <c r="EX214" s="53" t="n"/>
      <c r="EY214" s="53" t="n"/>
      <c r="EZ214" s="53" t="n"/>
      <c r="FA214" s="53" t="n"/>
      <c r="FB214" s="53" t="n"/>
      <c r="FC214" s="53" t="inlineStr">
        <is>
          <t>Annual KRAs · objective Measurable Minimum 5 - Self</t>
        </is>
      </c>
      <c r="FD214" s="53" t="n"/>
      <c r="FE214" s="57" t="inlineStr">
        <is>
          <t>1. Effectively manage the assigned portfolio of banks and maintain high customer satisfaction, with a target of zero critical client escalations attributable to service delivery gaps.
2. Ensure 100% timely tracking, analysis, development, testing, and delivery of RBI CIMS taxonomy changes within prescribed regulatory and internal timelines. Proactively communicate all relevant updates, impacts, and deployment schedules to the respective Business Analysts and clients to ensure timely implementation and compliance.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FF214" s="56" t="inlineStr">
        <is>
          <t>1. Acquire in-depth knowledge of EBR SDMX reports, validations, and implementation processes to independently provide effective client support for assigned clients by Aug 2026.
2. Ensure 100% timely tracking, analysis, development, testing, and delivery of RBI CIMS taxonomy changes within prescribed regulatory and internal timelines. Proactively communicate all relevant updates, impacts, and deployment schedules to the respective Business Analysts and clients to ensure timely implementation and compliance.
3. Ensure the successful development and delivery of IDFC Bank's customization requirements by July 2026, including requirement clarification, UAT support, and obtaining formal sign-off from the client upon successful implementation.
4. Lead the testing, validation, and implementation of the Auto Deployment and Auto Kit Preparation tool, ensuring a defect-free rollout and successful adoption across all clients by the respective Business Analysts by July 2026.</t>
        </is>
      </c>
      <c r="FG214" s="56" t="inlineStr">
        <is>
          <t>1. Deliver Regulatory Return Development: Ensure timely tracking, development and deliver all RBI regulatory changes in reports, including major and complex returns such as FR R162, RAQ, R380, R419, R156, and other new regulatory changes within the committed timelines while maintaining high quality standards.
2. Ensure Timely Project Delivery: Successfully gather business requirements, prepare functional documentation, coordinate with development teams, and ensure timely delivery of client-specific customizations, deployments, and production releases with minimal post-production issues.
3. Provide Excellent Client Support: Maintain high-quality support for assigned banking clients by ensuring timely issue resolution, proactive communication, regular follow-ups, and continuous support for EBR, ETL, XBRL, and Non-XBRL implementations to achieve high customer satisfaction.
4. Strengthen Business Analysis Skills: Enhance Business Analysis capabilities by completing at least one professional certification or training program · e.g., ECBA, Agile BA, Requirement Engineering and applying best practices in requirement gathering, impact analysis, stakeholder management, and documentation.
5. Understand EBR SDMX Expertise: Enhance expertise in RBI EBR SDMX reporting, implementation processes, and support activities to effectively analyse requirements, resolve functional issues, and provide accurate guidance and solutions to clients.
6. Improve Documentation &amp; Knowledge Management: Create and maintain standardized Business Requirement Documents · BRD, Functional Requirement Documents · FRD, Standard Operating Procedures · SOP, Deployment Guides, User Manuals, and RCA documents to improve process consistency and reduce dependency on individual resources.
7. Lead Deployment Automation Initiatives from the Business Team: Actively contribute to the automation of CIMS report and application deployments by supporting and validating automation processes related to kit preparation, deployment activities, server configuration, testing, and other repetitive operational tasks. This will help improve productivity, enhance deployment efficiency, and reduce manual effort and operational risks.
8. Support Team Collaboration &amp; Knowledge Sharing: Actively support team members by resolving complex functional issues, sharing domain knowledge, conducting knowledge-sharing sessions, and mentoring colleagues to improve overall team capability and delivery quality.</t>
        </is>
      </c>
      <c r="FH214" s="56" t="inlineStr">
        <is>
          <t>3</t>
        </is>
      </c>
      <c r="FI214" s="56" t="n"/>
      <c r="FJ214" s="56" t="inlineStr">
        <is>
          <t>Received · manager annual, quarterly, self</t>
        </is>
      </c>
      <c r="FK214" s="56" t="inlineStr">
        <is>
          <t>Talent Mapping · iDEAL</t>
        </is>
      </c>
      <c r="FL214" s="56" t="n">
        <v>20</v>
      </c>
      <c r="FM214" s="32" t="inlineStr">
        <is>
          <t>Full survey answers not in the files received · How We Grow export needed · HR</t>
        </is>
      </c>
      <c r="FN214" s="56" t="inlineStr">
        <is>
          <t>—</t>
        </is>
      </c>
      <c r="FO214" s="56" t="inlineStr">
        <is>
          <t>—</t>
        </is>
      </c>
      <c r="FP214" s="56" t="inlineStr">
        <is>
          <t>—</t>
        </is>
      </c>
      <c r="FQ214" s="56" t="inlineStr">
        <is>
          <t>—</t>
        </is>
      </c>
      <c r="FR214" s="56" t="inlineStr">
        <is>
          <t>Complexity: Evidence reads like B1: RBI CIMS return developments, taxonomy changes, validation rules and client customisations across assigned banks → matches the start
Autonomy: Evidence reads like A3: Analyses and resolves routine client issues independently; escalates others → moved down 0.5
Accountability: Evidence reads like B1: Assigned bank clients end to end; timely, accurate return and taxonomy deliveries → matches the start
Leadership: Evidence reads like A1: None described → moved down 1
Business Impact: Moved +0.5: the survey / manager mapping marks it business-critical.</t>
        </is>
      </c>
      <c r="FS214" s="56" t="inlineStr">
        <is>
          <t>Common themes in role-holders' answers: business · smooth · between · client · am · requirements
Common themes in role-holders' answers: requirement · stakeholder · gathering · client · project · portfolio
Common themes in role-holders' answers: product · regulator
Common themes in role-holders' answers: requirement · client · time · issue · assigned
Common themes in role-holders' answers: documentation
If the work is missed · role-holders' themes: client · delivery · escalation · unresolved · without.
Measured on · manager-set KRA themes: releases · satisfaction · delivery · assigned · requirement.</t>
        </is>
      </c>
      <c r="FT214" s="56" t="inlineStr">
        <is>
          <t>Self-identified: AI / automation · Leadership &amp; people management · Project / programme management · Client, sales &amp; stakeholders · Strategy &amp; business acumen
For the next role: AI / automation · Leadership &amp; people management · Project / programme management · Client, sales &amp; stakeholders · Strategy &amp; business acumen</t>
        </is>
      </c>
      <c r="FU214" s="32" t="inlineStr">
        <is>
          <t>Full survey answers not in the files received · How We Grow export needed · HR</t>
        </is>
      </c>
    </row>
    <row r="215" ht="90" customHeight="1">
      <c r="A215" s="51" t="inlineStr">
        <is>
          <t>◂ Back</t>
        </is>
      </c>
      <c r="B215" s="29" t="inlineStr">
        <is>
          <t>Mapped</t>
        </is>
      </c>
      <c r="C215" s="28" t="inlineStr">
        <is>
          <t>iDEAL</t>
        </is>
      </c>
      <c r="D215" s="29" t="inlineStr">
        <is>
          <t>IRIS2142</t>
        </is>
      </c>
      <c r="E215" s="29" t="inlineStr">
        <is>
          <t>Nilam Anandrao Kadam</t>
        </is>
      </c>
      <c r="F215" s="29" t="inlineStr">
        <is>
          <t>Technology</t>
        </is>
      </c>
      <c r="G215" s="29" t="inlineStr">
        <is>
          <t>Business Analyst</t>
        </is>
      </c>
      <c r="H215" s="29" t="inlineStr">
        <is>
          <t>Senior Business Analyst</t>
        </is>
      </c>
      <c r="I215" s="29" t="inlineStr">
        <is>
          <t>L3 – Professional / Associate</t>
        </is>
      </c>
      <c r="J215" s="29" t="inlineStr">
        <is>
          <t>A3</t>
        </is>
      </c>
      <c r="K215" s="29" t="inlineStr">
        <is>
          <t>▲ Up</t>
        </is>
      </c>
      <c r="L215" s="29" t="inlineStr">
        <is>
          <t>Business Analysis</t>
        </is>
      </c>
      <c r="M215" s="29" t="inlineStr">
        <is>
          <t>Business Analysis</t>
        </is>
      </c>
      <c r="N215" s="29" t="n"/>
      <c r="O215" s="29" t="n">
        <v>0</v>
      </c>
      <c r="P215" s="28" t="inlineStr">
        <is>
          <t>P2</t>
        </is>
      </c>
      <c r="Q215" s="29" t="inlineStr">
        <is>
          <t>Developing</t>
        </is>
      </c>
      <c r="R215" s="29" t="inlineStr">
        <is>
          <t>3 Apply</t>
        </is>
      </c>
      <c r="S215" s="29" t="inlineStr">
        <is>
          <t>2–4 yrs</t>
        </is>
      </c>
      <c r="T215" s="29" t="inlineStr">
        <is>
          <t>3–5 · 2–5</t>
        </is>
      </c>
      <c r="U215" s="29" t="inlineStr">
        <is>
          <t>Business Analyst</t>
        </is>
      </c>
      <c r="V215" s="29" t="inlineStr">
        <is>
          <t>Regnology — regulatory reporting: Junior BA · Reg Reporting · Big Four consulting: Consultant · IRIS Vs Market Benchmark — IIBA certification pathway: ECBA · Infosys / Accenture: JL3A · L10 Senior Analyst</t>
        </is>
      </c>
      <c r="W215" s="29" t="inlineStr">
        <is>
          <t>IIBA BABOK v3; certifications ECBA · entry → CCBA → CBAP · senior</t>
        </is>
      </c>
      <c r="X215" s="29" t="inlineStr">
        <is>
          <t>Core 2 · Future 2 · Functional 3 · Leadership not scored</t>
        </is>
      </c>
      <c r="Y215" s="52" t="n">
        <v>278</v>
      </c>
      <c r="Z215" s="53" t="inlineStr">
        <is>
          <t>IRIS2142</t>
        </is>
      </c>
      <c r="AA215" s="53" t="inlineStr">
        <is>
          <t>Employee</t>
        </is>
      </c>
      <c r="AB215" s="53" t="inlineStr">
        <is>
          <t>Active</t>
        </is>
      </c>
      <c r="AC215" s="53" t="inlineStr">
        <is>
          <t>Nilam Anandrao Kadam</t>
        </is>
      </c>
      <c r="AD215" s="54" t="n">
        <v>45083</v>
      </c>
      <c r="AE215" s="53" t="inlineStr">
        <is>
          <t>Business Analyst</t>
        </is>
      </c>
      <c r="AF215" s="53" t="inlineStr">
        <is>
          <t>MBA</t>
        </is>
      </c>
      <c r="AG215" s="53" t="inlineStr">
        <is>
          <t>Dnyaneshwar Daund</t>
        </is>
      </c>
      <c r="AH215" s="53" t="inlineStr">
        <is>
          <t>N-4</t>
        </is>
      </c>
      <c r="AI215" s="53" t="inlineStr">
        <is>
          <t>Individual Contributor</t>
        </is>
      </c>
      <c r="AJ215" s="53" t="inlineStr">
        <is>
          <t>2 years, 7 months, 0 days</t>
        </is>
      </c>
      <c r="AK215" s="53" t="inlineStr">
        <is>
          <t>3 years, 2 months, 19 days</t>
        </is>
      </c>
      <c r="AL215" s="53" t="inlineStr">
        <is>
          <t>Regtech</t>
        </is>
      </c>
      <c r="AM215" s="53" t="inlineStr">
        <is>
          <t>iDEAL</t>
        </is>
      </c>
      <c r="AN215" s="53" t="inlineStr">
        <is>
          <t>Technology</t>
        </is>
      </c>
      <c r="AO215" s="53" t="inlineStr">
        <is>
          <t>Business Analysis</t>
        </is>
      </c>
      <c r="AP215" s="53" t="inlineStr">
        <is>
          <t>No</t>
        </is>
      </c>
      <c r="AQ215" s="53" t="inlineStr">
        <is>
          <t>Product/Project</t>
        </is>
      </c>
      <c r="AR215" s="53" t="inlineStr">
        <is>
          <t>Business Analysis</t>
        </is>
      </c>
      <c r="AS215" s="53" t="inlineStr">
        <is>
          <t>Technical · BA, PM and QA</t>
        </is>
      </c>
      <c r="AT215" s="53" t="n">
        <v>0</v>
      </c>
      <c r="AU215" s="53" t="inlineStr">
        <is>
          <t>E-Maternity</t>
        </is>
      </c>
      <c r="AV215" s="53" t="n"/>
      <c r="AW215" s="53" t="n"/>
      <c r="AX215" s="53" t="n"/>
      <c r="AY215" s="53" t="n"/>
      <c r="AZ215" s="53" t="n"/>
      <c r="BA215" s="53" t="n"/>
      <c r="BB215" s="53" t="n"/>
      <c r="BC215" s="53" t="n"/>
      <c r="BD215" s="53" t="n"/>
      <c r="BE215" s="53" t="n"/>
      <c r="BF215" s="53" t="n"/>
      <c r="BG215" s="53" t="n"/>
      <c r="BH215" s="53" t="n"/>
      <c r="BI215" s="53" t="n"/>
      <c r="BJ215" s="53" t="n"/>
      <c r="BK215" s="53" t="n"/>
      <c r="BL215" s="53" t="n"/>
      <c r="BM215" s="53" t="n"/>
      <c r="BN215" s="53" t="n"/>
      <c r="BO215" s="53" t="n"/>
      <c r="BP215" s="53" t="n"/>
      <c r="BQ215" s="53" t="n"/>
      <c r="BR215" s="53" t="n"/>
      <c r="BS215" s="53" t="n"/>
      <c r="BT215" s="53" t="n"/>
      <c r="BU215" s="53" t="n"/>
      <c r="BV215" s="53" t="n"/>
      <c r="BW215" s="53" t="n"/>
      <c r="BX215" s="53" t="n"/>
      <c r="BY215" s="53" t="n"/>
      <c r="BZ215" s="53" t="n"/>
      <c r="CA215" s="53" t="n"/>
      <c r="CB215" s="53" t="n"/>
      <c r="CC215" s="53" t="n"/>
      <c r="CD215" s="53" t="n"/>
      <c r="CE215" s="53" t="n"/>
      <c r="CF215" s="53" t="n"/>
      <c r="CG215" s="53" t="n"/>
      <c r="CH215" s="53" t="n"/>
      <c r="CI215" s="53" t="n"/>
      <c r="CJ215" s="53" t="n"/>
      <c r="CK215" s="53" t="n"/>
      <c r="CL215" s="53" t="n"/>
      <c r="CM215" s="53" t="n"/>
      <c r="CN215" s="53" t="n"/>
      <c r="CO215" s="53" t="n"/>
      <c r="CP215" s="53" t="n"/>
      <c r="CQ215" s="53" t="n"/>
      <c r="CR215" s="53" t="n"/>
      <c r="CS215" s="53" t="n"/>
      <c r="CT215" s="53" t="n"/>
      <c r="CU215" s="53" t="n"/>
      <c r="CV215" s="53" t="n"/>
      <c r="CW215" s="53" t="n"/>
      <c r="CX215" s="53" t="n"/>
      <c r="CY215" s="53" t="n"/>
      <c r="CZ215" s="53" t="n"/>
      <c r="DA215" s="53" t="n"/>
      <c r="DB215" s="53" t="n"/>
      <c r="DC215" s="53" t="n"/>
      <c r="DD215" s="53" t="inlineStr">
        <is>
          <t>IRIS2142</t>
        </is>
      </c>
      <c r="DE215" s="53" t="inlineStr">
        <is>
          <t>Employee</t>
        </is>
      </c>
      <c r="DF215" s="53" t="inlineStr">
        <is>
          <t>Active</t>
        </is>
      </c>
      <c r="DG215" s="53" t="inlineStr">
        <is>
          <t>Nilam Anandrao Kadam</t>
        </is>
      </c>
      <c r="DH215" s="54" t="n">
        <v>45083</v>
      </c>
      <c r="DI215" s="53" t="inlineStr">
        <is>
          <t>Business Analyst</t>
        </is>
      </c>
      <c r="DJ215" s="53" t="inlineStr">
        <is>
          <t>Business Analysis</t>
        </is>
      </c>
      <c r="DK215" s="53" t="inlineStr">
        <is>
          <t>Business / Functional Analysis</t>
        </is>
      </c>
      <c r="DL215" s="53" t="inlineStr">
        <is>
          <t>Business Analyst</t>
        </is>
      </c>
      <c r="DM215" s="53" t="inlineStr">
        <is>
          <t>L3 – Professional / Associate</t>
        </is>
      </c>
      <c r="DN215" s="53" t="inlineStr">
        <is>
          <t>MBA</t>
        </is>
      </c>
      <c r="DO215" s="53" t="inlineStr">
        <is>
          <t>Dnyaneshwar Daund</t>
        </is>
      </c>
      <c r="DP215" s="53" t="inlineStr">
        <is>
          <t>N-4</t>
        </is>
      </c>
      <c r="DQ215" s="53" t="inlineStr">
        <is>
          <t>Individual Contributor</t>
        </is>
      </c>
      <c r="DR215" s="53" t="inlineStr">
        <is>
          <t>2 years, 7 months, 0 days</t>
        </is>
      </c>
      <c r="DS215" s="53" t="inlineStr">
        <is>
          <t>3 years, 0 months, 14 days</t>
        </is>
      </c>
      <c r="DT215" s="53" t="inlineStr">
        <is>
          <t>5 years, 7 months, 14 days</t>
        </is>
      </c>
      <c r="DU215" s="53" t="n"/>
      <c r="DV215" s="53" t="inlineStr">
        <is>
          <t>Regtech</t>
        </is>
      </c>
      <c r="DW215" s="53" t="inlineStr">
        <is>
          <t>iDEAL</t>
        </is>
      </c>
      <c r="DX215" s="53" t="inlineStr">
        <is>
          <t>Technology</t>
        </is>
      </c>
      <c r="DY215" s="53" t="inlineStr">
        <is>
          <t>Business Analysis</t>
        </is>
      </c>
      <c r="DZ215" s="53" t="inlineStr">
        <is>
          <t>No</t>
        </is>
      </c>
      <c r="EA215" s="53" t="inlineStr">
        <is>
          <t>Product/Project</t>
        </is>
      </c>
      <c r="EB215" s="53" t="inlineStr">
        <is>
          <t>Business Analysis</t>
        </is>
      </c>
      <c r="EC215" s="53" t="inlineStr">
        <is>
          <t>Technical · BA, PM and QA</t>
        </is>
      </c>
      <c r="ED215" s="53" t="inlineStr">
        <is>
          <t>Remote- Outside Mumbai</t>
        </is>
      </c>
      <c r="EE215" s="53" t="inlineStr">
        <is>
          <t>On Maternity Leave</t>
        </is>
      </c>
      <c r="EF215" s="53" t="inlineStr">
        <is>
          <t>1. Effectively manage the assigned portfolio of banks and maintain high customer satisfaction, with a target of zero critical client escalations attributable to service delivery gaps.
2. Ensure 100% timely tracking, analysis, development, testing, and delivery of EBA taxonomy changes within prescribed internal timelines.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EG215" s="53" t="inlineStr">
        <is>
          <t>On Maternity Leave</t>
        </is>
      </c>
      <c r="EH215" s="53" t="n">
        <v>3</v>
      </c>
      <c r="EI215" s="54" t="n">
        <v>45931</v>
      </c>
      <c r="EJ215" s="53" t="inlineStr">
        <is>
          <t>Same as current designation</t>
        </is>
      </c>
      <c r="EK215" s="53" t="inlineStr">
        <is>
          <t>No</t>
        </is>
      </c>
      <c r="EL215" s="53" t="n">
        <v>3</v>
      </c>
      <c r="EM215" s="53" t="inlineStr">
        <is>
          <t>Medium</t>
        </is>
      </c>
      <c r="EN215" s="53" t="inlineStr">
        <is>
          <t>Trusted Professional</t>
        </is>
      </c>
      <c r="EO215" s="53" t="inlineStr">
        <is>
          <t>Not Ready</t>
        </is>
      </c>
      <c r="EP215" s="53" t="inlineStr">
        <is>
          <t>No</t>
        </is>
      </c>
      <c r="EQ215" s="53" t="inlineStr">
        <is>
          <t>Yes</t>
        </is>
      </c>
      <c r="ER215" s="53" t="n"/>
      <c r="ES215" s="53" t="inlineStr">
        <is>
          <t>Training on the effective utilization of AI tools.</t>
        </is>
      </c>
      <c r="ET215" s="53" t="n"/>
      <c r="EU215" s="53" t="n"/>
      <c r="EV215" s="53" t="n"/>
      <c r="EW215" s="52" t="n"/>
      <c r="EX215" s="53" t="n"/>
      <c r="EY215" s="53" t="n"/>
      <c r="EZ215" s="53" t="n"/>
      <c r="FA215" s="53" t="n"/>
      <c r="FB215" s="53" t="n"/>
      <c r="FC215" s="53" t="n"/>
      <c r="FD215" s="53" t="n"/>
      <c r="FE215" s="57" t="inlineStr">
        <is>
          <t>1. Effectively manage the assigned portfolio of banks and maintain high customer satisfaction, with a target of zero critical client escalations attributable to service delivery gaps.
2. Ensure 100% timely tracking, analysis, development, testing, and delivery of EBA taxonomy changes within prescribed internal timelines.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FF215" s="56" t="inlineStr">
        <is>
          <t>On Maternity Leave</t>
        </is>
      </c>
      <c r="FG215" s="56" t="inlineStr">
        <is>
          <t>On Maternity Leave</t>
        </is>
      </c>
      <c r="FH215" s="56" t="inlineStr">
        <is>
          <t>3</t>
        </is>
      </c>
      <c r="FI215" s="56" t="n"/>
      <c r="FJ215" s="56" t="inlineStr">
        <is>
          <t>Received · manager annual, quarterly, self</t>
        </is>
      </c>
      <c r="FK215" s="56" t="inlineStr">
        <is>
          <t>Talent Mapping · iDEAL</t>
        </is>
      </c>
      <c r="FL215" s="56" t="n">
        <v>0</v>
      </c>
      <c r="FM215" s="32" t="inlineStr">
        <is>
          <t>No survey response on file</t>
        </is>
      </c>
      <c r="FN215" s="56" t="inlineStr">
        <is>
          <t>—</t>
        </is>
      </c>
      <c r="FO215" s="56" t="inlineStr">
        <is>
          <t>—</t>
        </is>
      </c>
      <c r="FP215" s="56" t="inlineStr">
        <is>
          <t>—</t>
        </is>
      </c>
      <c r="FQ215" s="56" t="inlineStr">
        <is>
          <t>—</t>
        </is>
      </c>
      <c r="FR215" s="56" t="inlineStr">
        <is>
          <t>Complexity: Evidence reads like A3: Manager note only: tracks, analyses and delivers EBA taxonomy changes; UAT and production deployments for banks → matches the start
Autonomy: Evidence reads like A2: No survey; note shows query handling and follow-ups within set timelines, no stated authority → moved down 0.5
Accountability: Evidence reads like A3: Note: assigned portfolio of banks, report/taxonomy updates delivered before filing dates → matches the start
Leadership: Evidence reads like A1: No survey answers; manager note describes no guidance of others → moved down 0.5
Business Impact: Moved +0.5: the survey / manager mapping marks it business-critical.</t>
        </is>
      </c>
      <c r="FS215" s="56" t="inlineStr">
        <is>
          <t>Common themes in role-holders' answers: business · requirements · technical · between · client · understand
Common themes in role-holders' answers: documentation · requirement · client · gathering · coordination · managing
Common themes in role-holders' answers: deliver · product · client · requirement · process · business
Common themes in role-holders' answers: requirements · accountable · delivery · quality · documentation · timely
Common themes in role-holders' answers: documentation · prioritize · user stories · process · project
If the work is missed · role-holders' themes: rework · client.
Measured on · manager-set KRA themes: delivery · assigned · project · requests · satisfaction.</t>
        </is>
      </c>
      <c r="FT215" s="56" t="n"/>
      <c r="FU215" s="32" t="inlineStr">
        <is>
          <t>No survey response on file</t>
        </is>
      </c>
    </row>
    <row r="216" ht="90" customHeight="1">
      <c r="A216" s="51" t="inlineStr">
        <is>
          <t>◂ Back</t>
        </is>
      </c>
      <c r="B216" s="29" t="inlineStr">
        <is>
          <t>Mapped</t>
        </is>
      </c>
      <c r="C216" s="28" t="inlineStr">
        <is>
          <t>iDEAL</t>
        </is>
      </c>
      <c r="D216" s="29" t="inlineStr">
        <is>
          <t>IRIS2067</t>
        </is>
      </c>
      <c r="E216" s="29" t="inlineStr">
        <is>
          <t>Silky Agarwal</t>
        </is>
      </c>
      <c r="F216" s="29" t="inlineStr">
        <is>
          <t>Technology</t>
        </is>
      </c>
      <c r="G216" s="29" t="inlineStr">
        <is>
          <t>Business Analyst</t>
        </is>
      </c>
      <c r="H216" s="29" t="inlineStr">
        <is>
          <t>Senior Business Analyst</t>
        </is>
      </c>
      <c r="I216" s="29" t="inlineStr">
        <is>
          <t>L3 – Professional / Associate</t>
        </is>
      </c>
      <c r="J216" s="29" t="inlineStr">
        <is>
          <t>A3</t>
        </is>
      </c>
      <c r="K216" s="29" t="inlineStr">
        <is>
          <t>▲ Up</t>
        </is>
      </c>
      <c r="L216" s="29" t="inlineStr">
        <is>
          <t>Business Analysis</t>
        </is>
      </c>
      <c r="M216" s="29" t="inlineStr">
        <is>
          <t>Business Analysis</t>
        </is>
      </c>
      <c r="N216" s="29" t="n"/>
      <c r="O216" s="29" t="n">
        <v>20</v>
      </c>
      <c r="P216" s="28" t="inlineStr">
        <is>
          <t>P2</t>
        </is>
      </c>
      <c r="Q216" s="29" t="inlineStr">
        <is>
          <t>Developing</t>
        </is>
      </c>
      <c r="R216" s="29" t="inlineStr">
        <is>
          <t>3 Apply</t>
        </is>
      </c>
      <c r="S216" s="29" t="inlineStr">
        <is>
          <t>2–4 yrs</t>
        </is>
      </c>
      <c r="T216" s="29" t="inlineStr">
        <is>
          <t>3–5 · 2–5</t>
        </is>
      </c>
      <c r="U216" s="29" t="inlineStr">
        <is>
          <t>Business Analyst</t>
        </is>
      </c>
      <c r="V216" s="29" t="inlineStr">
        <is>
          <t>Regnology — regulatory reporting: Junior BA · Reg Reporting · Big Four consulting: Consultant · IRIS Vs Market Benchmark — IIBA certification pathway: ECBA · Infosys / Accenture: JL3A · L10 Senior Analyst</t>
        </is>
      </c>
      <c r="W216" s="29" t="inlineStr">
        <is>
          <t>IIBA BABOK v3; certifications ECBA · entry → CCBA → CBAP · senior</t>
        </is>
      </c>
      <c r="X216" s="29" t="inlineStr">
        <is>
          <t>Core 2 · Future 2 · Functional 3 · Leadership not scored</t>
        </is>
      </c>
      <c r="Y216" s="52" t="n">
        <v>243</v>
      </c>
      <c r="Z216" s="53" t="inlineStr">
        <is>
          <t>IRIS2067</t>
        </is>
      </c>
      <c r="AA216" s="53" t="inlineStr">
        <is>
          <t>Employee</t>
        </is>
      </c>
      <c r="AB216" s="53" t="inlineStr">
        <is>
          <t>Active</t>
        </is>
      </c>
      <c r="AC216" s="53" t="inlineStr">
        <is>
          <t>Silky Agarwal</t>
        </is>
      </c>
      <c r="AD216" s="54" t="n">
        <v>44837</v>
      </c>
      <c r="AE216" s="53" t="inlineStr">
        <is>
          <t>Business Analyst</t>
        </is>
      </c>
      <c r="AF216" s="53" t="inlineStr">
        <is>
          <t>MBA</t>
        </is>
      </c>
      <c r="AG216" s="53" t="inlineStr">
        <is>
          <t>Dnyaneshwar Daund</t>
        </is>
      </c>
      <c r="AH216" s="53" t="inlineStr">
        <is>
          <t>N-4</t>
        </is>
      </c>
      <c r="AI216" s="53" t="inlineStr">
        <is>
          <t>Individual Contributor</t>
        </is>
      </c>
      <c r="AJ216" s="53" t="inlineStr">
        <is>
          <t>0 years, 4 months, 0 days</t>
        </is>
      </c>
      <c r="AK216" s="53" t="inlineStr">
        <is>
          <t>3 years, 10 months, 22 days</t>
        </is>
      </c>
      <c r="AL216" s="53" t="inlineStr">
        <is>
          <t>Regtech</t>
        </is>
      </c>
      <c r="AM216" s="53" t="inlineStr">
        <is>
          <t>iDEAL</t>
        </is>
      </c>
      <c r="AN216" s="53" t="inlineStr">
        <is>
          <t>Technology</t>
        </is>
      </c>
      <c r="AO216" s="53" t="inlineStr">
        <is>
          <t>Business Analysis</t>
        </is>
      </c>
      <c r="AP216" s="53" t="inlineStr">
        <is>
          <t>No</t>
        </is>
      </c>
      <c r="AQ216" s="53" t="inlineStr">
        <is>
          <t>Product/Project</t>
        </is>
      </c>
      <c r="AR216" s="53" t="inlineStr">
        <is>
          <t>Business Analysis</t>
        </is>
      </c>
      <c r="AS216" s="53" t="inlineStr">
        <is>
          <t>Technical · BA, PM and QA</t>
        </is>
      </c>
      <c r="AT216" s="53" t="n">
        <v>20</v>
      </c>
      <c r="AU216" s="53" t="inlineStr">
        <is>
          <t>Covered</t>
        </is>
      </c>
      <c r="AV216" s="53" t="n"/>
      <c r="AW216" s="53" t="n"/>
      <c r="AX216" s="53" t="n"/>
      <c r="AY216" s="53" t="n"/>
      <c r="AZ216" s="53" t="n"/>
      <c r="BA216" s="53" t="n"/>
      <c r="BB216" s="53" t="n"/>
      <c r="BC216" s="53" t="n"/>
      <c r="BD216" s="53" t="n"/>
      <c r="BE216" s="53" t="n"/>
      <c r="BF216" s="53" t="n"/>
      <c r="BG216" s="53" t="n"/>
      <c r="BH216" s="53" t="n"/>
      <c r="BI216" s="53" t="n"/>
      <c r="BJ216" s="53" t="n"/>
      <c r="BK216" s="53" t="n"/>
      <c r="BL216" s="53" t="n"/>
      <c r="BM216" s="53" t="n"/>
      <c r="BN216" s="53" t="n"/>
      <c r="BO216" s="53" t="n"/>
      <c r="BP216" s="53" t="n"/>
      <c r="BQ216" s="53" t="n"/>
      <c r="BR216" s="53" t="n"/>
      <c r="BS216" s="53" t="n"/>
      <c r="BT216" s="53" t="n"/>
      <c r="BU216" s="53" t="n"/>
      <c r="BV216" s="53" t="n"/>
      <c r="BW216" s="53" t="n"/>
      <c r="BX216" s="53" t="n"/>
      <c r="BY216" s="53" t="n"/>
      <c r="BZ216" s="53" t="n"/>
      <c r="CA216" s="53" t="n"/>
      <c r="CB216" s="53" t="n"/>
      <c r="CC216" s="53" t="n"/>
      <c r="CD216" s="53" t="n"/>
      <c r="CE216" s="53" t="n"/>
      <c r="CF216" s="53" t="n"/>
      <c r="CG216" s="53" t="n"/>
      <c r="CH216" s="53" t="n"/>
      <c r="CI216" s="53" t="n"/>
      <c r="CJ216" s="53" t="n"/>
      <c r="CK216" s="53" t="n"/>
      <c r="CL216" s="53" t="n"/>
      <c r="CM216" s="53" t="n"/>
      <c r="CN216" s="53" t="n"/>
      <c r="CO216" s="53" t="n"/>
      <c r="CP216" s="53" t="n"/>
      <c r="CQ216" s="53" t="n"/>
      <c r="CR216" s="53" t="n"/>
      <c r="CS216" s="53" t="n"/>
      <c r="CT216" s="53" t="n"/>
      <c r="CU216" s="53" t="n"/>
      <c r="CV216" s="53" t="n"/>
      <c r="CW216" s="53" t="n"/>
      <c r="CX216" s="53" t="n"/>
      <c r="CY216" s="53" t="n"/>
      <c r="CZ216" s="53" t="n"/>
      <c r="DA216" s="53" t="n"/>
      <c r="DB216" s="53" t="n"/>
      <c r="DC216" s="53" t="n"/>
      <c r="DD216" s="53" t="inlineStr">
        <is>
          <t>IRIS2067</t>
        </is>
      </c>
      <c r="DE216" s="53" t="inlineStr">
        <is>
          <t>Employee</t>
        </is>
      </c>
      <c r="DF216" s="53" t="inlineStr">
        <is>
          <t>Active</t>
        </is>
      </c>
      <c r="DG216" s="53" t="inlineStr">
        <is>
          <t>Silky Agarwal</t>
        </is>
      </c>
      <c r="DH216" s="54" t="n">
        <v>44837</v>
      </c>
      <c r="DI216" s="53" t="inlineStr">
        <is>
          <t>Business Analyst</t>
        </is>
      </c>
      <c r="DJ216" s="53" t="inlineStr">
        <is>
          <t>Business Analysis</t>
        </is>
      </c>
      <c r="DK216" s="53" t="inlineStr">
        <is>
          <t>Business / Functional Analysis</t>
        </is>
      </c>
      <c r="DL216" s="53" t="inlineStr">
        <is>
          <t>Business Analyst</t>
        </is>
      </c>
      <c r="DM216" s="53" t="inlineStr">
        <is>
          <t>L3 – Professional / Associate</t>
        </is>
      </c>
      <c r="DN216" s="53" t="inlineStr">
        <is>
          <t>MBA</t>
        </is>
      </c>
      <c r="DO216" s="53" t="inlineStr">
        <is>
          <t>Dnyaneshwar Daund</t>
        </is>
      </c>
      <c r="DP216" s="53" t="inlineStr">
        <is>
          <t>N-4</t>
        </is>
      </c>
      <c r="DQ216" s="53" t="inlineStr">
        <is>
          <t>Individual Contributor</t>
        </is>
      </c>
      <c r="DR216" s="53" t="inlineStr">
        <is>
          <t>0 years, 4 months, 0 days</t>
        </is>
      </c>
      <c r="DS216" s="53" t="inlineStr">
        <is>
          <t>3 years, 8 months, 17 days</t>
        </is>
      </c>
      <c r="DT216" s="53" t="inlineStr">
        <is>
          <t>4 years, 0 months, 17 days</t>
        </is>
      </c>
      <c r="DU216" s="53" t="n"/>
      <c r="DV216" s="53" t="inlineStr">
        <is>
          <t>Regtech</t>
        </is>
      </c>
      <c r="DW216" s="53" t="inlineStr">
        <is>
          <t>iDEAL</t>
        </is>
      </c>
      <c r="DX216" s="53" t="inlineStr">
        <is>
          <t>Technology</t>
        </is>
      </c>
      <c r="DY216" s="53" t="inlineStr">
        <is>
          <t>Business Analysis</t>
        </is>
      </c>
      <c r="DZ216" s="53" t="inlineStr">
        <is>
          <t>No</t>
        </is>
      </c>
      <c r="EA216" s="53" t="inlineStr">
        <is>
          <t>Product/Project</t>
        </is>
      </c>
      <c r="EB216" s="53" t="inlineStr">
        <is>
          <t>Business Analysis</t>
        </is>
      </c>
      <c r="EC216" s="53" t="inlineStr">
        <is>
          <t>Technical · BA, PM and QA</t>
        </is>
      </c>
      <c r="ED216" s="53" t="inlineStr">
        <is>
          <t>Remote- Outside Mumbai</t>
        </is>
      </c>
      <c r="EE216" s="53" t="inlineStr">
        <is>
          <t>1. Lead End-to-End Regulatory Reporting Implementations: Take complete ownership of assigned regulatory reporting initiatives by managing the entire project lifecycle—from requirement gathering, functional analysis, documentation, stakeholder sign-offs, testing coordination, CAB approvals, deployment planning, and production support—while ensuring delivery within committed timelines and quality standards.
2. Deliver Comprehensive Documentation and Conducting Demo of the Application: Prepare high-quality BRDs, Functional Specifications, User Manuals, Mapping Documents, and implementation documentation that ensure clear communication between business, development, and clients.
Drive functional demonstrations of the iDEAL application by presenting RBI EBR functionalities, new product features, and application enhancements to clients and internal teams,
3. Build Technical Expertise to Improve Delivery Efficiency: Strengthen technical capabilities in SQL, Advanced Microsoft Excel, Power BI, SDMX, Agile Business Analysis, AI-assisted Business Analysis, and Project Management, and apply these skills to improve data validation, production issue analysis, reporting efficiency, dashboard creation, automation opportunities, and overall solution quality across regulatory reporting projects.
4. Develop Future Business Analysts and Strengthen Team Capability: Mentor newly onboarded Business Analysts by conducting structured onboarding sessions, reviewing requirement documents, sharing functional knowledge, and providing guidance on client communication, production support, and best practices. Enable new team members to independently manage assigned client portfolios while contributing to the overall capability and scalability of the BA team. i.e already taken session on RBR deployment but 
5. Demonstrate Leadership Through Delivery Ownership: Progress from a support-focused Business Analyst to a delivery-focused functional lead by proactively driving cross-functional discussions, managing project risks and dependencies, coordinating stakeholders, mentoring team members, and ensuring successful execution of strategic initiatives. Demonstrate the capability to independently lead implementation activities and prepare for broader delivery and leadership responsibilities within IRIS.</t>
        </is>
      </c>
      <c r="EF216" s="53" t="inlineStr">
        <is>
          <t>1. Effectively manage the assigned portfolio of banks and maintain high customer satisfaction, with a target of zero critical client escalations attributable to service delivery gaps.
2. Contribute to the successful delivery of SARB Phase 4 by actively supporting backlog requirement discussions, analysis, testing, and implementation activities, ensuring 100% completion of assigned deliverables by December 2026.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EG216" s="53" t="inlineStr">
        <is>
          <t>1.Acquire in-depth knowledge of EBR SDMX reports, validations, and implementation processes to independently provide effective client support for assigned clients by Aug 2026.
2. Actively participate and support the SARB Phase 4 backlog requirements gathering, analysis, testing, and implementation activities to ensure timely project delivery by Dec 2026.
3. Organize and conduct at least 2–3 knowledge-sharing sessions every month until Sep 2026 on RBI CIMS report error handling · Excebased &amp; DB, troubleshooting, and critical report validations for new joiners.</t>
        </is>
      </c>
      <c r="EH216" s="53" t="n">
        <v>3</v>
      </c>
      <c r="EI216" s="54" t="n">
        <v>45931</v>
      </c>
      <c r="EJ216" s="53" t="inlineStr">
        <is>
          <t>Same as current designation</t>
        </is>
      </c>
      <c r="EK216" s="53" t="inlineStr">
        <is>
          <t>No</t>
        </is>
      </c>
      <c r="EL216" s="53" t="n">
        <v>3</v>
      </c>
      <c r="EM216" s="53" t="inlineStr">
        <is>
          <t>Medium</t>
        </is>
      </c>
      <c r="EN216" s="53" t="inlineStr">
        <is>
          <t>Emerging Talent</t>
        </is>
      </c>
      <c r="EO216" s="53" t="inlineStr">
        <is>
          <t>Not Ready</t>
        </is>
      </c>
      <c r="EP216" s="53" t="inlineStr">
        <is>
          <t>No</t>
        </is>
      </c>
      <c r="EQ216" s="53" t="inlineStr">
        <is>
          <t>Yes</t>
        </is>
      </c>
      <c r="ER216" s="53" t="n"/>
      <c r="ES216" s="53" t="inlineStr">
        <is>
          <t>Training on the effective utilization of AI tools.</t>
        </is>
      </c>
      <c r="ET216" s="53" t="n"/>
      <c r="EU216" s="53" t="n"/>
      <c r="EV216" s="53" t="n"/>
      <c r="EW216" s="52" t="n"/>
      <c r="EX216" s="53" t="n"/>
      <c r="EY216" s="53" t="n"/>
      <c r="EZ216" s="53" t="n"/>
      <c r="FA216" s="53" t="n"/>
      <c r="FB216" s="53" t="n"/>
      <c r="FC216" s="53" t="n"/>
      <c r="FD216" s="53" t="n"/>
      <c r="FE216" s="57" t="inlineStr">
        <is>
          <t>1. Effectively manage the assigned portfolio of banks and maintain high customer satisfaction, with a target of zero critical client escalations attributable to service delivery gaps.
2. Contribute to the successful delivery of SARB Phase 4 by actively supporting backlog requirement discussions, analysis, testing, and implementation activities, ensuring 100% completion of assigned deliverables by December 2026.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FF216" s="56" t="inlineStr">
        <is>
          <t>1.Acquire in-depth knowledge of EBR SDMX reports, validations, and implementation processes to independently provide effective client support for assigned clients by Aug 2026.
2. Actively participate and support the SARB Phase 4 backlog requirements gathering, analysis, testing, and implementation activities to ensure timely project delivery by Dec 2026.
3. Organize and conduct at least 2–3 knowledge-sharing sessions every month until Sep 2026 on RBI CIMS report error handling · Excebased &amp; DB, troubleshooting, and critical report validations for new joiners.</t>
        </is>
      </c>
      <c r="FG216" s="56" t="inlineStr">
        <is>
          <t>1. Lead End-to-End Regulatory Reporting Implementations: Take complete ownership of assigned regulatory reporting initiatives by managing the entire project lifecycle—from requirement gathering, functional analysis, documentation, stakeholder sign-offs, testing coordination, CAB approvals, deployment planning, and production support—while ensuring delivery within committed timelines and quality standards.
2. Deliver Comprehensive Documentation and Conducting Demo of the Application: Prepare high-quality BRDs, Functional Specifications, User Manuals, Mapping Documents, and implementation documentation that ensure clear communication between business, development, and clients.
Drive functional demonstrations of the iDEAL application by presenting RBI EBR functionalities, new product features, and application enhancements to clients and internal teams,
3. Build Technical Expertise to Improve Delivery Efficiency: Strengthen technical capabilities in SQL, Advanced Microsoft Excel, Power BI, SDMX, Agile Business Analysis, AI-assisted Business Analysis, and Project Management, and apply these skills to improve data validation, production issue analysis, reporting efficiency, dashboard creation, automation opportunities, and overall solution quality across regulatory reporting projects.
4. Develop Future Business Analysts and Strengthen Team Capability: Mentor newly onboarded Business Analysts by conducting structured onboarding sessions, reviewing requirement documents, sharing functional knowledge, and providing guidance on client communication, production support, and best practices. Enable new team members to independently manage assigned client portfolios while contributing to the overall capability and scalability of the BA team. i.e already taken session on RBR deployment but 
5. Demonstrate Leadership Through Delivery Ownership: Progress from a support-focused Business Analyst to a delivery-focused functional lead by proactively driving cross-functional discussions, managing project risks and dependencies, coordinating stakeholders, mentoring team members, and ensuring successful execution of strategic initiatives. Demonstrate the capability to independently lead implementation activities and prepare for broader delivery and leadership responsibilities within IRIS.</t>
        </is>
      </c>
      <c r="FH216" s="56" t="inlineStr">
        <is>
          <t>3</t>
        </is>
      </c>
      <c r="FI216" s="56" t="n"/>
      <c r="FJ216" s="56" t="inlineStr">
        <is>
          <t>Received · manager annual, quarterly, self</t>
        </is>
      </c>
      <c r="FK216" s="56" t="inlineStr">
        <is>
          <t>Talent Mapping · iDEAL</t>
        </is>
      </c>
      <c r="FL216" s="56" t="n">
        <v>20</v>
      </c>
      <c r="FM216" s="32" t="inlineStr">
        <is>
          <t>Full survey answers not in the files received · How We Grow export needed · HR</t>
        </is>
      </c>
      <c r="FN216" s="56" t="inlineStr">
        <is>
          <t>—</t>
        </is>
      </c>
      <c r="FO216" s="56" t="inlineStr">
        <is>
          <t>—</t>
        </is>
      </c>
      <c r="FP216" s="56" t="inlineStr">
        <is>
          <t>—</t>
        </is>
      </c>
      <c r="FQ216" s="56" t="inlineStr">
        <is>
          <t>—</t>
        </is>
      </c>
      <c r="FR216" s="56" t="inlineStr">
        <is>
          <t>Business Impact: Moved +0.5: the survey / manager mapping marks it business-critical.</t>
        </is>
      </c>
      <c r="FS216" s="56" t="inlineStr">
        <is>
          <t>Common themes in role-holders' answers: business · requirements · technical · between · client · understand
Common themes in role-holders' answers: documentation · requirement · client · gathering · coordination · managing
Common themes in role-holders' answers: deliver · product · client · requirement · process · business
Common themes in role-holders' answers: requirements · accountable · delivery · quality · documentation · timely
Common themes in role-holders' answers: documentation · prioritize · user stories · process · project
If the work is missed · role-holders' themes: rework · client.
Measured on · manager-set KRA themes: delivery · assigned · project · requests · satisfaction.</t>
        </is>
      </c>
      <c r="FT216" s="56" t="inlineStr">
        <is>
          <t>Self-identified: Leadership &amp; people management · Project / programme management · Domain, regulatory &amp; XBRL · Client, sales &amp; stakeholders · Strategy &amp; business acumen · Broader exposure &amp; ownership
For the next role: Leadership &amp; people management · Project / programme management · Domain, regulatory &amp; XBRL · Client, sales &amp; stakeholders · Strategy &amp; business acumen · Broader exposure &amp; ownership</t>
        </is>
      </c>
      <c r="FU216" s="32" t="inlineStr">
        <is>
          <t>Full survey answers not in the files received · How We Grow export needed · HR</t>
        </is>
      </c>
    </row>
    <row r="217" ht="90" customHeight="1">
      <c r="A217" s="51" t="inlineStr">
        <is>
          <t>◂ Back</t>
        </is>
      </c>
      <c r="B217" s="29" t="inlineStr">
        <is>
          <t>Mapped</t>
        </is>
      </c>
      <c r="C217" s="28" t="inlineStr">
        <is>
          <t>iDEAL</t>
        </is>
      </c>
      <c r="D217" s="29" t="inlineStr">
        <is>
          <t>IRIS2466</t>
        </is>
      </c>
      <c r="E217" s="29" t="inlineStr">
        <is>
          <t>Vidyasagar Reddy</t>
        </is>
      </c>
      <c r="F217" s="29" t="inlineStr">
        <is>
          <t>Technology</t>
        </is>
      </c>
      <c r="G217" s="29" t="inlineStr">
        <is>
          <t>Business Analyst</t>
        </is>
      </c>
      <c r="H217" s="29" t="inlineStr">
        <is>
          <t>Senior Business Analyst</t>
        </is>
      </c>
      <c r="I217" s="29" t="inlineStr">
        <is>
          <t>L3 – Professional / Associate</t>
        </is>
      </c>
      <c r="J217" s="29" t="inlineStr">
        <is>
          <t>A3</t>
        </is>
      </c>
      <c r="K217" s="29" t="inlineStr">
        <is>
          <t>▲ Up</t>
        </is>
      </c>
      <c r="L217" s="29" t="inlineStr">
        <is>
          <t>Business Analysis</t>
        </is>
      </c>
      <c r="M217" s="29" t="inlineStr">
        <is>
          <t>Business Analysis</t>
        </is>
      </c>
      <c r="N217" s="29" t="n"/>
      <c r="O217" s="29" t="n">
        <v>19</v>
      </c>
      <c r="P217" s="28" t="inlineStr">
        <is>
          <t>P2</t>
        </is>
      </c>
      <c r="Q217" s="29" t="inlineStr">
        <is>
          <t>Developing</t>
        </is>
      </c>
      <c r="R217" s="29" t="inlineStr">
        <is>
          <t>3 Apply</t>
        </is>
      </c>
      <c r="S217" s="29" t="inlineStr">
        <is>
          <t>2–4 yrs</t>
        </is>
      </c>
      <c r="T217" s="29" t="inlineStr">
        <is>
          <t>3–5 · 2–5</t>
        </is>
      </c>
      <c r="U217" s="29" t="inlineStr">
        <is>
          <t>Business Analyst</t>
        </is>
      </c>
      <c r="V217" s="29" t="inlineStr">
        <is>
          <t>Regnology — regulatory reporting: Junior BA · Reg Reporting · Big Four consulting: Consultant · IRIS Vs Market Benchmark — IIBA certification pathway: ECBA · Infosys / Accenture: JL3A · L10 Senior Analyst</t>
        </is>
      </c>
      <c r="W217" s="29" t="inlineStr">
        <is>
          <t>IIBA BABOK v3; certifications ECBA · entry → CCBA → CBAP · senior</t>
        </is>
      </c>
      <c r="X217" s="29" t="inlineStr">
        <is>
          <t>Core 2 · Future 2 · Functional 3 · Leadership not scored</t>
        </is>
      </c>
      <c r="Y217" s="52" t="n">
        <v>439</v>
      </c>
      <c r="Z217" s="53" t="inlineStr">
        <is>
          <t>IRIS2466</t>
        </is>
      </c>
      <c r="AA217" s="53" t="inlineStr">
        <is>
          <t>Employee</t>
        </is>
      </c>
      <c r="AB217" s="53" t="inlineStr">
        <is>
          <t>Active</t>
        </is>
      </c>
      <c r="AC217" s="53" t="inlineStr">
        <is>
          <t>Vidyasagar Reddy</t>
        </is>
      </c>
      <c r="AD217" s="54" t="n">
        <v>46041</v>
      </c>
      <c r="AE217" s="53" t="inlineStr">
        <is>
          <t>Business Analyst</t>
        </is>
      </c>
      <c r="AF217" s="53" t="inlineStr">
        <is>
          <t>B.Tech</t>
        </is>
      </c>
      <c r="AG217" s="53" t="inlineStr">
        <is>
          <t>Dnyaneshwar Daund</t>
        </is>
      </c>
      <c r="AH217" s="53" t="inlineStr">
        <is>
          <t>N-4</t>
        </is>
      </c>
      <c r="AI217" s="53" t="inlineStr">
        <is>
          <t>Individual Contributor</t>
        </is>
      </c>
      <c r="AJ217" s="53" t="inlineStr">
        <is>
          <t>1 years, 6 months, 0 days</t>
        </is>
      </c>
      <c r="AK217" s="53" t="inlineStr">
        <is>
          <t>0 years, 7 months, 6 days</t>
        </is>
      </c>
      <c r="AL217" s="53" t="inlineStr">
        <is>
          <t>Regtech</t>
        </is>
      </c>
      <c r="AM217" s="53" t="inlineStr">
        <is>
          <t>iDEAL</t>
        </is>
      </c>
      <c r="AN217" s="53" t="inlineStr">
        <is>
          <t>Technology</t>
        </is>
      </c>
      <c r="AO217" s="53" t="inlineStr">
        <is>
          <t>Business Analysis</t>
        </is>
      </c>
      <c r="AP217" s="53" t="inlineStr">
        <is>
          <t>No</t>
        </is>
      </c>
      <c r="AQ217" s="53" t="inlineStr">
        <is>
          <t>Product/Project</t>
        </is>
      </c>
      <c r="AR217" s="53" t="inlineStr">
        <is>
          <t>Business Analysis</t>
        </is>
      </c>
      <c r="AS217" s="53" t="inlineStr">
        <is>
          <t>Technical · BA, PM and QA</t>
        </is>
      </c>
      <c r="AT217" s="53" t="n">
        <v>20</v>
      </c>
      <c r="AU217" s="53" t="inlineStr">
        <is>
          <t>Covered</t>
        </is>
      </c>
      <c r="AV217" s="53" t="n"/>
      <c r="AW217" s="53" t="n"/>
      <c r="AX217" s="53" t="n"/>
      <c r="AY217" s="53" t="n"/>
      <c r="AZ217" s="53" t="n"/>
      <c r="BA217" s="53" t="n"/>
      <c r="BB217" s="53" t="n"/>
      <c r="BC217" s="53" t="n"/>
      <c r="BD217" s="53" t="n"/>
      <c r="BE217" s="53" t="n"/>
      <c r="BF217" s="53" t="n"/>
      <c r="BG217" s="53" t="n"/>
      <c r="BH217" s="53" t="n"/>
      <c r="BI217" s="53" t="n"/>
      <c r="BJ217" s="53" t="n"/>
      <c r="BK217" s="53" t="n"/>
      <c r="BL217" s="53" t="n"/>
      <c r="BM217" s="53" t="n"/>
      <c r="BN217" s="53" t="n"/>
      <c r="BO217" s="53" t="n"/>
      <c r="BP217" s="53" t="n"/>
      <c r="BQ217" s="53" t="n"/>
      <c r="BR217" s="53" t="n"/>
      <c r="BS217" s="53" t="n"/>
      <c r="BT217" s="53" t="n"/>
      <c r="BU217" s="53" t="n"/>
      <c r="BV217" s="53" t="n"/>
      <c r="BW217" s="53" t="n"/>
      <c r="BX217" s="53" t="n"/>
      <c r="BY217" s="53" t="n"/>
      <c r="BZ217" s="53" t="n"/>
      <c r="CA217" s="53" t="n"/>
      <c r="CB217" s="53" t="n"/>
      <c r="CC217" s="53" t="n"/>
      <c r="CD217" s="53" t="n"/>
      <c r="CE217" s="53" t="n"/>
      <c r="CF217" s="53" t="n"/>
      <c r="CG217" s="53" t="n"/>
      <c r="CH217" s="53" t="n"/>
      <c r="CI217" s="53" t="n"/>
      <c r="CJ217" s="53" t="n"/>
      <c r="CK217" s="53" t="n"/>
      <c r="CL217" s="53" t="n"/>
      <c r="CM217" s="53" t="n"/>
      <c r="CN217" s="53" t="n"/>
      <c r="CO217" s="53" t="n"/>
      <c r="CP217" s="53" t="n"/>
      <c r="CQ217" s="53" t="n"/>
      <c r="CR217" s="53" t="n"/>
      <c r="CS217" s="53" t="n"/>
      <c r="CT217" s="53" t="n"/>
      <c r="CU217" s="53" t="n"/>
      <c r="CV217" s="53" t="n"/>
      <c r="CW217" s="53" t="n"/>
      <c r="CX217" s="53" t="n"/>
      <c r="CY217" s="53" t="n"/>
      <c r="CZ217" s="53" t="n"/>
      <c r="DA217" s="53" t="n"/>
      <c r="DB217" s="53" t="n"/>
      <c r="DC217" s="53" t="n"/>
      <c r="DD217" s="53" t="inlineStr">
        <is>
          <t>IRIS2466</t>
        </is>
      </c>
      <c r="DE217" s="53" t="inlineStr">
        <is>
          <t>Employee</t>
        </is>
      </c>
      <c r="DF217" s="53" t="inlineStr">
        <is>
          <t>Active</t>
        </is>
      </c>
      <c r="DG217" s="53" t="inlineStr">
        <is>
          <t>Vidyasagar Reddy</t>
        </is>
      </c>
      <c r="DH217" s="54" t="n">
        <v>46041</v>
      </c>
      <c r="DI217" s="53" t="inlineStr">
        <is>
          <t>Business Analyst</t>
        </is>
      </c>
      <c r="DJ217" s="53" t="inlineStr">
        <is>
          <t>Business Analysis</t>
        </is>
      </c>
      <c r="DK217" s="53" t="inlineStr">
        <is>
          <t>Business / Functional Analysis</t>
        </is>
      </c>
      <c r="DL217" s="53" t="inlineStr">
        <is>
          <t>Business Analyst</t>
        </is>
      </c>
      <c r="DM217" s="53" t="inlineStr">
        <is>
          <t>L3 – Professional / Associate</t>
        </is>
      </c>
      <c r="DN217" s="53" t="inlineStr">
        <is>
          <t>B.Tech</t>
        </is>
      </c>
      <c r="DO217" s="53" t="inlineStr">
        <is>
          <t>Dnyaneshwar Daund</t>
        </is>
      </c>
      <c r="DP217" s="53" t="inlineStr">
        <is>
          <t>N-4</t>
        </is>
      </c>
      <c r="DQ217" s="53" t="inlineStr">
        <is>
          <t>Individual Contributor</t>
        </is>
      </c>
      <c r="DR217" s="53" t="inlineStr">
        <is>
          <t>1 years, 6 months, 0 days</t>
        </is>
      </c>
      <c r="DS217" s="53" t="inlineStr">
        <is>
          <t>0 years, 5 months, 1 days</t>
        </is>
      </c>
      <c r="DT217" s="53" t="inlineStr">
        <is>
          <t>1 years, 11 months, 1 days</t>
        </is>
      </c>
      <c r="DU217" s="53" t="n"/>
      <c r="DV217" s="53" t="inlineStr">
        <is>
          <t>Regtech</t>
        </is>
      </c>
      <c r="DW217" s="53" t="inlineStr">
        <is>
          <t>iDEAL</t>
        </is>
      </c>
      <c r="DX217" s="53" t="inlineStr">
        <is>
          <t>Technology</t>
        </is>
      </c>
      <c r="DY217" s="53" t="inlineStr">
        <is>
          <t>Business Analysis</t>
        </is>
      </c>
      <c r="DZ217" s="53" t="inlineStr">
        <is>
          <t>No</t>
        </is>
      </c>
      <c r="EA217" s="53" t="inlineStr">
        <is>
          <t>Product/Project</t>
        </is>
      </c>
      <c r="EB217" s="53" t="inlineStr">
        <is>
          <t>Business Analysis</t>
        </is>
      </c>
      <c r="EC217" s="53" t="inlineStr">
        <is>
          <t>Technical · BA, PM and QA</t>
        </is>
      </c>
      <c r="ED217" s="53" t="inlineStr">
        <is>
          <t>Work From Office - Turbhe</t>
        </is>
      </c>
      <c r="EE217" s="53" t="inlineStr">
        <is>
          <t>1. Independently resolve 90%+ of assigned client issues while consistently meeting SLA and quality expectations.
2. Adhere to SDLC best practices across all assigned projects and actively support the team in following standardized project delivery processes.
3. Develop strong expertise in requirement gathering, solution analysis, documentation, and stakeholder communication to handle projects with minimal supervision.
4. Contribute to product innovation by proposing and documenting value-added functional enhancements that improve customer experience and business value.
5. Build Solution Architect competencies by developing a deeper understanding of system architecture, integrations, data flow, and end-to-end solution design while contributing to implementation and product discussions.</t>
        </is>
      </c>
      <c r="EF217" s="53" t="inlineStr">
        <is>
          <t>1. By the end of July 2026, develop an in-depth understanding of the iDEAL product, business processes, and regulatory reporting framework to independently analyse client requirements, provide functional support, and contribute effectively to project delivery.
2. Gain expertise in independently handling client issues, support activities, and regulatory reporting domain knowledge with minimal supervision by September 2026.
3. By 15 July 2026, develop a thorough understanding of the CIC project and actively participate in implementation, documentation, testing, UAT, and sign-off activities to contribute to successful project execution and delivery.
4. Conduct knowledge-sharing sessions with bank users on interpreting and resolving common validation and business errors directly at the bank level, reducing dependency on the IRIS support team. This objective should be achieved by September 2026.
5. Develop expertise in onboarding and supporting Database and EBR clients, in addition to the Excel-based clients currently being managed, to expand domain knowledge and independently handle Database reports · clients by October 2026.</t>
        </is>
      </c>
      <c r="EG217" s="53" t="inlineStr">
        <is>
          <t>1. Acquire in-depth knowledge of EBR SDMX reports, validations, and implementation processes to independently provide effective client support for assigned clients by Sep 2026.
2. Actively assist Vivek Kumar in the requirement gathering, product development coordination, testing, and implementation of the CIC Reporting mandate to ensure delivery by Aug 2026.
3.Demonstrate independent ownership of the assigned client portfolio by managing support activities, resolving client issues by Sep 2026.</t>
        </is>
      </c>
      <c r="EH217" s="53" t="n">
        <v>2</v>
      </c>
      <c r="EI217" s="54" t="n">
        <v>45931</v>
      </c>
      <c r="EJ217" s="53" t="inlineStr">
        <is>
          <t>Same as current designation</t>
        </is>
      </c>
      <c r="EK217" s="53" t="inlineStr">
        <is>
          <t>No</t>
        </is>
      </c>
      <c r="EL217" s="53" t="n">
        <v>3</v>
      </c>
      <c r="EM217" s="53" t="inlineStr">
        <is>
          <t>Medium</t>
        </is>
      </c>
      <c r="EN217" s="53" t="inlineStr">
        <is>
          <t>Emerging Talent</t>
        </is>
      </c>
      <c r="EO217" s="53" t="inlineStr">
        <is>
          <t>Not Ready</t>
        </is>
      </c>
      <c r="EP217" s="53" t="inlineStr">
        <is>
          <t>No</t>
        </is>
      </c>
      <c r="EQ217" s="53" t="inlineStr">
        <is>
          <t>No</t>
        </is>
      </c>
      <c r="ER217" s="53" t="n"/>
      <c r="ES217" s="53" t="inlineStr">
        <is>
          <t>XBRL Training, Training on the effective utilization of AI tools.</t>
        </is>
      </c>
      <c r="ET217" s="53" t="n"/>
      <c r="EU217" s="53" t="n"/>
      <c r="EV217" s="53" t="n"/>
      <c r="EW217" s="52" t="n"/>
      <c r="EX217" s="53" t="n"/>
      <c r="EY217" s="53" t="n"/>
      <c r="EZ217" s="53" t="n"/>
      <c r="FA217" s="53" t="n"/>
      <c r="FB217" s="53" t="n"/>
      <c r="FC217" s="53" t="n"/>
      <c r="FD217" s="53" t="n"/>
      <c r="FE217" s="57" t="inlineStr">
        <is>
          <t>1. By the end of July 2026, develop an in-depth understanding of the iDEAL product, business processes, and regulatory reporting framework to independently analyse client requirements, provide functional support, and contribute effectively to project delivery.
2. Gain expertise in independently handling client issues, support activities, and regulatory reporting domain knowledge with minimal supervision by September 2026.
3. By 15 July 2026, develop a thorough understanding of the CIC project and actively participate in implementation, documentation, testing, UAT, and sign-off activities to contribute to successful project execution and delivery.
4. Conduct knowledge-sharing sessions with bank users on interpreting and resolving common validation and business errors directly at the bank level, reducing dependency on the IRIS support team. This objective should be achieved by September 2026.
5. Develop expertise in onboarding and supporting Database and EBR clients, in addition to the Excel-based clients currently being managed, to expand domain knowledge and independently handle Database reports · clients by October 2026.</t>
        </is>
      </c>
      <c r="FF217" s="56" t="inlineStr">
        <is>
          <t>1. Acquire in-depth knowledge of EBR SDMX reports, validations, and implementation processes to independently provide effective client support for assigned clients by Sep 2026.
2. Actively assist Vivek Kumar in the requirement gathering, product development coordination, testing, and implementation of the CIC Reporting mandate to ensure delivery by Aug 2026.
3.Demonstrate independent ownership of the assigned client portfolio by managing support activities, resolving client issues by Sep 2026.</t>
        </is>
      </c>
      <c r="FG217" s="56" t="inlineStr">
        <is>
          <t>1. Independently resolve 90%+ of assigned client issues while consistently meeting SLA and quality expectations.
2. Adhere to SDLC best practices across all assigned projects and actively support the team in following standardized project delivery processes.
3. Develop strong expertise in requirement gathering, solution analysis, documentation, and stakeholder communication to handle projects with minimal supervision.
4. Contribute to product innovation by proposing and documenting value-added functional enhancements that improve customer experience and business value.
5. Build Solution Architect competencies by developing a deeper understanding of system architecture, integrations, data flow, and end-to-end solution design while contributing to implementation and product discussions.</t>
        </is>
      </c>
      <c r="FH217" s="56" t="inlineStr">
        <is>
          <t>2</t>
        </is>
      </c>
      <c r="FI217" s="56" t="n"/>
      <c r="FJ217" s="56" t="inlineStr">
        <is>
          <t>Received · manager annual, quarterly, self</t>
        </is>
      </c>
      <c r="FK217" s="56" t="inlineStr">
        <is>
          <t>Talent Mapping · iDEAL</t>
        </is>
      </c>
      <c r="FL217" s="56" t="n">
        <v>19</v>
      </c>
      <c r="FM217" s="32" t="inlineStr">
        <is>
          <t>Full survey answers not in the files received · How We Grow export needed · HR</t>
        </is>
      </c>
      <c r="FN217" s="56" t="inlineStr">
        <is>
          <t>—</t>
        </is>
      </c>
      <c r="FO217" s="56" t="inlineStr">
        <is>
          <t>—</t>
        </is>
      </c>
      <c r="FP217" s="56" t="inlineStr">
        <is>
          <t>—</t>
        </is>
      </c>
      <c r="FQ217" s="56" t="inlineStr">
        <is>
          <t>—</t>
        </is>
      </c>
      <c r="FR217" s="56" t="inlineStr">
        <is>
          <t>Complexity: Evidence reads like A3: Requirement gathering, wireframe design, proposes solution designs, part scrum-master duties, client support → matches the start
Autonomy: Evidence reads like A2: Decides only on proposing innovative product ideas; note targets working with minimal supervision → moved down 0.5
Accountability: Evidence reads like A3: Answers for zero production issues for clients and feasibility of solutions he proposes → matches the start
Leadership: Evidence reads like A2: Performs scrum master responsibilities 'a bit'; explains requirements to developers → matches the start
Business Impact: No survey or manager-mapping signal on criticality: kept at the start point.</t>
        </is>
      </c>
      <c r="FS217" s="56" t="inlineStr">
        <is>
          <t>Common themes in role-holders' answers: business · requirements · technical · between · client · understand
Common themes in role-holders' answers: documentation · requirement · client · gathering · coordination · managing
Common themes in role-holders' answers: deliver · product · client · requirement · process · business
Common themes in role-holders' answers: requirements · accountable · delivery · quality · documentation · timely
Common themes in role-holders' answers: documentation · prioritize · user stories · process · project
If the work is missed · role-holders' themes: rework · client.
Measured on · manager-set KRA themes: delivery · assigned · project · requests · satisfaction.</t>
        </is>
      </c>
      <c r="FT217" s="56" t="inlineStr">
        <is>
          <t>Self-identified: AI / automation · Product &amp; tool knowledge
For the next role: AI / automation · Product &amp; tool knowledge</t>
        </is>
      </c>
      <c r="FU217" s="32" t="inlineStr">
        <is>
          <t>Full survey answers not in the files received · How We Grow export needed · HR</t>
        </is>
      </c>
    </row>
    <row r="218" ht="90" customHeight="1">
      <c r="A218" s="51" t="inlineStr">
        <is>
          <t>◂ Back</t>
        </is>
      </c>
      <c r="B218" s="29" t="inlineStr">
        <is>
          <t>Mapped</t>
        </is>
      </c>
      <c r="C218" s="28" t="inlineStr">
        <is>
          <t>iDEAL</t>
        </is>
      </c>
      <c r="D218" s="29" t="inlineStr">
        <is>
          <t>IRIS2505</t>
        </is>
      </c>
      <c r="E218" s="29" t="inlineStr">
        <is>
          <t>Rohit Patil</t>
        </is>
      </c>
      <c r="F218" s="29" t="inlineStr">
        <is>
          <t>Sales</t>
        </is>
      </c>
      <c r="G218" s="29" t="inlineStr">
        <is>
          <t>Manager Sales</t>
        </is>
      </c>
      <c r="H218" s="29" t="inlineStr">
        <is>
          <t>Senior Account Executive</t>
        </is>
      </c>
      <c r="I218" s="29" t="inlineStr">
        <is>
          <t>L5 – Manager</t>
        </is>
      </c>
      <c r="J218" s="29" t="inlineStr">
        <is>
          <t>B2</t>
        </is>
      </c>
      <c r="K218" s="29" t="inlineStr">
        <is>
          <t>• Same level</t>
        </is>
      </c>
      <c r="L218" s="29" t="inlineStr">
        <is>
          <t>Sales &amp; Business Development</t>
        </is>
      </c>
      <c r="M218" s="29" t="inlineStr">
        <is>
          <t>Enterprise Sales &amp; Account Management</t>
        </is>
      </c>
      <c r="N218" s="29" t="n"/>
      <c r="O218" s="29" t="n">
        <v>20</v>
      </c>
      <c r="P218" s="28" t="inlineStr">
        <is>
          <t>P4 / M3</t>
        </is>
      </c>
      <c r="Q218" s="29" t="inlineStr">
        <is>
          <t>Senior / Manager</t>
        </is>
      </c>
      <c r="R218" s="29" t="inlineStr">
        <is>
          <t>4–5</t>
        </is>
      </c>
      <c r="S218" s="29" t="inlineStr">
        <is>
          <t>6–9 yrs</t>
        </is>
      </c>
      <c r="T218" s="29" t="inlineStr">
        <is>
          <t>7–10 · 6–11</t>
        </is>
      </c>
      <c r="U218" s="29" t="inlineStr">
        <is>
          <t>Senior Account Executive</t>
        </is>
      </c>
      <c r="V218" s="29" t="inlineStr">
        <is>
          <t>IRIS Vs Competitor Benchmark — SaaS sales ladder — IC: Mid-Market AE · IRIS Vs Competitor Benchmark — SaaS sales ladder — management: Sales Manager</t>
        </is>
      </c>
      <c r="W218" s="29" t="inlineStr">
        <is>
          <t>SaaS sales ladder · SDR → AE → Enterprise AE → VP / CRO; MEDDICC-style qualification</t>
        </is>
      </c>
      <c r="X218" s="29" t="inlineStr">
        <is>
          <t>Core 3 · Future 3 · Functional 4 · Leadership 2</t>
        </is>
      </c>
      <c r="Y218" s="52" t="n">
        <v>475</v>
      </c>
      <c r="Z218" s="53" t="inlineStr">
        <is>
          <t>IRIS2505</t>
        </is>
      </c>
      <c r="AA218" s="53" t="inlineStr">
        <is>
          <t>Employee</t>
        </is>
      </c>
      <c r="AB218" s="53" t="inlineStr">
        <is>
          <t>Active</t>
        </is>
      </c>
      <c r="AC218" s="53" t="inlineStr">
        <is>
          <t>Rohit Patil</t>
        </is>
      </c>
      <c r="AD218" s="54" t="n">
        <v>46114</v>
      </c>
      <c r="AE218" s="53" t="inlineStr">
        <is>
          <t>Manager Sales</t>
        </is>
      </c>
      <c r="AF218" s="53" t="inlineStr">
        <is>
          <t>MBA</t>
        </is>
      </c>
      <c r="AG218" s="53" t="inlineStr">
        <is>
          <t>Hemant Karale</t>
        </is>
      </c>
      <c r="AH218" s="53" t="inlineStr">
        <is>
          <t>N-3</t>
        </is>
      </c>
      <c r="AI218" s="53" t="inlineStr">
        <is>
          <t>Individual Contributor</t>
        </is>
      </c>
      <c r="AJ218" s="53" t="inlineStr">
        <is>
          <t>16 years, 0 months, 0 days</t>
        </is>
      </c>
      <c r="AK218" s="53" t="inlineStr">
        <is>
          <t>0 years, 4 months, 23 days</t>
        </is>
      </c>
      <c r="AL218" s="53" t="inlineStr">
        <is>
          <t>Regtech</t>
        </is>
      </c>
      <c r="AM218" s="53" t="inlineStr">
        <is>
          <t>iDEAL</t>
        </is>
      </c>
      <c r="AN218" s="53" t="inlineStr">
        <is>
          <t>Sales</t>
        </is>
      </c>
      <c r="AO218" s="53" t="inlineStr">
        <is>
          <t>Sales</t>
        </is>
      </c>
      <c r="AP218" s="53" t="inlineStr">
        <is>
          <t>No</t>
        </is>
      </c>
      <c r="AQ218" s="53" t="inlineStr">
        <is>
          <t>Sales, Marketing &amp; Support</t>
        </is>
      </c>
      <c r="AR218" s="53" t="inlineStr">
        <is>
          <t>Sales</t>
        </is>
      </c>
      <c r="AS218" s="53" t="inlineStr">
        <is>
          <t>Non-technical</t>
        </is>
      </c>
      <c r="AT218" s="53" t="n">
        <v>20</v>
      </c>
      <c r="AU218" s="53" t="inlineStr">
        <is>
          <t>Covered</t>
        </is>
      </c>
      <c r="AV218" s="53" t="n"/>
      <c r="AW218" s="53" t="n"/>
      <c r="AX218" s="53" t="n"/>
      <c r="AY218" s="53" t="n"/>
      <c r="AZ218" s="53" t="n"/>
      <c r="BA218" s="53" t="n"/>
      <c r="BB218" s="53" t="n"/>
      <c r="BC218" s="53" t="n"/>
      <c r="BD218" s="53" t="n"/>
      <c r="BE218" s="53" t="n"/>
      <c r="BF218" s="53" t="n"/>
      <c r="BG218" s="53" t="n"/>
      <c r="BH218" s="53" t="n"/>
      <c r="BI218" s="53" t="n"/>
      <c r="BJ218" s="53" t="n"/>
      <c r="BK218" s="53" t="n"/>
      <c r="BL218" s="53" t="n"/>
      <c r="BM218" s="53" t="n"/>
      <c r="BN218" s="53" t="n"/>
      <c r="BO218" s="53" t="n"/>
      <c r="BP218" s="53" t="n"/>
      <c r="BQ218" s="53" t="n"/>
      <c r="BR218" s="53" t="n"/>
      <c r="BS218" s="53" t="n"/>
      <c r="BT218" s="53" t="n"/>
      <c r="BU218" s="53" t="n"/>
      <c r="BV218" s="53" t="n"/>
      <c r="BW218" s="53" t="n"/>
      <c r="BX218" s="53" t="n"/>
      <c r="BY218" s="53" t="n"/>
      <c r="BZ218" s="53" t="n"/>
      <c r="CA218" s="53" t="n"/>
      <c r="CB218" s="53" t="n"/>
      <c r="CC218" s="53" t="n"/>
      <c r="CD218" s="53" t="n"/>
      <c r="CE218" s="53" t="n"/>
      <c r="CF218" s="53" t="n"/>
      <c r="CG218" s="53" t="n"/>
      <c r="CH218" s="53" t="n"/>
      <c r="CI218" s="53" t="n"/>
      <c r="CJ218" s="53" t="n"/>
      <c r="CK218" s="53" t="n"/>
      <c r="CL218" s="53" t="n"/>
      <c r="CM218" s="53" t="n"/>
      <c r="CN218" s="53" t="n"/>
      <c r="CO218" s="53" t="n"/>
      <c r="CP218" s="53" t="n"/>
      <c r="CQ218" s="53" t="n"/>
      <c r="CR218" s="53" t="n"/>
      <c r="CS218" s="53" t="n"/>
      <c r="CT218" s="53" t="n"/>
      <c r="CU218" s="53" t="n"/>
      <c r="CV218" s="53" t="n"/>
      <c r="CW218" s="53" t="n"/>
      <c r="CX218" s="53" t="n"/>
      <c r="CY218" s="53" t="n"/>
      <c r="CZ218" s="53" t="n"/>
      <c r="DA218" s="53" t="n"/>
      <c r="DB218" s="53" t="n"/>
      <c r="DC218" s="53" t="n"/>
      <c r="DD218" s="53" t="inlineStr">
        <is>
          <t>IRIS2505</t>
        </is>
      </c>
      <c r="DE218" s="53" t="inlineStr">
        <is>
          <t>Employee</t>
        </is>
      </c>
      <c r="DF218" s="53" t="inlineStr">
        <is>
          <t>Active</t>
        </is>
      </c>
      <c r="DG218" s="53" t="inlineStr">
        <is>
          <t>Rohit Patil</t>
        </is>
      </c>
      <c r="DH218" s="54" t="n">
        <v>46114</v>
      </c>
      <c r="DI218" s="53" t="inlineStr">
        <is>
          <t>Manager Sales</t>
        </is>
      </c>
      <c r="DJ218" s="53" t="inlineStr">
        <is>
          <t>Sales &amp; Business Development</t>
        </is>
      </c>
      <c r="DK218" s="53" t="inlineStr">
        <is>
          <t>Sales / Account Management</t>
        </is>
      </c>
      <c r="DL218" s="53" t="inlineStr">
        <is>
          <t>Manager Sales</t>
        </is>
      </c>
      <c r="DM218" s="53" t="inlineStr">
        <is>
          <t>L5 – Manager</t>
        </is>
      </c>
      <c r="DN218" s="53" t="inlineStr">
        <is>
          <t>MBA</t>
        </is>
      </c>
      <c r="DO218" s="53" t="inlineStr">
        <is>
          <t>Hemant Karale</t>
        </is>
      </c>
      <c r="DP218" s="53" t="inlineStr">
        <is>
          <t>N-3</t>
        </is>
      </c>
      <c r="DQ218" s="53" t="inlineStr">
        <is>
          <t>Individual Contributor</t>
        </is>
      </c>
      <c r="DR218" s="53" t="inlineStr">
        <is>
          <t>16 years, 0 months, 0 days</t>
        </is>
      </c>
      <c r="DS218" s="53" t="inlineStr">
        <is>
          <t>0 years, 2 months, 18 days</t>
        </is>
      </c>
      <c r="DT218" s="53" t="inlineStr">
        <is>
          <t>16 years, 2 months, 18 days</t>
        </is>
      </c>
      <c r="DU218" s="53" t="n"/>
      <c r="DV218" s="53" t="inlineStr">
        <is>
          <t>Regtech</t>
        </is>
      </c>
      <c r="DW218" s="53" t="inlineStr">
        <is>
          <t>iDEAL</t>
        </is>
      </c>
      <c r="DX218" s="53" t="inlineStr">
        <is>
          <t>Sales</t>
        </is>
      </c>
      <c r="DY218" s="53" t="inlineStr">
        <is>
          <t>Sales</t>
        </is>
      </c>
      <c r="DZ218" s="53" t="inlineStr">
        <is>
          <t>No</t>
        </is>
      </c>
      <c r="EA218" s="53" t="inlineStr">
        <is>
          <t>Sales, Marketing &amp; Support</t>
        </is>
      </c>
      <c r="EB218" s="53" t="inlineStr">
        <is>
          <t>Sales</t>
        </is>
      </c>
      <c r="EC218" s="53" t="inlineStr">
        <is>
          <t>Non-technical</t>
        </is>
      </c>
      <c r="ED218" s="53" t="inlineStr">
        <is>
          <t>Work From Office - Turbhe</t>
        </is>
      </c>
      <c r="EE218" s="53" t="n"/>
      <c r="EF218" s="53" t="inlineStr">
        <is>
          <t>1. Revenue Goal: Achieve ARR Revenue Target - 2 Cr &amp; One-Time Revenue Target - 4 Cr in the year
2. Strong Pipe Building: Generate Qualified Leads from Banks - 1 &amp; NBFCs - 2 Active Buy SALs &amp; 6 Discovery Meetings per month 
3. Log Meeting notes, Next steps etc. with clear descriptions · intent, stakeholders, objections, Accurate Sales Stages, Close dates - 100% in all SALs
4. Learning &amp; Development: Participation in Team Learning Sessions - · Internal Trainings For Functional and Tech learning</t>
        </is>
      </c>
      <c r="EG218" s="53" t="inlineStr">
        <is>
          <t>1. Close &gt; 1 NBFCS clients
2. Generate 6 NBFC &amp; 3 Banking qualified leads</t>
        </is>
      </c>
      <c r="EH218" s="53" t="n">
        <v>2</v>
      </c>
      <c r="EI218" s="53" t="n"/>
      <c r="EJ218" s="53" t="inlineStr">
        <is>
          <t>Same as per records</t>
        </is>
      </c>
      <c r="EK218" s="53" t="n"/>
      <c r="EL218" s="53" t="n"/>
      <c r="EM218" s="53" t="n"/>
      <c r="EN218" s="53" t="n"/>
      <c r="EO218" s="53" t="n"/>
      <c r="EP218" s="53" t="n"/>
      <c r="EQ218" s="53" t="n"/>
      <c r="ER218" s="53" t="n"/>
      <c r="ES218" s="53" t="inlineStr">
        <is>
          <t>XBRL Training, Training on the effective utilization of AI tools.</t>
        </is>
      </c>
      <c r="ET218" s="53" t="n"/>
      <c r="EU218" s="53" t="n"/>
      <c r="EV218" s="53" t="n"/>
      <c r="EW218" s="52" t="n"/>
      <c r="EX218" s="53" t="n"/>
      <c r="EY218" s="53" t="n"/>
      <c r="EZ218" s="53" t="n"/>
      <c r="FA218" s="53" t="n"/>
      <c r="FB218" s="53" t="n"/>
      <c r="FC218" s="53" t="n"/>
      <c r="FD218" s="53" t="n"/>
      <c r="FE218" s="57" t="inlineStr">
        <is>
          <t>1. Revenue Goal: Achieve ARR Revenue Target - 2 Cr &amp; One-Time Revenue Target - 4 Cr in the year
2. Strong Pipe Building: Generate Qualified Leads from Banks - 1 &amp; NBFCs - 2 Active Buy SALs &amp; 6 Discovery Meetings per month 
3. Log Meeting notes, Next steps etc. with clear descriptions · intent, stakeholders, objections, Accurate Sales Stages, Close dates  - 100% in all SALs
4. Learning &amp; Development: Participation in Team Learning Sessions - · Internal Trainings For Functional and Tech learning</t>
        </is>
      </c>
      <c r="FF218" s="56" t="inlineStr">
        <is>
          <t>1. Close &gt; 1 NBFCS clients
2. Generate 6 NBFC &amp; 3 Banking qualified leads</t>
        </is>
      </c>
      <c r="FG218" s="56" t="n"/>
      <c r="FH218" s="56" t="inlineStr">
        <is>
          <t>2</t>
        </is>
      </c>
      <c r="FI218" s="56" t="n"/>
      <c r="FJ218" s="56" t="inlineStr">
        <is>
          <t>Received · manager annual, quarterly</t>
        </is>
      </c>
      <c r="FK218" s="56" t="inlineStr">
        <is>
          <t>Talent Mapping · iDEAL</t>
        </is>
      </c>
      <c r="FL218" s="56" t="n">
        <v>20</v>
      </c>
      <c r="FM218" s="32" t="inlineStr">
        <is>
          <t>Full survey answers not in the files received · How We Grow export needed · HR</t>
        </is>
      </c>
      <c r="FN218" s="56" t="inlineStr">
        <is>
          <t>—</t>
        </is>
      </c>
      <c r="FO218" s="56" t="inlineStr">
        <is>
          <t>—</t>
        </is>
      </c>
      <c r="FP218" s="56" t="inlineStr">
        <is>
          <t>—</t>
        </is>
      </c>
      <c r="FQ218" s="56" t="inlineStr">
        <is>
          <t>—</t>
        </is>
      </c>
      <c r="FR218" s="56" t="inlineStr">
        <is>
          <t>Complexity: Evidence reads like A3: Sells compliance-automation solutions to banks and NBFCs; lead identification and client research → moved down 0.5
Autonomy: Evidence reads like A2: Only 'meeting new clients' named as an independent decision → moved down 0.5
Accountability: Evidence reads like B2: own survey / KRA answers · summarised by the rater; not quoted → matches the start
Leadership: Evidence reads like A1: No guidance or leadership of others described → moved down 0.5
Business Impact: No survey or manager-mapping signal on criticality: kept at the start point.</t>
        </is>
      </c>
      <c r="FS218" s="56" t="inlineStr">
        <is>
          <t>Common themes in sub-family holders, all levels' answers: sales · company · revenue
Common themes in sub-family holders, all levels' answers: ups · follow
Common themes in sub-family holders, all levels' answers: client
Common themes in sub-family holders, all levels' answers: revenue · client · target
Common themes in sub-family holders, all levels' answers: meeting</t>
        </is>
      </c>
      <c r="FT218" s="56" t="inlineStr">
        <is>
          <t>Self-identified: AI / automation · Client, sales &amp; stakeholders · Certification / formal course
For the next role: AI / automation · Client, sales &amp; stakeholders · Certification / formal course</t>
        </is>
      </c>
      <c r="FU218" s="32" t="inlineStr">
        <is>
          <t>Full survey answers not in the files received · How We Grow export needed · HR</t>
        </is>
      </c>
    </row>
    <row r="219" ht="90" customHeight="1">
      <c r="A219" s="51" t="inlineStr">
        <is>
          <t>◂ Back</t>
        </is>
      </c>
      <c r="B219" s="29" t="inlineStr">
        <is>
          <t>Mapped</t>
        </is>
      </c>
      <c r="C219" s="28" t="inlineStr">
        <is>
          <t>iDEAL</t>
        </is>
      </c>
      <c r="D219" s="29" t="inlineStr">
        <is>
          <t>IRIS1158</t>
        </is>
      </c>
      <c r="E219" s="29" t="inlineStr">
        <is>
          <t>Yuvraj Kharchane</t>
        </is>
      </c>
      <c r="F219" s="29" t="inlineStr">
        <is>
          <t>Product Management</t>
        </is>
      </c>
      <c r="G219" s="29" t="inlineStr">
        <is>
          <t>Product Manager</t>
        </is>
      </c>
      <c r="H219" s="29" t="inlineStr">
        <is>
          <t>Product Manager</t>
        </is>
      </c>
      <c r="I219" s="29" t="inlineStr">
        <is>
          <t>L5 – Manager</t>
        </is>
      </c>
      <c r="J219" s="29" t="inlineStr">
        <is>
          <t>B2</t>
        </is>
      </c>
      <c r="K219" s="29" t="inlineStr">
        <is>
          <t>• Same level</t>
        </is>
      </c>
      <c r="L219" s="29" t="inlineStr">
        <is>
          <t>Product Management</t>
        </is>
      </c>
      <c r="M219" s="29" t="inlineStr">
        <is>
          <t>Product Management</t>
        </is>
      </c>
      <c r="N219" s="29" t="n"/>
      <c r="O219" s="29" t="n">
        <v>20</v>
      </c>
      <c r="P219" s="28" t="inlineStr">
        <is>
          <t>P4 / M3</t>
        </is>
      </c>
      <c r="Q219" s="29" t="inlineStr">
        <is>
          <t>Senior / Manager</t>
        </is>
      </c>
      <c r="R219" s="29" t="inlineStr">
        <is>
          <t>4–5</t>
        </is>
      </c>
      <c r="S219" s="29" t="inlineStr">
        <is>
          <t>6–9 yrs</t>
        </is>
      </c>
      <c r="T219" s="29" t="inlineStr">
        <is>
          <t>7–10 · 6–11</t>
        </is>
      </c>
      <c r="U219" s="29" t="inlineStr">
        <is>
          <t>Manager</t>
        </is>
      </c>
      <c r="V219" s="29" t="inlineStr">
        <is>
          <t>IRIS Vs Competitor Benchmark — SaaS product ladder: Senior PM</t>
        </is>
      </c>
      <c r="W219" s="29" t="inlineStr">
        <is>
          <t>Pragmatic Institute Framework · 37 activities, 7 categories; AIPMM</t>
        </is>
      </c>
      <c r="X219" s="29" t="inlineStr">
        <is>
          <t>Core 3 · Future 3 · Functional 4 · Leadership 3</t>
        </is>
      </c>
      <c r="Y219" s="52" t="n">
        <v>110</v>
      </c>
      <c r="Z219" s="53" t="inlineStr">
        <is>
          <t>IRIS1158</t>
        </is>
      </c>
      <c r="AA219" s="53" t="inlineStr">
        <is>
          <t>Employee</t>
        </is>
      </c>
      <c r="AB219" s="53" t="inlineStr">
        <is>
          <t>Active</t>
        </is>
      </c>
      <c r="AC219" s="53" t="inlineStr">
        <is>
          <t>Yuvraj Kharchane</t>
        </is>
      </c>
      <c r="AD219" s="54" t="n">
        <v>41078</v>
      </c>
      <c r="AE219" s="53" t="inlineStr">
        <is>
          <t>Product Manager</t>
        </is>
      </c>
      <c r="AF219" s="53" t="inlineStr">
        <is>
          <t>MBA</t>
        </is>
      </c>
      <c r="AG219" s="53" t="inlineStr">
        <is>
          <t>Hemant Karale</t>
        </is>
      </c>
      <c r="AH219" s="53" t="inlineStr">
        <is>
          <t>N-3</t>
        </is>
      </c>
      <c r="AI219" s="53" t="inlineStr">
        <is>
          <t>Manager</t>
        </is>
      </c>
      <c r="AJ219" s="53" t="inlineStr">
        <is>
          <t>0 years, 0 months, 0 days</t>
        </is>
      </c>
      <c r="AK219" s="53" t="inlineStr">
        <is>
          <t>14 years, 2 months, 7 days</t>
        </is>
      </c>
      <c r="AL219" s="53" t="inlineStr">
        <is>
          <t>Regtech</t>
        </is>
      </c>
      <c r="AM219" s="53" t="inlineStr">
        <is>
          <t>iDEAL</t>
        </is>
      </c>
      <c r="AN219" s="53" t="inlineStr">
        <is>
          <t>Product Management</t>
        </is>
      </c>
      <c r="AO219" s="53" t="inlineStr">
        <is>
          <t>Client Engagement</t>
        </is>
      </c>
      <c r="AP219" s="53" t="inlineStr">
        <is>
          <t>No</t>
        </is>
      </c>
      <c r="AQ219" s="53" t="inlineStr">
        <is>
          <t>Client Engagement</t>
        </is>
      </c>
      <c r="AR219" s="53" t="inlineStr">
        <is>
          <t>Product Management</t>
        </is>
      </c>
      <c r="AS219" s="53" t="inlineStr">
        <is>
          <t>Technical · BA, PM and QA</t>
        </is>
      </c>
      <c r="AT219" s="53" t="n">
        <v>20</v>
      </c>
      <c r="AU219" s="53" t="inlineStr">
        <is>
          <t>Covered</t>
        </is>
      </c>
      <c r="AV219" s="53" t="n"/>
      <c r="AW219" s="53" t="n"/>
      <c r="AX219" s="53" t="n"/>
      <c r="AY219" s="53" t="n"/>
      <c r="AZ219" s="53" t="n"/>
      <c r="BA219" s="53" t="n"/>
      <c r="BB219" s="53" t="n"/>
      <c r="BC219" s="53" t="n"/>
      <c r="BD219" s="53" t="n"/>
      <c r="BE219" s="53" t="n"/>
      <c r="BF219" s="53" t="n"/>
      <c r="BG219" s="53" t="n"/>
      <c r="BH219" s="53" t="n"/>
      <c r="BI219" s="53" t="n"/>
      <c r="BJ219" s="53" t="n"/>
      <c r="BK219" s="53" t="n"/>
      <c r="BL219" s="53" t="n"/>
      <c r="BM219" s="53" t="n"/>
      <c r="BN219" s="53" t="n"/>
      <c r="BO219" s="53" t="n"/>
      <c r="BP219" s="53" t="n"/>
      <c r="BQ219" s="53" t="n"/>
      <c r="BR219" s="53" t="n"/>
      <c r="BS219" s="53" t="n"/>
      <c r="BT219" s="53" t="n"/>
      <c r="BU219" s="53" t="n"/>
      <c r="BV219" s="53" t="n"/>
      <c r="BW219" s="53" t="n"/>
      <c r="BX219" s="53" t="n"/>
      <c r="BY219" s="53" t="n"/>
      <c r="BZ219" s="53" t="n"/>
      <c r="CA219" s="53" t="n"/>
      <c r="CB219" s="53" t="n"/>
      <c r="CC219" s="53" t="n"/>
      <c r="CD219" s="53" t="n"/>
      <c r="CE219" s="53" t="n"/>
      <c r="CF219" s="53" t="n"/>
      <c r="CG219" s="53" t="n"/>
      <c r="CH219" s="53" t="n"/>
      <c r="CI219" s="53" t="n"/>
      <c r="CJ219" s="53" t="n"/>
      <c r="CK219" s="53" t="n"/>
      <c r="CL219" s="53" t="n"/>
      <c r="CM219" s="53" t="n"/>
      <c r="CN219" s="53" t="n"/>
      <c r="CO219" s="53" t="n"/>
      <c r="CP219" s="53" t="n"/>
      <c r="CQ219" s="53" t="n"/>
      <c r="CR219" s="53" t="n"/>
      <c r="CS219" s="53" t="n"/>
      <c r="CT219" s="53" t="n"/>
      <c r="CU219" s="53" t="n"/>
      <c r="CV219" s="53" t="n"/>
      <c r="CW219" s="53" t="n"/>
      <c r="CX219" s="53" t="n"/>
      <c r="CY219" s="53" t="n"/>
      <c r="CZ219" s="53" t="n"/>
      <c r="DA219" s="53" t="n"/>
      <c r="DB219" s="53" t="n"/>
      <c r="DC219" s="53" t="n"/>
      <c r="DD219" s="53" t="inlineStr">
        <is>
          <t>IRIS1158</t>
        </is>
      </c>
      <c r="DE219" s="53" t="inlineStr">
        <is>
          <t>Employee</t>
        </is>
      </c>
      <c r="DF219" s="53" t="inlineStr">
        <is>
          <t>Active</t>
        </is>
      </c>
      <c r="DG219" s="53" t="inlineStr">
        <is>
          <t>Yuvraj Kharchane</t>
        </is>
      </c>
      <c r="DH219" s="54" t="n">
        <v>41078</v>
      </c>
      <c r="DI219" s="53" t="inlineStr">
        <is>
          <t>Product Manager</t>
        </is>
      </c>
      <c r="DJ219" s="53" t="inlineStr">
        <is>
          <t>Product Management</t>
        </is>
      </c>
      <c r="DK219" s="53" t="inlineStr">
        <is>
          <t>Product Management</t>
        </is>
      </c>
      <c r="DL219" s="53" t="inlineStr">
        <is>
          <t>Product Manager</t>
        </is>
      </c>
      <c r="DM219" s="53" t="inlineStr">
        <is>
          <t>L5 – Manager</t>
        </is>
      </c>
      <c r="DN219" s="53" t="inlineStr">
        <is>
          <t>MBA</t>
        </is>
      </c>
      <c r="DO219" s="53" t="inlineStr">
        <is>
          <t>Hemant Karale</t>
        </is>
      </c>
      <c r="DP219" s="53" t="inlineStr">
        <is>
          <t>N-3</t>
        </is>
      </c>
      <c r="DQ219" s="53" t="inlineStr">
        <is>
          <t>Manager</t>
        </is>
      </c>
      <c r="DR219" s="53" t="inlineStr">
        <is>
          <t>0 years, 0 months, 0 days</t>
        </is>
      </c>
      <c r="DS219" s="53" t="inlineStr">
        <is>
          <t>14 years, 0 months, 2 days</t>
        </is>
      </c>
      <c r="DT219" s="53" t="inlineStr">
        <is>
          <t>14 years, 0 months, 2 days</t>
        </is>
      </c>
      <c r="DU219" s="53" t="n">
        <v>14.0054794520548</v>
      </c>
      <c r="DV219" s="53" t="inlineStr">
        <is>
          <t>Regtech</t>
        </is>
      </c>
      <c r="DW219" s="53" t="inlineStr">
        <is>
          <t>iDEAL</t>
        </is>
      </c>
      <c r="DX219" s="53" t="inlineStr">
        <is>
          <t>Product Management</t>
        </is>
      </c>
      <c r="DY219" s="53" t="inlineStr">
        <is>
          <t>Client Engagement</t>
        </is>
      </c>
      <c r="DZ219" s="53" t="inlineStr">
        <is>
          <t>No</t>
        </is>
      </c>
      <c r="EA219" s="53" t="inlineStr">
        <is>
          <t>Client Engagement</t>
        </is>
      </c>
      <c r="EB219" s="53" t="inlineStr">
        <is>
          <t>Product Management</t>
        </is>
      </c>
      <c r="EC219" s="53" t="inlineStr">
        <is>
          <t>Technical · BA, PM and QA</t>
        </is>
      </c>
      <c r="ED219" s="53" t="inlineStr">
        <is>
          <t>Remote - Mumbai</t>
        </is>
      </c>
      <c r="EE219" s="53" t="inlineStr">
        <is>
          <t>1. Product Strategy, Development &amp; Regulatory Compliance: Lead the product roadmap, development, maintenance, and regulatory compliance for RBI CIMS, RBI EBR, EBA, and other regulatory reporting solutions, ensuring timely delivery of enhancements and regulatory changes.
2. EBA Market Readiness &amp; Solution Enablement: Enable EBA regulatory reporting mandates in the IRIS iDEAL solution by driving report development, product readiness, and ongoing support. Actively participate in client discussions, product demonstrations, requirement gathering, and implementation planning activities.
3. RBI EBR SDMX Product Development &amp; Market Adoption: Drive the development and market adoption of the RBI EBR SDMX solution by:
 - Leading EBR report and solution development activities.
 - Conducting product demonstrations and supporting proposal submissions.
 - Participating in customer discussions, negotiations, and deal closure activities.
 - Ensuring successful implementation, customer sign-off, and achievement of billing milestones.
4. Customer Success, Retention &amp; Escalation Management: Build and maintain strong customer relationships by ensuring timely resolution of critical issues and escalations, delivering high service quality, maintaining customer satisfaction and retention, achieving AMC renewals, and fostering long-term customer engagement.
5. Commercial Management &amp; Revenue Realization: Drive effective commercial operations across all iDEAL products and regions, including contract management, renewals, billing, and revenue realization, to support organizational growth, profitability, and cash flow objectives.
6. Sales Support &amp; Business Development: Support business growth through new opportunities, upselling, and cross-selling initiatives such as Cross Report Validation, Mandatory Checks, Master Data Validation, and other value-added offerings. Proactively engage with existing customers to identify enhancement opportunities and expand solution adoption.
7. Team Leadership, Resource Management &amp; Capability Development: Effectively manage team resources, priorities, and workload while developing a skilled, accountable, and self-reliant team through knowledge enhancement, mentoring, and cross-training to ensure timely delivery of projects, customer commitments, and business objectives.
8. ETL Automation &amp; Process Improvement Initiatives: Contribute to ETL and data automation initiatives by reviewing the Scope of Work · SOW, supporting requirement analysis for RBI CIMS reports, and providing inputs on solution design and implementation approaches.</t>
        </is>
      </c>
      <c r="EF219" s="53" t="inlineStr">
        <is>
          <t>1. Manage EBR Report development and delivery with less than 4 defects/ Escalations in a year 
2. Revenue Goal: Close &gt;= 10 EBR clients, Achieve ARR Revenue Target - 2 Cr in the year
3. Strong Pipe Building: Generate Qualified Leads from Banks for EBR Business - 2 Discovery Meetings per month. Support Sales team in BD Activities.
4. Support Agreement management, Contract Renewals, Timely billing, and Revenue realization for all the existing iDEAL clients, to support organizational growth, profitability, and cash flow objectives.
5. Learning &amp; Development: Participation in Team Learning Sessions - · Internal Trainings For Functional and Tech learning · ETL Processes, AI Features, Study EU market requirements</t>
        </is>
      </c>
      <c r="EG219" s="53" t="inlineStr">
        <is>
          <t>1. Manage 15 EBR report development, delivery 
2. Close &gt; 3 EBR clients
3. Generate 6 qualified leads</t>
        </is>
      </c>
      <c r="EH219" s="53" t="n">
        <v>5</v>
      </c>
      <c r="EI219" s="54" t="n">
        <v>45931</v>
      </c>
      <c r="EJ219" s="53" t="inlineStr">
        <is>
          <t>Same as current designation</t>
        </is>
      </c>
      <c r="EK219" s="53" t="inlineStr">
        <is>
          <t>No</t>
        </is>
      </c>
      <c r="EL219" s="53" t="n">
        <v>5</v>
      </c>
      <c r="EM219" s="53" t="inlineStr">
        <is>
          <t>High</t>
        </is>
      </c>
      <c r="EN219" s="53" t="inlineStr">
        <is>
          <t>Core Contributor</t>
        </is>
      </c>
      <c r="EO219" s="53" t="inlineStr">
        <is>
          <t>Ready Now</t>
        </is>
      </c>
      <c r="EP219" s="53" t="n"/>
      <c r="EQ219" s="53" t="inlineStr">
        <is>
          <t>Yes</t>
        </is>
      </c>
      <c r="ER219" s="53" t="n"/>
      <c r="ES219" s="53" t="inlineStr">
        <is>
          <t>Product discovery &amp; prioritisation, Information research</t>
        </is>
      </c>
      <c r="ET219" s="53" t="inlineStr">
        <is>
          <t>Leadership development: strategic thinking, cross-functional influence, financial/business acumen, succession &amp; talent development, change management, executive communication</t>
        </is>
      </c>
      <c r="EU219" s="53" t="n"/>
      <c r="EV219" s="53" t="n"/>
      <c r="EW219" s="52" t="n"/>
      <c r="EX219" s="53" t="n"/>
      <c r="EY219" s="53" t="n"/>
      <c r="EZ219" s="53" t="n"/>
      <c r="FA219" s="53" t="n"/>
      <c r="FB219" s="53" t="n"/>
      <c r="FC219" s="53" t="n"/>
      <c r="FD219" s="53" t="n"/>
      <c r="FE219" s="57" t="inlineStr">
        <is>
          <t>1. Manage EBR Report development and delivery with less than 4 defects/ Escalations in a year 
2. Revenue Goal: Close &gt;= 10 EBR clients, Achieve ARR Revenue Target - 2 Cr in the year
3. Strong Pipe Building: Generate Qualified Leads from Banks for EBR Business - 2 Discovery Meetings per month. Support Sales team in BD Activities.
4. Support Agreement management, Contract Renewals, Timely billing, and Revenue realization for all the existing iDEAL clients, to support organizational growth, profitability, and cash flow objectives.
5. Learning &amp; Development: Participation in Team Learning Sessions - · Internal Trainings For Functional and Tech learning · ETL Processes, AI Features, Study EU market requirements</t>
        </is>
      </c>
      <c r="FF219" s="56" t="inlineStr">
        <is>
          <t>1. Manage 15 EBR report development, delivery 
2. Close &gt; 3 EBR clients
3. Generate 6 qualified leads</t>
        </is>
      </c>
      <c r="FG219" s="56" t="inlineStr">
        <is>
          <t>1. Product Strategy, Development &amp; Regulatory Compliance: Lead the product roadmap, development, maintenance, and regulatory compliance for RBI CIMS, RBI EBR, EBA, and other regulatory reporting solutions, ensuring timely delivery of enhancements and regulatory changes.
2. EBA Market Readiness &amp; Solution Enablement: Enable EBA regulatory reporting mandates in the IRIS iDEAL solution by driving report development, product readiness, and ongoing support. Actively participate in client discussions, product demonstrations, requirement gathering, and implementation planning activities.
3. RBI EBR SDMX Product Development &amp; Market Adoption: Drive the development and market adoption of the RBI EBR SDMX solution by:
 - Leading EBR report and solution development activities.
 - Conducting product demonstrations and supporting proposal submissions.
 - Participating in customer discussions, negotiations, and deal closure activities.
 - Ensuring successful implementation, customer sign-off, and achievement of billing milestones.
4. Customer Success, Retention &amp; Escalation Management: Build and maintain strong customer relationships by ensuring timely resolution of critical issues and escalations, delivering high service quality, maintaining customer satisfaction and retention, achieving AMC renewals, and fostering long-term customer engagement.
5. Commercial Management &amp; Revenue Realization: Drive effective commercial operations across all iDEAL products and regions, including contract management, renewals, billing, and revenue realization, to support organizational growth, profitability, and cash flow objectives.
6. Sales Support &amp; Business Development: Support business growth through new opportunities, upselling, and cross-selling initiatives such as Cross Report Validation, Mandatory Checks, Master Data Validation, and other value-added offerings. Proactively engage with existing customers to identify enhancement opportunities and expand solution adoption.
7. Team Leadership, Resource Management &amp; Capability Development: Effectively manage team resources, priorities, and workload while developing a skilled, accountable, and self-reliant team through knowledge enhancement, mentoring, and cross-training to ensure timely delivery of projects, customer commitments, and business objectives.
8. ETL Automation &amp; Process Improvement Initiatives: Contribute to ETL and data automation initiatives by reviewing the Scope of Work · SOW, supporting requirement analysis for RBI CIMS reports, and providing inputs on solution design and implementation approaches.</t>
        </is>
      </c>
      <c r="FH219" s="56" t="inlineStr">
        <is>
          <t>5</t>
        </is>
      </c>
      <c r="FI219" s="56" t="n"/>
      <c r="FJ219" s="56" t="inlineStr">
        <is>
          <t>Received · manager annual, quarterly, self</t>
        </is>
      </c>
      <c r="FK219" s="56" t="inlineStr">
        <is>
          <t>Talent Mapping · iDEAL</t>
        </is>
      </c>
      <c r="FL219" s="56" t="n">
        <v>20</v>
      </c>
      <c r="FM219" s="32" t="inlineStr">
        <is>
          <t>Full survey answers not in the files received · How We Grow export needed · HR</t>
        </is>
      </c>
      <c r="FN219" s="56" t="inlineStr">
        <is>
          <t>—</t>
        </is>
      </c>
      <c r="FO219" s="56" t="inlineStr">
        <is>
          <t>—</t>
        </is>
      </c>
      <c r="FP219" s="56" t="inlineStr">
        <is>
          <t>—</t>
        </is>
      </c>
      <c r="FQ219" s="56" t="inlineStr">
        <is>
          <t>—</t>
        </is>
      </c>
      <c r="FR219" s="56" t="inlineStr">
        <is>
          <t>Complexity: Evidence reads like B2: Combines product delivery, client relationships, renewals, billing, proposals and EU business development in regulatory reporting → matches the start
Autonomy: Evidence reads like B2: Decides delivery matters, day-to-day operations and commercial negotiations with clients → matches the start
Accountability: Evidence reads like B2: own survey / KRA answers · summarised by the rater; not quoted → matches the start
Leadership: Evidence reads like B1: Six direct reports in HR data; text does not describe managing them → moved down 0.5
Business Impact: Moved +0.5: the survey / manager mapping marks it business-critical.</t>
        </is>
      </c>
      <c r="FS219" s="56" t="inlineStr">
        <is>
          <t>Common themes in role-holders' answers: product · market · delivery · business · revenue
Common themes in role-holders' answers: product · implementation · client · management · delivery
Common themes in role-holders' answers: product · revenue
Common themes in role-holders' answers: product · quality · delivery · revenue
Common themes in role-holders' answers: research
If the work is missed · role-holders' themes: delays · client · revenue.
Measured on · manager-set KRA themes: development participation · cash · market requirements · tech learning · support organizational · profitability.</t>
        </is>
      </c>
      <c r="FT219" s="56" t="inlineStr">
        <is>
          <t>Self-identified: Leadership &amp; people management · Product &amp; tool knowledge · Client, sales &amp; stakeholders · Strategy &amp; business acumen · Broader exposure &amp; ownership
For the next role: Leadership &amp; people management · Product &amp; tool knowledge · Client, sales &amp; stakeholders · Strategy &amp; business acumen · Broader exposure &amp; ownership</t>
        </is>
      </c>
      <c r="FU219" s="32" t="inlineStr">
        <is>
          <t>Full survey answers not in the files received · How We Grow export needed · HR</t>
        </is>
      </c>
    </row>
    <row r="220" ht="90" customHeight="1">
      <c r="A220" s="51" t="inlineStr">
        <is>
          <t>◂ Back</t>
        </is>
      </c>
      <c r="B220" s="29" t="inlineStr">
        <is>
          <t>Mapped</t>
        </is>
      </c>
      <c r="C220" s="28" t="inlineStr">
        <is>
          <t>iDEAL</t>
        </is>
      </c>
      <c r="D220" s="29" t="inlineStr">
        <is>
          <t>IRIS1178</t>
        </is>
      </c>
      <c r="E220" s="29" t="inlineStr">
        <is>
          <t>Anand Shinde</t>
        </is>
      </c>
      <c r="F220" s="29" t="inlineStr">
        <is>
          <t>Technology</t>
        </is>
      </c>
      <c r="G220" s="29" t="inlineStr">
        <is>
          <t>Senior Business Analyst</t>
        </is>
      </c>
      <c r="H220" s="29" t="inlineStr">
        <is>
          <t>Business Analysis Specialist</t>
        </is>
      </c>
      <c r="I220" s="29" t="inlineStr">
        <is>
          <t>L4 – Senior</t>
        </is>
      </c>
      <c r="J220" s="29" t="inlineStr">
        <is>
          <t>B1</t>
        </is>
      </c>
      <c r="K220" s="29" t="inlineStr">
        <is>
          <t>▲ Up</t>
        </is>
      </c>
      <c r="L220" s="29" t="inlineStr">
        <is>
          <t>Business Analysis</t>
        </is>
      </c>
      <c r="M220" s="29" t="inlineStr">
        <is>
          <t>Business Analysis</t>
        </is>
      </c>
      <c r="N220" s="29" t="n"/>
      <c r="O220" s="29" t="n">
        <v>20</v>
      </c>
      <c r="P220" s="28" t="inlineStr">
        <is>
          <t>P3 / M2</t>
        </is>
      </c>
      <c r="Q220" s="29" t="inlineStr">
        <is>
          <t>Career / · Team Lead</t>
        </is>
      </c>
      <c r="R220" s="29" t="inlineStr">
        <is>
          <t>4 Enable</t>
        </is>
      </c>
      <c r="S220" s="29" t="inlineStr">
        <is>
          <t>4–7 yrs</t>
        </is>
      </c>
      <c r="T220" s="29" t="inlineStr">
        <is>
          <t>5–8 · 4–8</t>
        </is>
      </c>
      <c r="U220" s="29" t="inlineStr">
        <is>
          <t>Senior Business Analyst</t>
        </is>
      </c>
      <c r="V220" s="29" t="inlineStr">
        <is>
          <t>Regnology — regulatory reporting: BA · Reg Reporting · Big Four consulting: Senior Consultant · IRIS Vs Market Benchmark — IIBA certification pathway: CCBA · Infosys / Accenture: JL4 · L9 Consultant</t>
        </is>
      </c>
      <c r="W220" s="29" t="inlineStr">
        <is>
          <t>IIBA BABOK v3; certifications ECBA · entry → CCBA → CBAP · senior</t>
        </is>
      </c>
      <c r="X220" s="29" t="inlineStr">
        <is>
          <t>Core 3 · Future 3 · Functional 3 · Leadership 1</t>
        </is>
      </c>
      <c r="Y220" s="52" t="n">
        <v>111</v>
      </c>
      <c r="Z220" s="53" t="inlineStr">
        <is>
          <t>IRIS1178</t>
        </is>
      </c>
      <c r="AA220" s="53" t="inlineStr">
        <is>
          <t>Employee</t>
        </is>
      </c>
      <c r="AB220" s="53" t="inlineStr">
        <is>
          <t>Active</t>
        </is>
      </c>
      <c r="AC220" s="53" t="inlineStr">
        <is>
          <t>Anand Shinde</t>
        </is>
      </c>
      <c r="AD220" s="54" t="n">
        <v>41078</v>
      </c>
      <c r="AE220" s="53" t="inlineStr">
        <is>
          <t>Senior Business Analyst</t>
        </is>
      </c>
      <c r="AF220" s="53" t="inlineStr">
        <is>
          <t>MBA</t>
        </is>
      </c>
      <c r="AG220" s="53" t="inlineStr">
        <is>
          <t>Yuvraj Kharchane</t>
        </is>
      </c>
      <c r="AH220" s="53" t="inlineStr">
        <is>
          <t>N-4</t>
        </is>
      </c>
      <c r="AI220" s="53" t="inlineStr">
        <is>
          <t>Individual Contributor</t>
        </is>
      </c>
      <c r="AJ220" s="53" t="inlineStr">
        <is>
          <t>0 years, 0 months, 0 days</t>
        </is>
      </c>
      <c r="AK220" s="53" t="inlineStr">
        <is>
          <t>14 years, 2 months, 7 days</t>
        </is>
      </c>
      <c r="AL220" s="53" t="inlineStr">
        <is>
          <t>Regtech</t>
        </is>
      </c>
      <c r="AM220" s="53" t="inlineStr">
        <is>
          <t>iDEAL</t>
        </is>
      </c>
      <c r="AN220" s="53" t="inlineStr">
        <is>
          <t>Technology</t>
        </is>
      </c>
      <c r="AO220" s="53" t="inlineStr">
        <is>
          <t>Business Analysis</t>
        </is>
      </c>
      <c r="AP220" s="53" t="inlineStr">
        <is>
          <t>No</t>
        </is>
      </c>
      <c r="AQ220" s="53" t="inlineStr">
        <is>
          <t>Product/Project</t>
        </is>
      </c>
      <c r="AR220" s="53" t="inlineStr">
        <is>
          <t>Business Analysis</t>
        </is>
      </c>
      <c r="AS220" s="53" t="inlineStr">
        <is>
          <t>Technical · BA, PM and QA</t>
        </is>
      </c>
      <c r="AT220" s="53" t="n">
        <v>20</v>
      </c>
      <c r="AU220" s="53" t="inlineStr">
        <is>
          <t>Covered</t>
        </is>
      </c>
      <c r="AV220" s="53" t="n"/>
      <c r="AW220" s="53" t="n"/>
      <c r="AX220" s="53" t="n"/>
      <c r="AY220" s="53" t="n"/>
      <c r="AZ220" s="53" t="n"/>
      <c r="BA220" s="53" t="n"/>
      <c r="BB220" s="53" t="n"/>
      <c r="BC220" s="53" t="n"/>
      <c r="BD220" s="53" t="n"/>
      <c r="BE220" s="53" t="n"/>
      <c r="BF220" s="53" t="n"/>
      <c r="BG220" s="53" t="n"/>
      <c r="BH220" s="53" t="n"/>
      <c r="BI220" s="53" t="n"/>
      <c r="BJ220" s="53" t="n"/>
      <c r="BK220" s="53" t="n"/>
      <c r="BL220" s="53" t="n"/>
      <c r="BM220" s="53" t="n"/>
      <c r="BN220" s="53" t="n"/>
      <c r="BO220" s="53" t="n"/>
      <c r="BP220" s="53" t="n"/>
      <c r="BQ220" s="53" t="n"/>
      <c r="BR220" s="53" t="n"/>
      <c r="BS220" s="53" t="n"/>
      <c r="BT220" s="53" t="n"/>
      <c r="BU220" s="53" t="n"/>
      <c r="BV220" s="53" t="n"/>
      <c r="BW220" s="53" t="n"/>
      <c r="BX220" s="53" t="n"/>
      <c r="BY220" s="53" t="n"/>
      <c r="BZ220" s="53" t="n"/>
      <c r="CA220" s="53" t="n"/>
      <c r="CB220" s="53" t="n"/>
      <c r="CC220" s="53" t="n"/>
      <c r="CD220" s="53" t="n"/>
      <c r="CE220" s="53" t="n"/>
      <c r="CF220" s="53" t="n"/>
      <c r="CG220" s="53" t="n"/>
      <c r="CH220" s="53" t="n"/>
      <c r="CI220" s="53" t="n"/>
      <c r="CJ220" s="53" t="n"/>
      <c r="CK220" s="53" t="n"/>
      <c r="CL220" s="53" t="n"/>
      <c r="CM220" s="53" t="n"/>
      <c r="CN220" s="53" t="n"/>
      <c r="CO220" s="53" t="n"/>
      <c r="CP220" s="53" t="n"/>
      <c r="CQ220" s="53" t="n"/>
      <c r="CR220" s="53" t="n"/>
      <c r="CS220" s="53" t="n"/>
      <c r="CT220" s="53" t="n"/>
      <c r="CU220" s="53" t="n"/>
      <c r="CV220" s="53" t="n"/>
      <c r="CW220" s="53" t="n"/>
      <c r="CX220" s="53" t="n"/>
      <c r="CY220" s="53" t="n"/>
      <c r="CZ220" s="53" t="n"/>
      <c r="DA220" s="53" t="n"/>
      <c r="DB220" s="53" t="n"/>
      <c r="DC220" s="53" t="n"/>
      <c r="DD220" s="53" t="inlineStr">
        <is>
          <t>IRIS1178</t>
        </is>
      </c>
      <c r="DE220" s="53" t="inlineStr">
        <is>
          <t>Employee</t>
        </is>
      </c>
      <c r="DF220" s="53" t="inlineStr">
        <is>
          <t>Active</t>
        </is>
      </c>
      <c r="DG220" s="53" t="inlineStr">
        <is>
          <t>Anand Shinde</t>
        </is>
      </c>
      <c r="DH220" s="54" t="n">
        <v>41078</v>
      </c>
      <c r="DI220" s="53" t="inlineStr">
        <is>
          <t>Senior Business Analyst</t>
        </is>
      </c>
      <c r="DJ220" s="53" t="inlineStr">
        <is>
          <t>Business Analysis</t>
        </is>
      </c>
      <c r="DK220" s="53" t="inlineStr">
        <is>
          <t>Business / Functional Analysis</t>
        </is>
      </c>
      <c r="DL220" s="53" t="inlineStr">
        <is>
          <t>Senior Business Analyst</t>
        </is>
      </c>
      <c r="DM220" s="53" t="inlineStr">
        <is>
          <t>L4 – Senior</t>
        </is>
      </c>
      <c r="DN220" s="53" t="inlineStr">
        <is>
          <t>MBA</t>
        </is>
      </c>
      <c r="DO220" s="53" t="inlineStr">
        <is>
          <t>Yuvraj Kharchane</t>
        </is>
      </c>
      <c r="DP220" s="53" t="inlineStr">
        <is>
          <t>N-4</t>
        </is>
      </c>
      <c r="DQ220" s="53" t="inlineStr">
        <is>
          <t>Individual Contributor</t>
        </is>
      </c>
      <c r="DR220" s="53" t="inlineStr">
        <is>
          <t>0 years, 0 months, 0 days</t>
        </is>
      </c>
      <c r="DS220" s="53" t="inlineStr">
        <is>
          <t>14 years, 0 months, 2 days</t>
        </is>
      </c>
      <c r="DT220" s="53" t="inlineStr">
        <is>
          <t>14 years, 0 months, 2 days</t>
        </is>
      </c>
      <c r="DU220" s="53" t="n"/>
      <c r="DV220" s="53" t="inlineStr">
        <is>
          <t>Regtech</t>
        </is>
      </c>
      <c r="DW220" s="53" t="inlineStr">
        <is>
          <t>iDEAL</t>
        </is>
      </c>
      <c r="DX220" s="53" t="inlineStr">
        <is>
          <t>Technology</t>
        </is>
      </c>
      <c r="DY220" s="53" t="inlineStr">
        <is>
          <t>Business Analysis</t>
        </is>
      </c>
      <c r="DZ220" s="53" t="inlineStr">
        <is>
          <t>No</t>
        </is>
      </c>
      <c r="EA220" s="53" t="inlineStr">
        <is>
          <t>Product/Project</t>
        </is>
      </c>
      <c r="EB220" s="53" t="inlineStr">
        <is>
          <t>Business Analysis</t>
        </is>
      </c>
      <c r="EC220" s="53" t="inlineStr">
        <is>
          <t>Technical · BA, PM and QA</t>
        </is>
      </c>
      <c r="ED220" s="53" t="inlineStr">
        <is>
          <t>Remote - Mumbai</t>
        </is>
      </c>
      <c r="EE220" s="53" t="inlineStr">
        <is>
          <t>1.  Successfully complete the development of upcoming RBI regulatory returns planned for this quarter. Focus on delivering the three high-impact frequency-based returns, including the RAQ return, which involves significant functional and technical changes, while ensuring quality and timely delivery.
2. To develop complete expertise in EBR-related returns, understand the end-to-end process, independently handle client errors and queries, and efficiently manage all development-related activities.
3. Initiate and actively participate in Business Requirement Document · BRD discussions, prepare functional specifications, and support solution customization/development activities to ensure accurate translation of business requirements into delivered solutions.
4. Actively support team members by resolving complex functional issues, sharing domain knowledge, conducting knowledge-sharing sessions, and mentoring colleagues to improve overall team capability and delivery quality.
5. Enhance Business Analysis capabilities by completing at least one professional certification or training program · e.g., ECBA, Agile BA, Requirement Engineering and applying best practices in requirement gathering, impact analysis, stakeholder management, and documentation.</t>
        </is>
      </c>
      <c r="EF220" s="53" t="inlineStr">
        <is>
          <t>1. Effectively manage the assigned portfolio of banks and maintain high customer satisfaction, with a target of zero critical client escalations attributable to service delivery gaps.
2. Ensure 100% timely tracking, analysis, development, testing, and delivery of RBI CIMS taxonomy changes within prescribed regulatory and internal timelines. Proactively communicate all relevant updates, impacts, and deployment schedules to the respective Business Analysts and clients to ensure timely implementation and compliance.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Organize and conduct at least 2–3 knowledge-sharing sessions every month on RBI CIMS report error handling, troubleshooting, and critical report validations. Ensure key knowledge is shared across the team to improve overall support capability, reduce dependency on individual team member.</t>
        </is>
      </c>
      <c r="EG220" s="53" t="inlineStr">
        <is>
          <t>1. Acquire in-depth knowledge of EBR SDMX reports, validations, and implementation processes to independently provide effective client support for assigned clients Aug 2026.
2. Ensure 100% timely tracking, analysis, development, testing, and delivery of RBI CIMS taxonomy changes within prescribed regulatory and internal timelines. Proactively communicate all relevant updates, impacts, and deployment schedules to the respective Business Analysts and clients to ensure timely implementation and compliance.
3. Continue to ensure all assigned EBA taxonomy and reports are analysed, developed, tested, and implemented in both the Excel and database applications within the prescribed timelines.
4. Organize and conduct at least 2–3 knowledge-sharing sessions every month on RBI CIMS report error handling, troubleshooting, and critical report validations. Ensure key knowledge is shared across the team to improve overall support capability, reduce dependency on individual team member.</t>
        </is>
      </c>
      <c r="EH220" s="53" t="n">
        <v>5</v>
      </c>
      <c r="EI220" s="54" t="n">
        <v>45931</v>
      </c>
      <c r="EJ220" s="53" t="inlineStr">
        <is>
          <t>Same as current designation</t>
        </is>
      </c>
      <c r="EK220" s="53" t="inlineStr">
        <is>
          <t>No</t>
        </is>
      </c>
      <c r="EL220" s="53" t="n">
        <v>5</v>
      </c>
      <c r="EM220" s="53" t="inlineStr">
        <is>
          <t>High</t>
        </is>
      </c>
      <c r="EN220" s="53" t="inlineStr">
        <is>
          <t>Trusted Professional</t>
        </is>
      </c>
      <c r="EO220" s="53" t="inlineStr">
        <is>
          <t>Ready in 12 Months</t>
        </is>
      </c>
      <c r="EP220" s="53" t="inlineStr">
        <is>
          <t>No</t>
        </is>
      </c>
      <c r="EQ220" s="53" t="inlineStr">
        <is>
          <t>Yes</t>
        </is>
      </c>
      <c r="ER220" s="53" t="n"/>
      <c r="ES220" s="53" t="inlineStr">
        <is>
          <t>Training on the effective utilization of AI tools.</t>
        </is>
      </c>
      <c r="ET220" s="53" t="n"/>
      <c r="EU220" s="53" t="n"/>
      <c r="EV220" s="53" t="n"/>
      <c r="EW220" s="52" t="n"/>
      <c r="EX220" s="53" t="n"/>
      <c r="EY220" s="53" t="n"/>
      <c r="EZ220" s="53" t="n"/>
      <c r="FA220" s="53" t="n"/>
      <c r="FB220" s="53" t="n"/>
      <c r="FC220" s="53" t="inlineStr">
        <is>
          <t>Annual KRAs · objective Measurable Minimum 5 - Self</t>
        </is>
      </c>
      <c r="FD220" s="53" t="n"/>
      <c r="FE220" s="57" t="inlineStr">
        <is>
          <t>1. Effectively manage the assigned portfolio of banks and maintain high customer satisfaction, with a target of zero critical client escalations attributable to service delivery gaps.
2. Ensure 100% timely tracking, analysis, development, testing, and delivery of RBI CIMS taxonomy changes within prescribed regulatory and internal timelines. Proactively communicate all relevant updates, impacts, and deployment schedules to the respective Business Analysts and clients to ensure timely implementation and compliance.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Organize and conduct at least 2–3 knowledge-sharing sessions every month on RBI CIMS report error handling, troubleshooting, and critical report validations. Ensure key knowledge is shared across the team to improve overall support capability, reduce dependency on individual team member.</t>
        </is>
      </c>
      <c r="FF220" s="56" t="inlineStr">
        <is>
          <t>1. Acquire in-depth knowledge of EBR SDMX reports, validations, and implementation processes to independently provide effective client support for assigned clients Aug 2026.
2. Ensure 100% timely tracking, analysis, development, testing, and delivery of RBI CIMS taxonomy changes within prescribed regulatory and internal timelines. Proactively communicate all relevant updates, impacts, and deployment schedules to the respective Business Analysts and clients to ensure timely implementation and compliance.
3. Continue to ensure all assigned EBA taxonomy and reports are analysed, developed, tested, and implemented in both the Excel and database applications within the prescribed timelines.
4. Organize and conduct at least 2–3 knowledge-sharing sessions every month on RBI CIMS report error handling, troubleshooting, and critical report validations. Ensure key knowledge is shared across the team to improve overall support capability, reduce dependency on individual team member.</t>
        </is>
      </c>
      <c r="FG220" s="56" t="inlineStr">
        <is>
          <t>1.  Successfully complete the development of upcoming RBI regulatory returns planned for this quarter. Focus on delivering the three high-impact frequency-based returns, including the RAQ return, which involves significant functional and technical changes, while ensuring quality and timely delivery.
2. To develop complete expertise in EBR-related returns, understand the end-to-end process, independently handle client errors and queries, and efficiently manage all development-related activities.
3. Initiate and actively participate in Business Requirement Document · BRD discussions, prepare functional specifications, and support solution customization/development activities to ensure accurate translation of business requirements into delivered solutions.
4. Actively support team members by resolving complex functional issues, sharing domain knowledge, conducting knowledge-sharing sessions, and mentoring colleagues to improve overall team capability and delivery quality.
5. Enhance Business Analysis capabilities by completing at least one professional certification or training program · e.g., ECBA, Agile BA, Requirement Engineering and applying best practices in requirement gathering, impact analysis, stakeholder management, and documentation.</t>
        </is>
      </c>
      <c r="FH220" s="56" t="inlineStr">
        <is>
          <t>5</t>
        </is>
      </c>
      <c r="FI220" s="56" t="n"/>
      <c r="FJ220" s="56" t="inlineStr">
        <is>
          <t>Received · manager annual, quarterly, self</t>
        </is>
      </c>
      <c r="FK220" s="56" t="inlineStr">
        <is>
          <t>Talent Mapping · iDEAL</t>
        </is>
      </c>
      <c r="FL220" s="56" t="n">
        <v>20</v>
      </c>
      <c r="FM220" s="32" t="inlineStr">
        <is>
          <t>Full survey answers not in the files received · How We Grow export needed · HR</t>
        </is>
      </c>
      <c r="FN220" s="56" t="inlineStr">
        <is>
          <t>—</t>
        </is>
      </c>
      <c r="FO220" s="56" t="inlineStr">
        <is>
          <t>—</t>
        </is>
      </c>
      <c r="FP220" s="56" t="inlineStr">
        <is>
          <t>—</t>
        </is>
      </c>
      <c r="FQ220" s="56" t="inlineStr">
        <is>
          <t>—</t>
        </is>
      </c>
      <c r="FR220" s="56" t="inlineStr">
        <is>
          <t>Complexity: Evidence reads like A3: Develops new RBI returns from scratch; handles client return-conversion errors; uses SQL → moved down 0.5
Autonomy: Evidence reads like A2: Decides bug fixing only → moved down 0.5
Accountability: Evidence reads like A2: Own return development and error fixes; mistakes trigger client escalation → moved down 0.5
Leadership: Evidence reads like A1: None described → moved down 0.5
Business Impact: Moved +1: the survey / manager mapping marks it business-critical and it does work no one else does.</t>
        </is>
      </c>
      <c r="FS220" s="56" t="inlineStr">
        <is>
          <t>Common themes in role-holders' answers: business · smooth · between · client · am · requirements
Common themes in role-holders' answers: requirement · stakeholder · gathering · client · project · portfolio
Common themes in role-holders' answers: product · regulator
Common themes in role-holders' answers: requirement · client · time · issue · assigned
Common themes in role-holders' answers: documentation
If the work is missed · role-holders' themes: client · delivery · escalation · unresolved · without.
Measured on · manager-set KRA themes: releases · satisfaction · delivery · assigned · requirement.</t>
        </is>
      </c>
      <c r="FT220" s="56" t="inlineStr">
        <is>
          <t>Self-identified: Communication &amp; presentation
For the next role: Communication &amp; presentation</t>
        </is>
      </c>
      <c r="FU220" s="32" t="inlineStr">
        <is>
          <t>Full survey answers not in the files received · How We Grow export needed · HR</t>
        </is>
      </c>
    </row>
    <row r="221" ht="90" customHeight="1">
      <c r="A221" s="51" t="inlineStr">
        <is>
          <t>◂ Back</t>
        </is>
      </c>
      <c r="B221" s="29" t="inlineStr">
        <is>
          <t>Mapped</t>
        </is>
      </c>
      <c r="C221" s="28" t="inlineStr">
        <is>
          <t>iDEAL</t>
        </is>
      </c>
      <c r="D221" s="29" t="inlineStr">
        <is>
          <t>IRIS1796</t>
        </is>
      </c>
      <c r="E221" s="29" t="inlineStr">
        <is>
          <t>Kailash Sahu</t>
        </is>
      </c>
      <c r="F221" s="29" t="inlineStr">
        <is>
          <t>Technology</t>
        </is>
      </c>
      <c r="G221" s="29" t="inlineStr">
        <is>
          <t>Business Analyst</t>
        </is>
      </c>
      <c r="H221" s="29" t="inlineStr">
        <is>
          <t>Business Analysis Specialist</t>
        </is>
      </c>
      <c r="I221" s="29" t="inlineStr">
        <is>
          <t>L3 – Professional / Associate</t>
        </is>
      </c>
      <c r="J221" s="29" t="inlineStr">
        <is>
          <t>B1</t>
        </is>
      </c>
      <c r="K221" s="29" t="inlineStr">
        <is>
          <t>▲ Up</t>
        </is>
      </c>
      <c r="L221" s="29" t="inlineStr">
        <is>
          <t>Business Analysis</t>
        </is>
      </c>
      <c r="M221" s="29" t="inlineStr">
        <is>
          <t>Business Analysis</t>
        </is>
      </c>
      <c r="N221" s="29" t="n"/>
      <c r="O221" s="29" t="n">
        <v>20</v>
      </c>
      <c r="P221" s="28" t="inlineStr">
        <is>
          <t>P3 / M2</t>
        </is>
      </c>
      <c r="Q221" s="29" t="inlineStr">
        <is>
          <t>Career / · Team Lead</t>
        </is>
      </c>
      <c r="R221" s="29" t="inlineStr">
        <is>
          <t>4 Enable</t>
        </is>
      </c>
      <c r="S221" s="29" t="inlineStr">
        <is>
          <t>4–7 yrs</t>
        </is>
      </c>
      <c r="T221" s="29" t="inlineStr">
        <is>
          <t>5–8 · 4–8</t>
        </is>
      </c>
      <c r="U221" s="29" t="inlineStr">
        <is>
          <t>Senior Business Analyst</t>
        </is>
      </c>
      <c r="V221" s="29" t="inlineStr">
        <is>
          <t>Regnology — regulatory reporting: BA · Reg Reporting · Big Four consulting: Senior Consultant · IRIS Vs Market Benchmark — IIBA certification pathway: CCBA · Infosys / Accenture: JL4 · L9 Consultant</t>
        </is>
      </c>
      <c r="W221" s="29" t="inlineStr">
        <is>
          <t>IIBA BABOK v3; certifications ECBA · entry → CCBA → CBAP · senior</t>
        </is>
      </c>
      <c r="X221" s="29" t="inlineStr">
        <is>
          <t>Core 3 · Future 3 · Functional 3 · Leadership 1</t>
        </is>
      </c>
      <c r="Y221" s="52" t="n">
        <v>157</v>
      </c>
      <c r="Z221" s="53" t="inlineStr">
        <is>
          <t>IRIS1796</t>
        </is>
      </c>
      <c r="AA221" s="53" t="inlineStr">
        <is>
          <t>Employee</t>
        </is>
      </c>
      <c r="AB221" s="53" t="inlineStr">
        <is>
          <t>Serving Notice</t>
        </is>
      </c>
      <c r="AC221" s="53" t="inlineStr">
        <is>
          <t>Kailash Sahu</t>
        </is>
      </c>
      <c r="AD221" s="54" t="n">
        <v>43647</v>
      </c>
      <c r="AE221" s="53" t="inlineStr">
        <is>
          <t>Business Analyst</t>
        </is>
      </c>
      <c r="AF221" s="53" t="inlineStr">
        <is>
          <t>MCA</t>
        </is>
      </c>
      <c r="AG221" s="53" t="inlineStr">
        <is>
          <t>Yuvraj Kharchane</t>
        </is>
      </c>
      <c r="AH221" s="53" t="inlineStr">
        <is>
          <t>N-4</t>
        </is>
      </c>
      <c r="AI221" s="53" t="inlineStr">
        <is>
          <t>Individual Contributor</t>
        </is>
      </c>
      <c r="AJ221" s="53" t="inlineStr">
        <is>
          <t>12 years, 8 months, 4 days</t>
        </is>
      </c>
      <c r="AK221" s="53" t="inlineStr">
        <is>
          <t>7 years, 1 months, 24 days</t>
        </is>
      </c>
      <c r="AL221" s="53" t="inlineStr">
        <is>
          <t>Regtech</t>
        </is>
      </c>
      <c r="AM221" s="53" t="inlineStr">
        <is>
          <t>iDEAL</t>
        </is>
      </c>
      <c r="AN221" s="53" t="inlineStr">
        <is>
          <t>Technology</t>
        </is>
      </c>
      <c r="AO221" s="53" t="inlineStr">
        <is>
          <t>Business Analysis</t>
        </is>
      </c>
      <c r="AP221" s="53" t="inlineStr">
        <is>
          <t>Yes</t>
        </is>
      </c>
      <c r="AQ221" s="53" t="inlineStr">
        <is>
          <t>Product/Project</t>
        </is>
      </c>
      <c r="AR221" s="53" t="inlineStr">
        <is>
          <t>Business Analysis</t>
        </is>
      </c>
      <c r="AS221" s="53" t="inlineStr">
        <is>
          <t>Technical · BA, PM and QA</t>
        </is>
      </c>
      <c r="AT221" s="53" t="n">
        <v>20</v>
      </c>
      <c r="AU221" s="53" t="inlineStr">
        <is>
          <t>Covered</t>
        </is>
      </c>
      <c r="AV221" s="53" t="n"/>
      <c r="AW221" s="53" t="n"/>
      <c r="AX221" s="53" t="n"/>
      <c r="AY221" s="53" t="n"/>
      <c r="AZ221" s="53" t="n"/>
      <c r="BA221" s="53" t="n"/>
      <c r="BB221" s="53" t="n"/>
      <c r="BC221" s="53" t="n"/>
      <c r="BD221" s="53" t="n"/>
      <c r="BE221" s="53" t="n"/>
      <c r="BF221" s="53" t="n"/>
      <c r="BG221" s="53" t="n"/>
      <c r="BH221" s="53" t="n"/>
      <c r="BI221" s="53" t="n"/>
      <c r="BJ221" s="53" t="n"/>
      <c r="BK221" s="53" t="n"/>
      <c r="BL221" s="53" t="n"/>
      <c r="BM221" s="53" t="n"/>
      <c r="BN221" s="53" t="n"/>
      <c r="BO221" s="53" t="n"/>
      <c r="BP221" s="53" t="n"/>
      <c r="BQ221" s="53" t="n"/>
      <c r="BR221" s="53" t="n"/>
      <c r="BS221" s="53" t="n"/>
      <c r="BT221" s="53" t="n"/>
      <c r="BU221" s="53" t="n"/>
      <c r="BV221" s="53" t="n"/>
      <c r="BW221" s="53" t="n"/>
      <c r="BX221" s="53" t="n"/>
      <c r="BY221" s="53" t="n"/>
      <c r="BZ221" s="53" t="n"/>
      <c r="CA221" s="53" t="n"/>
      <c r="CB221" s="53" t="n"/>
      <c r="CC221" s="53" t="n"/>
      <c r="CD221" s="53" t="n"/>
      <c r="CE221" s="53" t="n"/>
      <c r="CF221" s="53" t="n"/>
      <c r="CG221" s="53" t="n"/>
      <c r="CH221" s="53" t="n"/>
      <c r="CI221" s="53" t="n"/>
      <c r="CJ221" s="53" t="n"/>
      <c r="CK221" s="53" t="n"/>
      <c r="CL221" s="53" t="n"/>
      <c r="CM221" s="53" t="n"/>
      <c r="CN221" s="53" t="n"/>
      <c r="CO221" s="53" t="n"/>
      <c r="CP221" s="53" t="n"/>
      <c r="CQ221" s="53" t="n"/>
      <c r="CR221" s="53" t="n"/>
      <c r="CS221" s="53" t="n"/>
      <c r="CT221" s="53" t="n"/>
      <c r="CU221" s="53" t="n"/>
      <c r="CV221" s="53" t="n"/>
      <c r="CW221" s="53" t="n"/>
      <c r="CX221" s="53" t="n"/>
      <c r="CY221" s="53" t="n"/>
      <c r="CZ221" s="53" t="n"/>
      <c r="DA221" s="53" t="n"/>
      <c r="DB221" s="53" t="n"/>
      <c r="DC221" s="53" t="n"/>
      <c r="DD221" s="53" t="inlineStr">
        <is>
          <t>IRIS1796</t>
        </is>
      </c>
      <c r="DE221" s="53" t="inlineStr">
        <is>
          <t>Employee</t>
        </is>
      </c>
      <c r="DF221" s="53" t="inlineStr">
        <is>
          <t>Serving Notice</t>
        </is>
      </c>
      <c r="DG221" s="53" t="inlineStr">
        <is>
          <t>Kailash Sahu</t>
        </is>
      </c>
      <c r="DH221" s="54" t="n">
        <v>43647</v>
      </c>
      <c r="DI221" s="53" t="inlineStr">
        <is>
          <t>Business Analyst</t>
        </is>
      </c>
      <c r="DJ221" s="53" t="inlineStr">
        <is>
          <t>Business Analysis</t>
        </is>
      </c>
      <c r="DK221" s="53" t="inlineStr">
        <is>
          <t>Business / Functional Analysis</t>
        </is>
      </c>
      <c r="DL221" s="53" t="inlineStr">
        <is>
          <t>Business Analyst</t>
        </is>
      </c>
      <c r="DM221" s="53" t="inlineStr">
        <is>
          <t>L3 – Professional / Associate</t>
        </is>
      </c>
      <c r="DN221" s="53" t="inlineStr">
        <is>
          <t>MCA</t>
        </is>
      </c>
      <c r="DO221" s="53" t="inlineStr">
        <is>
          <t>Yuvraj Kharchane</t>
        </is>
      </c>
      <c r="DP221" s="53" t="inlineStr">
        <is>
          <t>N-4</t>
        </is>
      </c>
      <c r="DQ221" s="53" t="inlineStr">
        <is>
          <t>Individual Contributor</t>
        </is>
      </c>
      <c r="DR221" s="53" t="inlineStr">
        <is>
          <t>12 years, 8 months, 4 days</t>
        </is>
      </c>
      <c r="DS221" s="53" t="inlineStr">
        <is>
          <t>6 years, 11 months, 19 days</t>
        </is>
      </c>
      <c r="DT221" s="53" t="inlineStr">
        <is>
          <t>19 years, 7 months, 23 days</t>
        </is>
      </c>
      <c r="DU221" s="53" t="n"/>
      <c r="DV221" s="53" t="inlineStr">
        <is>
          <t>Regtech</t>
        </is>
      </c>
      <c r="DW221" s="53" t="inlineStr">
        <is>
          <t>iDEAL</t>
        </is>
      </c>
      <c r="DX221" s="53" t="inlineStr">
        <is>
          <t>Technology</t>
        </is>
      </c>
      <c r="DY221" s="53" t="inlineStr">
        <is>
          <t>Business Analysis</t>
        </is>
      </c>
      <c r="DZ221" s="53" t="inlineStr">
        <is>
          <t>Yes</t>
        </is>
      </c>
      <c r="EA221" s="53" t="inlineStr">
        <is>
          <t>Product/Project</t>
        </is>
      </c>
      <c r="EB221" s="53" t="inlineStr">
        <is>
          <t>Business Analysis</t>
        </is>
      </c>
      <c r="EC221" s="53" t="inlineStr">
        <is>
          <t>Technical · BA, PM and QA</t>
        </is>
      </c>
      <c r="ED221" s="53" t="inlineStr">
        <is>
          <t>Remote- Outside Mumbai</t>
        </is>
      </c>
      <c r="EE221" s="53" t="inlineStr">
        <is>
          <t>On Notice Period</t>
        </is>
      </c>
      <c r="EF221" s="53" t="inlineStr">
        <is>
          <t>On Notice Period</t>
        </is>
      </c>
      <c r="EG221" s="53" t="inlineStr">
        <is>
          <t>On Notice Period</t>
        </is>
      </c>
      <c r="EH221" s="53" t="n">
        <v>3</v>
      </c>
      <c r="EI221" s="54" t="n">
        <v>45931</v>
      </c>
      <c r="EJ221" s="53" t="inlineStr">
        <is>
          <t>Same as current designation</t>
        </is>
      </c>
      <c r="EK221" s="53" t="inlineStr">
        <is>
          <t>No</t>
        </is>
      </c>
      <c r="EL221" s="53" t="n">
        <v>3</v>
      </c>
      <c r="EM221" s="53" t="inlineStr">
        <is>
          <t>Medium</t>
        </is>
      </c>
      <c r="EN221" s="53" t="inlineStr">
        <is>
          <t>Core Contributor</t>
        </is>
      </c>
      <c r="EO221" s="53" t="inlineStr">
        <is>
          <t>Not Ready</t>
        </is>
      </c>
      <c r="EP221" s="53" t="inlineStr">
        <is>
          <t>No</t>
        </is>
      </c>
      <c r="EQ221" s="53" t="inlineStr">
        <is>
          <t>No</t>
        </is>
      </c>
      <c r="ER221" s="53" t="n"/>
      <c r="ES221" s="53" t="inlineStr">
        <is>
          <t>Training on the effective utilization of AI tools.</t>
        </is>
      </c>
      <c r="ET221" s="53" t="n"/>
      <c r="EU221" s="53" t="n"/>
      <c r="EV221" s="53" t="n"/>
      <c r="EW221" s="52" t="n"/>
      <c r="EX221" s="53" t="n"/>
      <c r="EY221" s="53" t="n"/>
      <c r="EZ221" s="53" t="n"/>
      <c r="FA221" s="53" t="n"/>
      <c r="FB221" s="53" t="n"/>
      <c r="FC221" s="53" t="n"/>
      <c r="FD221" s="53" t="n"/>
      <c r="FE221" s="57" t="inlineStr">
        <is>
          <t>On Notice Period</t>
        </is>
      </c>
      <c r="FF221" s="56" t="inlineStr">
        <is>
          <t>On Notice Period</t>
        </is>
      </c>
      <c r="FG221" s="56" t="inlineStr">
        <is>
          <t>On Notice Period</t>
        </is>
      </c>
      <c r="FH221" s="56" t="inlineStr">
        <is>
          <t>3</t>
        </is>
      </c>
      <c r="FI221" s="56" t="n"/>
      <c r="FJ221" s="56" t="inlineStr">
        <is>
          <t>Received · manager annual, quarterly, self</t>
        </is>
      </c>
      <c r="FK221" s="56" t="inlineStr">
        <is>
          <t>Talent Mapping · iDEAL</t>
        </is>
      </c>
      <c r="FL221" s="56" t="n">
        <v>20</v>
      </c>
      <c r="FM221" s="32" t="inlineStr">
        <is>
          <t>Full survey answers not in the files received · How We Grow export needed · HR</t>
        </is>
      </c>
      <c r="FN221" s="56" t="inlineStr">
        <is>
          <t>—</t>
        </is>
      </c>
      <c r="FO221" s="56" t="inlineStr">
        <is>
          <t>—</t>
        </is>
      </c>
      <c r="FP221" s="56" t="inlineStr">
        <is>
          <t>—</t>
        </is>
      </c>
      <c r="FQ221" s="56" t="inlineStr">
        <is>
          <t>—</t>
        </is>
      </c>
      <c r="FR221" s="56" t="inlineStr">
        <is>
          <t>Complexity: Evidence reads like A3: Resolves report errors, deploys upgrades and takes enhancement requirements for client banks → matches the start
Autonomy: Evidence reads like A3: Independently resolves report errors and carries out upgrade deployments for his clients → matches the start
Accountability: Evidence reads like B1: Own client banks' on-time, error-free compliance filing and application issues → moved up 0.5
Leadership: Evidence reads like A1: No guidance of others described → moved down 0.5
Business Impact: No survey or manager-mapping signal on criticality: kept at the start point.</t>
        </is>
      </c>
      <c r="FS221" s="56" t="inlineStr">
        <is>
          <t>Common themes in role-holders' answers: business · smooth · between · client · am · requirements
Common themes in role-holders' answers: requirement · stakeholder · gathering · client · project · portfolio
Common themes in role-holders' answers: product · regulator
Common themes in role-holders' answers: requirement · client · time · issue · assigned
Common themes in role-holders' answers: documentation
If the work is missed · role-holders' themes: client · delivery · escalation · unresolved · without.
Measured on · manager-set KRA themes: releases · satisfaction · delivery · assigned · requirement.</t>
        </is>
      </c>
      <c r="FT221" s="56" t="inlineStr">
        <is>
          <t>Self-identified: Answered · no common topic
For the next role: Answered · no common topic</t>
        </is>
      </c>
      <c r="FU221" s="32" t="inlineStr">
        <is>
          <t>Full survey answers not in the files received · How We Grow export needed · HR</t>
        </is>
      </c>
    </row>
    <row r="222" ht="90" customHeight="1">
      <c r="A222" s="51" t="inlineStr">
        <is>
          <t>◂ Back</t>
        </is>
      </c>
      <c r="B222" s="29" t="inlineStr">
        <is>
          <t>Mapped</t>
        </is>
      </c>
      <c r="C222" s="28" t="inlineStr">
        <is>
          <t>iDEAL</t>
        </is>
      </c>
      <c r="D222" s="29" t="inlineStr">
        <is>
          <t>IRIS2236</t>
        </is>
      </c>
      <c r="E222" s="29" t="inlineStr">
        <is>
          <t>Anishaa Mahesh Kukreja</t>
        </is>
      </c>
      <c r="F222" s="29" t="inlineStr">
        <is>
          <t>Technology</t>
        </is>
      </c>
      <c r="G222" s="29" t="inlineStr">
        <is>
          <t>Business Analyst</t>
        </is>
      </c>
      <c r="H222" s="29" t="inlineStr">
        <is>
          <t>Senior Business Analyst</t>
        </is>
      </c>
      <c r="I222" s="29" t="inlineStr">
        <is>
          <t>L3 – Professional / Associate</t>
        </is>
      </c>
      <c r="J222" s="29" t="inlineStr">
        <is>
          <t>A3</t>
        </is>
      </c>
      <c r="K222" s="29" t="inlineStr">
        <is>
          <t>▲ Up</t>
        </is>
      </c>
      <c r="L222" s="29" t="inlineStr">
        <is>
          <t>Business Analysis</t>
        </is>
      </c>
      <c r="M222" s="29" t="inlineStr">
        <is>
          <t>Business Analysis</t>
        </is>
      </c>
      <c r="N222" s="29" t="n"/>
      <c r="O222" s="29" t="n">
        <v>20</v>
      </c>
      <c r="P222" s="28" t="inlineStr">
        <is>
          <t>P2</t>
        </is>
      </c>
      <c r="Q222" s="29" t="inlineStr">
        <is>
          <t>Developing</t>
        </is>
      </c>
      <c r="R222" s="29" t="inlineStr">
        <is>
          <t>3 Apply</t>
        </is>
      </c>
      <c r="S222" s="29" t="inlineStr">
        <is>
          <t>2–4 yrs</t>
        </is>
      </c>
      <c r="T222" s="29" t="inlineStr">
        <is>
          <t>3–5 · 2–5</t>
        </is>
      </c>
      <c r="U222" s="29" t="inlineStr">
        <is>
          <t>Business Analyst</t>
        </is>
      </c>
      <c r="V222" s="29" t="inlineStr">
        <is>
          <t>Regnology — regulatory reporting: Junior BA · Reg Reporting · Big Four consulting: Consultant · IRIS Vs Market Benchmark — IIBA certification pathway: ECBA · Infosys / Accenture: JL3A · L10 Senior Analyst</t>
        </is>
      </c>
      <c r="W222" s="29" t="inlineStr">
        <is>
          <t>IIBA BABOK v3; certifications ECBA · entry → CCBA → CBAP · senior</t>
        </is>
      </c>
      <c r="X222" s="29" t="inlineStr">
        <is>
          <t>Core 2 · Future 2 · Functional 3 · Leadership not scored</t>
        </is>
      </c>
      <c r="Y222" s="52" t="n">
        <v>312</v>
      </c>
      <c r="Z222" s="53" t="inlineStr">
        <is>
          <t>IRIS2236</t>
        </is>
      </c>
      <c r="AA222" s="53" t="inlineStr">
        <is>
          <t>Employee</t>
        </is>
      </c>
      <c r="AB222" s="53" t="inlineStr">
        <is>
          <t>Active</t>
        </is>
      </c>
      <c r="AC222" s="53" t="inlineStr">
        <is>
          <t>Anishaa Mahesh Kukreja</t>
        </is>
      </c>
      <c r="AD222" s="54" t="n">
        <v>45390</v>
      </c>
      <c r="AE222" s="53" t="inlineStr">
        <is>
          <t>Business Analyst</t>
        </is>
      </c>
      <c r="AF222" s="53" t="inlineStr">
        <is>
          <t>B.E</t>
        </is>
      </c>
      <c r="AG222" s="53" t="inlineStr">
        <is>
          <t>Yuvraj Kharchane</t>
        </is>
      </c>
      <c r="AH222" s="53" t="inlineStr">
        <is>
          <t>N-4</t>
        </is>
      </c>
      <c r="AI222" s="53" t="inlineStr">
        <is>
          <t>Individual Contributor</t>
        </is>
      </c>
      <c r="AJ222" s="53" t="inlineStr">
        <is>
          <t>4 years, 0 months, 0 days</t>
        </is>
      </c>
      <c r="AK222" s="53" t="inlineStr">
        <is>
          <t>2 years, 4 months, 17 days</t>
        </is>
      </c>
      <c r="AL222" s="53" t="inlineStr">
        <is>
          <t>Regtech</t>
        </is>
      </c>
      <c r="AM222" s="53" t="inlineStr">
        <is>
          <t>iDEAL</t>
        </is>
      </c>
      <c r="AN222" s="53" t="inlineStr">
        <is>
          <t>Technology</t>
        </is>
      </c>
      <c r="AO222" s="53" t="inlineStr">
        <is>
          <t>Business Analysis</t>
        </is>
      </c>
      <c r="AP222" s="53" t="inlineStr">
        <is>
          <t>No</t>
        </is>
      </c>
      <c r="AQ222" s="53" t="inlineStr">
        <is>
          <t>Product/Project</t>
        </is>
      </c>
      <c r="AR222" s="53" t="inlineStr">
        <is>
          <t>Business Analysis</t>
        </is>
      </c>
      <c r="AS222" s="53" t="inlineStr">
        <is>
          <t>Technical · BA, PM and QA</t>
        </is>
      </c>
      <c r="AT222" s="53" t="n">
        <v>20</v>
      </c>
      <c r="AU222" s="53" t="inlineStr">
        <is>
          <t>Covered</t>
        </is>
      </c>
      <c r="AV222" s="53" t="n"/>
      <c r="AW222" s="53" t="n"/>
      <c r="AX222" s="53" t="n"/>
      <c r="AY222" s="53" t="n"/>
      <c r="AZ222" s="53" t="n"/>
      <c r="BA222" s="53" t="n"/>
      <c r="BB222" s="53" t="n"/>
      <c r="BC222" s="53" t="n"/>
      <c r="BD222" s="53" t="n"/>
      <c r="BE222" s="53" t="n"/>
      <c r="BF222" s="53" t="n"/>
      <c r="BG222" s="53" t="n"/>
      <c r="BH222" s="53" t="n"/>
      <c r="BI222" s="53" t="n"/>
      <c r="BJ222" s="53" t="n"/>
      <c r="BK222" s="53" t="n"/>
      <c r="BL222" s="53" t="n"/>
      <c r="BM222" s="53" t="n"/>
      <c r="BN222" s="53" t="n"/>
      <c r="BO222" s="53" t="n"/>
      <c r="BP222" s="53" t="n"/>
      <c r="BQ222" s="53" t="n"/>
      <c r="BR222" s="53" t="n"/>
      <c r="BS222" s="53" t="n"/>
      <c r="BT222" s="53" t="n"/>
      <c r="BU222" s="53" t="n"/>
      <c r="BV222" s="53" t="n"/>
      <c r="BW222" s="53" t="n"/>
      <c r="BX222" s="53" t="n"/>
      <c r="BY222" s="53" t="n"/>
      <c r="BZ222" s="53" t="n"/>
      <c r="CA222" s="53" t="n"/>
      <c r="CB222" s="53" t="n"/>
      <c r="CC222" s="53" t="n"/>
      <c r="CD222" s="53" t="n"/>
      <c r="CE222" s="53" t="n"/>
      <c r="CF222" s="53" t="n"/>
      <c r="CG222" s="53" t="n"/>
      <c r="CH222" s="53" t="n"/>
      <c r="CI222" s="53" t="n"/>
      <c r="CJ222" s="53" t="n"/>
      <c r="CK222" s="53" t="n"/>
      <c r="CL222" s="53" t="n"/>
      <c r="CM222" s="53" t="n"/>
      <c r="CN222" s="53" t="n"/>
      <c r="CO222" s="53" t="n"/>
      <c r="CP222" s="53" t="n"/>
      <c r="CQ222" s="53" t="n"/>
      <c r="CR222" s="53" t="n"/>
      <c r="CS222" s="53" t="n"/>
      <c r="CT222" s="53" t="n"/>
      <c r="CU222" s="53" t="n"/>
      <c r="CV222" s="53" t="n"/>
      <c r="CW222" s="53" t="n"/>
      <c r="CX222" s="53" t="n"/>
      <c r="CY222" s="53" t="n"/>
      <c r="CZ222" s="53" t="n"/>
      <c r="DA222" s="53" t="n"/>
      <c r="DB222" s="53" t="n"/>
      <c r="DC222" s="53" t="n"/>
      <c r="DD222" s="53" t="inlineStr">
        <is>
          <t>IRIS2236</t>
        </is>
      </c>
      <c r="DE222" s="53" t="inlineStr">
        <is>
          <t>Employee</t>
        </is>
      </c>
      <c r="DF222" s="53" t="inlineStr">
        <is>
          <t>Active</t>
        </is>
      </c>
      <c r="DG222" s="53" t="inlineStr">
        <is>
          <t>Anishaa Mahesh Kukreja</t>
        </is>
      </c>
      <c r="DH222" s="54" t="n">
        <v>45390</v>
      </c>
      <c r="DI222" s="53" t="inlineStr">
        <is>
          <t>Business Analyst</t>
        </is>
      </c>
      <c r="DJ222" s="53" t="inlineStr">
        <is>
          <t>Business Analysis</t>
        </is>
      </c>
      <c r="DK222" s="53" t="inlineStr">
        <is>
          <t>Business / Functional Analysis</t>
        </is>
      </c>
      <c r="DL222" s="53" t="inlineStr">
        <is>
          <t>Business Analyst</t>
        </is>
      </c>
      <c r="DM222" s="53" t="inlineStr">
        <is>
          <t>L3 – Professional / Associate</t>
        </is>
      </c>
      <c r="DN222" s="53" t="inlineStr">
        <is>
          <t>B.E</t>
        </is>
      </c>
      <c r="DO222" s="53" t="inlineStr">
        <is>
          <t>Yuvraj Kharchane</t>
        </is>
      </c>
      <c r="DP222" s="53" t="inlineStr">
        <is>
          <t>N-4</t>
        </is>
      </c>
      <c r="DQ222" s="53" t="inlineStr">
        <is>
          <t>Individual Contributor</t>
        </is>
      </c>
      <c r="DR222" s="53" t="inlineStr">
        <is>
          <t>4 years, 0 months, 0 days</t>
        </is>
      </c>
      <c r="DS222" s="53" t="inlineStr">
        <is>
          <t>2 years, 2 months, 12 days</t>
        </is>
      </c>
      <c r="DT222" s="53" t="inlineStr">
        <is>
          <t>6 years, 2 months, 12 days</t>
        </is>
      </c>
      <c r="DU222" s="53" t="n"/>
      <c r="DV222" s="53" t="inlineStr">
        <is>
          <t>Regtech</t>
        </is>
      </c>
      <c r="DW222" s="53" t="inlineStr">
        <is>
          <t>iDEAL</t>
        </is>
      </c>
      <c r="DX222" s="53" t="inlineStr">
        <is>
          <t>Technology</t>
        </is>
      </c>
      <c r="DY222" s="53" t="inlineStr">
        <is>
          <t>Business Analysis</t>
        </is>
      </c>
      <c r="DZ222" s="53" t="inlineStr">
        <is>
          <t>No</t>
        </is>
      </c>
      <c r="EA222" s="53" t="inlineStr">
        <is>
          <t>Product/Project</t>
        </is>
      </c>
      <c r="EB222" s="53" t="inlineStr">
        <is>
          <t>Business Analysis</t>
        </is>
      </c>
      <c r="EC222" s="53" t="inlineStr">
        <is>
          <t>Technical · BA, PM and QA</t>
        </is>
      </c>
      <c r="ED222" s="53" t="inlineStr">
        <is>
          <t>Remote - Mumbai</t>
        </is>
      </c>
      <c r="EE222" s="53" t="inlineStr">
        <is>
          <t>1. Contribute to ongoing development and enhancement activities for the RPT product by supporting requirement analysis, validation, and business coordination. 
2. Do the RPT product demonstrations and stakeholder discussions to showcase product capabilities and gather feedback for continuous improvement.
3. Support business and functional activities across CIMS, RPT, and EBR projects, ensuring timely resolution of queries and smooth project execution.
4. Contribute to knowledge building within the team and eliminate external dependency · Contetrathrough increased product understanding and ownership for for RPT solution.
5. For RBI CIMS and EBR project, coordinate effectively with cross-functional teams and stakeholders to ensure seamless communication, timely issue resolution, and successful project delivery. Maintain a client-centric approach by resolving support issues and client queries within agreed SLA timelines and proactively communicating project status, risks, and resolutions.
6. Perform detailed functional validation and testing activities for RPT, identifying defects and ensuring quality deliverables</t>
        </is>
      </c>
      <c r="EF222" s="53" t="inlineStr">
        <is>
          <t>1. Effectively manage the assigned portfolio of banks and maintain high customer satisfaction, with a target of zero critical client escalations attributable to service delivery gaps.
2. Drive RPT product demonstrations, client discussions, requirement gathering, and requirement clarification activities to facilitate successful client engagements and business opportunities. Lead and coordinate the implementation and successful delivery of the Bharat Forge RPT project, ensuring completion of all agreed milestones by September 2026.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EG222" s="53" t="inlineStr">
        <is>
          <t>1. Acquire in-depth knowledge of EBR SDMX reports, validations, and implementation processes to independently provide effective client support for assigned clients by Aug 2026.
2. Continue to support and lead the RPT product demonstrations, client discussions and requirement clarification to facilitate successful client engagements and business opportunities.
3. Lead the onboarding and project kick-off activities for the upcoming Bharat Forge RPT implementation, including requirement gathering, stakeholder coordination, and collaboration with cross-functional teams to ensure timely project completion by Sep 2026.
4. Effectively manage the assigned portfolio of banks independently  while maintaining 100% customer satisfaction with zero critical escalations.</t>
        </is>
      </c>
      <c r="EH222" s="53" t="n">
        <v>3</v>
      </c>
      <c r="EI222" s="54" t="n">
        <v>45931</v>
      </c>
      <c r="EJ222" s="53" t="inlineStr">
        <is>
          <t>Same as current designation</t>
        </is>
      </c>
      <c r="EK222" s="53" t="inlineStr">
        <is>
          <t>No</t>
        </is>
      </c>
      <c r="EL222" s="53" t="n">
        <v>3</v>
      </c>
      <c r="EM222" s="53" t="inlineStr">
        <is>
          <t>Medium</t>
        </is>
      </c>
      <c r="EN222" s="53" t="inlineStr">
        <is>
          <t>Core Contributor</t>
        </is>
      </c>
      <c r="EO222" s="53" t="inlineStr">
        <is>
          <t>Not Ready</t>
        </is>
      </c>
      <c r="EP222" s="53" t="inlineStr">
        <is>
          <t>No</t>
        </is>
      </c>
      <c r="EQ222" s="53" t="inlineStr">
        <is>
          <t>No</t>
        </is>
      </c>
      <c r="ER222" s="53" t="n"/>
      <c r="ES222" s="53" t="inlineStr">
        <is>
          <t>XBRL Training, Training on the effective utilization of AI tools.</t>
        </is>
      </c>
      <c r="ET222" s="53" t="n"/>
      <c r="EU222" s="53" t="n"/>
      <c r="EV222" s="53" t="n"/>
      <c r="EW222" s="52" t="n"/>
      <c r="EX222" s="53" t="n"/>
      <c r="EY222" s="53" t="n"/>
      <c r="EZ222" s="53" t="n"/>
      <c r="FA222" s="53" t="n"/>
      <c r="FB222" s="53" t="n"/>
      <c r="FC222" s="53" t="n"/>
      <c r="FD222" s="53" t="n"/>
      <c r="FE222" s="57" t="inlineStr">
        <is>
          <t>1. Effectively manage the assigned portfolio of banks and maintain high customer satisfaction, with a target of zero critical client escalations attributable to service delivery gaps.
2. Drive RPT product demonstrations, client discussions, requirement gathering, and requirement clarification activities to facilitate successful client engagements and business opportunities. Lead and coordinate the implementation and successful delivery of the Bharat Forge RPT project, ensuring completion of all agreed milestones by September 2026.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FF222" s="56" t="inlineStr">
        <is>
          <t>1. Acquire in-depth knowledge of EBR SDMX reports, validations, and implementation processes to independently provide effective client support for assigned clients by Aug 2026.
2. Continue to support and lead the RPT product demonstrations, client discussions and requirement clarification to facilitate successful client engagements and business opportunities.
3. Lead the onboarding and project kick-off activities for the upcoming Bharat Forge RPT implementation, including requirement gathering, stakeholder coordination, and collaboration with cross-functional teams to ensure timely project completion by Sep 2026.
4. Effectively manage the assigned portfolio of banks independently  while maintaining 100% customer satisfaction with zero critical escalations.</t>
        </is>
      </c>
      <c r="FG222" s="56" t="inlineStr">
        <is>
          <t>1. Contribute to ongoing development and enhancement activities for the RPT product by supporting requirement analysis, validation, and business coordination. 
2. Do the RPT product demonstrations and stakeholder discussions to showcase product capabilities and gather feedback for continuous improvement.
3. Support business and functional activities across CIMS, RPT, and EBR projects, ensuring timely resolution of queries and smooth project execution.
4. Contribute to knowledge building within the team and eliminate external dependency · Contetrathrough increased product understanding and ownership for  for RPT solution.
5. For RBI CIMS and EBR project, coordinate effectively with cross-functional teams and stakeholders to ensure seamless communication, timely issue resolution, and successful project delivery. Maintain a client-centric approach by resolving support issues and client queries within agreed SLA timelines and proactively communicating project status, risks, and resolutions.
6. Perform detailed functional validation and testing activities for RPT, identifying defects and ensuring quality deliverables</t>
        </is>
      </c>
      <c r="FH222" s="56" t="inlineStr">
        <is>
          <t>3</t>
        </is>
      </c>
      <c r="FI222" s="56" t="n"/>
      <c r="FJ222" s="56" t="inlineStr">
        <is>
          <t>Received · manager annual, quarterly, self</t>
        </is>
      </c>
      <c r="FK222" s="56" t="inlineStr">
        <is>
          <t>Talent Mapping · iDEAL</t>
        </is>
      </c>
      <c r="FL222" s="56" t="n">
        <v>20</v>
      </c>
      <c r="FM222" s="32" t="inlineStr">
        <is>
          <t>Full survey answers not in the files received · How We Grow export needed · HR</t>
        </is>
      </c>
      <c r="FN222" s="56" t="inlineStr">
        <is>
          <t>—</t>
        </is>
      </c>
      <c r="FO222" s="56" t="inlineStr">
        <is>
          <t>—</t>
        </is>
      </c>
      <c r="FP222" s="56" t="inlineStr">
        <is>
          <t>—</t>
        </is>
      </c>
      <c r="FQ222" s="56" t="inlineStr">
        <is>
          <t>—</t>
        </is>
      </c>
      <c r="FR222" s="56" t="inlineStr">
        <is>
          <t>Complexity: Evidence reads like A3: Requirement gathering, testing, demos and documentation for RPT; CIMS and EBR support → matches the start
Autonomy: Evidence reads like A3: Coordinates the RPT project and independently validates delivered solution against expected outcome → matches the start
Accountability: Evidence reads like B1: States accountability for end-to-end RPT project delivery; manager note says 'contribute' → moved up 0.5
Leadership: Evidence reads like A2: Coordinates stakeholders and runs RPT demos; no people guidance described → matches the start</t>
        </is>
      </c>
      <c r="FS222" s="56" t="inlineStr">
        <is>
          <t>Common themes in role-holders' answers: business · requirements · technical · between · client · understand
Common themes in role-holders' answers: documentation · requirement · client · gathering · coordination · managing
Common themes in role-holders' answers: deliver · product · client · requirement · process · business
Common themes in role-holders' answers: requirements · accountable · delivery · quality · documentation · timely
Common themes in role-holders' answers: documentation · prioritize · user stories · process · project
If the work is missed · role-holders' themes: rework · client.
Measured on · manager-set KRA themes: delivery · assigned · project · requests · satisfaction.</t>
        </is>
      </c>
      <c r="FT222" s="56" t="inlineStr">
        <is>
          <t>Self-identified: AI / automation · Domain, regulatory &amp; XBRL
For the next role: AI / automation · Domain, regulatory &amp; XBRL</t>
        </is>
      </c>
      <c r="FU222" s="32" t="inlineStr">
        <is>
          <t>Full survey answers not in the files received · How We Grow export needed · HR</t>
        </is>
      </c>
    </row>
    <row r="223" ht="90" customHeight="1">
      <c r="A223" s="51" t="inlineStr">
        <is>
          <t>◂ Back</t>
        </is>
      </c>
      <c r="B223" s="29" t="inlineStr">
        <is>
          <t>Mapped</t>
        </is>
      </c>
      <c r="C223" s="28" t="inlineStr">
        <is>
          <t>iDEAL</t>
        </is>
      </c>
      <c r="D223" s="29" t="inlineStr">
        <is>
          <t>IRIS2136</t>
        </is>
      </c>
      <c r="E223" s="29" t="inlineStr">
        <is>
          <t>Neetu Rani Paul</t>
        </is>
      </c>
      <c r="F223" s="29" t="inlineStr">
        <is>
          <t>Technology</t>
        </is>
      </c>
      <c r="G223" s="29" t="inlineStr">
        <is>
          <t>Business Analyst</t>
        </is>
      </c>
      <c r="H223" s="29" t="inlineStr">
        <is>
          <t>Senior Business Analyst</t>
        </is>
      </c>
      <c r="I223" s="29" t="inlineStr">
        <is>
          <t>L3 – Professional / Associate</t>
        </is>
      </c>
      <c r="J223" s="29" t="inlineStr">
        <is>
          <t>A3</t>
        </is>
      </c>
      <c r="K223" s="29" t="inlineStr">
        <is>
          <t>▲ Up</t>
        </is>
      </c>
      <c r="L223" s="29" t="inlineStr">
        <is>
          <t>Business Analysis</t>
        </is>
      </c>
      <c r="M223" s="29" t="inlineStr">
        <is>
          <t>Business Analysis</t>
        </is>
      </c>
      <c r="N223" s="29" t="n"/>
      <c r="O223" s="29" t="n">
        <v>20</v>
      </c>
      <c r="P223" s="28" t="inlineStr">
        <is>
          <t>P2</t>
        </is>
      </c>
      <c r="Q223" s="29" t="inlineStr">
        <is>
          <t>Developing</t>
        </is>
      </c>
      <c r="R223" s="29" t="inlineStr">
        <is>
          <t>3 Apply</t>
        </is>
      </c>
      <c r="S223" s="29" t="inlineStr">
        <is>
          <t>2–4 yrs</t>
        </is>
      </c>
      <c r="T223" s="29" t="inlineStr">
        <is>
          <t>3–5 · 2–5</t>
        </is>
      </c>
      <c r="U223" s="29" t="inlineStr">
        <is>
          <t>Business Analyst</t>
        </is>
      </c>
      <c r="V223" s="29" t="inlineStr">
        <is>
          <t>Regnology — regulatory reporting: Junior BA · Reg Reporting · Big Four consulting: Consultant · IRIS Vs Market Benchmark — IIBA certification pathway: ECBA · Infosys / Accenture: JL3A · L10 Senior Analyst</t>
        </is>
      </c>
      <c r="W223" s="29" t="inlineStr">
        <is>
          <t>IIBA BABOK v3; certifications ECBA · entry → CCBA → CBAP · senior</t>
        </is>
      </c>
      <c r="X223" s="29" t="inlineStr">
        <is>
          <t>Core 2 · Future 2 · Functional 3 · Leadership not scored</t>
        </is>
      </c>
      <c r="Y223" s="52" t="n">
        <v>276</v>
      </c>
      <c r="Z223" s="53" t="inlineStr">
        <is>
          <t>IRIS2136</t>
        </is>
      </c>
      <c r="AA223" s="53" t="inlineStr">
        <is>
          <t>Employee</t>
        </is>
      </c>
      <c r="AB223" s="53" t="inlineStr">
        <is>
          <t>Active</t>
        </is>
      </c>
      <c r="AC223" s="53" t="inlineStr">
        <is>
          <t>Neetu Rani Paul</t>
        </is>
      </c>
      <c r="AD223" s="54" t="n">
        <v>45078</v>
      </c>
      <c r="AE223" s="53" t="inlineStr">
        <is>
          <t>Business Analyst</t>
        </is>
      </c>
      <c r="AF223" s="53" t="inlineStr">
        <is>
          <t>MA</t>
        </is>
      </c>
      <c r="AG223" s="53" t="inlineStr">
        <is>
          <t>Yuvraj Kharchane</t>
        </is>
      </c>
      <c r="AH223" s="53" t="inlineStr">
        <is>
          <t>N-4</t>
        </is>
      </c>
      <c r="AI223" s="53" t="inlineStr">
        <is>
          <t>Individual Contributor</t>
        </is>
      </c>
      <c r="AJ223" s="53" t="inlineStr">
        <is>
          <t>2 years, 7 months, 0 days</t>
        </is>
      </c>
      <c r="AK223" s="53" t="inlineStr">
        <is>
          <t>3 years, 2 months, 24 days</t>
        </is>
      </c>
      <c r="AL223" s="53" t="inlineStr">
        <is>
          <t>Regtech</t>
        </is>
      </c>
      <c r="AM223" s="53" t="inlineStr">
        <is>
          <t>iDEAL</t>
        </is>
      </c>
      <c r="AN223" s="53" t="inlineStr">
        <is>
          <t>Technology</t>
        </is>
      </c>
      <c r="AO223" s="53" t="inlineStr">
        <is>
          <t>Business Analysis</t>
        </is>
      </c>
      <c r="AP223" s="53" t="inlineStr">
        <is>
          <t>No</t>
        </is>
      </c>
      <c r="AQ223" s="53" t="inlineStr">
        <is>
          <t>Product/Project</t>
        </is>
      </c>
      <c r="AR223" s="53" t="inlineStr">
        <is>
          <t>Business Analysis</t>
        </is>
      </c>
      <c r="AS223" s="53" t="inlineStr">
        <is>
          <t>Technical · BA, PM and QA</t>
        </is>
      </c>
      <c r="AT223" s="53" t="n">
        <v>20</v>
      </c>
      <c r="AU223" s="53" t="inlineStr">
        <is>
          <t>Covered</t>
        </is>
      </c>
      <c r="AV223" s="53" t="n"/>
      <c r="AW223" s="53" t="n"/>
      <c r="AX223" s="53" t="n"/>
      <c r="AY223" s="53" t="n"/>
      <c r="AZ223" s="53" t="n"/>
      <c r="BA223" s="53" t="n"/>
      <c r="BB223" s="53" t="n"/>
      <c r="BC223" s="53" t="n"/>
      <c r="BD223" s="53" t="n"/>
      <c r="BE223" s="53" t="n"/>
      <c r="BF223" s="53" t="n"/>
      <c r="BG223" s="53" t="n"/>
      <c r="BH223" s="53" t="n"/>
      <c r="BI223" s="53" t="n"/>
      <c r="BJ223" s="53" t="n"/>
      <c r="BK223" s="53" t="n"/>
      <c r="BL223" s="53" t="n"/>
      <c r="BM223" s="53" t="n"/>
      <c r="BN223" s="53" t="n"/>
      <c r="BO223" s="53" t="n"/>
      <c r="BP223" s="53" t="n"/>
      <c r="BQ223" s="53" t="n"/>
      <c r="BR223" s="53" t="n"/>
      <c r="BS223" s="53" t="n"/>
      <c r="BT223" s="53" t="n"/>
      <c r="BU223" s="53" t="n"/>
      <c r="BV223" s="53" t="n"/>
      <c r="BW223" s="53" t="n"/>
      <c r="BX223" s="53" t="n"/>
      <c r="BY223" s="53" t="n"/>
      <c r="BZ223" s="53" t="n"/>
      <c r="CA223" s="53" t="n"/>
      <c r="CB223" s="53" t="n"/>
      <c r="CC223" s="53" t="n"/>
      <c r="CD223" s="53" t="n"/>
      <c r="CE223" s="53" t="n"/>
      <c r="CF223" s="53" t="n"/>
      <c r="CG223" s="53" t="n"/>
      <c r="CH223" s="53" t="n"/>
      <c r="CI223" s="53" t="n"/>
      <c r="CJ223" s="53" t="n"/>
      <c r="CK223" s="53" t="n"/>
      <c r="CL223" s="53" t="n"/>
      <c r="CM223" s="53" t="n"/>
      <c r="CN223" s="53" t="n"/>
      <c r="CO223" s="53" t="n"/>
      <c r="CP223" s="53" t="n"/>
      <c r="CQ223" s="53" t="n"/>
      <c r="CR223" s="53" t="n"/>
      <c r="CS223" s="53" t="n"/>
      <c r="CT223" s="53" t="n"/>
      <c r="CU223" s="53" t="n"/>
      <c r="CV223" s="53" t="n"/>
      <c r="CW223" s="53" t="n"/>
      <c r="CX223" s="53" t="n"/>
      <c r="CY223" s="53" t="n"/>
      <c r="CZ223" s="53" t="n"/>
      <c r="DA223" s="53" t="n"/>
      <c r="DB223" s="53" t="n"/>
      <c r="DC223" s="53" t="n"/>
      <c r="DD223" s="53" t="inlineStr">
        <is>
          <t>IRIS2136</t>
        </is>
      </c>
      <c r="DE223" s="53" t="inlineStr">
        <is>
          <t>Employee</t>
        </is>
      </c>
      <c r="DF223" s="53" t="inlineStr">
        <is>
          <t>Active</t>
        </is>
      </c>
      <c r="DG223" s="53" t="inlineStr">
        <is>
          <t>Neetu Rani Paul</t>
        </is>
      </c>
      <c r="DH223" s="54" t="n">
        <v>45078</v>
      </c>
      <c r="DI223" s="53" t="inlineStr">
        <is>
          <t>Business Analyst</t>
        </is>
      </c>
      <c r="DJ223" s="53" t="inlineStr">
        <is>
          <t>Business Analysis</t>
        </is>
      </c>
      <c r="DK223" s="53" t="inlineStr">
        <is>
          <t>Business / Functional Analysis</t>
        </is>
      </c>
      <c r="DL223" s="53" t="inlineStr">
        <is>
          <t>Business Analyst</t>
        </is>
      </c>
      <c r="DM223" s="53" t="inlineStr">
        <is>
          <t>L3 – Professional / Associate</t>
        </is>
      </c>
      <c r="DN223" s="53" t="inlineStr">
        <is>
          <t>MA</t>
        </is>
      </c>
      <c r="DO223" s="53" t="inlineStr">
        <is>
          <t>Yuvraj Kharchane</t>
        </is>
      </c>
      <c r="DP223" s="53" t="inlineStr">
        <is>
          <t>N-4</t>
        </is>
      </c>
      <c r="DQ223" s="53" t="inlineStr">
        <is>
          <t>Individual Contributor</t>
        </is>
      </c>
      <c r="DR223" s="53" t="inlineStr">
        <is>
          <t>2 years, 7 months, 0 days</t>
        </is>
      </c>
      <c r="DS223" s="53" t="inlineStr">
        <is>
          <t>3 years, 0 months, 19 days</t>
        </is>
      </c>
      <c r="DT223" s="53" t="inlineStr">
        <is>
          <t>5 years, 7 months, 19 days</t>
        </is>
      </c>
      <c r="DU223" s="53" t="n"/>
      <c r="DV223" s="53" t="inlineStr">
        <is>
          <t>Regtech</t>
        </is>
      </c>
      <c r="DW223" s="53" t="inlineStr">
        <is>
          <t>iDEAL</t>
        </is>
      </c>
      <c r="DX223" s="53" t="inlineStr">
        <is>
          <t>Technology</t>
        </is>
      </c>
      <c r="DY223" s="53" t="inlineStr">
        <is>
          <t>Business Analysis</t>
        </is>
      </c>
      <c r="DZ223" s="53" t="inlineStr">
        <is>
          <t>No</t>
        </is>
      </c>
      <c r="EA223" s="53" t="inlineStr">
        <is>
          <t>Product/Project</t>
        </is>
      </c>
      <c r="EB223" s="53" t="inlineStr">
        <is>
          <t>Business Analysis</t>
        </is>
      </c>
      <c r="EC223" s="53" t="inlineStr">
        <is>
          <t>Technical · BA, PM and QA</t>
        </is>
      </c>
      <c r="ED223" s="53" t="inlineStr">
        <is>
          <t>Remote- Outside Mumbai</t>
        </is>
      </c>
      <c r="EE223" s="53" t="inlineStr">
        <is>
          <t>1. End-to-End Requirement Analysis &amp; Delivery: Manage business analysis activities for assigned RBI CIMS and EBR clients, ensuring timely delivery of report updates, application enhancements, deployments, and regulatory changes with adherence to agreed timelines.
2. EBR Report Testing &amp; Quality Assurance: Lead functional, validation, and UAT testing of EBR reports, ensuring accurate implementation of SDMX requirements, validation rules, and regulatory changes, while maintaining high first-time acceptance rates.
3. Client Support &amp; Stakeholder Management: Provide timely support to assigned clients, maintain strong stakeholder relationships, and proactively resolve issues to minimize escalations and improve customer satisfaction.
4. Technical &amp; Regulatory Knowledge Enhancement: Develop expertise in SQL, SDMX, XBRL, ETL processes, and RBI regulatory reporting frameworks by completing planned learning and applying the knowledge in project implementations and support activities.
5. Documentation Excellence: Prepare and maintain high-quality BRDs, Functional Specifications, Test Cases, Release Notes, User Manuals, and deployment documents for all assigned projects and enhancements.
6. Knowledge Sharing &amp; Team Development: Support onboarding and mentoring of junior team members through knowledge-sharing sessions, testing guidance, and project-related support to strengthen overall team capability.
7. Professional Certification &amp; Skill Development: Complete at least one relevant certification/training in regulatory reporting, SDMX, data analysis, SQL, or business analysis to enhance domain and technical expertise.</t>
        </is>
      </c>
      <c r="EF223" s="53" t="inlineStr">
        <is>
          <t>1. Effectively manage the assigned portfolio of banks and maintain high customer satisfaction, with a target of zero critical client escalations attributable to service delivery gaps.
2. Acquire in-depth knowledge of EBR SDMX reports, validation rules and implementation processes to independently manage assigned client support activities, resolve issues within by September 2026.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EG223" s="53" t="inlineStr">
        <is>
          <t>1. Acquire in-depth knowledge of EBR SDMX reports, validations, and implementation processes to independently provide effective client support for assigned clients by Aug 2026.
2. Continue support the UAT team in EBR product testing, report validation, and sign-off activities, while actively contributing to product and process enhancements to improve data quality and reporting accuracy.
3. Continue to manage the assigned portfolio of banks independently  while maintaining 100% customer satisfaction with zero critical escalations.</t>
        </is>
      </c>
      <c r="EH223" s="53" t="n">
        <v>3</v>
      </c>
      <c r="EI223" s="54" t="n">
        <v>45931</v>
      </c>
      <c r="EJ223" s="53" t="inlineStr">
        <is>
          <t>Same as current designation</t>
        </is>
      </c>
      <c r="EK223" s="53" t="inlineStr">
        <is>
          <t>No</t>
        </is>
      </c>
      <c r="EL223" s="53" t="n">
        <v>3</v>
      </c>
      <c r="EM223" s="53" t="inlineStr">
        <is>
          <t>Medium</t>
        </is>
      </c>
      <c r="EN223" s="53" t="inlineStr">
        <is>
          <t>Trusted Professional</t>
        </is>
      </c>
      <c r="EO223" s="53" t="inlineStr">
        <is>
          <t>Not Ready</t>
        </is>
      </c>
      <c r="EP223" s="53" t="inlineStr">
        <is>
          <t>No</t>
        </is>
      </c>
      <c r="EQ223" s="53" t="inlineStr">
        <is>
          <t>Yes</t>
        </is>
      </c>
      <c r="ER223" s="53" t="n"/>
      <c r="ES223" s="53" t="inlineStr">
        <is>
          <t>Training on the effective utilization of AI tools.</t>
        </is>
      </c>
      <c r="ET223" s="53" t="n"/>
      <c r="EU223" s="53" t="n"/>
      <c r="EV223" s="53" t="n"/>
      <c r="EW223" s="52" t="n"/>
      <c r="EX223" s="53" t="n"/>
      <c r="EY223" s="53" t="n"/>
      <c r="EZ223" s="53" t="n"/>
      <c r="FA223" s="53" t="n"/>
      <c r="FB223" s="53" t="n"/>
      <c r="FC223" s="53" t="n"/>
      <c r="FD223" s="53" t="n"/>
      <c r="FE223" s="57" t="inlineStr">
        <is>
          <t>1. Effectively manage the assigned portfolio of banks and maintain high customer satisfaction, with a target of zero critical client escalations attributable to service delivery gaps.
2. Acquire in-depth knowledge of EBR SDMX reports, validation rules and implementation processes to independently manage assigned client support activities, resolve issues within by September 2026.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FF223" s="56" t="inlineStr">
        <is>
          <t>1. Acquire in-depth knowledge of EBR SDMX reports, validations, and implementation processes to independently provide effective client support for assigned clients by Aug 2026.
2. Continue support the UAT team in EBR product testing, report validation, and sign-off activities, while actively contributing to product and process enhancements to improve data quality and reporting accuracy.
3. Continue to manage the assigned portfolio of banks independently  while maintaining 100% customer satisfaction with zero critical escalations.</t>
        </is>
      </c>
      <c r="FG223" s="56" t="inlineStr">
        <is>
          <t>1. End-to-End Requirement Analysis &amp; Delivery: Manage business analysis activities for assigned RBI CIMS and EBR clients, ensuring timely delivery of report updates, application enhancements, deployments, and regulatory changes with adherence to agreed timelines.
2. EBR Report Testing &amp; Quality Assurance: Lead functional, validation, and UAT testing of EBR reports, ensuring accurate implementation of SDMX requirements, validation rules, and regulatory changes, while maintaining high first-time acceptance rates.
3. Client Support &amp; Stakeholder Management: Provide timely support to assigned clients, maintain strong stakeholder relationships, and proactively resolve issues to minimize escalations and improve customer satisfaction.
4. Technical &amp; Regulatory Knowledge Enhancement: Develop expertise in SQL, SDMX, XBRL, ETL processes, and RBI regulatory reporting frameworks by completing planned learning and applying the knowledge in project implementations and support activities.
5. Documentation Excellence: Prepare and maintain high-quality BRDs, Functional Specifications, Test Cases, Release Notes, User Manuals, and deployment documents for all assigned projects and enhancements.
6. Knowledge Sharing &amp; Team Development: Support onboarding and mentoring of junior team members through knowledge-sharing sessions, testing guidance, and project-related support to strengthen overall team capability.
7. Professional Certification &amp; Skill Development: Complete at least one relevant certification/training in regulatory reporting, SDMX, data analysis, SQL, or business analysis to enhance domain and technical expertise.</t>
        </is>
      </c>
      <c r="FH223" s="56" t="inlineStr">
        <is>
          <t>3</t>
        </is>
      </c>
      <c r="FI223" s="56" t="n"/>
      <c r="FJ223" s="56" t="inlineStr">
        <is>
          <t>Received · manager annual, quarterly, self</t>
        </is>
      </c>
      <c r="FK223" s="56" t="inlineStr">
        <is>
          <t>Talent Mapping · iDEAL</t>
        </is>
      </c>
      <c r="FL223" s="56" t="n">
        <v>20</v>
      </c>
      <c r="FM223" s="32" t="inlineStr">
        <is>
          <t>Full survey answers not in the files received · How We Grow export needed · HR</t>
        </is>
      </c>
      <c r="FN223" s="56" t="inlineStr">
        <is>
          <t>—</t>
        </is>
      </c>
      <c r="FO223" s="56" t="inlineStr">
        <is>
          <t>—</t>
        </is>
      </c>
      <c r="FP223" s="56" t="inlineStr">
        <is>
          <t>—</t>
        </is>
      </c>
      <c r="FQ223" s="56" t="inlineStr">
        <is>
          <t>—</t>
        </is>
      </c>
      <c r="FR223" s="56" t="inlineStr">
        <is>
          <t>Complexity: Evidence reads like A3: Checks feasibility, gives solutions to banks, reads developer code to resolve issues, Excel mapping, deployments → matches the start
Autonomy: Evidence reads like A3: Decides deployment process; assesses feasibility and gives the solution to banks himself → matches the start
Accountability: Evidence reads like A3: Timely return updates and successful RBI portal submissions for banks; escalation if wrong → matches the start
Leadership: Evidence reads like A2: Gives KT and handles team coordination; no standing mentoring described → matches the start
Business Impact: Moved +0.5: the survey / manager mapping marks it business-critical.</t>
        </is>
      </c>
      <c r="FS223" s="56" t="inlineStr">
        <is>
          <t>Common themes in role-holders' answers: business · requirements · technical · between · client · understand
Common themes in role-holders' answers: documentation · requirement · client · gathering · coordination · managing
Common themes in role-holders' answers: deliver · product · client · requirement · process · business
Common themes in role-holders' answers: requirements · accountable · delivery · quality · documentation · timely
Common themes in role-holders' answers: documentation · prioritize · user stories · process · project
If the work is missed · role-holders' themes: rework · client.
Measured on · manager-set KRA themes: delivery · assigned · project · requests · satisfaction.</t>
        </is>
      </c>
      <c r="FT223" s="56" t="inlineStr">
        <is>
          <t>Self-identified: Answered · no common topic
For the next role: Answered · no common topic</t>
        </is>
      </c>
      <c r="FU223" s="32" t="inlineStr">
        <is>
          <t>Full survey answers not in the files received · How We Grow export needed · HR</t>
        </is>
      </c>
    </row>
    <row r="224" ht="90" customHeight="1">
      <c r="A224" s="51" t="inlineStr">
        <is>
          <t>◂ Back</t>
        </is>
      </c>
      <c r="B224" s="29" t="inlineStr">
        <is>
          <t>Mapped</t>
        </is>
      </c>
      <c r="C224" s="28" t="inlineStr">
        <is>
          <t>iDEAL</t>
        </is>
      </c>
      <c r="D224" s="29" t="inlineStr">
        <is>
          <t>IRIS2066</t>
        </is>
      </c>
      <c r="E224" s="29" t="inlineStr">
        <is>
          <t>Shivani Mishra</t>
        </is>
      </c>
      <c r="F224" s="29" t="inlineStr">
        <is>
          <t>Technology</t>
        </is>
      </c>
      <c r="G224" s="29" t="inlineStr">
        <is>
          <t>Business Analyst</t>
        </is>
      </c>
      <c r="H224" s="29" t="inlineStr">
        <is>
          <t>Senior Business Analyst</t>
        </is>
      </c>
      <c r="I224" s="29" t="inlineStr">
        <is>
          <t>L3 – Professional / Associate</t>
        </is>
      </c>
      <c r="J224" s="29" t="inlineStr">
        <is>
          <t>A3</t>
        </is>
      </c>
      <c r="K224" s="29" t="inlineStr">
        <is>
          <t>▲ Up</t>
        </is>
      </c>
      <c r="L224" s="29" t="inlineStr">
        <is>
          <t>Business Analysis</t>
        </is>
      </c>
      <c r="M224" s="29" t="inlineStr">
        <is>
          <t>Business Analysis</t>
        </is>
      </c>
      <c r="N224" s="29" t="n"/>
      <c r="O224" s="29" t="n">
        <v>0</v>
      </c>
      <c r="P224" s="28" t="inlineStr">
        <is>
          <t>P2</t>
        </is>
      </c>
      <c r="Q224" s="29" t="inlineStr">
        <is>
          <t>Developing</t>
        </is>
      </c>
      <c r="R224" s="29" t="inlineStr">
        <is>
          <t>3 Apply</t>
        </is>
      </c>
      <c r="S224" s="29" t="inlineStr">
        <is>
          <t>2–4 yrs</t>
        </is>
      </c>
      <c r="T224" s="29" t="inlineStr">
        <is>
          <t>3–5 · 2–5</t>
        </is>
      </c>
      <c r="U224" s="29" t="inlineStr">
        <is>
          <t>Business Analyst</t>
        </is>
      </c>
      <c r="V224" s="29" t="inlineStr">
        <is>
          <t>Regnology — regulatory reporting: Junior BA · Reg Reporting · Big Four consulting: Consultant · IRIS Vs Market Benchmark — IIBA certification pathway: ECBA · Infosys / Accenture: JL3A · L10 Senior Analyst</t>
        </is>
      </c>
      <c r="W224" s="29" t="inlineStr">
        <is>
          <t>IIBA BABOK v3; certifications ECBA · entry → CCBA → CBAP · senior</t>
        </is>
      </c>
      <c r="X224" s="29" t="inlineStr">
        <is>
          <t>Core 2 · Future 2 · Functional 3 · Leadership not scored</t>
        </is>
      </c>
      <c r="Y224" s="52" t="n">
        <v>242</v>
      </c>
      <c r="Z224" s="53" t="inlineStr">
        <is>
          <t>IRIS2066</t>
        </is>
      </c>
      <c r="AA224" s="53" t="inlineStr">
        <is>
          <t>Employee</t>
        </is>
      </c>
      <c r="AB224" s="53" t="inlineStr">
        <is>
          <t>Active</t>
        </is>
      </c>
      <c r="AC224" s="53" t="inlineStr">
        <is>
          <t>Shivani Mishra</t>
        </is>
      </c>
      <c r="AD224" s="54" t="n">
        <v>44837</v>
      </c>
      <c r="AE224" s="53" t="inlineStr">
        <is>
          <t>Business Analyst</t>
        </is>
      </c>
      <c r="AF224" s="53" t="inlineStr">
        <is>
          <t>M.Com</t>
        </is>
      </c>
      <c r="AG224" s="53" t="inlineStr">
        <is>
          <t>Yuvraj Kharchane</t>
        </is>
      </c>
      <c r="AH224" s="53" t="inlineStr">
        <is>
          <t>N-4</t>
        </is>
      </c>
      <c r="AI224" s="53" t="inlineStr">
        <is>
          <t>Individual Contributor</t>
        </is>
      </c>
      <c r="AJ224" s="53" t="inlineStr">
        <is>
          <t>3 years, 6 months, 0 days</t>
        </is>
      </c>
      <c r="AK224" s="53" t="inlineStr">
        <is>
          <t>3 years, 10 months, 22 days</t>
        </is>
      </c>
      <c r="AL224" s="53" t="inlineStr">
        <is>
          <t>Regtech</t>
        </is>
      </c>
      <c r="AM224" s="53" t="inlineStr">
        <is>
          <t>iDEAL</t>
        </is>
      </c>
      <c r="AN224" s="53" t="inlineStr">
        <is>
          <t>Technology</t>
        </is>
      </c>
      <c r="AO224" s="53" t="inlineStr">
        <is>
          <t>Business Analysis</t>
        </is>
      </c>
      <c r="AP224" s="53" t="inlineStr">
        <is>
          <t>No</t>
        </is>
      </c>
      <c r="AQ224" s="53" t="inlineStr">
        <is>
          <t>Product/Project</t>
        </is>
      </c>
      <c r="AR224" s="53" t="inlineStr">
        <is>
          <t>Business Analysis</t>
        </is>
      </c>
      <c r="AS224" s="53" t="inlineStr">
        <is>
          <t>Technical · BA, PM and QA</t>
        </is>
      </c>
      <c r="AT224" s="53" t="n">
        <v>0</v>
      </c>
      <c r="AU224" s="53" t="inlineStr">
        <is>
          <t>E-Maternity</t>
        </is>
      </c>
      <c r="AV224" s="53" t="n"/>
      <c r="AW224" s="53" t="n"/>
      <c r="AX224" s="53" t="n"/>
      <c r="AY224" s="53" t="n"/>
      <c r="AZ224" s="53" t="n"/>
      <c r="BA224" s="53" t="n"/>
      <c r="BB224" s="53" t="n"/>
      <c r="BC224" s="53" t="n"/>
      <c r="BD224" s="53" t="n"/>
      <c r="BE224" s="53" t="n"/>
      <c r="BF224" s="53" t="n"/>
      <c r="BG224" s="53" t="n"/>
      <c r="BH224" s="53" t="n"/>
      <c r="BI224" s="53" t="n"/>
      <c r="BJ224" s="53" t="n"/>
      <c r="BK224" s="53" t="n"/>
      <c r="BL224" s="53" t="n"/>
      <c r="BM224" s="53" t="n"/>
      <c r="BN224" s="53" t="n"/>
      <c r="BO224" s="53" t="n"/>
      <c r="BP224" s="53" t="n"/>
      <c r="BQ224" s="53" t="n"/>
      <c r="BR224" s="53" t="n"/>
      <c r="BS224" s="53" t="n"/>
      <c r="BT224" s="53" t="n"/>
      <c r="BU224" s="53" t="n"/>
      <c r="BV224" s="53" t="n"/>
      <c r="BW224" s="53" t="n"/>
      <c r="BX224" s="53" t="n"/>
      <c r="BY224" s="53" t="n"/>
      <c r="BZ224" s="53" t="n"/>
      <c r="CA224" s="53" t="n"/>
      <c r="CB224" s="53" t="n"/>
      <c r="CC224" s="53" t="n"/>
      <c r="CD224" s="53" t="n"/>
      <c r="CE224" s="53" t="n"/>
      <c r="CF224" s="53" t="n"/>
      <c r="CG224" s="53" t="n"/>
      <c r="CH224" s="53" t="n"/>
      <c r="CI224" s="53" t="n"/>
      <c r="CJ224" s="53" t="n"/>
      <c r="CK224" s="53" t="n"/>
      <c r="CL224" s="53" t="n"/>
      <c r="CM224" s="53" t="n"/>
      <c r="CN224" s="53" t="n"/>
      <c r="CO224" s="53" t="n"/>
      <c r="CP224" s="53" t="n"/>
      <c r="CQ224" s="53" t="n"/>
      <c r="CR224" s="53" t="n"/>
      <c r="CS224" s="53" t="n"/>
      <c r="CT224" s="53" t="n"/>
      <c r="CU224" s="53" t="n"/>
      <c r="CV224" s="53" t="n"/>
      <c r="CW224" s="53" t="n"/>
      <c r="CX224" s="53" t="n"/>
      <c r="CY224" s="53" t="n"/>
      <c r="CZ224" s="53" t="n"/>
      <c r="DA224" s="53" t="n"/>
      <c r="DB224" s="53" t="n"/>
      <c r="DC224" s="53" t="n"/>
      <c r="DD224" s="53" t="inlineStr">
        <is>
          <t>IRIS2066</t>
        </is>
      </c>
      <c r="DE224" s="53" t="inlineStr">
        <is>
          <t>Employee</t>
        </is>
      </c>
      <c r="DF224" s="53" t="inlineStr">
        <is>
          <t>Active</t>
        </is>
      </c>
      <c r="DG224" s="53" t="inlineStr">
        <is>
          <t>Shivani Mishra</t>
        </is>
      </c>
      <c r="DH224" s="54" t="n">
        <v>44837</v>
      </c>
      <c r="DI224" s="53" t="inlineStr">
        <is>
          <t>Business Analyst</t>
        </is>
      </c>
      <c r="DJ224" s="53" t="inlineStr">
        <is>
          <t>Business Analysis</t>
        </is>
      </c>
      <c r="DK224" s="53" t="inlineStr">
        <is>
          <t>Business / Functional Analysis</t>
        </is>
      </c>
      <c r="DL224" s="53" t="inlineStr">
        <is>
          <t>Business Analyst</t>
        </is>
      </c>
      <c r="DM224" s="53" t="inlineStr">
        <is>
          <t>L3 – Professional / Associate</t>
        </is>
      </c>
      <c r="DN224" s="53" t="inlineStr">
        <is>
          <t>M.Com</t>
        </is>
      </c>
      <c r="DO224" s="53" t="inlineStr">
        <is>
          <t>Yuvraj Kharchane</t>
        </is>
      </c>
      <c r="DP224" s="53" t="inlineStr">
        <is>
          <t>N-4</t>
        </is>
      </c>
      <c r="DQ224" s="53" t="inlineStr">
        <is>
          <t>Individual Contributor</t>
        </is>
      </c>
      <c r="DR224" s="53" t="inlineStr">
        <is>
          <t>3 years, 6 months, 0 days</t>
        </is>
      </c>
      <c r="DS224" s="53" t="inlineStr">
        <is>
          <t>3 years, 8 months, 17 days</t>
        </is>
      </c>
      <c r="DT224" s="53" t="inlineStr">
        <is>
          <t>7 years, 2 months, 17 days</t>
        </is>
      </c>
      <c r="DU224" s="53" t="n"/>
      <c r="DV224" s="53" t="inlineStr">
        <is>
          <t>Regtech</t>
        </is>
      </c>
      <c r="DW224" s="53" t="inlineStr">
        <is>
          <t>iDEAL</t>
        </is>
      </c>
      <c r="DX224" s="53" t="inlineStr">
        <is>
          <t>Technology</t>
        </is>
      </c>
      <c r="DY224" s="53" t="inlineStr">
        <is>
          <t>Business Analysis</t>
        </is>
      </c>
      <c r="DZ224" s="53" t="inlineStr">
        <is>
          <t>No</t>
        </is>
      </c>
      <c r="EA224" s="53" t="inlineStr">
        <is>
          <t>Product/Project</t>
        </is>
      </c>
      <c r="EB224" s="53" t="inlineStr">
        <is>
          <t>Business Analysis</t>
        </is>
      </c>
      <c r="EC224" s="53" t="inlineStr">
        <is>
          <t>Technical · BA, PM and QA</t>
        </is>
      </c>
      <c r="ED224" s="53" t="inlineStr">
        <is>
          <t>Remote- Outside Mumbai</t>
        </is>
      </c>
      <c r="EE224" s="53" t="inlineStr">
        <is>
          <t>On Maternity Leave</t>
        </is>
      </c>
      <c r="EF224" s="53" t="inlineStr">
        <is>
          <t>1. Effectively manage the assigned portfolio of banks and maintain high customer satisfaction, with a target of zero critical client escalations attributable to service delivery gaps.
2. Ensure 100% timely tracking, analysis, development, testing, and delivery of EBA taxonomy changes within prescribed internal timelines.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EG224" s="53" t="inlineStr">
        <is>
          <t>On Maternity Leave</t>
        </is>
      </c>
      <c r="EH224" s="53" t="n">
        <v>3</v>
      </c>
      <c r="EI224" s="54" t="n">
        <v>45931</v>
      </c>
      <c r="EJ224" s="53" t="inlineStr">
        <is>
          <t>Same as current designation</t>
        </is>
      </c>
      <c r="EK224" s="53" t="inlineStr">
        <is>
          <t>No</t>
        </is>
      </c>
      <c r="EL224" s="53" t="n">
        <v>3</v>
      </c>
      <c r="EM224" s="53" t="inlineStr">
        <is>
          <t>Medium</t>
        </is>
      </c>
      <c r="EN224" s="53" t="inlineStr">
        <is>
          <t>Trusted Professional</t>
        </is>
      </c>
      <c r="EO224" s="53" t="inlineStr">
        <is>
          <t>Not Ready</t>
        </is>
      </c>
      <c r="EP224" s="53" t="inlineStr">
        <is>
          <t>No</t>
        </is>
      </c>
      <c r="EQ224" s="53" t="inlineStr">
        <is>
          <t>Yes</t>
        </is>
      </c>
      <c r="ER224" s="53" t="n"/>
      <c r="ES224" s="53" t="inlineStr">
        <is>
          <t>Training on the effective utilization of AI tools.</t>
        </is>
      </c>
      <c r="ET224" s="53" t="n"/>
      <c r="EU224" s="53" t="n"/>
      <c r="EV224" s="53" t="n"/>
      <c r="EW224" s="52" t="n"/>
      <c r="EX224" s="53" t="n"/>
      <c r="EY224" s="53" t="n"/>
      <c r="EZ224" s="53" t="n"/>
      <c r="FA224" s="53" t="n"/>
      <c r="FB224" s="53" t="n"/>
      <c r="FC224" s="53" t="n"/>
      <c r="FD224" s="53" t="n"/>
      <c r="FE224" s="57" t="inlineStr">
        <is>
          <t>1. Effectively manage the assigned portfolio of banks and maintain high customer satisfaction, with a target of zero critical client escalations attributable to service delivery gaps.
2. Ensure 100% timely tracking, analysis, development, testing, and delivery of EBA taxonomy changes within prescribed internal timelines.
3. Provide timely support for client queries, incidents, and service requests, ensuring initial response within 2 hours and resolution/coordination on the same business day.
4.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5. Capture, analyse, and document client requirements and project scope accurately, ensuring 100% completion of the required documentation and obtaining client sign-off within two weeks of document submission.
6.Proactively identify new business opportunities, enhancement requests, and client requirements through regular client interactions, and contribute at least one qualified business growth or product enhancement opportunity per quarter.</t>
        </is>
      </c>
      <c r="FF224" s="56" t="inlineStr">
        <is>
          <t>On Maternity Leave</t>
        </is>
      </c>
      <c r="FG224" s="56" t="inlineStr">
        <is>
          <t>On Maternity Leave</t>
        </is>
      </c>
      <c r="FH224" s="56" t="inlineStr">
        <is>
          <t>3</t>
        </is>
      </c>
      <c r="FI224" s="56" t="n"/>
      <c r="FJ224" s="56" t="inlineStr">
        <is>
          <t>Received · manager annual, quarterly, self</t>
        </is>
      </c>
      <c r="FK224" s="56" t="inlineStr">
        <is>
          <t>Talent Mapping · iDEAL</t>
        </is>
      </c>
      <c r="FL224" s="56" t="n">
        <v>0</v>
      </c>
      <c r="FM224" s="32" t="inlineStr">
        <is>
          <t>No survey response on file</t>
        </is>
      </c>
      <c r="FN224" s="56" t="inlineStr">
        <is>
          <t>—</t>
        </is>
      </c>
      <c r="FO224" s="56" t="inlineStr">
        <is>
          <t>—</t>
        </is>
      </c>
      <c r="FP224" s="56" t="inlineStr">
        <is>
          <t>—</t>
        </is>
      </c>
      <c r="FQ224" s="56" t="inlineStr">
        <is>
          <t>—</t>
        </is>
      </c>
      <c r="FR224" s="56" t="inlineStr">
        <is>
          <t>Complexity: Evidence reads like A3: Manager note only: tracks, analyses and delivers EBA taxonomy changes; UAT and production deployments for banks → matches the start
Autonomy: Evidence reads like A2: No survey; note shows query handling and follow-ups within set timelines, no stated authority → moved down 0.5
Accountability: Evidence reads like A3: Note: assigned portfolio of banks, report/taxonomy updates delivered before filing dates → matches the start
Leadership: Evidence reads like A1: No survey answers; manager note describes no guidance of others → moved down 0.5
Business Impact: Moved +0.5: the survey / manager mapping marks it business-critical.</t>
        </is>
      </c>
      <c r="FS224" s="56" t="inlineStr">
        <is>
          <t>Common themes in role-holders' answers: business · requirements · technical · between · client · understand
Common themes in role-holders' answers: documentation · requirement · client · gathering · coordination · managing
Common themes in role-holders' answers: deliver · product · client · requirement · process · business
Common themes in role-holders' answers: requirements · accountable · delivery · quality · documentation · timely
Common themes in role-holders' answers: documentation · prioritize · user stories · process · project
If the work is missed · role-holders' themes: rework · client.
Measured on · manager-set KRA themes: delivery · assigned · project · requests · satisfaction.</t>
        </is>
      </c>
      <c r="FT224" s="56" t="n"/>
      <c r="FU224" s="32" t="inlineStr">
        <is>
          <t>No survey response on file</t>
        </is>
      </c>
    </row>
    <row r="225" ht="90" customHeight="1">
      <c r="A225" s="51" t="inlineStr">
        <is>
          <t>◂ Back</t>
        </is>
      </c>
      <c r="B225" s="29" t="inlineStr">
        <is>
          <t>Mapped</t>
        </is>
      </c>
      <c r="C225" s="28" t="inlineStr">
        <is>
          <t>iDEAL</t>
        </is>
      </c>
      <c r="D225" s="29" t="inlineStr">
        <is>
          <t>IRIS2435</t>
        </is>
      </c>
      <c r="E225" s="29" t="inlineStr">
        <is>
          <t>Srijith Menon</t>
        </is>
      </c>
      <c r="F225" s="29" t="inlineStr">
        <is>
          <t>Product Management</t>
        </is>
      </c>
      <c r="G225" s="29" t="inlineStr">
        <is>
          <t>Product Coordinator</t>
        </is>
      </c>
      <c r="H225" s="29" t="inlineStr">
        <is>
          <t>Senior Product Analyst</t>
        </is>
      </c>
      <c r="I225" s="29" t="inlineStr">
        <is>
          <t>L3 – Professional / Associate</t>
        </is>
      </c>
      <c r="J225" s="29" t="inlineStr">
        <is>
          <t>A3</t>
        </is>
      </c>
      <c r="K225" s="29" t="inlineStr">
        <is>
          <t>▲ Up</t>
        </is>
      </c>
      <c r="L225" s="29" t="inlineStr">
        <is>
          <t>Product Management</t>
        </is>
      </c>
      <c r="M225" s="29" t="inlineStr">
        <is>
          <t>Product Operations &amp; Research</t>
        </is>
      </c>
      <c r="N225" s="29" t="n"/>
      <c r="O225" s="29" t="n">
        <v>20</v>
      </c>
      <c r="P225" s="28" t="inlineStr">
        <is>
          <t>P2</t>
        </is>
      </c>
      <c r="Q225" s="29" t="inlineStr">
        <is>
          <t>Developing</t>
        </is>
      </c>
      <c r="R225" s="29" t="inlineStr">
        <is>
          <t>3 Apply</t>
        </is>
      </c>
      <c r="S225" s="29" t="inlineStr">
        <is>
          <t>2–4 yrs</t>
        </is>
      </c>
      <c r="T225" s="29" t="inlineStr">
        <is>
          <t>3–5 · 2–5</t>
        </is>
      </c>
      <c r="U225" s="29" t="inlineStr">
        <is>
          <t>Associate Product Manager</t>
        </is>
      </c>
      <c r="V225" s="29" t="inlineStr">
        <is>
          <t>IRIS Vs Competitor Benchmark — SaaS product ladder: Associate PM</t>
        </is>
      </c>
      <c r="W225" s="29" t="inlineStr">
        <is>
          <t>Pragmatic Institute Framework · 37 activities, 7 categories; AIPMM</t>
        </is>
      </c>
      <c r="X225" s="29" t="inlineStr">
        <is>
          <t>Core 2 · Future 2 · Functional 3 · Leadership not scored</t>
        </is>
      </c>
      <c r="Y225" s="52" t="n">
        <v>403</v>
      </c>
      <c r="Z225" s="53" t="inlineStr">
        <is>
          <t>IRIS2435</t>
        </is>
      </c>
      <c r="AA225" s="53" t="inlineStr">
        <is>
          <t>Employee</t>
        </is>
      </c>
      <c r="AB225" s="53" t="inlineStr">
        <is>
          <t>Active</t>
        </is>
      </c>
      <c r="AC225" s="53" t="inlineStr">
        <is>
          <t>Srijith Menon</t>
        </is>
      </c>
      <c r="AD225" s="54" t="n">
        <v>45925</v>
      </c>
      <c r="AE225" s="53" t="inlineStr">
        <is>
          <t>Product Coordinator</t>
        </is>
      </c>
      <c r="AF225" s="53" t="inlineStr">
        <is>
          <t>Bachelors in Hotel Management</t>
        </is>
      </c>
      <c r="AG225" s="53" t="inlineStr">
        <is>
          <t>Yuvraj Kharchane</t>
        </is>
      </c>
      <c r="AH225" s="53" t="inlineStr">
        <is>
          <t>N-4</t>
        </is>
      </c>
      <c r="AI225" s="53" t="inlineStr">
        <is>
          <t>Individual Contributor</t>
        </is>
      </c>
      <c r="AJ225" s="53" t="inlineStr">
        <is>
          <t>7 years, 0 months, 0 days</t>
        </is>
      </c>
      <c r="AK225" s="53" t="inlineStr">
        <is>
          <t>0 years, 11 months, 0 days</t>
        </is>
      </c>
      <c r="AL225" s="53" t="inlineStr">
        <is>
          <t>Regtech</t>
        </is>
      </c>
      <c r="AM225" s="53" t="inlineStr">
        <is>
          <t>iDEAL</t>
        </is>
      </c>
      <c r="AN225" s="53" t="inlineStr">
        <is>
          <t>Product Management</t>
        </is>
      </c>
      <c r="AO225" s="53" t="inlineStr">
        <is>
          <t>Client Engagement</t>
        </is>
      </c>
      <c r="AP225" s="53" t="inlineStr">
        <is>
          <t>No</t>
        </is>
      </c>
      <c r="AQ225" s="53" t="inlineStr">
        <is>
          <t>Client Engagement</t>
        </is>
      </c>
      <c r="AR225" s="53" t="inlineStr">
        <is>
          <t>Product Management</t>
        </is>
      </c>
      <c r="AS225" s="53" t="inlineStr">
        <is>
          <t>Technical · BA, PM and QA</t>
        </is>
      </c>
      <c r="AT225" s="53" t="n">
        <v>20</v>
      </c>
      <c r="AU225" s="53" t="inlineStr">
        <is>
          <t>Covered</t>
        </is>
      </c>
      <c r="AV225" s="53" t="n"/>
      <c r="AW225" s="53" t="n"/>
      <c r="AX225" s="53" t="n"/>
      <c r="AY225" s="53" t="n"/>
      <c r="AZ225" s="53" t="n"/>
      <c r="BA225" s="53" t="n"/>
      <c r="BB225" s="53" t="n"/>
      <c r="BC225" s="53" t="n"/>
      <c r="BD225" s="53" t="n"/>
      <c r="BE225" s="53" t="n"/>
      <c r="BF225" s="53" t="n"/>
      <c r="BG225" s="53" t="n"/>
      <c r="BH225" s="53" t="n"/>
      <c r="BI225" s="53" t="n"/>
      <c r="BJ225" s="53" t="n"/>
      <c r="BK225" s="53" t="n"/>
      <c r="BL225" s="53" t="n"/>
      <c r="BM225" s="53" t="n"/>
      <c r="BN225" s="53" t="n"/>
      <c r="BO225" s="53" t="n"/>
      <c r="BP225" s="53" t="n"/>
      <c r="BQ225" s="53" t="n"/>
      <c r="BR225" s="53" t="n"/>
      <c r="BS225" s="53" t="n"/>
      <c r="BT225" s="53" t="n"/>
      <c r="BU225" s="53" t="n"/>
      <c r="BV225" s="53" t="n"/>
      <c r="BW225" s="53" t="n"/>
      <c r="BX225" s="53" t="n"/>
      <c r="BY225" s="53" t="n"/>
      <c r="BZ225" s="53" t="n"/>
      <c r="CA225" s="53" t="n"/>
      <c r="CB225" s="53" t="n"/>
      <c r="CC225" s="53" t="n"/>
      <c r="CD225" s="53" t="n"/>
      <c r="CE225" s="53" t="n"/>
      <c r="CF225" s="53" t="n"/>
      <c r="CG225" s="53" t="n"/>
      <c r="CH225" s="53" t="n"/>
      <c r="CI225" s="53" t="n"/>
      <c r="CJ225" s="53" t="n"/>
      <c r="CK225" s="53" t="n"/>
      <c r="CL225" s="53" t="n"/>
      <c r="CM225" s="53" t="n"/>
      <c r="CN225" s="53" t="n"/>
      <c r="CO225" s="53" t="n"/>
      <c r="CP225" s="53" t="n"/>
      <c r="CQ225" s="53" t="n"/>
      <c r="CR225" s="53" t="n"/>
      <c r="CS225" s="53" t="n"/>
      <c r="CT225" s="53" t="n"/>
      <c r="CU225" s="53" t="n"/>
      <c r="CV225" s="53" t="n"/>
      <c r="CW225" s="53" t="n"/>
      <c r="CX225" s="53" t="n"/>
      <c r="CY225" s="53" t="n"/>
      <c r="CZ225" s="53" t="n"/>
      <c r="DA225" s="53" t="n"/>
      <c r="DB225" s="53" t="n"/>
      <c r="DC225" s="53" t="n"/>
      <c r="DD225" s="53" t="inlineStr">
        <is>
          <t>IRIS2435</t>
        </is>
      </c>
      <c r="DE225" s="53" t="inlineStr">
        <is>
          <t>Employee</t>
        </is>
      </c>
      <c r="DF225" s="53" t="inlineStr">
        <is>
          <t>Active</t>
        </is>
      </c>
      <c r="DG225" s="53" t="inlineStr">
        <is>
          <t>Srijith Menon</t>
        </is>
      </c>
      <c r="DH225" s="54" t="n">
        <v>45925</v>
      </c>
      <c r="DI225" s="53" t="inlineStr">
        <is>
          <t>Product Coordinator</t>
        </is>
      </c>
      <c r="DJ225" s="53" t="inlineStr">
        <is>
          <t>Executive Leadership</t>
        </is>
      </c>
      <c r="DK225" s="53" t="inlineStr">
        <is>
          <t>Business / Functional Leadership</t>
        </is>
      </c>
      <c r="DL225" s="53" t="inlineStr">
        <is>
          <t>Product Coordinator</t>
        </is>
      </c>
      <c r="DM225" s="53" t="inlineStr">
        <is>
          <t>L3 – Professional / Associate</t>
        </is>
      </c>
      <c r="DN225" s="53" t="inlineStr">
        <is>
          <t>Bachelors in Hotel Management</t>
        </is>
      </c>
      <c r="DO225" s="53" t="inlineStr">
        <is>
          <t>Yuvraj Kharchane</t>
        </is>
      </c>
      <c r="DP225" s="53" t="inlineStr">
        <is>
          <t>N-4</t>
        </is>
      </c>
      <c r="DQ225" s="53" t="inlineStr">
        <is>
          <t>Individual Contributor</t>
        </is>
      </c>
      <c r="DR225" s="53" t="inlineStr">
        <is>
          <t>7 years, 0 months, 0 days</t>
        </is>
      </c>
      <c r="DS225" s="53" t="inlineStr">
        <is>
          <t>0 years, 8 months, 26 days</t>
        </is>
      </c>
      <c r="DT225" s="53" t="inlineStr">
        <is>
          <t>7 years, 8 months, 26 days</t>
        </is>
      </c>
      <c r="DU225" s="53" t="n"/>
      <c r="DV225" s="53" t="inlineStr">
        <is>
          <t>Regtech</t>
        </is>
      </c>
      <c r="DW225" s="53" t="inlineStr">
        <is>
          <t>iDEAL</t>
        </is>
      </c>
      <c r="DX225" s="53" t="inlineStr">
        <is>
          <t>Product Management</t>
        </is>
      </c>
      <c r="DY225" s="53" t="inlineStr">
        <is>
          <t>Client Engagement</t>
        </is>
      </c>
      <c r="DZ225" s="53" t="inlineStr">
        <is>
          <t>No</t>
        </is>
      </c>
      <c r="EA225" s="53" t="inlineStr">
        <is>
          <t>Client Engagement</t>
        </is>
      </c>
      <c r="EB225" s="53" t="inlineStr">
        <is>
          <t>Product Management</t>
        </is>
      </c>
      <c r="EC225" s="53" t="inlineStr">
        <is>
          <t>Technical · BA, PM and QA</t>
        </is>
      </c>
      <c r="ED225" s="53" t="inlineStr">
        <is>
          <t>Work From Office - Turbhe</t>
        </is>
      </c>
      <c r="EE225" s="53" t="inlineStr">
        <is>
          <t>1. Successfully manage and coordinate assigned ETL implementation for ESAF SFB, Muthoot Fin Corp and upcoming all the ETL projects from initiation to production deployment, ensuring delivery within agreed timelines, scope, and quality standards. Track project milestones, identify risks, coordinate with stakeholders, and proactively drive project completion.
2. Prepare and maintain comprehensive project documentation, including Statements of Work · SOW, Detailed Understanding Documents · DOU, Business Requirement Documents · BRD, Functional Specifications, and project plans, ensuring clear alignment between business requirements and delivered solutions.
3. Coordinate with infrastructure, development, QA, and client teams to ensure timely application deployment, environment setup, access provisioning, and readiness of development, testing, and production environments for successful project execution and releases.
4. Coordinate User Acceptance Testing · UAT activities by ensuring timely test execution, defect tracking, issue resolution, and stakeholder sign-offs. Support production rollout activities, monitor post-deployment performance, and ensure smooth transition to business operations.
5. Build and maintain strong client relationships by proactively addressing project-related concerns, coordinating timely resolution of issues, ensuring adherence to agreed service levels, and continuously improving the client experience throughout the project lifecycle.
6. Contribute to organizational learning by conducting at least one internal knowledge-sharing session every quarter on ETL implementation methodologies, project learnings, tools, best practices, and process improvements to strengthen overall team capabilities.</t>
        </is>
      </c>
      <c r="EF225" s="53" t="inlineStr">
        <is>
          <t>1. Effectively manage the assigned portfolio of iDEAL ETL clients, ensuring successful onboarding, implementation, adoption, and customer satisfaction with zero escalations.
2. Coordinate with clients and cross-functional teams to ensure timely execution, implementation of data automation requirements, including source data mapping, ETL configuration, testing, and deployment activities &amp; go live for ESAF, Muthoot &amp; Bajaj Fincorp by Dec 2026.
3.Capture, analyse, and document client requirements and project scope accurately, ensuring 100% completion of the required documentation and obtaining client sign-off within two weeks of document submission.
4. Actively contribute to iDEAL ETL product enhancements, automation initiatives, process improvements, client demonstrations, POCs, and new business opportunities to support product adoption and business growth as a part of ongoing activities.</t>
        </is>
      </c>
      <c r="EG225" s="53" t="inlineStr">
        <is>
          <t>1. Ensure the initiation and successful commencement of ESAF report automation development for all Phase 1 reports identified and prioritized by the bank July 2026.
2. Complete the report automation project for Muthoot Finance and coordinate with all stakeholders to achieve successful project completion by the end of Sep 2026.
3. Ensure completion of requirement gathering, scope finalization, and all associated project documentation for the Bajaj Finance implementation within three weeks of client onboarding. Obtain necessary stakeholder approvals and sign-offs to enable timely project execution and delivery.</t>
        </is>
      </c>
      <c r="EH225" s="53" t="n">
        <v>3</v>
      </c>
      <c r="EI225" s="54" t="n">
        <v>45931</v>
      </c>
      <c r="EJ225" s="53" t="inlineStr">
        <is>
          <t>Same as current designation</t>
        </is>
      </c>
      <c r="EK225" s="53" t="inlineStr">
        <is>
          <t>No</t>
        </is>
      </c>
      <c r="EL225" s="53" t="n">
        <v>3</v>
      </c>
      <c r="EM225" s="53" t="inlineStr">
        <is>
          <t>Medium</t>
        </is>
      </c>
      <c r="EN225" s="53" t="inlineStr">
        <is>
          <t>Emerging Talent</t>
        </is>
      </c>
      <c r="EO225" s="53" t="inlineStr">
        <is>
          <t>Not Ready</t>
        </is>
      </c>
      <c r="EP225" s="53" t="inlineStr">
        <is>
          <t>No</t>
        </is>
      </c>
      <c r="EQ225" s="53" t="inlineStr">
        <is>
          <t>Yes</t>
        </is>
      </c>
      <c r="ER225" s="53" t="n"/>
      <c r="ES225" s="53" t="inlineStr">
        <is>
          <t>XBRL Training, Training on the effective utilization of AI tools.</t>
        </is>
      </c>
      <c r="ET225" s="53" t="n"/>
      <c r="EU225" s="53" t="n"/>
      <c r="EV225" s="53" t="n"/>
      <c r="EW225" s="52" t="n"/>
      <c r="EX225" s="53" t="n"/>
      <c r="EY225" s="53" t="n"/>
      <c r="EZ225" s="53" t="n"/>
      <c r="FA225" s="53" t="n"/>
      <c r="FB225" s="53" t="n"/>
      <c r="FC225" s="53" t="n"/>
      <c r="FD225" s="53" t="n"/>
      <c r="FE225" s="57" t="inlineStr">
        <is>
          <t>1. Effectively manage the assigned portfolio of iDEAL ETL clients, ensuring successful onboarding, implementation, adoption, and customer satisfaction with zero escalations.
2. Coordinate with clients and cross-functional teams to ensure timely execution, implementation of data automation requirements, including source data mapping, ETL configuration, testing, and deployment activities &amp; go live for ESAF, Muthoot &amp; Bajaj Fincorp by Dec 2026.
3.Capture, analyse, and document client requirements and project scope accurately, ensuring 100% completion of the required documentation and obtaining client sign-off within two weeks of document submission.
4. Actively contribute to iDEAL ETL product enhancements, automation initiatives, process improvements, client demonstrations, POCs, and new business opportunities to support product adoption and business growth as a part of ongoing activities.</t>
        </is>
      </c>
      <c r="FF225" s="56" t="inlineStr">
        <is>
          <t>1. Ensure the initiation and successful commencement of ESAF report automation development for all Phase 1 reports identified and prioritized by the bank July 2026.
2. Complete the report automation project for Muthoot Finance and coordinate with all stakeholders to achieve successful project completion by the end of Sep 2026.
3. Ensure completion of requirement gathering, scope finalization, and all associated project documentation for the Bajaj Finance implementation within three weeks of client onboarding. Obtain necessary stakeholder approvals and sign-offs to enable timely project execution and delivery.</t>
        </is>
      </c>
      <c r="FG225" s="56" t="inlineStr">
        <is>
          <t>1. Successfully manage and coordinate assigned ETL implementation for ESAF SFB, Muthoot Fin Corp and upcoming all the ETL projects from initiation to production deployment, ensuring delivery within agreed timelines, scope, and quality standards. Track project milestones, identify risks, coordinate with stakeholders, and proactively drive project completion.
2. Prepare and maintain comprehensive project documentation, including Statements of Work · SOW, Detailed Understanding Documents · DOU, Business Requirement Documents · BRD, Functional Specifications, and project plans, ensuring clear alignment between business requirements and delivered solutions.
3. Coordinate with infrastructure, development, QA, and client teams to ensure timely application deployment, environment setup, access provisioning, and readiness of development, testing, and production environments for successful project execution and releases.
4. Coordinate User Acceptance Testing · UAT activities by ensuring timely test execution, defect tracking, issue resolution, and stakeholder sign-offs. Support production rollout activities, monitor post-deployment performance, and ensure smooth transition to business operations.
5. Build and maintain strong client relationships by proactively addressing project-related concerns, coordinating timely resolution of issues, ensuring adherence to agreed service levels, and continuously improving the client experience throughout the project lifecycle.
6. Contribute to organizational learning by conducting at least one internal knowledge-sharing session every quarter on ETL implementation methodologies, project learnings, tools, best practices, and process improvements to strengthen overall team capabilities.</t>
        </is>
      </c>
      <c r="FH225" s="56" t="inlineStr">
        <is>
          <t>3</t>
        </is>
      </c>
      <c r="FI225" s="56" t="n"/>
      <c r="FJ225" s="56" t="inlineStr">
        <is>
          <t>Received · manager annual, quarterly, self</t>
        </is>
      </c>
      <c r="FK225" s="56" t="inlineStr">
        <is>
          <t>Talent Mapping · iDEAL</t>
        </is>
      </c>
      <c r="FL225" s="56" t="n">
        <v>20</v>
      </c>
      <c r="FM225" s="32" t="inlineStr">
        <is>
          <t>Full survey answers not in the files received · How We Grow export needed · HR</t>
        </is>
      </c>
      <c r="FN225" s="56" t="inlineStr">
        <is>
          <t>—</t>
        </is>
      </c>
      <c r="FO225" s="56" t="inlineStr">
        <is>
          <t>—</t>
        </is>
      </c>
      <c r="FP225" s="56" t="inlineStr">
        <is>
          <t>—</t>
        </is>
      </c>
      <c r="FQ225" s="56" t="inlineStr">
        <is>
          <t>—</t>
        </is>
      </c>
      <c r="FR225" s="56" t="inlineStr">
        <is>
          <t>Complexity: Evidence reads like A3: Coordinates ETL implementation projects across stakeholders: schedules, documentation, tracking, follow-up, escalation → moved up 0.5
Autonomy: Evidence reads like A2: Decides scheduling; judges what to escalate and when → matches the start
Accountability: Evidence reads like A3: Accountable for ETL solution delivery for two named clients · ESAF, BFL: timelines and accuracy → moved up 0.5
Leadership: Evidence reads like A1: Coordinates people and tasks; no guidance or leadership of others described → matches the start
Business Impact: Moved +0.5: the survey / manager mapping marks it business-critical.</t>
        </is>
      </c>
      <c r="FS225" s="56" t="n"/>
      <c r="FT225" s="56" t="inlineStr">
        <is>
          <t>Self-identified: Project / programme management · Technical depth &amp; architecture · Strategy &amp; business acumen · Broader exposure &amp; ownership
For the next role: Project / programme management · Technical depth &amp; architecture · Strategy &amp; business acumen · Broader exposure &amp; ownership</t>
        </is>
      </c>
      <c r="FU225" s="32" t="inlineStr">
        <is>
          <t>Full survey answers not in the files received · How We Grow export needed · HR</t>
        </is>
      </c>
    </row>
    <row r="226" ht="90" customHeight="1">
      <c r="A226" s="51" t="inlineStr">
        <is>
          <t>◂ Back</t>
        </is>
      </c>
      <c r="B226" s="29" t="inlineStr">
        <is>
          <t>Mapped</t>
        </is>
      </c>
      <c r="C226" s="28" t="inlineStr">
        <is>
          <t>iDEAL</t>
        </is>
      </c>
      <c r="D226" s="29" t="inlineStr">
        <is>
          <t>IRIS1343</t>
        </is>
      </c>
      <c r="E226" s="29" t="inlineStr">
        <is>
          <t>Anand Usakoyal</t>
        </is>
      </c>
      <c r="F226" s="29" t="inlineStr">
        <is>
          <t>Technology</t>
        </is>
      </c>
      <c r="G226" s="29" t="inlineStr">
        <is>
          <t>Project Lead</t>
        </is>
      </c>
      <c r="H226" s="29" t="inlineStr">
        <is>
          <t>Associate Project Manager</t>
        </is>
      </c>
      <c r="I226" s="29" t="inlineStr">
        <is>
          <t>L5 – Lead · IC</t>
        </is>
      </c>
      <c r="J226" s="29" t="inlineStr">
        <is>
          <t>B1</t>
        </is>
      </c>
      <c r="K226" s="29" t="inlineStr">
        <is>
          <t>▼ Down · protected</t>
        </is>
      </c>
      <c r="L226" s="29" t="inlineStr">
        <is>
          <t>Project &amp; Program Management</t>
        </is>
      </c>
      <c r="M226" s="29" t="inlineStr">
        <is>
          <t>Project &amp; Program Delivery</t>
        </is>
      </c>
      <c r="N226" s="29" t="n"/>
      <c r="O226" s="29" t="n">
        <v>20</v>
      </c>
      <c r="P226" s="28" t="inlineStr">
        <is>
          <t>P3 / M2</t>
        </is>
      </c>
      <c r="Q226" s="29" t="inlineStr">
        <is>
          <t>Career / · Team Lead</t>
        </is>
      </c>
      <c r="R226" s="29" t="inlineStr">
        <is>
          <t>4 Enable</t>
        </is>
      </c>
      <c r="S226" s="29" t="inlineStr">
        <is>
          <t>4–7 yrs</t>
        </is>
      </c>
      <c r="T226" s="29" t="inlineStr">
        <is>
          <t>5–8 · 4–8</t>
        </is>
      </c>
      <c r="U226" s="29" t="inlineStr">
        <is>
          <t>Project Manager</t>
        </is>
      </c>
      <c r="V226" s="29" t="inlineStr">
        <is>
          <t>IRIS Vs Competitor Benchmark — PMI pathway + SaaS delivery ladder: Project Manager · PMP</t>
        </is>
      </c>
      <c r="W226" s="29" t="inlineStr">
        <is>
          <t>PMI PMBOK and Talent Triangle; CAPM · entry → PMP → PgMP; Scrum / SAFe</t>
        </is>
      </c>
      <c r="X226" s="29" t="inlineStr">
        <is>
          <t>Core 3 · Future 3 · Functional 3 · Leadership 1</t>
        </is>
      </c>
      <c r="Y226" s="52" t="n">
        <v>119</v>
      </c>
      <c r="Z226" s="53" t="inlineStr">
        <is>
          <t>IRIS1343</t>
        </is>
      </c>
      <c r="AA226" s="53" t="inlineStr">
        <is>
          <t>Employee</t>
        </is>
      </c>
      <c r="AB226" s="53" t="inlineStr">
        <is>
          <t>Active</t>
        </is>
      </c>
      <c r="AC226" s="53" t="inlineStr">
        <is>
          <t>Anand Usakoyal</t>
        </is>
      </c>
      <c r="AD226" s="54" t="n">
        <v>41437</v>
      </c>
      <c r="AE226" s="53" t="inlineStr">
        <is>
          <t>Project Lead</t>
        </is>
      </c>
      <c r="AF226" s="53" t="inlineStr">
        <is>
          <t>MBA</t>
        </is>
      </c>
      <c r="AG226" s="53" t="inlineStr">
        <is>
          <t>Hemant Karale</t>
        </is>
      </c>
      <c r="AH226" s="53" t="inlineStr">
        <is>
          <t>N-3</t>
        </is>
      </c>
      <c r="AI226" s="53" t="inlineStr">
        <is>
          <t>Individual Contributor</t>
        </is>
      </c>
      <c r="AJ226" s="53" t="inlineStr">
        <is>
          <t>0 years, 0 months, 0 days</t>
        </is>
      </c>
      <c r="AK226" s="53" t="inlineStr">
        <is>
          <t>13 years, 2 months, 13 days</t>
        </is>
      </c>
      <c r="AL226" s="53" t="inlineStr">
        <is>
          <t>Regtech</t>
        </is>
      </c>
      <c r="AM226" s="53" t="inlineStr">
        <is>
          <t>iDEAL</t>
        </is>
      </c>
      <c r="AN226" s="53" t="inlineStr">
        <is>
          <t>Technology</t>
        </is>
      </c>
      <c r="AO226" s="53" t="inlineStr">
        <is>
          <t>Project Management</t>
        </is>
      </c>
      <c r="AP226" s="53" t="inlineStr">
        <is>
          <t>No</t>
        </is>
      </c>
      <c r="AQ226" s="53" t="inlineStr">
        <is>
          <t>Product/Project</t>
        </is>
      </c>
      <c r="AR226" s="53" t="inlineStr">
        <is>
          <t>Project Management</t>
        </is>
      </c>
      <c r="AS226" s="53" t="inlineStr">
        <is>
          <t>Technical · BA, PM and QA</t>
        </is>
      </c>
      <c r="AT226" s="53" t="n">
        <v>20</v>
      </c>
      <c r="AU226" s="53" t="inlineStr">
        <is>
          <t>Covered</t>
        </is>
      </c>
      <c r="AV226" s="53" t="n"/>
      <c r="AW226" s="53" t="n"/>
      <c r="AX226" s="53" t="n"/>
      <c r="AY226" s="53" t="n"/>
      <c r="AZ226" s="53" t="n"/>
      <c r="BA226" s="53" t="n"/>
      <c r="BB226" s="53" t="n"/>
      <c r="BC226" s="53" t="n"/>
      <c r="BD226" s="53" t="n"/>
      <c r="BE226" s="53" t="n"/>
      <c r="BF226" s="53" t="n"/>
      <c r="BG226" s="53" t="n"/>
      <c r="BH226" s="53" t="n"/>
      <c r="BI226" s="53" t="n"/>
      <c r="BJ226" s="53" t="n"/>
      <c r="BK226" s="53" t="n"/>
      <c r="BL226" s="53" t="n"/>
      <c r="BM226" s="53" t="n"/>
      <c r="BN226" s="53" t="n"/>
      <c r="BO226" s="53" t="n"/>
      <c r="BP226" s="53" t="n"/>
      <c r="BQ226" s="53" t="n"/>
      <c r="BR226" s="53" t="n"/>
      <c r="BS226" s="53" t="n"/>
      <c r="BT226" s="53" t="n"/>
      <c r="BU226" s="53" t="n"/>
      <c r="BV226" s="53" t="n"/>
      <c r="BW226" s="53" t="n"/>
      <c r="BX226" s="53" t="n"/>
      <c r="BY226" s="53" t="n"/>
      <c r="BZ226" s="53" t="n"/>
      <c r="CA226" s="53" t="n"/>
      <c r="CB226" s="53" t="n"/>
      <c r="CC226" s="53" t="n"/>
      <c r="CD226" s="53" t="n"/>
      <c r="CE226" s="53" t="n"/>
      <c r="CF226" s="53" t="n"/>
      <c r="CG226" s="53" t="n"/>
      <c r="CH226" s="53" t="n"/>
      <c r="CI226" s="53" t="n"/>
      <c r="CJ226" s="53" t="n"/>
      <c r="CK226" s="53" t="n"/>
      <c r="CL226" s="53" t="n"/>
      <c r="CM226" s="53" t="n"/>
      <c r="CN226" s="53" t="n"/>
      <c r="CO226" s="53" t="n"/>
      <c r="CP226" s="53" t="n"/>
      <c r="CQ226" s="53" t="n"/>
      <c r="CR226" s="53" t="n"/>
      <c r="CS226" s="53" t="n"/>
      <c r="CT226" s="53" t="n"/>
      <c r="CU226" s="53" t="n"/>
      <c r="CV226" s="53" t="n"/>
      <c r="CW226" s="53" t="n"/>
      <c r="CX226" s="53" t="n"/>
      <c r="CY226" s="53" t="n"/>
      <c r="CZ226" s="53" t="n"/>
      <c r="DA226" s="53" t="n"/>
      <c r="DB226" s="53" t="n"/>
      <c r="DC226" s="53" t="n"/>
      <c r="DD226" s="53" t="inlineStr">
        <is>
          <t>IRIS1343</t>
        </is>
      </c>
      <c r="DE226" s="53" t="inlineStr">
        <is>
          <t>Employee</t>
        </is>
      </c>
      <c r="DF226" s="53" t="inlineStr">
        <is>
          <t>Active</t>
        </is>
      </c>
      <c r="DG226" s="53" t="inlineStr">
        <is>
          <t>Anand Usakoyal</t>
        </is>
      </c>
      <c r="DH226" s="54" t="n">
        <v>41437</v>
      </c>
      <c r="DI226" s="53" t="inlineStr">
        <is>
          <t>Project Lead</t>
        </is>
      </c>
      <c r="DJ226" s="53" t="inlineStr">
        <is>
          <t>Project &amp; Program Management</t>
        </is>
      </c>
      <c r="DK226" s="53" t="inlineStr">
        <is>
          <t>Project Management</t>
        </is>
      </c>
      <c r="DL226" s="53" t="inlineStr">
        <is>
          <t>Project Lead</t>
        </is>
      </c>
      <c r="DM226" s="53" t="inlineStr">
        <is>
          <t>L5 – Lead · IC</t>
        </is>
      </c>
      <c r="DN226" s="53" t="inlineStr">
        <is>
          <t>MBA</t>
        </is>
      </c>
      <c r="DO226" s="53" t="inlineStr">
        <is>
          <t>Hemant Karale</t>
        </is>
      </c>
      <c r="DP226" s="53" t="inlineStr">
        <is>
          <t>N-3</t>
        </is>
      </c>
      <c r="DQ226" s="53" t="inlineStr">
        <is>
          <t>Individual Contributor</t>
        </is>
      </c>
      <c r="DR226" s="53" t="inlineStr">
        <is>
          <t>0 years, 0 months, 0 days</t>
        </is>
      </c>
      <c r="DS226" s="53" t="inlineStr">
        <is>
          <t>13 years, 0 months, 8 days</t>
        </is>
      </c>
      <c r="DT226" s="53" t="inlineStr">
        <is>
          <t>13 years, 0 months, 8 days</t>
        </is>
      </c>
      <c r="DU226" s="53" t="n"/>
      <c r="DV226" s="53" t="inlineStr">
        <is>
          <t>Regtech</t>
        </is>
      </c>
      <c r="DW226" s="53" t="inlineStr">
        <is>
          <t>iDEAL</t>
        </is>
      </c>
      <c r="DX226" s="53" t="inlineStr">
        <is>
          <t>Technology</t>
        </is>
      </c>
      <c r="DY226" s="53" t="inlineStr">
        <is>
          <t>Project Management</t>
        </is>
      </c>
      <c r="DZ226" s="53" t="inlineStr">
        <is>
          <t>No</t>
        </is>
      </c>
      <c r="EA226" s="53" t="inlineStr">
        <is>
          <t>Product/Project</t>
        </is>
      </c>
      <c r="EB226" s="53" t="inlineStr">
        <is>
          <t>Project Management</t>
        </is>
      </c>
      <c r="EC226" s="53" t="inlineStr">
        <is>
          <t>Technical · BA, PM and QA</t>
        </is>
      </c>
      <c r="ED226" s="53" t="inlineStr">
        <is>
          <t>Remote - Mumbai</t>
        </is>
      </c>
      <c r="EE226" s="53" t="inlineStr">
        <is>
          <t>EBR SDMX Project:
1. Target to manage the requirement gathering, coordinate development and testing, and successfully release all new returns to the banks that are introduced throughout the year.
2. To establish a proper tracking process for all application bug fixes and return changes, maintaining a clear record of what changes were delivered to which banks and when, to improve deployment accuracy.
3. To manage requirement gathering and development for new features, modifications, and enhancements required in the application to support future return releases and improve overall performance.
4. To gather requirements and coordinate with development and testing teams to successfully implement new master validations and open dimension validations for all new returns released throughout the year.
5. To ensure proper delivery and deployment of all returns at the banks' end, enabling them to generate error-free outputs and successfully complete their filing on the RBI portal.</t>
        </is>
      </c>
      <c r="EF226" s="53" t="inlineStr">
        <is>
          <t>1. Develop a comprehensive understanding of the EBR solution workflow, reporting framework, and implementation processes by August 2026. Gain in-depth expertise in EBR SDMX report validations and error handling by July 2026, enabling you to independently lead support activities, effectively manage client requests, and maintain zero escalations.
2. Drive the implementation, testing, and rollout of all RBI-prescribed SDMX validations within the IRIS iDEAL EBR solution by July 2026 and ensure successful deployment to all EBR customers by the first week of August 2026.
3.Organize and conduct bi-weekly knowledge-sharing sessions for Business Analysts on EBR solution error handling, validations, and troubleshooting techniques to reduce dependency on specific individuals, improve team capability.
4. Support business leads in EBR product demonstrations, client EBR discussions, and requirement clarification to facilitate successful client engagements and business opportunities. Conduct and support a minimum of two EBR product demonstrations per week until December 2026.
5.Proactively contribute to and increase involvement in iDEAL projects beyond EBR to expand domain and product expertise. By December 2026, develop a working understanding of all iDEAL products, their key functionalities, business purposes, and implementation workflows, enabling effective participation in project discussions, support activities, and client engagements.</t>
        </is>
      </c>
      <c r="EG226" s="53" t="inlineStr">
        <is>
          <t>1. Enhance expertise in EBR SDMX reports, validations, and implementation processes, and conduct periodic knowledge-sharing and training sessions for BA's to strengthen the team's EBR support and implementation capabilities.
2. Support business leads in EBR product demonstrations, client discussions, workshops, and requirement clarification activities to facilitate successful client engagements and new business opportunities.</t>
        </is>
      </c>
      <c r="EH226" s="53" t="n">
        <v>3</v>
      </c>
      <c r="EI226" s="54" t="n">
        <v>45931</v>
      </c>
      <c r="EJ226" s="53" t="inlineStr">
        <is>
          <t>Same as current designation</t>
        </is>
      </c>
      <c r="EK226" s="53" t="inlineStr">
        <is>
          <t>No</t>
        </is>
      </c>
      <c r="EL226" s="53" t="n">
        <v>3</v>
      </c>
      <c r="EM226" s="53" t="inlineStr">
        <is>
          <t>Medium</t>
        </is>
      </c>
      <c r="EN226" s="53" t="inlineStr">
        <is>
          <t>Emerging Talent</t>
        </is>
      </c>
      <c r="EO226" s="53" t="inlineStr">
        <is>
          <t>Not Ready</t>
        </is>
      </c>
      <c r="EP226" s="53" t="inlineStr">
        <is>
          <t>No</t>
        </is>
      </c>
      <c r="EQ226" s="53" t="inlineStr">
        <is>
          <t>No</t>
        </is>
      </c>
      <c r="ER226" s="53" t="n"/>
      <c r="ES226" s="53" t="inlineStr">
        <is>
          <t>Training on the effective utilization of AI tools.</t>
        </is>
      </c>
      <c r="ET226" s="53" t="n"/>
      <c r="EU226" s="53" t="n"/>
      <c r="EV226" s="53" t="n"/>
      <c r="EW226" s="52" t="n"/>
      <c r="EX226" s="53" t="n"/>
      <c r="EY226" s="53" t="n"/>
      <c r="EZ226" s="53" t="n"/>
      <c r="FA226" s="53" t="n"/>
      <c r="FB226" s="53" t="n"/>
      <c r="FC226" s="53" t="n"/>
      <c r="FD226" s="53" t="n"/>
      <c r="FE226" s="57" t="inlineStr">
        <is>
          <t>1. Develop a comprehensive understanding of the EBR solution workflow, reporting framework, and implementation processes by August 2026. Gain in-depth expertise in EBR SDMX report validations and error handling by July 2026, enabling you to independently lead support activities, effectively manage client requests, and maintain zero escalations.
2. Drive the implementation, testing, and rollout of all RBI-prescribed SDMX validations within the IRIS iDEAL EBR solution by July 2026 and ensure successful deployment to all EBR customers by the first week of August 2026.
3.Organize and conduct bi-weekly knowledge-sharing sessions for Business Analysts on EBR solution error handling, validations, and troubleshooting techniques to reduce dependency on specific individuals, improve team capability.
4. Support business leads in EBR product demonstrations, client EBR discussions, and requirement clarification to facilitate successful client engagements and business opportunities. Conduct and support a minimum of two EBR product demonstrations per week until December 2026.
5.Proactively contribute to and increase involvement in iDEAL projects beyond EBR to expand domain and product expertise. By December 2026, develop a working understanding of all iDEAL products, their key functionalities, business purposes, and implementation workflows, enabling effective participation in project discussions, support activities, and client engagements.</t>
        </is>
      </c>
      <c r="FF226" s="56" t="inlineStr">
        <is>
          <t>1. Enhance expertise in EBR SDMX reports, validations, and implementation processes, and conduct periodic knowledge-sharing and training sessions for BA's to strengthen the team's EBR support and implementation capabilities.
2. Support business leads in EBR product demonstrations, client discussions, workshops, and requirement clarification activities to facilitate successful client engagements and new business opportunities.</t>
        </is>
      </c>
      <c r="FG226" s="56" t="inlineStr">
        <is>
          <t>EBR SDMX Project:
1. Target to manage the requirement gathering, coordinate development and testing, and successfully release all new returns to the banks that are introduced throughout the year.
2. To establish a proper tracking process for all application bug fixes and return changes, maintaining a clear record of what changes were delivered to which banks and when, to improve deployment accuracy.
3. To manage requirement gathering and development for new features, modifications, and enhancements required in the application to support future return releases and improve overall performance.
4. To gather requirements and coordinate with development and testing teams to successfully implement new master validations and open dimension validations for all new returns released throughout the year.
5. To ensure proper delivery and deployment of all returns at the banks' end, enabling them to generate error-free outputs and successfully complete their filing on the RBI portal.</t>
        </is>
      </c>
      <c r="FH226" s="56" t="inlineStr">
        <is>
          <t>3</t>
        </is>
      </c>
      <c r="FI226" s="56" t="n"/>
      <c r="FJ226" s="56" t="inlineStr">
        <is>
          <t>Received · manager annual, quarterly, self</t>
        </is>
      </c>
      <c r="FK226" s="56" t="inlineStr">
        <is>
          <t>Talent Mapping · iDEAL</t>
        </is>
      </c>
      <c r="FL226" s="56" t="n">
        <v>20</v>
      </c>
      <c r="FM226" s="32" t="inlineStr">
        <is>
          <t>Full survey answers not in the files received · How We Grow export needed · HR</t>
        </is>
      </c>
      <c r="FN226" s="56" t="inlineStr">
        <is>
          <t>—</t>
        </is>
      </c>
      <c r="FO226" s="56" t="inlineStr">
        <is>
          <t>—</t>
        </is>
      </c>
      <c r="FP226" s="56" t="inlineStr">
        <is>
          <t>—</t>
        </is>
      </c>
      <c r="FQ226" s="56" t="inlineStr">
        <is>
          <t>—</t>
        </is>
      </c>
      <c r="FR226" s="56" t="inlineStr">
        <is>
          <t>Complexity: Evidence reads like A3: Gathers RBI EBR return requirements, verifies developed returns, resolves team doubts → moved down 0.5
Autonomy: Evidence reads like A3: Decides requirement gathering independently; verifies returns before delivery to banks → moved down 0.5
Accountability: Evidence reads like B1: Answers for EBR returns delivered to banks meeting RBI standards → matches the start
Leadership: Evidence reads like A3: Coordinates development and testing teams; gives guidance and resolves doubts → matches the start
Business Impact: No survey or manager-mapping signal on criticality: kept at the start point.</t>
        </is>
      </c>
      <c r="FS226" s="56" t="inlineStr">
        <is>
          <t>Common themes in role-holders' answers: business · understood · requirements · project
Common themes in role-holders' answers: management · timelines · delivery · coordination · gathering · requirement
Common themes in role-holders' answers: project · time
Common themes in role-holders' answers: client · timelines
Common themes in role-holders' answers: client · requirement
If the work is missed · role-holders' themes: client · potential.
Measured on · manager-set KRA themes: projects · support · maintain · reporting · on-time.</t>
        </is>
      </c>
      <c r="FT226" s="56" t="inlineStr">
        <is>
          <t>Self-identified: Project / programme management · Client, sales &amp; stakeholders · Communication &amp; presentation
For the next role: Project / programme management · Client, sales &amp; stakeholders · Communication &amp; presentation</t>
        </is>
      </c>
      <c r="FU226" s="32" t="inlineStr">
        <is>
          <t>Full survey answers not in the files received · How We Grow export needed · HR</t>
        </is>
      </c>
    </row>
    <row r="227" ht="90" customHeight="1">
      <c r="A227" s="51" t="inlineStr">
        <is>
          <t>◂ Back</t>
        </is>
      </c>
      <c r="B227" s="29" t="inlineStr">
        <is>
          <t>Mapped</t>
        </is>
      </c>
      <c r="C227" s="28" t="inlineStr">
        <is>
          <t>iDEAL</t>
        </is>
      </c>
      <c r="D227" s="29" t="inlineStr">
        <is>
          <t>IRIS1947</t>
        </is>
      </c>
      <c r="E227" s="29" t="inlineStr">
        <is>
          <t>Aroosa Ghole</t>
        </is>
      </c>
      <c r="F227" s="29" t="inlineStr">
        <is>
          <t>Technology</t>
        </is>
      </c>
      <c r="G227" s="29" t="inlineStr">
        <is>
          <t>Senior Business Analyst</t>
        </is>
      </c>
      <c r="H227" s="29" t="inlineStr">
        <is>
          <t>Team Lead – Business Analysis</t>
        </is>
      </c>
      <c r="I227" s="29" t="inlineStr">
        <is>
          <t>L4 – Senior</t>
        </is>
      </c>
      <c r="J227" s="29" t="inlineStr">
        <is>
          <t>B1</t>
        </is>
      </c>
      <c r="K227" s="29" t="inlineStr">
        <is>
          <t>▲ Up</t>
        </is>
      </c>
      <c r="L227" s="29" t="inlineStr">
        <is>
          <t>Business Analysis</t>
        </is>
      </c>
      <c r="M227" s="29" t="inlineStr">
        <is>
          <t>Business Analysis</t>
        </is>
      </c>
      <c r="N227" s="29" t="n"/>
      <c r="O227" s="29" t="n">
        <v>20</v>
      </c>
      <c r="P227" s="28" t="inlineStr">
        <is>
          <t>P3 / M2</t>
        </is>
      </c>
      <c r="Q227" s="29" t="inlineStr">
        <is>
          <t>Career / · Team Lead</t>
        </is>
      </c>
      <c r="R227" s="29" t="inlineStr">
        <is>
          <t>4 Enable</t>
        </is>
      </c>
      <c r="S227" s="29" t="inlineStr">
        <is>
          <t>4–7 yrs</t>
        </is>
      </c>
      <c r="T227" s="29" t="inlineStr">
        <is>
          <t>5–8 · 4–8</t>
        </is>
      </c>
      <c r="U227" s="29" t="inlineStr">
        <is>
          <t>Team Lead / Assistant Manager</t>
        </is>
      </c>
      <c r="V227" s="29" t="inlineStr">
        <is>
          <t>Regnology — regulatory reporting: BA · Reg Reporting · Big Four consulting: Senior Consultant · IRIS Vs Market Benchmark — IIBA certification pathway: CCBA · Infosys / Accenture: JL4 · L9 Consultant</t>
        </is>
      </c>
      <c r="W227" s="29" t="inlineStr">
        <is>
          <t>IIBA BABOK v3; certifications ECBA · entry → CCBA → CBAP · senior</t>
        </is>
      </c>
      <c r="X227" s="29" t="inlineStr">
        <is>
          <t>Core 3 · Future 3 · Functional 3 · Leadership 2</t>
        </is>
      </c>
      <c r="Y227" s="52" t="n">
        <v>195</v>
      </c>
      <c r="Z227" s="53" t="inlineStr">
        <is>
          <t>IRIS1947</t>
        </is>
      </c>
      <c r="AA227" s="53" t="inlineStr">
        <is>
          <t>Employee</t>
        </is>
      </c>
      <c r="AB227" s="53" t="inlineStr">
        <is>
          <t>Active</t>
        </is>
      </c>
      <c r="AC227" s="53" t="inlineStr">
        <is>
          <t>Aroosa Ghole</t>
        </is>
      </c>
      <c r="AD227" s="54" t="n">
        <v>44431</v>
      </c>
      <c r="AE227" s="53" t="inlineStr">
        <is>
          <t>Senior Business Analyst</t>
        </is>
      </c>
      <c r="AF227" s="53" t="inlineStr">
        <is>
          <t>PGDM</t>
        </is>
      </c>
      <c r="AG227" s="53" t="inlineStr">
        <is>
          <t>Hemant Karale</t>
        </is>
      </c>
      <c r="AH227" s="53" t="inlineStr">
        <is>
          <t>N-3</t>
        </is>
      </c>
      <c r="AI227" s="53" t="inlineStr">
        <is>
          <t>Manager</t>
        </is>
      </c>
      <c r="AJ227" s="53" t="inlineStr">
        <is>
          <t>2 years, 5 months, 0 days</t>
        </is>
      </c>
      <c r="AK227" s="53" t="inlineStr">
        <is>
          <t>5 years, 0 months, 2 days</t>
        </is>
      </c>
      <c r="AL227" s="53" t="inlineStr">
        <is>
          <t>Regtech</t>
        </is>
      </c>
      <c r="AM227" s="53" t="inlineStr">
        <is>
          <t>iDEAL</t>
        </is>
      </c>
      <c r="AN227" s="53" t="inlineStr">
        <is>
          <t>Technology</t>
        </is>
      </c>
      <c r="AO227" s="53" t="inlineStr">
        <is>
          <t>Business Analysis</t>
        </is>
      </c>
      <c r="AP227" s="53" t="inlineStr">
        <is>
          <t>No</t>
        </is>
      </c>
      <c r="AQ227" s="53" t="inlineStr">
        <is>
          <t>Product/Project</t>
        </is>
      </c>
      <c r="AR227" s="53" t="inlineStr">
        <is>
          <t>Business Analysis</t>
        </is>
      </c>
      <c r="AS227" s="53" t="inlineStr">
        <is>
          <t>Technical · BA, PM and QA</t>
        </is>
      </c>
      <c r="AT227" s="53" t="n">
        <v>20</v>
      </c>
      <c r="AU227" s="53" t="inlineStr">
        <is>
          <t>Covered</t>
        </is>
      </c>
      <c r="AV227" s="53" t="n"/>
      <c r="AW227" s="53" t="n"/>
      <c r="AX227" s="53" t="n"/>
      <c r="AY227" s="53" t="n"/>
      <c r="AZ227" s="53" t="n"/>
      <c r="BA227" s="53" t="n"/>
      <c r="BB227" s="53" t="n"/>
      <c r="BC227" s="53" t="n"/>
      <c r="BD227" s="53" t="n"/>
      <c r="BE227" s="53" t="n"/>
      <c r="BF227" s="53" t="n"/>
      <c r="BG227" s="53" t="n"/>
      <c r="BH227" s="53" t="n"/>
      <c r="BI227" s="53" t="n"/>
      <c r="BJ227" s="53" t="n"/>
      <c r="BK227" s="53" t="n"/>
      <c r="BL227" s="53" t="n"/>
      <c r="BM227" s="53" t="n"/>
      <c r="BN227" s="53" t="n"/>
      <c r="BO227" s="53" t="n"/>
      <c r="BP227" s="53" t="n"/>
      <c r="BQ227" s="53" t="n"/>
      <c r="BR227" s="53" t="n"/>
      <c r="BS227" s="53" t="n"/>
      <c r="BT227" s="53" t="n"/>
      <c r="BU227" s="53" t="n"/>
      <c r="BV227" s="53" t="n"/>
      <c r="BW227" s="53" t="n"/>
      <c r="BX227" s="53" t="n"/>
      <c r="BY227" s="53" t="n"/>
      <c r="BZ227" s="53" t="n"/>
      <c r="CA227" s="53" t="n"/>
      <c r="CB227" s="53" t="n"/>
      <c r="CC227" s="53" t="n"/>
      <c r="CD227" s="53" t="n"/>
      <c r="CE227" s="53" t="n"/>
      <c r="CF227" s="53" t="n"/>
      <c r="CG227" s="53" t="n"/>
      <c r="CH227" s="53" t="n"/>
      <c r="CI227" s="53" t="n"/>
      <c r="CJ227" s="53" t="n"/>
      <c r="CK227" s="53" t="n"/>
      <c r="CL227" s="53" t="n"/>
      <c r="CM227" s="53" t="n"/>
      <c r="CN227" s="53" t="n"/>
      <c r="CO227" s="53" t="n"/>
      <c r="CP227" s="53" t="n"/>
      <c r="CQ227" s="53" t="n"/>
      <c r="CR227" s="53" t="n"/>
      <c r="CS227" s="53" t="n"/>
      <c r="CT227" s="53" t="n"/>
      <c r="CU227" s="53" t="n"/>
      <c r="CV227" s="53" t="n"/>
      <c r="CW227" s="53" t="n"/>
      <c r="CX227" s="53" t="n"/>
      <c r="CY227" s="53" t="n"/>
      <c r="CZ227" s="53" t="n"/>
      <c r="DA227" s="53" t="n"/>
      <c r="DB227" s="53" t="n"/>
      <c r="DC227" s="53" t="n"/>
      <c r="DD227" s="53" t="inlineStr">
        <is>
          <t>IRIS1947</t>
        </is>
      </c>
      <c r="DE227" s="53" t="inlineStr">
        <is>
          <t>Employee</t>
        </is>
      </c>
      <c r="DF227" s="53" t="inlineStr">
        <is>
          <t>Active</t>
        </is>
      </c>
      <c r="DG227" s="53" t="inlineStr">
        <is>
          <t>Aroosa Ghole</t>
        </is>
      </c>
      <c r="DH227" s="54" t="n">
        <v>44431</v>
      </c>
      <c r="DI227" s="53" t="inlineStr">
        <is>
          <t>Senior Business Analyst</t>
        </is>
      </c>
      <c r="DJ227" s="53" t="inlineStr">
        <is>
          <t>Business Analysis</t>
        </is>
      </c>
      <c r="DK227" s="53" t="inlineStr">
        <is>
          <t>Business / Functional Analysis</t>
        </is>
      </c>
      <c r="DL227" s="53" t="inlineStr">
        <is>
          <t>Senior Business Analyst</t>
        </is>
      </c>
      <c r="DM227" s="53" t="inlineStr">
        <is>
          <t>L4 – Senior</t>
        </is>
      </c>
      <c r="DN227" s="53" t="inlineStr">
        <is>
          <t>PGDM</t>
        </is>
      </c>
      <c r="DO227" s="53" t="inlineStr">
        <is>
          <t>Hemant Karale</t>
        </is>
      </c>
      <c r="DP227" s="53" t="inlineStr">
        <is>
          <t>N-3</t>
        </is>
      </c>
      <c r="DQ227" s="53" t="inlineStr">
        <is>
          <t>Manager</t>
        </is>
      </c>
      <c r="DR227" s="53" t="inlineStr">
        <is>
          <t>2 years, 5 months, 0 days</t>
        </is>
      </c>
      <c r="DS227" s="53" t="inlineStr">
        <is>
          <t>4 years, 9 months, 28 days</t>
        </is>
      </c>
      <c r="DT227" s="53" t="inlineStr">
        <is>
          <t>7 years, 2 months, 28 days</t>
        </is>
      </c>
      <c r="DU227" s="53" t="n">
        <v>4.82671232876712</v>
      </c>
      <c r="DV227" s="53" t="inlineStr">
        <is>
          <t>Regtech</t>
        </is>
      </c>
      <c r="DW227" s="53" t="inlineStr">
        <is>
          <t>iDEAL</t>
        </is>
      </c>
      <c r="DX227" s="53" t="inlineStr">
        <is>
          <t>Technology</t>
        </is>
      </c>
      <c r="DY227" s="53" t="inlineStr">
        <is>
          <t>Business Analysis</t>
        </is>
      </c>
      <c r="DZ227" s="53" t="inlineStr">
        <is>
          <t>No</t>
        </is>
      </c>
      <c r="EA227" s="53" t="inlineStr">
        <is>
          <t>Product/Project</t>
        </is>
      </c>
      <c r="EB227" s="53" t="inlineStr">
        <is>
          <t>Business Analysis</t>
        </is>
      </c>
      <c r="EC227" s="53" t="inlineStr">
        <is>
          <t>Technical · BA, PM and QA</t>
        </is>
      </c>
      <c r="ED227" s="53" t="inlineStr">
        <is>
          <t>Hybrid</t>
        </is>
      </c>
      <c r="EE227" s="53" t="inlineStr">
        <is>
          <t>1. Successfully drive the implementation and closure of the EBR reporting solution for all banks across India covered under the EBR reporting mandate.
2. Establish Scrum Practices and Strengthen Agile Project: Drive the adoption of Scrum practices within the team by implementing a structured Scrum board for project planning and tracking, ensuring effective collaboration, transparency, and timely delivery across Business Analysis, Development, QA, and Deployment teams
3. Product Strategy &amp; Innovation: Drive continuous improvement of the iDEAL platform by identifying product enhancements, standardizing client requirements, and contributing to the product roadmap. Involved in gathering client feedback, coordinating the development of enhancements, and ensuring the successful testing, release, and deployment of upgraded product versions.
4. Build a Self-Sufficient and High-Performing Team
 - Develop a team that can independently manage client engagements with minimal escalations. 
 - Conduct training sessions for new joiners and trainees on client deployments, user training, application walkthroughs, and product demonstrations. 
 - Mentor team members on handling client queries, resolving issues, and managing client interactions confidently. 
 - Provide training on error analysis, patch preparation, testing, and deployment activities. 
 - Guide team members to independently manage end-to-end client implementations and support activities while maintaining high quality and customer satisfaction.
5. PMP Certification: Successfully pass and clear the PMP certification exam by September 30, 2026, applying advanced project management frameworks directly to active team workflows.
6. Increase Involvement in Qatar Regulatory Reporting: Develop end-to-end expertise in Qatar Regulatory Reporting and the iDEAL platform by actively participating in requirement gathering, report development, testing, deployment, and client delivery activities. Strengthen presentation, communication, and stakeholder management skills to independently manage the complete project lifecycle, deliver client demonstrations, address client queries, and ensure successful project implementations.</t>
        </is>
      </c>
      <c r="EF227" s="53" t="inlineStr">
        <is>
          <t>1. Lead the end-to-end delivery of the EBR solution by ensuring all RBI-released SDMX reports are analysed, prioritized, developed, tested, and delivered to customers within regulatory timelines while maintaining high quality and with zero defects at client end.
2. Drive the implementation, testing, and rollout of all RBI-prescribed SDMX validations within the IRIS iDEAL EBR solution by July 2026 and ensure successful deployment to all EBR customers by the first week of August 2026.
3. Establish a proactive coordination process with the internal RBI EBR team to monitor RBI SDMX releases, regulatory changes, and validation updates, ensuring that no regulatory update is missed or delayed. Ensure timely impact assessment and implementation of all changes with 100% adherence to regulatory timelines.
4.Support business leads in EBR product demonstrations, client discussions, requirement analysis, and requirement clarification activities, ensuring responses and support are provided within one business day of receiving the client request.
5. By September 2026, actively contribute to Middle East regulatory reporting projects by supporting requirement analysis, report development, testing, and validation activities, ensuring timely completion of assigned deliverables and successful project execution.</t>
        </is>
      </c>
      <c r="EG227" s="53" t="inlineStr">
        <is>
          <t>1. Organize and conduct bi-weekly knowledge-sharing sessions for Business Analysts on EBR solution error handling, validations, and troubleshooting techniques to reduce dependency on specific individuals, improve team capability.
2.Continue to support business leads in EBR product demonstrations, client discussions, workshops, and requirement clarification activities to facilitate successful client engagements and new business opportunities.
3. Ensure successful development, testing, and delivery of the Bank of Baroda customization requirements by the second week of July 2026, achieving all project milestones and obtaining formal client sign-off on the delivered solution.
4. Ensure and track the team for timely delivery of all CIC reporting solution Aug 2026.</t>
        </is>
      </c>
      <c r="EH227" s="53" t="n">
        <v>4</v>
      </c>
      <c r="EI227" s="54" t="n">
        <v>45931</v>
      </c>
      <c r="EJ227" s="53" t="inlineStr">
        <is>
          <t>Same as current designation</t>
        </is>
      </c>
      <c r="EK227" s="53" t="inlineStr">
        <is>
          <t>No</t>
        </is>
      </c>
      <c r="EL227" s="53" t="n">
        <v>4</v>
      </c>
      <c r="EM227" s="53" t="inlineStr">
        <is>
          <t>High</t>
        </is>
      </c>
      <c r="EN227" s="53" t="inlineStr">
        <is>
          <t>High Impact / Growth Talent</t>
        </is>
      </c>
      <c r="EO227" s="53" t="inlineStr">
        <is>
          <t>Ready in 12 Months</t>
        </is>
      </c>
      <c r="EP227" s="53" t="inlineStr">
        <is>
          <t>No</t>
        </is>
      </c>
      <c r="EQ227" s="53" t="inlineStr">
        <is>
          <t>Yes</t>
        </is>
      </c>
      <c r="ER227" s="53" t="n"/>
      <c r="ES227" s="53" t="inlineStr">
        <is>
          <t>Training on the effective utilization of AI tools.</t>
        </is>
      </c>
      <c r="ET227" s="53" t="n"/>
      <c r="EU227" s="53" t="n"/>
      <c r="EV227" s="53" t="n"/>
      <c r="EW227" s="52" t="n"/>
      <c r="EX227" s="53" t="n"/>
      <c r="EY227" s="53" t="n"/>
      <c r="EZ227" s="53" t="n"/>
      <c r="FA227" s="53" t="n"/>
      <c r="FB227" s="53" t="n"/>
      <c r="FC227" s="53" t="n"/>
      <c r="FD227" s="53" t="n"/>
      <c r="FE227" s="57" t="inlineStr">
        <is>
          <t>1. Lead the end-to-end delivery of the EBR solution by ensuring all RBI-released SDMX reports are analysed, prioritized, developed, tested, and delivered to customers within regulatory timelines while maintaining high quality and with zero defects at client end.
2. Drive the implementation, testing, and rollout of all RBI-prescribed SDMX validations within the IRIS iDEAL EBR solution by July 2026 and ensure successful deployment to all EBR customers by the first week of August 2026.
3. Establish a proactive coordination process with the internal RBI EBR team to monitor RBI SDMX releases, regulatory changes, and validation updates, ensuring that no regulatory update is missed or delayed. Ensure timely impact assessment and implementation of all changes with 100% adherence to regulatory timelines.
4.Support business leads in EBR product demonstrations, client discussions, requirement analysis, and requirement clarification activities, ensuring responses and support are provided within one business day of receiving the client request.
5. By September 2026, actively contribute to Middle East regulatory reporting projects by supporting requirement analysis, report development, testing, and validation activities, ensuring timely completion of assigned deliverables and successful project execution.</t>
        </is>
      </c>
      <c r="FF227" s="56" t="inlineStr">
        <is>
          <t>1. Organize and conduct bi-weekly knowledge-sharing sessions for Business Analysts on EBR solution error handling, validations, and troubleshooting techniques to reduce dependency on specific individuals, improve team capability.
2.Continue to support business leads in EBR product demonstrations, client discussions, workshops, and requirement clarification activities to facilitate successful client engagements and new business opportunities.
3. Ensure successful development, testing, and delivery of the Bank of Baroda customization requirements by the second week of July 2026, achieving all project milestones and obtaining formal client sign-off on the delivered solution.
4. Ensure and track the team for timely delivery of all CIC reporting solution Aug 2026.</t>
        </is>
      </c>
      <c r="FG227" s="56" t="inlineStr">
        <is>
          <t>1. Successfully drive the implementation and closure of the EBR reporting solution for all banks across India covered under the EBR reporting mandate.
2. Establish Scrum Practices and Strengthen Agile Project: Drive the adoption of Scrum practices within the team by implementing a structured Scrum board for project planning and tracking, ensuring effective collaboration, transparency, and timely delivery across Business Analysis, Development, QA, and Deployment teams
3. Product Strategy &amp; Innovation: Drive continuous improvement of the iDEAL platform by identifying product enhancements, standardizing client requirements, and contributing to the product roadmap. Involved in gathering client feedback, coordinating the development of enhancements, and ensuring the successful testing, release, and deployment of upgraded product versions.
4. Build a Self-Sufficient and High-Performing Team
 - Develop a team that can independently manage client engagements with minimal escalations. 
 - Conduct training sessions for new joiners and trainees on client deployments, user training, application walkthroughs, and product demonstrations. 
 - Mentor team members on handling client queries, resolving issues, and managing client interactions confidently. 
 - Provide training on error analysis, patch preparation, testing, and deployment activities. 
 - Guide team members to independently manage end-to-end client implementations and support activities while maintaining high quality and customer satisfaction.
5. PMP Certification: Successfully pass and clear the PMP certification exam by September 30, 2026, applying advanced project management frameworks directly to active team workflows.
6. Increase Involvement in Qatar Regulatory Reporting: Develop end-to-end expertise in Qatar Regulatory Reporting and the iDEAL platform by actively participating in requirement gathering, report development, testing, deployment, and client delivery activities. Strengthen presentation, communication, and stakeholder management skills to independently manage the complete project lifecycle, deliver client demonstrations, address client queries, and ensure successful project implementations.</t>
        </is>
      </c>
      <c r="FH227" s="56" t="inlineStr">
        <is>
          <t>4</t>
        </is>
      </c>
      <c r="FI227" s="56" t="n"/>
      <c r="FJ227" s="56" t="inlineStr">
        <is>
          <t>Received · manager annual, quarterly, self</t>
        </is>
      </c>
      <c r="FK227" s="56" t="inlineStr">
        <is>
          <t>Talent Mapping · iDEAL</t>
        </is>
      </c>
      <c r="FL227" s="56" t="n">
        <v>20</v>
      </c>
      <c r="FM227" s="32" t="inlineStr">
        <is>
          <t>Full survey answers not in the files received · How We Grow export needed · HR</t>
        </is>
      </c>
      <c r="FN227" s="56" t="inlineStr">
        <is>
          <t>—</t>
        </is>
      </c>
      <c r="FO227" s="56" t="inlineStr">
        <is>
          <t>—</t>
        </is>
      </c>
      <c r="FP227" s="56" t="inlineStr">
        <is>
          <t>—</t>
        </is>
      </c>
      <c r="FQ227" s="56" t="inlineStr">
        <is>
          <t>—</t>
        </is>
      </c>
      <c r="FR227" s="56" t="inlineStr">
        <is>
          <t>Complexity: Evidence reads like B1: RBI regulatory reporting and iDEAL expertise; feasibility assessment, BRD/FSD, validation rules, UAT → matches the start
Autonomy: Evidence reads like B1: Decides whether requirements fit standard product or need customisation, effort and cost → matches the start
Accountability: Evidence reads like B1: Requirement quality, functional solution, sign-offs and end-to-end delivery coordination for bank implementations → matches the start
Leadership: Evidence reads like B1: 4 direct reports; manager note expects building a self-sufficient team → matches the start
Business Impact: Moved +0.5: the survey / manager mapping marks it business-critical.</t>
        </is>
      </c>
      <c r="FS227" s="56" t="inlineStr">
        <is>
          <t>Common themes in sub-family holders, all levels' answers: business · requirements · bridge · analyst · between · technical
Common themes in sub-family holders, all levels' answers: requirement · documentation · stakeholder · client · gathering · analysis
Common themes in sub-family holders, all levels' answers: product · user stories · requirements · process · client · deliver
Common themes in sub-family holders, all levels' answers: requirements · accountable · documentation · delivery · am · business
Common themes in sub-family holders, all levels' answers: requirements · user · documentation · process · stories · assign
If the work is missed · role-holders' themes: client · rework · delays.
Measured on · manager-set KRA themes: client · first · quality · contribute · update · establish.</t>
        </is>
      </c>
      <c r="FT227" s="56" t="inlineStr">
        <is>
          <t>Self-identified: Project / programme management · Product &amp; tool knowledge · Certification / formal course
For the next role: Project / programme management · Product &amp; tool knowledge · Client, sales &amp; stakeholders · Certification / formal course · Broader exposure &amp; ownership</t>
        </is>
      </c>
      <c r="FU227" s="32" t="inlineStr">
        <is>
          <t>Full survey answers not in the files received · How We Grow export needed · HR</t>
        </is>
      </c>
    </row>
    <row r="228" ht="90" customHeight="1">
      <c r="A228" s="51" t="inlineStr">
        <is>
          <t>◂ Back</t>
        </is>
      </c>
      <c r="B228" s="29" t="inlineStr">
        <is>
          <t>Mapped</t>
        </is>
      </c>
      <c r="C228" s="28" t="inlineStr">
        <is>
          <t>iDEAL</t>
        </is>
      </c>
      <c r="D228" s="29" t="inlineStr">
        <is>
          <t>IRIS2536</t>
        </is>
      </c>
      <c r="E228" s="29" t="inlineStr">
        <is>
          <t>Mohin Patel</t>
        </is>
      </c>
      <c r="F228" s="29" t="inlineStr">
        <is>
          <t>Technology</t>
        </is>
      </c>
      <c r="G228" s="29" t="inlineStr">
        <is>
          <t>Business Analyst</t>
        </is>
      </c>
      <c r="H228" s="29" t="inlineStr">
        <is>
          <t>Senior Business Analyst</t>
        </is>
      </c>
      <c r="I228" s="29" t="inlineStr">
        <is>
          <t>L3 – Professional / Associate</t>
        </is>
      </c>
      <c r="J228" s="29" t="inlineStr">
        <is>
          <t>A3</t>
        </is>
      </c>
      <c r="K228" s="29" t="inlineStr">
        <is>
          <t>▲ Up</t>
        </is>
      </c>
      <c r="L228" s="29" t="inlineStr">
        <is>
          <t>Business Analysis</t>
        </is>
      </c>
      <c r="M228" s="29" t="inlineStr">
        <is>
          <t>Business Analysis</t>
        </is>
      </c>
      <c r="N228" s="29" t="n"/>
      <c r="O228" s="29" t="n">
        <v>20</v>
      </c>
      <c r="P228" s="28" t="inlineStr">
        <is>
          <t>P2</t>
        </is>
      </c>
      <c r="Q228" s="29" t="inlineStr">
        <is>
          <t>Developing</t>
        </is>
      </c>
      <c r="R228" s="29" t="inlineStr">
        <is>
          <t>3 Apply</t>
        </is>
      </c>
      <c r="S228" s="29" t="inlineStr">
        <is>
          <t>2–4 yrs</t>
        </is>
      </c>
      <c r="T228" s="29" t="inlineStr">
        <is>
          <t>3–5 · 2–5</t>
        </is>
      </c>
      <c r="U228" s="29" t="inlineStr">
        <is>
          <t>Business Analyst</t>
        </is>
      </c>
      <c r="V228" s="29" t="inlineStr">
        <is>
          <t>Regnology — regulatory reporting: Junior BA · Reg Reporting · Big Four consulting: Consultant · IRIS Vs Market Benchmark — IIBA certification pathway: ECBA · Infosys / Accenture: JL3A · L10 Senior Analyst</t>
        </is>
      </c>
      <c r="W228" s="29" t="inlineStr">
        <is>
          <t>IIBA BABOK v3; certifications ECBA · entry → CCBA → CBAP · senior</t>
        </is>
      </c>
      <c r="X228" s="29" t="inlineStr">
        <is>
          <t>Core 2 · Future 2 · Functional 3 · Leadership not scored</t>
        </is>
      </c>
      <c r="Y228" s="52" t="n">
        <v>509</v>
      </c>
      <c r="Z228" s="53" t="inlineStr">
        <is>
          <t>IRIS2536</t>
        </is>
      </c>
      <c r="AA228" s="53" t="inlineStr">
        <is>
          <t>Employee</t>
        </is>
      </c>
      <c r="AB228" s="53" t="inlineStr">
        <is>
          <t>Active</t>
        </is>
      </c>
      <c r="AC228" s="53" t="inlineStr">
        <is>
          <t>Mohin Patel</t>
        </is>
      </c>
      <c r="AD228" s="54" t="n">
        <v>46181</v>
      </c>
      <c r="AE228" s="53" t="inlineStr">
        <is>
          <t>Business Analyst</t>
        </is>
      </c>
      <c r="AF228" s="53" t="inlineStr">
        <is>
          <t>B.E</t>
        </is>
      </c>
      <c r="AG228" s="53" t="inlineStr">
        <is>
          <t>Aroosa Ghole</t>
        </is>
      </c>
      <c r="AH228" s="53" t="inlineStr">
        <is>
          <t>N-4</t>
        </is>
      </c>
      <c r="AI228" s="53" t="inlineStr">
        <is>
          <t>Individual Contributor</t>
        </is>
      </c>
      <c r="AJ228" s="53" t="inlineStr">
        <is>
          <t>2 years, 5 months, 00 days</t>
        </is>
      </c>
      <c r="AK228" s="53" t="inlineStr">
        <is>
          <t>0 years, 2 months, 17 days</t>
        </is>
      </c>
      <c r="AL228" s="53" t="inlineStr">
        <is>
          <t>Regtech</t>
        </is>
      </c>
      <c r="AM228" s="53" t="inlineStr">
        <is>
          <t>iDEAL</t>
        </is>
      </c>
      <c r="AN228" s="53" t="inlineStr">
        <is>
          <t>Technology</t>
        </is>
      </c>
      <c r="AO228" s="53" t="inlineStr">
        <is>
          <t>Development</t>
        </is>
      </c>
      <c r="AP228" s="53" t="inlineStr">
        <is>
          <t>Yes</t>
        </is>
      </c>
      <c r="AQ228" s="53" t="inlineStr">
        <is>
          <t>Product/Project</t>
        </is>
      </c>
      <c r="AR228" s="53" t="n"/>
      <c r="AS228" s="53" t="inlineStr">
        <is>
          <t>Technical - Developer</t>
        </is>
      </c>
      <c r="AT228" s="53" t="n">
        <v>20</v>
      </c>
      <c r="AU228" s="53" t="inlineStr">
        <is>
          <t>Covered</t>
        </is>
      </c>
      <c r="AV228" s="53" t="n"/>
      <c r="AW228" s="53" t="n"/>
      <c r="AX228" s="53" t="n"/>
      <c r="AY228" s="53" t="n"/>
      <c r="AZ228" s="53" t="n"/>
      <c r="BA228" s="53" t="n"/>
      <c r="BB228" s="53" t="n"/>
      <c r="BC228" s="53" t="n"/>
      <c r="BD228" s="53" t="n"/>
      <c r="BE228" s="53" t="n"/>
      <c r="BF228" s="53" t="n"/>
      <c r="BG228" s="53" t="n"/>
      <c r="BH228" s="53" t="n"/>
      <c r="BI228" s="53" t="n"/>
      <c r="BJ228" s="53" t="n"/>
      <c r="BK228" s="53" t="n"/>
      <c r="BL228" s="53" t="n"/>
      <c r="BM228" s="53" t="n"/>
      <c r="BN228" s="53" t="n"/>
      <c r="BO228" s="53" t="n"/>
      <c r="BP228" s="53" t="n"/>
      <c r="BQ228" s="53" t="n"/>
      <c r="BR228" s="53" t="n"/>
      <c r="BS228" s="53" t="n"/>
      <c r="BT228" s="53" t="n"/>
      <c r="BU228" s="53" t="n"/>
      <c r="BV228" s="53" t="n"/>
      <c r="BW228" s="53" t="n"/>
      <c r="BX228" s="53" t="n"/>
      <c r="BY228" s="53" t="n"/>
      <c r="BZ228" s="53" t="n"/>
      <c r="CA228" s="53" t="n"/>
      <c r="CB228" s="53" t="n"/>
      <c r="CC228" s="53" t="n"/>
      <c r="CD228" s="53" t="n"/>
      <c r="CE228" s="53" t="n"/>
      <c r="CF228" s="53" t="n"/>
      <c r="CG228" s="53" t="n"/>
      <c r="CH228" s="53" t="n"/>
      <c r="CI228" s="53" t="n"/>
      <c r="CJ228" s="53" t="n"/>
      <c r="CK228" s="53" t="n"/>
      <c r="CL228" s="53" t="n"/>
      <c r="CM228" s="53" t="n"/>
      <c r="CN228" s="53" t="n"/>
      <c r="CO228" s="53" t="n"/>
      <c r="CP228" s="53" t="n"/>
      <c r="CQ228" s="53" t="n"/>
      <c r="CR228" s="53" t="n"/>
      <c r="CS228" s="53" t="n"/>
      <c r="CT228" s="53" t="n"/>
      <c r="CU228" s="53" t="n"/>
      <c r="CV228" s="53" t="n"/>
      <c r="CW228" s="53" t="n"/>
      <c r="CX228" s="53" t="n"/>
      <c r="CY228" s="53" t="n"/>
      <c r="CZ228" s="53" t="n"/>
      <c r="DA228" s="53" t="n"/>
      <c r="DB228" s="53" t="n"/>
      <c r="DC228" s="53" t="n"/>
      <c r="DD228" s="53" t="inlineStr">
        <is>
          <t>IRIS2536</t>
        </is>
      </c>
      <c r="DE228" s="53" t="inlineStr">
        <is>
          <t>Employee</t>
        </is>
      </c>
      <c r="DF228" s="53" t="inlineStr">
        <is>
          <t>Active</t>
        </is>
      </c>
      <c r="DG228" s="53" t="inlineStr">
        <is>
          <t>Mohin Patel</t>
        </is>
      </c>
      <c r="DH228" s="54" t="n">
        <v>46181</v>
      </c>
      <c r="DI228" s="53" t="inlineStr">
        <is>
          <t>Business Analyst</t>
        </is>
      </c>
      <c r="DJ228" s="53" t="inlineStr">
        <is>
          <t>Business Analysis</t>
        </is>
      </c>
      <c r="DK228" s="53" t="inlineStr">
        <is>
          <t>Business / Functional Analysis</t>
        </is>
      </c>
      <c r="DL228" s="53" t="inlineStr">
        <is>
          <t>Business Analyst</t>
        </is>
      </c>
      <c r="DM228" s="53" t="inlineStr">
        <is>
          <t>L3 – Professional / Associate</t>
        </is>
      </c>
      <c r="DN228" s="53" t="inlineStr">
        <is>
          <t>Business Analysis</t>
        </is>
      </c>
      <c r="DO228" s="53" t="inlineStr">
        <is>
          <t>Technical · BA, PM and QA</t>
        </is>
      </c>
      <c r="DP228" s="53" t="inlineStr">
        <is>
          <t>Work From Office - Turbhe</t>
        </is>
      </c>
      <c r="DQ228" s="53" t="inlineStr">
        <is>
          <t>Individual Contributor</t>
        </is>
      </c>
      <c r="DR228" s="53" t="inlineStr">
        <is>
          <t>4 years, 0 months, 0 days</t>
        </is>
      </c>
      <c r="DS228" s="53" t="inlineStr">
        <is>
          <t>2 years, 2 months, 12 days</t>
        </is>
      </c>
      <c r="DT228" s="53" t="inlineStr">
        <is>
          <t>6 years, 2 months, 12 days</t>
        </is>
      </c>
      <c r="DU228" s="53" t="n"/>
      <c r="DV228" s="53" t="inlineStr">
        <is>
          <t>Regtech</t>
        </is>
      </c>
      <c r="DW228" s="53" t="inlineStr">
        <is>
          <t>iDEAL</t>
        </is>
      </c>
      <c r="DX228" s="53" t="inlineStr">
        <is>
          <t>Technology</t>
        </is>
      </c>
      <c r="DY228" s="53" t="inlineStr">
        <is>
          <t>Business Analysis</t>
        </is>
      </c>
      <c r="DZ228" s="53" t="inlineStr">
        <is>
          <t>No</t>
        </is>
      </c>
      <c r="EA228" s="53" t="inlineStr">
        <is>
          <t>Product/Project</t>
        </is>
      </c>
      <c r="EB228" s="53" t="inlineStr">
        <is>
          <t>Business Analysis</t>
        </is>
      </c>
      <c r="EC228" s="53" t="inlineStr">
        <is>
          <t>Technical · BA, PM and QA</t>
        </is>
      </c>
      <c r="ED228" s="53" t="inlineStr">
        <is>
          <t>Remote - Mumbai</t>
        </is>
      </c>
      <c r="EE228" s="53" t="inlineStr">
        <is>
          <t>1. Gain End-to-End Ownership of Assigned Portfolio: Develop a strong understanding of the assigned portfolio and become capable of independently handling business analysis activities, including requirement gathering, documentation, testing coordination, client communication, and delivery support.
2. Strengthen Business Analysis and Documentation Skills: Enhance Business Analysis skills by independently preparing and managing project documents such as BRDs,  MoMs, requirement documents, user stories, process flows, and UAT sign-offs with minimal supervision.
3. Build Functional and Technical Expertise: Develop strong functional knowledge of the iDEAL product, regulatory reporting, and banking domain while improving technical understanding of SQL, databases, and system workflows to support better requirement analysis and solution design.
4. Improve Stakeholder Communication and Collaboration: Strengthen communication and collaboration skills by actively participating in client discussions, internal meetings, cross-functional coordination, and providing timely project updates.
5. Deliver Quality Outcomes with Continuous Learning: Ensure timely delivery of assigned tasks with high quality standards while continuously improving problem-solving ability, analytical thinking, and domain knowledge.</t>
        </is>
      </c>
      <c r="EF228" s="53" t="inlineStr">
        <is>
          <t>1. By the end of July 2026, develop an in-depth understanding of the iDEAL product, business processes, and regulatory reporting framework to independently analyse client requirements, provide functional support, and contribute effectively to project delivery.
2. Gain expertise in independently handling client issues, support activities, and regulatory reporting domain knowledge with minimal supervision by September 2026.
3. Conduct knowledge-sharing sessions with bank users on interpreting and resolving common validation and business errors directly at the bank level, reducing dependency on the IRIS support team. This objective should be achieved by September 2026.
4. Develop expertise in onboarding and supporting Database and EBR clients, in addition to the Excel-based clients currently being managed, to expand domain knowledge and independently handle Database reports · clients by October 2026.</t>
        </is>
      </c>
      <c r="EG228" s="53" t="inlineStr">
        <is>
          <t>1. Acquire in-depth knowledge of EBR SDMX reports, validations, and implementation processes to independently provide effective client support for assigned clients by Sep 2026.
2. Put additional effort into understanding client issues for CIMS RBR reporting and demonstrate independent ownership of the assigned client portfolio by Sep 2026.
3.  Effectively manage the assigned portfolio of banks independently  while maintaining 100% customer satisfaction with zero critical escalations.</t>
        </is>
      </c>
      <c r="EH228" s="53" t="n">
        <v>2</v>
      </c>
      <c r="EI228" s="54" t="n">
        <v>45931</v>
      </c>
      <c r="EJ228" s="53" t="inlineStr">
        <is>
          <t>Same as current designation</t>
        </is>
      </c>
      <c r="EK228" s="53" t="inlineStr">
        <is>
          <t>No</t>
        </is>
      </c>
      <c r="EL228" s="53" t="n">
        <v>3</v>
      </c>
      <c r="EM228" s="53" t="inlineStr">
        <is>
          <t>Medium</t>
        </is>
      </c>
      <c r="EN228" s="53" t="inlineStr">
        <is>
          <t>Core Contributor</t>
        </is>
      </c>
      <c r="EO228" s="53" t="inlineStr">
        <is>
          <t>Not Ready</t>
        </is>
      </c>
      <c r="EP228" s="53" t="inlineStr">
        <is>
          <t>No</t>
        </is>
      </c>
      <c r="EQ228" s="53" t="inlineStr">
        <is>
          <t>No</t>
        </is>
      </c>
      <c r="ER228" s="53" t="n"/>
      <c r="ES228" s="53" t="inlineStr">
        <is>
          <t>XBRL Training, Training on the effective utilization of AI tools.</t>
        </is>
      </c>
      <c r="ET228" s="53" t="n"/>
      <c r="EU228" s="53" t="n"/>
      <c r="EV228" s="53" t="n"/>
      <c r="EW228" s="52" t="n"/>
      <c r="EX228" s="53" t="n"/>
      <c r="EY228" s="53" t="n"/>
      <c r="EZ228" s="53" t="n"/>
      <c r="FA228" s="53" t="n"/>
      <c r="FB228" s="53" t="n"/>
      <c r="FC228" s="53" t="n"/>
      <c r="FD228" s="53" t="n"/>
      <c r="FE228" s="57" t="inlineStr">
        <is>
          <t>1. By the end of July 2026, develop an in-depth understanding of the iDEAL product, business processes, and regulatory reporting framework to independently analyse client requirements, provide functional support, and contribute effectively to project delivery.
2. Gain expertise in independently handling client issues, support activities, and regulatory reporting domain knowledge with minimal supervision by September 2026.
3. Conduct knowledge-sharing sessions with bank users on interpreting and resolving common validation and business errors directly at the bank level, reducing dependency on the IRIS support team. This objective should be achieved by September 2026.
4. Develop expertise in onboarding and supporting Database and EBR clients, in addition to the Excel-based clients currently being managed, to expand domain knowledge and independently handle Database reports · clients by October 2026.</t>
        </is>
      </c>
      <c r="FF228" s="56" t="inlineStr">
        <is>
          <t>1. Acquire in-depth knowledge of EBR SDMX reports, validations, and implementation processes to independently provide effective client support for assigned clients by Sep 2026.
2. Put additional effort into understanding client issues for CIMS RBR reporting and demonstrate independent ownership of the assigned client portfolio by Sep 2026.
3.  Effectively manage the assigned portfolio of banks independently  while maintaining 100% customer satisfaction with zero critical escalations.</t>
        </is>
      </c>
      <c r="FG228" s="56" t="inlineStr">
        <is>
          <t>1. Gain End-to-End Ownership of Assigned Portfolio: Develop a strong understanding of the assigned portfolio and become capable of independently handling business analysis activities, including requirement gathering, documentation, testing coordination, client communication, and delivery support.
2. Strengthen Business Analysis and Documentation Skills: Enhance Business Analysis skills by independently preparing and managing project documents such as BRDs,  MoMs, requirement documents, user stories, process flows, and UAT sign-offs with minimal supervision.
3. Build Functional and Technical Expertise: Develop strong functional knowledge of the iDEAL product, regulatory reporting, and banking domain while improving technical understanding of SQL, databases, and system workflows to support better requirement analysis and solution design.
4. Improve Stakeholder Communication and Collaboration: Strengthen communication and collaboration skills by actively participating in client discussions, internal meetings, cross-functional coordination, and providing timely project updates.
5. Deliver Quality Outcomes with Continuous Learning: Ensure timely delivery of assigned tasks with high quality standards while continuously improving problem-solving ability, analytical thinking, and domain knowledge.</t>
        </is>
      </c>
      <c r="FH228" s="56" t="inlineStr">
        <is>
          <t>2</t>
        </is>
      </c>
      <c r="FI228" s="56" t="n"/>
      <c r="FJ228" s="56" t="inlineStr">
        <is>
          <t>Received · manager annual, quarterly, self</t>
        </is>
      </c>
      <c r="FK228" s="56" t="inlineStr">
        <is>
          <t>Talent Mapping · iDEAL</t>
        </is>
      </c>
      <c r="FL228" s="56" t="n">
        <v>20</v>
      </c>
      <c r="FM228" s="32" t="inlineStr">
        <is>
          <t>Full survey answers not in the files received · How We Grow export needed · HR</t>
        </is>
      </c>
      <c r="FN228" s="56" t="inlineStr">
        <is>
          <t>—</t>
        </is>
      </c>
      <c r="FO228" s="56" t="inlineStr">
        <is>
          <t>—</t>
        </is>
      </c>
      <c r="FP228" s="56" t="inlineStr">
        <is>
          <t>—</t>
        </is>
      </c>
      <c r="FQ228" s="56" t="inlineStr">
        <is>
          <t>—</t>
        </is>
      </c>
      <c r="FR228" s="56" t="inlineStr">
        <is>
          <t>Complexity: Evidence reads like A2: Standard BA tasks: documentation, BRD/FRD, requirement gathering, bank support for report generation → moved down 0.5
Autonomy: Evidence reads like A2: Only decides 'documentation'; manager note says still gaining independent handling of portfolio → moved down 0.5
Accountability: Evidence reads like A2: Accountable for starting documentation and enhancement initiatives; escalation if own work missed → moved down 0.5
Leadership: Evidence reads like A1: No guidance or leadership of others described → moved down 0.5
Business Impact: No survey or manager-mapping signal on criticality: kept at the start point.</t>
        </is>
      </c>
      <c r="FS228" s="56" t="inlineStr">
        <is>
          <t>Common themes in role-holders' answers: business · requirements · technical · between · client · understand
Common themes in role-holders' answers: documentation · requirement · client · gathering · coordination · managing
Common themes in role-holders' answers: deliver · product · client · requirement · process · business
Common themes in role-holders' answers: requirements · accountable · delivery · quality · documentation · timely
Common themes in role-holders' answers: documentation · prioritize · user stories · process · project
If the work is missed · role-holders' themes: rework · client.
Measured on · manager-set KRA themes: delivery · assigned · project · requests · satisfaction.</t>
        </is>
      </c>
      <c r="FT228" s="56" t="inlineStr">
        <is>
          <t>Self-identified: Data, SQL &amp; analytics · Strategy &amp; business acumen
For the next role: Data, SQL &amp; analytics · Strategy &amp; business acumen</t>
        </is>
      </c>
      <c r="FU228" s="32" t="inlineStr">
        <is>
          <t>Full survey answers not in the files received · How We Grow export needed · HR</t>
        </is>
      </c>
    </row>
    <row r="229" ht="90" customHeight="1">
      <c r="A229" s="51" t="inlineStr">
        <is>
          <t>◂ Back</t>
        </is>
      </c>
      <c r="B229" s="29" t="inlineStr">
        <is>
          <t>Mapped</t>
        </is>
      </c>
      <c r="C229" s="28" t="inlineStr">
        <is>
          <t>iDEAL</t>
        </is>
      </c>
      <c r="D229" s="29" t="inlineStr">
        <is>
          <t>IRIS2555</t>
        </is>
      </c>
      <c r="E229" s="29" t="inlineStr">
        <is>
          <t>Nidhi Kulkarni</t>
        </is>
      </c>
      <c r="F229" s="29" t="inlineStr">
        <is>
          <t>Technology</t>
        </is>
      </c>
      <c r="G229" s="29" t="inlineStr">
        <is>
          <t>Technical Support Analyst</t>
        </is>
      </c>
      <c r="H229" s="29" t="inlineStr">
        <is>
          <t>Senior Support Executive</t>
        </is>
      </c>
      <c r="I229" s="29" t="inlineStr">
        <is>
          <t>Not in current mapping files</t>
        </is>
      </c>
      <c r="J229" s="29" t="inlineStr">
        <is>
          <t>A3</t>
        </is>
      </c>
      <c r="K229" s="29" t="inlineStr">
        <is>
          <t>● Newly mapped</t>
        </is>
      </c>
      <c r="L229" s="29" t="inlineStr">
        <is>
          <t>Customer Success &amp; Support</t>
        </is>
      </c>
      <c r="M229" s="29" t="inlineStr">
        <is>
          <t>Application &amp; Product Support</t>
        </is>
      </c>
      <c r="N229" s="29" t="inlineStr">
        <is>
          <t>• Total experience · outside + at IRIS — HR — HRIS
• Confirm prior experience · provisional placement — HR</t>
        </is>
      </c>
      <c r="O229" s="29" t="n">
        <v>20</v>
      </c>
      <c r="P229" s="28" t="inlineStr">
        <is>
          <t>P2</t>
        </is>
      </c>
      <c r="Q229" s="29" t="inlineStr">
        <is>
          <t>Developing</t>
        </is>
      </c>
      <c r="R229" s="29" t="inlineStr">
        <is>
          <t>3 Apply</t>
        </is>
      </c>
      <c r="S229" s="29" t="inlineStr">
        <is>
          <t>2–4 yrs</t>
        </is>
      </c>
      <c r="T229" s="29" t="inlineStr">
        <is>
          <t>3–5 · 2–5</t>
        </is>
      </c>
      <c r="U229" s="29" t="inlineStr">
        <is>
          <t>Support / CS Executive</t>
        </is>
      </c>
      <c r="V229" s="29" t="inlineStr">
        <is>
          <t>IRIS Vs Competitor Benchmark — SaaS customer-success ladder: Associate CSM · Regnology: Product Support Specialist · Reg Reporting · IRIS Vs Competitor Benchmark — support tiers: L2 Application Support</t>
        </is>
      </c>
      <c r="W229" s="29" t="inlineStr">
        <is>
          <t>TSIA frameworks and benchmarks; ITIL 4 service desk; Gainsight customer-success practice</t>
        </is>
      </c>
      <c r="X229" s="29" t="inlineStr">
        <is>
          <t>Core 2 · Future 2 · Functional 3 · Leadership not scored</t>
        </is>
      </c>
      <c r="Y229" s="52" t="n">
        <v>528</v>
      </c>
      <c r="Z229" s="53" t="inlineStr">
        <is>
          <t>IRIS2555</t>
        </is>
      </c>
      <c r="AA229" s="53" t="inlineStr">
        <is>
          <t>Employee</t>
        </is>
      </c>
      <c r="AB229" s="53" t="inlineStr">
        <is>
          <t>Active</t>
        </is>
      </c>
      <c r="AC229" s="53" t="inlineStr">
        <is>
          <t>Nidhi Kulkarni</t>
        </is>
      </c>
      <c r="AD229" s="54" t="n">
        <v>46252</v>
      </c>
      <c r="AE229" s="53" t="inlineStr">
        <is>
          <t>Technical Support Analyst</t>
        </is>
      </c>
      <c r="AF229" s="53" t="inlineStr">
        <is>
          <t>B.E</t>
        </is>
      </c>
      <c r="AG229" s="53" t="inlineStr">
        <is>
          <t>Aroosa Ghole</t>
        </is>
      </c>
      <c r="AH229" s="53" t="inlineStr">
        <is>
          <t>N-4</t>
        </is>
      </c>
      <c r="AI229" s="53" t="inlineStr">
        <is>
          <t>Individual Contributor</t>
        </is>
      </c>
      <c r="AJ229" s="53" t="n"/>
      <c r="AK229" s="53" t="inlineStr">
        <is>
          <t>0 years, 0 months, 7 days</t>
        </is>
      </c>
      <c r="AL229" s="53" t="inlineStr">
        <is>
          <t>Regtech</t>
        </is>
      </c>
      <c r="AM229" s="53" t="inlineStr">
        <is>
          <t>iDEAL</t>
        </is>
      </c>
      <c r="AN229" s="53" t="inlineStr">
        <is>
          <t>Technology</t>
        </is>
      </c>
      <c r="AO229" s="53" t="inlineStr">
        <is>
          <t>Development</t>
        </is>
      </c>
      <c r="AP229" s="53" t="inlineStr">
        <is>
          <t>Yes</t>
        </is>
      </c>
      <c r="AQ229" s="53" t="inlineStr">
        <is>
          <t>Product/Project</t>
        </is>
      </c>
      <c r="AR229" s="53" t="inlineStr">
        <is>
          <t>Business Analysis</t>
        </is>
      </c>
      <c r="AS229" s="53" t="inlineStr">
        <is>
          <t>Technical · BA, PM and QA</t>
        </is>
      </c>
      <c r="AT229" s="53" t="n">
        <v>20</v>
      </c>
      <c r="AU229" s="53" t="inlineStr">
        <is>
          <t>Covered</t>
        </is>
      </c>
      <c r="AV229" s="53" t="n"/>
      <c r="AW229" s="53" t="n"/>
      <c r="AX229" s="53" t="n"/>
      <c r="AY229" s="53" t="n"/>
      <c r="AZ229" s="53" t="n"/>
      <c r="BA229" s="53" t="n"/>
      <c r="BB229" s="53" t="n"/>
      <c r="BC229" s="53" t="n"/>
      <c r="BD229" s="53" t="n"/>
      <c r="BE229" s="53" t="n"/>
      <c r="BF229" s="53" t="n"/>
      <c r="BG229" s="53" t="n"/>
      <c r="BH229" s="53" t="n"/>
      <c r="BI229" s="53" t="n"/>
      <c r="BJ229" s="53" t="n"/>
      <c r="BK229" s="53" t="n"/>
      <c r="BL229" s="53" t="n"/>
      <c r="BM229" s="53" t="n"/>
      <c r="BN229" s="53" t="n"/>
      <c r="BO229" s="53" t="n"/>
      <c r="BP229" s="53" t="n"/>
      <c r="BQ229" s="53" t="n"/>
      <c r="BR229" s="53" t="n"/>
      <c r="BS229" s="53" t="n"/>
      <c r="BT229" s="53" t="n"/>
      <c r="BU229" s="53" t="n"/>
      <c r="BV229" s="53" t="n"/>
      <c r="BW229" s="53" t="n"/>
      <c r="BX229" s="53" t="n"/>
      <c r="BY229" s="53" t="n"/>
      <c r="BZ229" s="53" t="n"/>
      <c r="CA229" s="53" t="n"/>
      <c r="CB229" s="53" t="n"/>
      <c r="CC229" s="53" t="n"/>
      <c r="CD229" s="53" t="n"/>
      <c r="CE229" s="53" t="n"/>
      <c r="CF229" s="53" t="n"/>
      <c r="CG229" s="53" t="n"/>
      <c r="CH229" s="53" t="n"/>
      <c r="CI229" s="53" t="n"/>
      <c r="CJ229" s="53" t="n"/>
      <c r="CK229" s="53" t="n"/>
      <c r="CL229" s="53" t="n"/>
      <c r="CM229" s="53" t="n"/>
      <c r="CN229" s="53" t="n"/>
      <c r="CO229" s="53" t="n"/>
      <c r="CP229" s="53" t="n"/>
      <c r="CQ229" s="53" t="n"/>
      <c r="CR229" s="53" t="n"/>
      <c r="CS229" s="53" t="n"/>
      <c r="CT229" s="53" t="n"/>
      <c r="CU229" s="53" t="n"/>
      <c r="CV229" s="53" t="n"/>
      <c r="CW229" s="53" t="n"/>
      <c r="CX229" s="53" t="n"/>
      <c r="CY229" s="53" t="n"/>
      <c r="CZ229" s="53" t="n"/>
      <c r="DA229" s="53" t="n"/>
      <c r="DB229" s="53" t="n"/>
      <c r="DC229" s="53" t="n"/>
      <c r="DD229" s="53" t="n"/>
      <c r="DE229" s="53" t="n"/>
      <c r="DF229" s="53" t="n"/>
      <c r="DG229" s="53" t="n"/>
      <c r="DH229" s="53" t="n"/>
      <c r="DI229" s="53" t="n"/>
      <c r="DJ229" s="53" t="n"/>
      <c r="DK229" s="53" t="n"/>
      <c r="DL229" s="53" t="n"/>
      <c r="DM229" s="53" t="n"/>
      <c r="DN229" s="53" t="n"/>
      <c r="DO229" s="53" t="n"/>
      <c r="DP229" s="53" t="n"/>
      <c r="DQ229" s="53" t="n"/>
      <c r="DR229" s="53" t="n"/>
      <c r="DS229" s="53" t="n"/>
      <c r="DT229" s="53" t="n"/>
      <c r="DU229" s="53" t="n"/>
      <c r="DV229" s="53" t="n"/>
      <c r="DW229" s="53" t="n"/>
      <c r="DX229" s="53" t="n"/>
      <c r="DY229" s="53" t="n"/>
      <c r="DZ229" s="53" t="n"/>
      <c r="EA229" s="53" t="n"/>
      <c r="EB229" s="53" t="n"/>
      <c r="EC229" s="53" t="n"/>
      <c r="ED229" s="53" t="n"/>
      <c r="EE229" s="53" t="n"/>
      <c r="EF229" s="53" t="n"/>
      <c r="EG229" s="53" t="n"/>
      <c r="EH229" s="53" t="n"/>
      <c r="EI229" s="53" t="n"/>
      <c r="EJ229" s="53" t="n"/>
      <c r="EK229" s="53" t="n"/>
      <c r="EL229" s="53" t="n"/>
      <c r="EM229" s="53" t="n"/>
      <c r="EN229" s="53" t="n"/>
      <c r="EO229" s="53" t="n"/>
      <c r="EP229" s="53" t="n"/>
      <c r="EQ229" s="53" t="n"/>
      <c r="ER229" s="53" t="n"/>
      <c r="ES229" s="53" t="n"/>
      <c r="ET229" s="53" t="n"/>
      <c r="EU229" s="53" t="n"/>
      <c r="EV229" s="53" t="n"/>
      <c r="EW229" s="52" t="n"/>
      <c r="EX229" s="53" t="n"/>
      <c r="EY229" s="53" t="n"/>
      <c r="EZ229" s="53" t="n"/>
      <c r="FA229" s="53" t="n"/>
      <c r="FB229" s="53" t="n"/>
      <c r="FC229" s="53" t="n"/>
      <c r="FD229" s="53" t="n"/>
      <c r="FE229" s="55" t="inlineStr">
        <is>
          <t>KRAs not received · manager to supply</t>
        </is>
      </c>
      <c r="FF229" s="56" t="n"/>
      <c r="FG229" s="56" t="n"/>
      <c r="FH229" s="56" t="n"/>
      <c r="FI229" s="56" t="n"/>
      <c r="FJ229" s="32" t="inlineStr">
        <is>
          <t>KRAs not received · manager to supply</t>
        </is>
      </c>
      <c r="FK229" s="56" t="n"/>
      <c r="FL229" s="56" t="n">
        <v>20</v>
      </c>
      <c r="FM229" s="32" t="inlineStr">
        <is>
          <t>Full survey answers not in the files received · How We Grow export needed · HR</t>
        </is>
      </c>
      <c r="FN229" s="56" t="inlineStr">
        <is>
          <t>—</t>
        </is>
      </c>
      <c r="FO229" s="56" t="inlineStr">
        <is>
          <t>—</t>
        </is>
      </c>
      <c r="FP229" s="56" t="inlineStr">
        <is>
          <t>—</t>
        </is>
      </c>
      <c r="FQ229" s="56" t="inlineStr">
        <is>
          <t>—</t>
        </is>
      </c>
      <c r="FR229" s="56" t="inlineStr">
        <is>
          <t>Complexity: Evidence reads like A2: Routine client support: error solving, documentation, coordination so report filing goes through → moved down 0.5
Autonomy: Evidence reads like A2: Only documentation named as an independent decision → moved down 0.5
Accountability: Evidence reads like A2: Delivering correct kits for the reports clients ask for → moved down 0.5
Leadership: Evidence reads like A1: None described → moved down 0.5</t>
        </is>
      </c>
      <c r="FS229" s="56"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FT229" s="56" t="inlineStr">
        <is>
          <t>Self-identified: Project / programme management · Broader exposure &amp; ownership
For the next role: Project / programme management · Broader exposure &amp; ownership</t>
        </is>
      </c>
      <c r="FU229" s="32" t="inlineStr">
        <is>
          <t>Full survey answers not in the files received · How We Grow export needed · HR</t>
        </is>
      </c>
    </row>
    <row r="230" ht="90" customHeight="1">
      <c r="A230" s="51" t="inlineStr">
        <is>
          <t>◂ Back</t>
        </is>
      </c>
      <c r="B230" s="29" t="inlineStr">
        <is>
          <t>Mapped</t>
        </is>
      </c>
      <c r="C230" s="28" t="inlineStr">
        <is>
          <t>iDEAL</t>
        </is>
      </c>
      <c r="D230" s="29" t="inlineStr">
        <is>
          <t>IRIS2310</t>
        </is>
      </c>
      <c r="E230" s="29" t="inlineStr">
        <is>
          <t>Vivek Kumar</t>
        </is>
      </c>
      <c r="F230" s="29" t="inlineStr">
        <is>
          <t>Technology</t>
        </is>
      </c>
      <c r="G230" s="29" t="inlineStr">
        <is>
          <t>Trainee Business Analyst</t>
        </is>
      </c>
      <c r="H230" s="29" t="inlineStr">
        <is>
          <t>Senior Business Analyst</t>
        </is>
      </c>
      <c r="I230" s="29" t="inlineStr">
        <is>
          <t>L2 – Trainee</t>
        </is>
      </c>
      <c r="J230" s="29" t="inlineStr">
        <is>
          <t>A3</t>
        </is>
      </c>
      <c r="K230" s="29" t="inlineStr">
        <is>
          <t>▲ Up</t>
        </is>
      </c>
      <c r="L230" s="29" t="inlineStr">
        <is>
          <t>Business Analysis</t>
        </is>
      </c>
      <c r="M230" s="29" t="inlineStr">
        <is>
          <t>Business Analysis</t>
        </is>
      </c>
      <c r="N230" s="29" t="n"/>
      <c r="O230" s="29" t="n">
        <v>20</v>
      </c>
      <c r="P230" s="28" t="inlineStr">
        <is>
          <t>P2</t>
        </is>
      </c>
      <c r="Q230" s="29" t="inlineStr">
        <is>
          <t>Developing</t>
        </is>
      </c>
      <c r="R230" s="29" t="inlineStr">
        <is>
          <t>3 Apply</t>
        </is>
      </c>
      <c r="S230" s="29" t="inlineStr">
        <is>
          <t>2–4 yrs</t>
        </is>
      </c>
      <c r="T230" s="29" t="inlineStr">
        <is>
          <t>3–5 · 2–5</t>
        </is>
      </c>
      <c r="U230" s="29" t="inlineStr">
        <is>
          <t>Business Analyst</t>
        </is>
      </c>
      <c r="V230" s="29" t="inlineStr">
        <is>
          <t>Regnology — regulatory reporting: Junior BA · Reg Reporting · Big Four consulting: Consultant · IRIS Vs Market Benchmark — IIBA certification pathway: ECBA · Infosys / Accenture: JL3A · L10 Senior Analyst</t>
        </is>
      </c>
      <c r="W230" s="29" t="inlineStr">
        <is>
          <t>IIBA BABOK v3; certifications ECBA · entry → CCBA → CBAP · senior</t>
        </is>
      </c>
      <c r="X230" s="29" t="inlineStr">
        <is>
          <t>Core 2 · Future 2 · Functional 3 · Leadership not scored</t>
        </is>
      </c>
      <c r="Y230" s="52" t="n">
        <v>344</v>
      </c>
      <c r="Z230" s="53" t="inlineStr">
        <is>
          <t>IRIS2310</t>
        </is>
      </c>
      <c r="AA230" s="53" t="inlineStr">
        <is>
          <t>Employee</t>
        </is>
      </c>
      <c r="AB230" s="53" t="inlineStr">
        <is>
          <t>Active</t>
        </is>
      </c>
      <c r="AC230" s="53" t="inlineStr">
        <is>
          <t>Vivek Kumar</t>
        </is>
      </c>
      <c r="AD230" s="54" t="n">
        <v>45558</v>
      </c>
      <c r="AE230" s="53" t="inlineStr">
        <is>
          <t>Trainee Business Analyst</t>
        </is>
      </c>
      <c r="AF230" s="53" t="inlineStr">
        <is>
          <t>BBA</t>
        </is>
      </c>
      <c r="AG230" s="53" t="inlineStr">
        <is>
          <t>Aroosa Ghole</t>
        </is>
      </c>
      <c r="AH230" s="53" t="inlineStr">
        <is>
          <t>N-4</t>
        </is>
      </c>
      <c r="AI230" s="53" t="inlineStr">
        <is>
          <t>Individual Contributor</t>
        </is>
      </c>
      <c r="AJ230" s="53" t="inlineStr">
        <is>
          <t>1 years, 1 months, 0 days</t>
        </is>
      </c>
      <c r="AK230" s="53" t="inlineStr">
        <is>
          <t>1 years, 11 months, 2 days</t>
        </is>
      </c>
      <c r="AL230" s="53" t="inlineStr">
        <is>
          <t>Regtech</t>
        </is>
      </c>
      <c r="AM230" s="53" t="inlineStr">
        <is>
          <t>iDEAL</t>
        </is>
      </c>
      <c r="AN230" s="53" t="inlineStr">
        <is>
          <t>Technology</t>
        </is>
      </c>
      <c r="AO230" s="53" t="inlineStr">
        <is>
          <t>Business Analysis</t>
        </is>
      </c>
      <c r="AP230" s="53" t="inlineStr">
        <is>
          <t>No</t>
        </is>
      </c>
      <c r="AQ230" s="53" t="inlineStr">
        <is>
          <t>Product/Project</t>
        </is>
      </c>
      <c r="AR230" s="53" t="inlineStr">
        <is>
          <t>Business Analysis</t>
        </is>
      </c>
      <c r="AS230" s="53" t="inlineStr">
        <is>
          <t>Technical · BA, PM and QA</t>
        </is>
      </c>
      <c r="AT230" s="53" t="n">
        <v>20</v>
      </c>
      <c r="AU230" s="53" t="inlineStr">
        <is>
          <t>Covered</t>
        </is>
      </c>
      <c r="AV230" s="53" t="n"/>
      <c r="AW230" s="53" t="n"/>
      <c r="AX230" s="53" t="n"/>
      <c r="AY230" s="53" t="n"/>
      <c r="AZ230" s="53" t="n"/>
      <c r="BA230" s="53" t="n"/>
      <c r="BB230" s="53" t="n"/>
      <c r="BC230" s="53" t="n"/>
      <c r="BD230" s="53" t="n"/>
      <c r="BE230" s="53" t="n"/>
      <c r="BF230" s="53" t="n"/>
      <c r="BG230" s="53" t="n"/>
      <c r="BH230" s="53" t="n"/>
      <c r="BI230" s="53" t="n"/>
      <c r="BJ230" s="53" t="n"/>
      <c r="BK230" s="53" t="n"/>
      <c r="BL230" s="53" t="n"/>
      <c r="BM230" s="53" t="n"/>
      <c r="BN230" s="53" t="n"/>
      <c r="BO230" s="53" t="n"/>
      <c r="BP230" s="53" t="n"/>
      <c r="BQ230" s="53" t="n"/>
      <c r="BR230" s="53" t="n"/>
      <c r="BS230" s="53" t="n"/>
      <c r="BT230" s="53" t="n"/>
      <c r="BU230" s="53" t="n"/>
      <c r="BV230" s="53" t="n"/>
      <c r="BW230" s="53" t="n"/>
      <c r="BX230" s="53" t="n"/>
      <c r="BY230" s="53" t="n"/>
      <c r="BZ230" s="53" t="n"/>
      <c r="CA230" s="53" t="n"/>
      <c r="CB230" s="53" t="n"/>
      <c r="CC230" s="53" t="n"/>
      <c r="CD230" s="53" t="n"/>
      <c r="CE230" s="53" t="n"/>
      <c r="CF230" s="53" t="n"/>
      <c r="CG230" s="53" t="n"/>
      <c r="CH230" s="53" t="n"/>
      <c r="CI230" s="53" t="n"/>
      <c r="CJ230" s="53" t="n"/>
      <c r="CK230" s="53" t="n"/>
      <c r="CL230" s="53" t="n"/>
      <c r="CM230" s="53" t="n"/>
      <c r="CN230" s="53" t="n"/>
      <c r="CO230" s="53" t="n"/>
      <c r="CP230" s="53" t="n"/>
      <c r="CQ230" s="53" t="n"/>
      <c r="CR230" s="53" t="n"/>
      <c r="CS230" s="53" t="n"/>
      <c r="CT230" s="53" t="n"/>
      <c r="CU230" s="53" t="n"/>
      <c r="CV230" s="53" t="n"/>
      <c r="CW230" s="53" t="n"/>
      <c r="CX230" s="53" t="n"/>
      <c r="CY230" s="53" t="n"/>
      <c r="CZ230" s="53" t="n"/>
      <c r="DA230" s="53" t="n"/>
      <c r="DB230" s="53" t="n"/>
      <c r="DC230" s="53" t="n"/>
      <c r="DD230" s="53" t="inlineStr">
        <is>
          <t>IRIS2310</t>
        </is>
      </c>
      <c r="DE230" s="53" t="inlineStr">
        <is>
          <t>Employee</t>
        </is>
      </c>
      <c r="DF230" s="53" t="inlineStr">
        <is>
          <t>Serving Notice</t>
        </is>
      </c>
      <c r="DG230" s="53" t="inlineStr">
        <is>
          <t>Vivek Kumar</t>
        </is>
      </c>
      <c r="DH230" s="54" t="n">
        <v>45558</v>
      </c>
      <c r="DI230" s="53" t="inlineStr">
        <is>
          <t>Trainee Business Analyst</t>
        </is>
      </c>
      <c r="DJ230" s="53" t="inlineStr">
        <is>
          <t>Business Analysis</t>
        </is>
      </c>
      <c r="DK230" s="53" t="inlineStr">
        <is>
          <t>Business / Functional Analysis</t>
        </is>
      </c>
      <c r="DL230" s="53" t="inlineStr">
        <is>
          <t>Trainee Business Analyst</t>
        </is>
      </c>
      <c r="DM230" s="53" t="inlineStr">
        <is>
          <t>L2 – Trainee</t>
        </is>
      </c>
      <c r="DN230" s="53" t="inlineStr">
        <is>
          <t>BBA</t>
        </is>
      </c>
      <c r="DO230" s="53" t="inlineStr">
        <is>
          <t>Aroosa Ghole</t>
        </is>
      </c>
      <c r="DP230" s="53" t="inlineStr">
        <is>
          <t>N-4</t>
        </is>
      </c>
      <c r="DQ230" s="53" t="inlineStr">
        <is>
          <t>Individual Contributor</t>
        </is>
      </c>
      <c r="DR230" s="53" t="inlineStr">
        <is>
          <t>1 years, 1 months, 0 days</t>
        </is>
      </c>
      <c r="DS230" s="53" t="inlineStr">
        <is>
          <t>1 years, 8 months, 28 days</t>
        </is>
      </c>
      <c r="DT230" s="53" t="inlineStr">
        <is>
          <t>2 years, 9 months, 28 days</t>
        </is>
      </c>
      <c r="DU230" s="53" t="n"/>
      <c r="DV230" s="53" t="inlineStr">
        <is>
          <t>Regtech</t>
        </is>
      </c>
      <c r="DW230" s="53" t="inlineStr">
        <is>
          <t>iDEAL</t>
        </is>
      </c>
      <c r="DX230" s="53" t="inlineStr">
        <is>
          <t>Technology</t>
        </is>
      </c>
      <c r="DY230" s="53" t="inlineStr">
        <is>
          <t>Business Analysis</t>
        </is>
      </c>
      <c r="DZ230" s="53" t="inlineStr">
        <is>
          <t>No</t>
        </is>
      </c>
      <c r="EA230" s="53" t="inlineStr">
        <is>
          <t>Product/Project</t>
        </is>
      </c>
      <c r="EB230" s="53" t="inlineStr">
        <is>
          <t>Business Analysis</t>
        </is>
      </c>
      <c r="EC230" s="53" t="inlineStr">
        <is>
          <t>Technical · BA, PM and QA</t>
        </is>
      </c>
      <c r="ED230" s="53" t="inlineStr">
        <is>
          <t>Hybrid</t>
        </is>
      </c>
      <c r="EE230" s="53" t="inlineStr">
        <is>
          <t>1. Lead and Deliver the JPMorgan CIC Project: Drive the successful delivery of the JPMorgan CIC project within the agreed timelines by effectively managing and coordinating all project phases, including requirement gathering, documentation and sign-off, UAT support and sign-off, and go-live activities. Ensure seamless collaboration with the development team and stakeholders to achieve project objectives, maintain quality standards, and deliver a successful implementation.
2. Master the Technical Backend of iDEAL: I want to move beyond regular support and get a deep technical understanding of our platform. I will focus on learning exactly how iFILE templates are used for error handling, how taxonomies are mapped, and how the backend logic works for CIMS-ADF/RBR/EBR reports.
3. Handle the BNP Paribas EBR Implementation: Since BNP is taking the EBR module this year, I want to lead this implementation smoothly. My goal is to coordinate with them, set up the system, and make sure their onboarding goes without any issues.
4. Maintain My Zero-Escalation Track Record: I want to keep running day-to-day support, deployments, kit preparations, and error handling flawlessly. My objective is to maintain my streak of zero client escalations across all my assigned accounts.
5. Learn Key BA Tools · SQL &amp; Power BI: To grow as a Business Analyst, I want to bridge my technical gaps. I plan to learn intermediate SQL · so I can check data in the backend myself and get familiar with Power BI and standard project management tools.
6. ETL Implementation for MUTHOOT FINCORP: I want to get hands on experience on my first ETL project as a SPOC for Muthoot and we have already deployed our application on their server with Excel Based Reporting, Now once their Database/Source Systems are finalized and shared we will proceeding with the completion of their ETL Logic and Implementation as well.</t>
        </is>
      </c>
      <c r="EF230" s="53" t="inlineStr">
        <is>
          <t>1. Effectively manage the assigned portfolio of banks and maintain high customer satisfaction, with a target of zero critical client escalations attributable to service delivery gaps.
2. Provide timely support for client queries, incidents, and service requests, ensuring initial response within 2 hours and resolution/coordination on the same business day.
3.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4. Capture, analyse, and document client requirements and project scope accurately, ensuring 100% completion of the required documentation and obtaining client sign-off within two weeks of document submission.
5.Proactively take the initiative to support other team members beyond your assigned responsibilities by assisting with client support, deployments, testing, documentation, and issue resolution activities. Contribute to overall team productivity and timely project delivery by providing support to colleagues at least 3–4 times per week whenever required.
6. Proactively identify new business opportunities, enhancement requests, and client requirements through regular client interactions, and contribute at least one qualified business growth or product enhancement opportunity per quarter.</t>
        </is>
      </c>
      <c r="EG230" s="53" t="inlineStr">
        <is>
          <t>1. Acquire in-depth knowledge of EBR SDMX reports, validations, and implementation processes to independently provide effective client support for assigned clients by Aug 2026.
2. Ensure 100% successful completion of CIC Reporting mandate requirement gathering, along with product development, testing, and implementation activities by Aug 2026
3. Effectively manage the assigned portfolio of banks independently  while maintaining 100% customer satisfaction with zero critical escalations.</t>
        </is>
      </c>
      <c r="EH230" s="53" t="n">
        <v>3</v>
      </c>
      <c r="EI230" s="54" t="n">
        <v>45931</v>
      </c>
      <c r="EJ230" s="53" t="inlineStr">
        <is>
          <t>Same as current designation</t>
        </is>
      </c>
      <c r="EK230" s="53" t="inlineStr">
        <is>
          <t>No</t>
        </is>
      </c>
      <c r="EL230" s="53" t="n">
        <v>3</v>
      </c>
      <c r="EM230" s="53" t="inlineStr">
        <is>
          <t>Medium</t>
        </is>
      </c>
      <c r="EN230" s="53" t="inlineStr">
        <is>
          <t>Emerging Talent</t>
        </is>
      </c>
      <c r="EO230" s="53" t="inlineStr">
        <is>
          <t>Not Ready</t>
        </is>
      </c>
      <c r="EP230" s="53" t="inlineStr">
        <is>
          <t>No</t>
        </is>
      </c>
      <c r="EQ230" s="53" t="inlineStr">
        <is>
          <t>No</t>
        </is>
      </c>
      <c r="ER230" s="53" t="n"/>
      <c r="ES230" s="53" t="inlineStr">
        <is>
          <t>XBRL Training, Training on the effective utilization of AI tools.</t>
        </is>
      </c>
      <c r="ET230" s="53" t="n"/>
      <c r="EU230" s="53" t="n"/>
      <c r="EV230" s="53" t="n"/>
      <c r="EW230" s="52" t="n"/>
      <c r="EX230" s="53" t="n"/>
      <c r="EY230" s="53" t="n"/>
      <c r="EZ230" s="53" t="n"/>
      <c r="FA230" s="53" t="n"/>
      <c r="FB230" s="53" t="n"/>
      <c r="FC230" s="53" t="n"/>
      <c r="FD230" s="53" t="n"/>
      <c r="FE230" s="57" t="inlineStr">
        <is>
          <t>1. Effectively manage the assigned portfolio of banks and maintain high customer satisfaction, with a target of zero critical client escalations attributable to service delivery gaps.
2. Provide timely support for client queries, incidents, and service requests, ensuring initial response within 2 hours and resolution/coordination on the same business day.
3. Ensure 100% timely delivery of regulatory report/taxonomy updates, UAT deployment, support and sign-off activities, and production deployments following internal release, at least 2–3 days prior to the filing date of the respective reports. In cases where the client does not respond, send timely follow-up reminders on subsequent days via email to maintain an official record of the releases and reminders communicated from our side.
4. Capture, analyse, and document client requirements and project scope accurately, ensuring 100% completion of the required documentation and obtaining client sign-off within two weeks of document submission.
5.Proactively take the initiative to support other team members beyond your assigned responsibilities by assisting with client support, deployments, testing, documentation, and issue resolution activities. Contribute to overall team productivity and timely project delivery by providing support to colleagues at least 3–4 times per week whenever required.
6. Proactively identify new business opportunities, enhancement requests, and client requirements through regular client interactions, and contribute at least one qualified business growth or product enhancement opportunity per quarter.</t>
        </is>
      </c>
      <c r="FF230" s="56" t="inlineStr">
        <is>
          <t>1. Acquire in-depth knowledge of EBR SDMX reports, validations, and implementation processes to independently provide effective client support for assigned clients by Aug 2026.
2. Ensure 100% successful completion of CIC Reporting mandate requirement gathering, along with product development, testing, and implementation activities by Aug 2026
3. Effectively manage the assigned portfolio of banks independently  while maintaining 100% customer satisfaction with zero critical escalations.</t>
        </is>
      </c>
      <c r="FG230" s="56" t="inlineStr">
        <is>
          <t>1. Lead and Deliver the JPMorgan CIC Project: Drive the successful delivery of the JPMorgan CIC project within the agreed timelines by effectively managing and coordinating all project phases, including requirement gathering, documentation and sign-off, UAT support and sign-off, and go-live activities. Ensure seamless collaboration with the development team and stakeholders to achieve project objectives, maintain quality standards, and deliver a successful implementation.
2. Master the Technical Backend of iDEAL: I want to move beyond regular support and get a deep technical understanding of our platform. I will focus on learning exactly how iFILE templates are used for error handling, how taxonomies are mapped, and how the backend logic works for CIMS-ADF/RBR/EBR reports.
3. Handle the BNP Paribas EBR Implementation: Since BNP is taking the EBR module this year, I want to lead this implementation smoothly. My goal is to coordinate with them, set up the system, and make sure their onboarding goes without any issues.
4. Maintain My Zero-Escalation Track Record: I want to keep running day-to-day support, deployments, kit preparations, and error handling flawlessly. My objective is to maintain my streak of zero client escalations across all my assigned accounts.
5. Learn Key BA Tools · SQL &amp; Power BI: To grow as a Business Analyst, I want to bridge my technical gaps. I plan to learn intermediate SQL · so I can check data in the backend myself and get familiar with Power BI and standard project management tools.
6. ETL Implementation for MUTHOOT FINCORP: I want to get hands on experience on my first ETL project as a SPOC for Muthoot and we have already deployed our application on their server with Excel Based Reporting , Now once their Database/Source Systems are finalized and shared we will proceeding with the completion of their ETL Logic and Implementation as well.</t>
        </is>
      </c>
      <c r="FH230" s="56" t="inlineStr">
        <is>
          <t>3</t>
        </is>
      </c>
      <c r="FI230" s="56" t="n"/>
      <c r="FJ230" s="56" t="inlineStr">
        <is>
          <t>Received · manager annual, quarterly, self</t>
        </is>
      </c>
      <c r="FK230" s="56" t="inlineStr">
        <is>
          <t>Talent Mapping · iDEAL</t>
        </is>
      </c>
      <c r="FL230" s="56" t="n">
        <v>20</v>
      </c>
      <c r="FM230" s="32" t="inlineStr">
        <is>
          <t>Full survey answers not in the files received · How We Grow export needed · HR</t>
        </is>
      </c>
      <c r="FN230" s="56" t="inlineStr">
        <is>
          <t>—</t>
        </is>
      </c>
      <c r="FO230" s="56" t="inlineStr">
        <is>
          <t>—</t>
        </is>
      </c>
      <c r="FP230" s="56" t="inlineStr">
        <is>
          <t>—</t>
        </is>
      </c>
      <c r="FQ230" s="56" t="inlineStr">
        <is>
          <t>—</t>
        </is>
      </c>
      <c r="FR230" s="56" t="inlineStr">
        <is>
          <t>Complexity: Evidence reads like A3: Resolves bank queries, errors and deployments across 10+ banks; documents requirements; CIC automation → moved up 1
Autonomy: Evidence reads like A3: Runs daily support calls and requirement understanding with banks as their SPOC → moved up 1
Accountability: Evidence reads like A3: SPOC for 10+ banks; checks changes on client servers; clears escalations → moved up 1
Leadership: Evidence reads like A2: Lists 'helping others'; no standing guidance role → moved up 0.5
Business Impact: No survey or manager-mapping signal on criticality: kept at the start point.</t>
        </is>
      </c>
      <c r="FS230" s="56" t="inlineStr">
        <is>
          <t>Common themes in role-holders' answers: business · requirements · technical · between · client · understand
Common themes in role-holders' answers: documentation · requirement · client · gathering · coordination · managing
Common themes in role-holders' answers: deliver · product · client · requirement · process · business
Common themes in role-holders' answers: requirements · accountable · delivery · quality · documentation · timely
Common themes in role-holders' answers: documentation · prioritize · user stories · process · project
If the work is missed · role-holders' themes: rework · client.
Measured on · manager-set KRA themes: delivery · assigned · project · requests · satisfaction.</t>
        </is>
      </c>
      <c r="FT230" s="56" t="inlineStr">
        <is>
          <t>Self-identified: Communication &amp; presentation
For the next role: AI / automation · Communication &amp; presentation</t>
        </is>
      </c>
      <c r="FU230" s="32" t="inlineStr">
        <is>
          <t>Full survey answers not in the files received · How We Grow export needed · HR</t>
        </is>
      </c>
    </row>
    <row r="231" ht="90" customHeight="1">
      <c r="A231" s="51" t="inlineStr">
        <is>
          <t>◂ Back</t>
        </is>
      </c>
      <c r="B231" s="29" t="inlineStr">
        <is>
          <t>Mapped</t>
        </is>
      </c>
      <c r="C231" s="28" t="inlineStr">
        <is>
          <t>iDEAL</t>
        </is>
      </c>
      <c r="D231" s="29" t="inlineStr">
        <is>
          <t>IRIS2527</t>
        </is>
      </c>
      <c r="E231" s="29" t="inlineStr">
        <is>
          <t>Hemand Thayil</t>
        </is>
      </c>
      <c r="F231" s="29" t="inlineStr">
        <is>
          <t>Technology</t>
        </is>
      </c>
      <c r="G231" s="29" t="inlineStr">
        <is>
          <t>Customer Solution Analyst</t>
        </is>
      </c>
      <c r="H231" s="29" t="inlineStr">
        <is>
          <t>Support Executive</t>
        </is>
      </c>
      <c r="I231" s="29" t="inlineStr">
        <is>
          <t>L3 – Professional / Associate</t>
        </is>
      </c>
      <c r="J231" s="29" t="inlineStr">
        <is>
          <t>A2</t>
        </is>
      </c>
      <c r="K231" s="29" t="inlineStr">
        <is>
          <t>• Same level</t>
        </is>
      </c>
      <c r="L231" s="29" t="inlineStr">
        <is>
          <t>Customer Success &amp; Support</t>
        </is>
      </c>
      <c r="M231" s="29" t="inlineStr">
        <is>
          <t>Application &amp; Product Support</t>
        </is>
      </c>
      <c r="N231" s="29" t="n"/>
      <c r="O231" s="29" t="n">
        <v>17</v>
      </c>
      <c r="P231" s="28" t="inlineStr">
        <is>
          <t>P1–P2</t>
        </is>
      </c>
      <c r="Q231" s="29" t="inlineStr">
        <is>
          <t>Entry / Developing</t>
        </is>
      </c>
      <c r="R231" s="29" t="inlineStr">
        <is>
          <t>2 Assist</t>
        </is>
      </c>
      <c r="S231" s="29" t="inlineStr">
        <is>
          <t>0–2 yrs</t>
        </is>
      </c>
      <c r="T231" s="29" t="inlineStr">
        <is>
          <t>1–3 · 0–3</t>
        </is>
      </c>
      <c r="U231" s="29" t="inlineStr">
        <is>
          <t>Support Associate / Support / CS Executive</t>
        </is>
      </c>
      <c r="V231" s="29" t="inlineStr">
        <is>
          <t>IRIS Vs Competitor Benchmark — SaaS customer-success ladder: Support Associate · IRIS Vs Competitor Benchmark — support tiers: L1 Service Desk</t>
        </is>
      </c>
      <c r="W231" s="29" t="inlineStr">
        <is>
          <t>TSIA frameworks and benchmarks; ITIL 4 service desk; Gainsight customer-success practice</t>
        </is>
      </c>
      <c r="X231" s="29" t="inlineStr">
        <is>
          <t>Core 2 · Future 2 · Functional 2 · Leadership not scored</t>
        </is>
      </c>
      <c r="Y231" s="52" t="n">
        <v>497</v>
      </c>
      <c r="Z231" s="53" t="inlineStr">
        <is>
          <t>IRIS2527</t>
        </is>
      </c>
      <c r="AA231" s="53" t="inlineStr">
        <is>
          <t>Employee</t>
        </is>
      </c>
      <c r="AB231" s="53" t="inlineStr">
        <is>
          <t>Active</t>
        </is>
      </c>
      <c r="AC231" s="53" t="inlineStr">
        <is>
          <t>Hemand Thayil</t>
        </is>
      </c>
      <c r="AD231" s="54" t="n">
        <v>46146</v>
      </c>
      <c r="AE231" s="53" t="inlineStr">
        <is>
          <t>Customer Solution Analyst</t>
        </is>
      </c>
      <c r="AF231" s="53" t="inlineStr">
        <is>
          <t>MCA</t>
        </is>
      </c>
      <c r="AG231" s="53" t="inlineStr">
        <is>
          <t>Aroosa Ghole</t>
        </is>
      </c>
      <c r="AH231" s="53" t="inlineStr">
        <is>
          <t>N-4</t>
        </is>
      </c>
      <c r="AI231" s="53" t="inlineStr">
        <is>
          <t>Individual Contributor</t>
        </is>
      </c>
      <c r="AJ231" s="53" t="inlineStr">
        <is>
          <t>1 years, 6 months, 0 days</t>
        </is>
      </c>
      <c r="AK231" s="53" t="inlineStr">
        <is>
          <t>0 years, 3 months, 21 days</t>
        </is>
      </c>
      <c r="AL231" s="53" t="inlineStr">
        <is>
          <t>Regtech</t>
        </is>
      </c>
      <c r="AM231" s="53" t="inlineStr">
        <is>
          <t>iDEAL</t>
        </is>
      </c>
      <c r="AN231" s="53" t="inlineStr">
        <is>
          <t>Technology</t>
        </is>
      </c>
      <c r="AO231" s="53" t="inlineStr">
        <is>
          <t>Business Analysis</t>
        </is>
      </c>
      <c r="AP231" s="53" t="inlineStr">
        <is>
          <t>Yes</t>
        </is>
      </c>
      <c r="AQ231" s="53" t="inlineStr">
        <is>
          <t>Product/Project</t>
        </is>
      </c>
      <c r="AR231" s="53" t="inlineStr">
        <is>
          <t>Business Analysis</t>
        </is>
      </c>
      <c r="AS231" s="53" t="inlineStr">
        <is>
          <t>Technical · BA, PM and QA</t>
        </is>
      </c>
      <c r="AT231" s="53" t="n">
        <v>20</v>
      </c>
      <c r="AU231" s="53" t="inlineStr">
        <is>
          <t>Covered</t>
        </is>
      </c>
      <c r="AV231" s="53" t="n"/>
      <c r="AW231" s="53" t="n"/>
      <c r="AX231" s="53" t="n"/>
      <c r="AY231" s="53" t="n"/>
      <c r="AZ231" s="53" t="n"/>
      <c r="BA231" s="53" t="n"/>
      <c r="BB231" s="53" t="n"/>
      <c r="BC231" s="53" t="n"/>
      <c r="BD231" s="53" t="n"/>
      <c r="BE231" s="53" t="n"/>
      <c r="BF231" s="53" t="n"/>
      <c r="BG231" s="53" t="n"/>
      <c r="BH231" s="53" t="n"/>
      <c r="BI231" s="53" t="n"/>
      <c r="BJ231" s="53" t="n"/>
      <c r="BK231" s="53" t="n"/>
      <c r="BL231" s="53" t="n"/>
      <c r="BM231" s="53" t="n"/>
      <c r="BN231" s="53" t="n"/>
      <c r="BO231" s="53" t="n"/>
      <c r="BP231" s="53" t="n"/>
      <c r="BQ231" s="53" t="n"/>
      <c r="BR231" s="53" t="n"/>
      <c r="BS231" s="53" t="n"/>
      <c r="BT231" s="53" t="n"/>
      <c r="BU231" s="53" t="n"/>
      <c r="BV231" s="53" t="n"/>
      <c r="BW231" s="53" t="n"/>
      <c r="BX231" s="53" t="n"/>
      <c r="BY231" s="53" t="n"/>
      <c r="BZ231" s="53" t="n"/>
      <c r="CA231" s="53" t="n"/>
      <c r="CB231" s="53" t="n"/>
      <c r="CC231" s="53" t="n"/>
      <c r="CD231" s="53" t="n"/>
      <c r="CE231" s="53" t="n"/>
      <c r="CF231" s="53" t="n"/>
      <c r="CG231" s="53" t="n"/>
      <c r="CH231" s="53" t="n"/>
      <c r="CI231" s="53" t="n"/>
      <c r="CJ231" s="53" t="n"/>
      <c r="CK231" s="53" t="n"/>
      <c r="CL231" s="53" t="n"/>
      <c r="CM231" s="53" t="n"/>
      <c r="CN231" s="53" t="n"/>
      <c r="CO231" s="53" t="n"/>
      <c r="CP231" s="53" t="n"/>
      <c r="CQ231" s="53" t="n"/>
      <c r="CR231" s="53" t="n"/>
      <c r="CS231" s="53" t="n"/>
      <c r="CT231" s="53" t="n"/>
      <c r="CU231" s="53" t="n"/>
      <c r="CV231" s="53" t="n"/>
      <c r="CW231" s="53" t="n"/>
      <c r="CX231" s="53" t="n"/>
      <c r="CY231" s="53" t="n"/>
      <c r="CZ231" s="53" t="n"/>
      <c r="DA231" s="53" t="n"/>
      <c r="DB231" s="53" t="n"/>
      <c r="DC231" s="53" t="n"/>
      <c r="DD231" s="53" t="inlineStr">
        <is>
          <t>IRIS2527</t>
        </is>
      </c>
      <c r="DE231" s="53" t="inlineStr">
        <is>
          <t>Employee</t>
        </is>
      </c>
      <c r="DF231" s="53" t="inlineStr">
        <is>
          <t>Active</t>
        </is>
      </c>
      <c r="DG231" s="53" t="inlineStr">
        <is>
          <t>Hemand Thayil</t>
        </is>
      </c>
      <c r="DH231" s="54" t="n">
        <v>46146</v>
      </c>
      <c r="DI231" s="53" t="inlineStr">
        <is>
          <t>Customer Solution Analyst</t>
        </is>
      </c>
      <c r="DJ231" s="53" t="inlineStr">
        <is>
          <t>Engineering &amp; Development</t>
        </is>
      </c>
      <c r="DK231" s="53" t="inlineStr">
        <is>
          <t>Software Engineering</t>
        </is>
      </c>
      <c r="DL231" s="53" t="inlineStr">
        <is>
          <t>Customer Solution Analyst</t>
        </is>
      </c>
      <c r="DM231" s="53" t="inlineStr">
        <is>
          <t>L3 – Professional / Associate</t>
        </is>
      </c>
      <c r="DN231" s="53" t="inlineStr">
        <is>
          <t>MCA</t>
        </is>
      </c>
      <c r="DO231" s="53" t="inlineStr">
        <is>
          <t>Aroosa Ghole</t>
        </is>
      </c>
      <c r="DP231" s="53" t="inlineStr">
        <is>
          <t>N-4</t>
        </is>
      </c>
      <c r="DQ231" s="53" t="inlineStr">
        <is>
          <t>Individual Contributor</t>
        </is>
      </c>
      <c r="DR231" s="53" t="inlineStr">
        <is>
          <t>1 years, 6 months, 0 days</t>
        </is>
      </c>
      <c r="DS231" s="53" t="inlineStr">
        <is>
          <t>0 years, 1 months, 16 days</t>
        </is>
      </c>
      <c r="DT231" s="53" t="inlineStr">
        <is>
          <t>1 years, 7 months, 16 days</t>
        </is>
      </c>
      <c r="DU231" s="53" t="n"/>
      <c r="DV231" s="53" t="inlineStr">
        <is>
          <t>Regtech</t>
        </is>
      </c>
      <c r="DW231" s="53" t="inlineStr">
        <is>
          <t>iDEAL</t>
        </is>
      </c>
      <c r="DX231" s="53" t="inlineStr">
        <is>
          <t>Technology</t>
        </is>
      </c>
      <c r="DY231" s="53" t="inlineStr">
        <is>
          <t>Development</t>
        </is>
      </c>
      <c r="DZ231" s="53" t="inlineStr">
        <is>
          <t>Yes</t>
        </is>
      </c>
      <c r="EA231" s="53" t="inlineStr">
        <is>
          <t>Product/Project</t>
        </is>
      </c>
      <c r="EB231" s="53" t="inlineStr">
        <is>
          <t>Business Analysis</t>
        </is>
      </c>
      <c r="EC231" s="53" t="inlineStr">
        <is>
          <t>Technical · BA, PM and QA</t>
        </is>
      </c>
      <c r="ED231" s="53" t="inlineStr">
        <is>
          <t>Work From Office - Turbhe</t>
        </is>
      </c>
      <c r="EE231" s="53" t="inlineStr">
        <is>
          <t>1.Complete end-to-end understanding of the XBRL and Non-XBRL report generation process and apply it to independently resolve standard to medium-complexity support issues by year-end.
2. Reduce dependency on seniors/mentors for issue resolution progress from shadowing to independently handling the majority of assigned issues with minimal escalation.
3. Maintain strong adherence · target: 95%+ on all assigned issues once handling independently, through better prioritization and proactive communication.
4. Build and contribute to a knowledge base of recurring XBRL/Non-XBRL issues, root causes, and fixes reducing repeat investigation time for self and team.
5. Strengthen domain and technical expertise in regulatory/XBRL reporting through continuous learning, enabling handling of more complex issues and contributing to process improvements over time.</t>
        </is>
      </c>
      <c r="EF231" s="53" t="inlineStr">
        <is>
          <t>1. By the end of July 2026, develop an in-depth understanding of the iDEAL product, business processes, and regulatory reporting framework to independently analyse client requirements, provide functional support, and contribute effectively to project delivery.
2. Gain expertise in independently handling client issues, support activities, and regulatory reporting domain knowledge with minimal supervision by September 2026.
3. Conduct knowledge-sharing sessions with bank users on interpreting and resolving common validation and business errors directly at the bank level, reducing dependency on the IRIS support team. This objective should be achieved by September 2026.
4. Develop expertise in onboarding and supporting Database and EBR clients, in addition to the Excel-based clients currently being managed, to expand domain knowledge and independently handle Database reports · clients by October 2026.</t>
        </is>
      </c>
      <c r="EG231" s="53" t="inlineStr">
        <is>
          <t>1. Acquire in-depth knowledge of EBR SDMX reports, validations, and implementation processes to independently provide effective client support for assigned clients by Sep 2026.
2. Put additional effort into understanding client issues for CIMS RBR reporting and demonstrate independent ownership of the assigned client portfolio by Sep 2026.
3.  Effectively manage the assigned portfolio of banks independently  while maintaining 100% customer satisfaction with zero critical escalations.</t>
        </is>
      </c>
      <c r="EH231" s="53" t="n">
        <v>2</v>
      </c>
      <c r="EI231" s="54" t="n">
        <v>45931</v>
      </c>
      <c r="EJ231" s="53" t="inlineStr">
        <is>
          <t>Same as current designation</t>
        </is>
      </c>
      <c r="EK231" s="53" t="inlineStr">
        <is>
          <t>No</t>
        </is>
      </c>
      <c r="EL231" s="53" t="n">
        <v>3</v>
      </c>
      <c r="EM231" s="53" t="inlineStr">
        <is>
          <t>Medium</t>
        </is>
      </c>
      <c r="EN231" s="53" t="inlineStr">
        <is>
          <t>Core Contributor</t>
        </is>
      </c>
      <c r="EO231" s="53" t="inlineStr">
        <is>
          <t>Not Ready</t>
        </is>
      </c>
      <c r="EP231" s="53" t="inlineStr">
        <is>
          <t>No</t>
        </is>
      </c>
      <c r="EQ231" s="53" t="inlineStr">
        <is>
          <t>No</t>
        </is>
      </c>
      <c r="ER231" s="53" t="n"/>
      <c r="ES231" s="53" t="inlineStr">
        <is>
          <t>XBRL Training, Training on the effective utilization of AI tools.</t>
        </is>
      </c>
      <c r="ET231" s="53" t="n"/>
      <c r="EU231" s="53" t="n"/>
      <c r="EV231" s="53" t="n"/>
      <c r="EW231" s="52" t="n"/>
      <c r="EX231" s="53" t="n"/>
      <c r="EY231" s="53" t="n"/>
      <c r="EZ231" s="53" t="n"/>
      <c r="FA231" s="53" t="n"/>
      <c r="FB231" s="53" t="n"/>
      <c r="FC231" s="53" t="n"/>
      <c r="FD231" s="53" t="n"/>
      <c r="FE231" s="57" t="inlineStr">
        <is>
          <t>1. By the end of July 2026, develop an in-depth understanding of the iDEAL product, business processes, and regulatory reporting framework to independently analyse client requirements, provide functional support, and contribute effectively to project delivery.
2. Gain expertise in independently handling client issues, support activities, and regulatory reporting domain knowledge with minimal supervision by September 2026.
3. Conduct knowledge-sharing sessions with bank users on interpreting and resolving common validation and business errors directly at the bank level, reducing dependency on the IRIS support team. This objective should be achieved by September 2026.
4. Develop expertise in onboarding and supporting Database and EBR clients, in addition to the Excel-based clients currently being managed, to expand domain knowledge and independently handle Database reports · clients by October 2026.</t>
        </is>
      </c>
      <c r="FF231" s="56" t="inlineStr">
        <is>
          <t>1. Acquire in-depth knowledge of EBR SDMX reports, validations, and implementation processes to independently provide effective client support for assigned clients by Sep 2026.
2. Put additional effort into understanding client issues for CIMS RBR reporting and demonstrate independent ownership of the assigned client portfolio by Sep 2026.
3.  Effectively manage the assigned portfolio of banks independently  while maintaining 100% customer satisfaction with zero critical escalations.</t>
        </is>
      </c>
      <c r="FG231" s="56" t="inlineStr">
        <is>
          <t>1.Complete end-to-end understanding of the XBRL and Non-XBRL report generation process and apply it to independently resolve standard to medium-complexity support issues by year-end.
2. Reduce dependency on seniors/mentors for issue resolution progress from shadowing to independently handling the majority of assigned issues with minimal escalation.
3. Maintain strong adherence · target: 95%+ on all assigned issues once handling independently, through better prioritization and proactive communication.
4. Build and contribute to a knowledge base of recurring XBRL/Non-XBRL issues, root causes, and fixes reducing repeat investigation time for self and team.
5. Strengthen domain and technical expertise in regulatory/XBRL reporting through continuous learning, enabling handling of more complex issues and contributing to process improvements over time.</t>
        </is>
      </c>
      <c r="FH231" s="56" t="inlineStr">
        <is>
          <t>2</t>
        </is>
      </c>
      <c r="FI231" s="56" t="n"/>
      <c r="FJ231" s="56" t="inlineStr">
        <is>
          <t>Received · manager annual, quarterly, self</t>
        </is>
      </c>
      <c r="FK231" s="56" t="inlineStr">
        <is>
          <t>Talent Mapping · iDEAL</t>
        </is>
      </c>
      <c r="FL231" s="56" t="n">
        <v>17</v>
      </c>
      <c r="FM231" s="32" t="inlineStr">
        <is>
          <t>Full survey answers not in the files received · How We Grow export needed · HR</t>
        </is>
      </c>
      <c r="FN231" s="56" t="inlineStr">
        <is>
          <t>—</t>
        </is>
      </c>
      <c r="FO231" s="56" t="inlineStr">
        <is>
          <t>—</t>
        </is>
      </c>
      <c r="FP231" s="56" t="inlineStr">
        <is>
          <t>—</t>
        </is>
      </c>
      <c r="FQ231" s="56" t="inlineStr">
        <is>
          <t>—</t>
        </is>
      </c>
      <c r="FR231" s="56" t="inlineStr">
        <is>
          <t>Complexity: Evidence reads like A2: Client support and error handling on iDEAL; note says moving from shadowing to independent → matches the start
Autonomy: Evidence reads like A2: Decides to connect with the client to fix an issue; note shows reliance on seniors → matches the start
Accountability: Evidence reads like A2: own survey / KRA answers · summarised by the rater; not quoted → matches the start
Leadership: Evidence reads like A1: No guidance of others described → matches the start
Business Impact: No move: the survey / manager mapping does not mark it business-critical or unique.</t>
        </is>
      </c>
      <c r="FS231" s="56" t="inlineStr">
        <is>
          <t>Common themes in sub-family holders, all levels' answers: support · clients · queries · provide · issues · resolving
Common themes in sub-family holders, all levels' answers: support · issue · testing · communication · customer · ticket
Common themes in sub-family holders, all levels' answers: support · customer · product · provide · testing · deliver
Common themes in sub-family holders, all levels' answers: client · resolution · am · accountable · timely · if
Common themes in sub-family holders, all levels' answers: issues · resolving · tickets · handle · erro · validation
If the work is missed · role-holders' themes: customer · rework · client · delays · incorrect.</t>
        </is>
      </c>
      <c r="FT231" s="56" t="n"/>
      <c r="FU231" s="32" t="inlineStr">
        <is>
          <t>Full survey answers not in the files received · How We Grow export needed · HR</t>
        </is>
      </c>
    </row>
    <row r="232" ht="90" customHeight="1">
      <c r="A232" s="51" t="inlineStr">
        <is>
          <t>◂ Back</t>
        </is>
      </c>
      <c r="B232" s="29" t="inlineStr">
        <is>
          <t>Mapped</t>
        </is>
      </c>
      <c r="C232" s="28" t="inlineStr">
        <is>
          <t>iDEAL</t>
        </is>
      </c>
      <c r="D232" s="29" t="inlineStr">
        <is>
          <t>IRIS0636</t>
        </is>
      </c>
      <c r="E232" s="29" t="inlineStr">
        <is>
          <t>Reena Gotal</t>
        </is>
      </c>
      <c r="F232" s="29" t="inlineStr">
        <is>
          <t>Quality Assurance</t>
        </is>
      </c>
      <c r="G232" s="29" t="inlineStr">
        <is>
          <t>Senior QA - Engineer</t>
        </is>
      </c>
      <c r="H232" s="29" t="inlineStr">
        <is>
          <t>QA Manager</t>
        </is>
      </c>
      <c r="I232" s="29" t="inlineStr">
        <is>
          <t>L4 – Senior</t>
        </is>
      </c>
      <c r="J232" s="29" t="inlineStr">
        <is>
          <t>B1</t>
        </is>
      </c>
      <c r="K232" s="29" t="inlineStr">
        <is>
          <t>▲ Up</t>
        </is>
      </c>
      <c r="L232" s="29" t="inlineStr">
        <is>
          <t>Quality Assurance</t>
        </is>
      </c>
      <c r="M232" s="29" t="inlineStr">
        <is>
          <t>Functional &amp; Domain Testing</t>
        </is>
      </c>
      <c r="N232" s="29" t="n"/>
      <c r="O232" s="29" t="n">
        <v>20</v>
      </c>
      <c r="P232" s="28" t="inlineStr">
        <is>
          <t>P3 / M2</t>
        </is>
      </c>
      <c r="Q232" s="29" t="inlineStr">
        <is>
          <t>Career / · Team Lead</t>
        </is>
      </c>
      <c r="R232" s="29" t="inlineStr">
        <is>
          <t>4 Enable</t>
        </is>
      </c>
      <c r="S232" s="29" t="inlineStr">
        <is>
          <t>4–7 yrs</t>
        </is>
      </c>
      <c r="T232" s="29" t="inlineStr">
        <is>
          <t>5–8 · 4–8</t>
        </is>
      </c>
      <c r="U232" s="29" t="inlineStr">
        <is>
          <t>Manager</t>
        </is>
      </c>
      <c r="V232" s="29" t="inlineStr">
        <is>
          <t>Workiva: SE / Senior SE · Broadridge India: Senior SE · Nasdaq / AxiomSL: Senior SE · IRIS Vs Market Benchmark — ISTQB certification pathway: Advanced · Test Analyst</t>
        </is>
      </c>
      <c r="W232" s="29" t="inlineStr">
        <is>
          <t>ISTQB Foundation → Advanced → Expert; SFIA testing</t>
        </is>
      </c>
      <c r="X232" s="29" t="inlineStr">
        <is>
          <t>Core 3 · Future 3 · Functional 3 · Leadership 2</t>
        </is>
      </c>
      <c r="Y232" s="52" t="n">
        <v>85</v>
      </c>
      <c r="Z232" s="53" t="inlineStr">
        <is>
          <t>IRIS0636</t>
        </is>
      </c>
      <c r="AA232" s="53" t="inlineStr">
        <is>
          <t>Employee</t>
        </is>
      </c>
      <c r="AB232" s="53" t="inlineStr">
        <is>
          <t>Active</t>
        </is>
      </c>
      <c r="AC232" s="53" t="inlineStr">
        <is>
          <t>Reena Gotal</t>
        </is>
      </c>
      <c r="AD232" s="54" t="n">
        <v>40686</v>
      </c>
      <c r="AE232" s="53" t="inlineStr">
        <is>
          <t>Senior QA - Engineer</t>
        </is>
      </c>
      <c r="AF232" s="53" t="inlineStr">
        <is>
          <t>B.Com</t>
        </is>
      </c>
      <c r="AG232" s="53" t="inlineStr">
        <is>
          <t>Hemant Karale</t>
        </is>
      </c>
      <c r="AH232" s="53" t="inlineStr">
        <is>
          <t>N-3</t>
        </is>
      </c>
      <c r="AI232" s="53" t="inlineStr">
        <is>
          <t>Manager</t>
        </is>
      </c>
      <c r="AJ232" s="53" t="inlineStr">
        <is>
          <t>0 years, 0 months, 0 days</t>
        </is>
      </c>
      <c r="AK232" s="53" t="inlineStr">
        <is>
          <t>15 years, 3 months, 2 days</t>
        </is>
      </c>
      <c r="AL232" s="53" t="inlineStr">
        <is>
          <t>Regtech</t>
        </is>
      </c>
      <c r="AM232" s="53" t="inlineStr">
        <is>
          <t>iDEAL</t>
        </is>
      </c>
      <c r="AN232" s="53" t="inlineStr">
        <is>
          <t>Quality Assurance</t>
        </is>
      </c>
      <c r="AO232" s="53" t="inlineStr">
        <is>
          <t>Quality Assurance</t>
        </is>
      </c>
      <c r="AP232" s="53" t="inlineStr">
        <is>
          <t>No</t>
        </is>
      </c>
      <c r="AQ232" s="53" t="inlineStr">
        <is>
          <t>Product/Project</t>
        </is>
      </c>
      <c r="AR232" s="53" t="inlineStr">
        <is>
          <t>Software Testing</t>
        </is>
      </c>
      <c r="AS232" s="53" t="inlineStr">
        <is>
          <t>Technical · BA, PM and QA</t>
        </is>
      </c>
      <c r="AT232" s="53" t="n">
        <v>20</v>
      </c>
      <c r="AU232" s="53" t="inlineStr">
        <is>
          <t>Covered</t>
        </is>
      </c>
      <c r="AV232" s="53" t="n"/>
      <c r="AW232" s="53" t="n"/>
      <c r="AX232" s="53" t="n"/>
      <c r="AY232" s="53" t="n"/>
      <c r="AZ232" s="53" t="n"/>
      <c r="BA232" s="53" t="n"/>
      <c r="BB232" s="53" t="n"/>
      <c r="BC232" s="53" t="n"/>
      <c r="BD232" s="53" t="n"/>
      <c r="BE232" s="53" t="n"/>
      <c r="BF232" s="53" t="n"/>
      <c r="BG232" s="53" t="n"/>
      <c r="BH232" s="53" t="n"/>
      <c r="BI232" s="53" t="n"/>
      <c r="BJ232" s="53" t="n"/>
      <c r="BK232" s="53" t="n"/>
      <c r="BL232" s="53" t="n"/>
      <c r="BM232" s="53" t="n"/>
      <c r="BN232" s="53" t="n"/>
      <c r="BO232" s="53" t="n"/>
      <c r="BP232" s="53" t="n"/>
      <c r="BQ232" s="53" t="n"/>
      <c r="BR232" s="53" t="n"/>
      <c r="BS232" s="53" t="n"/>
      <c r="BT232" s="53" t="n"/>
      <c r="BU232" s="53" t="n"/>
      <c r="BV232" s="53" t="n"/>
      <c r="BW232" s="53" t="n"/>
      <c r="BX232" s="53" t="n"/>
      <c r="BY232" s="53" t="n"/>
      <c r="BZ232" s="53" t="n"/>
      <c r="CA232" s="53" t="n"/>
      <c r="CB232" s="53" t="n"/>
      <c r="CC232" s="53" t="n"/>
      <c r="CD232" s="53" t="n"/>
      <c r="CE232" s="53" t="n"/>
      <c r="CF232" s="53" t="n"/>
      <c r="CG232" s="53" t="n"/>
      <c r="CH232" s="53" t="n"/>
      <c r="CI232" s="53" t="n"/>
      <c r="CJ232" s="53" t="n"/>
      <c r="CK232" s="53" t="n"/>
      <c r="CL232" s="53" t="n"/>
      <c r="CM232" s="53" t="n"/>
      <c r="CN232" s="53" t="n"/>
      <c r="CO232" s="53" t="n"/>
      <c r="CP232" s="53" t="n"/>
      <c r="CQ232" s="53" t="n"/>
      <c r="CR232" s="53" t="n"/>
      <c r="CS232" s="53" t="n"/>
      <c r="CT232" s="53" t="n"/>
      <c r="CU232" s="53" t="n"/>
      <c r="CV232" s="53" t="n"/>
      <c r="CW232" s="53" t="n"/>
      <c r="CX232" s="53" t="n"/>
      <c r="CY232" s="53" t="n"/>
      <c r="CZ232" s="53" t="n"/>
      <c r="DA232" s="53" t="n"/>
      <c r="DB232" s="53" t="n"/>
      <c r="DC232" s="53" t="n"/>
      <c r="DD232" s="53" t="inlineStr">
        <is>
          <t>IRIS0636</t>
        </is>
      </c>
      <c r="DE232" s="53" t="inlineStr">
        <is>
          <t>Employee</t>
        </is>
      </c>
      <c r="DF232" s="53" t="inlineStr">
        <is>
          <t>Active</t>
        </is>
      </c>
      <c r="DG232" s="53" t="inlineStr">
        <is>
          <t>Reena Gotal</t>
        </is>
      </c>
      <c r="DH232" s="54" t="n">
        <v>40686</v>
      </c>
      <c r="DI232" s="53" t="inlineStr">
        <is>
          <t>Senior QA - Engineer</t>
        </is>
      </c>
      <c r="DJ232" s="53" t="inlineStr">
        <is>
          <t>Quality Assurance</t>
        </is>
      </c>
      <c r="DK232" s="53" t="inlineStr">
        <is>
          <t>Quality Engineering</t>
        </is>
      </c>
      <c r="DL232" s="53" t="inlineStr">
        <is>
          <t>Senior QA - Engineer</t>
        </is>
      </c>
      <c r="DM232" s="53" t="inlineStr">
        <is>
          <t>L4 – Senior</t>
        </is>
      </c>
      <c r="DN232" s="53" t="inlineStr">
        <is>
          <t>B.Com</t>
        </is>
      </c>
      <c r="DO232" s="53" t="inlineStr">
        <is>
          <t>Hemant Karale</t>
        </is>
      </c>
      <c r="DP232" s="53" t="inlineStr">
        <is>
          <t>N-3</t>
        </is>
      </c>
      <c r="DQ232" s="53" t="inlineStr">
        <is>
          <t>Manager</t>
        </is>
      </c>
      <c r="DR232" s="53" t="inlineStr">
        <is>
          <t>0 years, 0 months, 0 days</t>
        </is>
      </c>
      <c r="DS232" s="53" t="inlineStr">
        <is>
          <t>15 years, 0 months, 28 days</t>
        </is>
      </c>
      <c r="DT232" s="53" t="inlineStr">
        <is>
          <t>15 years, 0 months, 28 days</t>
        </is>
      </c>
      <c r="DU232" s="53" t="n">
        <v>15.0767123287671</v>
      </c>
      <c r="DV232" s="53" t="inlineStr">
        <is>
          <t>Regtech</t>
        </is>
      </c>
      <c r="DW232" s="53" t="inlineStr">
        <is>
          <t>iDEAL</t>
        </is>
      </c>
      <c r="DX232" s="53" t="inlineStr">
        <is>
          <t>Quality Assurance</t>
        </is>
      </c>
      <c r="DY232" s="53" t="inlineStr">
        <is>
          <t>Quality Assurance</t>
        </is>
      </c>
      <c r="DZ232" s="53" t="inlineStr">
        <is>
          <t>No</t>
        </is>
      </c>
      <c r="EA232" s="53" t="inlineStr">
        <is>
          <t>Product/Project</t>
        </is>
      </c>
      <c r="EB232" s="53" t="inlineStr">
        <is>
          <t>Software Testing</t>
        </is>
      </c>
      <c r="EC232" s="53" t="inlineStr">
        <is>
          <t>Technical · BA, PM and QA</t>
        </is>
      </c>
      <c r="ED232" s="53" t="inlineStr">
        <is>
          <t>Hybrid</t>
        </is>
      </c>
      <c r="EE232" s="53" t="n"/>
      <c r="EF232" s="53" t="inlineStr">
        <is>
          <t>1. Defect Escape Rate should be &lt;= 5% i.e. Each tested functionality should have less &lt;= 1 bug
2. Defect Detection Efficiency should be &gt;95%. 
3. Defect Leakage for Critical Functionality should be &lt;= 1 within a year
4. Automation testing · test cases coverage should be &gt;=50% for each functionality being tested
5. Skill Development: Planned training/certifications should be completed &gt;=80% within a year.</t>
        </is>
      </c>
      <c r="EG232" s="53" t="inlineStr">
        <is>
          <t>1. Defect Escape Rate should be &lt;= 5%, for all Q1 releases
2. Defect Detection Efficiency should be &gt;95% for the Q1 releases
3. Automation testing · test cases coverage should be &gt;=50% for Q1 releases</t>
        </is>
      </c>
      <c r="EH232" s="53" t="n">
        <v>3</v>
      </c>
      <c r="EI232" s="53" t="n"/>
      <c r="EJ232" s="53" t="inlineStr">
        <is>
          <t>Same as per records</t>
        </is>
      </c>
      <c r="EK232" s="53" t="n"/>
      <c r="EL232" s="53" t="n">
        <v>3</v>
      </c>
      <c r="EM232" s="53" t="inlineStr">
        <is>
          <t>Medium</t>
        </is>
      </c>
      <c r="EN232" s="53" t="inlineStr">
        <is>
          <t>Core Contributor</t>
        </is>
      </c>
      <c r="EO232" s="53" t="inlineStr">
        <is>
          <t>Not Ready</t>
        </is>
      </c>
      <c r="EP232" s="53" t="inlineStr">
        <is>
          <t>No</t>
        </is>
      </c>
      <c r="EQ232" s="53" t="inlineStr">
        <is>
          <t>No</t>
        </is>
      </c>
      <c r="ER232" s="53" t="n"/>
      <c r="ES232" s="53" t="inlineStr">
        <is>
          <t>Training on the effective utilization of AI tools.</t>
        </is>
      </c>
      <c r="ET232" s="53" t="n"/>
      <c r="EU232" s="53" t="n"/>
      <c r="EV232" s="53" t="n"/>
      <c r="EW232" s="52" t="n"/>
      <c r="EX232" s="53" t="n"/>
      <c r="EY232" s="53" t="n"/>
      <c r="EZ232" s="53" t="n"/>
      <c r="FA232" s="53" t="n"/>
      <c r="FB232" s="53" t="n"/>
      <c r="FC232" s="53" t="n"/>
      <c r="FD232" s="53" t="n"/>
      <c r="FE232" s="57" t="inlineStr">
        <is>
          <t>1. Defect Escape Rate should be &lt;= 5% i.e. Each tested functionality should have less &lt;= 1 bug
2. Defect Detection Efficiency should be &gt;95%. 
3. Defect Leakage for Critical Functionality should be &lt;= 1 within a year
4. Automation testing · test cases coverage should be &gt;=50% for each functionality being tested
5. Skill Development: Planned training/certifications should be completed &gt;=80% within a year.</t>
        </is>
      </c>
      <c r="FF232" s="56" t="inlineStr">
        <is>
          <t>1. Defect Escape Rate should be &lt;= 5%, for all Q1 releases
2. Defect Detection Efficiency should be &gt;95% for the Q1 releases
3. Automation testing · test cases coverage should be &gt;=50% for Q1 releases</t>
        </is>
      </c>
      <c r="FG232" s="56" t="n"/>
      <c r="FH232" s="56" t="inlineStr">
        <is>
          <t>3</t>
        </is>
      </c>
      <c r="FI232" s="56" t="n"/>
      <c r="FJ232" s="56" t="inlineStr">
        <is>
          <t>Received · manager annual, quarterly</t>
        </is>
      </c>
      <c r="FK232" s="56" t="inlineStr">
        <is>
          <t>Talent Mapping · iDEAL</t>
        </is>
      </c>
      <c r="FL232" s="56" t="n">
        <v>20</v>
      </c>
      <c r="FM232" s="32" t="inlineStr">
        <is>
          <t>Full survey answers not in the files received · How We Grow export needed · HR</t>
        </is>
      </c>
      <c r="FN232" s="56" t="inlineStr">
        <is>
          <t>—</t>
        </is>
      </c>
      <c r="FO232" s="56" t="inlineStr">
        <is>
          <t>—</t>
        </is>
      </c>
      <c r="FP232" s="56" t="inlineStr">
        <is>
          <t>—</t>
        </is>
      </c>
      <c r="FQ232" s="56" t="inlineStr">
        <is>
          <t>—</t>
        </is>
      </c>
      <c r="FR232" s="56" t="inlineStr">
        <is>
          <t>Complexity: Evidence reads like A3: Test planning and execution, defect management, API testing with SQL/Postman; no harder problems detailed → matches the start
Autonomy: Evidence reads like A3: Names only 'independent testing'; mentions managing priorities in passing → matches the start
Accountability: Evidence reads like B1: Own test coverage and defect reporting plus the team's quality and timelines → matches the start
Leadership: Evidence reads like B1: Coordinates, supports and guides team members; four direct reports → matches the start
Business Impact: No survey or manager-mapping signal on criticality: kept at the start point.</t>
        </is>
      </c>
      <c r="FS232" s="56" t="inlineStr">
        <is>
          <t>Common themes in sub-family holders, all levels' answers: software · quality · product · requirements · user · before
Common themes in sub-family holders, all levels' answers: test · defect · reporting · regression · case · execution
Common themes in sub-family holders, all levels' answers: test · quality · reports · bug · cases · defect
Common themes in sub-family holders, all levels' answers: quality · test · accountable · am · release · reporting
Common themes in sub-family holders, all levels' answers: test · prioritize · independently · scenarios · identify · issues
If the work is missed · role-holders' themes: rework · production · issues · client.</t>
        </is>
      </c>
      <c r="FT232" s="56" t="inlineStr">
        <is>
          <t>Self-identified: Client, sales &amp; stakeholders · Communication &amp; presentation · Broader exposure &amp; ownership
For the next role: Client, sales &amp; stakeholders · Communication &amp; presentation · Broader exposure &amp; ownership</t>
        </is>
      </c>
      <c r="FU232" s="32" t="inlineStr">
        <is>
          <t>Full survey answers not in the files received · How We Grow export needed · HR</t>
        </is>
      </c>
    </row>
    <row r="233" ht="90" customHeight="1">
      <c r="A233" s="51" t="inlineStr">
        <is>
          <t>◂ Back</t>
        </is>
      </c>
      <c r="B233" s="29" t="inlineStr">
        <is>
          <t>Mapped</t>
        </is>
      </c>
      <c r="C233" s="28" t="inlineStr">
        <is>
          <t>iDEAL</t>
        </is>
      </c>
      <c r="D233" s="29" t="inlineStr">
        <is>
          <t>IRIS2271</t>
        </is>
      </c>
      <c r="E233" s="29" t="inlineStr">
        <is>
          <t>Atharv Ravindra Bokade</t>
        </is>
      </c>
      <c r="F233" s="29" t="inlineStr">
        <is>
          <t>Quality Assurance</t>
        </is>
      </c>
      <c r="G233" s="29" t="inlineStr">
        <is>
          <t>QA Engineer</t>
        </is>
      </c>
      <c r="H233" s="29" t="inlineStr">
        <is>
          <t>Senior QA Automation Engineer</t>
        </is>
      </c>
      <c r="I233" s="29" t="inlineStr">
        <is>
          <t>L2 – Trainee</t>
        </is>
      </c>
      <c r="J233" s="29" t="inlineStr">
        <is>
          <t>A3</t>
        </is>
      </c>
      <c r="K233" s="29" t="inlineStr">
        <is>
          <t>▲ Up</t>
        </is>
      </c>
      <c r="L233" s="29" t="inlineStr">
        <is>
          <t>Quality Assurance</t>
        </is>
      </c>
      <c r="M233" s="29" t="inlineStr">
        <is>
          <t>Test Automation</t>
        </is>
      </c>
      <c r="N233" s="29" t="n"/>
      <c r="O233" s="29" t="n">
        <v>20</v>
      </c>
      <c r="P233" s="28" t="inlineStr">
        <is>
          <t>P2</t>
        </is>
      </c>
      <c r="Q233" s="29" t="inlineStr">
        <is>
          <t>Developing</t>
        </is>
      </c>
      <c r="R233" s="29" t="inlineStr">
        <is>
          <t>3 Apply</t>
        </is>
      </c>
      <c r="S233" s="29" t="inlineStr">
        <is>
          <t>2–4 yrs</t>
        </is>
      </c>
      <c r="T233" s="29" t="inlineStr">
        <is>
          <t>3–5 · 2–5</t>
        </is>
      </c>
      <c r="U233" s="29" t="inlineStr">
        <is>
          <t>QA Engineer</t>
        </is>
      </c>
      <c r="V233" s="29" t="inlineStr">
        <is>
          <t>Workiva: SE · Broadridge India: SE · Nasdaq / AxiomSL: SE · IRIS Vs Market Benchmark — ISTQB certification pathway: Foundation</t>
        </is>
      </c>
      <c r="W233" s="29" t="inlineStr">
        <is>
          <t>ISTQB Foundation → Advanced → Expert; SFIA testing</t>
        </is>
      </c>
      <c r="X233" s="29" t="inlineStr">
        <is>
          <t>Core 2 · Future 2 · Functional 3 · Leadership not scored</t>
        </is>
      </c>
      <c r="Y233" s="52" t="n">
        <v>325</v>
      </c>
      <c r="Z233" s="53" t="inlineStr">
        <is>
          <t>IRIS2271</t>
        </is>
      </c>
      <c r="AA233" s="53" t="inlineStr">
        <is>
          <t>Employee</t>
        </is>
      </c>
      <c r="AB233" s="53" t="inlineStr">
        <is>
          <t>Active</t>
        </is>
      </c>
      <c r="AC233" s="53" t="inlineStr">
        <is>
          <t>Atharv Ravindra Bokade</t>
        </is>
      </c>
      <c r="AD233" s="54" t="n">
        <v>45449</v>
      </c>
      <c r="AE233" s="53" t="inlineStr">
        <is>
          <t>QA Engineer</t>
        </is>
      </c>
      <c r="AF233" s="53" t="inlineStr">
        <is>
          <t>B.E</t>
        </is>
      </c>
      <c r="AG233" s="53" t="inlineStr">
        <is>
          <t>Reena Gotal</t>
        </is>
      </c>
      <c r="AH233" s="53" t="inlineStr">
        <is>
          <t>N-4</t>
        </is>
      </c>
      <c r="AI233" s="53" t="inlineStr">
        <is>
          <t>Individual Contributor</t>
        </is>
      </c>
      <c r="AJ233" s="53" t="inlineStr">
        <is>
          <t>0 years, 0 months, 0 days</t>
        </is>
      </c>
      <c r="AK233" s="53" t="inlineStr">
        <is>
          <t>2 years, 2 months, 19 days</t>
        </is>
      </c>
      <c r="AL233" s="53" t="inlineStr">
        <is>
          <t>Regtech</t>
        </is>
      </c>
      <c r="AM233" s="53" t="inlineStr">
        <is>
          <t>iDEAL</t>
        </is>
      </c>
      <c r="AN233" s="53" t="inlineStr">
        <is>
          <t>Quality Assurance</t>
        </is>
      </c>
      <c r="AO233" s="53" t="inlineStr">
        <is>
          <t>Quality Assurance</t>
        </is>
      </c>
      <c r="AP233" s="53" t="inlineStr">
        <is>
          <t>Yes</t>
        </is>
      </c>
      <c r="AQ233" s="53" t="inlineStr">
        <is>
          <t>Product/Project</t>
        </is>
      </c>
      <c r="AR233" s="53" t="inlineStr">
        <is>
          <t>Software Testing</t>
        </is>
      </c>
      <c r="AS233" s="53" t="inlineStr">
        <is>
          <t>Technical · BA, PM and QA</t>
        </is>
      </c>
      <c r="AT233" s="53" t="n">
        <v>20</v>
      </c>
      <c r="AU233" s="53" t="inlineStr">
        <is>
          <t>Covered</t>
        </is>
      </c>
      <c r="AV233" s="53" t="n"/>
      <c r="AW233" s="53" t="n"/>
      <c r="AX233" s="53" t="n"/>
      <c r="AY233" s="53" t="n"/>
      <c r="AZ233" s="53" t="n"/>
      <c r="BA233" s="53" t="n"/>
      <c r="BB233" s="53" t="n"/>
      <c r="BC233" s="53" t="n"/>
      <c r="BD233" s="53" t="n"/>
      <c r="BE233" s="53" t="n"/>
      <c r="BF233" s="53" t="n"/>
      <c r="BG233" s="53" t="n"/>
      <c r="BH233" s="53" t="n"/>
      <c r="BI233" s="53" t="n"/>
      <c r="BJ233" s="53" t="n"/>
      <c r="BK233" s="53" t="n"/>
      <c r="BL233" s="53" t="n"/>
      <c r="BM233" s="53" t="n"/>
      <c r="BN233" s="53" t="n"/>
      <c r="BO233" s="53" t="n"/>
      <c r="BP233" s="53" t="n"/>
      <c r="BQ233" s="53" t="n"/>
      <c r="BR233" s="53" t="n"/>
      <c r="BS233" s="53" t="n"/>
      <c r="BT233" s="53" t="n"/>
      <c r="BU233" s="53" t="n"/>
      <c r="BV233" s="53" t="n"/>
      <c r="BW233" s="53" t="n"/>
      <c r="BX233" s="53" t="n"/>
      <c r="BY233" s="53" t="n"/>
      <c r="BZ233" s="53" t="n"/>
      <c r="CA233" s="53" t="n"/>
      <c r="CB233" s="53" t="n"/>
      <c r="CC233" s="53" t="n"/>
      <c r="CD233" s="53" t="n"/>
      <c r="CE233" s="53" t="n"/>
      <c r="CF233" s="53" t="n"/>
      <c r="CG233" s="53" t="n"/>
      <c r="CH233" s="53" t="n"/>
      <c r="CI233" s="53" t="n"/>
      <c r="CJ233" s="53" t="n"/>
      <c r="CK233" s="53" t="n"/>
      <c r="CL233" s="53" t="n"/>
      <c r="CM233" s="53" t="n"/>
      <c r="CN233" s="53" t="n"/>
      <c r="CO233" s="53" t="n"/>
      <c r="CP233" s="53" t="n"/>
      <c r="CQ233" s="53" t="n"/>
      <c r="CR233" s="53" t="n"/>
      <c r="CS233" s="53" t="n"/>
      <c r="CT233" s="53" t="n"/>
      <c r="CU233" s="53" t="n"/>
      <c r="CV233" s="53" t="n"/>
      <c r="CW233" s="53" t="n"/>
      <c r="CX233" s="53" t="n"/>
      <c r="CY233" s="53" t="n"/>
      <c r="CZ233" s="53" t="n"/>
      <c r="DA233" s="53" t="n"/>
      <c r="DB233" s="53" t="n"/>
      <c r="DC233" s="53" t="n"/>
      <c r="DD233" s="53" t="inlineStr">
        <is>
          <t>IRIS2271</t>
        </is>
      </c>
      <c r="DE233" s="53" t="inlineStr">
        <is>
          <t>Employee</t>
        </is>
      </c>
      <c r="DF233" s="53" t="inlineStr">
        <is>
          <t>Active</t>
        </is>
      </c>
      <c r="DG233" s="53" t="inlineStr">
        <is>
          <t>Atharv Ravindra Bokade</t>
        </is>
      </c>
      <c r="DH233" s="54" t="n">
        <v>45449</v>
      </c>
      <c r="DI233" s="53" t="inlineStr">
        <is>
          <t>Trainee QA Engineer</t>
        </is>
      </c>
      <c r="DJ233" s="53" t="inlineStr">
        <is>
          <t>Quality Assurance</t>
        </is>
      </c>
      <c r="DK233" s="53" t="inlineStr">
        <is>
          <t>Quality Engineering</t>
        </is>
      </c>
      <c r="DL233" s="53" t="inlineStr">
        <is>
          <t>Trainee QA Engineer</t>
        </is>
      </c>
      <c r="DM233" s="53" t="inlineStr">
        <is>
          <t>L2 – Trainee</t>
        </is>
      </c>
      <c r="DN233" s="53" t="inlineStr">
        <is>
          <t>B.E</t>
        </is>
      </c>
      <c r="DO233" s="53" t="inlineStr">
        <is>
          <t>Reena Gotal</t>
        </is>
      </c>
      <c r="DP233" s="53" t="inlineStr">
        <is>
          <t>N-4</t>
        </is>
      </c>
      <c r="DQ233" s="53" t="inlineStr">
        <is>
          <t>Individual Contributor</t>
        </is>
      </c>
      <c r="DR233" s="53" t="inlineStr">
        <is>
          <t>0 years, 0 months, 0 days</t>
        </is>
      </c>
      <c r="DS233" s="53" t="inlineStr">
        <is>
          <t>2 years, 0 months, 14 days</t>
        </is>
      </c>
      <c r="DT233" s="53" t="inlineStr">
        <is>
          <t>2 years, 0 months, 14 days</t>
        </is>
      </c>
      <c r="DU233" s="53" t="n"/>
      <c r="DV233" s="53" t="inlineStr">
        <is>
          <t>Regtech</t>
        </is>
      </c>
      <c r="DW233" s="53" t="inlineStr">
        <is>
          <t>iDEAL</t>
        </is>
      </c>
      <c r="DX233" s="53" t="inlineStr">
        <is>
          <t>Quality Assurance</t>
        </is>
      </c>
      <c r="DY233" s="53" t="inlineStr">
        <is>
          <t>Quality Assurance</t>
        </is>
      </c>
      <c r="DZ233" s="53" t="inlineStr">
        <is>
          <t>Yes</t>
        </is>
      </c>
      <c r="EA233" s="53" t="inlineStr">
        <is>
          <t>Product/Project</t>
        </is>
      </c>
      <c r="EB233" s="53" t="inlineStr">
        <is>
          <t>Software Testing</t>
        </is>
      </c>
      <c r="EC233" s="53" t="inlineStr">
        <is>
          <t>Technical · BA, PM and QA</t>
        </is>
      </c>
      <c r="ED233" s="53" t="inlineStr">
        <is>
          <t>Work From Office - Turbhe</t>
        </is>
      </c>
      <c r="EE233" s="53" t="inlineStr">
        <is>
          <t>1. Take ownership of assigned testing modules by ensuring timely test execution, complete test coverage, and supporting successful releases throughout FY 2026–27. 
2. Strengthen application security testing capabilities by performing VAPT activities for assigned modules and identifying security vulnerabilities during the testing lifecycle. 
3. Improve testing efficiency by effectively utilizing AI-assisted tools to reduce test case preparation time and enhance the quality and consistency of test documentation. 
4. Enhance professional skills by successfully completing at least one industry-recognized software testing certification during FY 2026–27.</t>
        </is>
      </c>
      <c r="EF233" s="53" t="inlineStr">
        <is>
          <t>1. Prepare comprehensive and maintainable test cases based on business requirements and user stories.
2.Ensure the delivery of high-quality software by executing testing activities with comprehensive test coverage and minimal production defects.
3. Complete assigned testing activities within project schedules while meeting quality standards.
4. Identify, report, and validate defects effectively to improve product quality.
5. Collaborate effectively with developers, Product Owners, business analysts, and team members to ensure successful project delivery.
6. Continuously enhance technical and domain knowledge through learning and knowledge-sharing activities.
7. Demonstrate ownership of assigned tasks and proactively support team objectives.</t>
        </is>
      </c>
      <c r="EG233" s="53" t="inlineStr">
        <is>
          <t>1.Complete end-to-end testing activities for the Ideal 6.0 release within the planned timelines while ensuring quality deliverables. 
2. Learn API Automation and develop automated test scripts for at least 5–10 API test scenarios by the end of the quarter. 
3. Perform VAPT/security testing for assigned application modules and document identified vulnerabilities with appropriate recommendations. 
4. Continue utilizing AI-assisted tools to improve testing productivity and reduce test case preparation time for newly assigned modules.</t>
        </is>
      </c>
      <c r="EH233" s="53" t="n">
        <v>3</v>
      </c>
      <c r="EI233" s="53" t="n"/>
      <c r="EJ233" s="53" t="inlineStr">
        <is>
          <t>Same as per records</t>
        </is>
      </c>
      <c r="EK233" s="53" t="n"/>
      <c r="EL233" s="53" t="n">
        <v>3</v>
      </c>
      <c r="EM233" s="53" t="inlineStr">
        <is>
          <t>Medium</t>
        </is>
      </c>
      <c r="EN233" s="53" t="inlineStr">
        <is>
          <t>Core Contributor</t>
        </is>
      </c>
      <c r="EO233" s="53" t="inlineStr">
        <is>
          <t>Not Ready</t>
        </is>
      </c>
      <c r="EP233" s="53" t="inlineStr">
        <is>
          <t>No</t>
        </is>
      </c>
      <c r="EQ233" s="53" t="inlineStr">
        <is>
          <t>No</t>
        </is>
      </c>
      <c r="ER233" s="53" t="n"/>
      <c r="ES233" s="53" t="inlineStr">
        <is>
          <t>XBRL Training, Training on the effective utilization of AI tools.</t>
        </is>
      </c>
      <c r="ET233" s="53" t="n"/>
      <c r="EU233" s="53" t="n"/>
      <c r="EV233" s="53" t="n"/>
      <c r="EW233" s="52" t="n"/>
      <c r="EX233" s="53" t="n"/>
      <c r="EY233" s="53" t="n"/>
      <c r="EZ233" s="53" t="n"/>
      <c r="FA233" s="53" t="n"/>
      <c r="FB233" s="53" t="n"/>
      <c r="FC233" s="53" t="n"/>
      <c r="FD233" s="53" t="n"/>
      <c r="FE233" s="57" t="inlineStr">
        <is>
          <t>1. Prepare comprehensive and maintainable test cases based on business requirements and user stories.
2.Ensure the delivery of high-quality software by executing testing activities with comprehensive test coverage and minimal production defects.
3. Complete assigned testing activities within project schedules while meeting quality standards.
4. Identify, report, and validate defects effectively to improve product quality.
5. Collaborate effectively with developers, Product Owners, business analysts, and team members to ensure successful project delivery.
6. Continuously enhance technical and domain knowledge through learning and knowledge-sharing activities.
7. Demonstrate ownership of assigned tasks and proactively support team objectives.</t>
        </is>
      </c>
      <c r="FF233" s="56" t="inlineStr">
        <is>
          <t>1.Complete end-to-end testing activities for the Ideal 6.0 release within the planned timelines while ensuring quality deliverables. 
2. Learn API Automation and develop automated test scripts for at least 5–10 API test scenarios by the end of the quarter. 
3. Perform VAPT/security testing for assigned application modules and document identified vulnerabilities with appropriate recommendations. 
4. Continue utilizing AI-assisted tools to improve testing productivity and reduce test case preparation time for newly assigned modules.</t>
        </is>
      </c>
      <c r="FG233" s="56" t="inlineStr">
        <is>
          <t>1. Take ownership of assigned testing modules by ensuring timely test execution, complete test coverage, and supporting successful releases throughout FY 2026–27. 
2. Strengthen application security testing capabilities by performing VAPT activities for assigned modules and identifying security vulnerabilities during the testing lifecycle. 
3. Improve testing efficiency by effectively utilizing AI-assisted tools to reduce test case preparation time and enhance the quality and consistency of test documentation. 
4. Enhance professional skills by successfully completing at least one industry-recognized software testing certification during FY 2026–27.</t>
        </is>
      </c>
      <c r="FH233" s="56" t="inlineStr">
        <is>
          <t>3</t>
        </is>
      </c>
      <c r="FI233" s="56" t="n"/>
      <c r="FJ233" s="56" t="inlineStr">
        <is>
          <t>Received · manager annual, quarterly, self</t>
        </is>
      </c>
      <c r="FK233" s="56" t="inlineStr">
        <is>
          <t>Talent Mapping · iDEAL</t>
        </is>
      </c>
      <c r="FL233" s="56" t="n">
        <v>20</v>
      </c>
      <c r="FM233" s="32" t="inlineStr">
        <is>
          <t>Full survey answers not in the files received · How We Grow export needed · HR</t>
        </is>
      </c>
      <c r="FN233" s="56" t="inlineStr">
        <is>
          <t>—</t>
        </is>
      </c>
      <c r="FO233" s="56" t="inlineStr">
        <is>
          <t>—</t>
        </is>
      </c>
      <c r="FP233" s="56" t="inlineStr">
        <is>
          <t>—</t>
        </is>
      </c>
      <c r="FQ233" s="56" t="inlineStr">
        <is>
          <t>—</t>
        </is>
      </c>
      <c r="FR233" s="56" t="inlineStr">
        <is>
          <t>Complexity: Evidence reads like A2: Writes test cases, manual testing and bug reports for regulatory applications; some Playwright and VAPT → matches the start
Autonomy: Evidence reads like A2: Cannot name independent decisions; only judges depth of testing → matches the start
Accountability: Evidence reads like A3: Accountable if bugs persist after own sign-off; delivery to client affected → moved up 0.5
Leadership: Evidence reads like A1: No guiding or leading of others described → matches the start
Business Impact: No survey or manager-mapping signal on criticality: kept at the start point.</t>
        </is>
      </c>
      <c r="FS233" s="56" t="inlineStr">
        <is>
          <t>Common themes in role-holders' answers: early · product · quality · automation · tests · testing
Common themes in role-holders' answers: testing · scripts · defects · testcase · automation · report
Common themes in role-holders' answers: reports · software · scripts · quality · test
Common themes in role-holders' answers: test · automation · quality · accountable · defect · identification
Common themes in role-holders' answers: testing
If the work is missed · role-holders' themes: testing · product · defects.
Measured on · manager-set KRA themes: test coverage · business · automation · knowledge · activities · comprehensive.</t>
        </is>
      </c>
      <c r="FT233" s="56" t="inlineStr">
        <is>
          <t>Self-identified: AI / automation · Testing &amp; quality
For the next role: AI / automation · Testing &amp; quality</t>
        </is>
      </c>
      <c r="FU233" s="32" t="inlineStr">
        <is>
          <t>Full survey answers not in the files received · How We Grow export needed · HR</t>
        </is>
      </c>
    </row>
    <row r="234" ht="90" customHeight="1">
      <c r="A234" s="51" t="inlineStr">
        <is>
          <t>◂ Back</t>
        </is>
      </c>
      <c r="B234" s="29" t="inlineStr">
        <is>
          <t>Mapped</t>
        </is>
      </c>
      <c r="C234" s="28" t="inlineStr">
        <is>
          <t>iDEAL</t>
        </is>
      </c>
      <c r="D234" s="29" t="inlineStr">
        <is>
          <t>IRIS2479</t>
        </is>
      </c>
      <c r="E234" s="29" t="inlineStr">
        <is>
          <t>Rohan Kailas Aher</t>
        </is>
      </c>
      <c r="F234" s="29" t="inlineStr">
        <is>
          <t>Quality Assurance</t>
        </is>
      </c>
      <c r="G234" s="29" t="inlineStr">
        <is>
          <t>QA Engineer</t>
        </is>
      </c>
      <c r="H234" s="29" t="inlineStr">
        <is>
          <t>Senior QA Engineer</t>
        </is>
      </c>
      <c r="I234" s="29" t="inlineStr">
        <is>
          <t>L3 – Professional / Associate</t>
        </is>
      </c>
      <c r="J234" s="29" t="inlineStr">
        <is>
          <t>A3</t>
        </is>
      </c>
      <c r="K234" s="29" t="inlineStr">
        <is>
          <t>▲ Up</t>
        </is>
      </c>
      <c r="L234" s="29" t="inlineStr">
        <is>
          <t>Quality Assurance</t>
        </is>
      </c>
      <c r="M234" s="29" t="inlineStr">
        <is>
          <t>Functional &amp; Domain Testing</t>
        </is>
      </c>
      <c r="N234" s="29" t="n"/>
      <c r="O234" s="29" t="n">
        <v>20</v>
      </c>
      <c r="P234" s="28" t="inlineStr">
        <is>
          <t>P2</t>
        </is>
      </c>
      <c r="Q234" s="29" t="inlineStr">
        <is>
          <t>Developing</t>
        </is>
      </c>
      <c r="R234" s="29" t="inlineStr">
        <is>
          <t>3 Apply</t>
        </is>
      </c>
      <c r="S234" s="29" t="inlineStr">
        <is>
          <t>2–4 yrs</t>
        </is>
      </c>
      <c r="T234" s="29" t="inlineStr">
        <is>
          <t>3–5 · 2–5</t>
        </is>
      </c>
      <c r="U234" s="29" t="inlineStr">
        <is>
          <t>QA Engineer</t>
        </is>
      </c>
      <c r="V234" s="29" t="inlineStr">
        <is>
          <t>Workiva: SE · Broadridge India: SE · Nasdaq / AxiomSL: SE · IRIS Vs Market Benchmark — ISTQB certification pathway: Foundation</t>
        </is>
      </c>
      <c r="W234" s="29" t="inlineStr">
        <is>
          <t>ISTQB Foundation → Advanced → Expert; SFIA testing</t>
        </is>
      </c>
      <c r="X234" s="29" t="inlineStr">
        <is>
          <t>Core 2 · Future 2 · Functional 3 · Leadership not scored</t>
        </is>
      </c>
      <c r="Y234" s="52" t="n">
        <v>454</v>
      </c>
      <c r="Z234" s="53" t="inlineStr">
        <is>
          <t>IRIS2479</t>
        </is>
      </c>
      <c r="AA234" s="53" t="inlineStr">
        <is>
          <t>Employee</t>
        </is>
      </c>
      <c r="AB234" s="53" t="inlineStr">
        <is>
          <t>Active</t>
        </is>
      </c>
      <c r="AC234" s="53" t="inlineStr">
        <is>
          <t>Rohan Kailas Aher</t>
        </is>
      </c>
      <c r="AD234" s="54" t="n">
        <v>46072</v>
      </c>
      <c r="AE234" s="53" t="inlineStr">
        <is>
          <t>QA Engineer</t>
        </is>
      </c>
      <c r="AF234" s="53" t="inlineStr">
        <is>
          <t>Civil engineering</t>
        </is>
      </c>
      <c r="AG234" s="53" t="inlineStr">
        <is>
          <t>Reena Gotal</t>
        </is>
      </c>
      <c r="AH234" s="53" t="inlineStr">
        <is>
          <t>N-4</t>
        </is>
      </c>
      <c r="AI234" s="53" t="inlineStr">
        <is>
          <t>Individual Contributor</t>
        </is>
      </c>
      <c r="AJ234" s="53" t="inlineStr">
        <is>
          <t>3 years, 0 months, 0 days</t>
        </is>
      </c>
      <c r="AK234" s="53" t="inlineStr">
        <is>
          <t>0 years, 6 months, 6 days</t>
        </is>
      </c>
      <c r="AL234" s="53" t="inlineStr">
        <is>
          <t>Regtech</t>
        </is>
      </c>
      <c r="AM234" s="53" t="inlineStr">
        <is>
          <t>iDEAL</t>
        </is>
      </c>
      <c r="AN234" s="53" t="inlineStr">
        <is>
          <t>Quality Assurance</t>
        </is>
      </c>
      <c r="AO234" s="53" t="inlineStr">
        <is>
          <t>Quality Assurance</t>
        </is>
      </c>
      <c r="AP234" s="53" t="inlineStr">
        <is>
          <t>No</t>
        </is>
      </c>
      <c r="AQ234" s="53" t="inlineStr">
        <is>
          <t>Product/Project</t>
        </is>
      </c>
      <c r="AR234" s="53" t="inlineStr">
        <is>
          <t>Software Testing</t>
        </is>
      </c>
      <c r="AS234" s="53" t="inlineStr">
        <is>
          <t>Technical · BA, PM and QA</t>
        </is>
      </c>
      <c r="AT234" s="53" t="n">
        <v>20</v>
      </c>
      <c r="AU234" s="53" t="inlineStr">
        <is>
          <t>Covered</t>
        </is>
      </c>
      <c r="AV234" s="53" t="n"/>
      <c r="AW234" s="53" t="n"/>
      <c r="AX234" s="53" t="n"/>
      <c r="AY234" s="53" t="n"/>
      <c r="AZ234" s="53" t="n"/>
      <c r="BA234" s="53" t="n"/>
      <c r="BB234" s="53" t="n"/>
      <c r="BC234" s="53" t="n"/>
      <c r="BD234" s="53" t="n"/>
      <c r="BE234" s="53" t="n"/>
      <c r="BF234" s="53" t="n"/>
      <c r="BG234" s="53" t="n"/>
      <c r="BH234" s="53" t="n"/>
      <c r="BI234" s="53" t="n"/>
      <c r="BJ234" s="53" t="n"/>
      <c r="BK234" s="53" t="n"/>
      <c r="BL234" s="53" t="n"/>
      <c r="BM234" s="53" t="n"/>
      <c r="BN234" s="53" t="n"/>
      <c r="BO234" s="53" t="n"/>
      <c r="BP234" s="53" t="n"/>
      <c r="BQ234" s="53" t="n"/>
      <c r="BR234" s="53" t="n"/>
      <c r="BS234" s="53" t="n"/>
      <c r="BT234" s="53" t="n"/>
      <c r="BU234" s="53" t="n"/>
      <c r="BV234" s="53" t="n"/>
      <c r="BW234" s="53" t="n"/>
      <c r="BX234" s="53" t="n"/>
      <c r="BY234" s="53" t="n"/>
      <c r="BZ234" s="53" t="n"/>
      <c r="CA234" s="53" t="n"/>
      <c r="CB234" s="53" t="n"/>
      <c r="CC234" s="53" t="n"/>
      <c r="CD234" s="53" t="n"/>
      <c r="CE234" s="53" t="n"/>
      <c r="CF234" s="53" t="n"/>
      <c r="CG234" s="53" t="n"/>
      <c r="CH234" s="53" t="n"/>
      <c r="CI234" s="53" t="n"/>
      <c r="CJ234" s="53" t="n"/>
      <c r="CK234" s="53" t="n"/>
      <c r="CL234" s="53" t="n"/>
      <c r="CM234" s="53" t="n"/>
      <c r="CN234" s="53" t="n"/>
      <c r="CO234" s="53" t="n"/>
      <c r="CP234" s="53" t="n"/>
      <c r="CQ234" s="53" t="n"/>
      <c r="CR234" s="53" t="n"/>
      <c r="CS234" s="53" t="n"/>
      <c r="CT234" s="53" t="n"/>
      <c r="CU234" s="53" t="n"/>
      <c r="CV234" s="53" t="n"/>
      <c r="CW234" s="53" t="n"/>
      <c r="CX234" s="53" t="n"/>
      <c r="CY234" s="53" t="n"/>
      <c r="CZ234" s="53" t="n"/>
      <c r="DA234" s="53" t="n"/>
      <c r="DB234" s="53" t="n"/>
      <c r="DC234" s="53" t="n"/>
      <c r="DD234" s="53" t="inlineStr">
        <is>
          <t>IRIS2479</t>
        </is>
      </c>
      <c r="DE234" s="53" t="inlineStr">
        <is>
          <t>Employee</t>
        </is>
      </c>
      <c r="DF234" s="53" t="inlineStr">
        <is>
          <t>Active</t>
        </is>
      </c>
      <c r="DG234" s="53" t="inlineStr">
        <is>
          <t>Rohan Kailas Aher</t>
        </is>
      </c>
      <c r="DH234" s="54" t="n">
        <v>46072</v>
      </c>
      <c r="DI234" s="53" t="inlineStr">
        <is>
          <t>QA Engineer</t>
        </is>
      </c>
      <c r="DJ234" s="53" t="inlineStr">
        <is>
          <t>Quality Assurance</t>
        </is>
      </c>
      <c r="DK234" s="53" t="inlineStr">
        <is>
          <t>Quality Engineering</t>
        </is>
      </c>
      <c r="DL234" s="53" t="inlineStr">
        <is>
          <t>QA Engineer</t>
        </is>
      </c>
      <c r="DM234" s="53" t="inlineStr">
        <is>
          <t>L3 – Professional / Associate</t>
        </is>
      </c>
      <c r="DN234" s="53" t="inlineStr">
        <is>
          <t>Civil engineering</t>
        </is>
      </c>
      <c r="DO234" s="53" t="inlineStr">
        <is>
          <t>Reena Gotal</t>
        </is>
      </c>
      <c r="DP234" s="53" t="inlineStr">
        <is>
          <t>N-4</t>
        </is>
      </c>
      <c r="DQ234" s="53" t="inlineStr">
        <is>
          <t>Individual Contributor</t>
        </is>
      </c>
      <c r="DR234" s="53" t="inlineStr">
        <is>
          <t>3 years, 0 months, 0 days</t>
        </is>
      </c>
      <c r="DS234" s="53" t="inlineStr">
        <is>
          <t>0 years, 4 months, 1 days</t>
        </is>
      </c>
      <c r="DT234" s="53" t="inlineStr">
        <is>
          <t>3 years, 4 months, 1 days</t>
        </is>
      </c>
      <c r="DU234" s="53" t="n"/>
      <c r="DV234" s="53" t="inlineStr">
        <is>
          <t>Regtech</t>
        </is>
      </c>
      <c r="DW234" s="53" t="inlineStr">
        <is>
          <t>iDEAL</t>
        </is>
      </c>
      <c r="DX234" s="53" t="inlineStr">
        <is>
          <t>Quality Assurance</t>
        </is>
      </c>
      <c r="DY234" s="53" t="inlineStr">
        <is>
          <t>Quality Assurance</t>
        </is>
      </c>
      <c r="DZ234" s="53" t="inlineStr">
        <is>
          <t>No</t>
        </is>
      </c>
      <c r="EA234" s="53" t="inlineStr">
        <is>
          <t>Product/Project</t>
        </is>
      </c>
      <c r="EB234" s="53" t="inlineStr">
        <is>
          <t>Software Testing</t>
        </is>
      </c>
      <c r="EC234" s="53" t="inlineStr">
        <is>
          <t>Technical · BA, PM and QA</t>
        </is>
      </c>
      <c r="ED234" s="53" t="inlineStr">
        <is>
          <t>Work From Office - Turbhe</t>
        </is>
      </c>
      <c r="EE234" s="53" t="inlineStr">
        <is>
          <t>1. Deliver high-quality manual testing and improve product quality.
2. Learn and implement automation testing in the project.
3. Improve efficiency using AI tools for requirement understanding and test case writing.
4. Enhance testing knowledge and contribute to faster releases.</t>
        </is>
      </c>
      <c r="EF234" s="53" t="inlineStr">
        <is>
          <t>1. Prepare comprehensive and maintainable test cases based on business requirements and user stories.
2.Ensure the delivery of high-quality software by executing testing activities with comprehensive test coverage and minimal production defects.
3. Complete assigned testing activities within project schedules while meeting quality standards.
4. Identify, report, and validate defects effectively to improve product quality.
5. Collaborate effectively with developers, Product Owners, business analysts, and team members to ensure successful project delivery.
6. Continuously enhance technical and domain knowledge through learning and knowledge-sharing activities.
7. Demonstrate ownership of assigned tasks and proactively support team objectives.</t>
        </is>
      </c>
      <c r="EG234" s="53" t="inlineStr">
        <is>
          <t>1. Continue manual testing with better quality and coverage.
2. Learn and implement automation for selected test scenarios.
3. Use AI tools to improve efficiency in requirement analysis and test case writing.
4. Improve testing speed and reduce manual effort.</t>
        </is>
      </c>
      <c r="EH234" s="53" t="n">
        <v>3</v>
      </c>
      <c r="EI234" s="53" t="n"/>
      <c r="EJ234" s="53" t="inlineStr">
        <is>
          <t>Same as per records</t>
        </is>
      </c>
      <c r="EK234" s="53" t="n"/>
      <c r="EL234" s="53" t="n">
        <v>3</v>
      </c>
      <c r="EM234" s="53" t="inlineStr">
        <is>
          <t>Medium</t>
        </is>
      </c>
      <c r="EN234" s="53" t="inlineStr">
        <is>
          <t>Core Contributor</t>
        </is>
      </c>
      <c r="EO234" s="53" t="inlineStr">
        <is>
          <t>Not Ready</t>
        </is>
      </c>
      <c r="EP234" s="53" t="inlineStr">
        <is>
          <t>No</t>
        </is>
      </c>
      <c r="EQ234" s="53" t="inlineStr">
        <is>
          <t>No</t>
        </is>
      </c>
      <c r="ER234" s="53" t="n"/>
      <c r="ES234" s="53" t="inlineStr">
        <is>
          <t>XBRL Training, Training on the effective utilization of AI tools.</t>
        </is>
      </c>
      <c r="ET234" s="53" t="n"/>
      <c r="EU234" s="53" t="n"/>
      <c r="EV234" s="53" t="n"/>
      <c r="EW234" s="52" t="n"/>
      <c r="EX234" s="53" t="n"/>
      <c r="EY234" s="53" t="n"/>
      <c r="EZ234" s="53" t="n"/>
      <c r="FA234" s="53" t="n"/>
      <c r="FB234" s="53" t="n"/>
      <c r="FC234" s="53" t="n"/>
      <c r="FD234" s="53" t="n"/>
      <c r="FE234" s="57" t="inlineStr">
        <is>
          <t>1. Prepare comprehensive and maintainable test cases based on business requirements and user stories.
2.Ensure the delivery of high-quality software by executing testing activities with comprehensive test coverage and minimal production defects.
3. Complete assigned testing activities within project schedules while meeting quality standards.
4. Identify, report, and validate defects effectively to improve product quality.
5. Collaborate effectively with developers, Product Owners, business analysts, and team members to ensure successful project delivery.
6. Continuously enhance technical and domain knowledge through learning and knowledge-sharing activities.
7. Demonstrate ownership of assigned tasks and proactively support team objectives.</t>
        </is>
      </c>
      <c r="FF234" s="56" t="inlineStr">
        <is>
          <t>1. Continue manual testing with better quality and coverage.
2. Learn and implement automation for selected test scenarios.
3. Use AI tools to improve efficiency in requirement analysis and test case writing.
4. Improve testing speed and reduce manual effort.</t>
        </is>
      </c>
      <c r="FG234" s="56" t="inlineStr">
        <is>
          <t>1. Deliver high-quality manual testing and improve product quality.
2. Learn and implement automation testing in the project.
3. Improve efficiency using AI tools for requirement understanding and test case writing.
4. Enhance testing knowledge and contribute to faster releases.</t>
        </is>
      </c>
      <c r="FH234" s="56" t="inlineStr">
        <is>
          <t>3</t>
        </is>
      </c>
      <c r="FI234" s="56" t="n"/>
      <c r="FJ234" s="56" t="inlineStr">
        <is>
          <t>Received · manager annual, quarterly, self</t>
        </is>
      </c>
      <c r="FK234" s="56" t="inlineStr">
        <is>
          <t>Talent Mapping · iDEAL</t>
        </is>
      </c>
      <c r="FL234" s="56" t="n">
        <v>20</v>
      </c>
      <c r="FM234" s="32" t="inlineStr">
        <is>
          <t>Full survey answers not in the files received · How We Grow export needed · HR</t>
        </is>
      </c>
      <c r="FN234" s="56" t="inlineStr">
        <is>
          <t>—</t>
        </is>
      </c>
      <c r="FO234" s="56" t="inlineStr">
        <is>
          <t>—</t>
        </is>
      </c>
      <c r="FP234" s="56" t="inlineStr">
        <is>
          <t>—</t>
        </is>
      </c>
      <c r="FQ234" s="56" t="inlineStr">
        <is>
          <t>—</t>
        </is>
      </c>
      <c r="FR234" s="56" t="inlineStr">
        <is>
          <t>Complexity: Evidence reads like A2: Testing, bug reporting, retesting, API testing and documentation; no harder cases shown → matches the start
Autonomy: Evidence reads like A2: States 'routine decisions' only → matches the start
Accountability: Evidence reads like A2: Own assigned testing work, its quality and timeliness → matches the start
Leadership: Evidence reads like A1: No guiding or leading of others described → matches the start
Business Impact: No survey or manager-mapping signal on criticality: kept at the start point.</t>
        </is>
      </c>
      <c r="FS234" s="56"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FT234" s="56" t="inlineStr">
        <is>
          <t>Self-identified: Leadership &amp; people management · Domain, regulatory &amp; XBRL
For the next role: Leadership &amp; people management · Domain, regulatory &amp; XBRL</t>
        </is>
      </c>
      <c r="FU234" s="32" t="inlineStr">
        <is>
          <t>Full survey answers not in the files received · How We Grow export needed · HR</t>
        </is>
      </c>
    </row>
    <row r="235" ht="90" customHeight="1">
      <c r="A235" s="51" t="inlineStr">
        <is>
          <t>◂ Back</t>
        </is>
      </c>
      <c r="B235" s="29" t="inlineStr">
        <is>
          <t>Mapped</t>
        </is>
      </c>
      <c r="C235" s="28" t="inlineStr">
        <is>
          <t>iDEAL</t>
        </is>
      </c>
      <c r="D235" s="29" t="inlineStr">
        <is>
          <t>IRIS2437</t>
        </is>
      </c>
      <c r="E235" s="29" t="inlineStr">
        <is>
          <t>Shubham Kamble</t>
        </is>
      </c>
      <c r="F235" s="29" t="inlineStr">
        <is>
          <t>Quality Assurance</t>
        </is>
      </c>
      <c r="G235" s="29" t="inlineStr">
        <is>
          <t>QA Automation Engineer</t>
        </is>
      </c>
      <c r="H235" s="29" t="inlineStr">
        <is>
          <t>Senior QA Automation Engineer</t>
        </is>
      </c>
      <c r="I235" s="29" t="inlineStr">
        <is>
          <t>L3 – Professional / Associate</t>
        </is>
      </c>
      <c r="J235" s="29" t="inlineStr">
        <is>
          <t>A3</t>
        </is>
      </c>
      <c r="K235" s="29" t="inlineStr">
        <is>
          <t>▲ Up</t>
        </is>
      </c>
      <c r="L235" s="29" t="inlineStr">
        <is>
          <t>Quality Assurance</t>
        </is>
      </c>
      <c r="M235" s="29" t="inlineStr">
        <is>
          <t>Test Automation</t>
        </is>
      </c>
      <c r="N235" s="29" t="n"/>
      <c r="O235" s="29" t="n">
        <v>20</v>
      </c>
      <c r="P235" s="28" t="inlineStr">
        <is>
          <t>P2</t>
        </is>
      </c>
      <c r="Q235" s="29" t="inlineStr">
        <is>
          <t>Developing</t>
        </is>
      </c>
      <c r="R235" s="29" t="inlineStr">
        <is>
          <t>3 Apply</t>
        </is>
      </c>
      <c r="S235" s="29" t="inlineStr">
        <is>
          <t>2–4 yrs</t>
        </is>
      </c>
      <c r="T235" s="29" t="inlineStr">
        <is>
          <t>3–5 · 2–5</t>
        </is>
      </c>
      <c r="U235" s="29" t="inlineStr">
        <is>
          <t>QA Engineer</t>
        </is>
      </c>
      <c r="V235" s="29" t="inlineStr">
        <is>
          <t>Workiva: SE · Broadridge India: SE · Nasdaq / AxiomSL: SE · IRIS Vs Market Benchmark — ISTQB certification pathway: Foundation</t>
        </is>
      </c>
      <c r="W235" s="29" t="inlineStr">
        <is>
          <t>ISTQB Foundation → Advanced → Expert; SFIA testing</t>
        </is>
      </c>
      <c r="X235" s="29" t="inlineStr">
        <is>
          <t>Core 2 · Future 2 · Functional 3 · Leadership not scored</t>
        </is>
      </c>
      <c r="Y235" s="52" t="n">
        <v>405</v>
      </c>
      <c r="Z235" s="53" t="inlineStr">
        <is>
          <t>IRIS2437</t>
        </is>
      </c>
      <c r="AA235" s="53" t="inlineStr">
        <is>
          <t>Employee</t>
        </is>
      </c>
      <c r="AB235" s="53" t="inlineStr">
        <is>
          <t>Active</t>
        </is>
      </c>
      <c r="AC235" s="53" t="inlineStr">
        <is>
          <t>Shubham Kamble</t>
        </is>
      </c>
      <c r="AD235" s="54" t="n">
        <v>45944</v>
      </c>
      <c r="AE235" s="53" t="inlineStr">
        <is>
          <t>QA Automation Engineer</t>
        </is>
      </c>
      <c r="AF235" s="53" t="inlineStr">
        <is>
          <t>B.Tech</t>
        </is>
      </c>
      <c r="AG235" s="53" t="inlineStr">
        <is>
          <t>Reena Gotal</t>
        </is>
      </c>
      <c r="AH235" s="53" t="inlineStr">
        <is>
          <t>N-4</t>
        </is>
      </c>
      <c r="AI235" s="53" t="inlineStr">
        <is>
          <t>Individual Contributor</t>
        </is>
      </c>
      <c r="AJ235" s="53" t="inlineStr">
        <is>
          <t>3 years, 5 months, 0 days</t>
        </is>
      </c>
      <c r="AK235" s="53" t="inlineStr">
        <is>
          <t>0 years, 10 months, 11 days</t>
        </is>
      </c>
      <c r="AL235" s="53" t="inlineStr">
        <is>
          <t>Regtech</t>
        </is>
      </c>
      <c r="AM235" s="53" t="inlineStr">
        <is>
          <t>iDEAL</t>
        </is>
      </c>
      <c r="AN235" s="53" t="inlineStr">
        <is>
          <t>Quality Assurance</t>
        </is>
      </c>
      <c r="AO235" s="53" t="inlineStr">
        <is>
          <t>Quality Assurance</t>
        </is>
      </c>
      <c r="AP235" s="53" t="inlineStr">
        <is>
          <t>No</t>
        </is>
      </c>
      <c r="AQ235" s="53" t="inlineStr">
        <is>
          <t>Product/Project</t>
        </is>
      </c>
      <c r="AR235" s="53" t="inlineStr">
        <is>
          <t>Software Testing</t>
        </is>
      </c>
      <c r="AS235" s="53" t="inlineStr">
        <is>
          <t>Technical · BA, PM and QA</t>
        </is>
      </c>
      <c r="AT235" s="53" t="n">
        <v>20</v>
      </c>
      <c r="AU235" s="53" t="inlineStr">
        <is>
          <t>Covered</t>
        </is>
      </c>
      <c r="AV235" s="53" t="n"/>
      <c r="AW235" s="53" t="n"/>
      <c r="AX235" s="53" t="n"/>
      <c r="AY235" s="53" t="n"/>
      <c r="AZ235" s="53" t="n"/>
      <c r="BA235" s="53" t="n"/>
      <c r="BB235" s="53" t="n"/>
      <c r="BC235" s="53" t="n"/>
      <c r="BD235" s="53" t="n"/>
      <c r="BE235" s="53" t="n"/>
      <c r="BF235" s="53" t="n"/>
      <c r="BG235" s="53" t="n"/>
      <c r="BH235" s="53" t="n"/>
      <c r="BI235" s="53" t="n"/>
      <c r="BJ235" s="53" t="n"/>
      <c r="BK235" s="53" t="n"/>
      <c r="BL235" s="53" t="n"/>
      <c r="BM235" s="53" t="n"/>
      <c r="BN235" s="53" t="n"/>
      <c r="BO235" s="53" t="n"/>
      <c r="BP235" s="53" t="n"/>
      <c r="BQ235" s="53" t="n"/>
      <c r="BR235" s="53" t="n"/>
      <c r="BS235" s="53" t="n"/>
      <c r="BT235" s="53" t="n"/>
      <c r="BU235" s="53" t="n"/>
      <c r="BV235" s="53" t="n"/>
      <c r="BW235" s="53" t="n"/>
      <c r="BX235" s="53" t="n"/>
      <c r="BY235" s="53" t="n"/>
      <c r="BZ235" s="53" t="n"/>
      <c r="CA235" s="53" t="n"/>
      <c r="CB235" s="53" t="n"/>
      <c r="CC235" s="53" t="n"/>
      <c r="CD235" s="53" t="n"/>
      <c r="CE235" s="53" t="n"/>
      <c r="CF235" s="53" t="n"/>
      <c r="CG235" s="53" t="n"/>
      <c r="CH235" s="53" t="n"/>
      <c r="CI235" s="53" t="n"/>
      <c r="CJ235" s="53" t="n"/>
      <c r="CK235" s="53" t="n"/>
      <c r="CL235" s="53" t="n"/>
      <c r="CM235" s="53" t="n"/>
      <c r="CN235" s="53" t="n"/>
      <c r="CO235" s="53" t="n"/>
      <c r="CP235" s="53" t="n"/>
      <c r="CQ235" s="53" t="n"/>
      <c r="CR235" s="53" t="n"/>
      <c r="CS235" s="53" t="n"/>
      <c r="CT235" s="53" t="n"/>
      <c r="CU235" s="53" t="n"/>
      <c r="CV235" s="53" t="n"/>
      <c r="CW235" s="53" t="n"/>
      <c r="CX235" s="53" t="n"/>
      <c r="CY235" s="53" t="n"/>
      <c r="CZ235" s="53" t="n"/>
      <c r="DA235" s="53" t="n"/>
      <c r="DB235" s="53" t="n"/>
      <c r="DC235" s="53" t="n"/>
      <c r="DD235" s="53" t="inlineStr">
        <is>
          <t>IRIS2437</t>
        </is>
      </c>
      <c r="DE235" s="53" t="inlineStr">
        <is>
          <t>Employee</t>
        </is>
      </c>
      <c r="DF235" s="53" t="inlineStr">
        <is>
          <t>Active</t>
        </is>
      </c>
      <c r="DG235" s="53" t="inlineStr">
        <is>
          <t>Shubham Kamble</t>
        </is>
      </c>
      <c r="DH235" s="54" t="n">
        <v>45944</v>
      </c>
      <c r="DI235" s="53" t="inlineStr">
        <is>
          <t>QA Automation Engineer</t>
        </is>
      </c>
      <c r="DJ235" s="53" t="inlineStr">
        <is>
          <t>Quality Assurance</t>
        </is>
      </c>
      <c r="DK235" s="53" t="inlineStr">
        <is>
          <t>QA Automation</t>
        </is>
      </c>
      <c r="DL235" s="53" t="inlineStr">
        <is>
          <t>QA Automation Engineer</t>
        </is>
      </c>
      <c r="DM235" s="53" t="inlineStr">
        <is>
          <t>L3 – Professional / Associate</t>
        </is>
      </c>
      <c r="DN235" s="53" t="inlineStr">
        <is>
          <t>B.Tech</t>
        </is>
      </c>
      <c r="DO235" s="53" t="inlineStr">
        <is>
          <t>Reena Gotal</t>
        </is>
      </c>
      <c r="DP235" s="53" t="inlineStr">
        <is>
          <t>N-4</t>
        </is>
      </c>
      <c r="DQ235" s="53" t="inlineStr">
        <is>
          <t>Individual Contributor</t>
        </is>
      </c>
      <c r="DR235" s="53" t="inlineStr">
        <is>
          <t>3 years, 5 months, 0 days</t>
        </is>
      </c>
      <c r="DS235" s="53" t="inlineStr">
        <is>
          <t>0 years, 8 months, 6 days</t>
        </is>
      </c>
      <c r="DT235" s="53" t="inlineStr">
        <is>
          <t>4 years, 1 months, 6 days</t>
        </is>
      </c>
      <c r="DU235" s="53" t="n"/>
      <c r="DV235" s="53" t="inlineStr">
        <is>
          <t>Regtech</t>
        </is>
      </c>
      <c r="DW235" s="53" t="inlineStr">
        <is>
          <t>iDEAL</t>
        </is>
      </c>
      <c r="DX235" s="53" t="inlineStr">
        <is>
          <t>Quality Assurance</t>
        </is>
      </c>
      <c r="DY235" s="53" t="inlineStr">
        <is>
          <t>Quality Assurance</t>
        </is>
      </c>
      <c r="DZ235" s="53" t="inlineStr">
        <is>
          <t>No</t>
        </is>
      </c>
      <c r="EA235" s="53" t="inlineStr">
        <is>
          <t>Product/Project</t>
        </is>
      </c>
      <c r="EB235" s="53" t="inlineStr">
        <is>
          <t>Software Testing</t>
        </is>
      </c>
      <c r="EC235" s="53" t="inlineStr">
        <is>
          <t>Technical · BA, PM and QA</t>
        </is>
      </c>
      <c r="ED235" s="53" t="inlineStr">
        <is>
          <t>Work From Office - Turbhe</t>
        </is>
      </c>
      <c r="EE235" s="53" t="inlineStr">
        <is>
          <t>1. Deliver scalable automation foundation for current and future iDeal versions.
Convert maximum repetitive regression scenarios from manual to automation.
Maintain stable, reusable framework with measurable reduction in regression effort and execution time.
2. Ensure cross-product framework reuse and reduced automation development cycle for new projects/releases.
3. Provide consistent test coverage across all supported versions.
Improve release confidence through a balanced manual + automated QA strategy.
4. Complete AI Testing certification · target by Mar 2027.
Institutionalize AI-assisted QA practices · prompt standards, review checklist, use cases.
Demonstrate measurable gains in productivity, test design speed, and troubleshooting turnaround time.
5. Run periodic unattended regression suites with actionable reporting.
Improve feedback cycle for QA and stakeholders through CI-driven test visibility.
6. Identify and automate additional high-volume scenarios to improve operational efficiency and reduce manual dependency.</t>
        </is>
      </c>
      <c r="EF235" s="53" t="inlineStr">
        <is>
          <t>1. Prepare comprehensive and maintainable test cases based on business requirements and user stories.
2.Ensure the delivery of high-quality software by executing testing activities with comprehensive test coverage and minimal production defects.
3. Complete assigned testing activities within project schedules while meeting quality standards.
4. Identify, report, and validate defects effectively to improve product quality.
5. Increase automation coverage and contribute to continuous improvement of testing processes.
6. Collaborate effectively with developers, Product Owners, business analysts, and team members to ensure successful project delivery.
7. Continuously enhance technical and domain knowledge through learning and knowledge-sharing activities.
8. Demonstrate ownership of assigned tasks and proactively support team objectives.</t>
        </is>
      </c>
      <c r="EG235" s="53" t="inlineStr">
        <is>
          <t>1. Enhance Playwright Automation Framework
Build and maintain a scalable, reusable Playwright · Java automation framework for iDEAL applications with improved coverage, maintainability, and documentation.
2. Prepare Automation for Future Releases
Develop reusable automation standards and accelerators to support upcoming iDEAL releases and the CIC project.
3. Ensure Product Quality
Perform end-to-end manual and regression testing for iDEAL versions, verify defects, and increase automation coverage for regression scenarios.
4. Leverage AI for QA Productivity
Apply AI tools, prompting techniques, and LLM concepts to improve testing efficiency, automation development, and defect analysis.
5. Implement CI/CD Automation
Configure Jenkins-based automated regression execution with centralized reporting for all supported iDEAL versions.
6. Develop Scalable UI &amp; API Automation
Create reusable UI and API automation solutions for complex business workflows to improve automation efficiency and performance.</t>
        </is>
      </c>
      <c r="EH235" s="53" t="n">
        <v>3</v>
      </c>
      <c r="EI235" s="53" t="n"/>
      <c r="EJ235" s="53" t="inlineStr">
        <is>
          <t>Same as per records</t>
        </is>
      </c>
      <c r="EK235" s="53" t="n"/>
      <c r="EL235" s="53" t="n">
        <v>3</v>
      </c>
      <c r="EM235" s="53" t="inlineStr">
        <is>
          <t>Medium</t>
        </is>
      </c>
      <c r="EN235" s="53" t="inlineStr">
        <is>
          <t>Emerging Talent</t>
        </is>
      </c>
      <c r="EO235" s="53" t="inlineStr">
        <is>
          <t>Not Ready</t>
        </is>
      </c>
      <c r="EP235" s="53" t="inlineStr">
        <is>
          <t>No</t>
        </is>
      </c>
      <c r="EQ235" s="53" t="inlineStr">
        <is>
          <t>No</t>
        </is>
      </c>
      <c r="ER235" s="53" t="n"/>
      <c r="ES235" s="53" t="inlineStr">
        <is>
          <t>XBRL Training, Training on the effective utilization of AI tools.</t>
        </is>
      </c>
      <c r="ET235" s="53" t="n"/>
      <c r="EU235" s="53" t="n"/>
      <c r="EV235" s="53" t="n"/>
      <c r="EW235" s="52" t="n"/>
      <c r="EX235" s="53" t="n"/>
      <c r="EY235" s="53" t="n"/>
      <c r="EZ235" s="53" t="n"/>
      <c r="FA235" s="53" t="n"/>
      <c r="FB235" s="53" t="n"/>
      <c r="FC235" s="53" t="n"/>
      <c r="FD235" s="53" t="n"/>
      <c r="FE235" s="57" t="inlineStr">
        <is>
          <t>1. Prepare comprehensive and maintainable test cases based on business requirements and user stories.
2.Ensure the delivery of high-quality software by executing testing activities with comprehensive test coverage and minimal production defects.
3. Complete assigned testing activities within project schedules while meeting quality standards.
4. Identify, report, and validate defects effectively to improve product quality.
5. Increase automation coverage and contribute to continuous improvement of testing processes.
6. Collaborate effectively with developers, Product Owners, business analysts, and team members to ensure successful project delivery.
7. Continuously enhance technical and domain knowledge through learning and knowledge-sharing activities.
8. Demonstrate ownership of assigned tasks and proactively support team objectives.</t>
        </is>
      </c>
      <c r="FF235" s="56" t="inlineStr">
        <is>
          <t>1. Enhance Playwright Automation Framework
Build and maintain a scalable, reusable Playwright · Java automation framework for iDEAL applications with improved coverage, maintainability, and documentation.
2. Prepare Automation for Future Releases
Develop reusable automation standards and accelerators to support upcoming iDEAL releases and the CIC project.
3. Ensure Product Quality
Perform end-to-end manual and regression testing for iDEAL versions, verify defects, and increase automation coverage for regression scenarios.
4. Leverage AI for QA Productivity
Apply AI tools, prompting techniques, and LLM concepts to improve testing efficiency, automation development, and defect analysis.
5. Implement CI/CD Automation
Configure Jenkins-based automated regression execution with centralized reporting for all supported iDEAL versions.
6. Develop Scalable UI &amp; API Automation
Create reusable UI and API automation solutions for complex business workflows to improve automation efficiency and performance.</t>
        </is>
      </c>
      <c r="FG235" s="56" t="inlineStr">
        <is>
          <t>1. Deliver scalable automation foundation for current and future iDeal versions.
Convert maximum repetitive regression scenarios from manual to automation.
Maintain stable, reusable framework with measurable reduction in regression effort and execution time.
2. Ensure cross-product framework reuse and reduced automation development cycle for new projects/releases.
3. Provide consistent test coverage across all supported versions.
Improve release confidence through a balanced manual + automated QA strategy.
4. Complete AI Testing certification · target by Mar 2027.
Institutionalize AI-assisted QA practices · prompt standards, review checklist, use cases.
Demonstrate measurable gains in productivity, test design speed, and troubleshooting turnaround time.
5. Run periodic unattended regression suites with actionable reporting.
Improve feedback cycle for QA and stakeholders through CI-driven test visibility.
6. Identify and automate additional high-volume scenarios to improve operational efficiency and reduce manual dependency.</t>
        </is>
      </c>
      <c r="FH235" s="56" t="inlineStr">
        <is>
          <t>3</t>
        </is>
      </c>
      <c r="FI235" s="56" t="n"/>
      <c r="FJ235" s="56" t="inlineStr">
        <is>
          <t>Received · manager annual, quarterly, self</t>
        </is>
      </c>
      <c r="FK235" s="56" t="inlineStr">
        <is>
          <t>Talent Mapping · iDEAL</t>
        </is>
      </c>
      <c r="FL235" s="56" t="n">
        <v>20</v>
      </c>
      <c r="FM235" s="32" t="inlineStr">
        <is>
          <t>Full survey answers not in the files received · How We Grow export needed · HR</t>
        </is>
      </c>
      <c r="FN235" s="56" t="inlineStr">
        <is>
          <t>—</t>
        </is>
      </c>
      <c r="FO235" s="56" t="inlineStr">
        <is>
          <t>—</t>
        </is>
      </c>
      <c r="FP235" s="56" t="inlineStr">
        <is>
          <t>—</t>
        </is>
      </c>
      <c r="FQ235" s="56" t="inlineStr">
        <is>
          <t>—</t>
        </is>
      </c>
      <c r="FR235" s="56" t="inlineStr">
        <is>
          <t>Complexity: Evidence reads like A3: Playwright UI/API automation, Jenkins integration, root-cause analysis of flaky tests and production defects → matches the start
Autonomy: Evidence reads like A3: Decides what tasks or features to automate, when to test manually, and raises bugs → matches the start
Accountability: Evidence reads like A3: Answers for iDeal automated suites in Jenkins, defects to closure, and production-defect RCA → matches the start
Leadership: Evidence reads like A1: No guiding or leading of others described → moved down 0.5
Business Impact: No move: the survey / manager mapping does not mark it business-critical or unique.</t>
        </is>
      </c>
      <c r="FS235" s="56" t="inlineStr">
        <is>
          <t>Common themes in role-holders' answers: early · product · quality · automation · tests · testing
Common themes in role-holders' answers: testing · scripts · defects · testcase · automation · report
Common themes in role-holders' answers: reports · software · scripts · quality · test
Common themes in role-holders' answers: test · automation · quality · accountable · defect · identification
Common themes in role-holders' answers: testing
If the work is missed · role-holders' themes: testing · product · defects.
Measured on · manager-set KRA themes: test coverage · business · automation · knowledge · activities · comprehensive.</t>
        </is>
      </c>
      <c r="FT235" s="56" t="inlineStr">
        <is>
          <t>Self-identified: AI / automation · Testing &amp; quality · Certification / formal course
For the next role: AI / automation · Testing &amp; quality · Certification / formal course</t>
        </is>
      </c>
      <c r="FU235" s="32" t="inlineStr">
        <is>
          <t>Full survey answers not in the files received · How We Grow export needed · HR</t>
        </is>
      </c>
    </row>
    <row r="236" ht="90" customHeight="1">
      <c r="A236" s="51" t="inlineStr">
        <is>
          <t>◂ Back</t>
        </is>
      </c>
      <c r="B236" s="29" t="inlineStr">
        <is>
          <t>Mapped</t>
        </is>
      </c>
      <c r="C236" s="28" t="inlineStr">
        <is>
          <t>iDEAL</t>
        </is>
      </c>
      <c r="D236" s="29" t="inlineStr">
        <is>
          <t>IRIS2522</t>
        </is>
      </c>
      <c r="E236" s="29" t="inlineStr">
        <is>
          <t>Tulasiram Chand</t>
        </is>
      </c>
      <c r="F236" s="29" t="inlineStr">
        <is>
          <t>Quality Assurance</t>
        </is>
      </c>
      <c r="G236" s="29" t="inlineStr">
        <is>
          <t>QA Automation Engineer</t>
        </is>
      </c>
      <c r="H236" s="29" t="inlineStr">
        <is>
          <t>Senior QA Automation Engineer</t>
        </is>
      </c>
      <c r="I236" s="29" t="inlineStr">
        <is>
          <t>L3 – Professional / Associate</t>
        </is>
      </c>
      <c r="J236" s="29" t="inlineStr">
        <is>
          <t>A3</t>
        </is>
      </c>
      <c r="K236" s="29" t="inlineStr">
        <is>
          <t>▲ Up</t>
        </is>
      </c>
      <c r="L236" s="29" t="inlineStr">
        <is>
          <t>Quality Assurance</t>
        </is>
      </c>
      <c r="M236" s="29" t="inlineStr">
        <is>
          <t>Test Automation</t>
        </is>
      </c>
      <c r="N236" s="29" t="n"/>
      <c r="O236" s="29" t="n">
        <v>20</v>
      </c>
      <c r="P236" s="28" t="inlineStr">
        <is>
          <t>P2</t>
        </is>
      </c>
      <c r="Q236" s="29" t="inlineStr">
        <is>
          <t>Developing</t>
        </is>
      </c>
      <c r="R236" s="29" t="inlineStr">
        <is>
          <t>3 Apply</t>
        </is>
      </c>
      <c r="S236" s="29" t="inlineStr">
        <is>
          <t>2–4 yrs</t>
        </is>
      </c>
      <c r="T236" s="29" t="inlineStr">
        <is>
          <t>3–5 · 2–5</t>
        </is>
      </c>
      <c r="U236" s="29" t="inlineStr">
        <is>
          <t>QA Engineer</t>
        </is>
      </c>
      <c r="V236" s="29" t="inlineStr">
        <is>
          <t>Workiva: SE · Broadridge India: SE · Nasdaq / AxiomSL: SE · IRIS Vs Market Benchmark — ISTQB certification pathway: Foundation</t>
        </is>
      </c>
      <c r="W236" s="29" t="inlineStr">
        <is>
          <t>ISTQB Foundation → Advanced → Expert; SFIA testing</t>
        </is>
      </c>
      <c r="X236" s="29" t="inlineStr">
        <is>
          <t>Core 2 · Future 2 · Functional 3 · Leadership not scored</t>
        </is>
      </c>
      <c r="Y236" s="52" t="n">
        <v>492</v>
      </c>
      <c r="Z236" s="53" t="inlineStr">
        <is>
          <t>IRIS2522</t>
        </is>
      </c>
      <c r="AA236" s="53" t="inlineStr">
        <is>
          <t>Employee</t>
        </is>
      </c>
      <c r="AB236" s="53" t="inlineStr">
        <is>
          <t>Active</t>
        </is>
      </c>
      <c r="AC236" s="53" t="inlineStr">
        <is>
          <t>Tulasiram Chand</t>
        </is>
      </c>
      <c r="AD236" s="54" t="n">
        <v>46128</v>
      </c>
      <c r="AE236" s="53" t="inlineStr">
        <is>
          <t>QA Automation Engineer</t>
        </is>
      </c>
      <c r="AF236" s="53" t="inlineStr">
        <is>
          <t>MCA</t>
        </is>
      </c>
      <c r="AG236" s="53" t="inlineStr">
        <is>
          <t>Reena Gotal</t>
        </is>
      </c>
      <c r="AH236" s="53" t="inlineStr">
        <is>
          <t>N-4</t>
        </is>
      </c>
      <c r="AI236" s="53" t="inlineStr">
        <is>
          <t>Individual Contributor</t>
        </is>
      </c>
      <c r="AJ236" s="53" t="inlineStr">
        <is>
          <t>4 years, 0 months, 0 days</t>
        </is>
      </c>
      <c r="AK236" s="53" t="inlineStr">
        <is>
          <t>0 years, 4 months, 9 days</t>
        </is>
      </c>
      <c r="AL236" s="53" t="inlineStr">
        <is>
          <t>Regtech</t>
        </is>
      </c>
      <c r="AM236" s="53" t="inlineStr">
        <is>
          <t>iDEAL</t>
        </is>
      </c>
      <c r="AN236" s="53" t="inlineStr">
        <is>
          <t>Quality Assurance</t>
        </is>
      </c>
      <c r="AO236" s="53" t="inlineStr">
        <is>
          <t>Quality Assurance</t>
        </is>
      </c>
      <c r="AP236" s="53" t="inlineStr">
        <is>
          <t>No</t>
        </is>
      </c>
      <c r="AQ236" s="53" t="inlineStr">
        <is>
          <t>Product/Project</t>
        </is>
      </c>
      <c r="AR236" s="53" t="inlineStr">
        <is>
          <t>Software Testing</t>
        </is>
      </c>
      <c r="AS236" s="53" t="inlineStr">
        <is>
          <t>Technical · BA, PM and QA</t>
        </is>
      </c>
      <c r="AT236" s="53" t="n">
        <v>20</v>
      </c>
      <c r="AU236" s="53" t="inlineStr">
        <is>
          <t>Covered</t>
        </is>
      </c>
      <c r="AV236" s="53" t="n"/>
      <c r="AW236" s="53" t="n"/>
      <c r="AX236" s="53" t="n"/>
      <c r="AY236" s="53" t="n"/>
      <c r="AZ236" s="53" t="n"/>
      <c r="BA236" s="53" t="n"/>
      <c r="BB236" s="53" t="n"/>
      <c r="BC236" s="53" t="n"/>
      <c r="BD236" s="53" t="n"/>
      <c r="BE236" s="53" t="n"/>
      <c r="BF236" s="53" t="n"/>
      <c r="BG236" s="53" t="n"/>
      <c r="BH236" s="53" t="n"/>
      <c r="BI236" s="53" t="n"/>
      <c r="BJ236" s="53" t="n"/>
      <c r="BK236" s="53" t="n"/>
      <c r="BL236" s="53" t="n"/>
      <c r="BM236" s="53" t="n"/>
      <c r="BN236" s="53" t="n"/>
      <c r="BO236" s="53" t="n"/>
      <c r="BP236" s="53" t="n"/>
      <c r="BQ236" s="53" t="n"/>
      <c r="BR236" s="53" t="n"/>
      <c r="BS236" s="53" t="n"/>
      <c r="BT236" s="53" t="n"/>
      <c r="BU236" s="53" t="n"/>
      <c r="BV236" s="53" t="n"/>
      <c r="BW236" s="53" t="n"/>
      <c r="BX236" s="53" t="n"/>
      <c r="BY236" s="53" t="n"/>
      <c r="BZ236" s="53" t="n"/>
      <c r="CA236" s="53" t="n"/>
      <c r="CB236" s="53" t="n"/>
      <c r="CC236" s="53" t="n"/>
      <c r="CD236" s="53" t="n"/>
      <c r="CE236" s="53" t="n"/>
      <c r="CF236" s="53" t="n"/>
      <c r="CG236" s="53" t="n"/>
      <c r="CH236" s="53" t="n"/>
      <c r="CI236" s="53" t="n"/>
      <c r="CJ236" s="53" t="n"/>
      <c r="CK236" s="53" t="n"/>
      <c r="CL236" s="53" t="n"/>
      <c r="CM236" s="53" t="n"/>
      <c r="CN236" s="53" t="n"/>
      <c r="CO236" s="53" t="n"/>
      <c r="CP236" s="53" t="n"/>
      <c r="CQ236" s="53" t="n"/>
      <c r="CR236" s="53" t="n"/>
      <c r="CS236" s="53" t="n"/>
      <c r="CT236" s="53" t="n"/>
      <c r="CU236" s="53" t="n"/>
      <c r="CV236" s="53" t="n"/>
      <c r="CW236" s="53" t="n"/>
      <c r="CX236" s="53" t="n"/>
      <c r="CY236" s="53" t="n"/>
      <c r="CZ236" s="53" t="n"/>
      <c r="DA236" s="53" t="n"/>
      <c r="DB236" s="53" t="n"/>
      <c r="DC236" s="53" t="n"/>
      <c r="DD236" s="53" t="inlineStr">
        <is>
          <t>IRIS2522</t>
        </is>
      </c>
      <c r="DE236" s="53" t="inlineStr">
        <is>
          <t>Employee</t>
        </is>
      </c>
      <c r="DF236" s="53" t="inlineStr">
        <is>
          <t>Active</t>
        </is>
      </c>
      <c r="DG236" s="53" t="inlineStr">
        <is>
          <t>Tulasiram Chand</t>
        </is>
      </c>
      <c r="DH236" s="54" t="n">
        <v>46128</v>
      </c>
      <c r="DI236" s="53" t="inlineStr">
        <is>
          <t>QA Automation Engineer</t>
        </is>
      </c>
      <c r="DJ236" s="53" t="inlineStr">
        <is>
          <t>Quality Assurance</t>
        </is>
      </c>
      <c r="DK236" s="53" t="inlineStr">
        <is>
          <t>QA Automation</t>
        </is>
      </c>
      <c r="DL236" s="53" t="inlineStr">
        <is>
          <t>QA Automation Engineer</t>
        </is>
      </c>
      <c r="DM236" s="53" t="inlineStr">
        <is>
          <t>L3 – Professional / Associate</t>
        </is>
      </c>
      <c r="DN236" s="53" t="inlineStr">
        <is>
          <t>MCA</t>
        </is>
      </c>
      <c r="DO236" s="53" t="inlineStr">
        <is>
          <t>Reena Gotal</t>
        </is>
      </c>
      <c r="DP236" s="53" t="inlineStr">
        <is>
          <t>N-4</t>
        </is>
      </c>
      <c r="DQ236" s="53" t="inlineStr">
        <is>
          <t>Individual Contributor</t>
        </is>
      </c>
      <c r="DR236" s="53" t="inlineStr">
        <is>
          <t>4 years, 0 months, 0 days</t>
        </is>
      </c>
      <c r="DS236" s="53" t="inlineStr">
        <is>
          <t>0 years, 2 months, 4 days</t>
        </is>
      </c>
      <c r="DT236" s="53" t="inlineStr">
        <is>
          <t>4 years, 2 months, 4 days</t>
        </is>
      </c>
      <c r="DU236" s="53" t="n"/>
      <c r="DV236" s="53" t="inlineStr">
        <is>
          <t>Regtech</t>
        </is>
      </c>
      <c r="DW236" s="53" t="inlineStr">
        <is>
          <t>iDEAL</t>
        </is>
      </c>
      <c r="DX236" s="53" t="inlineStr">
        <is>
          <t>Quality Assurance</t>
        </is>
      </c>
      <c r="DY236" s="53" t="inlineStr">
        <is>
          <t>Quality Assurance</t>
        </is>
      </c>
      <c r="DZ236" s="53" t="inlineStr">
        <is>
          <t>No</t>
        </is>
      </c>
      <c r="EA236" s="53" t="inlineStr">
        <is>
          <t>Product/Project</t>
        </is>
      </c>
      <c r="EB236" s="53" t="inlineStr">
        <is>
          <t>Software Testing</t>
        </is>
      </c>
      <c r="EC236" s="53" t="inlineStr">
        <is>
          <t>Technical · BA, PM and QA</t>
        </is>
      </c>
      <c r="ED236" s="53" t="inlineStr">
        <is>
          <t>Work From Office - Turbhe</t>
        </is>
      </c>
      <c r="EE236" s="53" t="inlineStr">
        <is>
          <t>1. Deliver High-Quality Testing 
Execute functional, regression, API, deployment, and exploratory testing activities effectively and within planned timelines. 
Maintain high-quality testing standards across assigned modules. 
Take ownership of assigned testing activities and support successful product releases. 
Contribute to delivering stable and reliable software throughout the year. 
2. Strengthen Automation Testing Capabilities 
Develop, maintain, and enhance automation scripts using the existing Playwright framework. 
Improve the reliability and maintainability of automation scripts. 
Contribute towards expanding automation coverage for suitable test scenarios. 
Support regression testing through reusable automation solutions. 
3. Enhance Technical Skills and Innovation 
Continuously improve technical knowledge in Playwright, Java, Cucumber, API Testing, and JavaScript. 
Learn and apply modern automation practices in day-to-day project activities. 
Explore AI-assisted development and automation techniques to improve testing efficiency. 
Develop proof-of-concept solutions that can support future automation initiatives. 
4. Improve Collaboration and Communication 
Collaborate effectively with Developers, Business Analysts, Product Owners, Architects, and QA team members. 
Understand business requirements and participate actively in requirement discussions. 
Maintain clear and accurate testing documentation. 
Contribute to effective defect analysis and successful release activities. 
5. Drive Continuous Improvement 
Identify opportunities to improve testing processes and QA practices. 
Suggest and implement practical improvements in the automation framework and testing workflow. 
Contribute ideas that improve productivity and reduce manual effort. 
Support continuous improvement initiatives within the QA team.</t>
        </is>
      </c>
      <c r="EF236" s="53" t="inlineStr">
        <is>
          <t>1. Prepare comprehensive and maintainable test cases based on business requirements and user stories.
2.Ensure the delivery of high-quality software by executing testing activities with comprehensive test coverage and minimal production defects.
3. Complete assigned testing activities within project schedules while meeting quality standards.
4. Identify, report, and validate defects effectively to improve product quality.
5. Increase automation coverage and contribute to continuous improvement of testing processes.
6. Collaborate effectively with developers, Product Owners, business analysts, and team members to ensure successful project delivery.
7. Continuously enhance technical and domain knowledge through learning and knowledge-sharing activities.
8. Demonstrate ownership of assigned tasks and proactively support team objectives.</t>
        </is>
      </c>
      <c r="EG236" s="53" t="inlineStr">
        <is>
          <t>Modules To Work On 
By the end of the current quarter, the objective is to complete the automation script development for the existing functionalities of the iDeal 5.5 LV and iDeal EBR Excel applications, ensuring stable and maintainable automation coverage for regression testing. 
As the iDeal 6.0 application is currently under development, the immediate focus will remain on exploratory, functional, and validation testing to ensure the application is stable and ready for release. Once the application reaches a stable state, the plan is to gradually develop automation scripts for individual modules, with the objective of increasing automation coverage, improving regression efficiency, and reducing manual testing effort over time. 
Take greater ownership of assigned modules and deliver testing activities within planned timelines. 
Continue contributing to both manual and automation testing activities. 
Expand automation coverage using the existing Playwright framework. 
Improve the quality, stability, and maintainability of automation scripts. 
Enhance technical expertise in Playwright, JavaScript, API Testing, and modern automation practices. 
Apply newly learned concepts to ongoing project activities wherever applicable. 
Collaborate effectively with cross-functional teams to ensure quality product delivery. 
Contribute to process improvements and maintain high-quality testing documentation. 
Explore practical use cases of AI-assisted automation to improve testing efficiency and support future automation initiatives.</t>
        </is>
      </c>
      <c r="EH236" s="53" t="n">
        <v>3</v>
      </c>
      <c r="EI236" s="53" t="n"/>
      <c r="EJ236" s="53" t="inlineStr">
        <is>
          <t>Same as per records</t>
        </is>
      </c>
      <c r="EK236" s="53" t="inlineStr">
        <is>
          <t>No</t>
        </is>
      </c>
      <c r="EL236" s="53" t="n">
        <v>3</v>
      </c>
      <c r="EM236" s="53" t="inlineStr">
        <is>
          <t>Medium</t>
        </is>
      </c>
      <c r="EN236" s="53" t="inlineStr">
        <is>
          <t>Reliable Specialist</t>
        </is>
      </c>
      <c r="EO236" s="53" t="inlineStr">
        <is>
          <t>Not Ready</t>
        </is>
      </c>
      <c r="EP236" s="53" t="inlineStr">
        <is>
          <t>No</t>
        </is>
      </c>
      <c r="EQ236" s="53" t="inlineStr">
        <is>
          <t>No</t>
        </is>
      </c>
      <c r="ER236" s="53" t="n"/>
      <c r="ES236" s="53" t="inlineStr">
        <is>
          <t>XBRL Training, Training on the effective utilization of AI tools.</t>
        </is>
      </c>
      <c r="ET236" s="53" t="n"/>
      <c r="EU236" s="53" t="n"/>
      <c r="EV236" s="53" t="n"/>
      <c r="EW236" s="52" t="n"/>
      <c r="EX236" s="53" t="n"/>
      <c r="EY236" s="53" t="n"/>
      <c r="EZ236" s="53" t="n"/>
      <c r="FA236" s="53" t="n"/>
      <c r="FB236" s="53" t="n"/>
      <c r="FC236" s="53" t="n"/>
      <c r="FD236" s="53" t="n"/>
      <c r="FE236" s="57" t="inlineStr">
        <is>
          <t>1. Prepare comprehensive and maintainable test cases based on business requirements and user stories.
2.Ensure the delivery of high-quality software by executing testing activities with comprehensive test coverage and minimal production defects.
3. Complete assigned testing activities within project schedules while meeting quality standards.
4. Identify, report, and validate defects effectively to improve product quality.
5. Increase automation coverage and contribute to continuous improvement of testing processes.
6. Collaborate effectively with developers, Product Owners, business analysts, and team members to ensure successful project delivery.
7. Continuously enhance technical and domain knowledge through learning and knowledge-sharing activities.
8. Demonstrate ownership of assigned tasks and proactively support team objectives.</t>
        </is>
      </c>
      <c r="FF236" s="56" t="inlineStr">
        <is>
          <t>Modules To Work On 
By the end of the current quarter, the objective is to complete the automation script development for the existing functionalities of the iDeal 5.5 LV and iDeal EBR Excel applications, ensuring stable and maintainable automation coverage for regression testing. 
As the iDeal 6.0 application is currently under development, the immediate focus will remain on exploratory, functional, and validation testing to ensure the application is stable and ready for release. Once the application reaches a stable state, the plan is to gradually develop automation scripts for individual modules, with the objective of increasing automation coverage, improving regression efficiency, and reducing manual testing effort over time. 
Take greater ownership of assigned modules and deliver testing activities within planned timelines. 
Continue contributing to both manual and automation testing activities. 
Expand automation coverage using the existing Playwright framework. 
Improve the quality, stability, and maintainability of automation scripts. 
Enhance technical expertise in Playwright, JavaScript, API Testing, and modern automation practices. 
Apply newly learned concepts to ongoing project activities wherever applicable. 
Collaborate effectively with cross-functional teams to ensure quality product delivery. 
Contribute to process improvements and maintain high-quality testing documentation. 
Explore practical use cases of AI-assisted automation to improve testing efficiency and support future automation initiatives.</t>
        </is>
      </c>
      <c r="FG236" s="56" t="inlineStr">
        <is>
          <t>1. Deliver High-Quality Testing 
Execute functional, regression, API, deployment, and exploratory testing activities effectively and within planned timelines. 
Maintain high-quality testing standards across assigned modules. 
Take ownership of assigned testing activities and support successful product releases. 
Contribute to delivering stable and reliable software throughout the year. 
2. Strengthen Automation Testing Capabilities 
Develop, maintain, and enhance automation scripts using the existing Playwright framework. 
Improve the reliability and maintainability of automation scripts. 
Contribute towards expanding automation coverage for suitable test scenarios. 
Support regression testing through reusable automation solutions. 
3. Enhance Technical Skills and Innovation 
Continuously improve technical knowledge in Playwright, Java, Cucumber, API Testing, and JavaScript. 
Learn and apply modern automation practices in day-to-day project activities. 
Explore AI-assisted development and automation techniques to improve testing efficiency. 
Develop proof-of-concept solutions that can support future automation initiatives. 
4. Improve Collaboration and Communication 
Collaborate effectively with Developers, Business Analysts, Product Owners, Architects, and QA team members. 
Understand business requirements and participate actively in requirement discussions. 
Maintain clear and accurate testing documentation. 
Contribute to effective defect analysis and successful release activities. 
5. Drive Continuous Improvement 
Identify opportunities to improve testing processes and QA practices. 
Suggest and implement practical improvements in the automation framework and testing workflow. 
Contribute ideas that improve productivity and reduce manual effort. 
Support continuous improvement initiatives within the QA team.</t>
        </is>
      </c>
      <c r="FH236" s="56" t="inlineStr">
        <is>
          <t>3</t>
        </is>
      </c>
      <c r="FI236" s="56" t="n"/>
      <c r="FJ236" s="56" t="inlineStr">
        <is>
          <t>Received · manager annual, quarterly, self</t>
        </is>
      </c>
      <c r="FK236" s="56" t="inlineStr">
        <is>
          <t>Talent Mapping · iDEAL</t>
        </is>
      </c>
      <c r="FL236" s="56" t="n">
        <v>20</v>
      </c>
      <c r="FM236" s="32" t="inlineStr">
        <is>
          <t>Full survey answers not in the files received · How We Grow export needed · HR</t>
        </is>
      </c>
      <c r="FN236" s="56" t="inlineStr">
        <is>
          <t>—</t>
        </is>
      </c>
      <c r="FO236" s="56" t="inlineStr">
        <is>
          <t>—</t>
        </is>
      </c>
      <c r="FP236" s="56" t="inlineStr">
        <is>
          <t>—</t>
        </is>
      </c>
      <c r="FQ236" s="56" t="inlineStr">
        <is>
          <t>—</t>
        </is>
      </c>
      <c r="FR236" s="56" t="inlineStr">
        <is>
          <t>Complexity: Evidence reads like A3: Playwright/Cucumber scripts, API and database testing, Windows/Linux runs, CI/CD pipeline integration → matches the start
Autonomy: Evidence reads like A2: Decisions listed are generic · 'identify issues, find solutions'; KRA says existing framework is used → moved down 0.5
Accountability: Evidence reads like A2: Own automation scripts, reliability of test results and coverage reporting → moved down 0.5
Leadership: Evidence reads like A1: No guiding or leading of others described → moved down 0.5
Business Impact: No survey or manager-mapping signal on criticality: kept at the start point.</t>
        </is>
      </c>
      <c r="FS236" s="56" t="inlineStr">
        <is>
          <t>Common themes in role-holders' answers: early · product · quality · automation · tests · testing
Common themes in role-holders' answers: testing · scripts · defects · testcase · automation · report
Common themes in role-holders' answers: reports · software · scripts · quality · test
Common themes in role-holders' answers: test · automation · quality · accountable · defect · identification
Common themes in role-holders' answers: testing
If the work is missed · role-holders' themes: testing · product · defects.
Measured on · manager-set KRA themes: test coverage · business · automation · knowledge · activities · comprehensive.</t>
        </is>
      </c>
      <c r="FT236" s="56" t="inlineStr">
        <is>
          <t>Self-identified: Project / programme management · Technical depth &amp; architecture · Testing &amp; quality · Broader exposure &amp; ownership
For the next role: AI / automation · Leadership &amp; people management · Project / programme management · Technical depth &amp; architecture · Testing &amp; quality · Strategy &amp; business acumen · Broader exposure &amp; ownership</t>
        </is>
      </c>
      <c r="FU236" s="32" t="inlineStr">
        <is>
          <t>Full survey answers not in the files received · How We Grow export needed · HR</t>
        </is>
      </c>
    </row>
    <row r="237" ht="90" customHeight="1">
      <c r="A237" s="51" t="inlineStr">
        <is>
          <t>◂ Back</t>
        </is>
      </c>
      <c r="B237" s="29" t="inlineStr">
        <is>
          <t>Mapped</t>
        </is>
      </c>
      <c r="C237" s="28" t="inlineStr">
        <is>
          <t>iFile</t>
        </is>
      </c>
      <c r="D237" s="29" t="inlineStr">
        <is>
          <t>IRIS0242</t>
        </is>
      </c>
      <c r="E237" s="29" t="inlineStr">
        <is>
          <t>Arup Ganguly</t>
        </is>
      </c>
      <c r="F237" s="29" t="inlineStr">
        <is>
          <t>Sales</t>
        </is>
      </c>
      <c r="G237" s="29" t="inlineStr">
        <is>
          <t>Head Sales - SupTech</t>
        </is>
      </c>
      <c r="H237" s="29" t="inlineStr">
        <is>
          <t>Head – Sales</t>
        </is>
      </c>
      <c r="I237" s="29" t="inlineStr">
        <is>
          <t>Not in current mapping files</t>
        </is>
      </c>
      <c r="J237" s="29" t="inlineStr">
        <is>
          <t>C2</t>
        </is>
      </c>
      <c r="K237" s="29" t="inlineStr">
        <is>
          <t>● Newly mapped</t>
        </is>
      </c>
      <c r="L237" s="29" t="inlineStr">
        <is>
          <t>Sales &amp; Business Development</t>
        </is>
      </c>
      <c r="M237" s="29" t="inlineStr">
        <is>
          <t>Sales Leadership</t>
        </is>
      </c>
      <c r="N237" s="29" t="inlineStr">
        <is>
          <t>• Survey response or KRAs describing the work · nothing on file — Employee + manager</t>
        </is>
      </c>
      <c r="O237" s="29" t="n">
        <v>0</v>
      </c>
      <c r="P237" s="28" t="inlineStr">
        <is>
          <t>P7 / M6</t>
        </is>
      </c>
      <c r="Q237" s="29" t="inlineStr">
        <is>
          <t>— / Senior Director</t>
        </is>
      </c>
      <c r="R237" s="29" t="inlineStr">
        <is>
          <t>6 Initiate, influence</t>
        </is>
      </c>
      <c r="S237" s="29" t="inlineStr">
        <is>
          <t>12–17 yrs</t>
        </is>
      </c>
      <c r="T237" s="29" t="inlineStr">
        <is>
          <t>—</t>
        </is>
      </c>
      <c r="U237" s="29" t="inlineStr">
        <is>
          <t>Senior Head / General Manager</t>
        </is>
      </c>
      <c r="V237" s="29" t="inlineStr">
        <is>
          <t>IRIS Vs Competitor Benchmark — SaaS sales ladder — management: Director of Sales</t>
        </is>
      </c>
      <c r="W237" s="29" t="inlineStr">
        <is>
          <t>SaaS sales ladder · SDR → AE → Enterprise AE → VP / CRO; MEDDICC-style qualification</t>
        </is>
      </c>
      <c r="X237" s="29" t="inlineStr">
        <is>
          <t>Core 4 · Future 4 · Functional 5 · Leadership 4</t>
        </is>
      </c>
      <c r="Y237" s="52" t="n">
        <v>43</v>
      </c>
      <c r="Z237" s="53" t="inlineStr">
        <is>
          <t>IRIS0242</t>
        </is>
      </c>
      <c r="AA237" s="53" t="inlineStr">
        <is>
          <t>Employee</t>
        </is>
      </c>
      <c r="AB237" s="53" t="inlineStr">
        <is>
          <t>Active</t>
        </is>
      </c>
      <c r="AC237" s="53" t="inlineStr">
        <is>
          <t>Arup Ganguly</t>
        </is>
      </c>
      <c r="AD237" s="54" t="n">
        <v>39734</v>
      </c>
      <c r="AE237" s="53" t="inlineStr">
        <is>
          <t>Head Sales - SupTech</t>
        </is>
      </c>
      <c r="AF237" s="53" t="inlineStr">
        <is>
          <t>MBA</t>
        </is>
      </c>
      <c r="AG237" s="53" t="inlineStr">
        <is>
          <t>Shailesh Gupta</t>
        </is>
      </c>
      <c r="AH237" s="53" t="inlineStr">
        <is>
          <t>N-2</t>
        </is>
      </c>
      <c r="AI237" s="53" t="inlineStr">
        <is>
          <t>Manager</t>
        </is>
      </c>
      <c r="AJ237" s="53" t="inlineStr">
        <is>
          <t>6 years, 2 months, 0 days</t>
        </is>
      </c>
      <c r="AK237" s="53" t="inlineStr">
        <is>
          <t>17 years, 10 months, 12 days</t>
        </is>
      </c>
      <c r="AL237" s="53" t="inlineStr">
        <is>
          <t>Suptech</t>
        </is>
      </c>
      <c r="AM237" s="53" t="inlineStr">
        <is>
          <t>iFile</t>
        </is>
      </c>
      <c r="AN237" s="53" t="inlineStr">
        <is>
          <t>Sales</t>
        </is>
      </c>
      <c r="AO237" s="53" t="inlineStr">
        <is>
          <t>Sales</t>
        </is>
      </c>
      <c r="AP237" s="53" t="inlineStr">
        <is>
          <t>No</t>
        </is>
      </c>
      <c r="AQ237" s="53" t="inlineStr">
        <is>
          <t>Sales, Marketing &amp; Support</t>
        </is>
      </c>
      <c r="AR237" s="53" t="inlineStr">
        <is>
          <t>Sales</t>
        </is>
      </c>
      <c r="AS237" s="53" t="inlineStr">
        <is>
          <t>Non-technical</t>
        </is>
      </c>
      <c r="AT237" s="53" t="n">
        <v>0</v>
      </c>
      <c r="AU237" s="53" t="inlineStr">
        <is>
          <t>E-Top management</t>
        </is>
      </c>
      <c r="AV237" s="53" t="n"/>
      <c r="AW237" s="53" t="n"/>
      <c r="AX237" s="53" t="n"/>
      <c r="AY237" s="53" t="n"/>
      <c r="AZ237" s="53" t="n"/>
      <c r="BA237" s="53" t="n"/>
      <c r="BB237" s="53" t="n"/>
      <c r="BC237" s="53" t="n"/>
      <c r="BD237" s="53" t="n"/>
      <c r="BE237" s="53" t="n"/>
      <c r="BF237" s="53" t="n"/>
      <c r="BG237" s="53" t="n"/>
      <c r="BH237" s="53" t="n"/>
      <c r="BI237" s="53" t="n"/>
      <c r="BJ237" s="53" t="n"/>
      <c r="BK237" s="53" t="n"/>
      <c r="BL237" s="53" t="n"/>
      <c r="BM237" s="53" t="n"/>
      <c r="BN237" s="53" t="n"/>
      <c r="BO237" s="53" t="n"/>
      <c r="BP237" s="53" t="n"/>
      <c r="BQ237" s="53" t="n"/>
      <c r="BR237" s="53" t="n"/>
      <c r="BS237" s="53" t="n"/>
      <c r="BT237" s="53" t="n"/>
      <c r="BU237" s="53" t="n"/>
      <c r="BV237" s="53" t="n"/>
      <c r="BW237" s="53" t="n"/>
      <c r="BX237" s="53" t="n"/>
      <c r="BY237" s="53" t="n"/>
      <c r="BZ237" s="53" t="n"/>
      <c r="CA237" s="53" t="n"/>
      <c r="CB237" s="53" t="n"/>
      <c r="CC237" s="53" t="n"/>
      <c r="CD237" s="53" t="n"/>
      <c r="CE237" s="53" t="n"/>
      <c r="CF237" s="53" t="n"/>
      <c r="CG237" s="53" t="n"/>
      <c r="CH237" s="53" t="n"/>
      <c r="CI237" s="53" t="n"/>
      <c r="CJ237" s="53" t="n"/>
      <c r="CK237" s="53" t="n"/>
      <c r="CL237" s="53" t="n"/>
      <c r="CM237" s="53" t="n"/>
      <c r="CN237" s="53" t="n"/>
      <c r="CO237" s="53" t="n"/>
      <c r="CP237" s="53" t="n"/>
      <c r="CQ237" s="53" t="n"/>
      <c r="CR237" s="53" t="n"/>
      <c r="CS237" s="53" t="n"/>
      <c r="CT237" s="53" t="n"/>
      <c r="CU237" s="53" t="n"/>
      <c r="CV237" s="53" t="n"/>
      <c r="CW237" s="53" t="n"/>
      <c r="CX237" s="53" t="n"/>
      <c r="CY237" s="53" t="n"/>
      <c r="CZ237" s="53" t="n"/>
      <c r="DA237" s="53" t="n"/>
      <c r="DB237" s="53" t="n"/>
      <c r="DC237" s="53" t="n"/>
      <c r="DD237" s="53" t="n"/>
      <c r="DE237" s="53" t="n"/>
      <c r="DF237" s="53" t="n"/>
      <c r="DG237" s="53" t="n"/>
      <c r="DH237" s="53" t="n"/>
      <c r="DI237" s="53" t="n"/>
      <c r="DJ237" s="53" t="n"/>
      <c r="DK237" s="53" t="n"/>
      <c r="DL237" s="53" t="n"/>
      <c r="DM237" s="53" t="n"/>
      <c r="DN237" s="53" t="n"/>
      <c r="DO237" s="53" t="n"/>
      <c r="DP237" s="53" t="n"/>
      <c r="DQ237" s="53" t="n"/>
      <c r="DR237" s="53" t="n"/>
      <c r="DS237" s="53" t="n"/>
      <c r="DT237" s="53" t="n"/>
      <c r="DU237" s="53" t="n"/>
      <c r="DV237" s="53" t="n"/>
      <c r="DW237" s="53" t="n"/>
      <c r="DX237" s="53" t="n"/>
      <c r="DY237" s="53" t="n"/>
      <c r="DZ237" s="53" t="n"/>
      <c r="EA237" s="53" t="n"/>
      <c r="EB237" s="53" t="n"/>
      <c r="EC237" s="53" t="n"/>
      <c r="ED237" s="53" t="n"/>
      <c r="EE237" s="53" t="n"/>
      <c r="EF237" s="53" t="n"/>
      <c r="EG237" s="53" t="n"/>
      <c r="EH237" s="53" t="n"/>
      <c r="EI237" s="53" t="n"/>
      <c r="EJ237" s="53" t="n"/>
      <c r="EK237" s="53" t="n"/>
      <c r="EL237" s="53" t="n"/>
      <c r="EM237" s="53" t="n"/>
      <c r="EN237" s="53" t="n"/>
      <c r="EO237" s="53" t="n"/>
      <c r="EP237" s="53" t="n"/>
      <c r="EQ237" s="53" t="n"/>
      <c r="ER237" s="53" t="n"/>
      <c r="ES237" s="53" t="n"/>
      <c r="ET237" s="53" t="n"/>
      <c r="EU237" s="53" t="n"/>
      <c r="EV237" s="53" t="n"/>
      <c r="EW237" s="52" t="n"/>
      <c r="EX237" s="53" t="n"/>
      <c r="EY237" s="53" t="n"/>
      <c r="EZ237" s="53" t="n"/>
      <c r="FA237" s="53" t="n"/>
      <c r="FB237" s="53" t="n"/>
      <c r="FC237" s="53" t="n"/>
      <c r="FD237" s="53" t="n"/>
      <c r="FE237" s="55" t="inlineStr">
        <is>
          <t>KRAs not received · manager to supply</t>
        </is>
      </c>
      <c r="FF237" s="56" t="n"/>
      <c r="FG237" s="56" t="n"/>
      <c r="FH237" s="56" t="n"/>
      <c r="FI237" s="56" t="n"/>
      <c r="FJ237" s="32" t="inlineStr">
        <is>
          <t>KRAs not received · manager to supply</t>
        </is>
      </c>
      <c r="FK237" s="56" t="n"/>
      <c r="FL237" s="56" t="n">
        <v>0</v>
      </c>
      <c r="FM237" s="32" t="inlineStr">
        <is>
          <t>No survey response on file</t>
        </is>
      </c>
      <c r="FN237" s="56" t="inlineStr">
        <is>
          <t>—</t>
        </is>
      </c>
      <c r="FO237" s="56" t="inlineStr">
        <is>
          <t>—</t>
        </is>
      </c>
      <c r="FP237" s="56" t="inlineStr">
        <is>
          <t>—</t>
        </is>
      </c>
      <c r="FQ237" s="56" t="inlineStr">
        <is>
          <t>—</t>
        </is>
      </c>
      <c r="FR237" s="56"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FS237" s="56" t="inlineStr">
        <is>
          <t>Common themes in sub-family holders, all levels' answers: client · follow till · negotiations · details sdr · understand · call
Common themes in sub-family holders, all levels' answers: building · partner
Common themes in sub-family holders, all levels' answers: sales
Common themes in sub-family holders, all levels' answers: revenue · generation · sales
If the work is missed · role-holders' themes: revenue · opportunities · lost.</t>
        </is>
      </c>
      <c r="FT237" s="56" t="n"/>
      <c r="FU237" s="32" t="inlineStr">
        <is>
          <t>No survey response on file</t>
        </is>
      </c>
    </row>
    <row r="238" ht="90" customHeight="1">
      <c r="A238" s="51" t="inlineStr">
        <is>
          <t>◂ Back</t>
        </is>
      </c>
      <c r="B238" s="29" t="inlineStr">
        <is>
          <t>Mapped</t>
        </is>
      </c>
      <c r="C238" s="28" t="inlineStr">
        <is>
          <t>iFile</t>
        </is>
      </c>
      <c r="D238" s="29" t="inlineStr">
        <is>
          <t>IRIS1687</t>
        </is>
      </c>
      <c r="E238" s="29" t="inlineStr">
        <is>
          <t>Amit Jaidka</t>
        </is>
      </c>
      <c r="F238" s="29" t="inlineStr">
        <is>
          <t>Sales</t>
        </is>
      </c>
      <c r="G238" s="29" t="inlineStr">
        <is>
          <t>Manager Sales</t>
        </is>
      </c>
      <c r="H238" s="29" t="inlineStr">
        <is>
          <t>Lead Alliances Specialist – POD Lead</t>
        </is>
      </c>
      <c r="I238" s="29" t="inlineStr">
        <is>
          <t>L5 – Manager</t>
        </is>
      </c>
      <c r="J238" s="29" t="inlineStr">
        <is>
          <t>B3</t>
        </is>
      </c>
      <c r="K238" s="29" t="inlineStr">
        <is>
          <t>▲ Up</t>
        </is>
      </c>
      <c r="L238" s="29" t="inlineStr">
        <is>
          <t>Sales &amp; Business Development</t>
        </is>
      </c>
      <c r="M238" s="29" t="inlineStr">
        <is>
          <t>Partnerships &amp; Alliances</t>
        </is>
      </c>
      <c r="N238" s="29" t="n"/>
      <c r="O238" s="29" t="n">
        <v>20</v>
      </c>
      <c r="P238" s="28" t="inlineStr">
        <is>
          <t>P5 / M4</t>
        </is>
      </c>
      <c r="Q238" s="29" t="inlineStr">
        <is>
          <t>Expert / Senior Manager</t>
        </is>
      </c>
      <c r="R238" s="29" t="inlineStr">
        <is>
          <t>5 Ensure, advise</t>
        </is>
      </c>
      <c r="S238" s="29" t="inlineStr">
        <is>
          <t>8–12 yrs</t>
        </is>
      </c>
      <c r="T238" s="29" t="inlineStr">
        <is>
          <t>9–13 · 9–14</t>
        </is>
      </c>
      <c r="U238" s="29" t="inlineStr">
        <is>
          <t>Enterprise / Strategic AE</t>
        </is>
      </c>
      <c r="V238" s="29" t="inlineStr">
        <is>
          <t>IRIS Vs Competitor Benchmark — SaaS sales ladder — IC: Enterprise AE · IRIS Vs Competitor Benchmark — SaaS sales ladder — management: Senior Sales Manager</t>
        </is>
      </c>
      <c r="W238" s="29" t="inlineStr">
        <is>
          <t>SaaS sales ladder · SDR → AE → Enterprise AE → VP / CRO; MEDDICC-style qualification</t>
        </is>
      </c>
      <c r="X238" s="29" t="inlineStr">
        <is>
          <t>Core 4 · Future 3 · Functional 4 · Leadership 4</t>
        </is>
      </c>
      <c r="Y238" s="52" t="n">
        <v>140</v>
      </c>
      <c r="Z238" s="53" t="inlineStr">
        <is>
          <t>IRIS1687</t>
        </is>
      </c>
      <c r="AA238" s="53" t="inlineStr">
        <is>
          <t>Employee</t>
        </is>
      </c>
      <c r="AB238" s="53" t="inlineStr">
        <is>
          <t>Active</t>
        </is>
      </c>
      <c r="AC238" s="53" t="inlineStr">
        <is>
          <t>Amit Jaidka</t>
        </is>
      </c>
      <c r="AD238" s="54" t="n">
        <v>43066</v>
      </c>
      <c r="AE238" s="53" t="inlineStr">
        <is>
          <t>Manager Sales</t>
        </is>
      </c>
      <c r="AF238" s="53" t="inlineStr">
        <is>
          <t>MBA</t>
        </is>
      </c>
      <c r="AG238" s="53" t="inlineStr">
        <is>
          <t>Arup Ganguly</t>
        </is>
      </c>
      <c r="AH238" s="53" t="inlineStr">
        <is>
          <t>N-3</t>
        </is>
      </c>
      <c r="AI238" s="53" t="inlineStr">
        <is>
          <t>Manager</t>
        </is>
      </c>
      <c r="AJ238" s="53" t="inlineStr">
        <is>
          <t>11 years, 0 months, 0 days</t>
        </is>
      </c>
      <c r="AK238" s="53" t="inlineStr">
        <is>
          <t>8 years, 8 months, 29 days</t>
        </is>
      </c>
      <c r="AL238" s="53" t="inlineStr">
        <is>
          <t>Suptech</t>
        </is>
      </c>
      <c r="AM238" s="53" t="inlineStr">
        <is>
          <t>iFile</t>
        </is>
      </c>
      <c r="AN238" s="53" t="inlineStr">
        <is>
          <t>Sales</t>
        </is>
      </c>
      <c r="AO238" s="53" t="inlineStr">
        <is>
          <t>Sales</t>
        </is>
      </c>
      <c r="AP238" s="53" t="inlineStr">
        <is>
          <t>No</t>
        </is>
      </c>
      <c r="AQ238" s="53" t="inlineStr">
        <is>
          <t>Sales, Marketing &amp; Support</t>
        </is>
      </c>
      <c r="AR238" s="53" t="inlineStr">
        <is>
          <t>Sales</t>
        </is>
      </c>
      <c r="AS238" s="53" t="inlineStr">
        <is>
          <t>Non-technical</t>
        </is>
      </c>
      <c r="AT238" s="53" t="n">
        <v>20</v>
      </c>
      <c r="AU238" s="53" t="inlineStr">
        <is>
          <t>Covered</t>
        </is>
      </c>
      <c r="AV238" s="53" t="n"/>
      <c r="AW238" s="53" t="n"/>
      <c r="AX238" s="53" t="n"/>
      <c r="AY238" s="53" t="n"/>
      <c r="AZ238" s="53" t="n"/>
      <c r="BA238" s="53" t="n"/>
      <c r="BB238" s="53" t="n"/>
      <c r="BC238" s="53" t="n"/>
      <c r="BD238" s="53" t="n"/>
      <c r="BE238" s="53" t="n"/>
      <c r="BF238" s="53" t="n"/>
      <c r="BG238" s="53" t="n"/>
      <c r="BH238" s="53" t="n"/>
      <c r="BI238" s="53" t="n"/>
      <c r="BJ238" s="53" t="n"/>
      <c r="BK238" s="53" t="n"/>
      <c r="BL238" s="53" t="n"/>
      <c r="BM238" s="53" t="n"/>
      <c r="BN238" s="53" t="n"/>
      <c r="BO238" s="53" t="n"/>
      <c r="BP238" s="53" t="n"/>
      <c r="BQ238" s="53" t="n"/>
      <c r="BR238" s="53" t="n"/>
      <c r="BS238" s="53" t="n"/>
      <c r="BT238" s="53" t="n"/>
      <c r="BU238" s="53" t="n"/>
      <c r="BV238" s="53" t="n"/>
      <c r="BW238" s="53" t="n"/>
      <c r="BX238" s="53" t="n"/>
      <c r="BY238" s="53" t="n"/>
      <c r="BZ238" s="53" t="n"/>
      <c r="CA238" s="53" t="n"/>
      <c r="CB238" s="53" t="n"/>
      <c r="CC238" s="53" t="n"/>
      <c r="CD238" s="53" t="n"/>
      <c r="CE238" s="53" t="n"/>
      <c r="CF238" s="53" t="n"/>
      <c r="CG238" s="53" t="n"/>
      <c r="CH238" s="53" t="n"/>
      <c r="CI238" s="53" t="n"/>
      <c r="CJ238" s="53" t="n"/>
      <c r="CK238" s="53" t="n"/>
      <c r="CL238" s="53" t="n"/>
      <c r="CM238" s="53" t="n"/>
      <c r="CN238" s="53" t="n"/>
      <c r="CO238" s="53" t="n"/>
      <c r="CP238" s="53" t="n"/>
      <c r="CQ238" s="53" t="n"/>
      <c r="CR238" s="53" t="n"/>
      <c r="CS238" s="53" t="n"/>
      <c r="CT238" s="53" t="n"/>
      <c r="CU238" s="53" t="n"/>
      <c r="CV238" s="53" t="n"/>
      <c r="CW238" s="53" t="n"/>
      <c r="CX238" s="53" t="n"/>
      <c r="CY238" s="53" t="n"/>
      <c r="CZ238" s="53" t="n"/>
      <c r="DA238" s="53" t="n"/>
      <c r="DB238" s="53" t="n"/>
      <c r="DC238" s="53" t="n"/>
      <c r="DD238" s="53" t="inlineStr">
        <is>
          <t>IRIS1687</t>
        </is>
      </c>
      <c r="DE238" s="53" t="inlineStr">
        <is>
          <t>Employee</t>
        </is>
      </c>
      <c r="DF238" s="53" t="inlineStr">
        <is>
          <t>Active</t>
        </is>
      </c>
      <c r="DG238" s="53" t="inlineStr">
        <is>
          <t>Amit Jaidka</t>
        </is>
      </c>
      <c r="DH238" s="54" t="n">
        <v>43066</v>
      </c>
      <c r="DI238" s="53" t="inlineStr">
        <is>
          <t>Manager Sales</t>
        </is>
      </c>
      <c r="DJ238" s="53" t="inlineStr">
        <is>
          <t>Sales &amp; Business Development</t>
        </is>
      </c>
      <c r="DK238" s="53" t="inlineStr">
        <is>
          <t>Sales / Account Management</t>
        </is>
      </c>
      <c r="DL238" s="53" t="inlineStr">
        <is>
          <t>Manager Sales</t>
        </is>
      </c>
      <c r="DM238" s="53" t="inlineStr">
        <is>
          <t>L5 – Manager</t>
        </is>
      </c>
      <c r="DN238" s="53" t="inlineStr">
        <is>
          <t>MBA</t>
        </is>
      </c>
      <c r="DO238" s="53" t="inlineStr">
        <is>
          <t>Arup Ganguly</t>
        </is>
      </c>
      <c r="DP238" s="53" t="inlineStr">
        <is>
          <t>N-2</t>
        </is>
      </c>
      <c r="DQ238" s="53" t="inlineStr">
        <is>
          <t>Manager</t>
        </is>
      </c>
      <c r="DR238" s="53" t="inlineStr">
        <is>
          <t>11 years, 0 months, 0 days</t>
        </is>
      </c>
      <c r="DS238" s="53" t="inlineStr">
        <is>
          <t>8 years, 6 months, 24 days</t>
        </is>
      </c>
      <c r="DT238" s="53" t="inlineStr">
        <is>
          <t>19 years, 6 months, 24 days</t>
        </is>
      </c>
      <c r="DU238" s="53" t="n">
        <v>8.56575342465754</v>
      </c>
      <c r="DV238" s="53" t="inlineStr">
        <is>
          <t>Suptech</t>
        </is>
      </c>
      <c r="DW238" s="53" t="inlineStr">
        <is>
          <t>iFile</t>
        </is>
      </c>
      <c r="DX238" s="53" t="inlineStr">
        <is>
          <t>Sales</t>
        </is>
      </c>
      <c r="DY238" s="53" t="inlineStr">
        <is>
          <t>Sales</t>
        </is>
      </c>
      <c r="DZ238" s="53" t="inlineStr">
        <is>
          <t>No</t>
        </is>
      </c>
      <c r="EA238" s="53" t="inlineStr">
        <is>
          <t>Sales, Marketing &amp; Support</t>
        </is>
      </c>
      <c r="EB238" s="53" t="inlineStr">
        <is>
          <t>Sales</t>
        </is>
      </c>
      <c r="EC238" s="53" t="inlineStr">
        <is>
          <t>Non-technical</t>
        </is>
      </c>
      <c r="ED238" s="53" t="inlineStr">
        <is>
          <t>Client Side</t>
        </is>
      </c>
      <c r="EE238" s="53" t="inlineStr">
        <is>
          <t>1. Own MEA sales strategy, pipeline creation and revenue conversion for iFile/iDEAL/ Carbon/ MSME and related regulatory opportunities.
2. Build and manage senior regulator, partner and enterprise relationships across Africa and Middle East.
3. Lead tender strategy, qualification, pricing inputs, demos and commercial negotiation for priority opportunities.
4. Manage team productivity, weekly reviews, forecasts and cross-functional coordination with product, delivery and leadership.
5. Target: INR 5 Cr</t>
        </is>
      </c>
      <c r="EF238" s="53" t="inlineStr">
        <is>
          <t>1. Achieve assigned MEA revenue and pipeline targets across iFile/SupTech/iDEAL and related opportunities.
2. Convert priority regulator/enterprise opportunities through demos, tenders, partner strategy and commercial negotiation.
3. Build strong partner ecosystem and senior stakeholder relationships across Africa and Middle East.
4. Maintain accurate forecasting, management reporting and opportunity governance for all key accounts.
5. Lead and coach team members to improve productivity, ownership, domain knowledge and deal conversion.</t>
        </is>
      </c>
      <c r="EG238" s="53" t="inlineStr">
        <is>
          <t>Q1: Achieve assigned MEA revenue and pipeline targets across iFile/SupTech/iDEAL and related opportunities.
Q1: Convert priority regulator/enterprise opportunities through demos, tenders, partner strategy and commercial negotiation.
Q1: Build strong partner ecosystem and senior stakeholder relationships across Africa and Middle East.
Q1: Maintain accurate forecasting, management reporting and opportunity governance for all key accounts.
Q1: Lead and coach team members to improve productivity, ownership, domain knowledge and deal conversion.</t>
        </is>
      </c>
      <c r="EH238" s="53" t="n">
        <v>5</v>
      </c>
      <c r="EI238" s="53" t="n"/>
      <c r="EJ238" s="53" t="inlineStr">
        <is>
          <t>VP Sales</t>
        </is>
      </c>
      <c r="EK238" s="53" t="inlineStr">
        <is>
          <t>No</t>
        </is>
      </c>
      <c r="EL238" s="53" t="n">
        <v>5</v>
      </c>
      <c r="EM238" s="53" t="inlineStr">
        <is>
          <t>High</t>
        </is>
      </c>
      <c r="EN238" s="53" t="inlineStr">
        <is>
          <t>Future Leader</t>
        </is>
      </c>
      <c r="EO238" s="53" t="inlineStr">
        <is>
          <t>Yes</t>
        </is>
      </c>
      <c r="EP238" s="53" t="inlineStr">
        <is>
          <t>Yes</t>
        </is>
      </c>
      <c r="EQ238" s="53" t="inlineStr">
        <is>
          <t>Yes</t>
        </is>
      </c>
      <c r="ER238" s="53" t="n"/>
      <c r="ES238" s="53" t="inlineStr">
        <is>
          <t>Strategic account management, enterprise deal closure, forecasting, leadership reporting, cross-functional governance</t>
        </is>
      </c>
      <c r="ET238" s="53" t="inlineStr">
        <is>
          <t>P&amp;L ownership, senior leadership development, financial planning, negotiation at CXO/regulator level</t>
        </is>
      </c>
      <c r="EU238" s="53" t="inlineStr">
        <is>
          <t>Handles responsibilities beyond current designation including MEA business development, regulators, partners, tenders, pipeline and revenue accountability. Strong promotion/structural alignment case.</t>
        </is>
      </c>
      <c r="EV238" s="53" t="n"/>
      <c r="EW238" s="52" t="n"/>
      <c r="EX238" s="53" t="n"/>
      <c r="EY238" s="53" t="n"/>
      <c r="EZ238" s="53" t="n"/>
      <c r="FA238" s="53" t="n"/>
      <c r="FB238" s="53" t="n"/>
      <c r="FC238" s="53" t="n"/>
      <c r="FD238" s="53" t="n"/>
      <c r="FE238" s="57" t="inlineStr">
        <is>
          <t>1. Achieve assigned MEA revenue and pipeline targets across iFile/SupTech/iDEAL and related opportunities.
2. Convert priority regulator/enterprise opportunities through demos, tenders, partner strategy and commercial negotiation.
3. Build strong partner ecosystem and senior stakeholder relationships across Africa and Middle East.
4. Maintain accurate forecasting, management reporting and opportunity governance for all key accounts.
5. Lead and coach team members to improve productivity, ownership, domain knowledge and deal conversion.</t>
        </is>
      </c>
      <c r="FF238" s="56" t="inlineStr">
        <is>
          <t>Q1: Achieve assigned MEA revenue and pipeline targets across iFile/SupTech/iDEAL and related opportunities.
Q1: Convert priority regulator/enterprise opportunities through demos, tenders, partner strategy and commercial negotiation.
Q1: Build strong partner ecosystem and senior stakeholder relationships across Africa and Middle East.
Q1: Maintain accurate forecasting, management reporting and opportunity governance for all key accounts.
Q1: Lead and coach team members to improve productivity, ownership, domain knowledge and deal conversion.</t>
        </is>
      </c>
      <c r="FG238" s="56" t="inlineStr">
        <is>
          <t>1. Own MEA sales strategy, pipeline creation and revenue conversion for iFile/iDEAL/ Carbon/ MSME and related regulatory opportunities.
2. Build and manage senior regulator, partner and enterprise relationships across Africa and Middle East.
3. Lead tender strategy, qualification, pricing inputs, demos and commercial negotiation for priority opportunities.
4. Manage team productivity, weekly reviews, forecasts and cross-functional coordination with product, delivery and leadership.
5. Target: INR 5 Cr</t>
        </is>
      </c>
      <c r="FH238" s="56" t="inlineStr">
        <is>
          <t>5</t>
        </is>
      </c>
      <c r="FI238" s="56" t="n"/>
      <c r="FJ238" s="56" t="inlineStr">
        <is>
          <t>Received · manager annual, quarterly, self</t>
        </is>
      </c>
      <c r="FK238" s="56" t="inlineStr">
        <is>
          <t>Talent Mapping · iFile collated</t>
        </is>
      </c>
      <c r="FL238" s="56" t="n">
        <v>20</v>
      </c>
      <c r="FM238" s="32" t="inlineStr">
        <is>
          <t>Full survey answers not in the files received · How We Grow export needed · HR</t>
        </is>
      </c>
      <c r="FN238" s="56" t="inlineStr">
        <is>
          <t>—</t>
        </is>
      </c>
      <c r="FO238" s="56" t="inlineStr">
        <is>
          <t>—</t>
        </is>
      </c>
      <c r="FP238" s="56" t="inlineStr">
        <is>
          <t>—</t>
        </is>
      </c>
      <c r="FQ238" s="56" t="inlineStr">
        <is>
          <t>—</t>
        </is>
      </c>
      <c r="FR238" s="56" t="inlineStr">
        <is>
          <t>Complexity: Evidence reads like B2: Multi-country, multi-product MEA selling to regulators, banks and partners; tender strategy and negotiation → matches the start
Autonomy: Evidence reads like B2: Decides client strategy; KRA: leads tender strategy, pricing inputs, commercial negotiation, team weekly reviews → matches the start
Accountability: Evidence reads like B3: MEA revenue and pipeline target · INR 5 Cr, market expansion and new business wins → moved up 0.5
Leadership: Evidence reads like B1: Three direct reports; KRA: manages team productivity, weekly reviews and forecasts → matches the start
Business Impact: Moved +0.5: the survey / manager mapping marks it business-critical.</t>
        </is>
      </c>
      <c r="FS238" s="56" t="n"/>
      <c r="FT238" s="56" t="inlineStr">
        <is>
          <t>Self-identified: Technical depth &amp; architecture · Strategy &amp; business acumen · Broader exposure &amp; ownership
For the next role: Technical depth &amp; architecture · Strategy &amp; business acumen · Broader exposure &amp; ownership</t>
        </is>
      </c>
      <c r="FU238" s="32" t="inlineStr">
        <is>
          <t>Full survey answers not in the files received · How We Grow export needed · HR</t>
        </is>
      </c>
    </row>
    <row r="239" ht="90" customHeight="1">
      <c r="A239" s="51" t="inlineStr">
        <is>
          <t>◂ Back</t>
        </is>
      </c>
      <c r="B239" s="29" t="inlineStr">
        <is>
          <t>Mapped</t>
        </is>
      </c>
      <c r="C239" s="28" t="inlineStr">
        <is>
          <t>iFile</t>
        </is>
      </c>
      <c r="D239" s="29" t="inlineStr">
        <is>
          <t>IRIS2070</t>
        </is>
      </c>
      <c r="E239" s="29" t="inlineStr">
        <is>
          <t>Shreya Jolly</t>
        </is>
      </c>
      <c r="F239" s="29" t="inlineStr">
        <is>
          <t>Sales</t>
        </is>
      </c>
      <c r="G239" s="29" t="inlineStr">
        <is>
          <t>Assistant Manager Sales</t>
        </is>
      </c>
      <c r="H239" s="29" t="inlineStr">
        <is>
          <t>Account Executive – POD Lead</t>
        </is>
      </c>
      <c r="I239" s="29" t="inlineStr">
        <is>
          <t>L5 – Assistant Manager</t>
        </is>
      </c>
      <c r="J239" s="29" t="inlineStr">
        <is>
          <t>B1</t>
        </is>
      </c>
      <c r="K239" s="29" t="inlineStr">
        <is>
          <t>• Same level</t>
        </is>
      </c>
      <c r="L239" s="29" t="inlineStr">
        <is>
          <t>Sales &amp; Business Development</t>
        </is>
      </c>
      <c r="M239" s="29" t="inlineStr">
        <is>
          <t>Enterprise Sales &amp; Account Management</t>
        </is>
      </c>
      <c r="N239" s="29" t="n"/>
      <c r="O239" s="29" t="n">
        <v>20</v>
      </c>
      <c r="P239" s="28" t="inlineStr">
        <is>
          <t>P3 / M2</t>
        </is>
      </c>
      <c r="Q239" s="29" t="inlineStr">
        <is>
          <t>Career / · Team Lead</t>
        </is>
      </c>
      <c r="R239" s="29" t="inlineStr">
        <is>
          <t>4 Enable</t>
        </is>
      </c>
      <c r="S239" s="29" t="inlineStr">
        <is>
          <t>4–7 yrs</t>
        </is>
      </c>
      <c r="T239" s="29" t="inlineStr">
        <is>
          <t>5–8 · 4–8</t>
        </is>
      </c>
      <c r="U239" s="29" t="inlineStr">
        <is>
          <t>Account Executive</t>
        </is>
      </c>
      <c r="V239" s="29" t="inlineStr">
        <is>
          <t>IRIS Vs Competitor Benchmark — SaaS sales ladder — IC: Account Executive · SMB · IRIS Vs Competitor Benchmark — SaaS sales ladder — management: SDR Team Lead</t>
        </is>
      </c>
      <c r="W239" s="29" t="inlineStr">
        <is>
          <t>SaaS sales ladder · SDR → AE → Enterprise AE → VP / CRO; MEDDICC-style qualification</t>
        </is>
      </c>
      <c r="X239" s="29" t="inlineStr">
        <is>
          <t>Core 3 · Future 3 · Functional 3 · Leadership 2</t>
        </is>
      </c>
      <c r="Y239" s="52" t="n">
        <v>246</v>
      </c>
      <c r="Z239" s="53" t="inlineStr">
        <is>
          <t>IRIS2070</t>
        </is>
      </c>
      <c r="AA239" s="53" t="inlineStr">
        <is>
          <t>Employee</t>
        </is>
      </c>
      <c r="AB239" s="53" t="inlineStr">
        <is>
          <t>Active</t>
        </is>
      </c>
      <c r="AC239" s="53" t="inlineStr">
        <is>
          <t>Shreya Jolly</t>
        </is>
      </c>
      <c r="AD239" s="54" t="n">
        <v>44851</v>
      </c>
      <c r="AE239" s="53" t="inlineStr">
        <is>
          <t>Assistant Manager Sales</t>
        </is>
      </c>
      <c r="AF239" s="53" t="inlineStr">
        <is>
          <t>MBA</t>
        </is>
      </c>
      <c r="AG239" s="53" t="inlineStr">
        <is>
          <t>Amit Jaidka</t>
        </is>
      </c>
      <c r="AH239" s="53" t="inlineStr">
        <is>
          <t>N-4</t>
        </is>
      </c>
      <c r="AI239" s="53" t="inlineStr">
        <is>
          <t>Manager</t>
        </is>
      </c>
      <c r="AJ239" s="53" t="inlineStr">
        <is>
          <t>1 years, 1 months, 0 days</t>
        </is>
      </c>
      <c r="AK239" s="53" t="inlineStr">
        <is>
          <t>3 years, 10 months, 8 days</t>
        </is>
      </c>
      <c r="AL239" s="53" t="inlineStr">
        <is>
          <t>Suptech</t>
        </is>
      </c>
      <c r="AM239" s="53" t="inlineStr">
        <is>
          <t>iFile</t>
        </is>
      </c>
      <c r="AN239" s="53" t="inlineStr">
        <is>
          <t>Sales</t>
        </is>
      </c>
      <c r="AO239" s="53" t="inlineStr">
        <is>
          <t>Sales</t>
        </is>
      </c>
      <c r="AP239" s="53" t="inlineStr">
        <is>
          <t>No</t>
        </is>
      </c>
      <c r="AQ239" s="53" t="inlineStr">
        <is>
          <t>Sales, Marketing &amp; Support</t>
        </is>
      </c>
      <c r="AR239" s="53" t="inlineStr">
        <is>
          <t>Sales</t>
        </is>
      </c>
      <c r="AS239" s="53" t="inlineStr">
        <is>
          <t>Non-technical</t>
        </is>
      </c>
      <c r="AT239" s="53" t="n">
        <v>20</v>
      </c>
      <c r="AU239" s="53" t="inlineStr">
        <is>
          <t>Covered</t>
        </is>
      </c>
      <c r="AV239" s="53" t="n"/>
      <c r="AW239" s="53" t="n"/>
      <c r="AX239" s="53" t="n"/>
      <c r="AY239" s="53" t="n"/>
      <c r="AZ239" s="53" t="n"/>
      <c r="BA239" s="53" t="n"/>
      <c r="BB239" s="53" t="n"/>
      <c r="BC239" s="53" t="n"/>
      <c r="BD239" s="53" t="n"/>
      <c r="BE239" s="53" t="n"/>
      <c r="BF239" s="53" t="n"/>
      <c r="BG239" s="53" t="n"/>
      <c r="BH239" s="53" t="n"/>
      <c r="BI239" s="53" t="n"/>
      <c r="BJ239" s="53" t="n"/>
      <c r="BK239" s="53" t="n"/>
      <c r="BL239" s="53" t="n"/>
      <c r="BM239" s="53" t="n"/>
      <c r="BN239" s="53" t="n"/>
      <c r="BO239" s="53" t="n"/>
      <c r="BP239" s="53" t="n"/>
      <c r="BQ239" s="53" t="n"/>
      <c r="BR239" s="53" t="n"/>
      <c r="BS239" s="53" t="n"/>
      <c r="BT239" s="53" t="n"/>
      <c r="BU239" s="53" t="n"/>
      <c r="BV239" s="53" t="n"/>
      <c r="BW239" s="53" t="n"/>
      <c r="BX239" s="53" t="n"/>
      <c r="BY239" s="53" t="n"/>
      <c r="BZ239" s="53" t="n"/>
      <c r="CA239" s="53" t="n"/>
      <c r="CB239" s="53" t="n"/>
      <c r="CC239" s="53" t="n"/>
      <c r="CD239" s="53" t="n"/>
      <c r="CE239" s="53" t="n"/>
      <c r="CF239" s="53" t="n"/>
      <c r="CG239" s="53" t="n"/>
      <c r="CH239" s="53" t="n"/>
      <c r="CI239" s="53" t="n"/>
      <c r="CJ239" s="53" t="n"/>
      <c r="CK239" s="53" t="n"/>
      <c r="CL239" s="53" t="n"/>
      <c r="CM239" s="53" t="n"/>
      <c r="CN239" s="53" t="n"/>
      <c r="CO239" s="53" t="n"/>
      <c r="CP239" s="53" t="n"/>
      <c r="CQ239" s="53" t="n"/>
      <c r="CR239" s="53" t="n"/>
      <c r="CS239" s="53" t="n"/>
      <c r="CT239" s="53" t="n"/>
      <c r="CU239" s="53" t="n"/>
      <c r="CV239" s="53" t="n"/>
      <c r="CW239" s="53" t="n"/>
      <c r="CX239" s="53" t="n"/>
      <c r="CY239" s="53" t="n"/>
      <c r="CZ239" s="53" t="n"/>
      <c r="DA239" s="53" t="n"/>
      <c r="DB239" s="53" t="n"/>
      <c r="DC239" s="53" t="n"/>
      <c r="DD239" s="53" t="inlineStr">
        <is>
          <t>IRIS2070</t>
        </is>
      </c>
      <c r="DE239" s="53" t="inlineStr">
        <is>
          <t>Employee</t>
        </is>
      </c>
      <c r="DF239" s="53" t="inlineStr">
        <is>
          <t>Active</t>
        </is>
      </c>
      <c r="DG239" s="53" t="inlineStr">
        <is>
          <t>Shreya Jolly</t>
        </is>
      </c>
      <c r="DH239" s="54" t="n">
        <v>44851</v>
      </c>
      <c r="DI239" s="53" t="inlineStr">
        <is>
          <t>Assistant Manager Sales</t>
        </is>
      </c>
      <c r="DJ239" s="53" t="inlineStr">
        <is>
          <t>Sales &amp; Business Development</t>
        </is>
      </c>
      <c r="DK239" s="53" t="inlineStr">
        <is>
          <t>Sales / Account Management</t>
        </is>
      </c>
      <c r="DL239" s="53" t="inlineStr">
        <is>
          <t>Assistant Manager Sales</t>
        </is>
      </c>
      <c r="DM239" s="53" t="inlineStr">
        <is>
          <t>L5 – Assistant Manager</t>
        </is>
      </c>
      <c r="DN239" s="53" t="inlineStr">
        <is>
          <t>MBA</t>
        </is>
      </c>
      <c r="DO239" s="53" t="inlineStr">
        <is>
          <t>Amit Jaidka</t>
        </is>
      </c>
      <c r="DP239" s="53" t="inlineStr">
        <is>
          <t>N-3</t>
        </is>
      </c>
      <c r="DQ239" s="53" t="inlineStr">
        <is>
          <t>Manager</t>
        </is>
      </c>
      <c r="DR239" s="53" t="inlineStr">
        <is>
          <t>1 years, 1 months, 0 days</t>
        </is>
      </c>
      <c r="DS239" s="53" t="inlineStr">
        <is>
          <t>3 years, 8 months, 3 days</t>
        </is>
      </c>
      <c r="DT239" s="53" t="inlineStr">
        <is>
          <t>4 years, 9 months, 3 days</t>
        </is>
      </c>
      <c r="DU239" s="53" t="n">
        <v>3.67488584474886</v>
      </c>
      <c r="DV239" s="53" t="inlineStr">
        <is>
          <t>Suptech</t>
        </is>
      </c>
      <c r="DW239" s="53" t="inlineStr">
        <is>
          <t>iFile</t>
        </is>
      </c>
      <c r="DX239" s="53" t="inlineStr">
        <is>
          <t>Sales</t>
        </is>
      </c>
      <c r="DY239" s="53" t="inlineStr">
        <is>
          <t>Sales</t>
        </is>
      </c>
      <c r="DZ239" s="53" t="inlineStr">
        <is>
          <t>No</t>
        </is>
      </c>
      <c r="EA239" s="53" t="inlineStr">
        <is>
          <t>Sales, Marketing &amp; Support</t>
        </is>
      </c>
      <c r="EB239" s="53" t="inlineStr">
        <is>
          <t>Sales</t>
        </is>
      </c>
      <c r="EC239" s="53" t="inlineStr">
        <is>
          <t>Non-technical</t>
        </is>
      </c>
      <c r="ED239" s="53" t="inlineStr">
        <is>
          <t>Remote- Outside Mumbai</t>
        </is>
      </c>
      <c r="EE239" s="53" t="inlineStr">
        <is>
          <t>1. Achieve 100% of personal annual revenue quota of 1 Cr for IRIS INSTANT, iDeal, CARBON — measured by revenue booked vs. assigned target by 31 Mar 2027.
2. Build and maintain a qualified sales pipeline of — tracked monthly in with opportunity stage, value and expected close date updated weekly.
3. Deliver team revenue target: ensure direct reports - Vaibhav Paul, Shreya Sharma collectively achieve ≥90% of their assigned annual quotas — reviewed monthly via pipeline and booking reports.
4. Drive new business revenue — close a minimum of 40 Lakhs revenue of new accounts across IRIS INSTANT and 1.1 Cr for CARBON - SA &amp; Nigeria for iXBRL &amp; DM against the assigned new-business target for FY2026.
5. Maintain CRM hygiene at 100% across self and team — all opportunities, activities, and contact records logged and current; zero backlog of unlogged interactions older than 3 business days.
6. Achieve forecast accuracy within ±15% of committed number each quarter — Q1 through Q4 actuals vs. forecast submitted at start of each quarter.
7. Coach and develop team members: conduct structured monthly 1:1s with each direct report with documented goals, feedback and action items; ensure at least one measurable skill improvement per team member per half-year.
8. Achieve ≥90% on-time proposal and contract turnaround — all client proposals, order forms and commercial documents issued within agreed SLA · target: ≤3 business days from request.</t>
        </is>
      </c>
      <c r="EF239" s="53" t="inlineStr">
        <is>
          <t>Q1: Deliver assigned sales pipeline and revenue contribution across iFile/INSTANT/CARBON accounts.
Q1: Lead customer engagement and ensure timely movement of opportunities from lead to demo, proposal and closure.
Q1: Manage interns/junior resources with weekly task plans, output review and measurable productivity.
Q1: Maintain forecast accuracy, CRM discipline and management reporting for assigned markets.
Q1: Achive New bisiness of INR 1 Cr</t>
        </is>
      </c>
      <c r="EG239" s="53" t="inlineStr">
        <is>
          <t>Q1: Build CARBON/Disclosure Management pipeline and move qualified opportunities to demo/proposal stage.
Q1: Achieve assigned quarterly lead, meeting and opportunity creation targets for Africa/SA markets.
Q1: Prepare prospect-specific ESG/iXBRL context and maintain accurate CRM/forecast hygiene.
Q1: Support proposal, demo and follow-up cadence to improve conversion from discussion to commercial stage.
Q1: Strengthen product/domain capability and operate effectively in hybrid mode with visible weekly outputs.</t>
        </is>
      </c>
      <c r="EH239" s="53" t="n">
        <v>4</v>
      </c>
      <c r="EI239" s="54" t="n">
        <v>46172</v>
      </c>
      <c r="EJ239" s="53" t="inlineStr">
        <is>
          <t>Manager</t>
        </is>
      </c>
      <c r="EK239" s="53" t="inlineStr">
        <is>
          <t>No</t>
        </is>
      </c>
      <c r="EL239" s="53" t="n">
        <v>4</v>
      </c>
      <c r="EM239" s="53" t="inlineStr">
        <is>
          <t>High</t>
        </is>
      </c>
      <c r="EN239" s="53" t="inlineStr">
        <is>
          <t>High Impact / Growth Talent</t>
        </is>
      </c>
      <c r="EO239" s="53" t="inlineStr">
        <is>
          <t>Yes</t>
        </is>
      </c>
      <c r="EP239" s="53" t="inlineStr">
        <is>
          <t>Yes</t>
        </is>
      </c>
      <c r="EQ239" s="53" t="inlineStr">
        <is>
          <t>Yes</t>
        </is>
      </c>
      <c r="ER239" s="53" t="inlineStr">
        <is>
          <t>No</t>
        </is>
      </c>
      <c r="ES239" s="53" t="inlineStr">
        <is>
          <t>1. Advanced Sales Negotiation &amp; Enterprise Deal Structuring — closing complex multi-stakeholder deals for IRIS INSTANT and CARBON
2. Regulatory &amp; Domain Knowledge: XBRL, DM ESG/Sustainability Reporting · TCFD, GRI, ISSB relevant to SA &amp; Nigeria markets
3. CRM Mastery &amp; Pipeline Management — forecasting discipline, deal hygiene and data-driven selling
4. People Management &amp; Coaching Skills — structured 1:1s, performance conversations, giving and receiving feedback
5. Africa Market Intelligence — understanding of SA &amp; Nigeria regulatory landscape, client buying behaviour and competitive dynamics
6. Remote/Hybrid Team Productivity — tools and practices to manage a distributed team effectively and drive in-office accountability</t>
        </is>
      </c>
      <c r="ET239" s="53" t="n"/>
      <c r="EU239" s="53" t="n"/>
      <c r="EV239" s="53" t="n"/>
      <c r="EW239" s="52" t="n"/>
      <c r="EX239" s="53" t="n"/>
      <c r="EY239" s="53" t="n"/>
      <c r="EZ239" s="53" t="n"/>
      <c r="FA239" s="53" t="n"/>
      <c r="FB239" s="53" t="n"/>
      <c r="FC239" s="53" t="n"/>
      <c r="FD239" s="53" t="n"/>
      <c r="FE239" s="57" t="inlineStr">
        <is>
          <t>Q1: Deliver assigned sales pipeline and revenue contribution across iFile/INSTANT/CARBON accounts.
Q1: Lead customer engagement and ensure timely movement of opportunities from lead to demo, proposal and closure.
Q1: Manage interns/junior resources with weekly task plans, output review and measurable productivity.
Q1: Maintain forecast accuracy, CRM discipline and management reporting for assigned markets.
Q1: Achive New bisiness of INR 1 Cr</t>
        </is>
      </c>
      <c r="FF239" s="56" t="inlineStr">
        <is>
          <t>Q1: Build CARBON/Disclosure Management pipeline and move qualified opportunities to demo/proposal stage.
Q1: Achieve assigned quarterly lead, meeting and opportunity creation targets for Africa/SA markets.
Q1: Prepare prospect-specific ESG/iXBRL context and maintain accurate CRM/forecast hygiene.
Q1: Support proposal, demo and follow-up cadence to improve conversion from discussion to commercial stage.
Q1: Strengthen product/domain capability and operate effectively in hybrid mode with visible weekly outputs.</t>
        </is>
      </c>
      <c r="FG239" s="56" t="inlineStr">
        <is>
          <t>1. Achieve 100% of personal annual revenue quota of 1 Cr for IRIS INSTANT, iDeal, CARBON  — measured by revenue booked vs. assigned target by 31 Mar 2027.
2. Build and maintain a qualified sales pipeline of  — tracked monthly in  with opportunity stage, value and expected close date updated weekly.
3. Deliver team revenue target: ensure direct reports  - Vaibhav Paul, Shreya Sharma collectively achieve ≥90% of their assigned annual quotas — reviewed monthly via pipeline and booking reports.
4. Drive new business revenue — close a minimum of 40 Lakhs revenue of new accounts across IRIS INSTANT and 1.1 Cr for CARBON - SA &amp; Nigeria for iXBRL &amp; DM against the assigned new-business target for FY2026.
5. Maintain CRM hygiene at 100% across self and team — all opportunities, activities, and contact records logged and current; zero backlog of unlogged interactions older than 3 business days.
6. Achieve forecast accuracy within ±15% of committed number each quarter — Q1 through Q4 actuals vs. forecast submitted at start of each quarter.
7. Coach and develop team members: conduct structured monthly 1:1s with each direct report with documented goals, feedback and action items; ensure at least one measurable skill improvement per team member per half-year.
8. Achieve ≥90% on-time proposal and contract turnaround — all client proposals, order forms and commercial documents issued within agreed SLA · target: ≤3 business days from request.</t>
        </is>
      </c>
      <c r="FH239" s="56" t="inlineStr">
        <is>
          <t>4</t>
        </is>
      </c>
      <c r="FI239" s="56" t="n"/>
      <c r="FJ239" s="56" t="inlineStr">
        <is>
          <t>Received · manager annual, quarterly, self</t>
        </is>
      </c>
      <c r="FK239" s="56" t="inlineStr">
        <is>
          <t>Talent Mapping · iFile collated</t>
        </is>
      </c>
      <c r="FL239" s="56" t="n">
        <v>20</v>
      </c>
      <c r="FM239" s="32" t="inlineStr">
        <is>
          <t>Full survey answers not in the files received · How We Grow export needed · HR</t>
        </is>
      </c>
      <c r="FN239" s="56" t="inlineStr">
        <is>
          <t>—</t>
        </is>
      </c>
      <c r="FO239" s="56" t="inlineStr">
        <is>
          <t>—</t>
        </is>
      </c>
      <c r="FP239" s="56" t="inlineStr">
        <is>
          <t>—</t>
        </is>
      </c>
      <c r="FQ239" s="56" t="inlineStr">
        <is>
          <t>—</t>
        </is>
      </c>
      <c r="FR239" s="56" t="inlineStr">
        <is>
          <t>Complexity: Evidence reads like B1: Compliance-driven sales across Africa/ASEAN regulators: proposals, pricing negotiation, contract clauses, onboarding, renewals → matches the start
Autonomy: Evidence reads like B1: Decides deal priorities, negotiation approach, proposal structure; allocates tasks to two reports → matches the start
Accountability: Evidence reads like B2: Revenue against target · 1 Cr personal quota, signed contracts' commercial terms, renewals, reports' quotas → moved up 0.5
Leadership: Evidence reads like B1: Manages two sales reports: task allocation and monthly pipeline reviews → matches the start
Business Impact: Moved +0.5: the survey / manager mapping marks it business-critical.</t>
        </is>
      </c>
      <c r="FS239" s="56" t="inlineStr">
        <is>
          <t>Common themes in sub-family holders, all levels' answers: sales · company · revenue
Common themes in sub-family holders, all levels' answers: ups · follow
Common themes in sub-family holders, all levels' answers: client
Common themes in sub-family holders, all levels' answers: revenue · client · target
Common themes in sub-family holders, all levels' answers: meeting</t>
        </is>
      </c>
      <c r="FT239" s="56" t="inlineStr">
        <is>
          <t>Self-identified: Client, sales &amp; stakeholders · Strategy &amp; business acumen
For the next role: Client, sales &amp; stakeholders · Strategy &amp; business acumen</t>
        </is>
      </c>
      <c r="FU239" s="32" t="inlineStr">
        <is>
          <t>Full survey answers not in the files received · How We Grow export needed · HR</t>
        </is>
      </c>
    </row>
    <row r="240" ht="90" customHeight="1">
      <c r="A240" s="51" t="inlineStr">
        <is>
          <t>◂ Back</t>
        </is>
      </c>
      <c r="B240" s="29" t="inlineStr">
        <is>
          <t>Mapped</t>
        </is>
      </c>
      <c r="C240" s="28" t="inlineStr">
        <is>
          <t>iDEAL</t>
        </is>
      </c>
      <c r="D240" s="29" t="inlineStr">
        <is>
          <t>IRIS2540</t>
        </is>
      </c>
      <c r="E240" s="29" t="inlineStr">
        <is>
          <t>Deepali Barai</t>
        </is>
      </c>
      <c r="F240" s="29" t="inlineStr">
        <is>
          <t>Sales</t>
        </is>
      </c>
      <c r="G240" s="29" t="inlineStr">
        <is>
          <t>Business Development Manager</t>
        </is>
      </c>
      <c r="H240" s="29" t="inlineStr">
        <is>
          <t>Account Executive</t>
        </is>
      </c>
      <c r="I240" s="29" t="inlineStr">
        <is>
          <t>Not in current mapping files</t>
        </is>
      </c>
      <c r="J240" s="29" t="inlineStr">
        <is>
          <t>B1</t>
        </is>
      </c>
      <c r="K240" s="29" t="inlineStr">
        <is>
          <t>● Newly mapped</t>
        </is>
      </c>
      <c r="L240" s="29" t="inlineStr">
        <is>
          <t>Sales &amp; Business Development</t>
        </is>
      </c>
      <c r="M240" s="29" t="inlineStr">
        <is>
          <t>Enterprise Sales &amp; Account Management</t>
        </is>
      </c>
      <c r="N240" s="29" t="n"/>
      <c r="O240" s="29" t="n">
        <v>18</v>
      </c>
      <c r="P240" s="28" t="inlineStr">
        <is>
          <t>P3 / M2</t>
        </is>
      </c>
      <c r="Q240" s="29" t="inlineStr">
        <is>
          <t>Career / · Team Lead</t>
        </is>
      </c>
      <c r="R240" s="29" t="inlineStr">
        <is>
          <t>4 Enable</t>
        </is>
      </c>
      <c r="S240" s="29" t="inlineStr">
        <is>
          <t>4–7 yrs</t>
        </is>
      </c>
      <c r="T240" s="29" t="inlineStr">
        <is>
          <t>5–8 · 4–8</t>
        </is>
      </c>
      <c r="U240" s="29" t="inlineStr">
        <is>
          <t>Account Executive</t>
        </is>
      </c>
      <c r="V240" s="29" t="inlineStr">
        <is>
          <t>IRIS Vs Competitor Benchmark — SaaS sales ladder — IC: Account Executive · SMB · IRIS Vs Competitor Benchmark — SaaS sales ladder — management: SDR Team Lead</t>
        </is>
      </c>
      <c r="W240" s="29" t="inlineStr">
        <is>
          <t>SaaS sales ladder · SDR → AE → Enterprise AE → VP / CRO; MEDDICC-style qualification</t>
        </is>
      </c>
      <c r="X240" s="29" t="inlineStr">
        <is>
          <t>Core 3 · Future 3 · Functional 3 · Leadership 1</t>
        </is>
      </c>
      <c r="Y240" s="52" t="n">
        <v>513</v>
      </c>
      <c r="Z240" s="53" t="inlineStr">
        <is>
          <t>IRIS2540</t>
        </is>
      </c>
      <c r="AA240" s="53" t="inlineStr">
        <is>
          <t>Employee</t>
        </is>
      </c>
      <c r="AB240" s="53" t="inlineStr">
        <is>
          <t>Active</t>
        </is>
      </c>
      <c r="AC240" s="53" t="inlineStr">
        <is>
          <t>Deepali Barai</t>
        </is>
      </c>
      <c r="AD240" s="54" t="n">
        <v>46195</v>
      </c>
      <c r="AE240" s="53" t="inlineStr">
        <is>
          <t>Business Development Manager</t>
        </is>
      </c>
      <c r="AF240" s="53" t="inlineStr">
        <is>
          <t>B.E</t>
        </is>
      </c>
      <c r="AG240" s="53" t="inlineStr">
        <is>
          <t>Shreya Jolly</t>
        </is>
      </c>
      <c r="AH240" s="53" t="inlineStr">
        <is>
          <t>N-5</t>
        </is>
      </c>
      <c r="AI240" s="53" t="inlineStr">
        <is>
          <t>Individual Contributor</t>
        </is>
      </c>
      <c r="AJ240" s="53" t="inlineStr">
        <is>
          <t>4 years, 4 months, 0 days</t>
        </is>
      </c>
      <c r="AK240" s="53" t="inlineStr">
        <is>
          <t>0 years, 2 months, 3 days</t>
        </is>
      </c>
      <c r="AL240" s="53" t="inlineStr">
        <is>
          <t>Regtech</t>
        </is>
      </c>
      <c r="AM240" s="53" t="inlineStr">
        <is>
          <t>iDEAL</t>
        </is>
      </c>
      <c r="AN240" s="53" t="inlineStr">
        <is>
          <t>Sales</t>
        </is>
      </c>
      <c r="AO240" s="53" t="inlineStr">
        <is>
          <t>Sales</t>
        </is>
      </c>
      <c r="AP240" s="53" t="inlineStr">
        <is>
          <t>No</t>
        </is>
      </c>
      <c r="AQ240" s="53" t="inlineStr">
        <is>
          <t>Sales, Marketing &amp; Support</t>
        </is>
      </c>
      <c r="AR240" s="53" t="inlineStr">
        <is>
          <t>Sales</t>
        </is>
      </c>
      <c r="AS240" s="53" t="inlineStr">
        <is>
          <t>Non-technical</t>
        </is>
      </c>
      <c r="AT240" s="53" t="n">
        <v>20</v>
      </c>
      <c r="AU240" s="53" t="inlineStr">
        <is>
          <t>Covered</t>
        </is>
      </c>
      <c r="AV240" s="53" t="n"/>
      <c r="AW240" s="53" t="n"/>
      <c r="AX240" s="53" t="n"/>
      <c r="AY240" s="53" t="n"/>
      <c r="AZ240" s="53" t="n"/>
      <c r="BA240" s="53" t="n"/>
      <c r="BB240" s="53" t="n"/>
      <c r="BC240" s="53" t="n"/>
      <c r="BD240" s="53" t="n"/>
      <c r="BE240" s="53" t="n"/>
      <c r="BF240" s="53" t="n"/>
      <c r="BG240" s="53" t="n"/>
      <c r="BH240" s="53" t="n"/>
      <c r="BI240" s="53" t="n"/>
      <c r="BJ240" s="53" t="n"/>
      <c r="BK240" s="53" t="n"/>
      <c r="BL240" s="53" t="n"/>
      <c r="BM240" s="53" t="n"/>
      <c r="BN240" s="53" t="n"/>
      <c r="BO240" s="53" t="n"/>
      <c r="BP240" s="53" t="n"/>
      <c r="BQ240" s="53" t="n"/>
      <c r="BR240" s="53" t="n"/>
      <c r="BS240" s="53" t="n"/>
      <c r="BT240" s="53" t="n"/>
      <c r="BU240" s="53" t="n"/>
      <c r="BV240" s="53" t="n"/>
      <c r="BW240" s="53" t="n"/>
      <c r="BX240" s="53" t="n"/>
      <c r="BY240" s="53" t="n"/>
      <c r="BZ240" s="53" t="n"/>
      <c r="CA240" s="53" t="n"/>
      <c r="CB240" s="53" t="n"/>
      <c r="CC240" s="53" t="n"/>
      <c r="CD240" s="53" t="n"/>
      <c r="CE240" s="53" t="n"/>
      <c r="CF240" s="53" t="n"/>
      <c r="CG240" s="53" t="n"/>
      <c r="CH240" s="53" t="n"/>
      <c r="CI240" s="53" t="n"/>
      <c r="CJ240" s="53" t="n"/>
      <c r="CK240" s="53" t="n"/>
      <c r="CL240" s="53" t="n"/>
      <c r="CM240" s="53" t="n"/>
      <c r="CN240" s="53" t="n"/>
      <c r="CO240" s="53" t="n"/>
      <c r="CP240" s="53" t="n"/>
      <c r="CQ240" s="53" t="n"/>
      <c r="CR240" s="53" t="n"/>
      <c r="CS240" s="53" t="n"/>
      <c r="CT240" s="53" t="n"/>
      <c r="CU240" s="53" t="n"/>
      <c r="CV240" s="53" t="n"/>
      <c r="CW240" s="53" t="n"/>
      <c r="CX240" s="53" t="n"/>
      <c r="CY240" s="53" t="n"/>
      <c r="CZ240" s="53" t="n"/>
      <c r="DA240" s="53" t="n"/>
      <c r="DB240" s="53" t="n"/>
      <c r="DC240" s="53" t="n"/>
      <c r="DD240" s="53" t="n"/>
      <c r="DE240" s="53" t="n"/>
      <c r="DF240" s="53" t="n"/>
      <c r="DG240" s="53" t="n"/>
      <c r="DH240" s="53" t="n"/>
      <c r="DI240" s="53" t="n"/>
      <c r="DJ240" s="53" t="n"/>
      <c r="DK240" s="53" t="n"/>
      <c r="DL240" s="53" t="n"/>
      <c r="DM240" s="53" t="n"/>
      <c r="DN240" s="53" t="n"/>
      <c r="DO240" s="53" t="n"/>
      <c r="DP240" s="53" t="n"/>
      <c r="DQ240" s="53" t="n"/>
      <c r="DR240" s="53" t="n"/>
      <c r="DS240" s="53" t="n"/>
      <c r="DT240" s="53" t="n"/>
      <c r="DU240" s="53" t="n"/>
      <c r="DV240" s="53" t="n"/>
      <c r="DW240" s="53" t="n"/>
      <c r="DX240" s="53" t="n"/>
      <c r="DY240" s="53" t="n"/>
      <c r="DZ240" s="53" t="n"/>
      <c r="EA240" s="53" t="n"/>
      <c r="EB240" s="53" t="n"/>
      <c r="EC240" s="53" t="n"/>
      <c r="ED240" s="53" t="n"/>
      <c r="EE240" s="53" t="n"/>
      <c r="EF240" s="53" t="n"/>
      <c r="EG240" s="53" t="n"/>
      <c r="EH240" s="53" t="n"/>
      <c r="EI240" s="53" t="n"/>
      <c r="EJ240" s="53" t="n"/>
      <c r="EK240" s="53" t="n"/>
      <c r="EL240" s="53" t="n"/>
      <c r="EM240" s="53" t="n"/>
      <c r="EN240" s="53" t="n"/>
      <c r="EO240" s="53" t="n"/>
      <c r="EP240" s="53" t="n"/>
      <c r="EQ240" s="53" t="n"/>
      <c r="ER240" s="53" t="n"/>
      <c r="ES240" s="53" t="n"/>
      <c r="ET240" s="53" t="n"/>
      <c r="EU240" s="53" t="n"/>
      <c r="EV240" s="53" t="n"/>
      <c r="EW240" s="52" t="n"/>
      <c r="EX240" s="53" t="n"/>
      <c r="EY240" s="53" t="n"/>
      <c r="EZ240" s="53" t="n"/>
      <c r="FA240" s="53" t="n"/>
      <c r="FB240" s="53" t="n"/>
      <c r="FC240" s="53" t="n"/>
      <c r="FD240" s="53" t="n"/>
      <c r="FE240" s="55" t="inlineStr">
        <is>
          <t>KRAs not received · manager to supply</t>
        </is>
      </c>
      <c r="FF240" s="56" t="n"/>
      <c r="FG240" s="56" t="n"/>
      <c r="FH240" s="56" t="n"/>
      <c r="FI240" s="56" t="n"/>
      <c r="FJ240" s="32" t="inlineStr">
        <is>
          <t>KRAs not received · manager to supply</t>
        </is>
      </c>
      <c r="FK240" s="56" t="n"/>
      <c r="FL240" s="56" t="n">
        <v>18</v>
      </c>
      <c r="FM240" s="32" t="inlineStr">
        <is>
          <t>Full survey answers not in the files received · How We Grow export needed · HR</t>
        </is>
      </c>
      <c r="FN240" s="56" t="inlineStr">
        <is>
          <t>—</t>
        </is>
      </c>
      <c r="FO240" s="56" t="inlineStr">
        <is>
          <t>—</t>
        </is>
      </c>
      <c r="FP240" s="56" t="inlineStr">
        <is>
          <t>—</t>
        </is>
      </c>
      <c r="FQ240" s="56" t="inlineStr">
        <is>
          <t>—</t>
        </is>
      </c>
      <c r="FR240" s="56" t="inlineStr">
        <is>
          <t>Complexity: Evidence reads like A2: Prospecting, cold calls, emails, LinkedIn outreach and client demos for the Africa region → moved down 1
Autonomy: Evidence reads like A2: Decides only own prospecting and cold calls → moved down 1
Accountability: Evidence reads like B1: Names a revenue target and demo set-up; outputs are meetings, calls and demos for Africa → moved down 0.5
Leadership: Evidence reads like A1: No guidance or leadership of others described → moved down 1
Business Impact: No survey or manager-mapping signal on criticality: kept at the start point.</t>
        </is>
      </c>
      <c r="FS240" s="56" t="inlineStr">
        <is>
          <t>Common themes in sub-family holders, all levels' answers: sales · company · revenue
Common themes in sub-family holders, all levels' answers: ups · follow
Common themes in sub-family holders, all levels' answers: client
Common themes in sub-family holders, all levels' answers: revenue · client · target
Common themes in sub-family holders, all levels' answers: meeting</t>
        </is>
      </c>
      <c r="FT240" s="56" t="inlineStr">
        <is>
          <t>Self-identified: Client, sales &amp; stakeholders · Broader exposure &amp; ownership
For the next role: Client, sales &amp; stakeholders · Broader exposure &amp; ownership</t>
        </is>
      </c>
      <c r="FU240" s="32" t="inlineStr">
        <is>
          <t>Full survey answers not in the files received · How We Grow export needed · HR</t>
        </is>
      </c>
    </row>
    <row r="241" ht="90" customHeight="1">
      <c r="A241" s="51" t="inlineStr">
        <is>
          <t>◂ Back</t>
        </is>
      </c>
      <c r="B241" s="29" t="inlineStr">
        <is>
          <t>Mapped</t>
        </is>
      </c>
      <c r="C241" s="28" t="inlineStr">
        <is>
          <t>iDEAL</t>
        </is>
      </c>
      <c r="D241" s="29" t="inlineStr">
        <is>
          <t>IRIS2481</t>
        </is>
      </c>
      <c r="E241" s="29" t="inlineStr">
        <is>
          <t>Shreya Sharma</t>
        </is>
      </c>
      <c r="F241" s="29" t="inlineStr">
        <is>
          <t>Sales</t>
        </is>
      </c>
      <c r="G241" s="29" t="inlineStr">
        <is>
          <t>Senior Sales Executive</t>
        </is>
      </c>
      <c r="H241" s="29" t="inlineStr">
        <is>
          <t>Senior Alliances Executive</t>
        </is>
      </c>
      <c r="I241" s="29" t="inlineStr">
        <is>
          <t>L4 – Senior</t>
        </is>
      </c>
      <c r="J241" s="29" t="inlineStr">
        <is>
          <t>A3</t>
        </is>
      </c>
      <c r="K241" s="29" t="inlineStr">
        <is>
          <t>• Same level</t>
        </is>
      </c>
      <c r="L241" s="29" t="inlineStr">
        <is>
          <t>Sales &amp; Business Development</t>
        </is>
      </c>
      <c r="M241" s="29" t="inlineStr">
        <is>
          <t>Partnerships &amp; Alliances</t>
        </is>
      </c>
      <c r="N241" s="29" t="n"/>
      <c r="O241" s="29" t="n">
        <v>20</v>
      </c>
      <c r="P241" s="28" t="inlineStr">
        <is>
          <t>P2</t>
        </is>
      </c>
      <c r="Q241" s="29" t="inlineStr">
        <is>
          <t>Developing</t>
        </is>
      </c>
      <c r="R241" s="29" t="inlineStr">
        <is>
          <t>3 Apply</t>
        </is>
      </c>
      <c r="S241" s="29" t="inlineStr">
        <is>
          <t>2–4 yrs</t>
        </is>
      </c>
      <c r="T241" s="29" t="inlineStr">
        <is>
          <t>3–5 · 2–5</t>
        </is>
      </c>
      <c r="U241" s="29" t="inlineStr">
        <is>
          <t>SDR / Inside Sales</t>
        </is>
      </c>
      <c r="V241" s="29" t="inlineStr">
        <is>
          <t>IRIS Vs Competitor Benchmark — SaaS sales ladder — IC: Senior SDR</t>
        </is>
      </c>
      <c r="W241" s="29" t="inlineStr">
        <is>
          <t>SaaS sales ladder · SDR → AE → Enterprise AE → VP / CRO; MEDDICC-style qualification</t>
        </is>
      </c>
      <c r="X241" s="29" t="inlineStr">
        <is>
          <t>Core 2 · Future 2 · Functional 3 · Leadership not scored</t>
        </is>
      </c>
      <c r="Y241" s="52" t="n">
        <v>455</v>
      </c>
      <c r="Z241" s="53" t="inlineStr">
        <is>
          <t>IRIS2481</t>
        </is>
      </c>
      <c r="AA241" s="53" t="inlineStr">
        <is>
          <t>Employee</t>
        </is>
      </c>
      <c r="AB241" s="53" t="inlineStr">
        <is>
          <t>Active</t>
        </is>
      </c>
      <c r="AC241" s="53" t="inlineStr">
        <is>
          <t>Shreya Sharma</t>
        </is>
      </c>
      <c r="AD241" s="54" t="n">
        <v>46076</v>
      </c>
      <c r="AE241" s="53" t="inlineStr">
        <is>
          <t>Senior Sales Executive</t>
        </is>
      </c>
      <c r="AF241" s="53" t="inlineStr">
        <is>
          <t>B.Com</t>
        </is>
      </c>
      <c r="AG241" s="53" t="inlineStr">
        <is>
          <t>Shreya Jolly</t>
        </is>
      </c>
      <c r="AH241" s="53" t="inlineStr">
        <is>
          <t>N-5</t>
        </is>
      </c>
      <c r="AI241" s="53" t="inlineStr">
        <is>
          <t>Individual Contributor</t>
        </is>
      </c>
      <c r="AJ241" s="53" t="inlineStr">
        <is>
          <t>3 years, 10 months, 0 days</t>
        </is>
      </c>
      <c r="AK241" s="53" t="inlineStr">
        <is>
          <t>0 years, 6 months, 2 days</t>
        </is>
      </c>
      <c r="AL241" s="53" t="inlineStr">
        <is>
          <t>Regtech</t>
        </is>
      </c>
      <c r="AM241" s="53" t="inlineStr">
        <is>
          <t>iDEAL</t>
        </is>
      </c>
      <c r="AN241" s="53" t="inlineStr">
        <is>
          <t>Sales</t>
        </is>
      </c>
      <c r="AO241" s="53" t="inlineStr">
        <is>
          <t>Sales</t>
        </is>
      </c>
      <c r="AP241" s="53" t="inlineStr">
        <is>
          <t>No</t>
        </is>
      </c>
      <c r="AQ241" s="53" t="inlineStr">
        <is>
          <t>Sales, Marketing &amp; Support</t>
        </is>
      </c>
      <c r="AR241" s="53" t="inlineStr">
        <is>
          <t>Sales</t>
        </is>
      </c>
      <c r="AS241" s="53" t="inlineStr">
        <is>
          <t>Non-technical</t>
        </is>
      </c>
      <c r="AT241" s="53" t="n">
        <v>20</v>
      </c>
      <c r="AU241" s="53" t="inlineStr">
        <is>
          <t>Covered</t>
        </is>
      </c>
      <c r="AV241" s="53" t="n"/>
      <c r="AW241" s="53" t="n"/>
      <c r="AX241" s="53" t="n"/>
      <c r="AY241" s="53" t="n"/>
      <c r="AZ241" s="53" t="n"/>
      <c r="BA241" s="53" t="n"/>
      <c r="BB241" s="53" t="n"/>
      <c r="BC241" s="53" t="n"/>
      <c r="BD241" s="53" t="n"/>
      <c r="BE241" s="53" t="n"/>
      <c r="BF241" s="53" t="n"/>
      <c r="BG241" s="53" t="n"/>
      <c r="BH241" s="53" t="n"/>
      <c r="BI241" s="53" t="n"/>
      <c r="BJ241" s="53" t="n"/>
      <c r="BK241" s="53" t="n"/>
      <c r="BL241" s="53" t="n"/>
      <c r="BM241" s="53" t="n"/>
      <c r="BN241" s="53" t="n"/>
      <c r="BO241" s="53" t="n"/>
      <c r="BP241" s="53" t="n"/>
      <c r="BQ241" s="53" t="n"/>
      <c r="BR241" s="53" t="n"/>
      <c r="BS241" s="53" t="n"/>
      <c r="BT241" s="53" t="n"/>
      <c r="BU241" s="53" t="n"/>
      <c r="BV241" s="53" t="n"/>
      <c r="BW241" s="53" t="n"/>
      <c r="BX241" s="53" t="n"/>
      <c r="BY241" s="53" t="n"/>
      <c r="BZ241" s="53" t="n"/>
      <c r="CA241" s="53" t="n"/>
      <c r="CB241" s="53" t="n"/>
      <c r="CC241" s="53" t="n"/>
      <c r="CD241" s="53" t="n"/>
      <c r="CE241" s="53" t="n"/>
      <c r="CF241" s="53" t="n"/>
      <c r="CG241" s="53" t="n"/>
      <c r="CH241" s="53" t="n"/>
      <c r="CI241" s="53" t="n"/>
      <c r="CJ241" s="53" t="n"/>
      <c r="CK241" s="53" t="n"/>
      <c r="CL241" s="53" t="n"/>
      <c r="CM241" s="53" t="n"/>
      <c r="CN241" s="53" t="n"/>
      <c r="CO241" s="53" t="n"/>
      <c r="CP241" s="53" t="n"/>
      <c r="CQ241" s="53" t="n"/>
      <c r="CR241" s="53" t="n"/>
      <c r="CS241" s="53" t="n"/>
      <c r="CT241" s="53" t="n"/>
      <c r="CU241" s="53" t="n"/>
      <c r="CV241" s="53" t="n"/>
      <c r="CW241" s="53" t="n"/>
      <c r="CX241" s="53" t="n"/>
      <c r="CY241" s="53" t="n"/>
      <c r="CZ241" s="53" t="n"/>
      <c r="DA241" s="53" t="n"/>
      <c r="DB241" s="53" t="n"/>
      <c r="DC241" s="53" t="n"/>
      <c r="DD241" s="53" t="inlineStr">
        <is>
          <t>IRIS2481</t>
        </is>
      </c>
      <c r="DE241" s="53" t="inlineStr">
        <is>
          <t>Employee</t>
        </is>
      </c>
      <c r="DF241" s="53" t="inlineStr">
        <is>
          <t>Active</t>
        </is>
      </c>
      <c r="DG241" s="53" t="inlineStr">
        <is>
          <t>Shreya Sharma</t>
        </is>
      </c>
      <c r="DH241" s="54" t="n">
        <v>46076</v>
      </c>
      <c r="DI241" s="53" t="inlineStr">
        <is>
          <t>Senior Sales Executive</t>
        </is>
      </c>
      <c r="DJ241" s="53" t="inlineStr">
        <is>
          <t>Sales &amp; Business Development</t>
        </is>
      </c>
      <c r="DK241" s="53" t="inlineStr">
        <is>
          <t>Sales / Account Management</t>
        </is>
      </c>
      <c r="DL241" s="53" t="inlineStr">
        <is>
          <t>Senior Sales Executive</t>
        </is>
      </c>
      <c r="DM241" s="53" t="inlineStr">
        <is>
          <t>L4 – Senior</t>
        </is>
      </c>
      <c r="DN241" s="53" t="inlineStr">
        <is>
          <t>B.Com</t>
        </is>
      </c>
      <c r="DO241" s="53" t="inlineStr">
        <is>
          <t>Shreya Jolly</t>
        </is>
      </c>
      <c r="DP241" s="53" t="inlineStr">
        <is>
          <t>N-4</t>
        </is>
      </c>
      <c r="DQ241" s="53" t="inlineStr">
        <is>
          <t>Individual Contributor</t>
        </is>
      </c>
      <c r="DR241" s="53" t="inlineStr">
        <is>
          <t>3 years, 10 months, 0 days</t>
        </is>
      </c>
      <c r="DS241" s="53" t="inlineStr">
        <is>
          <t>0 years, 3 months, 28 days</t>
        </is>
      </c>
      <c r="DT241" s="53" t="inlineStr">
        <is>
          <t>4 years, 1 months, 28 days</t>
        </is>
      </c>
      <c r="DU241" s="53" t="n"/>
      <c r="DV241" s="53" t="inlineStr">
        <is>
          <t>Regtech</t>
        </is>
      </c>
      <c r="DW241" s="53" t="inlineStr">
        <is>
          <t>CARBON</t>
        </is>
      </c>
      <c r="DX241" s="53" t="inlineStr">
        <is>
          <t>Sales</t>
        </is>
      </c>
      <c r="DY241" s="53" t="inlineStr">
        <is>
          <t>Sales</t>
        </is>
      </c>
      <c r="DZ241" s="53" t="inlineStr">
        <is>
          <t>No</t>
        </is>
      </c>
      <c r="EA241" s="53" t="inlineStr">
        <is>
          <t>Sales, Marketing &amp; Support</t>
        </is>
      </c>
      <c r="EB241" s="53" t="inlineStr">
        <is>
          <t>Sales</t>
        </is>
      </c>
      <c r="EC241" s="53" t="inlineStr">
        <is>
          <t>Non-technical</t>
        </is>
      </c>
      <c r="ED241" s="53" t="inlineStr">
        <is>
          <t>Hybrid</t>
        </is>
      </c>
      <c r="EE241" s="53" t="inlineStr">
        <is>
          <t>Q1: Achieve assigned quarterly sales / revenue quota · target: 100% of number
Q1: Build and maintain qualified pipeline of &gt;=3x quota coverage
Q1: Maintain healthy win rate on qualified opportunities
Q1: Keep CRM hygiene at 100% · all opportunities &amp; activities logged &amp; current</t>
        </is>
      </c>
      <c r="EF241" s="53" t="inlineStr">
        <is>
          <t>1. Achieve assigned annual sales / revenue quota · target: 80 Lakhs
2. Build and maintain qualified pipeline of &gt;=3x quota coverage
3. Maintain healthy win rate on qualified opportunities
4. Keep CRM hygiene at 100% · all opportunities &amp; activities logged &amp; current
5. Drive new logo/business acquisition: meet assigned new-business target for the year · target - 20L/quarter
 • 5 L for XBRL
 • 1.5 L for DM
6. Achieve forecast accuracy within +/-15% each quarter
7. Maintain average sales cycle within target band for the segment</t>
        </is>
      </c>
      <c r="EG241" s="53" t="inlineStr">
        <is>
          <t>Q1: Achieve assigned quarterly sales / revenue quota · target: 100% of number
Q1: Build and maintain qualified pipeline of &gt;=3x quota coverage
Q1: Maintain healthy win rate on qualified opportunities
Q1: Keep CRM hygiene at 100% · all opportunities &amp; activities logged &amp; current</t>
        </is>
      </c>
      <c r="EH241" s="53" t="n">
        <v>3</v>
      </c>
      <c r="EI241" s="53" t="n"/>
      <c r="EJ241" s="53" t="inlineStr">
        <is>
          <t>Sales Executive</t>
        </is>
      </c>
      <c r="EK241" s="53" t="inlineStr">
        <is>
          <t>No</t>
        </is>
      </c>
      <c r="EL241" s="53" t="n">
        <v>3</v>
      </c>
      <c r="EM241" s="53" t="inlineStr">
        <is>
          <t>High</t>
        </is>
      </c>
      <c r="EN241" s="53" t="inlineStr">
        <is>
          <t>Emerging Talent</t>
        </is>
      </c>
      <c r="EO241" s="53" t="inlineStr">
        <is>
          <t>No</t>
        </is>
      </c>
      <c r="EP241" s="53" t="inlineStr">
        <is>
          <t>No</t>
        </is>
      </c>
      <c r="EQ241" s="53" t="inlineStr">
        <is>
          <t>Yes</t>
        </is>
      </c>
      <c r="ER241" s="53" t="n"/>
      <c r="ES241" s="53" t="inlineStr">
        <is>
          <t>1. Advanced Sales Negotiation &amp; Enterprise Deal Structuring — closing complex multi-stakeholder deals for CARBON - XBRL &amp; DM
2. Regulatory &amp; Domain Knowledge: XBRL, DM ESG/Sustainability Reporting · TCFD, GRI, ISSB relevant to SA &amp; Nigeria markets
3. CRM Mastery &amp; Pipeline Management — forecasting discipline, deal hygiene and data-driven selling
4. Africa Market Intelligence — understanding of SA &amp; Nigeria regulatory landscape, client buying behaviour and competitive dynamics</t>
        </is>
      </c>
      <c r="ET241" s="53" t="n"/>
      <c r="EU241" s="53" t="n"/>
      <c r="EV241" s="53" t="n"/>
      <c r="EW241" s="52" t="n"/>
      <c r="EX241" s="53" t="n"/>
      <c r="EY241" s="53" t="n"/>
      <c r="EZ241" s="53" t="n"/>
      <c r="FA241" s="53" t="n"/>
      <c r="FB241" s="53" t="n"/>
      <c r="FC241" s="53" t="n"/>
      <c r="FD241" s="53" t="n"/>
      <c r="FE241" s="57" t="inlineStr">
        <is>
          <t>1. Achieve assigned annual sales / revenue quota · target: 80 Lakhs
2. Build and maintain qualified pipeline of &gt;=3x quota coverage
3. Maintain healthy win rate · &gt;=20% on qualified opportunities
4. Keep CRM hygiene at 100% · all opportunities &amp; activities logged &amp; current
5. Drive new logo/business acquisition: meet assigned new-business target for the year · target - 20L/quarter
   • 5 L for XBRL
   • 1.5 L for DM
6. Achieve forecast accuracy within +/-15% each quarter
7. Maintain average sales cycle within target band for the segment</t>
        </is>
      </c>
      <c r="FF241" s="56" t="inlineStr">
        <is>
          <t>Q1: Achieve assigned quarterly sales / revenue quota · target: 100% of number
Q1: Build and maintain qualified pipeline of &gt;=3x quota coverage
Q1: Maintain healthy win rate · &gt;=20% on qualified opportunities
Q1: Keep CRM hygiene at 100% · all opportunities &amp; activities logged &amp; current</t>
        </is>
      </c>
      <c r="FG241" s="56" t="inlineStr">
        <is>
          <t>Q1: Achieve assigned quarterly sales / revenue quota · target: 100% of number
Q1: Build and maintain qualified pipeline of &gt;=3x quota coverage
Q1: Maintain healthy win rate · &gt;=20% on qualified opportunities
Q1: Keep CRM hygiene at 100% · all opportunities &amp; activities logged &amp; current</t>
        </is>
      </c>
      <c r="FH241" s="56" t="inlineStr">
        <is>
          <t>3</t>
        </is>
      </c>
      <c r="FI241" s="56" t="n"/>
      <c r="FJ241" s="56" t="inlineStr">
        <is>
          <t>Received · manager annual, quarterly, self</t>
        </is>
      </c>
      <c r="FK241" s="56" t="inlineStr">
        <is>
          <t>Talent Mapping · iFile collated</t>
        </is>
      </c>
      <c r="FL241" s="56" t="n">
        <v>20</v>
      </c>
      <c r="FM241" s="32" t="inlineStr">
        <is>
          <t>Full survey answers not in the files received · How We Grow export needed · HR</t>
        </is>
      </c>
      <c r="FN241" s="56" t="inlineStr">
        <is>
          <t>—</t>
        </is>
      </c>
      <c r="FO241" s="56" t="inlineStr">
        <is>
          <t>—</t>
        </is>
      </c>
      <c r="FP241" s="56" t="inlineStr">
        <is>
          <t>—</t>
        </is>
      </c>
      <c r="FQ241" s="56" t="inlineStr">
        <is>
          <t>—</t>
        </is>
      </c>
      <c r="FR241" s="56" t="inlineStr">
        <is>
          <t>Complexity: Evidence reads like A3: Full cycle for one market: prospecting, cold outreach, giving demos, proposals, partnerships, sales reports → matches the start
Autonomy: Evidence reads like A2: Decides emails, collateral sharing and fresh prospecting → moved down 0.5
Accountability: Evidence reads like B1: Handles an entire market; accountable for database, CRM, revenue tracking; KRA quota 80 lakhs → moved up 0.5
Leadership: Evidence reads like A1: No guidance or leadership of others described → moved down 0.5
Business Impact: Moved +0.5: the survey / manager mapping marks it business-critical.</t>
        </is>
      </c>
      <c r="FS241" s="56" t="n"/>
      <c r="FT241" s="56" t="inlineStr">
        <is>
          <t>Self-identified: Leadership &amp; people management · Client, sales &amp; stakeholders
For the next role: Leadership &amp; people management · Client, sales &amp; stakeholders</t>
        </is>
      </c>
      <c r="FU241" s="32" t="inlineStr">
        <is>
          <t>Full survey answers not in the files received · How We Grow export needed · HR</t>
        </is>
      </c>
    </row>
    <row r="242" ht="90" customHeight="1">
      <c r="A242" s="51" t="inlineStr">
        <is>
          <t>◂ Back</t>
        </is>
      </c>
      <c r="B242" s="29" t="inlineStr">
        <is>
          <t>Mapped</t>
        </is>
      </c>
      <c r="C242" s="28" t="inlineStr">
        <is>
          <t>iFile</t>
        </is>
      </c>
      <c r="D242" s="29" t="inlineStr">
        <is>
          <t>INTN0304</t>
        </is>
      </c>
      <c r="E242" s="29" t="inlineStr">
        <is>
          <t>Anushka Chaturvedi</t>
        </is>
      </c>
      <c r="F242" s="29" t="inlineStr">
        <is>
          <t>Sales</t>
        </is>
      </c>
      <c r="G242" s="29" t="inlineStr">
        <is>
          <t>Intern</t>
        </is>
      </c>
      <c r="H242" s="29" t="inlineStr">
        <is>
          <t>Intern – Application &amp; Product Support</t>
        </is>
      </c>
      <c r="I242" s="29" t="inlineStr">
        <is>
          <t>L1 – Intern</t>
        </is>
      </c>
      <c r="J242" s="29" t="inlineStr">
        <is>
          <t>A1</t>
        </is>
      </c>
      <c r="K242" s="29" t="inlineStr">
        <is>
          <t>• Same level</t>
        </is>
      </c>
      <c r="L242" s="29" t="inlineStr">
        <is>
          <t>Customer Success &amp; Support</t>
        </is>
      </c>
      <c r="M242" s="29" t="inlineStr">
        <is>
          <t>Application &amp; Product Support</t>
        </is>
      </c>
      <c r="N242" s="29" t="n"/>
      <c r="O242" s="29" t="n">
        <v>20</v>
      </c>
      <c r="P242" s="28" t="inlineStr">
        <is>
          <t>Entry / P1 · intern</t>
        </is>
      </c>
      <c r="Q242" s="29" t="inlineStr">
        <is>
          <t>Entry</t>
        </is>
      </c>
      <c r="R242" s="29" t="inlineStr">
        <is>
          <t>1 Follow</t>
        </is>
      </c>
      <c r="S242" s="29" t="inlineStr">
        <is>
          <t>0 yrs · fresher / intern</t>
        </is>
      </c>
      <c r="T242" s="29" t="inlineStr">
        <is>
          <t>—</t>
        </is>
      </c>
      <c r="U242" s="29" t="inlineStr">
        <is>
          <t>Support Associate</t>
        </is>
      </c>
      <c r="V242" s="29" t="inlineStr">
        <is>
          <t>Workiva: Customer Success intern</t>
        </is>
      </c>
      <c r="W242" s="29" t="inlineStr">
        <is>
          <t>TSIA frameworks and benchmarks; ITIL 4 service desk; Gainsight customer-success practice</t>
        </is>
      </c>
      <c r="X242" s="29" t="inlineStr">
        <is>
          <t>Core 1 · Future 1 · Functional 1 · Leadership not scored</t>
        </is>
      </c>
      <c r="Y242" s="52" t="n">
        <v>499</v>
      </c>
      <c r="Z242" s="53" t="inlineStr">
        <is>
          <t>INTN0304</t>
        </is>
      </c>
      <c r="AA242" s="53" t="inlineStr">
        <is>
          <t>Intern</t>
        </is>
      </c>
      <c r="AB242" s="53" t="inlineStr">
        <is>
          <t>Active</t>
        </is>
      </c>
      <c r="AC242" s="53" t="inlineStr">
        <is>
          <t>Anushka Chaturvedi</t>
        </is>
      </c>
      <c r="AD242" s="54" t="n">
        <v>46146</v>
      </c>
      <c r="AE242" s="53" t="inlineStr">
        <is>
          <t>Intern</t>
        </is>
      </c>
      <c r="AF242" s="53" t="inlineStr">
        <is>
          <t>MBA</t>
        </is>
      </c>
      <c r="AG242" s="53" t="inlineStr">
        <is>
          <t>Amit Jaidka</t>
        </is>
      </c>
      <c r="AH242" s="53" t="inlineStr">
        <is>
          <t>N-4</t>
        </is>
      </c>
      <c r="AI242" s="53" t="inlineStr">
        <is>
          <t>Individual Contributor</t>
        </is>
      </c>
      <c r="AJ242" s="53" t="inlineStr">
        <is>
          <t>0 years, 0 months, 0 days</t>
        </is>
      </c>
      <c r="AK242" s="53" t="inlineStr">
        <is>
          <t>0 years, 3 months, 21 days</t>
        </is>
      </c>
      <c r="AL242" s="53" t="inlineStr">
        <is>
          <t>Suptech</t>
        </is>
      </c>
      <c r="AM242" s="53" t="inlineStr">
        <is>
          <t>iFile</t>
        </is>
      </c>
      <c r="AN242" s="53" t="inlineStr">
        <is>
          <t>Sales</t>
        </is>
      </c>
      <c r="AO242" s="53" t="inlineStr">
        <is>
          <t>Sales</t>
        </is>
      </c>
      <c r="AP242" s="53" t="inlineStr">
        <is>
          <t>No</t>
        </is>
      </c>
      <c r="AQ242" s="53" t="inlineStr">
        <is>
          <t>Sales, Marketing &amp; Support</t>
        </is>
      </c>
      <c r="AR242" s="53" t="inlineStr">
        <is>
          <t>Sales</t>
        </is>
      </c>
      <c r="AS242" s="53" t="inlineStr">
        <is>
          <t>Non-technical</t>
        </is>
      </c>
      <c r="AT242" s="53" t="n">
        <v>20</v>
      </c>
      <c r="AU242" s="53" t="inlineStr">
        <is>
          <t>Covered</t>
        </is>
      </c>
      <c r="AV242" s="53" t="n"/>
      <c r="AW242" s="53" t="n"/>
      <c r="AX242" s="53" t="n"/>
      <c r="AY242" s="53" t="n"/>
      <c r="AZ242" s="53" t="n"/>
      <c r="BA242" s="53" t="n"/>
      <c r="BB242" s="53" t="n"/>
      <c r="BC242" s="53" t="n"/>
      <c r="BD242" s="53" t="n"/>
      <c r="BE242" s="53" t="n"/>
      <c r="BF242" s="53" t="n"/>
      <c r="BG242" s="53" t="n"/>
      <c r="BH242" s="53" t="n"/>
      <c r="BI242" s="53" t="n"/>
      <c r="BJ242" s="53" t="n"/>
      <c r="BK242" s="53" t="n"/>
      <c r="BL242" s="53" t="n"/>
      <c r="BM242" s="53" t="n"/>
      <c r="BN242" s="53" t="n"/>
      <c r="BO242" s="53" t="n"/>
      <c r="BP242" s="53" t="n"/>
      <c r="BQ242" s="53" t="n"/>
      <c r="BR242" s="53" t="n"/>
      <c r="BS242" s="53" t="n"/>
      <c r="BT242" s="53" t="n"/>
      <c r="BU242" s="53" t="n"/>
      <c r="BV242" s="53" t="n"/>
      <c r="BW242" s="53" t="n"/>
      <c r="BX242" s="53" t="n"/>
      <c r="BY242" s="53" t="n"/>
      <c r="BZ242" s="53" t="n"/>
      <c r="CA242" s="53" t="n"/>
      <c r="CB242" s="53" t="n"/>
      <c r="CC242" s="53" t="n"/>
      <c r="CD242" s="53" t="n"/>
      <c r="CE242" s="53" t="n"/>
      <c r="CF242" s="53" t="n"/>
      <c r="CG242" s="53" t="n"/>
      <c r="CH242" s="53" t="n"/>
      <c r="CI242" s="53" t="n"/>
      <c r="CJ242" s="53" t="n"/>
      <c r="CK242" s="53" t="n"/>
      <c r="CL242" s="53" t="n"/>
      <c r="CM242" s="53" t="n"/>
      <c r="CN242" s="53" t="n"/>
      <c r="CO242" s="53" t="n"/>
      <c r="CP242" s="53" t="n"/>
      <c r="CQ242" s="53" t="n"/>
      <c r="CR242" s="53" t="n"/>
      <c r="CS242" s="53" t="n"/>
      <c r="CT242" s="53" t="n"/>
      <c r="CU242" s="53" t="n"/>
      <c r="CV242" s="53" t="n"/>
      <c r="CW242" s="53" t="n"/>
      <c r="CX242" s="53" t="n"/>
      <c r="CY242" s="53" t="n"/>
      <c r="CZ242" s="53" t="n"/>
      <c r="DA242" s="53" t="n"/>
      <c r="DB242" s="53" t="n"/>
      <c r="DC242" s="53" t="n"/>
      <c r="DD242" s="53" t="inlineStr">
        <is>
          <t>INTN0304</t>
        </is>
      </c>
      <c r="DE242" s="53" t="inlineStr">
        <is>
          <t>Intern</t>
        </is>
      </c>
      <c r="DF242" s="53" t="inlineStr">
        <is>
          <t>Active</t>
        </is>
      </c>
      <c r="DG242" s="53" t="inlineStr">
        <is>
          <t>Anushka Chaturvedi</t>
        </is>
      </c>
      <c r="DH242" s="54" t="n">
        <v>46146</v>
      </c>
      <c r="DI242" s="53" t="inlineStr">
        <is>
          <t>Intern</t>
        </is>
      </c>
      <c r="DJ242" s="53" t="inlineStr">
        <is>
          <t>Sales &amp; Business Development</t>
        </is>
      </c>
      <c r="DK242" s="53" t="inlineStr">
        <is>
          <t>Sales / Account Management</t>
        </is>
      </c>
      <c r="DL242" s="53" t="inlineStr">
        <is>
          <t>Intern</t>
        </is>
      </c>
      <c r="DM242" s="53" t="inlineStr">
        <is>
          <t>L1 – Intern</t>
        </is>
      </c>
      <c r="DN242" s="53" t="inlineStr">
        <is>
          <t>MBA</t>
        </is>
      </c>
      <c r="DO242" s="53" t="inlineStr">
        <is>
          <t>Amit Jaidka</t>
        </is>
      </c>
      <c r="DP242" s="53" t="inlineStr">
        <is>
          <t>N-3</t>
        </is>
      </c>
      <c r="DQ242" s="53" t="inlineStr">
        <is>
          <t>Individual Contributor</t>
        </is>
      </c>
      <c r="DR242" s="53" t="inlineStr">
        <is>
          <t>0 years, 0 months, 0 days</t>
        </is>
      </c>
      <c r="DS242" s="53" t="inlineStr">
        <is>
          <t>0 years, 1 months, 16 days</t>
        </is>
      </c>
      <c r="DT242" s="53" t="inlineStr">
        <is>
          <t>0 years, 1 months, 16 days</t>
        </is>
      </c>
      <c r="DU242" s="53" t="n"/>
      <c r="DV242" s="53" t="inlineStr">
        <is>
          <t>Suptech</t>
        </is>
      </c>
      <c r="DW242" s="53" t="inlineStr">
        <is>
          <t>iFile</t>
        </is>
      </c>
      <c r="DX242" s="53" t="inlineStr">
        <is>
          <t>Sales</t>
        </is>
      </c>
      <c r="DY242" s="53" t="inlineStr">
        <is>
          <t>Sales</t>
        </is>
      </c>
      <c r="DZ242" s="53" t="inlineStr">
        <is>
          <t>No</t>
        </is>
      </c>
      <c r="EA242" s="53" t="inlineStr">
        <is>
          <t>Sales, Marketing &amp; Support</t>
        </is>
      </c>
      <c r="EB242" s="53" t="inlineStr">
        <is>
          <t>Sales</t>
        </is>
      </c>
      <c r="EC242" s="53" t="inlineStr">
        <is>
          <t>Non-technical</t>
        </is>
      </c>
      <c r="ED242" s="53" t="inlineStr">
        <is>
          <t>Hybrid</t>
        </is>
      </c>
      <c r="EE242" s="53" t="inlineStr">
        <is>
          <t>1. Support iFile/SupTech lead research, country mapping and regulator database creation.
2. Prepare briefing notes on target regulators, tenders and partner opportunities.
3. Assist in demo coordination, meeting follow-ups and opportunity trackers.
4. Maintain high-quality documentation for pipeline, contacts and action items.
5. Build knowledge of iFile, XBRL, SupTech and regulator data collection use cases.</t>
        </is>
      </c>
      <c r="EF242" s="53" t="inlineStr">
        <is>
          <t>1. Complete iFile/SupTech country/regulator research and lead database creation for assigned geographies.
2. Support tender tracking, partner mapping and opportunity briefs with accurate documentation.
3. Coordinate meeting/demo follow-ups and maintain clear action trackers.
4. Learn iFile/SupTech basics and present internal research summaries for assigned markets.
5. Demonstrate consistent output quality, ownership and responsiveness in hybrid mode.</t>
        </is>
      </c>
      <c r="EG242" s="53" t="inlineStr">
        <is>
          <t>Q1: Complete iFile/SupTech country/regulator research and lead database creation for assigned geographies.
Q1: Support tender tracking, partner mapping and opportunity briefs with accurate documentation.
Q1: Coordinate meeting/demo follow-ups and maintain clear action trackers.
Q1: Learn iFile/SupTech basics and present internal research summaries for assigned markets.
Q1: Demonstrate consistent output quality, ownership and responsiveness in hybrid mode.</t>
        </is>
      </c>
      <c r="EH242" s="53" t="n">
        <v>4</v>
      </c>
      <c r="EI242" s="53" t="n"/>
      <c r="EJ242" s="53" t="inlineStr">
        <is>
          <t>Intern</t>
        </is>
      </c>
      <c r="EK242" s="53" t="inlineStr">
        <is>
          <t>No</t>
        </is>
      </c>
      <c r="EL242" s="53" t="n">
        <v>4</v>
      </c>
      <c r="EM242" s="53" t="inlineStr">
        <is>
          <t>Medium</t>
        </is>
      </c>
      <c r="EN242" s="53" t="inlineStr">
        <is>
          <t>Emerging Talent</t>
        </is>
      </c>
      <c r="EO242" s="53" t="inlineStr">
        <is>
          <t>No</t>
        </is>
      </c>
      <c r="EP242" s="53" t="inlineStr">
        <is>
          <t>No</t>
        </is>
      </c>
      <c r="EQ242" s="53" t="inlineStr">
        <is>
          <t>No</t>
        </is>
      </c>
      <c r="ER242" s="53" t="inlineStr">
        <is>
          <t>No</t>
        </is>
      </c>
      <c r="ES242" s="53" t="n"/>
      <c r="ET242" s="53" t="n"/>
      <c r="EU242" s="53" t="n"/>
      <c r="EV242" s="53" t="n"/>
      <c r="EW242" s="52" t="n"/>
      <c r="EX242" s="53" t="n"/>
      <c r="EY242" s="53" t="n"/>
      <c r="EZ242" s="53" t="n"/>
      <c r="FA242" s="53" t="n"/>
      <c r="FB242" s="53" t="n"/>
      <c r="FC242" s="53" t="n"/>
      <c r="FD242" s="53" t="n"/>
      <c r="FE242" s="57" t="inlineStr">
        <is>
          <t>1. Complete iFile/SupTech country/regulator research and lead database creation for assigned geographies.
2. Support tender tracking, partner mapping and opportunity briefs with accurate documentation.
3. Coordinate meeting/demo follow-ups and maintain clear action trackers.
4. Learn iFile/SupTech basics and present internal research summaries for assigned markets.
5. Demonstrate consistent output quality, ownership and responsiveness in hybrid mode.</t>
        </is>
      </c>
      <c r="FF242" s="56" t="inlineStr">
        <is>
          <t>Q1: Complete iFile/SupTech country/regulator research and lead database creation for assigned geographies.
Q1: Support tender tracking, partner mapping and opportunity briefs with accurate documentation.
Q1: Coordinate meeting/demo follow-ups and maintain clear action trackers.
Q1: Learn iFile/SupTech basics and present internal research summaries for assigned markets.
Q1: Demonstrate consistent output quality, ownership and responsiveness in hybrid mode.</t>
        </is>
      </c>
      <c r="FG242" s="56" t="inlineStr">
        <is>
          <t>1. Support iFile/SupTech lead research, country mapping and regulator database creation.
2. Prepare briefing notes on target regulators, tenders and partner opportunities.
3. Assist in demo coordination, meeting follow-ups and opportunity trackers.
4. Maintain high-quality documentation for pipeline, contacts and action items.
5. Build knowledge of iFile, XBRL, SupTech and regulator data collection use cases.</t>
        </is>
      </c>
      <c r="FH242" s="56" t="inlineStr">
        <is>
          <t>4</t>
        </is>
      </c>
      <c r="FI242" s="56" t="n"/>
      <c r="FJ242" s="56" t="inlineStr">
        <is>
          <t>Received · manager annual, quarterly, self</t>
        </is>
      </c>
      <c r="FK242" s="56" t="inlineStr">
        <is>
          <t>Talent Mapping · iFile collated</t>
        </is>
      </c>
      <c r="FL242" s="56" t="n">
        <v>20</v>
      </c>
      <c r="FM242" s="32" t="inlineStr">
        <is>
          <t>Full survey answers not in the files received · How We Grow export needed · HR</t>
        </is>
      </c>
      <c r="FN242" s="56" t="inlineStr">
        <is>
          <t>—</t>
        </is>
      </c>
      <c r="FO242" s="56" t="inlineStr">
        <is>
          <t>—</t>
        </is>
      </c>
      <c r="FP242" s="56" t="inlineStr">
        <is>
          <t>—</t>
        </is>
      </c>
      <c r="FQ242" s="56" t="inlineStr">
        <is>
          <t>—</t>
        </is>
      </c>
      <c r="FR242" s="56" t="n"/>
      <c r="FS242" s="56" t="inlineStr">
        <is>
          <t>Common themes in sub-family holders, all levels' answers: support · clients · queries · provide · issues · resolving
Common themes in sub-family holders, all levels' answers: support · issue · testing · communication · customer · ticket
Common themes in sub-family holders, all levels' answers: support · customer · product · provide · testing · deliver
Common themes in sub-family holders, all levels' answers: client · resolution · am · accountable · timely · if
Common themes in sub-family holders, all levels' answers: issues · resolving · tickets · handle · erro · validation
If the work is missed · role-holders' themes: customer · rework · client · delays · incorrect.</t>
        </is>
      </c>
      <c r="FT242" s="56" t="inlineStr">
        <is>
          <t>Self-identified: Broader exposure &amp; ownership
For the next role: Broader exposure &amp; ownership</t>
        </is>
      </c>
      <c r="FU242" s="32" t="inlineStr">
        <is>
          <t>Full survey answers not in the files received · How We Grow export needed · HR</t>
        </is>
      </c>
    </row>
    <row r="243" ht="90" customHeight="1">
      <c r="A243" s="51" t="inlineStr">
        <is>
          <t>◂ Back</t>
        </is>
      </c>
      <c r="B243" s="29" t="inlineStr">
        <is>
          <t>Mapped</t>
        </is>
      </c>
      <c r="C243" s="28" t="inlineStr">
        <is>
          <t>iDEAL</t>
        </is>
      </c>
      <c r="D243" s="29" t="inlineStr">
        <is>
          <t>INTN0302</t>
        </is>
      </c>
      <c r="E243" s="29" t="inlineStr">
        <is>
          <t>Nehal Bohra</t>
        </is>
      </c>
      <c r="F243" s="29" t="inlineStr">
        <is>
          <t>Sales</t>
        </is>
      </c>
      <c r="G243" s="29" t="inlineStr">
        <is>
          <t>Intern</t>
        </is>
      </c>
      <c r="H243" s="29" t="inlineStr">
        <is>
          <t>Intern – Application &amp; Product Support</t>
        </is>
      </c>
      <c r="I243" s="29" t="inlineStr">
        <is>
          <t>L1 – Intern</t>
        </is>
      </c>
      <c r="J243" s="29" t="inlineStr">
        <is>
          <t>A1</t>
        </is>
      </c>
      <c r="K243" s="29" t="inlineStr">
        <is>
          <t>• Same level</t>
        </is>
      </c>
      <c r="L243" s="29" t="inlineStr">
        <is>
          <t>Customer Success &amp; Support</t>
        </is>
      </c>
      <c r="M243" s="29" t="inlineStr">
        <is>
          <t>Application &amp; Product Support</t>
        </is>
      </c>
      <c r="N243" s="29" t="n"/>
      <c r="O243" s="29" t="n">
        <v>19</v>
      </c>
      <c r="P243" s="28" t="inlineStr">
        <is>
          <t>Entry / P1 · intern</t>
        </is>
      </c>
      <c r="Q243" s="29" t="inlineStr">
        <is>
          <t>Entry</t>
        </is>
      </c>
      <c r="R243" s="29" t="inlineStr">
        <is>
          <t>1 Follow</t>
        </is>
      </c>
      <c r="S243" s="29" t="inlineStr">
        <is>
          <t>0 yrs · fresher / intern</t>
        </is>
      </c>
      <c r="T243" s="29" t="inlineStr">
        <is>
          <t>—</t>
        </is>
      </c>
      <c r="U243" s="29" t="inlineStr">
        <is>
          <t>Support Associate</t>
        </is>
      </c>
      <c r="V243" s="29" t="inlineStr">
        <is>
          <t>Workiva: Customer Success intern</t>
        </is>
      </c>
      <c r="W243" s="29" t="inlineStr">
        <is>
          <t>TSIA frameworks and benchmarks; ITIL 4 service desk; Gainsight customer-success practice</t>
        </is>
      </c>
      <c r="X243" s="29" t="inlineStr">
        <is>
          <t>Core 1 · Future 1 · Functional 1 · Leadership not scored</t>
        </is>
      </c>
      <c r="Y243" s="52" t="n">
        <v>496</v>
      </c>
      <c r="Z243" s="53" t="inlineStr">
        <is>
          <t>INTN0302</t>
        </is>
      </c>
      <c r="AA243" s="53" t="inlineStr">
        <is>
          <t>Intern</t>
        </is>
      </c>
      <c r="AB243" s="53" t="inlineStr">
        <is>
          <t>Active</t>
        </is>
      </c>
      <c r="AC243" s="53" t="inlineStr">
        <is>
          <t>Nehal Bohra</t>
        </is>
      </c>
      <c r="AD243" s="54" t="n">
        <v>46135</v>
      </c>
      <c r="AE243" s="53" t="inlineStr">
        <is>
          <t>Intern</t>
        </is>
      </c>
      <c r="AF243" s="53" t="inlineStr">
        <is>
          <t>BBA</t>
        </is>
      </c>
      <c r="AG243" s="53" t="inlineStr">
        <is>
          <t>Amit Jaidka</t>
        </is>
      </c>
      <c r="AH243" s="53" t="inlineStr">
        <is>
          <t>N-4</t>
        </is>
      </c>
      <c r="AI243" s="53" t="inlineStr">
        <is>
          <t>Individual Contributor</t>
        </is>
      </c>
      <c r="AJ243" s="53" t="inlineStr">
        <is>
          <t>0 years, 0 months, 0 days</t>
        </is>
      </c>
      <c r="AK243" s="53" t="inlineStr">
        <is>
          <t>0 years, 4 months, 2 days</t>
        </is>
      </c>
      <c r="AL243" s="53" t="inlineStr">
        <is>
          <t>Regtech</t>
        </is>
      </c>
      <c r="AM243" s="53" t="inlineStr">
        <is>
          <t>iDEAL</t>
        </is>
      </c>
      <c r="AN243" s="53" t="inlineStr">
        <is>
          <t>Sales</t>
        </is>
      </c>
      <c r="AO243" s="53" t="inlineStr">
        <is>
          <t>Sales</t>
        </is>
      </c>
      <c r="AP243" s="53" t="inlineStr">
        <is>
          <t>No</t>
        </is>
      </c>
      <c r="AQ243" s="53" t="inlineStr">
        <is>
          <t>Sales, Marketing &amp; Support</t>
        </is>
      </c>
      <c r="AR243" s="53" t="inlineStr">
        <is>
          <t>Sales</t>
        </is>
      </c>
      <c r="AS243" s="53" t="inlineStr">
        <is>
          <t>Non-technical</t>
        </is>
      </c>
      <c r="AT243" s="53" t="n">
        <v>20</v>
      </c>
      <c r="AU243" s="53" t="inlineStr">
        <is>
          <t>Covered</t>
        </is>
      </c>
      <c r="AV243" s="53" t="n"/>
      <c r="AW243" s="53" t="n"/>
      <c r="AX243" s="53" t="n"/>
      <c r="AY243" s="53" t="n"/>
      <c r="AZ243" s="53" t="n"/>
      <c r="BA243" s="53" t="n"/>
      <c r="BB243" s="53" t="n"/>
      <c r="BC243" s="53" t="n"/>
      <c r="BD243" s="53" t="n"/>
      <c r="BE243" s="53" t="n"/>
      <c r="BF243" s="53" t="n"/>
      <c r="BG243" s="53" t="n"/>
      <c r="BH243" s="53" t="n"/>
      <c r="BI243" s="53" t="n"/>
      <c r="BJ243" s="53" t="n"/>
      <c r="BK243" s="53" t="n"/>
      <c r="BL243" s="53" t="n"/>
      <c r="BM243" s="53" t="n"/>
      <c r="BN243" s="53" t="n"/>
      <c r="BO243" s="53" t="n"/>
      <c r="BP243" s="53" t="n"/>
      <c r="BQ243" s="53" t="n"/>
      <c r="BR243" s="53" t="n"/>
      <c r="BS243" s="53" t="n"/>
      <c r="BT243" s="53" t="n"/>
      <c r="BU243" s="53" t="n"/>
      <c r="BV243" s="53" t="n"/>
      <c r="BW243" s="53" t="n"/>
      <c r="BX243" s="53" t="n"/>
      <c r="BY243" s="53" t="n"/>
      <c r="BZ243" s="53" t="n"/>
      <c r="CA243" s="53" t="n"/>
      <c r="CB243" s="53" t="n"/>
      <c r="CC243" s="53" t="n"/>
      <c r="CD243" s="53" t="n"/>
      <c r="CE243" s="53" t="n"/>
      <c r="CF243" s="53" t="n"/>
      <c r="CG243" s="53" t="n"/>
      <c r="CH243" s="53" t="n"/>
      <c r="CI243" s="53" t="n"/>
      <c r="CJ243" s="53" t="n"/>
      <c r="CK243" s="53" t="n"/>
      <c r="CL243" s="53" t="n"/>
      <c r="CM243" s="53" t="n"/>
      <c r="CN243" s="53" t="n"/>
      <c r="CO243" s="53" t="n"/>
      <c r="CP243" s="53" t="n"/>
      <c r="CQ243" s="53" t="n"/>
      <c r="CR243" s="53" t="n"/>
      <c r="CS243" s="53" t="n"/>
      <c r="CT243" s="53" t="n"/>
      <c r="CU243" s="53" t="n"/>
      <c r="CV243" s="53" t="n"/>
      <c r="CW243" s="53" t="n"/>
      <c r="CX243" s="53" t="n"/>
      <c r="CY243" s="53" t="n"/>
      <c r="CZ243" s="53" t="n"/>
      <c r="DA243" s="53" t="n"/>
      <c r="DB243" s="53" t="n"/>
      <c r="DC243" s="53" t="n"/>
      <c r="DD243" s="53" t="inlineStr">
        <is>
          <t>INTN0302</t>
        </is>
      </c>
      <c r="DE243" s="53" t="inlineStr">
        <is>
          <t>Intern</t>
        </is>
      </c>
      <c r="DF243" s="53" t="inlineStr">
        <is>
          <t>Active</t>
        </is>
      </c>
      <c r="DG243" s="53" t="inlineStr">
        <is>
          <t>Nehal Bohra</t>
        </is>
      </c>
      <c r="DH243" s="54" t="n">
        <v>46135</v>
      </c>
      <c r="DI243" s="53" t="inlineStr">
        <is>
          <t>Intern</t>
        </is>
      </c>
      <c r="DJ243" s="53" t="inlineStr">
        <is>
          <t>Sales &amp; Business Development</t>
        </is>
      </c>
      <c r="DK243" s="53" t="inlineStr">
        <is>
          <t>Sales / Account Management</t>
        </is>
      </c>
      <c r="DL243" s="53" t="inlineStr">
        <is>
          <t>Intern</t>
        </is>
      </c>
      <c r="DM243" s="53" t="inlineStr">
        <is>
          <t>L1 – Intern</t>
        </is>
      </c>
      <c r="DN243" s="53" t="inlineStr">
        <is>
          <t>BBA</t>
        </is>
      </c>
      <c r="DO243" s="53" t="inlineStr">
        <is>
          <t>Amit Jaidka</t>
        </is>
      </c>
      <c r="DP243" s="53" t="inlineStr">
        <is>
          <t>N-3</t>
        </is>
      </c>
      <c r="DQ243" s="53" t="inlineStr">
        <is>
          <t>Individual Contributor</t>
        </is>
      </c>
      <c r="DR243" s="53" t="inlineStr">
        <is>
          <t>0 years, 0 months, 0 days</t>
        </is>
      </c>
      <c r="DS243" s="53" t="inlineStr">
        <is>
          <t>0 years, 1 months, 28 days</t>
        </is>
      </c>
      <c r="DT243" s="53" t="inlineStr">
        <is>
          <t>0 years, 1 months, 28 days</t>
        </is>
      </c>
      <c r="DU243" s="53" t="n"/>
      <c r="DV243" s="53" t="inlineStr">
        <is>
          <t>Regtech</t>
        </is>
      </c>
      <c r="DW243" s="53" t="inlineStr">
        <is>
          <t>iDEAL</t>
        </is>
      </c>
      <c r="DX243" s="53" t="inlineStr">
        <is>
          <t>Sales</t>
        </is>
      </c>
      <c r="DY243" s="53" t="inlineStr">
        <is>
          <t>Sales</t>
        </is>
      </c>
      <c r="DZ243" s="53" t="inlineStr">
        <is>
          <t>No</t>
        </is>
      </c>
      <c r="EA243" s="53" t="inlineStr">
        <is>
          <t>Sales, Marketing &amp; Support</t>
        </is>
      </c>
      <c r="EB243" s="53" t="inlineStr">
        <is>
          <t>Sales</t>
        </is>
      </c>
      <c r="EC243" s="53" t="inlineStr">
        <is>
          <t>Non-technical</t>
        </is>
      </c>
      <c r="ED243" s="53" t="inlineStr">
        <is>
          <t>Hybrid</t>
        </is>
      </c>
      <c r="EE243" s="53" t="inlineStr">
        <is>
          <t>1. Support iDEAL lead generation, prospect research and outreach for Middle East and Africa banks.
2. Coordinate discovery calls, demo preparation and follow-up actions with clear trackers.
3. Prepare account briefs, contact mapping and regulatory reporting research for target banks.
4. Maintain CRM/activity discipline and weekly progress updates for assigned opportunities.
5. Build iDEAL product understanding, banking regulatory reporting basics and consultative communication skills.</t>
        </is>
      </c>
      <c r="EF243" s="53" t="inlineStr">
        <is>
          <t>1. Achieve assigned annual sales / revenue quota · target: 100% of number
2. Build and maintain qualified pipeline of &gt;=3x quota coverage
3. Maintain healthy win rate · &gt;=20% on qualified opportunities
4. Keep CRM hygiene at 100% · all opportunities &amp; activities logged &amp; current
5. Drive new logo acquisition: meet assigned new-account target for the year
6. Achieve forecast accuracy within +/-15% each quarter
7. Maintain average sales cycle within target band for the segment</t>
        </is>
      </c>
      <c r="EG243" s="53" t="inlineStr">
        <is>
          <t>Q1: Generate qualified iDEAL/banking regulatory reporting leads and account intelligence for MEA banks.
Q1: Coordinate discovery calls/demos and ensure follow-up trackers are updated within 24 hours.
Q1: Prepare target bank briefs, mandate research and contact mapping with high accuracy.
Q1: Maintain weekly activity reporting and CRM hygiene for assigned prospects.
Q1: Build iDEAL product/domain knowledge and demonstrate consultative communication improvement.</t>
        </is>
      </c>
      <c r="EH243" s="53" t="n"/>
      <c r="EI243" s="53" t="n"/>
      <c r="EJ243" s="53" t="inlineStr">
        <is>
          <t>Same as per records</t>
        </is>
      </c>
      <c r="EK243" s="53" t="n"/>
      <c r="EL243" s="53" t="n"/>
      <c r="EM243" s="53" t="n"/>
      <c r="EN243" s="53" t="n"/>
      <c r="EO243" s="53" t="n"/>
      <c r="EP243" s="53" t="n"/>
      <c r="EQ243" s="53" t="n"/>
      <c r="ER243" s="53" t="n"/>
      <c r="ES243" s="53" t="inlineStr">
        <is>
          <t>Training on the effective utilization of AI tools.</t>
        </is>
      </c>
      <c r="ET243" s="53" t="n"/>
      <c r="EU243" s="53" t="n"/>
      <c r="EV243" s="53" t="n"/>
      <c r="EW243" s="52" t="n"/>
      <c r="EX243" s="53" t="n"/>
      <c r="EY243" s="53" t="n"/>
      <c r="EZ243" s="53" t="n"/>
      <c r="FA243" s="53" t="n"/>
      <c r="FB243" s="53" t="n"/>
      <c r="FC243" s="53" t="inlineStr">
        <is>
          <t>Annual KRAs · objective Measurable Minimum 5 - Self; Annual KRAs · objective Measurable Minimum 5 - set by Manager; Quarterly KRAs</t>
        </is>
      </c>
      <c r="FD243" s="53" t="n"/>
      <c r="FE243" s="57" t="inlineStr">
        <is>
          <t>1. Achieve assigned annual sales / revenue quota · target: 100% of number
2. Build and maintain qualified pipeline of &gt;=3x quota coverage
3. Maintain healthy win rate · &gt;=20% on qualified opportunities
4. Keep CRM hygiene at 100% · all opportunities &amp; activities logged &amp; current
5. Drive new logo acquisition: meet assigned new-account target for the year
6. Achieve forecast accuracy within +/-15% each quarter
7. Maintain average sales cycle within target band for the segment</t>
        </is>
      </c>
      <c r="FF243" s="56" t="inlineStr">
        <is>
          <t>Q1: Generate qualified iDEAL/banking regulatory reporting leads and account intelligence for MEA banks.
Q1: Coordinate discovery calls/demos and ensure follow-up trackers are updated within 24 hours.
Q1: Prepare target bank briefs, mandate research and contact mapping with high accuracy.
Q1: Maintain weekly activity reporting and CRM hygiene for assigned prospects.
Q1: Build iDEAL product/domain knowledge and demonstrate consultative communication improvement.</t>
        </is>
      </c>
      <c r="FG243" s="56" t="inlineStr">
        <is>
          <t>1. Support iDEAL lead generation, prospect research and outreach for Middle East and Africa banks.
2. Coordinate discovery calls, demo preparation and follow-up actions with clear trackers.
3. Prepare account briefs, contact mapping and regulatory reporting research for target banks.
4. Maintain CRM/activity discipline and weekly progress updates for assigned opportunities.
5. Build iDEAL product understanding, banking regulatory reporting basics and consultative communication skills.</t>
        </is>
      </c>
      <c r="FH243" s="56" t="n"/>
      <c r="FI243" s="56" t="n"/>
      <c r="FJ243" s="56" t="inlineStr">
        <is>
          <t>Received · manager annual, quarterly, self</t>
        </is>
      </c>
      <c r="FK243" s="56" t="inlineStr">
        <is>
          <t>Talent Mapping · iFile collated</t>
        </is>
      </c>
      <c r="FL243" s="56" t="n">
        <v>19</v>
      </c>
      <c r="FM243" s="32" t="inlineStr">
        <is>
          <t>Full survey answers not in the files received · How We Grow export needed · HR</t>
        </is>
      </c>
      <c r="FN243" s="56" t="inlineStr">
        <is>
          <t>—</t>
        </is>
      </c>
      <c r="FO243" s="56" t="inlineStr">
        <is>
          <t>—</t>
        </is>
      </c>
      <c r="FP243" s="56" t="inlineStr">
        <is>
          <t>—</t>
        </is>
      </c>
      <c r="FQ243" s="56" t="inlineStr">
        <is>
          <t>—</t>
        </is>
      </c>
      <c r="FR243" s="56" t="n"/>
      <c r="FS243" s="56" t="inlineStr">
        <is>
          <t>Common themes in sub-family holders, all levels' answers: support · clients · queries · provide · issues · resolving
Common themes in sub-family holders, all levels' answers: support · issue · testing · communication · customer · ticket
Common themes in sub-family holders, all levels' answers: support · customer · product · provide · testing · deliver
Common themes in sub-family holders, all levels' answers: client · resolution · am · accountable · timely · if
Common themes in sub-family holders, all levels' answers: issues · resolving · tickets · handle · erro · validation
If the work is missed · role-holders' themes: customer · rework · client · delays · incorrect.</t>
        </is>
      </c>
      <c r="FT243" s="56" t="inlineStr">
        <is>
          <t>Self-identified: Broader exposure &amp; ownership
For the next role: Broader exposure &amp; ownership</t>
        </is>
      </c>
      <c r="FU243" s="32" t="inlineStr">
        <is>
          <t>Full survey answers not in the files received · How We Grow export needed · HR</t>
        </is>
      </c>
    </row>
    <row r="244" ht="90" customHeight="1">
      <c r="A244" s="51" t="inlineStr">
        <is>
          <t>◂ Back</t>
        </is>
      </c>
      <c r="B244" s="29" t="inlineStr">
        <is>
          <t>Mapped</t>
        </is>
      </c>
      <c r="C244" s="28" t="inlineStr">
        <is>
          <t>Consume</t>
        </is>
      </c>
      <c r="D244" s="29" t="inlineStr">
        <is>
          <t>IRIS0007</t>
        </is>
      </c>
      <c r="E244" s="29" t="inlineStr">
        <is>
          <t>Gopal Krishna Sahu</t>
        </is>
      </c>
      <c r="F244" s="29" t="inlineStr">
        <is>
          <t>India Content</t>
        </is>
      </c>
      <c r="G244" s="29" t="inlineStr">
        <is>
          <t>Data Analyst Manager</t>
        </is>
      </c>
      <c r="H244" s="29" t="inlineStr">
        <is>
          <t>Data Operations Manager</t>
        </is>
      </c>
      <c r="I244" s="29" t="inlineStr">
        <is>
          <t>L5 – Manager</t>
        </is>
      </c>
      <c r="J244" s="29" t="inlineStr">
        <is>
          <t>B2</t>
        </is>
      </c>
      <c r="K244" s="29" t="inlineStr">
        <is>
          <t>• Same level</t>
        </is>
      </c>
      <c r="L244" s="29" t="inlineStr">
        <is>
          <t>Data &amp; Analytics</t>
        </is>
      </c>
      <c r="M244" s="29" t="inlineStr">
        <is>
          <t>Financial Data Processing</t>
        </is>
      </c>
      <c r="N244" s="29" t="inlineStr">
        <is>
          <t>• Confirm structure behind the senior title · org chart — Business head
• Correct the experience record — HR</t>
        </is>
      </c>
      <c r="O244" s="29" t="n">
        <v>20</v>
      </c>
      <c r="P244" s="28" t="inlineStr">
        <is>
          <t>P4 / M3</t>
        </is>
      </c>
      <c r="Q244" s="29" t="inlineStr">
        <is>
          <t>Senior / Manager</t>
        </is>
      </c>
      <c r="R244" s="29" t="inlineStr">
        <is>
          <t>4–5</t>
        </is>
      </c>
      <c r="S244" s="29" t="inlineStr">
        <is>
          <t>6–9 yrs</t>
        </is>
      </c>
      <c r="T244" s="29" t="inlineStr">
        <is>
          <t>7–10 · 6–11</t>
        </is>
      </c>
      <c r="U244" s="29" t="inlineStr">
        <is>
          <t>Manager</t>
        </is>
      </c>
      <c r="V244" s="29" t="inlineStr">
        <is>
          <t>Atlassian company-wide P-levels: P50 Senior Analyst · IRIS Vs Competitor Benchmark — data analyst ladder: Lead Data Analyst</t>
        </is>
      </c>
      <c r="W244" s="29" t="inlineStr">
        <is>
          <t>DAMA-DMBOK · 11 knowledge areas around data governance</t>
        </is>
      </c>
      <c r="X244" s="29" t="inlineStr">
        <is>
          <t>Core 3 · Future 3 · Functional 4 · Leadership 3</t>
        </is>
      </c>
      <c r="Y244" s="52" t="n">
        <v>4</v>
      </c>
      <c r="Z244" s="53" t="inlineStr">
        <is>
          <t>IRIS0007</t>
        </is>
      </c>
      <c r="AA244" s="53" t="inlineStr">
        <is>
          <t>Employee</t>
        </is>
      </c>
      <c r="AB244" s="53" t="inlineStr">
        <is>
          <t>Active</t>
        </is>
      </c>
      <c r="AC244" s="53" t="inlineStr">
        <is>
          <t>Gopal Krishna Sahu</t>
        </is>
      </c>
      <c r="AD244" s="54" t="n">
        <v>38200</v>
      </c>
      <c r="AE244" s="53" t="inlineStr">
        <is>
          <t>Data Analyst Manager</t>
        </is>
      </c>
      <c r="AF244" s="53" t="inlineStr">
        <is>
          <t>MBA</t>
        </is>
      </c>
      <c r="AG244" s="53" t="inlineStr">
        <is>
          <t>Arup Ganguly</t>
        </is>
      </c>
      <c r="AH244" s="53" t="inlineStr">
        <is>
          <t>N-3</t>
        </is>
      </c>
      <c r="AI244" s="53" t="inlineStr">
        <is>
          <t>Manager</t>
        </is>
      </c>
      <c r="AJ244" s="53" t="inlineStr">
        <is>
          <t>13 years, 1 months, 0 days</t>
        </is>
      </c>
      <c r="AK244" s="53" t="inlineStr">
        <is>
          <t>22 years, 0 months, 24 days</t>
        </is>
      </c>
      <c r="AL244" s="53" t="inlineStr">
        <is>
          <t>Consume</t>
        </is>
      </c>
      <c r="AM244" s="53" t="inlineStr">
        <is>
          <t>Consume</t>
        </is>
      </c>
      <c r="AN244" s="53" t="inlineStr">
        <is>
          <t>India Content</t>
        </is>
      </c>
      <c r="AO244" s="53" t="inlineStr">
        <is>
          <t>Client Engagement</t>
        </is>
      </c>
      <c r="AP244" s="53" t="inlineStr">
        <is>
          <t>No</t>
        </is>
      </c>
      <c r="AQ244" s="53" t="inlineStr">
        <is>
          <t>Client Engagement</t>
        </is>
      </c>
      <c r="AR244" s="53" t="inlineStr">
        <is>
          <t>Data Processing</t>
        </is>
      </c>
      <c r="AS244" s="53" t="inlineStr">
        <is>
          <t>Non-technical</t>
        </is>
      </c>
      <c r="AT244" s="53" t="n">
        <v>20</v>
      </c>
      <c r="AU244" s="53" t="inlineStr">
        <is>
          <t>Covered</t>
        </is>
      </c>
      <c r="AV244" s="53" t="n"/>
      <c r="AW244" s="53" t="n"/>
      <c r="AX244" s="53" t="n"/>
      <c r="AY244" s="53" t="n"/>
      <c r="AZ244" s="53" t="n"/>
      <c r="BA244" s="53" t="n"/>
      <c r="BB244" s="53" t="n"/>
      <c r="BC244" s="53" t="n"/>
      <c r="BD244" s="53" t="n"/>
      <c r="BE244" s="53" t="n"/>
      <c r="BF244" s="53" t="n"/>
      <c r="BG244" s="53" t="n"/>
      <c r="BH244" s="53" t="n"/>
      <c r="BI244" s="53" t="n"/>
      <c r="BJ244" s="53" t="n"/>
      <c r="BK244" s="53" t="n"/>
      <c r="BL244" s="53" t="n"/>
      <c r="BM244" s="53" t="n"/>
      <c r="BN244" s="53" t="n"/>
      <c r="BO244" s="53" t="n"/>
      <c r="BP244" s="53" t="n"/>
      <c r="BQ244" s="53" t="n"/>
      <c r="BR244" s="53" t="n"/>
      <c r="BS244" s="53" t="n"/>
      <c r="BT244" s="53" t="n"/>
      <c r="BU244" s="53" t="n"/>
      <c r="BV244" s="53" t="n"/>
      <c r="BW244" s="53" t="n"/>
      <c r="BX244" s="53" t="n"/>
      <c r="BY244" s="53" t="n"/>
      <c r="BZ244" s="53" t="n"/>
      <c r="CA244" s="53" t="n"/>
      <c r="CB244" s="53" t="n"/>
      <c r="CC244" s="53" t="n"/>
      <c r="CD244" s="53" t="n"/>
      <c r="CE244" s="53" t="n"/>
      <c r="CF244" s="53" t="n"/>
      <c r="CG244" s="53" t="n"/>
      <c r="CH244" s="53" t="n"/>
      <c r="CI244" s="53" t="n"/>
      <c r="CJ244" s="53" t="n"/>
      <c r="CK244" s="53" t="n"/>
      <c r="CL244" s="53" t="n"/>
      <c r="CM244" s="53" t="n"/>
      <c r="CN244" s="53" t="n"/>
      <c r="CO244" s="53" t="n"/>
      <c r="CP244" s="53" t="n"/>
      <c r="CQ244" s="53" t="n"/>
      <c r="CR244" s="53" t="n"/>
      <c r="CS244" s="53" t="n"/>
      <c r="CT244" s="53" t="n"/>
      <c r="CU244" s="53" t="n"/>
      <c r="CV244" s="53" t="n"/>
      <c r="CW244" s="53" t="n"/>
      <c r="CX244" s="53" t="n"/>
      <c r="CY244" s="53" t="n"/>
      <c r="CZ244" s="53" t="n"/>
      <c r="DA244" s="53" t="n"/>
      <c r="DB244" s="53" t="n"/>
      <c r="DC244" s="53" t="n"/>
      <c r="DD244" s="53" t="inlineStr">
        <is>
          <t>IRIS0007</t>
        </is>
      </c>
      <c r="DE244" s="53" t="inlineStr">
        <is>
          <t>Employee</t>
        </is>
      </c>
      <c r="DF244" s="53" t="inlineStr">
        <is>
          <t>Active</t>
        </is>
      </c>
      <c r="DG244" s="53" t="inlineStr">
        <is>
          <t>Gopal Krishna Sahu</t>
        </is>
      </c>
      <c r="DH244" s="54" t="n">
        <v>38200</v>
      </c>
      <c r="DI244" s="53" t="inlineStr">
        <is>
          <t>Data Analyst Manager</t>
        </is>
      </c>
      <c r="DJ244" s="53" t="inlineStr">
        <is>
          <t>Data &amp; Analytics</t>
        </is>
      </c>
      <c r="DK244" s="53" t="inlineStr">
        <is>
          <t>Data &amp; Analytics</t>
        </is>
      </c>
      <c r="DL244" s="53" t="inlineStr">
        <is>
          <t>Data Analyst Manager</t>
        </is>
      </c>
      <c r="DM244" s="53" t="inlineStr">
        <is>
          <t>L5 – Manager</t>
        </is>
      </c>
      <c r="DN244" s="53" t="inlineStr">
        <is>
          <t>MBA</t>
        </is>
      </c>
      <c r="DO244" s="53" t="inlineStr">
        <is>
          <t>Arup Ganguly</t>
        </is>
      </c>
      <c r="DP244" s="53" t="inlineStr">
        <is>
          <t>N-2</t>
        </is>
      </c>
      <c r="DQ244" s="53" t="inlineStr">
        <is>
          <t>Manager</t>
        </is>
      </c>
      <c r="DR244" s="53" t="inlineStr">
        <is>
          <t>13 years, 1 months, 0 days</t>
        </is>
      </c>
      <c r="DS244" s="53" t="inlineStr">
        <is>
          <t>21 years, 10 months, 19 days</t>
        </is>
      </c>
      <c r="DT244" s="53" t="inlineStr">
        <is>
          <t>34 years, 11 months, 19 days</t>
        </is>
      </c>
      <c r="DU244" s="53" t="n">
        <v>21.8853881278539</v>
      </c>
      <c r="DV244" s="53" t="inlineStr">
        <is>
          <t>Consume</t>
        </is>
      </c>
      <c r="DW244" s="53" t="inlineStr">
        <is>
          <t>Consume</t>
        </is>
      </c>
      <c r="DX244" s="53" t="inlineStr">
        <is>
          <t>India Content</t>
        </is>
      </c>
      <c r="DY244" s="53" t="inlineStr">
        <is>
          <t>Client Engagement</t>
        </is>
      </c>
      <c r="DZ244" s="53" t="inlineStr">
        <is>
          <t>No</t>
        </is>
      </c>
      <c r="EA244" s="53" t="inlineStr">
        <is>
          <t>Client Engagement</t>
        </is>
      </c>
      <c r="EB244" s="53" t="inlineStr">
        <is>
          <t>Data Processing</t>
        </is>
      </c>
      <c r="EC244" s="53" t="inlineStr">
        <is>
          <t>Non-technical</t>
        </is>
      </c>
      <c r="ED244" s="53" t="inlineStr">
        <is>
          <t>Remote - Mumbai</t>
        </is>
      </c>
      <c r="EE244" s="53" t="inlineStr">
        <is>
          <t>1. Spend 50% of Time scouting for new business 
2Ensure team delivers 100% of client filings within regulatory deadlines
2. Keep team accuracy &gt;=99% with critical errors trending to zero
3. Maintain team capacity / utilisation in target band with balanced workload
4. Drive &lt;=3% client-reported rework across the team
5. Standardise SOPs/checklists with 100% adherence across team
6. Cross-skill team: &gt;=70% capable on at least two filing types/domains"</t>
        </is>
      </c>
      <c r="EF244" s="53" t="inlineStr">
        <is>
          <t>1. Ensure team delivers 100% of client filings within regulatory deadlines
2. Keep team accuracy &gt;=99% with critical errors trending to zero
3. Maintain team capacity / utilisation in target band with balanced workload
4. Drive &lt;=3% client-reported rework across the team
5. Standardise SOPs/checklists with 100% adherence across team
6. Cross-skill team: &gt;=70% capable on at least two filing types/domains</t>
        </is>
      </c>
      <c r="EG244" s="53" t="inlineStr">
        <is>
          <t>Q1: Ensure team delivers 100% of client filings within regulatory deadlines
Q1: Keep team accuracy &gt;=99% with critical errors trending to zero
Q1: Maintain team capacity / utilisation in target band with balanced workload
Q1: Drive &lt;=3% client-reported rework across the team</t>
        </is>
      </c>
      <c r="EH244" s="53" t="n">
        <v>4</v>
      </c>
      <c r="EI244" s="53" t="n"/>
      <c r="EJ244" s="53" t="inlineStr">
        <is>
          <t>Head of Delivery Content</t>
        </is>
      </c>
      <c r="EK244" s="53" t="inlineStr">
        <is>
          <t>No</t>
        </is>
      </c>
      <c r="EL244" s="53" t="n">
        <v>4</v>
      </c>
      <c r="EM244" s="53" t="inlineStr">
        <is>
          <t>Medium</t>
        </is>
      </c>
      <c r="EN244" s="53" t="inlineStr">
        <is>
          <t>Emerging Talent</t>
        </is>
      </c>
      <c r="EO244" s="53" t="inlineStr">
        <is>
          <t>No</t>
        </is>
      </c>
      <c r="EP244" s="53" t="inlineStr">
        <is>
          <t>No</t>
        </is>
      </c>
      <c r="EQ244" s="53" t="inlineStr">
        <is>
          <t>No</t>
        </is>
      </c>
      <c r="ER244" s="53" t="inlineStr">
        <is>
          <t>No</t>
        </is>
      </c>
      <c r="ES244" s="53" t="n"/>
      <c r="ET244" s="53" t="n"/>
      <c r="EU244" s="53" t="n"/>
      <c r="EV244" s="53" t="n"/>
      <c r="EW244" s="52" t="n"/>
      <c r="EX244" s="53" t="n"/>
      <c r="EY244" s="53" t="n"/>
      <c r="EZ244" s="53" t="n"/>
      <c r="FA244" s="53" t="n"/>
      <c r="FB244" s="53" t="n"/>
      <c r="FC244" s="53" t="n"/>
      <c r="FD244" s="53" t="n"/>
      <c r="FE244" s="57" t="inlineStr">
        <is>
          <t>1. Ensure team delivers 100% of client filings within regulatory deadlines
2. Keep team accuracy &gt;=99% with critical errors trending to zero
3. Maintain team capacity / utilisation in target band with balanced workload
4. Drive &lt;=3% client-reported rework across the team
5. Standardise SOPs/checklists with 100% adherence across team
6. Cross-skill team: &gt;=70% capable on at least two filing types/domains</t>
        </is>
      </c>
      <c r="FF244" s="56" t="inlineStr">
        <is>
          <t>Q1: Ensure team delivers 100% of client filings within regulatory deadlines
Q1: Keep team accuracy &gt;=99% with critical errors trending to zero
Q1: Maintain team capacity / utilisation in target band with balanced workload
Q1: Drive &lt;=3% client-reported rework across the team</t>
        </is>
      </c>
      <c r="FG244" s="56" t="inlineStr">
        <is>
          <t>1. Spend 50% of Time scouting for new business 
2Ensure team delivers 100% of client filings within regulatory deadlines
2. Keep team accuracy &gt;=99% with critical errors trending to zero
3. Maintain team capacity / utilisation in target band with balanced workload
4. Drive &lt;=3% client-reported rework across the team
5. Standardise SOPs/checklists with 100% adherence across team
6. Cross-skill team: &gt;=70% capable on at least two filing types/domains"</t>
        </is>
      </c>
      <c r="FH244" s="56" t="inlineStr">
        <is>
          <t>4</t>
        </is>
      </c>
      <c r="FI244" s="56" t="n"/>
      <c r="FJ244" s="56" t="inlineStr">
        <is>
          <t>Received · manager annual, quarterly, self</t>
        </is>
      </c>
      <c r="FK244" s="56" t="inlineStr">
        <is>
          <t>Talent Mapping · iFile collated</t>
        </is>
      </c>
      <c r="FL244" s="56" t="n">
        <v>20</v>
      </c>
      <c r="FM244" s="32" t="inlineStr">
        <is>
          <t>Full survey answers not in the files received · How We Grow export needed · HR</t>
        </is>
      </c>
      <c r="FN244" s="56" t="inlineStr">
        <is>
          <t>—</t>
        </is>
      </c>
      <c r="FO244" s="56" t="inlineStr">
        <is>
          <t>—</t>
        </is>
      </c>
      <c r="FP244" s="56" t="inlineStr">
        <is>
          <t>—</t>
        </is>
      </c>
      <c r="FQ244" s="56" t="inlineStr">
        <is>
          <t>—</t>
        </is>
      </c>
      <c r="FR244" s="56" t="inlineStr">
        <is>
          <t>Complexity: Evidence reads like B2: Solves all issues the team faces; answers client product queries; equity and mutual fund domain → matches the start
Autonomy: Evidence reads like B2: Manages team and workload · KRA, handles client escalations and RCAs, decides product matters → matches the start
Accountability: Evidence reads like B2: Team's client files; escalations and billing penalties; client invoices; new business → matches the start
Leadership: Evidence reads like B2: Manages and trains the team; 8 direct reports → matches the start
Business Impact: No survey or manager-mapping signal on criticality: kept at the start point.</t>
        </is>
      </c>
      <c r="FS244" s="56" t="inlineStr">
        <is>
          <t>Common themes in sub-family holders, all levels' answers: data · mutual fund · accurate · update · client · analyzing
Common themes in sub-family holders, all levels' answers: data · client · timely · accuracy · delivery · market
Common themes in sub-family holders, all levels' answers: client · mutual fund · delivery
Common themes in sub-family holders, all levels' answers: client · data · if · wrong · am · delivery
Common themes in sub-family holders, all levels' answers: update · data · independently
If the work is missed · role-holders' themes: client · impacts · process · incorrect.</t>
        </is>
      </c>
      <c r="FT244" s="56" t="inlineStr">
        <is>
          <t>Self-identified: AI / automation · Data, SQL &amp; analytics
For the next role: AI / automation · Data, SQL &amp; analytics</t>
        </is>
      </c>
      <c r="FU244" s="32" t="inlineStr">
        <is>
          <t>Full survey answers not in the files received · How We Grow export needed · HR</t>
        </is>
      </c>
    </row>
    <row r="245" ht="90" customHeight="1">
      <c r="A245" s="51" t="inlineStr">
        <is>
          <t>◂ Back</t>
        </is>
      </c>
      <c r="B245" s="29" t="inlineStr">
        <is>
          <t>Mapped</t>
        </is>
      </c>
      <c r="C245" s="28" t="inlineStr">
        <is>
          <t>Consume</t>
        </is>
      </c>
      <c r="D245" s="29" t="inlineStr">
        <is>
          <t>IRIS0015</t>
        </is>
      </c>
      <c r="E245" s="29" t="inlineStr">
        <is>
          <t>Virendra Borkar</t>
        </is>
      </c>
      <c r="F245" s="29" t="inlineStr">
        <is>
          <t>India Content</t>
        </is>
      </c>
      <c r="G245" s="29" t="inlineStr">
        <is>
          <t>Data Analyst Lead</t>
        </is>
      </c>
      <c r="H245" s="29" t="inlineStr">
        <is>
          <t>Data Specialist</t>
        </is>
      </c>
      <c r="I245" s="29" t="inlineStr">
        <is>
          <t>L5 – Lead · IC</t>
        </is>
      </c>
      <c r="J245" s="29" t="inlineStr">
        <is>
          <t>B1</t>
        </is>
      </c>
      <c r="K245" s="29" t="inlineStr">
        <is>
          <t>▼ Down · protected</t>
        </is>
      </c>
      <c r="L245" s="29" t="inlineStr">
        <is>
          <t>Data &amp; Analytics</t>
        </is>
      </c>
      <c r="M245" s="29" t="inlineStr">
        <is>
          <t>Financial Data Processing</t>
        </is>
      </c>
      <c r="N245" s="29" t="n"/>
      <c r="O245" s="29" t="n">
        <v>20</v>
      </c>
      <c r="P245" s="28" t="inlineStr">
        <is>
          <t>P3 / M2</t>
        </is>
      </c>
      <c r="Q245" s="29" t="inlineStr">
        <is>
          <t>Career / · Team Lead</t>
        </is>
      </c>
      <c r="R245" s="29" t="inlineStr">
        <is>
          <t>4 Enable</t>
        </is>
      </c>
      <c r="S245" s="29" t="inlineStr">
        <is>
          <t>4–7 yrs</t>
        </is>
      </c>
      <c r="T245" s="29" t="inlineStr">
        <is>
          <t>5–8 · 4–8</t>
        </is>
      </c>
      <c r="U245" s="29" t="inlineStr">
        <is>
          <t>Senior Data Analyst</t>
        </is>
      </c>
      <c r="V245" s="29" t="inlineStr">
        <is>
          <t>Atlassian company-wide P-levels: P40 · IRIS Vs Competitor Benchmark — data analyst ladder: Senior Data Analyst</t>
        </is>
      </c>
      <c r="W245" s="29" t="inlineStr">
        <is>
          <t>DAMA-DMBOK · 11 knowledge areas around data governance</t>
        </is>
      </c>
      <c r="X245" s="29" t="inlineStr">
        <is>
          <t>Core 3 · Future 3 · Functional 3 · Leadership 1</t>
        </is>
      </c>
      <c r="Y245" s="52" t="n">
        <v>8</v>
      </c>
      <c r="Z245" s="53" t="inlineStr">
        <is>
          <t>IRIS0015</t>
        </is>
      </c>
      <c r="AA245" s="53" t="inlineStr">
        <is>
          <t>Employee</t>
        </is>
      </c>
      <c r="AB245" s="53" t="inlineStr">
        <is>
          <t>Active</t>
        </is>
      </c>
      <c r="AC245" s="53" t="inlineStr">
        <is>
          <t>Virendra Borkar</t>
        </is>
      </c>
      <c r="AD245" s="54" t="n">
        <v>38285</v>
      </c>
      <c r="AE245" s="53" t="inlineStr">
        <is>
          <t>Data Analyst Lead</t>
        </is>
      </c>
      <c r="AF245" s="53" t="inlineStr">
        <is>
          <t>B.Com</t>
        </is>
      </c>
      <c r="AG245" s="53" t="inlineStr">
        <is>
          <t>Gopal Krishna Sahu</t>
        </is>
      </c>
      <c r="AH245" s="53" t="inlineStr">
        <is>
          <t>N-4</t>
        </is>
      </c>
      <c r="AI245" s="53" t="inlineStr">
        <is>
          <t>Individual Contributor</t>
        </is>
      </c>
      <c r="AJ245" s="53" t="inlineStr">
        <is>
          <t>0 years, 5 months, 0 days</t>
        </is>
      </c>
      <c r="AK245" s="53" t="inlineStr">
        <is>
          <t>21 years, 10 months, 0 days</t>
        </is>
      </c>
      <c r="AL245" s="53" t="inlineStr">
        <is>
          <t>Consume</t>
        </is>
      </c>
      <c r="AM245" s="53" t="inlineStr">
        <is>
          <t>Consume</t>
        </is>
      </c>
      <c r="AN245" s="53" t="inlineStr">
        <is>
          <t>India Content</t>
        </is>
      </c>
      <c r="AO245" s="53" t="inlineStr">
        <is>
          <t>Expert Assisted services</t>
        </is>
      </c>
      <c r="AP245" s="53" t="inlineStr">
        <is>
          <t>No</t>
        </is>
      </c>
      <c r="AQ245" s="53" t="inlineStr">
        <is>
          <t>Professional Services</t>
        </is>
      </c>
      <c r="AR245" s="53" t="inlineStr">
        <is>
          <t>Data Processing</t>
        </is>
      </c>
      <c r="AS245" s="53" t="inlineStr">
        <is>
          <t>Non-technical</t>
        </is>
      </c>
      <c r="AT245" s="53" t="n">
        <v>20</v>
      </c>
      <c r="AU245" s="53" t="inlineStr">
        <is>
          <t>Covered</t>
        </is>
      </c>
      <c r="AV245" s="53" t="n"/>
      <c r="AW245" s="53" t="n"/>
      <c r="AX245" s="53" t="n"/>
      <c r="AY245" s="53" t="n"/>
      <c r="AZ245" s="53" t="n"/>
      <c r="BA245" s="53" t="n"/>
      <c r="BB245" s="53" t="n"/>
      <c r="BC245" s="53" t="n"/>
      <c r="BD245" s="53" t="n"/>
      <c r="BE245" s="53" t="n"/>
      <c r="BF245" s="53" t="n"/>
      <c r="BG245" s="53" t="n"/>
      <c r="BH245" s="53" t="n"/>
      <c r="BI245" s="53" t="n"/>
      <c r="BJ245" s="53" t="n"/>
      <c r="BK245" s="53" t="n"/>
      <c r="BL245" s="53" t="n"/>
      <c r="BM245" s="53" t="n"/>
      <c r="BN245" s="53" t="n"/>
      <c r="BO245" s="53" t="n"/>
      <c r="BP245" s="53" t="n"/>
      <c r="BQ245" s="53" t="n"/>
      <c r="BR245" s="53" t="n"/>
      <c r="BS245" s="53" t="n"/>
      <c r="BT245" s="53" t="n"/>
      <c r="BU245" s="53" t="n"/>
      <c r="BV245" s="53" t="n"/>
      <c r="BW245" s="53" t="n"/>
      <c r="BX245" s="53" t="n"/>
      <c r="BY245" s="53" t="n"/>
      <c r="BZ245" s="53" t="n"/>
      <c r="CA245" s="53" t="n"/>
      <c r="CB245" s="53" t="n"/>
      <c r="CC245" s="53" t="n"/>
      <c r="CD245" s="53" t="n"/>
      <c r="CE245" s="53" t="n"/>
      <c r="CF245" s="53" t="n"/>
      <c r="CG245" s="53" t="n"/>
      <c r="CH245" s="53" t="n"/>
      <c r="CI245" s="53" t="n"/>
      <c r="CJ245" s="53" t="n"/>
      <c r="CK245" s="53" t="n"/>
      <c r="CL245" s="53" t="n"/>
      <c r="CM245" s="53" t="n"/>
      <c r="CN245" s="53" t="n"/>
      <c r="CO245" s="53" t="n"/>
      <c r="CP245" s="53" t="n"/>
      <c r="CQ245" s="53" t="n"/>
      <c r="CR245" s="53" t="n"/>
      <c r="CS245" s="53" t="n"/>
      <c r="CT245" s="53" t="n"/>
      <c r="CU245" s="53" t="n"/>
      <c r="CV245" s="53" t="n"/>
      <c r="CW245" s="53" t="n"/>
      <c r="CX245" s="53" t="n"/>
      <c r="CY245" s="53" t="n"/>
      <c r="CZ245" s="53" t="n"/>
      <c r="DA245" s="53" t="n"/>
      <c r="DB245" s="53" t="n"/>
      <c r="DC245" s="53" t="n"/>
      <c r="DD245" s="53" t="inlineStr">
        <is>
          <t>IRIS0015</t>
        </is>
      </c>
      <c r="DE245" s="53" t="inlineStr">
        <is>
          <t>Employee</t>
        </is>
      </c>
      <c r="DF245" s="53" t="inlineStr">
        <is>
          <t>Active</t>
        </is>
      </c>
      <c r="DG245" s="53" t="inlineStr">
        <is>
          <t>Virendra Borkar</t>
        </is>
      </c>
      <c r="DH245" s="54" t="n">
        <v>38285</v>
      </c>
      <c r="DI245" s="53" t="inlineStr">
        <is>
          <t>Data Analyst Lead</t>
        </is>
      </c>
      <c r="DJ245" s="53" t="inlineStr">
        <is>
          <t>Consulting &amp; Professional Services</t>
        </is>
      </c>
      <c r="DK245" s="53" t="inlineStr">
        <is>
          <t>Regulatory Content</t>
        </is>
      </c>
      <c r="DL245" s="53" t="inlineStr">
        <is>
          <t>Data Analyst Lead</t>
        </is>
      </c>
      <c r="DM245" s="53" t="inlineStr">
        <is>
          <t>L5 – Lead · IC</t>
        </is>
      </c>
      <c r="DN245" s="53" t="inlineStr">
        <is>
          <t>B.Com</t>
        </is>
      </c>
      <c r="DO245" s="53" t="inlineStr">
        <is>
          <t>Gopal Krishna Sahu</t>
        </is>
      </c>
      <c r="DP245" s="53" t="inlineStr">
        <is>
          <t>N-3</t>
        </is>
      </c>
      <c r="DQ245" s="53" t="inlineStr">
        <is>
          <t>Individual Contributor</t>
        </is>
      </c>
      <c r="DR245" s="53" t="inlineStr">
        <is>
          <t>0 years, 5 months, 0 days</t>
        </is>
      </c>
      <c r="DS245" s="53" t="inlineStr">
        <is>
          <t>21 years, 7 months, 26 days</t>
        </is>
      </c>
      <c r="DT245" s="53" t="inlineStr">
        <is>
          <t>22 years, 0 months, 26 days</t>
        </is>
      </c>
      <c r="DU245" s="53" t="n"/>
      <c r="DV245" s="53" t="inlineStr">
        <is>
          <t>Consume</t>
        </is>
      </c>
      <c r="DW245" s="53" t="inlineStr">
        <is>
          <t>Consume</t>
        </is>
      </c>
      <c r="DX245" s="53" t="inlineStr">
        <is>
          <t>India Content</t>
        </is>
      </c>
      <c r="DY245" s="53" t="inlineStr">
        <is>
          <t>Expert Assisted services</t>
        </is>
      </c>
      <c r="DZ245" s="53" t="inlineStr">
        <is>
          <t>No</t>
        </is>
      </c>
      <c r="EA245" s="53" t="inlineStr">
        <is>
          <t>Professional Services</t>
        </is>
      </c>
      <c r="EB245" s="53" t="inlineStr">
        <is>
          <t>Data Processing</t>
        </is>
      </c>
      <c r="EC245" s="53" t="inlineStr">
        <is>
          <t>Non-technical</t>
        </is>
      </c>
      <c r="ED245" s="53" t="inlineStr">
        <is>
          <t>Remote - Mumbai</t>
        </is>
      </c>
      <c r="EE245" s="53" t="inlineStr">
        <is>
          <t>1.Collect data from all assigned sources ·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EF245" s="53"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EG245" s="53"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EH245" s="53" t="n">
        <v>3</v>
      </c>
      <c r="EI245" s="54" t="n">
        <v>45933</v>
      </c>
      <c r="EJ245" s="53" t="inlineStr">
        <is>
          <t>Data Analyst Lead</t>
        </is>
      </c>
      <c r="EK245" s="53" t="inlineStr">
        <is>
          <t>No</t>
        </is>
      </c>
      <c r="EL245" s="53" t="n">
        <v>3</v>
      </c>
      <c r="EM245" s="53" t="inlineStr">
        <is>
          <t>Medium</t>
        </is>
      </c>
      <c r="EN245" s="53" t="inlineStr">
        <is>
          <t>Future Leader</t>
        </is>
      </c>
      <c r="EO245" s="53" t="inlineStr">
        <is>
          <t>Yes</t>
        </is>
      </c>
      <c r="EP245" s="53" t="inlineStr">
        <is>
          <t>Yes</t>
        </is>
      </c>
      <c r="EQ245" s="53" t="inlineStr">
        <is>
          <t>Yes</t>
        </is>
      </c>
      <c r="ER245" s="53" t="inlineStr">
        <is>
          <t>Swapnil Katrat</t>
        </is>
      </c>
      <c r="ES245" s="53" t="inlineStr">
        <is>
          <t>The team needs training for new automation tools.</t>
        </is>
      </c>
      <c r="ET245" s="53" t="inlineStr">
        <is>
          <t>Transition to leadership: people management &amp; delegation, mentoring/coaching, project ownership &amp; stakeholder management, prioritisation under ambiguity, presentation &amp; influence skills</t>
        </is>
      </c>
      <c r="EU245" s="53" t="n"/>
      <c r="EV245" s="53" t="n"/>
      <c r="EW245" s="52" t="n"/>
      <c r="EX245" s="53" t="n"/>
      <c r="EY245" s="53" t="n"/>
      <c r="EZ245" s="53" t="n"/>
      <c r="FA245" s="53" t="n"/>
      <c r="FB245" s="53" t="n"/>
      <c r="FC245" s="53" t="n"/>
      <c r="FD245" s="53" t="n"/>
      <c r="FE245" s="57"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FF245" s="56"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FG245" s="56" t="inlineStr">
        <is>
          <t>1.Collect data from all assigned sources ·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FH245" s="56" t="inlineStr">
        <is>
          <t>3</t>
        </is>
      </c>
      <c r="FI245" s="56" t="n"/>
      <c r="FJ245" s="56" t="inlineStr">
        <is>
          <t>Received · manager annual, quarterly, self</t>
        </is>
      </c>
      <c r="FK245" s="56" t="inlineStr">
        <is>
          <t>Talent Mapping · Database Content</t>
        </is>
      </c>
      <c r="FL245" s="56" t="n">
        <v>20</v>
      </c>
      <c r="FM245" s="32" t="inlineStr">
        <is>
          <t>Full survey answers not in the files received · How We Grow export needed · HR</t>
        </is>
      </c>
      <c r="FN245" s="56" t="inlineStr">
        <is>
          <t>—</t>
        </is>
      </c>
      <c r="FO245" s="56" t="inlineStr">
        <is>
          <t>—</t>
        </is>
      </c>
      <c r="FP245" s="56" t="inlineStr">
        <is>
          <t>—</t>
        </is>
      </c>
      <c r="FQ245" s="56" t="inlineStr">
        <is>
          <t>—</t>
        </is>
      </c>
      <c r="FR245" s="56" t="inlineStr">
        <is>
          <t>Complexity: Evidence reads like A2: Maintains client master and price data with Access queries; daily tasks and reports → moved down 0.5
Autonomy: Evidence reads like A2: Names only client work and new updates; no team or method decisions → moved down 0.5
Accountability: Evidence reads like A2: Accuracy of master data sent to clients; own daily reports → moved down 0.5
Leadership: Evidence reads like A1: No leading, reviewing or guiding described; 0 direct reports → moved down 0.5
Business Impact: Moved +0.5: the survey / manager mapping marks it business-critical.</t>
        </is>
      </c>
      <c r="FS245" s="56" t="inlineStr">
        <is>
          <t>Common themes in sub-family holders, all levels' answers: data · mutual fund · accurate · update · client · analyzing
Common themes in sub-family holders, all levels' answers: data · client · timely · accuracy · delivery · market
Common themes in sub-family holders, all levels' answers: client · mutual fund · delivery
Common themes in sub-family holders, all levels' answers: client · data · if · wrong · am · delivery
Common themes in sub-family holders, all levels' answers: update · data · independently
If the work is missed · role-holders' themes: client · impacts · process · incorrect.</t>
        </is>
      </c>
      <c r="FT245" s="56" t="inlineStr">
        <is>
          <t>Self-identified: Leadership &amp; people management · Project / programme management · Communication &amp; presentation · Strategy &amp; business acumen
For the next role: Leadership &amp; people management · Project / programme management · Communication &amp; presentation · Strategy &amp; business acumen</t>
        </is>
      </c>
      <c r="FU245" s="32" t="inlineStr">
        <is>
          <t>Full survey answers not in the files received · How We Grow export needed · HR</t>
        </is>
      </c>
    </row>
    <row r="246" ht="90" customHeight="1">
      <c r="A246" s="51" t="inlineStr">
        <is>
          <t>◂ Back</t>
        </is>
      </c>
      <c r="B246" s="29" t="inlineStr">
        <is>
          <t>Mapped</t>
        </is>
      </c>
      <c r="C246" s="28" t="inlineStr">
        <is>
          <t>Consume</t>
        </is>
      </c>
      <c r="D246" s="29" t="inlineStr">
        <is>
          <t>IRIS1743</t>
        </is>
      </c>
      <c r="E246" s="29" t="inlineStr">
        <is>
          <t>Akash Dubey</t>
        </is>
      </c>
      <c r="F246" s="29" t="inlineStr">
        <is>
          <t>India Content</t>
        </is>
      </c>
      <c r="G246" s="29" t="inlineStr">
        <is>
          <t>Data Analyst</t>
        </is>
      </c>
      <c r="H246" s="29" t="inlineStr">
        <is>
          <t>Senior Data Analyst</t>
        </is>
      </c>
      <c r="I246" s="29" t="inlineStr">
        <is>
          <t>L3 – Professional / Associate</t>
        </is>
      </c>
      <c r="J246" s="29" t="inlineStr">
        <is>
          <t>A3</t>
        </is>
      </c>
      <c r="K246" s="29" t="inlineStr">
        <is>
          <t>▲ Up</t>
        </is>
      </c>
      <c r="L246" s="29" t="inlineStr">
        <is>
          <t>Data &amp; Analytics</t>
        </is>
      </c>
      <c r="M246" s="29" t="inlineStr">
        <is>
          <t>Financial Data Processing</t>
        </is>
      </c>
      <c r="N246" s="29" t="n"/>
      <c r="O246" s="29" t="n">
        <v>20</v>
      </c>
      <c r="P246" s="28" t="inlineStr">
        <is>
          <t>P2</t>
        </is>
      </c>
      <c r="Q246" s="29" t="inlineStr">
        <is>
          <t>Developing</t>
        </is>
      </c>
      <c r="R246" s="29" t="inlineStr">
        <is>
          <t>3 Apply</t>
        </is>
      </c>
      <c r="S246" s="29" t="inlineStr">
        <is>
          <t>2–4 yrs</t>
        </is>
      </c>
      <c r="T246" s="29" t="inlineStr">
        <is>
          <t>3–5 · 2–5</t>
        </is>
      </c>
      <c r="U246" s="29" t="inlineStr">
        <is>
          <t>Data Analyst</t>
        </is>
      </c>
      <c r="V246" s="29" t="inlineStr">
        <is>
          <t>Atlassian company-wide P-levels: P40 Analyst · IRIS Vs Competitor Benchmark — data analyst ladder: Data Analyst II</t>
        </is>
      </c>
      <c r="W246" s="29" t="inlineStr">
        <is>
          <t>DAMA-DMBOK · 11 knowledge areas around data governance</t>
        </is>
      </c>
      <c r="X246" s="29" t="inlineStr">
        <is>
          <t>Core 2 · Future 2 · Functional 3 · Leadership not scored</t>
        </is>
      </c>
      <c r="Y246" s="52" t="n">
        <v>151</v>
      </c>
      <c r="Z246" s="53" t="inlineStr">
        <is>
          <t>IRIS1743</t>
        </is>
      </c>
      <c r="AA246" s="53" t="inlineStr">
        <is>
          <t>Employee</t>
        </is>
      </c>
      <c r="AB246" s="53" t="inlineStr">
        <is>
          <t>Active</t>
        </is>
      </c>
      <c r="AC246" s="53" t="inlineStr">
        <is>
          <t>Akash Dubey</t>
        </is>
      </c>
      <c r="AD246" s="54" t="n">
        <v>43346</v>
      </c>
      <c r="AE246" s="53" t="inlineStr">
        <is>
          <t>Data Analyst</t>
        </is>
      </c>
      <c r="AF246" s="53" t="inlineStr">
        <is>
          <t>M.Com</t>
        </is>
      </c>
      <c r="AG246" s="53" t="inlineStr">
        <is>
          <t>Gopal Krishna Sahu</t>
        </is>
      </c>
      <c r="AH246" s="53" t="inlineStr">
        <is>
          <t>N-4</t>
        </is>
      </c>
      <c r="AI246" s="53" t="inlineStr">
        <is>
          <t>Individual Contributor</t>
        </is>
      </c>
      <c r="AJ246" s="53" t="inlineStr">
        <is>
          <t>0 years, 0 months, 0 days</t>
        </is>
      </c>
      <c r="AK246" s="53" t="inlineStr">
        <is>
          <t>7 years, 11 months, 22 days</t>
        </is>
      </c>
      <c r="AL246" s="53" t="inlineStr">
        <is>
          <t>Consume</t>
        </is>
      </c>
      <c r="AM246" s="53" t="inlineStr">
        <is>
          <t>Consume</t>
        </is>
      </c>
      <c r="AN246" s="53" t="inlineStr">
        <is>
          <t>India Content</t>
        </is>
      </c>
      <c r="AO246" s="53" t="inlineStr">
        <is>
          <t>Expert Assisted services</t>
        </is>
      </c>
      <c r="AP246" s="53" t="inlineStr">
        <is>
          <t>No</t>
        </is>
      </c>
      <c r="AQ246" s="53" t="inlineStr">
        <is>
          <t>Professional Services</t>
        </is>
      </c>
      <c r="AR246" s="53" t="inlineStr">
        <is>
          <t>Data Processing</t>
        </is>
      </c>
      <c r="AS246" s="53" t="inlineStr">
        <is>
          <t>Non-technical</t>
        </is>
      </c>
      <c r="AT246" s="53" t="n">
        <v>20</v>
      </c>
      <c r="AU246" s="53" t="inlineStr">
        <is>
          <t>Covered</t>
        </is>
      </c>
      <c r="AV246" s="53" t="n"/>
      <c r="AW246" s="53" t="n"/>
      <c r="AX246" s="53" t="n"/>
      <c r="AY246" s="53" t="n"/>
      <c r="AZ246" s="53" t="n"/>
      <c r="BA246" s="53" t="n"/>
      <c r="BB246" s="53" t="n"/>
      <c r="BC246" s="53" t="n"/>
      <c r="BD246" s="53" t="n"/>
      <c r="BE246" s="53" t="n"/>
      <c r="BF246" s="53" t="n"/>
      <c r="BG246" s="53" t="n"/>
      <c r="BH246" s="53" t="n"/>
      <c r="BI246" s="53" t="n"/>
      <c r="BJ246" s="53" t="n"/>
      <c r="BK246" s="53" t="n"/>
      <c r="BL246" s="53" t="n"/>
      <c r="BM246" s="53" t="n"/>
      <c r="BN246" s="53" t="n"/>
      <c r="BO246" s="53" t="n"/>
      <c r="BP246" s="53" t="n"/>
      <c r="BQ246" s="53" t="n"/>
      <c r="BR246" s="53" t="n"/>
      <c r="BS246" s="53" t="n"/>
      <c r="BT246" s="53" t="n"/>
      <c r="BU246" s="53" t="n"/>
      <c r="BV246" s="53" t="n"/>
      <c r="BW246" s="53" t="n"/>
      <c r="BX246" s="53" t="n"/>
      <c r="BY246" s="53" t="n"/>
      <c r="BZ246" s="53" t="n"/>
      <c r="CA246" s="53" t="n"/>
      <c r="CB246" s="53" t="n"/>
      <c r="CC246" s="53" t="n"/>
      <c r="CD246" s="53" t="n"/>
      <c r="CE246" s="53" t="n"/>
      <c r="CF246" s="53" t="n"/>
      <c r="CG246" s="53" t="n"/>
      <c r="CH246" s="53" t="n"/>
      <c r="CI246" s="53" t="n"/>
      <c r="CJ246" s="53" t="n"/>
      <c r="CK246" s="53" t="n"/>
      <c r="CL246" s="53" t="n"/>
      <c r="CM246" s="53" t="n"/>
      <c r="CN246" s="53" t="n"/>
      <c r="CO246" s="53" t="n"/>
      <c r="CP246" s="53" t="n"/>
      <c r="CQ246" s="53" t="n"/>
      <c r="CR246" s="53" t="n"/>
      <c r="CS246" s="53" t="n"/>
      <c r="CT246" s="53" t="n"/>
      <c r="CU246" s="53" t="n"/>
      <c r="CV246" s="53" t="n"/>
      <c r="CW246" s="53" t="n"/>
      <c r="CX246" s="53" t="n"/>
      <c r="CY246" s="53" t="n"/>
      <c r="CZ246" s="53" t="n"/>
      <c r="DA246" s="53" t="n"/>
      <c r="DB246" s="53" t="n"/>
      <c r="DC246" s="53" t="n"/>
      <c r="DD246" s="53" t="inlineStr">
        <is>
          <t>IRIS1743</t>
        </is>
      </c>
      <c r="DE246" s="53" t="inlineStr">
        <is>
          <t>Employee</t>
        </is>
      </c>
      <c r="DF246" s="53" t="inlineStr">
        <is>
          <t>Active</t>
        </is>
      </c>
      <c r="DG246" s="53" t="inlineStr">
        <is>
          <t>Akash Dubey</t>
        </is>
      </c>
      <c r="DH246" s="54" t="n">
        <v>43346</v>
      </c>
      <c r="DI246" s="53" t="inlineStr">
        <is>
          <t>Data Analyst</t>
        </is>
      </c>
      <c r="DJ246" s="53" t="inlineStr">
        <is>
          <t>Consulting &amp; Professional Services</t>
        </is>
      </c>
      <c r="DK246" s="53" t="inlineStr">
        <is>
          <t>Regulatory Content</t>
        </is>
      </c>
      <c r="DL246" s="53" t="inlineStr">
        <is>
          <t>Data Analyst</t>
        </is>
      </c>
      <c r="DM246" s="53" t="inlineStr">
        <is>
          <t>L3 – Professional / Associate</t>
        </is>
      </c>
      <c r="DN246" s="53" t="inlineStr">
        <is>
          <t>M.Com</t>
        </is>
      </c>
      <c r="DO246" s="53" t="inlineStr">
        <is>
          <t>Gopal Krishna Sahu</t>
        </is>
      </c>
      <c r="DP246" s="53" t="inlineStr">
        <is>
          <t>N-3</t>
        </is>
      </c>
      <c r="DQ246" s="53" t="inlineStr">
        <is>
          <t>Individual Contributor</t>
        </is>
      </c>
      <c r="DR246" s="53" t="inlineStr">
        <is>
          <t>0 years, 0 months, 0 days</t>
        </is>
      </c>
      <c r="DS246" s="53" t="inlineStr">
        <is>
          <t>7 years, 9 months, 17 days</t>
        </is>
      </c>
      <c r="DT246" s="53" t="inlineStr">
        <is>
          <t>7 years, 9 months, 17 days</t>
        </is>
      </c>
      <c r="DU246" s="53" t="n"/>
      <c r="DV246" s="53" t="inlineStr">
        <is>
          <t>Consume</t>
        </is>
      </c>
      <c r="DW246" s="53" t="inlineStr">
        <is>
          <t>Consume</t>
        </is>
      </c>
      <c r="DX246" s="53" t="inlineStr">
        <is>
          <t>India Content</t>
        </is>
      </c>
      <c r="DY246" s="53" t="inlineStr">
        <is>
          <t>Expert Assisted services</t>
        </is>
      </c>
      <c r="DZ246" s="53" t="inlineStr">
        <is>
          <t>No</t>
        </is>
      </c>
      <c r="EA246" s="53" t="inlineStr">
        <is>
          <t>Professional Services</t>
        </is>
      </c>
      <c r="EB246" s="53" t="inlineStr">
        <is>
          <t>Data Processing</t>
        </is>
      </c>
      <c r="EC246" s="53" t="inlineStr">
        <is>
          <t>Non-technical</t>
        </is>
      </c>
      <c r="ED246" s="53" t="inlineStr">
        <is>
          <t>Remote - Mumbai</t>
        </is>
      </c>
      <c r="EE246" s="53" t="inlineStr">
        <is>
          <t>1.Collect data from all assigned sources · AMC, Amfi,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EF246" s="53"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EG246" s="53"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EH246" s="53" t="n">
        <v>3</v>
      </c>
      <c r="EI246" s="54" t="n">
        <v>45933</v>
      </c>
      <c r="EJ246" s="53" t="inlineStr">
        <is>
          <t>Data Analyst</t>
        </is>
      </c>
      <c r="EK246" s="53" t="inlineStr">
        <is>
          <t>No</t>
        </is>
      </c>
      <c r="EL246" s="53" t="n">
        <v>3</v>
      </c>
      <c r="EM246" s="53" t="inlineStr">
        <is>
          <t>Medium</t>
        </is>
      </c>
      <c r="EN246" s="53" t="inlineStr">
        <is>
          <t>Trusted Professional</t>
        </is>
      </c>
      <c r="EO246" s="53" t="inlineStr">
        <is>
          <t>Yes</t>
        </is>
      </c>
      <c r="EP246" s="53" t="inlineStr">
        <is>
          <t>Yes</t>
        </is>
      </c>
      <c r="EQ246" s="53" t="inlineStr">
        <is>
          <t>Yes</t>
        </is>
      </c>
      <c r="ER246" s="53" t="inlineStr">
        <is>
          <t>John Mariakulandai</t>
        </is>
      </c>
      <c r="ES246" s="53" t="inlineStr">
        <is>
          <t>The team needs training for new automation tools.</t>
        </is>
      </c>
      <c r="ET246" s="53" t="inlineStr">
        <is>
          <t>Transition to leadership: people management &amp; delegation, mentoring/coaching, project ownership &amp; stakeholder management, prioritisation under ambiguity, presentation &amp; influence skills</t>
        </is>
      </c>
      <c r="EU246" s="53" t="n"/>
      <c r="EV246" s="53" t="n"/>
      <c r="EW246" s="52" t="n"/>
      <c r="EX246" s="53" t="n"/>
      <c r="EY246" s="53" t="n"/>
      <c r="EZ246" s="53" t="n"/>
      <c r="FA246" s="53" t="n"/>
      <c r="FB246" s="53" t="n"/>
      <c r="FC246" s="53" t="n"/>
      <c r="FD246" s="53" t="n"/>
      <c r="FE246" s="57"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FF246" s="56"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FG246" s="56" t="inlineStr">
        <is>
          <t>1.Collect data from all assigned sources · AMC, Amfi,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FH246" s="56" t="inlineStr">
        <is>
          <t>3</t>
        </is>
      </c>
      <c r="FI246" s="56" t="n"/>
      <c r="FJ246" s="56" t="inlineStr">
        <is>
          <t>Received · manager annual, quarterly, self</t>
        </is>
      </c>
      <c r="FK246" s="56" t="inlineStr">
        <is>
          <t>Talent Mapping · Database Content</t>
        </is>
      </c>
      <c r="FL246" s="56" t="n">
        <v>20</v>
      </c>
      <c r="FM246" s="32" t="inlineStr">
        <is>
          <t>Full survey answers not in the files received · How We Grow export needed · HR</t>
        </is>
      </c>
      <c r="FN246" s="56" t="inlineStr">
        <is>
          <t>—</t>
        </is>
      </c>
      <c r="FO246" s="56" t="inlineStr">
        <is>
          <t>—</t>
        </is>
      </c>
      <c r="FP246" s="56" t="inlineStr">
        <is>
          <t>—</t>
        </is>
      </c>
      <c r="FQ246" s="56" t="inlineStr">
        <is>
          <t>—</t>
        </is>
      </c>
      <c r="FR246" s="56" t="inlineStr">
        <is>
          <t>Complexity: Evidence reads like A2: Collects and validates mutual fund data from several sources; prepares client-specific NAV/returns reports → matches the start
Autonomy: Evidence reads like A2: Independently collects data per requirements and process; KRA says escalate discrepancies to seniors → matches the start
Accountability: Evidence reads like A2: own survey / KRA answers · summarised by the rater; not quoted → matches the start
Leadership: Evidence reads like A1: No guiding or leading of others described → matches the start
Business Impact: Moved +0.5: the survey / manager mapping marks it business-critical.</t>
        </is>
      </c>
      <c r="FS246" s="56" t="inlineStr">
        <is>
          <t>Common themes in role-holders' answers: data · mutual fund · update · analyzing · responsible · accurate
Common themes in role-holders' answers: data · client · accuracy · delivery · time · market
Common themes in role-holders' answers: mutual fund · client · delivery
Common themes in role-holders' answers: client · data · am · delivery · duties · responsible
Common themes in role-holders' answers: data · independently
If the work is missed · role-holders' themes: incorrect · client · missing · impacts.
Measured on · manager-set KRA themes: business-day response · manual · contribute · delivery time · provide solutions · complete assigned.</t>
        </is>
      </c>
      <c r="FT246" s="56" t="inlineStr">
        <is>
          <t>Self-identified: Leadership &amp; people management · Project / programme management · Broader exposure &amp; ownership
For the next role: Leadership &amp; people management · Project / programme management · Broader exposure &amp; ownership</t>
        </is>
      </c>
      <c r="FU246" s="32" t="inlineStr">
        <is>
          <t>Full survey answers not in the files received · How We Grow export needed · HR</t>
        </is>
      </c>
    </row>
    <row r="247" ht="90" customHeight="1">
      <c r="A247" s="51" t="inlineStr">
        <is>
          <t>◂ Back</t>
        </is>
      </c>
      <c r="B247" s="29" t="inlineStr">
        <is>
          <t>Mapped</t>
        </is>
      </c>
      <c r="C247" s="28" t="inlineStr">
        <is>
          <t>Consume</t>
        </is>
      </c>
      <c r="D247" s="29" t="inlineStr">
        <is>
          <t>IRIS1710</t>
        </is>
      </c>
      <c r="E247" s="29" t="inlineStr">
        <is>
          <t>John Mariakulandai</t>
        </is>
      </c>
      <c r="F247" s="29" t="inlineStr">
        <is>
          <t>India Content</t>
        </is>
      </c>
      <c r="G247" s="29" t="inlineStr">
        <is>
          <t>Data Analyst</t>
        </is>
      </c>
      <c r="H247" s="29" t="inlineStr">
        <is>
          <t>Senior Data Analyst</t>
        </is>
      </c>
      <c r="I247" s="29" t="inlineStr">
        <is>
          <t>L3 – Professional / Associate</t>
        </is>
      </c>
      <c r="J247" s="29" t="inlineStr">
        <is>
          <t>A3</t>
        </is>
      </c>
      <c r="K247" s="29" t="inlineStr">
        <is>
          <t>▲ Up</t>
        </is>
      </c>
      <c r="L247" s="29" t="inlineStr">
        <is>
          <t>Data &amp; Analytics</t>
        </is>
      </c>
      <c r="M247" s="29" t="inlineStr">
        <is>
          <t>Financial Data Processing</t>
        </is>
      </c>
      <c r="N247" s="29" t="n"/>
      <c r="O247" s="29" t="n">
        <v>20</v>
      </c>
      <c r="P247" s="28" t="inlineStr">
        <is>
          <t>P2</t>
        </is>
      </c>
      <c r="Q247" s="29" t="inlineStr">
        <is>
          <t>Developing</t>
        </is>
      </c>
      <c r="R247" s="29" t="inlineStr">
        <is>
          <t>3 Apply</t>
        </is>
      </c>
      <c r="S247" s="29" t="inlineStr">
        <is>
          <t>2–4 yrs</t>
        </is>
      </c>
      <c r="T247" s="29" t="inlineStr">
        <is>
          <t>3–5 · 2–5</t>
        </is>
      </c>
      <c r="U247" s="29" t="inlineStr">
        <is>
          <t>Data Analyst</t>
        </is>
      </c>
      <c r="V247" s="29" t="inlineStr">
        <is>
          <t>Atlassian company-wide P-levels: P40 Analyst · IRIS Vs Competitor Benchmark — data analyst ladder: Data Analyst II</t>
        </is>
      </c>
      <c r="W247" s="29" t="inlineStr">
        <is>
          <t>DAMA-DMBOK · 11 knowledge areas around data governance</t>
        </is>
      </c>
      <c r="X247" s="29" t="inlineStr">
        <is>
          <t>Core 2 · Future 2 · Functional 3 · Leadership not scored</t>
        </is>
      </c>
      <c r="Y247" s="52" t="n">
        <v>146</v>
      </c>
      <c r="Z247" s="53" t="inlineStr">
        <is>
          <t>IRIS1710</t>
        </is>
      </c>
      <c r="AA247" s="53" t="inlineStr">
        <is>
          <t>Employee</t>
        </is>
      </c>
      <c r="AB247" s="53" t="inlineStr">
        <is>
          <t>Active</t>
        </is>
      </c>
      <c r="AC247" s="53" t="inlineStr">
        <is>
          <t>John Mariakulandai</t>
        </is>
      </c>
      <c r="AD247" s="54" t="n">
        <v>43150</v>
      </c>
      <c r="AE247" s="53" t="inlineStr">
        <is>
          <t>Data Analyst</t>
        </is>
      </c>
      <c r="AF247" s="53" t="inlineStr">
        <is>
          <t>B.Com</t>
        </is>
      </c>
      <c r="AG247" s="53" t="inlineStr">
        <is>
          <t>Gopal Krishna Sahu</t>
        </is>
      </c>
      <c r="AH247" s="53" t="inlineStr">
        <is>
          <t>N-4</t>
        </is>
      </c>
      <c r="AI247" s="53" t="inlineStr">
        <is>
          <t>Individual Contributor</t>
        </is>
      </c>
      <c r="AJ247" s="53" t="inlineStr">
        <is>
          <t>8 years, 9 months, 0 days</t>
        </is>
      </c>
      <c r="AK247" s="53" t="inlineStr">
        <is>
          <t>8 years, 6 months, 6 days</t>
        </is>
      </c>
      <c r="AL247" s="53" t="inlineStr">
        <is>
          <t>Consume</t>
        </is>
      </c>
      <c r="AM247" s="53" t="inlineStr">
        <is>
          <t>Consume</t>
        </is>
      </c>
      <c r="AN247" s="53" t="inlineStr">
        <is>
          <t>India Content</t>
        </is>
      </c>
      <c r="AO247" s="53" t="inlineStr">
        <is>
          <t>Expert Assisted services</t>
        </is>
      </c>
      <c r="AP247" s="53" t="inlineStr">
        <is>
          <t>No</t>
        </is>
      </c>
      <c r="AQ247" s="53" t="inlineStr">
        <is>
          <t>Professional Services</t>
        </is>
      </c>
      <c r="AR247" s="53" t="inlineStr">
        <is>
          <t>Data Processing</t>
        </is>
      </c>
      <c r="AS247" s="53" t="inlineStr">
        <is>
          <t>Non-technical</t>
        </is>
      </c>
      <c r="AT247" s="53" t="n">
        <v>20</v>
      </c>
      <c r="AU247" s="53" t="inlineStr">
        <is>
          <t>Covered</t>
        </is>
      </c>
      <c r="AV247" s="53" t="n"/>
      <c r="AW247" s="53" t="n"/>
      <c r="AX247" s="53" t="n"/>
      <c r="AY247" s="53" t="n"/>
      <c r="AZ247" s="53" t="n"/>
      <c r="BA247" s="53" t="n"/>
      <c r="BB247" s="53" t="n"/>
      <c r="BC247" s="53" t="n"/>
      <c r="BD247" s="53" t="n"/>
      <c r="BE247" s="53" t="n"/>
      <c r="BF247" s="53" t="n"/>
      <c r="BG247" s="53" t="n"/>
      <c r="BH247" s="53" t="n"/>
      <c r="BI247" s="53" t="n"/>
      <c r="BJ247" s="53" t="n"/>
      <c r="BK247" s="53" t="n"/>
      <c r="BL247" s="53" t="n"/>
      <c r="BM247" s="53" t="n"/>
      <c r="BN247" s="53" t="n"/>
      <c r="BO247" s="53" t="n"/>
      <c r="BP247" s="53" t="n"/>
      <c r="BQ247" s="53" t="n"/>
      <c r="BR247" s="53" t="n"/>
      <c r="BS247" s="53" t="n"/>
      <c r="BT247" s="53" t="n"/>
      <c r="BU247" s="53" t="n"/>
      <c r="BV247" s="53" t="n"/>
      <c r="BW247" s="53" t="n"/>
      <c r="BX247" s="53" t="n"/>
      <c r="BY247" s="53" t="n"/>
      <c r="BZ247" s="53" t="n"/>
      <c r="CA247" s="53" t="n"/>
      <c r="CB247" s="53" t="n"/>
      <c r="CC247" s="53" t="n"/>
      <c r="CD247" s="53" t="n"/>
      <c r="CE247" s="53" t="n"/>
      <c r="CF247" s="53" t="n"/>
      <c r="CG247" s="53" t="n"/>
      <c r="CH247" s="53" t="n"/>
      <c r="CI247" s="53" t="n"/>
      <c r="CJ247" s="53" t="n"/>
      <c r="CK247" s="53" t="n"/>
      <c r="CL247" s="53" t="n"/>
      <c r="CM247" s="53" t="n"/>
      <c r="CN247" s="53" t="n"/>
      <c r="CO247" s="53" t="n"/>
      <c r="CP247" s="53" t="n"/>
      <c r="CQ247" s="53" t="n"/>
      <c r="CR247" s="53" t="n"/>
      <c r="CS247" s="53" t="n"/>
      <c r="CT247" s="53" t="n"/>
      <c r="CU247" s="53" t="n"/>
      <c r="CV247" s="53" t="n"/>
      <c r="CW247" s="53" t="n"/>
      <c r="CX247" s="53" t="n"/>
      <c r="CY247" s="53" t="n"/>
      <c r="CZ247" s="53" t="n"/>
      <c r="DA247" s="53" t="n"/>
      <c r="DB247" s="53" t="n"/>
      <c r="DC247" s="53" t="n"/>
      <c r="DD247" s="53" t="inlineStr">
        <is>
          <t>IRIS1710</t>
        </is>
      </c>
      <c r="DE247" s="53" t="inlineStr">
        <is>
          <t>Employee</t>
        </is>
      </c>
      <c r="DF247" s="53" t="inlineStr">
        <is>
          <t>Active</t>
        </is>
      </c>
      <c r="DG247" s="53" t="inlineStr">
        <is>
          <t>John Mariakulandai</t>
        </is>
      </c>
      <c r="DH247" s="54" t="n">
        <v>43150</v>
      </c>
      <c r="DI247" s="53" t="inlineStr">
        <is>
          <t>Data Analyst</t>
        </is>
      </c>
      <c r="DJ247" s="53" t="inlineStr">
        <is>
          <t>Consulting &amp; Professional Services</t>
        </is>
      </c>
      <c r="DK247" s="53" t="inlineStr">
        <is>
          <t>Regulatory Content</t>
        </is>
      </c>
      <c r="DL247" s="53" t="inlineStr">
        <is>
          <t>Data Analyst</t>
        </is>
      </c>
      <c r="DM247" s="53" t="inlineStr">
        <is>
          <t>L3 – Professional / Associate</t>
        </is>
      </c>
      <c r="DN247" s="53" t="inlineStr">
        <is>
          <t>B.Com</t>
        </is>
      </c>
      <c r="DO247" s="53" t="inlineStr">
        <is>
          <t>Gopal Krishna Sahu</t>
        </is>
      </c>
      <c r="DP247" s="53" t="inlineStr">
        <is>
          <t>N-3</t>
        </is>
      </c>
      <c r="DQ247" s="53" t="inlineStr">
        <is>
          <t>Individual Contributor</t>
        </is>
      </c>
      <c r="DR247" s="53" t="inlineStr">
        <is>
          <t>8 years, 9 months, 0 days</t>
        </is>
      </c>
      <c r="DS247" s="53" t="inlineStr">
        <is>
          <t>8 years, 4 months, 1 days</t>
        </is>
      </c>
      <c r="DT247" s="53" t="inlineStr">
        <is>
          <t>17 years, 1 months, 1 days</t>
        </is>
      </c>
      <c r="DU247" s="53" t="n"/>
      <c r="DV247" s="53" t="inlineStr">
        <is>
          <t>Consume</t>
        </is>
      </c>
      <c r="DW247" s="53" t="inlineStr">
        <is>
          <t>Consume</t>
        </is>
      </c>
      <c r="DX247" s="53" t="inlineStr">
        <is>
          <t>India Content</t>
        </is>
      </c>
      <c r="DY247" s="53" t="inlineStr">
        <is>
          <t>Expert Assisted services</t>
        </is>
      </c>
      <c r="DZ247" s="53" t="inlineStr">
        <is>
          <t>No</t>
        </is>
      </c>
      <c r="EA247" s="53" t="inlineStr">
        <is>
          <t>Professional Services</t>
        </is>
      </c>
      <c r="EB247" s="53" t="inlineStr">
        <is>
          <t>Data Processing</t>
        </is>
      </c>
      <c r="EC247" s="53" t="inlineStr">
        <is>
          <t>Non-technical</t>
        </is>
      </c>
      <c r="ED247" s="53" t="inlineStr">
        <is>
          <t>Remote - Mumbai</t>
        </is>
      </c>
      <c r="EE247" s="53" t="inlineStr">
        <is>
          <t>1.Collect data from all assigned sources · AMC, Amfi,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EF247" s="53"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EG247" s="53"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EH247" s="53" t="n">
        <v>3</v>
      </c>
      <c r="EI247" s="54" t="n">
        <v>45933</v>
      </c>
      <c r="EJ247" s="53" t="inlineStr">
        <is>
          <t>Data Analyst</t>
        </is>
      </c>
      <c r="EK247" s="53" t="inlineStr">
        <is>
          <t>No</t>
        </is>
      </c>
      <c r="EL247" s="53" t="n">
        <v>3</v>
      </c>
      <c r="EM247" s="53" t="inlineStr">
        <is>
          <t>Medium</t>
        </is>
      </c>
      <c r="EN247" s="53" t="inlineStr">
        <is>
          <t>High Impact / Growth Talent</t>
        </is>
      </c>
      <c r="EO247" s="53" t="inlineStr">
        <is>
          <t>Yes</t>
        </is>
      </c>
      <c r="EP247" s="53" t="inlineStr">
        <is>
          <t>Yes</t>
        </is>
      </c>
      <c r="EQ247" s="53" t="inlineStr">
        <is>
          <t>Yes</t>
        </is>
      </c>
      <c r="ER247" s="53" t="inlineStr">
        <is>
          <t>Palani Kumar, Akash Dubey</t>
        </is>
      </c>
      <c r="ES247" s="53" t="inlineStr">
        <is>
          <t>The team needs training for new automation tools.</t>
        </is>
      </c>
      <c r="ET247" s="53" t="inlineStr">
        <is>
          <t>Transition to leadership: people management &amp; delegation, mentoring/coaching, project ownership &amp; stakeholder management, prioritisation under ambiguity, presentation &amp; influence skills</t>
        </is>
      </c>
      <c r="EU247" s="53" t="n"/>
      <c r="EV247" s="53" t="n"/>
      <c r="EW247" s="52" t="n"/>
      <c r="EX247" s="53" t="n"/>
      <c r="EY247" s="53" t="n"/>
      <c r="EZ247" s="53" t="n"/>
      <c r="FA247" s="53" t="n"/>
      <c r="FB247" s="53" t="n"/>
      <c r="FC247" s="53" t="n"/>
      <c r="FD247" s="53" t="n"/>
      <c r="FE247" s="57"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FF247" s="56"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FG247" s="56" t="inlineStr">
        <is>
          <t>1.Collect data from all assigned sources · AMC, Amfi,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FH247" s="56" t="inlineStr">
        <is>
          <t>3</t>
        </is>
      </c>
      <c r="FI247" s="56" t="n"/>
      <c r="FJ247" s="56" t="inlineStr">
        <is>
          <t>Received · manager annual, quarterly, self</t>
        </is>
      </c>
      <c r="FK247" s="56" t="inlineStr">
        <is>
          <t>Talent Mapping · Database Content</t>
        </is>
      </c>
      <c r="FL247" s="56" t="n">
        <v>20</v>
      </c>
      <c r="FM247" s="32" t="inlineStr">
        <is>
          <t>Full survey answers not in the files received · How We Grow export needed · HR</t>
        </is>
      </c>
      <c r="FN247" s="56" t="inlineStr">
        <is>
          <t>—</t>
        </is>
      </c>
      <c r="FO247" s="56" t="inlineStr">
        <is>
          <t>—</t>
        </is>
      </c>
      <c r="FP247" s="56" t="inlineStr">
        <is>
          <t>—</t>
        </is>
      </c>
      <c r="FQ247" s="56" t="inlineStr">
        <is>
          <t>—</t>
        </is>
      </c>
      <c r="FR247" s="56" t="inlineStr">
        <is>
          <t>Complexity: Evidence reads like A2: Updates mutual fund scheme details daily and sends the feed to the client → matches the start
Autonomy: Evidence reads like A2: Only 'mutual fund data' named; KRA requires escalating discrepancies to seniors → matches the start
Accountability: Evidence reads like A2: Accurate own data to client, who loads it to a portal for transactions → matches the start
Leadership: Evidence reads like A1: No guiding or leading of others described → matches the start
Business Impact: Moved +1: the survey / manager mapping marks it business-critical and it does work no one else does.</t>
        </is>
      </c>
      <c r="FS247" s="56" t="inlineStr">
        <is>
          <t>Common themes in role-holders' answers: data · mutual fund · update · analyzing · responsible · accurate
Common themes in role-holders' answers: data · client · accuracy · delivery · time · market
Common themes in role-holders' answers: mutual fund · client · delivery
Common themes in role-holders' answers: client · data · am · delivery · duties · responsible
Common themes in role-holders' answers: data · independently
If the work is missed · role-holders' themes: incorrect · client · missing · impacts.
Measured on · manager-set KRA themes: business-day response · manual · contribute · delivery time · provide solutions · complete assigned.</t>
        </is>
      </c>
      <c r="FT247" s="56" t="inlineStr">
        <is>
          <t>Self-identified: Answered · no common topic
For the next role: Answered · no common topic</t>
        </is>
      </c>
      <c r="FU247" s="32" t="inlineStr">
        <is>
          <t>Full survey answers not in the files received · How We Grow export needed · HR</t>
        </is>
      </c>
    </row>
    <row r="248" ht="90" customHeight="1">
      <c r="A248" s="51" t="inlineStr">
        <is>
          <t>◂ Back</t>
        </is>
      </c>
      <c r="B248" s="29" t="inlineStr">
        <is>
          <t>Mapped</t>
        </is>
      </c>
      <c r="C248" s="28" t="inlineStr">
        <is>
          <t>Consume</t>
        </is>
      </c>
      <c r="D248" s="29" t="inlineStr">
        <is>
          <t>IRIS0091</t>
        </is>
      </c>
      <c r="E248" s="29" t="inlineStr">
        <is>
          <t>Neelam Kadam</t>
        </is>
      </c>
      <c r="F248" s="29" t="inlineStr">
        <is>
          <t>India Content</t>
        </is>
      </c>
      <c r="G248" s="29" t="inlineStr">
        <is>
          <t>Data Analyst</t>
        </is>
      </c>
      <c r="H248" s="29" t="inlineStr">
        <is>
          <t>Senior Data Analyst</t>
        </is>
      </c>
      <c r="I248" s="29" t="inlineStr">
        <is>
          <t>L3 – Professional / Associate</t>
        </is>
      </c>
      <c r="J248" s="29" t="inlineStr">
        <is>
          <t>A3</t>
        </is>
      </c>
      <c r="K248" s="29" t="inlineStr">
        <is>
          <t>▲ Up</t>
        </is>
      </c>
      <c r="L248" s="29" t="inlineStr">
        <is>
          <t>Data &amp; Analytics</t>
        </is>
      </c>
      <c r="M248" s="29" t="inlineStr">
        <is>
          <t>Financial Data Processing</t>
        </is>
      </c>
      <c r="N248" s="29" t="n"/>
      <c r="O248" s="29" t="n">
        <v>19</v>
      </c>
      <c r="P248" s="28" t="inlineStr">
        <is>
          <t>P2</t>
        </is>
      </c>
      <c r="Q248" s="29" t="inlineStr">
        <is>
          <t>Developing</t>
        </is>
      </c>
      <c r="R248" s="29" t="inlineStr">
        <is>
          <t>3 Apply</t>
        </is>
      </c>
      <c r="S248" s="29" t="inlineStr">
        <is>
          <t>2–4 yrs</t>
        </is>
      </c>
      <c r="T248" s="29" t="inlineStr">
        <is>
          <t>3–5 · 2–5</t>
        </is>
      </c>
      <c r="U248" s="29" t="inlineStr">
        <is>
          <t>Data Analyst</t>
        </is>
      </c>
      <c r="V248" s="29" t="inlineStr">
        <is>
          <t>Atlassian company-wide P-levels: P40 Analyst · IRIS Vs Competitor Benchmark — data analyst ladder: Data Analyst II</t>
        </is>
      </c>
      <c r="W248" s="29" t="inlineStr">
        <is>
          <t>DAMA-DMBOK · 11 knowledge areas around data governance</t>
        </is>
      </c>
      <c r="X248" s="29" t="inlineStr">
        <is>
          <t>Core 2 · Future 2 · Functional 3 · Leadership not scored</t>
        </is>
      </c>
      <c r="Y248" s="52" t="n">
        <v>22</v>
      </c>
      <c r="Z248" s="53" t="inlineStr">
        <is>
          <t>IRIS0091</t>
        </is>
      </c>
      <c r="AA248" s="53" t="inlineStr">
        <is>
          <t>Employee</t>
        </is>
      </c>
      <c r="AB248" s="53" t="inlineStr">
        <is>
          <t>Active</t>
        </is>
      </c>
      <c r="AC248" s="53" t="inlineStr">
        <is>
          <t>Neelam Kadam</t>
        </is>
      </c>
      <c r="AD248" s="54" t="n">
        <v>39217</v>
      </c>
      <c r="AE248" s="53" t="inlineStr">
        <is>
          <t>Data Analyst</t>
        </is>
      </c>
      <c r="AF248" s="53" t="inlineStr">
        <is>
          <t>B.Com</t>
        </is>
      </c>
      <c r="AG248" s="53" t="inlineStr">
        <is>
          <t>Gopal Krishna Sahu</t>
        </is>
      </c>
      <c r="AH248" s="53" t="inlineStr">
        <is>
          <t>N-4</t>
        </is>
      </c>
      <c r="AI248" s="53" t="inlineStr">
        <is>
          <t>Individual Contributor</t>
        </is>
      </c>
      <c r="AJ248" s="53" t="inlineStr">
        <is>
          <t>0 years, 0 months, 0 days</t>
        </is>
      </c>
      <c r="AK248" s="53" t="inlineStr">
        <is>
          <t>19 years, 3 months, 10 days</t>
        </is>
      </c>
      <c r="AL248" s="53" t="inlineStr">
        <is>
          <t>Consume</t>
        </is>
      </c>
      <c r="AM248" s="53" t="inlineStr">
        <is>
          <t>Consume</t>
        </is>
      </c>
      <c r="AN248" s="53" t="inlineStr">
        <is>
          <t>India Content</t>
        </is>
      </c>
      <c r="AO248" s="53" t="inlineStr">
        <is>
          <t>Expert Assisted services</t>
        </is>
      </c>
      <c r="AP248" s="53" t="inlineStr">
        <is>
          <t>No</t>
        </is>
      </c>
      <c r="AQ248" s="53" t="inlineStr">
        <is>
          <t>Professional Services</t>
        </is>
      </c>
      <c r="AR248" s="53" t="inlineStr">
        <is>
          <t>Data Processing</t>
        </is>
      </c>
      <c r="AS248" s="53" t="inlineStr">
        <is>
          <t>Non-technical</t>
        </is>
      </c>
      <c r="AT248" s="53" t="n">
        <v>20</v>
      </c>
      <c r="AU248" s="53" t="inlineStr">
        <is>
          <t>Covered</t>
        </is>
      </c>
      <c r="AV248" s="53" t="n"/>
      <c r="AW248" s="53" t="n"/>
      <c r="AX248" s="53" t="n"/>
      <c r="AY248" s="53" t="n"/>
      <c r="AZ248" s="53" t="n"/>
      <c r="BA248" s="53" t="n"/>
      <c r="BB248" s="53" t="n"/>
      <c r="BC248" s="53" t="n"/>
      <c r="BD248" s="53" t="n"/>
      <c r="BE248" s="53" t="n"/>
      <c r="BF248" s="53" t="n"/>
      <c r="BG248" s="53" t="n"/>
      <c r="BH248" s="53" t="n"/>
      <c r="BI248" s="53" t="n"/>
      <c r="BJ248" s="53" t="n"/>
      <c r="BK248" s="53" t="n"/>
      <c r="BL248" s="53" t="n"/>
      <c r="BM248" s="53" t="n"/>
      <c r="BN248" s="53" t="n"/>
      <c r="BO248" s="53" t="n"/>
      <c r="BP248" s="53" t="n"/>
      <c r="BQ248" s="53" t="n"/>
      <c r="BR248" s="53" t="n"/>
      <c r="BS248" s="53" t="n"/>
      <c r="BT248" s="53" t="n"/>
      <c r="BU248" s="53" t="n"/>
      <c r="BV248" s="53" t="n"/>
      <c r="BW248" s="53" t="n"/>
      <c r="BX248" s="53" t="n"/>
      <c r="BY248" s="53" t="n"/>
      <c r="BZ248" s="53" t="n"/>
      <c r="CA248" s="53" t="n"/>
      <c r="CB248" s="53" t="n"/>
      <c r="CC248" s="53" t="n"/>
      <c r="CD248" s="53" t="n"/>
      <c r="CE248" s="53" t="n"/>
      <c r="CF248" s="53" t="n"/>
      <c r="CG248" s="53" t="n"/>
      <c r="CH248" s="53" t="n"/>
      <c r="CI248" s="53" t="n"/>
      <c r="CJ248" s="53" t="n"/>
      <c r="CK248" s="53" t="n"/>
      <c r="CL248" s="53" t="n"/>
      <c r="CM248" s="53" t="n"/>
      <c r="CN248" s="53" t="n"/>
      <c r="CO248" s="53" t="n"/>
      <c r="CP248" s="53" t="n"/>
      <c r="CQ248" s="53" t="n"/>
      <c r="CR248" s="53" t="n"/>
      <c r="CS248" s="53" t="n"/>
      <c r="CT248" s="53" t="n"/>
      <c r="CU248" s="53" t="n"/>
      <c r="CV248" s="53" t="n"/>
      <c r="CW248" s="53" t="n"/>
      <c r="CX248" s="53" t="n"/>
      <c r="CY248" s="53" t="n"/>
      <c r="CZ248" s="53" t="n"/>
      <c r="DA248" s="53" t="n"/>
      <c r="DB248" s="53" t="n"/>
      <c r="DC248" s="53" t="n"/>
      <c r="DD248" s="53" t="inlineStr">
        <is>
          <t>IRIS0091</t>
        </is>
      </c>
      <c r="DE248" s="53" t="inlineStr">
        <is>
          <t>Employee</t>
        </is>
      </c>
      <c r="DF248" s="53" t="inlineStr">
        <is>
          <t>Active</t>
        </is>
      </c>
      <c r="DG248" s="53" t="inlineStr">
        <is>
          <t>Neelam Kadam</t>
        </is>
      </c>
      <c r="DH248" s="54" t="n">
        <v>39217</v>
      </c>
      <c r="DI248" s="53" t="inlineStr">
        <is>
          <t>Data Analyst</t>
        </is>
      </c>
      <c r="DJ248" s="53" t="inlineStr">
        <is>
          <t>Consulting &amp; Professional Services</t>
        </is>
      </c>
      <c r="DK248" s="53" t="inlineStr">
        <is>
          <t>Regulatory Content</t>
        </is>
      </c>
      <c r="DL248" s="53" t="inlineStr">
        <is>
          <t>Data Analyst</t>
        </is>
      </c>
      <c r="DM248" s="53" t="inlineStr">
        <is>
          <t>L3 – Professional / Associate</t>
        </is>
      </c>
      <c r="DN248" s="53" t="inlineStr">
        <is>
          <t>MBA</t>
        </is>
      </c>
      <c r="DO248" s="53" t="inlineStr">
        <is>
          <t>Gopal Krishna Sahu</t>
        </is>
      </c>
      <c r="DP248" s="53" t="inlineStr">
        <is>
          <t>N-3</t>
        </is>
      </c>
      <c r="DQ248" s="53" t="inlineStr">
        <is>
          <t>Individual Contributor</t>
        </is>
      </c>
      <c r="DR248" s="53" t="inlineStr">
        <is>
          <t>0 years, 0 months, 0 days</t>
        </is>
      </c>
      <c r="DS248" s="53" t="inlineStr">
        <is>
          <t>19 years, 1 months, 5 days</t>
        </is>
      </c>
      <c r="DT248" s="53" t="inlineStr">
        <is>
          <t>19 years, 1 months, 5 days</t>
        </is>
      </c>
      <c r="DU248" s="53" t="n"/>
      <c r="DV248" s="53" t="inlineStr">
        <is>
          <t>Consume</t>
        </is>
      </c>
      <c r="DW248" s="53" t="inlineStr">
        <is>
          <t>Consume</t>
        </is>
      </c>
      <c r="DX248" s="53" t="inlineStr">
        <is>
          <t>India Content</t>
        </is>
      </c>
      <c r="DY248" s="53" t="inlineStr">
        <is>
          <t>Expert Assisted services</t>
        </is>
      </c>
      <c r="DZ248" s="53" t="inlineStr">
        <is>
          <t>No</t>
        </is>
      </c>
      <c r="EA248" s="53" t="inlineStr">
        <is>
          <t>Professional Services</t>
        </is>
      </c>
      <c r="EB248" s="53" t="inlineStr">
        <is>
          <t>Data Processing</t>
        </is>
      </c>
      <c r="EC248" s="53" t="inlineStr">
        <is>
          <t>Non-technical</t>
        </is>
      </c>
      <c r="ED248" s="53" t="inlineStr">
        <is>
          <t>Remote - Mumbai</t>
        </is>
      </c>
      <c r="EE248" s="53" t="inlineStr">
        <is>
          <t>1.Collect data from all assigned sources · AMC, Amfi,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EF248" s="53"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EG248" s="53"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EH248" s="53" t="n">
        <v>2</v>
      </c>
      <c r="EI248" s="54" t="n">
        <v>45933</v>
      </c>
      <c r="EJ248" s="53" t="inlineStr">
        <is>
          <t>Data Analyst</t>
        </is>
      </c>
      <c r="EK248" s="53" t="inlineStr">
        <is>
          <t>No</t>
        </is>
      </c>
      <c r="EL248" s="53" t="n">
        <v>2</v>
      </c>
      <c r="EM248" s="53" t="inlineStr">
        <is>
          <t>Medium</t>
        </is>
      </c>
      <c r="EN248" s="53" t="inlineStr">
        <is>
          <t>Trusted Professional</t>
        </is>
      </c>
      <c r="EO248" s="53" t="inlineStr">
        <is>
          <t>Yes</t>
        </is>
      </c>
      <c r="EP248" s="53" t="inlineStr">
        <is>
          <t>Yes</t>
        </is>
      </c>
      <c r="EQ248" s="53" t="inlineStr">
        <is>
          <t>Yes</t>
        </is>
      </c>
      <c r="ER248" s="53" t="inlineStr">
        <is>
          <t>Palani Kumar, Virendra Borkar</t>
        </is>
      </c>
      <c r="ES248" s="53" t="inlineStr">
        <is>
          <t>The team needs training for new automation tools.</t>
        </is>
      </c>
      <c r="ET248" s="53" t="inlineStr">
        <is>
          <t>Transition to leadership: people management &amp; delegation, mentoring/coaching, project ownership &amp; stakeholder management, prioritisation under ambiguity, presentation &amp; influence skills</t>
        </is>
      </c>
      <c r="EU248" s="53" t="n"/>
      <c r="EV248" s="53" t="n"/>
      <c r="EW248" s="52" t="n"/>
      <c r="EX248" s="53" t="n"/>
      <c r="EY248" s="53" t="n"/>
      <c r="EZ248" s="53" t="n"/>
      <c r="FA248" s="53" t="n"/>
      <c r="FB248" s="53" t="n"/>
      <c r="FC248" s="53" t="n"/>
      <c r="FD248" s="53" t="n"/>
      <c r="FE248" s="57"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FF248" s="56"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FG248" s="56" t="inlineStr">
        <is>
          <t>1.Collect data from all assigned sources · AMC, Amfi,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FH248" s="56" t="inlineStr">
        <is>
          <t>2</t>
        </is>
      </c>
      <c r="FI248" s="56" t="n"/>
      <c r="FJ248" s="56" t="inlineStr">
        <is>
          <t>Received · manager annual, quarterly, self</t>
        </is>
      </c>
      <c r="FK248" s="56" t="inlineStr">
        <is>
          <t>Talent Mapping · Database Content</t>
        </is>
      </c>
      <c r="FL248" s="56" t="n">
        <v>19</v>
      </c>
      <c r="FM248" s="32" t="inlineStr">
        <is>
          <t>Full survey answers not in the files received · How We Grow export needed · HR</t>
        </is>
      </c>
      <c r="FN248" s="56" t="inlineStr">
        <is>
          <t>—</t>
        </is>
      </c>
      <c r="FO248" s="56" t="inlineStr">
        <is>
          <t>—</t>
        </is>
      </c>
      <c r="FP248" s="56" t="inlineStr">
        <is>
          <t>—</t>
        </is>
      </c>
      <c r="FQ248" s="56" t="inlineStr">
        <is>
          <t>—</t>
        </is>
      </c>
      <c r="FR248" s="56"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Moved +0.5: the survey / manager mapping marks it business-critical.</t>
        </is>
      </c>
      <c r="FS248" s="56" t="inlineStr">
        <is>
          <t>Common themes in role-holders' answers: data · mutual fund · update · analyzing · responsible · accurate
Common themes in role-holders' answers: data · client · accuracy · delivery · time · market
Common themes in role-holders' answers: mutual fund · client · delivery
Common themes in role-holders' answers: client · data · am · delivery · duties · responsible
Common themes in role-holders' answers: data · independently
If the work is missed · role-holders' themes: incorrect · client · missing · impacts.
Measured on · manager-set KRA themes: business-day response · manual · contribute · delivery time · provide solutions · complete assigned.</t>
        </is>
      </c>
      <c r="FT248" s="56" t="inlineStr">
        <is>
          <t>Self-identified: Client, sales &amp; stakeholders
For the next role: Client, sales &amp; stakeholders</t>
        </is>
      </c>
      <c r="FU248" s="32" t="inlineStr">
        <is>
          <t>Full survey answers not in the files received · How We Grow export needed · HR</t>
        </is>
      </c>
    </row>
    <row r="249" ht="90" customHeight="1">
      <c r="A249" s="51" t="inlineStr">
        <is>
          <t>◂ Back</t>
        </is>
      </c>
      <c r="B249" s="29" t="inlineStr">
        <is>
          <t>Mapped</t>
        </is>
      </c>
      <c r="C249" s="28" t="inlineStr">
        <is>
          <t>Consume</t>
        </is>
      </c>
      <c r="D249" s="29" t="inlineStr">
        <is>
          <t>IRIS0065</t>
        </is>
      </c>
      <c r="E249" s="29" t="inlineStr">
        <is>
          <t>Nishikant Mhatre</t>
        </is>
      </c>
      <c r="F249" s="29" t="inlineStr">
        <is>
          <t>India Content</t>
        </is>
      </c>
      <c r="G249" s="29" t="inlineStr">
        <is>
          <t>Data Analyst</t>
        </is>
      </c>
      <c r="H249" s="29" t="inlineStr">
        <is>
          <t>Senior Data Analyst</t>
        </is>
      </c>
      <c r="I249" s="29" t="inlineStr">
        <is>
          <t>L3 – Professional / Associate</t>
        </is>
      </c>
      <c r="J249" s="29" t="inlineStr">
        <is>
          <t>A3</t>
        </is>
      </c>
      <c r="K249" s="29" t="inlineStr">
        <is>
          <t>▲ Up</t>
        </is>
      </c>
      <c r="L249" s="29" t="inlineStr">
        <is>
          <t>Data &amp; Analytics</t>
        </is>
      </c>
      <c r="M249" s="29" t="inlineStr">
        <is>
          <t>Financial Data Processing</t>
        </is>
      </c>
      <c r="N249" s="29" t="n"/>
      <c r="O249" s="29" t="n">
        <v>20</v>
      </c>
      <c r="P249" s="28" t="inlineStr">
        <is>
          <t>P2</t>
        </is>
      </c>
      <c r="Q249" s="29" t="inlineStr">
        <is>
          <t>Developing</t>
        </is>
      </c>
      <c r="R249" s="29" t="inlineStr">
        <is>
          <t>3 Apply</t>
        </is>
      </c>
      <c r="S249" s="29" t="inlineStr">
        <is>
          <t>2–4 yrs</t>
        </is>
      </c>
      <c r="T249" s="29" t="inlineStr">
        <is>
          <t>3–5 · 2–5</t>
        </is>
      </c>
      <c r="U249" s="29" t="inlineStr">
        <is>
          <t>Data Analyst</t>
        </is>
      </c>
      <c r="V249" s="29" t="inlineStr">
        <is>
          <t>Atlassian company-wide P-levels: P40 Analyst · IRIS Vs Competitor Benchmark — data analyst ladder: Data Analyst II</t>
        </is>
      </c>
      <c r="W249" s="29" t="inlineStr">
        <is>
          <t>DAMA-DMBOK · 11 knowledge areas around data governance</t>
        </is>
      </c>
      <c r="X249" s="29" t="inlineStr">
        <is>
          <t>Core 2 · Future 2 · Functional 3 · Leadership not scored</t>
        </is>
      </c>
      <c r="Y249" s="52" t="n">
        <v>20</v>
      </c>
      <c r="Z249" s="53" t="inlineStr">
        <is>
          <t>IRIS0065</t>
        </is>
      </c>
      <c r="AA249" s="53" t="inlineStr">
        <is>
          <t>Employee</t>
        </is>
      </c>
      <c r="AB249" s="53" t="inlineStr">
        <is>
          <t>Active</t>
        </is>
      </c>
      <c r="AC249" s="53" t="inlineStr">
        <is>
          <t>Nishikant Mhatre</t>
        </is>
      </c>
      <c r="AD249" s="54" t="n">
        <v>39097</v>
      </c>
      <c r="AE249" s="53" t="inlineStr">
        <is>
          <t>Data Analyst</t>
        </is>
      </c>
      <c r="AF249" s="53" t="inlineStr">
        <is>
          <t>B.Com</t>
        </is>
      </c>
      <c r="AG249" s="53" t="inlineStr">
        <is>
          <t>Gopal Krishna Sahu</t>
        </is>
      </c>
      <c r="AH249" s="53" t="inlineStr">
        <is>
          <t>N-4</t>
        </is>
      </c>
      <c r="AI249" s="53" t="inlineStr">
        <is>
          <t>Individual Contributor</t>
        </is>
      </c>
      <c r="AJ249" s="53" t="inlineStr">
        <is>
          <t>11 years, 0 months, 0 days</t>
        </is>
      </c>
      <c r="AK249" s="53" t="inlineStr">
        <is>
          <t>19 years, 7 months, 10 days</t>
        </is>
      </c>
      <c r="AL249" s="53" t="inlineStr">
        <is>
          <t>Consume</t>
        </is>
      </c>
      <c r="AM249" s="53" t="inlineStr">
        <is>
          <t>Consume</t>
        </is>
      </c>
      <c r="AN249" s="53" t="inlineStr">
        <is>
          <t>India Content</t>
        </is>
      </c>
      <c r="AO249" s="53" t="inlineStr">
        <is>
          <t>Expert Assisted services</t>
        </is>
      </c>
      <c r="AP249" s="53" t="inlineStr">
        <is>
          <t>No</t>
        </is>
      </c>
      <c r="AQ249" s="53" t="inlineStr">
        <is>
          <t>Professional Services</t>
        </is>
      </c>
      <c r="AR249" s="53" t="inlineStr">
        <is>
          <t>Data Processing</t>
        </is>
      </c>
      <c r="AS249" s="53" t="inlineStr">
        <is>
          <t>Non-technical</t>
        </is>
      </c>
      <c r="AT249" s="53" t="n">
        <v>20</v>
      </c>
      <c r="AU249" s="53" t="inlineStr">
        <is>
          <t>Covered</t>
        </is>
      </c>
      <c r="AV249" s="53" t="n"/>
      <c r="AW249" s="53" t="n"/>
      <c r="AX249" s="53" t="n"/>
      <c r="AY249" s="53" t="n"/>
      <c r="AZ249" s="53" t="n"/>
      <c r="BA249" s="53" t="n"/>
      <c r="BB249" s="53" t="n"/>
      <c r="BC249" s="53" t="n"/>
      <c r="BD249" s="53" t="n"/>
      <c r="BE249" s="53" t="n"/>
      <c r="BF249" s="53" t="n"/>
      <c r="BG249" s="53" t="n"/>
      <c r="BH249" s="53" t="n"/>
      <c r="BI249" s="53" t="n"/>
      <c r="BJ249" s="53" t="n"/>
      <c r="BK249" s="53" t="n"/>
      <c r="BL249" s="53" t="n"/>
      <c r="BM249" s="53" t="n"/>
      <c r="BN249" s="53" t="n"/>
      <c r="BO249" s="53" t="n"/>
      <c r="BP249" s="53" t="n"/>
      <c r="BQ249" s="53" t="n"/>
      <c r="BR249" s="53" t="n"/>
      <c r="BS249" s="53" t="n"/>
      <c r="BT249" s="53" t="n"/>
      <c r="BU249" s="53" t="n"/>
      <c r="BV249" s="53" t="n"/>
      <c r="BW249" s="53" t="n"/>
      <c r="BX249" s="53" t="n"/>
      <c r="BY249" s="53" t="n"/>
      <c r="BZ249" s="53" t="n"/>
      <c r="CA249" s="53" t="n"/>
      <c r="CB249" s="53" t="n"/>
      <c r="CC249" s="53" t="n"/>
      <c r="CD249" s="53" t="n"/>
      <c r="CE249" s="53" t="n"/>
      <c r="CF249" s="53" t="n"/>
      <c r="CG249" s="53" t="n"/>
      <c r="CH249" s="53" t="n"/>
      <c r="CI249" s="53" t="n"/>
      <c r="CJ249" s="53" t="n"/>
      <c r="CK249" s="53" t="n"/>
      <c r="CL249" s="53" t="n"/>
      <c r="CM249" s="53" t="n"/>
      <c r="CN249" s="53" t="n"/>
      <c r="CO249" s="53" t="n"/>
      <c r="CP249" s="53" t="n"/>
      <c r="CQ249" s="53" t="n"/>
      <c r="CR249" s="53" t="n"/>
      <c r="CS249" s="53" t="n"/>
      <c r="CT249" s="53" t="n"/>
      <c r="CU249" s="53" t="n"/>
      <c r="CV249" s="53" t="n"/>
      <c r="CW249" s="53" t="n"/>
      <c r="CX249" s="53" t="n"/>
      <c r="CY249" s="53" t="n"/>
      <c r="CZ249" s="53" t="n"/>
      <c r="DA249" s="53" t="n"/>
      <c r="DB249" s="53" t="n"/>
      <c r="DC249" s="53" t="n"/>
      <c r="DD249" s="53" t="inlineStr">
        <is>
          <t>IRIS0065</t>
        </is>
      </c>
      <c r="DE249" s="53" t="inlineStr">
        <is>
          <t>Employee</t>
        </is>
      </c>
      <c r="DF249" s="53" t="inlineStr">
        <is>
          <t>Active</t>
        </is>
      </c>
      <c r="DG249" s="53" t="inlineStr">
        <is>
          <t>Nishikant Mhatre</t>
        </is>
      </c>
      <c r="DH249" s="54" t="n">
        <v>39097</v>
      </c>
      <c r="DI249" s="53" t="inlineStr">
        <is>
          <t>Data Analyst</t>
        </is>
      </c>
      <c r="DJ249" s="53" t="inlineStr">
        <is>
          <t>Consulting &amp; Professional Services</t>
        </is>
      </c>
      <c r="DK249" s="53" t="inlineStr">
        <is>
          <t>Regulatory Content</t>
        </is>
      </c>
      <c r="DL249" s="53" t="inlineStr">
        <is>
          <t>Data Analyst</t>
        </is>
      </c>
      <c r="DM249" s="53" t="inlineStr">
        <is>
          <t>L3 – Professional / Associate</t>
        </is>
      </c>
      <c r="DN249" s="53" t="inlineStr">
        <is>
          <t>B.Com</t>
        </is>
      </c>
      <c r="DO249" s="53" t="inlineStr">
        <is>
          <t>Gopal Krishna Sahu</t>
        </is>
      </c>
      <c r="DP249" s="53" t="inlineStr">
        <is>
          <t>N-3</t>
        </is>
      </c>
      <c r="DQ249" s="53" t="inlineStr">
        <is>
          <t>Individual Contributor</t>
        </is>
      </c>
      <c r="DR249" s="53" t="inlineStr">
        <is>
          <t>11 years, 0 months, 0 days</t>
        </is>
      </c>
      <c r="DS249" s="53" t="inlineStr">
        <is>
          <t>19 years, 5 months, 5 days</t>
        </is>
      </c>
      <c r="DT249" s="53" t="inlineStr">
        <is>
          <t>30 years, 5 months, 5 days</t>
        </is>
      </c>
      <c r="DU249" s="53" t="n"/>
      <c r="DV249" s="53" t="inlineStr">
        <is>
          <t>Consume</t>
        </is>
      </c>
      <c r="DW249" s="53" t="inlineStr">
        <is>
          <t>Consume</t>
        </is>
      </c>
      <c r="DX249" s="53" t="inlineStr">
        <is>
          <t>India Content</t>
        </is>
      </c>
      <c r="DY249" s="53" t="inlineStr">
        <is>
          <t>Expert Assisted services</t>
        </is>
      </c>
      <c r="DZ249" s="53" t="inlineStr">
        <is>
          <t>No</t>
        </is>
      </c>
      <c r="EA249" s="53" t="inlineStr">
        <is>
          <t>Professional Services</t>
        </is>
      </c>
      <c r="EB249" s="53" t="inlineStr">
        <is>
          <t>Data Processing</t>
        </is>
      </c>
      <c r="EC249" s="53" t="inlineStr">
        <is>
          <t>Non-technical</t>
        </is>
      </c>
      <c r="ED249" s="53" t="inlineStr">
        <is>
          <t>Remote- Outside Mumbai</t>
        </is>
      </c>
      <c r="EE249" s="53" t="inlineStr">
        <is>
          <t>1.Collect data from all assigned sources ·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EF249" s="53"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EG249" s="53"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EH249" s="53" t="n">
        <v>3</v>
      </c>
      <c r="EI249" s="54" t="n">
        <v>45933</v>
      </c>
      <c r="EJ249" s="53" t="inlineStr">
        <is>
          <t>Data Analyst</t>
        </is>
      </c>
      <c r="EK249" s="53" t="inlineStr">
        <is>
          <t>No</t>
        </is>
      </c>
      <c r="EL249" s="53" t="n">
        <v>3</v>
      </c>
      <c r="EM249" s="53" t="inlineStr">
        <is>
          <t>Medium</t>
        </is>
      </c>
      <c r="EN249" s="53" t="inlineStr">
        <is>
          <t>Trusted Professional</t>
        </is>
      </c>
      <c r="EO249" s="53" t="inlineStr">
        <is>
          <t>Yes</t>
        </is>
      </c>
      <c r="EP249" s="53" t="inlineStr">
        <is>
          <t>No</t>
        </is>
      </c>
      <c r="EQ249" s="53" t="inlineStr">
        <is>
          <t>Yes</t>
        </is>
      </c>
      <c r="ER249" s="53" t="inlineStr">
        <is>
          <t>Virendra Borkar</t>
        </is>
      </c>
      <c r="ES249" s="53" t="inlineStr">
        <is>
          <t>The team needs training for new automation tools.</t>
        </is>
      </c>
      <c r="ET249" s="53" t="inlineStr">
        <is>
          <t>Transition to leadership: people management &amp; delegation, mentoring/coaching, project ownership &amp; stakeholder management, prioritisation under ambiguity, presentation &amp; influence skills</t>
        </is>
      </c>
      <c r="EU249" s="53" t="n"/>
      <c r="EV249" s="53" t="n"/>
      <c r="EW249" s="52" t="n"/>
      <c r="EX249" s="53" t="n"/>
      <c r="EY249" s="53" t="n"/>
      <c r="EZ249" s="53" t="n"/>
      <c r="FA249" s="53" t="n"/>
      <c r="FB249" s="53" t="n"/>
      <c r="FC249" s="53" t="n"/>
      <c r="FD249" s="53" t="n"/>
      <c r="FE249" s="57"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FF249" s="56"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FG249" s="56" t="inlineStr">
        <is>
          <t>1.Collect data from all assigned sources ·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FH249" s="56" t="inlineStr">
        <is>
          <t>3</t>
        </is>
      </c>
      <c r="FI249" s="56" t="n"/>
      <c r="FJ249" s="56" t="inlineStr">
        <is>
          <t>Received · manager annual, quarterly, self</t>
        </is>
      </c>
      <c r="FK249" s="56" t="inlineStr">
        <is>
          <t>Talent Mapping · Database Content</t>
        </is>
      </c>
      <c r="FL249" s="56" t="n">
        <v>20</v>
      </c>
      <c r="FM249" s="32" t="inlineStr">
        <is>
          <t>Full survey answers not in the files received · How We Grow export needed · HR</t>
        </is>
      </c>
      <c r="FN249" s="56" t="inlineStr">
        <is>
          <t>—</t>
        </is>
      </c>
      <c r="FO249" s="56" t="inlineStr">
        <is>
          <t>—</t>
        </is>
      </c>
      <c r="FP249" s="56" t="inlineStr">
        <is>
          <t>—</t>
        </is>
      </c>
      <c r="FQ249" s="56" t="inlineStr">
        <is>
          <t>—</t>
        </is>
      </c>
      <c r="FR249" s="56"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Moved +0.5: the survey / manager mapping marks it business-critical.</t>
        </is>
      </c>
      <c r="FS249" s="56" t="inlineStr">
        <is>
          <t>Common themes in role-holders' answers: data · mutual fund · update · analyzing · responsible · accurate
Common themes in role-holders' answers: data · client · accuracy · delivery · time · market
Common themes in role-holders' answers: mutual fund · client · delivery
Common themes in role-holders' answers: client · data · am · delivery · duties · responsible
Common themes in role-holders' answers: data · independently
If the work is missed · role-holders' themes: incorrect · client · missing · impacts.
Measured on · manager-set KRA themes: business-day response · manual · contribute · delivery time · provide solutions · complete assigned.</t>
        </is>
      </c>
      <c r="FT249" s="56" t="inlineStr">
        <is>
          <t>Self-identified: Answered · no common topic
For the next role: Answered · no common topic</t>
        </is>
      </c>
      <c r="FU249" s="32" t="inlineStr">
        <is>
          <t>Full survey answers not in the files received · How We Grow export needed · HR</t>
        </is>
      </c>
    </row>
    <row r="250" ht="90" customHeight="1">
      <c r="A250" s="51" t="inlineStr">
        <is>
          <t>◂ Back</t>
        </is>
      </c>
      <c r="B250" s="29" t="inlineStr">
        <is>
          <t>Mapped</t>
        </is>
      </c>
      <c r="C250" s="28" t="inlineStr">
        <is>
          <t>Consume</t>
        </is>
      </c>
      <c r="D250" s="29" t="inlineStr">
        <is>
          <t>IRIS0292</t>
        </is>
      </c>
      <c r="E250" s="29" t="inlineStr">
        <is>
          <t>Palanikumar Mooppanar</t>
        </is>
      </c>
      <c r="F250" s="29" t="inlineStr">
        <is>
          <t>India Content</t>
        </is>
      </c>
      <c r="G250" s="29" t="inlineStr">
        <is>
          <t>Data Analyst</t>
        </is>
      </c>
      <c r="H250" s="29" t="inlineStr">
        <is>
          <t>Senior Data Analyst</t>
        </is>
      </c>
      <c r="I250" s="29" t="inlineStr">
        <is>
          <t>L3 – Professional / Associate</t>
        </is>
      </c>
      <c r="J250" s="29" t="inlineStr">
        <is>
          <t>A3</t>
        </is>
      </c>
      <c r="K250" s="29" t="inlineStr">
        <is>
          <t>▲ Up</t>
        </is>
      </c>
      <c r="L250" s="29" t="inlineStr">
        <is>
          <t>Data &amp; Analytics</t>
        </is>
      </c>
      <c r="M250" s="29" t="inlineStr">
        <is>
          <t>Financial Data Processing</t>
        </is>
      </c>
      <c r="N250" s="29" t="n"/>
      <c r="O250" s="29" t="n">
        <v>20</v>
      </c>
      <c r="P250" s="28" t="inlineStr">
        <is>
          <t>P2</t>
        </is>
      </c>
      <c r="Q250" s="29" t="inlineStr">
        <is>
          <t>Developing</t>
        </is>
      </c>
      <c r="R250" s="29" t="inlineStr">
        <is>
          <t>3 Apply</t>
        </is>
      </c>
      <c r="S250" s="29" t="inlineStr">
        <is>
          <t>2–4 yrs</t>
        </is>
      </c>
      <c r="T250" s="29" t="inlineStr">
        <is>
          <t>3–5 · 2–5</t>
        </is>
      </c>
      <c r="U250" s="29" t="inlineStr">
        <is>
          <t>Data Analyst</t>
        </is>
      </c>
      <c r="V250" s="29" t="inlineStr">
        <is>
          <t>Atlassian company-wide P-levels: P40 Analyst · IRIS Vs Competitor Benchmark — data analyst ladder: Data Analyst II</t>
        </is>
      </c>
      <c r="W250" s="29" t="inlineStr">
        <is>
          <t>DAMA-DMBOK · 11 knowledge areas around data governance</t>
        </is>
      </c>
      <c r="X250" s="29" t="inlineStr">
        <is>
          <t>Core 2 · Future 2 · Functional 3 · Leadership not scored</t>
        </is>
      </c>
      <c r="Y250" s="52" t="n">
        <v>47</v>
      </c>
      <c r="Z250" s="53" t="inlineStr">
        <is>
          <t>IRIS0292</t>
        </is>
      </c>
      <c r="AA250" s="53" t="inlineStr">
        <is>
          <t>Employee</t>
        </is>
      </c>
      <c r="AB250" s="53" t="inlineStr">
        <is>
          <t>Active</t>
        </is>
      </c>
      <c r="AC250" s="53" t="inlineStr">
        <is>
          <t>Palanikumar Mooppanar</t>
        </is>
      </c>
      <c r="AD250" s="54" t="n">
        <v>40098</v>
      </c>
      <c r="AE250" s="53" t="inlineStr">
        <is>
          <t>Data Analyst</t>
        </is>
      </c>
      <c r="AF250" s="53" t="inlineStr">
        <is>
          <t>B.Com</t>
        </is>
      </c>
      <c r="AG250" s="53" t="inlineStr">
        <is>
          <t>Gopal Krishna Sahu</t>
        </is>
      </c>
      <c r="AH250" s="53" t="inlineStr">
        <is>
          <t>N-4</t>
        </is>
      </c>
      <c r="AI250" s="53" t="inlineStr">
        <is>
          <t>Individual Contributor</t>
        </is>
      </c>
      <c r="AJ250" s="53" t="inlineStr">
        <is>
          <t>1 years, 6 months, 0 days</t>
        </is>
      </c>
      <c r="AK250" s="53" t="inlineStr">
        <is>
          <t>16 years, 10 months, 13 days</t>
        </is>
      </c>
      <c r="AL250" s="53" t="inlineStr">
        <is>
          <t>Consume</t>
        </is>
      </c>
      <c r="AM250" s="53" t="inlineStr">
        <is>
          <t>Consume</t>
        </is>
      </c>
      <c r="AN250" s="53" t="inlineStr">
        <is>
          <t>India Content</t>
        </is>
      </c>
      <c r="AO250" s="53" t="inlineStr">
        <is>
          <t>Expert Assisted services</t>
        </is>
      </c>
      <c r="AP250" s="53" t="inlineStr">
        <is>
          <t>No</t>
        </is>
      </c>
      <c r="AQ250" s="53" t="inlineStr">
        <is>
          <t>Professional Services</t>
        </is>
      </c>
      <c r="AR250" s="53" t="inlineStr">
        <is>
          <t>Data Processing</t>
        </is>
      </c>
      <c r="AS250" s="53" t="inlineStr">
        <is>
          <t>Non-technical</t>
        </is>
      </c>
      <c r="AT250" s="53" t="n">
        <v>20</v>
      </c>
      <c r="AU250" s="53" t="inlineStr">
        <is>
          <t>Covered</t>
        </is>
      </c>
      <c r="AV250" s="53" t="n"/>
      <c r="AW250" s="53" t="n"/>
      <c r="AX250" s="53" t="n"/>
      <c r="AY250" s="53" t="n"/>
      <c r="AZ250" s="53" t="n"/>
      <c r="BA250" s="53" t="n"/>
      <c r="BB250" s="53" t="n"/>
      <c r="BC250" s="53" t="n"/>
      <c r="BD250" s="53" t="n"/>
      <c r="BE250" s="53" t="n"/>
      <c r="BF250" s="53" t="n"/>
      <c r="BG250" s="53" t="n"/>
      <c r="BH250" s="53" t="n"/>
      <c r="BI250" s="53" t="n"/>
      <c r="BJ250" s="53" t="n"/>
      <c r="BK250" s="53" t="n"/>
      <c r="BL250" s="53" t="n"/>
      <c r="BM250" s="53" t="n"/>
      <c r="BN250" s="53" t="n"/>
      <c r="BO250" s="53" t="n"/>
      <c r="BP250" s="53" t="n"/>
      <c r="BQ250" s="53" t="n"/>
      <c r="BR250" s="53" t="n"/>
      <c r="BS250" s="53" t="n"/>
      <c r="BT250" s="53" t="n"/>
      <c r="BU250" s="53" t="n"/>
      <c r="BV250" s="53" t="n"/>
      <c r="BW250" s="53" t="n"/>
      <c r="BX250" s="53" t="n"/>
      <c r="BY250" s="53" t="n"/>
      <c r="BZ250" s="53" t="n"/>
      <c r="CA250" s="53" t="n"/>
      <c r="CB250" s="53" t="n"/>
      <c r="CC250" s="53" t="n"/>
      <c r="CD250" s="53" t="n"/>
      <c r="CE250" s="53" t="n"/>
      <c r="CF250" s="53" t="n"/>
      <c r="CG250" s="53" t="n"/>
      <c r="CH250" s="53" t="n"/>
      <c r="CI250" s="53" t="n"/>
      <c r="CJ250" s="53" t="n"/>
      <c r="CK250" s="53" t="n"/>
      <c r="CL250" s="53" t="n"/>
      <c r="CM250" s="53" t="n"/>
      <c r="CN250" s="53" t="n"/>
      <c r="CO250" s="53" t="n"/>
      <c r="CP250" s="53" t="n"/>
      <c r="CQ250" s="53" t="n"/>
      <c r="CR250" s="53" t="n"/>
      <c r="CS250" s="53" t="n"/>
      <c r="CT250" s="53" t="n"/>
      <c r="CU250" s="53" t="n"/>
      <c r="CV250" s="53" t="n"/>
      <c r="CW250" s="53" t="n"/>
      <c r="CX250" s="53" t="n"/>
      <c r="CY250" s="53" t="n"/>
      <c r="CZ250" s="53" t="n"/>
      <c r="DA250" s="53" t="n"/>
      <c r="DB250" s="53" t="n"/>
      <c r="DC250" s="53" t="n"/>
      <c r="DD250" s="53" t="inlineStr">
        <is>
          <t>IRIS0292</t>
        </is>
      </c>
      <c r="DE250" s="53" t="inlineStr">
        <is>
          <t>Employee</t>
        </is>
      </c>
      <c r="DF250" s="53" t="inlineStr">
        <is>
          <t>Active</t>
        </is>
      </c>
      <c r="DG250" s="53" t="inlineStr">
        <is>
          <t>Palani Kumar</t>
        </is>
      </c>
      <c r="DH250" s="54" t="n">
        <v>40098</v>
      </c>
      <c r="DI250" s="53" t="inlineStr">
        <is>
          <t>Data Analyst</t>
        </is>
      </c>
      <c r="DJ250" s="53" t="inlineStr">
        <is>
          <t>Consulting &amp; Professional Services</t>
        </is>
      </c>
      <c r="DK250" s="53" t="inlineStr">
        <is>
          <t>Regulatory Content</t>
        </is>
      </c>
      <c r="DL250" s="53" t="inlineStr">
        <is>
          <t>Data Analyst</t>
        </is>
      </c>
      <c r="DM250" s="53" t="inlineStr">
        <is>
          <t>L3 – Professional / Associate</t>
        </is>
      </c>
      <c r="DN250" s="53" t="inlineStr">
        <is>
          <t>B.Com</t>
        </is>
      </c>
      <c r="DO250" s="53" t="inlineStr">
        <is>
          <t>Gopal Krishna Sahu</t>
        </is>
      </c>
      <c r="DP250" s="53" t="inlineStr">
        <is>
          <t>N-3</t>
        </is>
      </c>
      <c r="DQ250" s="53" t="inlineStr">
        <is>
          <t>Individual Contributor</t>
        </is>
      </c>
      <c r="DR250" s="53" t="inlineStr">
        <is>
          <t>1 years, 6 months, 0 days</t>
        </is>
      </c>
      <c r="DS250" s="53" t="inlineStr">
        <is>
          <t>16 years, 8 months, 8 days</t>
        </is>
      </c>
      <c r="DT250" s="53" t="inlineStr">
        <is>
          <t>18 years, 2 months, 8 days</t>
        </is>
      </c>
      <c r="DU250" s="53" t="n"/>
      <c r="DV250" s="53" t="inlineStr">
        <is>
          <t>Consume</t>
        </is>
      </c>
      <c r="DW250" s="53" t="inlineStr">
        <is>
          <t>Consume</t>
        </is>
      </c>
      <c r="DX250" s="53" t="inlineStr">
        <is>
          <t>India Content</t>
        </is>
      </c>
      <c r="DY250" s="53" t="inlineStr">
        <is>
          <t>Expert Assisted services</t>
        </is>
      </c>
      <c r="DZ250" s="53" t="inlineStr">
        <is>
          <t>No</t>
        </is>
      </c>
      <c r="EA250" s="53" t="inlineStr">
        <is>
          <t>Professional Services</t>
        </is>
      </c>
      <c r="EB250" s="53" t="inlineStr">
        <is>
          <t>Data Processing</t>
        </is>
      </c>
      <c r="EC250" s="53" t="inlineStr">
        <is>
          <t>Non-technical</t>
        </is>
      </c>
      <c r="ED250" s="53" t="inlineStr">
        <is>
          <t>Remote - Mumbai</t>
        </is>
      </c>
      <c r="EE250" s="53" t="inlineStr">
        <is>
          <t>1.Collect data from all assigned sources · AMC, Amfi,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EF250" s="53"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EG250" s="53"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EH250" s="53" t="n">
        <v>4</v>
      </c>
      <c r="EI250" s="54" t="n">
        <v>45933</v>
      </c>
      <c r="EJ250" s="53" t="inlineStr">
        <is>
          <t>Data Analyst Lead</t>
        </is>
      </c>
      <c r="EK250" s="53" t="inlineStr">
        <is>
          <t>No</t>
        </is>
      </c>
      <c r="EL250" s="53" t="n">
        <v>4</v>
      </c>
      <c r="EM250" s="53" t="inlineStr">
        <is>
          <t>High</t>
        </is>
      </c>
      <c r="EN250" s="53" t="inlineStr">
        <is>
          <t>Future Leader</t>
        </is>
      </c>
      <c r="EO250" s="53" t="inlineStr">
        <is>
          <t>Yes</t>
        </is>
      </c>
      <c r="EP250" s="53" t="inlineStr">
        <is>
          <t>Yes</t>
        </is>
      </c>
      <c r="EQ250" s="53" t="inlineStr">
        <is>
          <t>Yes</t>
        </is>
      </c>
      <c r="ER250" s="53" t="inlineStr">
        <is>
          <t>Not Identified</t>
        </is>
      </c>
      <c r="ES250" s="53" t="inlineStr">
        <is>
          <t>The team needs training for new automation tools.</t>
        </is>
      </c>
      <c r="ET250" s="53" t="inlineStr">
        <is>
          <t>Transition to leadership: people management &amp; delegation, mentoring/coaching, project ownership &amp; stakeholder management, prioritisation under ambiguity, presentation &amp; influence skills</t>
        </is>
      </c>
      <c r="EU250" s="53" t="n"/>
      <c r="EV250" s="53" t="n"/>
      <c r="EW250" s="52" t="n"/>
      <c r="EX250" s="53" t="n"/>
      <c r="EY250" s="53" t="n"/>
      <c r="EZ250" s="53" t="n"/>
      <c r="FA250" s="53" t="n"/>
      <c r="FB250" s="53" t="n"/>
      <c r="FC250" s="53" t="n"/>
      <c r="FD250" s="53" t="n"/>
      <c r="FE250" s="57"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FF250" s="56"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FG250" s="56" t="inlineStr">
        <is>
          <t>1.Collect data from all assigned sources · AMC, Amfi,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FH250" s="56" t="inlineStr">
        <is>
          <t>4</t>
        </is>
      </c>
      <c r="FI250" s="56" t="n"/>
      <c r="FJ250" s="56" t="inlineStr">
        <is>
          <t>Received · manager annual, quarterly, self</t>
        </is>
      </c>
      <c r="FK250" s="56" t="inlineStr">
        <is>
          <t>Talent Mapping · Database Content</t>
        </is>
      </c>
      <c r="FL250" s="56" t="n">
        <v>20</v>
      </c>
      <c r="FM250" s="32" t="inlineStr">
        <is>
          <t>Full survey answers not in the files received · How We Grow export needed · HR</t>
        </is>
      </c>
      <c r="FN250" s="56" t="inlineStr">
        <is>
          <t>—</t>
        </is>
      </c>
      <c r="FO250" s="56" t="inlineStr">
        <is>
          <t>—</t>
        </is>
      </c>
      <c r="FP250" s="56" t="inlineStr">
        <is>
          <t>—</t>
        </is>
      </c>
      <c r="FQ250" s="56" t="inlineStr">
        <is>
          <t>—</t>
        </is>
      </c>
      <c r="FR250" s="56" t="inlineStr">
        <is>
          <t>Complexity: Evidence reads like A2: Maintains mutual fund scheme master and NFO scheme data in Access/SQL; validates, resolves errors → matches the start
Autonomy: Evidence reads like A2: Checks and corrects data on own updates; nothing wider described → matches the start
Accountability: Evidence reads like A2: Accuracy and timely delivery of scheme master updates before the effective date → matches the start
Leadership: Evidence reads like A1: No guiding or leading of others described → matches the start
Business Impact: Moved +0.5: the survey / manager mapping marks it business-critical.</t>
        </is>
      </c>
      <c r="FS250" s="56" t="inlineStr">
        <is>
          <t>Common themes in role-holders' answers: data · mutual fund · update · analyzing · responsible · accurate
Common themes in role-holders' answers: data · client · accuracy · delivery · time · market
Common themes in role-holders' answers: mutual fund · client · delivery
Common themes in role-holders' answers: client · data · am · delivery · duties · responsible
Common themes in role-holders' answers: data · independently
If the work is missed · role-holders' themes: incorrect · client · missing · impacts.
Measured on · manager-set KRA themes: business-day response · manual · contribute · delivery time · provide solutions · complete assigned.</t>
        </is>
      </c>
      <c r="FT250" s="56" t="inlineStr">
        <is>
          <t>Self-identified: AI / automation · Leadership &amp; people management · Communication &amp; presentation
For the next role: AI / automation · Leadership &amp; people management · Communication &amp; presentation</t>
        </is>
      </c>
      <c r="FU250" s="32" t="inlineStr">
        <is>
          <t>Full survey answers not in the files received · How We Grow export needed · HR</t>
        </is>
      </c>
    </row>
    <row r="251" ht="90" customHeight="1">
      <c r="A251" s="51" t="inlineStr">
        <is>
          <t>◂ Back</t>
        </is>
      </c>
      <c r="B251" s="29" t="inlineStr">
        <is>
          <t>Mapped</t>
        </is>
      </c>
      <c r="C251" s="28" t="inlineStr">
        <is>
          <t>Consume</t>
        </is>
      </c>
      <c r="D251" s="29" t="inlineStr">
        <is>
          <t>IRIS0009</t>
        </is>
      </c>
      <c r="E251" s="29" t="inlineStr">
        <is>
          <t>Prashant Shelar</t>
        </is>
      </c>
      <c r="F251" s="29" t="inlineStr">
        <is>
          <t>India Content</t>
        </is>
      </c>
      <c r="G251" s="29" t="inlineStr">
        <is>
          <t>Data Analyst</t>
        </is>
      </c>
      <c r="H251" s="29" t="inlineStr">
        <is>
          <t>Senior Data Analyst</t>
        </is>
      </c>
      <c r="I251" s="29" t="inlineStr">
        <is>
          <t>L3 – Professional / Associate</t>
        </is>
      </c>
      <c r="J251" s="29" t="inlineStr">
        <is>
          <t>A3</t>
        </is>
      </c>
      <c r="K251" s="29" t="inlineStr">
        <is>
          <t>▲ Up</t>
        </is>
      </c>
      <c r="L251" s="29" t="inlineStr">
        <is>
          <t>Data &amp; Analytics</t>
        </is>
      </c>
      <c r="M251" s="29" t="inlineStr">
        <is>
          <t>Financial Data Processing</t>
        </is>
      </c>
      <c r="N251" s="29" t="n"/>
      <c r="O251" s="29" t="n">
        <v>20</v>
      </c>
      <c r="P251" s="28" t="inlineStr">
        <is>
          <t>P2</t>
        </is>
      </c>
      <c r="Q251" s="29" t="inlineStr">
        <is>
          <t>Developing</t>
        </is>
      </c>
      <c r="R251" s="29" t="inlineStr">
        <is>
          <t>3 Apply</t>
        </is>
      </c>
      <c r="S251" s="29" t="inlineStr">
        <is>
          <t>2–4 yrs</t>
        </is>
      </c>
      <c r="T251" s="29" t="inlineStr">
        <is>
          <t>3–5 · 2–5</t>
        </is>
      </c>
      <c r="U251" s="29" t="inlineStr">
        <is>
          <t>Data Analyst</t>
        </is>
      </c>
      <c r="V251" s="29" t="inlineStr">
        <is>
          <t>Atlassian company-wide P-levels: P40 Analyst · IRIS Vs Competitor Benchmark — data analyst ladder: Data Analyst II</t>
        </is>
      </c>
      <c r="W251" s="29" t="inlineStr">
        <is>
          <t>DAMA-DMBOK · 11 knowledge areas around data governance</t>
        </is>
      </c>
      <c r="X251" s="29" t="inlineStr">
        <is>
          <t>Core 2 · Future 2 · Functional 3 · Leadership not scored</t>
        </is>
      </c>
      <c r="Y251" s="52" t="n">
        <v>5</v>
      </c>
      <c r="Z251" s="53" t="inlineStr">
        <is>
          <t>IRIS0009</t>
        </is>
      </c>
      <c r="AA251" s="53" t="inlineStr">
        <is>
          <t>Employee</t>
        </is>
      </c>
      <c r="AB251" s="53" t="inlineStr">
        <is>
          <t>Active</t>
        </is>
      </c>
      <c r="AC251" s="53" t="inlineStr">
        <is>
          <t>Prashant Shelar</t>
        </is>
      </c>
      <c r="AD251" s="54" t="n">
        <v>38200</v>
      </c>
      <c r="AE251" s="53" t="inlineStr">
        <is>
          <t>Data Analyst</t>
        </is>
      </c>
      <c r="AF251" s="53" t="inlineStr">
        <is>
          <t>MBA</t>
        </is>
      </c>
      <c r="AG251" s="53" t="inlineStr">
        <is>
          <t>Gopal Krishna Sahu</t>
        </is>
      </c>
      <c r="AH251" s="53" t="inlineStr">
        <is>
          <t>N-4</t>
        </is>
      </c>
      <c r="AI251" s="53" t="inlineStr">
        <is>
          <t>Individual Contributor</t>
        </is>
      </c>
      <c r="AJ251" s="53" t="inlineStr">
        <is>
          <t>0 years, 5 months, 0 days</t>
        </is>
      </c>
      <c r="AK251" s="53" t="inlineStr">
        <is>
          <t>22 years, 0 months, 24 days</t>
        </is>
      </c>
      <c r="AL251" s="53" t="inlineStr">
        <is>
          <t>Consume</t>
        </is>
      </c>
      <c r="AM251" s="53" t="inlineStr">
        <is>
          <t>Consume</t>
        </is>
      </c>
      <c r="AN251" s="53" t="inlineStr">
        <is>
          <t>India Content</t>
        </is>
      </c>
      <c r="AO251" s="53" t="inlineStr">
        <is>
          <t>Expert Assisted services</t>
        </is>
      </c>
      <c r="AP251" s="53" t="inlineStr">
        <is>
          <t>No</t>
        </is>
      </c>
      <c r="AQ251" s="53" t="inlineStr">
        <is>
          <t>Professional Services</t>
        </is>
      </c>
      <c r="AR251" s="53" t="inlineStr">
        <is>
          <t>Data Processing</t>
        </is>
      </c>
      <c r="AS251" s="53" t="inlineStr">
        <is>
          <t>Non-technical</t>
        </is>
      </c>
      <c r="AT251" s="53" t="n">
        <v>20</v>
      </c>
      <c r="AU251" s="53" t="inlineStr">
        <is>
          <t>Covered</t>
        </is>
      </c>
      <c r="AV251" s="53" t="n"/>
      <c r="AW251" s="53" t="n"/>
      <c r="AX251" s="53" t="n"/>
      <c r="AY251" s="53" t="n"/>
      <c r="AZ251" s="53" t="n"/>
      <c r="BA251" s="53" t="n"/>
      <c r="BB251" s="53" t="n"/>
      <c r="BC251" s="53" t="n"/>
      <c r="BD251" s="53" t="n"/>
      <c r="BE251" s="53" t="n"/>
      <c r="BF251" s="53" t="n"/>
      <c r="BG251" s="53" t="n"/>
      <c r="BH251" s="53" t="n"/>
      <c r="BI251" s="53" t="n"/>
      <c r="BJ251" s="53" t="n"/>
      <c r="BK251" s="53" t="n"/>
      <c r="BL251" s="53" t="n"/>
      <c r="BM251" s="53" t="n"/>
      <c r="BN251" s="53" t="n"/>
      <c r="BO251" s="53" t="n"/>
      <c r="BP251" s="53" t="n"/>
      <c r="BQ251" s="53" t="n"/>
      <c r="BR251" s="53" t="n"/>
      <c r="BS251" s="53" t="n"/>
      <c r="BT251" s="53" t="n"/>
      <c r="BU251" s="53" t="n"/>
      <c r="BV251" s="53" t="n"/>
      <c r="BW251" s="53" t="n"/>
      <c r="BX251" s="53" t="n"/>
      <c r="BY251" s="53" t="n"/>
      <c r="BZ251" s="53" t="n"/>
      <c r="CA251" s="53" t="n"/>
      <c r="CB251" s="53" t="n"/>
      <c r="CC251" s="53" t="n"/>
      <c r="CD251" s="53" t="n"/>
      <c r="CE251" s="53" t="n"/>
      <c r="CF251" s="53" t="n"/>
      <c r="CG251" s="53" t="n"/>
      <c r="CH251" s="53" t="n"/>
      <c r="CI251" s="53" t="n"/>
      <c r="CJ251" s="53" t="n"/>
      <c r="CK251" s="53" t="n"/>
      <c r="CL251" s="53" t="n"/>
      <c r="CM251" s="53" t="n"/>
      <c r="CN251" s="53" t="n"/>
      <c r="CO251" s="53" t="n"/>
      <c r="CP251" s="53" t="n"/>
      <c r="CQ251" s="53" t="n"/>
      <c r="CR251" s="53" t="n"/>
      <c r="CS251" s="53" t="n"/>
      <c r="CT251" s="53" t="n"/>
      <c r="CU251" s="53" t="n"/>
      <c r="CV251" s="53" t="n"/>
      <c r="CW251" s="53" t="n"/>
      <c r="CX251" s="53" t="n"/>
      <c r="CY251" s="53" t="n"/>
      <c r="CZ251" s="53" t="n"/>
      <c r="DA251" s="53" t="n"/>
      <c r="DB251" s="53" t="n"/>
      <c r="DC251" s="53" t="n"/>
      <c r="DD251" s="53" t="inlineStr">
        <is>
          <t>IRIS0009</t>
        </is>
      </c>
      <c r="DE251" s="53" t="inlineStr">
        <is>
          <t>Employee</t>
        </is>
      </c>
      <c r="DF251" s="53" t="inlineStr">
        <is>
          <t>Active</t>
        </is>
      </c>
      <c r="DG251" s="53" t="inlineStr">
        <is>
          <t>Prashant Shelar</t>
        </is>
      </c>
      <c r="DH251" s="54" t="n">
        <v>38200</v>
      </c>
      <c r="DI251" s="53" t="inlineStr">
        <is>
          <t>Data Analyst</t>
        </is>
      </c>
      <c r="DJ251" s="53" t="inlineStr">
        <is>
          <t>Consulting &amp; Professional Services</t>
        </is>
      </c>
      <c r="DK251" s="53" t="inlineStr">
        <is>
          <t>Regulatory Content</t>
        </is>
      </c>
      <c r="DL251" s="53" t="inlineStr">
        <is>
          <t>Data Analyst</t>
        </is>
      </c>
      <c r="DM251" s="53" t="inlineStr">
        <is>
          <t>L3 – Professional / Associate</t>
        </is>
      </c>
      <c r="DN251" s="53" t="inlineStr">
        <is>
          <t>MBA</t>
        </is>
      </c>
      <c r="DO251" s="53" t="inlineStr">
        <is>
          <t>Gopal Krishna Sahu</t>
        </is>
      </c>
      <c r="DP251" s="53" t="inlineStr">
        <is>
          <t>N-3</t>
        </is>
      </c>
      <c r="DQ251" s="53" t="inlineStr">
        <is>
          <t>Individual Contributor</t>
        </is>
      </c>
      <c r="DR251" s="53" t="inlineStr">
        <is>
          <t>0 years, 5 months, 0 days</t>
        </is>
      </c>
      <c r="DS251" s="53" t="inlineStr">
        <is>
          <t>21 years, 10 months, 19 days</t>
        </is>
      </c>
      <c r="DT251" s="53" t="inlineStr">
        <is>
          <t>22 years, 3 months, 19 days</t>
        </is>
      </c>
      <c r="DU251" s="53" t="n"/>
      <c r="DV251" s="53" t="inlineStr">
        <is>
          <t>Consume</t>
        </is>
      </c>
      <c r="DW251" s="53" t="inlineStr">
        <is>
          <t>Consume</t>
        </is>
      </c>
      <c r="DX251" s="53" t="inlineStr">
        <is>
          <t>India Content</t>
        </is>
      </c>
      <c r="DY251" s="53" t="inlineStr">
        <is>
          <t>Expert Assisted services</t>
        </is>
      </c>
      <c r="DZ251" s="53" t="inlineStr">
        <is>
          <t>No</t>
        </is>
      </c>
      <c r="EA251" s="53" t="inlineStr">
        <is>
          <t>Professional Services</t>
        </is>
      </c>
      <c r="EB251" s="53" t="inlineStr">
        <is>
          <t>Data Processing</t>
        </is>
      </c>
      <c r="EC251" s="53" t="inlineStr">
        <is>
          <t>Non-technical</t>
        </is>
      </c>
      <c r="ED251" s="53" t="inlineStr">
        <is>
          <t>Remote - Mumbai</t>
        </is>
      </c>
      <c r="EE251" s="53" t="inlineStr">
        <is>
          <t>1.Collect data from all assigned sources · AMC, Amfi,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EF251" s="53"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EG251" s="53"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EH251" s="53" t="n">
        <v>1</v>
      </c>
      <c r="EI251" s="54" t="n">
        <v>45929</v>
      </c>
      <c r="EJ251" s="53" t="inlineStr">
        <is>
          <t>Data Analyst</t>
        </is>
      </c>
      <c r="EK251" s="53" t="inlineStr">
        <is>
          <t>No</t>
        </is>
      </c>
      <c r="EL251" s="53" t="n">
        <v>1</v>
      </c>
      <c r="EM251" s="53" t="inlineStr">
        <is>
          <t>Low</t>
        </is>
      </c>
      <c r="EN251" s="53" t="inlineStr">
        <is>
          <t>Misplaced Talent / Enigma</t>
        </is>
      </c>
      <c r="EO251" s="53" t="inlineStr">
        <is>
          <t>No</t>
        </is>
      </c>
      <c r="EP251" s="53" t="inlineStr">
        <is>
          <t>No</t>
        </is>
      </c>
      <c r="EQ251" s="53" t="inlineStr">
        <is>
          <t>Yes</t>
        </is>
      </c>
      <c r="ER251" s="53" t="inlineStr">
        <is>
          <t>Not Identified</t>
        </is>
      </c>
      <c r="ES251" s="53" t="inlineStr">
        <is>
          <t>The team needs training for new automation tools.</t>
        </is>
      </c>
      <c r="ET251" s="53" t="inlineStr">
        <is>
          <t>Transition to leadership: people management &amp; delegation, mentoring/coaching, project ownership &amp; stakeholder management, prioritisation under ambiguity, presentation &amp; influence skills</t>
        </is>
      </c>
      <c r="EU251" s="53" t="n"/>
      <c r="EV251" s="53" t="n"/>
      <c r="EW251" s="52" t="n"/>
      <c r="EX251" s="53" t="n"/>
      <c r="EY251" s="53" t="n"/>
      <c r="EZ251" s="53" t="n"/>
      <c r="FA251" s="53" t="n"/>
      <c r="FB251" s="53" t="n"/>
      <c r="FC251" s="53" t="n"/>
      <c r="FD251" s="53" t="n"/>
      <c r="FE251" s="57"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FF251" s="56"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FG251" s="56" t="inlineStr">
        <is>
          <t>1.Collect data from all assigned sources · AMC, Amfi,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FH251" s="56" t="inlineStr">
        <is>
          <t>1</t>
        </is>
      </c>
      <c r="FI251" s="56" t="n"/>
      <c r="FJ251" s="56" t="inlineStr">
        <is>
          <t>Received · manager annual, quarterly, self</t>
        </is>
      </c>
      <c r="FK251" s="56" t="inlineStr">
        <is>
          <t>Talent Mapping · Database Content</t>
        </is>
      </c>
      <c r="FL251" s="56" t="n">
        <v>20</v>
      </c>
      <c r="FM251" s="32" t="inlineStr">
        <is>
          <t>Full survey answers not in the files received · How We Grow export needed · HR</t>
        </is>
      </c>
      <c r="FN251" s="56" t="inlineStr">
        <is>
          <t>—</t>
        </is>
      </c>
      <c r="FO251" s="56" t="inlineStr">
        <is>
          <t>—</t>
        </is>
      </c>
      <c r="FP251" s="56" t="inlineStr">
        <is>
          <t>—</t>
        </is>
      </c>
      <c r="FQ251" s="56" t="inlineStr">
        <is>
          <t>—</t>
        </is>
      </c>
      <c r="FR251" s="56" t="inlineStr">
        <is>
          <t>Complexity: Evidence reads like A2: Daily data updates from BSE/NSE websites; bond and mutual fund data; client delivery → matches the start
Autonomy: Evidence reads like A2: Tries to solve problems first, otherwise asks a senior → matches the start
Accountability: Evidence reads like A2: Own data updates and client delivery on time → matches the start
Leadership: Evidence reads like A1: No guiding or leading of others described → matches the start
Business Impact: Moved +0.5: the survey / manager mapping marks it business-critical.</t>
        </is>
      </c>
      <c r="FS251" s="56" t="inlineStr">
        <is>
          <t>Common themes in role-holders' answers: data · mutual fund · update · analyzing · responsible · accurate
Common themes in role-holders' answers: data · client · accuracy · delivery · time · market
Common themes in role-holders' answers: mutual fund · client · delivery
Common themes in role-holders' answers: client · data · am · delivery · duties · responsible
Common themes in role-holders' answers: data · independently
If the work is missed · role-holders' themes: incorrect · client · missing · impacts.
Measured on · manager-set KRA themes: business-day response · manual · contribute · delivery time · provide solutions · complete assigned.</t>
        </is>
      </c>
      <c r="FT251" s="56" t="inlineStr">
        <is>
          <t>Self-identified: AI / automation
For the next role: AI / automation</t>
        </is>
      </c>
      <c r="FU251" s="32" t="inlineStr">
        <is>
          <t>Full survey answers not in the files received · How We Grow export needed · HR</t>
        </is>
      </c>
    </row>
    <row r="252" ht="90" customHeight="1">
      <c r="A252" s="51" t="inlineStr">
        <is>
          <t>◂ Back</t>
        </is>
      </c>
      <c r="B252" s="29" t="inlineStr">
        <is>
          <t>Mapped</t>
        </is>
      </c>
      <c r="C252" s="28" t="inlineStr">
        <is>
          <t>Consume</t>
        </is>
      </c>
      <c r="D252" s="29" t="inlineStr">
        <is>
          <t>IRIS0030</t>
        </is>
      </c>
      <c r="E252" s="29" t="inlineStr">
        <is>
          <t>Swapnil Katrat</t>
        </is>
      </c>
      <c r="F252" s="29" t="inlineStr">
        <is>
          <t>India Content</t>
        </is>
      </c>
      <c r="G252" s="29" t="inlineStr">
        <is>
          <t>Data Analyst</t>
        </is>
      </c>
      <c r="H252" s="29" t="inlineStr">
        <is>
          <t>Senior Data Analyst</t>
        </is>
      </c>
      <c r="I252" s="29" t="inlineStr">
        <is>
          <t>L3 – Professional / Associate</t>
        </is>
      </c>
      <c r="J252" s="29" t="inlineStr">
        <is>
          <t>A3</t>
        </is>
      </c>
      <c r="K252" s="29" t="inlineStr">
        <is>
          <t>▲ Up</t>
        </is>
      </c>
      <c r="L252" s="29" t="inlineStr">
        <is>
          <t>Data &amp; Analytics</t>
        </is>
      </c>
      <c r="M252" s="29" t="inlineStr">
        <is>
          <t>Financial Data Processing</t>
        </is>
      </c>
      <c r="N252" s="29" t="n"/>
      <c r="O252" s="29" t="n">
        <v>7</v>
      </c>
      <c r="P252" s="28" t="inlineStr">
        <is>
          <t>P2</t>
        </is>
      </c>
      <c r="Q252" s="29" t="inlineStr">
        <is>
          <t>Developing</t>
        </is>
      </c>
      <c r="R252" s="29" t="inlineStr">
        <is>
          <t>3 Apply</t>
        </is>
      </c>
      <c r="S252" s="29" t="inlineStr">
        <is>
          <t>2–4 yrs</t>
        </is>
      </c>
      <c r="T252" s="29" t="inlineStr">
        <is>
          <t>3–5 · 2–5</t>
        </is>
      </c>
      <c r="U252" s="29" t="inlineStr">
        <is>
          <t>Data Analyst</t>
        </is>
      </c>
      <c r="V252" s="29" t="inlineStr">
        <is>
          <t>Atlassian company-wide P-levels: P40 Analyst · IRIS Vs Competitor Benchmark — data analyst ladder: Data Analyst II</t>
        </is>
      </c>
      <c r="W252" s="29" t="inlineStr">
        <is>
          <t>DAMA-DMBOK · 11 knowledge areas around data governance</t>
        </is>
      </c>
      <c r="X252" s="29" t="inlineStr">
        <is>
          <t>Core 2 · Future 2 · Functional 3 · Leadership not scored</t>
        </is>
      </c>
      <c r="Y252" s="52" t="n">
        <v>15</v>
      </c>
      <c r="Z252" s="53" t="inlineStr">
        <is>
          <t>IRIS0030</t>
        </is>
      </c>
      <c r="AA252" s="53" t="inlineStr">
        <is>
          <t>Employee</t>
        </is>
      </c>
      <c r="AB252" s="53" t="inlineStr">
        <is>
          <t>Active</t>
        </is>
      </c>
      <c r="AC252" s="53" t="inlineStr">
        <is>
          <t>Swapnil Katrat</t>
        </is>
      </c>
      <c r="AD252" s="54" t="n">
        <v>38596</v>
      </c>
      <c r="AE252" s="53" t="inlineStr">
        <is>
          <t>Data Analyst</t>
        </is>
      </c>
      <c r="AF252" s="53" t="inlineStr">
        <is>
          <t>B.Com</t>
        </is>
      </c>
      <c r="AG252" s="53" t="inlineStr">
        <is>
          <t>Gopal Krishna Sahu</t>
        </is>
      </c>
      <c r="AH252" s="53" t="inlineStr">
        <is>
          <t>N-4</t>
        </is>
      </c>
      <c r="AI252" s="53" t="inlineStr">
        <is>
          <t>Individual Contributor</t>
        </is>
      </c>
      <c r="AJ252" s="53" t="inlineStr">
        <is>
          <t>0 years, 0 months, 0 days</t>
        </is>
      </c>
      <c r="AK252" s="53" t="inlineStr">
        <is>
          <t>20 years, 11 months, 24 days</t>
        </is>
      </c>
      <c r="AL252" s="53" t="inlineStr">
        <is>
          <t>Consume</t>
        </is>
      </c>
      <c r="AM252" s="53" t="inlineStr">
        <is>
          <t>Consume</t>
        </is>
      </c>
      <c r="AN252" s="53" t="inlineStr">
        <is>
          <t>India Content</t>
        </is>
      </c>
      <c r="AO252" s="53" t="inlineStr">
        <is>
          <t>Expert Assisted services</t>
        </is>
      </c>
      <c r="AP252" s="53" t="inlineStr">
        <is>
          <t>No</t>
        </is>
      </c>
      <c r="AQ252" s="53" t="inlineStr">
        <is>
          <t>Professional Services</t>
        </is>
      </c>
      <c r="AR252" s="53" t="inlineStr">
        <is>
          <t>Data Processing</t>
        </is>
      </c>
      <c r="AS252" s="53" t="inlineStr">
        <is>
          <t>Non-technical</t>
        </is>
      </c>
      <c r="AT252" s="53" t="n">
        <v>20</v>
      </c>
      <c r="AU252" s="53" t="inlineStr">
        <is>
          <t>Covered</t>
        </is>
      </c>
      <c r="AV252" s="53" t="n"/>
      <c r="AW252" s="53" t="n"/>
      <c r="AX252" s="53" t="n"/>
      <c r="AY252" s="53" t="n"/>
      <c r="AZ252" s="53" t="n"/>
      <c r="BA252" s="53" t="n"/>
      <c r="BB252" s="53" t="n"/>
      <c r="BC252" s="53" t="n"/>
      <c r="BD252" s="53" t="n"/>
      <c r="BE252" s="53" t="n"/>
      <c r="BF252" s="53" t="n"/>
      <c r="BG252" s="53" t="n"/>
      <c r="BH252" s="53" t="n"/>
      <c r="BI252" s="53" t="n"/>
      <c r="BJ252" s="53" t="n"/>
      <c r="BK252" s="53" t="n"/>
      <c r="BL252" s="53" t="n"/>
      <c r="BM252" s="53" t="n"/>
      <c r="BN252" s="53" t="n"/>
      <c r="BO252" s="53" t="n"/>
      <c r="BP252" s="53" t="n"/>
      <c r="BQ252" s="53" t="n"/>
      <c r="BR252" s="53" t="n"/>
      <c r="BS252" s="53" t="n"/>
      <c r="BT252" s="53" t="n"/>
      <c r="BU252" s="53" t="n"/>
      <c r="BV252" s="53" t="n"/>
      <c r="BW252" s="53" t="n"/>
      <c r="BX252" s="53" t="n"/>
      <c r="BY252" s="53" t="n"/>
      <c r="BZ252" s="53" t="n"/>
      <c r="CA252" s="53" t="n"/>
      <c r="CB252" s="53" t="n"/>
      <c r="CC252" s="53" t="n"/>
      <c r="CD252" s="53" t="n"/>
      <c r="CE252" s="53" t="n"/>
      <c r="CF252" s="53" t="n"/>
      <c r="CG252" s="53" t="n"/>
      <c r="CH252" s="53" t="n"/>
      <c r="CI252" s="53" t="n"/>
      <c r="CJ252" s="53" t="n"/>
      <c r="CK252" s="53" t="n"/>
      <c r="CL252" s="53" t="n"/>
      <c r="CM252" s="53" t="n"/>
      <c r="CN252" s="53" t="n"/>
      <c r="CO252" s="53" t="n"/>
      <c r="CP252" s="53" t="n"/>
      <c r="CQ252" s="53" t="n"/>
      <c r="CR252" s="53" t="n"/>
      <c r="CS252" s="53" t="n"/>
      <c r="CT252" s="53" t="n"/>
      <c r="CU252" s="53" t="n"/>
      <c r="CV252" s="53" t="n"/>
      <c r="CW252" s="53" t="n"/>
      <c r="CX252" s="53" t="n"/>
      <c r="CY252" s="53" t="n"/>
      <c r="CZ252" s="53" t="n"/>
      <c r="DA252" s="53" t="n"/>
      <c r="DB252" s="53" t="n"/>
      <c r="DC252" s="53" t="n"/>
      <c r="DD252" s="53" t="inlineStr">
        <is>
          <t>IRIS0030</t>
        </is>
      </c>
      <c r="DE252" s="53" t="inlineStr">
        <is>
          <t>Employee</t>
        </is>
      </c>
      <c r="DF252" s="53" t="inlineStr">
        <is>
          <t>Active</t>
        </is>
      </c>
      <c r="DG252" s="53" t="inlineStr">
        <is>
          <t>Swapnil Katrat</t>
        </is>
      </c>
      <c r="DH252" s="54" t="n">
        <v>38596</v>
      </c>
      <c r="DI252" s="53" t="inlineStr">
        <is>
          <t>Data Analyst</t>
        </is>
      </c>
      <c r="DJ252" s="53" t="inlineStr">
        <is>
          <t>Consulting &amp; Professional Services</t>
        </is>
      </c>
      <c r="DK252" s="53" t="inlineStr">
        <is>
          <t>Regulatory Content</t>
        </is>
      </c>
      <c r="DL252" s="53" t="inlineStr">
        <is>
          <t>Data Analyst</t>
        </is>
      </c>
      <c r="DM252" s="53" t="inlineStr">
        <is>
          <t>L3 – Professional / Associate</t>
        </is>
      </c>
      <c r="DN252" s="53" t="inlineStr">
        <is>
          <t>B.Com</t>
        </is>
      </c>
      <c r="DO252" s="53" t="inlineStr">
        <is>
          <t>Gopal Krishna Sahu</t>
        </is>
      </c>
      <c r="DP252" s="53" t="inlineStr">
        <is>
          <t>N-3</t>
        </is>
      </c>
      <c r="DQ252" s="53" t="inlineStr">
        <is>
          <t>Individual Contributor</t>
        </is>
      </c>
      <c r="DR252" s="53" t="inlineStr">
        <is>
          <t>0 years, 0 months, 0 days</t>
        </is>
      </c>
      <c r="DS252" s="53" t="inlineStr">
        <is>
          <t>20 years, 9 months, 19 days</t>
        </is>
      </c>
      <c r="DT252" s="53" t="inlineStr">
        <is>
          <t>20 years, 9 months, 19 days</t>
        </is>
      </c>
      <c r="DU252" s="53" t="n"/>
      <c r="DV252" s="53" t="inlineStr">
        <is>
          <t>Consume</t>
        </is>
      </c>
      <c r="DW252" s="53" t="inlineStr">
        <is>
          <t>Consume</t>
        </is>
      </c>
      <c r="DX252" s="53" t="inlineStr">
        <is>
          <t>India Content</t>
        </is>
      </c>
      <c r="DY252" s="53" t="inlineStr">
        <is>
          <t>Expert Assisted services</t>
        </is>
      </c>
      <c r="DZ252" s="53" t="inlineStr">
        <is>
          <t>No</t>
        </is>
      </c>
      <c r="EA252" s="53" t="inlineStr">
        <is>
          <t>Professional Services</t>
        </is>
      </c>
      <c r="EB252" s="53" t="inlineStr">
        <is>
          <t>Data Processing</t>
        </is>
      </c>
      <c r="EC252" s="53" t="inlineStr">
        <is>
          <t>Non-technical</t>
        </is>
      </c>
      <c r="ED252" s="53" t="inlineStr">
        <is>
          <t>Remote - Mumbai</t>
        </is>
      </c>
      <c r="EE252" s="53" t="inlineStr">
        <is>
          <t>1.Collect data from all assigned sources ·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EF252" s="53"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EG252" s="53"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EH252" s="53" t="n">
        <v>3</v>
      </c>
      <c r="EI252" s="54" t="n">
        <v>45933</v>
      </c>
      <c r="EJ252" s="53" t="inlineStr">
        <is>
          <t>Data Analyst</t>
        </is>
      </c>
      <c r="EK252" s="53" t="inlineStr">
        <is>
          <t>No</t>
        </is>
      </c>
      <c r="EL252" s="53" t="n">
        <v>3</v>
      </c>
      <c r="EM252" s="53" t="inlineStr">
        <is>
          <t>Medium</t>
        </is>
      </c>
      <c r="EN252" s="53" t="inlineStr">
        <is>
          <t>Trusted Professional</t>
        </is>
      </c>
      <c r="EO252" s="53" t="inlineStr">
        <is>
          <t>Yes</t>
        </is>
      </c>
      <c r="EP252" s="53" t="inlineStr">
        <is>
          <t>Yes</t>
        </is>
      </c>
      <c r="EQ252" s="53" t="inlineStr">
        <is>
          <t>Yes</t>
        </is>
      </c>
      <c r="ER252" s="53" t="inlineStr">
        <is>
          <t>Virendra Borkar</t>
        </is>
      </c>
      <c r="ES252" s="53" t="inlineStr">
        <is>
          <t>The team needs training for new automation tools.</t>
        </is>
      </c>
      <c r="ET252" s="53" t="inlineStr">
        <is>
          <t>Transition to leadership: people management &amp; delegation, mentoring/coaching, project ownership &amp; stakeholder management, prioritisation under ambiguity, presentation &amp; influence skills</t>
        </is>
      </c>
      <c r="EU252" s="53" t="n"/>
      <c r="EV252" s="53" t="n"/>
      <c r="EW252" s="52" t="n"/>
      <c r="EX252" s="53" t="n"/>
      <c r="EY252" s="53" t="n"/>
      <c r="EZ252" s="53" t="n"/>
      <c r="FA252" s="53" t="n"/>
      <c r="FB252" s="53" t="n"/>
      <c r="FC252" s="53" t="n"/>
      <c r="FD252" s="53" t="n"/>
      <c r="FE252" s="57" t="inlineStr">
        <is>
          <t>1. Complete assigned tasks with 99.99% accuracy.
2. Do all the  client delivery on time with 100% accuracy.
3. Maintain all log files for errors and issues. 
4. Escalate all the data discrepancies and file issues with your seniors. 
5. Handle all client queries with &lt;=1 business-day response time
6. Reduce manual work, provide solutions for automation, Contribute to revenue.</t>
        </is>
      </c>
      <c r="FF252" s="56" t="inlineStr">
        <is>
          <t>Q1. Complete assigned tasks with 99.99% accuracy.
Q1. Do all the  client delivery on time with 100% accuracy.
Q1. Maintain all log files for errors and issues. 
Q1. Escalate all the data discrepancies and file issues with your seniors. 
Q1. Handle all client queries with &lt;=1 business-day response time
Q1. Reduce manual work, provide solutions for automation, Contribute to revenue.</t>
        </is>
      </c>
      <c r="FG252" s="56" t="inlineStr">
        <is>
          <t>1.Collect data from all assigned sources · Exchanges, SEBI, NSDL, etc. within defined timelines. 100% source coverage. 2.Upload and maintain data in the database accurately. Ensure data completeness with zero missing mandatory fields. 3. Validation checks before updation. Maintain data accuracy of 100%. 4. Deliver all scheduled files within SLA timelines. Achieve 100% on-time delivery. 5. Resolve data discrepancies and client queries within 2–4 hours. 6. Identify automation opportunities,  reduce manual effort, and maintain documentation.</t>
        </is>
      </c>
      <c r="FH252" s="56" t="inlineStr">
        <is>
          <t>3</t>
        </is>
      </c>
      <c r="FI252" s="56" t="n"/>
      <c r="FJ252" s="56" t="inlineStr">
        <is>
          <t>Received · manager annual, quarterly, self</t>
        </is>
      </c>
      <c r="FK252" s="56" t="inlineStr">
        <is>
          <t>Talent Mapping · Database Content</t>
        </is>
      </c>
      <c r="FL252" s="56" t="n">
        <v>7</v>
      </c>
      <c r="FM252" s="32" t="inlineStr">
        <is>
          <t>Full survey answers not in the files received · How We Grow export needed · HR</t>
        </is>
      </c>
      <c r="FN252" s="56" t="inlineStr">
        <is>
          <t>—</t>
        </is>
      </c>
      <c r="FO252" s="56" t="inlineStr">
        <is>
          <t>—</t>
        </is>
      </c>
      <c r="FP252" s="56" t="inlineStr">
        <is>
          <t>—</t>
        </is>
      </c>
      <c r="FQ252" s="56" t="inlineStr">
        <is>
          <t>—</t>
        </is>
      </c>
      <c r="FR252" s="56" t="inlineStr">
        <is>
          <t>Complexity: Evidence reads like A2: Updates EOD market data, IPO entries, portfolios, benchmarks and indices → matches the start
Autonomy: Evidence reads like A2: Only decision named is sending a revised mail → matches the start
Accountability: Evidence reads like A2: Client delivery of own updated data → matches the start
Leadership: Evidence reads like A1: No guiding or leading of others described → matches the start
Business Impact: Moved +0.5: the survey / manager mapping marks it business-critical.</t>
        </is>
      </c>
      <c r="FS252" s="56" t="inlineStr">
        <is>
          <t>Common themes in role-holders' answers: data · mutual fund · update · analyzing · responsible · accurate
Common themes in role-holders' answers: data · client · accuracy · delivery · time · market
Common themes in role-holders' answers: mutual fund · client · delivery
Common themes in role-holders' answers: client · data · am · delivery · duties · responsible
Common themes in role-holders' answers: data · independently
If the work is missed · role-holders' themes: incorrect · client · missing · impacts.
Measured on · manager-set KRA themes: business-day response · manual · contribute · delivery time · provide solutions · complete assigned.</t>
        </is>
      </c>
      <c r="FT252" s="56" t="n"/>
      <c r="FU252" s="32" t="inlineStr">
        <is>
          <t>Full survey answers not in the files received · How We Grow export needed · HR</t>
        </is>
      </c>
    </row>
    <row r="253" ht="90" customHeight="1">
      <c r="A253" s="51" t="inlineStr">
        <is>
          <t>◂ Back</t>
        </is>
      </c>
      <c r="B253" s="29" t="inlineStr">
        <is>
          <t>Mapped</t>
        </is>
      </c>
      <c r="C253" s="28" t="inlineStr">
        <is>
          <t>iFile</t>
        </is>
      </c>
      <c r="D253" s="29" t="inlineStr">
        <is>
          <t>IRIS2523</t>
        </is>
      </c>
      <c r="E253" s="29" t="inlineStr">
        <is>
          <t>Abhilash Menon</t>
        </is>
      </c>
      <c r="F253" s="29" t="inlineStr">
        <is>
          <t>Marketing</t>
        </is>
      </c>
      <c r="G253" s="29" t="inlineStr">
        <is>
          <t>Product Marketing Manager</t>
        </is>
      </c>
      <c r="H253" s="29" t="inlineStr">
        <is>
          <t>Team Lead – Product Marketing</t>
        </is>
      </c>
      <c r="I253" s="29" t="inlineStr">
        <is>
          <t>L5 – Manager</t>
        </is>
      </c>
      <c r="J253" s="29" t="inlineStr">
        <is>
          <t>B1</t>
        </is>
      </c>
      <c r="K253" s="29" t="inlineStr">
        <is>
          <t>▼ Down · protected</t>
        </is>
      </c>
      <c r="L253" s="29" t="inlineStr">
        <is>
          <t>Marketing &amp; Communications</t>
        </is>
      </c>
      <c r="M253" s="29" t="inlineStr">
        <is>
          <t>Product Marketing</t>
        </is>
      </c>
      <c r="N253" s="29" t="n"/>
      <c r="O253" s="29" t="n">
        <v>19</v>
      </c>
      <c r="P253" s="28" t="inlineStr">
        <is>
          <t>P3 / M2</t>
        </is>
      </c>
      <c r="Q253" s="29" t="inlineStr">
        <is>
          <t>Career / · Team Lead</t>
        </is>
      </c>
      <c r="R253" s="29" t="inlineStr">
        <is>
          <t>4 Enable</t>
        </is>
      </c>
      <c r="S253" s="29" t="inlineStr">
        <is>
          <t>4–7 yrs</t>
        </is>
      </c>
      <c r="T253" s="29" t="inlineStr">
        <is>
          <t>5–8 · 4–8</t>
        </is>
      </c>
      <c r="U253" s="29" t="inlineStr">
        <is>
          <t>Team Lead / Assistant Manager</t>
        </is>
      </c>
      <c r="V253" s="29" t="inlineStr">
        <is>
          <t>IRIS Vs Market Benchmark — CIM proficiency scale: 3 Able · IRIS Vs Competitor Benchmark — SaaS marketing ladder: Senior Marketing Specialist</t>
        </is>
      </c>
      <c r="W253" s="29" t="inlineStr">
        <is>
          <t>CIM Global Professional Marketing Framework — proficiency Aware → Active learner → Able → Accomplished → Authoritative</t>
        </is>
      </c>
      <c r="X253" s="29" t="inlineStr">
        <is>
          <t>Core 3 · Future 3 · Functional 3 · Leadership 2</t>
        </is>
      </c>
      <c r="Y253" s="52" t="n">
        <v>493</v>
      </c>
      <c r="Z253" s="53" t="inlineStr">
        <is>
          <t>IRIS2523</t>
        </is>
      </c>
      <c r="AA253" s="53" t="inlineStr">
        <is>
          <t>Employee</t>
        </is>
      </c>
      <c r="AB253" s="53" t="inlineStr">
        <is>
          <t>Active</t>
        </is>
      </c>
      <c r="AC253" s="53" t="inlineStr">
        <is>
          <t>Abhilash Menon</t>
        </is>
      </c>
      <c r="AD253" s="54" t="n">
        <v>46132</v>
      </c>
      <c r="AE253" s="53" t="inlineStr">
        <is>
          <t>Product Marketing Manager</t>
        </is>
      </c>
      <c r="AF253" s="53" t="inlineStr">
        <is>
          <t>BA</t>
        </is>
      </c>
      <c r="AG253" s="53" t="inlineStr">
        <is>
          <t>Arup Ganguly</t>
        </is>
      </c>
      <c r="AH253" s="53" t="inlineStr">
        <is>
          <t>N-3</t>
        </is>
      </c>
      <c r="AI253" s="53" t="inlineStr">
        <is>
          <t>Manager</t>
        </is>
      </c>
      <c r="AJ253" s="53" t="inlineStr">
        <is>
          <t>8 years, 0 months, 0 days</t>
        </is>
      </c>
      <c r="AK253" s="53" t="inlineStr">
        <is>
          <t>0 years, 4 months, 5 days</t>
        </is>
      </c>
      <c r="AL253" s="53" t="inlineStr">
        <is>
          <t>Suptech</t>
        </is>
      </c>
      <c r="AM253" s="53" t="inlineStr">
        <is>
          <t>iFile</t>
        </is>
      </c>
      <c r="AN253" s="53" t="inlineStr">
        <is>
          <t>Marketing</t>
        </is>
      </c>
      <c r="AO253" s="53" t="inlineStr">
        <is>
          <t>Marketing</t>
        </is>
      </c>
      <c r="AP253" s="53" t="inlineStr">
        <is>
          <t>No</t>
        </is>
      </c>
      <c r="AQ253" s="53" t="inlineStr">
        <is>
          <t>Sales, Marketing &amp; Support</t>
        </is>
      </c>
      <c r="AR253" s="53" t="inlineStr">
        <is>
          <t>Marketing</t>
        </is>
      </c>
      <c r="AS253" s="53" t="inlineStr">
        <is>
          <t>Non-technical</t>
        </is>
      </c>
      <c r="AT253" s="53" t="n">
        <v>20</v>
      </c>
      <c r="AU253" s="53" t="inlineStr">
        <is>
          <t>Covered</t>
        </is>
      </c>
      <c r="AV253" s="53" t="n"/>
      <c r="AW253" s="53" t="n"/>
      <c r="AX253" s="53" t="n"/>
      <c r="AY253" s="53" t="n"/>
      <c r="AZ253" s="53" t="n"/>
      <c r="BA253" s="53" t="n"/>
      <c r="BB253" s="53" t="n"/>
      <c r="BC253" s="53" t="n"/>
      <c r="BD253" s="53" t="n"/>
      <c r="BE253" s="53" t="n"/>
      <c r="BF253" s="53" t="n"/>
      <c r="BG253" s="53" t="n"/>
      <c r="BH253" s="53" t="n"/>
      <c r="BI253" s="53" t="n"/>
      <c r="BJ253" s="53" t="n"/>
      <c r="BK253" s="53" t="n"/>
      <c r="BL253" s="53" t="n"/>
      <c r="BM253" s="53" t="n"/>
      <c r="BN253" s="53" t="n"/>
      <c r="BO253" s="53" t="n"/>
      <c r="BP253" s="53" t="n"/>
      <c r="BQ253" s="53" t="n"/>
      <c r="BR253" s="53" t="n"/>
      <c r="BS253" s="53" t="n"/>
      <c r="BT253" s="53" t="n"/>
      <c r="BU253" s="53" t="n"/>
      <c r="BV253" s="53" t="n"/>
      <c r="BW253" s="53" t="n"/>
      <c r="BX253" s="53" t="n"/>
      <c r="BY253" s="53" t="n"/>
      <c r="BZ253" s="53" t="n"/>
      <c r="CA253" s="53" t="n"/>
      <c r="CB253" s="53" t="n"/>
      <c r="CC253" s="53" t="n"/>
      <c r="CD253" s="53" t="n"/>
      <c r="CE253" s="53" t="n"/>
      <c r="CF253" s="53" t="n"/>
      <c r="CG253" s="53" t="n"/>
      <c r="CH253" s="53" t="n"/>
      <c r="CI253" s="53" t="n"/>
      <c r="CJ253" s="53" t="n"/>
      <c r="CK253" s="53" t="n"/>
      <c r="CL253" s="53" t="n"/>
      <c r="CM253" s="53" t="n"/>
      <c r="CN253" s="53" t="n"/>
      <c r="CO253" s="53" t="n"/>
      <c r="CP253" s="53" t="n"/>
      <c r="CQ253" s="53" t="n"/>
      <c r="CR253" s="53" t="n"/>
      <c r="CS253" s="53" t="n"/>
      <c r="CT253" s="53" t="n"/>
      <c r="CU253" s="53" t="n"/>
      <c r="CV253" s="53" t="n"/>
      <c r="CW253" s="53" t="n"/>
      <c r="CX253" s="53" t="n"/>
      <c r="CY253" s="53" t="n"/>
      <c r="CZ253" s="53" t="n"/>
      <c r="DA253" s="53" t="n"/>
      <c r="DB253" s="53" t="n"/>
      <c r="DC253" s="53" t="n"/>
      <c r="DD253" s="53" t="inlineStr">
        <is>
          <t>IRIS2523</t>
        </is>
      </c>
      <c r="DE253" s="53" t="inlineStr">
        <is>
          <t>Employee</t>
        </is>
      </c>
      <c r="DF253" s="53" t="inlineStr">
        <is>
          <t>Active</t>
        </is>
      </c>
      <c r="DG253" s="53" t="inlineStr">
        <is>
          <t>Abhilash Menon</t>
        </is>
      </c>
      <c r="DH253" s="54" t="n">
        <v>46132</v>
      </c>
      <c r="DI253" s="53" t="inlineStr">
        <is>
          <t>Product Marketing Manager</t>
        </is>
      </c>
      <c r="DJ253" s="53" t="inlineStr">
        <is>
          <t>Product Management</t>
        </is>
      </c>
      <c r="DK253" s="53" t="inlineStr">
        <is>
          <t>Product Management</t>
        </is>
      </c>
      <c r="DL253" s="53" t="inlineStr">
        <is>
          <t>Product Marketing Manager</t>
        </is>
      </c>
      <c r="DM253" s="53" t="inlineStr">
        <is>
          <t>L5 – Manager</t>
        </is>
      </c>
      <c r="DN253" s="53" t="inlineStr">
        <is>
          <t>BA</t>
        </is>
      </c>
      <c r="DO253" s="53" t="inlineStr">
        <is>
          <t>Arup Ganguly</t>
        </is>
      </c>
      <c r="DP253" s="53" t="inlineStr">
        <is>
          <t>N-2</t>
        </is>
      </c>
      <c r="DQ253" s="53" t="inlineStr">
        <is>
          <t>Manager</t>
        </is>
      </c>
      <c r="DR253" s="53" t="inlineStr">
        <is>
          <t>8 years, 0 months, 0 days</t>
        </is>
      </c>
      <c r="DS253" s="53" t="inlineStr">
        <is>
          <t>0 years, 2 months, 0 days</t>
        </is>
      </c>
      <c r="DT253" s="53" t="inlineStr">
        <is>
          <t>8 years, 2 months, 0 days</t>
        </is>
      </c>
      <c r="DU253" s="53" t="n"/>
      <c r="DV253" s="53" t="inlineStr">
        <is>
          <t>Suptech</t>
        </is>
      </c>
      <c r="DW253" s="53" t="inlineStr">
        <is>
          <t>iFile</t>
        </is>
      </c>
      <c r="DX253" s="53" t="inlineStr">
        <is>
          <t>Marketing</t>
        </is>
      </c>
      <c r="DY253" s="53" t="inlineStr">
        <is>
          <t>Marketing</t>
        </is>
      </c>
      <c r="DZ253" s="53" t="inlineStr">
        <is>
          <t>No</t>
        </is>
      </c>
      <c r="EA253" s="53" t="inlineStr">
        <is>
          <t>Sales, Marketing &amp; Support</t>
        </is>
      </c>
      <c r="EB253" s="53" t="inlineStr">
        <is>
          <t>Marketing</t>
        </is>
      </c>
      <c r="EC253" s="53" t="inlineStr">
        <is>
          <t>Non-technical</t>
        </is>
      </c>
      <c r="ED253" s="53" t="inlineStr">
        <is>
          <t>Work From Office - Turbhe</t>
        </is>
      </c>
      <c r="EE253" s="53" t="inlineStr">
        <is>
          <t>1. Deliver committed marketing/content calendar with &gt;=90% on-time publishing
2. Meet campaign KPIs · leads/MQLs/engagement at &gt;=90% of targets
3. Grow owned channel metric · traffic / followers / engagement by &gt;=15%
4. Support sales with collateral/assets within agreed turnaround · 100% on time
5. Track and report campaign ROI/performance monthly with full accuracy</t>
        </is>
      </c>
      <c r="EF253" s="53" t="inlineStr">
        <is>
          <t>1. Deliver committed marketing/content calendar with &gt;=90% on-time publishing
2. Meet campaign KPIs · leads/MQLs/engagement at &gt;=90% of targets
3. Grow owned channel metric · traffic / followers / engagement by &gt;=15%
4. Support sales with collateral/assets within agreed turnaround · 100% on time
5. Track and report campaign ROI/performance monthly with full accuracy</t>
        </is>
      </c>
      <c r="EG253" s="53" t="inlineStr">
        <is>
          <t>Q1: Deliver committed marketing/content calendar with &gt;=90% on-time publishing
Q1: Meet campaign KPIs · leads/MQLs/engagement at &gt;=90% of targets
Q1: Grow owned channel metric · traffic / followers / engagement by &gt;=15%
Q1: Keep creative/content rework cycles to &lt;=2 per deliverable on average</t>
        </is>
      </c>
      <c r="EH253" s="53" t="n"/>
      <c r="EI253" s="53" t="n"/>
      <c r="EJ253" s="53" t="n"/>
      <c r="EK253" s="53" t="n"/>
      <c r="EL253" s="53" t="n"/>
      <c r="EM253" s="53" t="n"/>
      <c r="EN253" s="53" t="n"/>
      <c r="EO253" s="53" t="n"/>
      <c r="EP253" s="53" t="n"/>
      <c r="EQ253" s="53" t="n"/>
      <c r="ER253" s="53" t="n"/>
      <c r="ES253" s="53" t="n"/>
      <c r="ET253" s="53" t="n"/>
      <c r="EU253" s="53" t="n"/>
      <c r="EV253" s="53" t="n"/>
      <c r="EW253" s="52" t="n"/>
      <c r="EX253" s="53" t="n"/>
      <c r="EY253" s="53" t="n"/>
      <c r="EZ253" s="53" t="n"/>
      <c r="FA253" s="53" t="n"/>
      <c r="FB253" s="53" t="n"/>
      <c r="FC253" s="53" t="n"/>
      <c r="FD253" s="53" t="n"/>
      <c r="FE253" s="57" t="inlineStr">
        <is>
          <t>1. Deliver committed marketing/content calendar with &gt;=90% on-time publishing
2. Meet campaign KPIs · leads/MQLs/engagement at &gt;=90% of targets
3. Grow owned channel metric · traffic / followers / engagement by &gt;=15%
4. Support sales with collateral/assets within agreed turnaround · 100% on time
5. Track and report campaign ROI/performance monthly with full accuracy</t>
        </is>
      </c>
      <c r="FF253" s="56" t="inlineStr">
        <is>
          <t>Q1: Deliver committed marketing/content calendar with &gt;=90% on-time publishing
Q1: Meet campaign KPIs · leads/MQLs/engagement at &gt;=90% of targets
Q1: Grow owned channel metric · traffic / followers / engagement by &gt;=15%
Q1: Keep creative/content rework cycles to &lt;=2 per deliverable on average</t>
        </is>
      </c>
      <c r="FG253" s="56" t="inlineStr">
        <is>
          <t>1. Deliver committed marketing/content calendar with &gt;=90% on-time publishing
2. Meet campaign KPIs · leads/MQLs/engagement at &gt;=90% of targets
3. Grow owned channel metric · traffic / followers / engagement by &gt;=15%
4. Support sales with collateral/assets within agreed turnaround · 100% on time
5. Track and report campaign ROI/performance monthly with full accuracy</t>
        </is>
      </c>
      <c r="FH253" s="56" t="n"/>
      <c r="FI253" s="56" t="n"/>
      <c r="FJ253" s="56" t="inlineStr">
        <is>
          <t>Received · manager annual, quarterly, self</t>
        </is>
      </c>
      <c r="FK253" s="56" t="inlineStr">
        <is>
          <t>Talent Mapping · iFile collated</t>
        </is>
      </c>
      <c r="FL253" s="56" t="n">
        <v>19</v>
      </c>
      <c r="FM253" s="32" t="inlineStr">
        <is>
          <t>Full survey answers not in the files received · How We Grow export needed · HR</t>
        </is>
      </c>
      <c r="FN253" s="56" t="inlineStr">
        <is>
          <t>—</t>
        </is>
      </c>
      <c r="FO253" s="56" t="inlineStr">
        <is>
          <t>—</t>
        </is>
      </c>
      <c r="FP253" s="56" t="inlineStr">
        <is>
          <t>—</t>
        </is>
      </c>
      <c r="FQ253" s="56" t="inlineStr">
        <is>
          <t>—</t>
        </is>
      </c>
      <c r="FR253" s="56" t="inlineStr">
        <is>
          <t>Complexity: Evidence reads like B1: Runs end-to-end marketing for the iFILE suite plus corporate communications, launches and events → moved down 0.5
Autonomy: Evidence reads like B1: Decides launch plan, GTM strategy, social media and brand communication for iFILE → moved down 0.5
Accountability: Evidence reads like B1: Accountable for iFILE lead generation, GTM launches, brand communication and events with a four-person team → moved down 0.5
Leadership: Evidence reads like B1: Four direct reports in HR data; text does not describe how the team is managed → matches the start
Business Impact: No survey or manager-mapping signal on criticality: kept at the start point.</t>
        </is>
      </c>
      <c r="FS253" s="56" t="n"/>
      <c r="FT253" s="56" t="inlineStr">
        <is>
          <t>Self-identified: Answered · no common topic
For the next role: Answered · no common topic</t>
        </is>
      </c>
      <c r="FU253" s="32" t="inlineStr">
        <is>
          <t>Full survey answers not in the files received · How We Grow export needed · HR</t>
        </is>
      </c>
    </row>
    <row r="254" ht="90" customHeight="1">
      <c r="A254" s="51" t="inlineStr">
        <is>
          <t>◂ Back</t>
        </is>
      </c>
      <c r="B254" s="29" t="inlineStr">
        <is>
          <t>Mapped</t>
        </is>
      </c>
      <c r="C254" s="28" t="inlineStr">
        <is>
          <t>Corporate</t>
        </is>
      </c>
      <c r="D254" s="29" t="inlineStr">
        <is>
          <t>IRIS2200</t>
        </is>
      </c>
      <c r="E254" s="29" t="inlineStr">
        <is>
          <t>Barsha Gloria Gomes</t>
        </is>
      </c>
      <c r="F254" s="29" t="inlineStr">
        <is>
          <t>Marketing</t>
        </is>
      </c>
      <c r="G254" s="29" t="inlineStr">
        <is>
          <t>Manager-Content</t>
        </is>
      </c>
      <c r="H254" s="29" t="inlineStr">
        <is>
          <t>Senior Content Marketing Specialist</t>
        </is>
      </c>
      <c r="I254" s="29" t="inlineStr">
        <is>
          <t>L5 – Manager</t>
        </is>
      </c>
      <c r="J254" s="29" t="inlineStr">
        <is>
          <t>B2</t>
        </is>
      </c>
      <c r="K254" s="29" t="inlineStr">
        <is>
          <t>• Same level</t>
        </is>
      </c>
      <c r="L254" s="29" t="inlineStr">
        <is>
          <t>Marketing &amp; Communications</t>
        </is>
      </c>
      <c r="M254" s="29" t="inlineStr">
        <is>
          <t>Content Marketing</t>
        </is>
      </c>
      <c r="N254" s="29" t="n"/>
      <c r="O254" s="29" t="n">
        <v>18</v>
      </c>
      <c r="P254" s="28" t="inlineStr">
        <is>
          <t>P4 / M3</t>
        </is>
      </c>
      <c r="Q254" s="29" t="inlineStr">
        <is>
          <t>Senior / Manager</t>
        </is>
      </c>
      <c r="R254" s="29" t="inlineStr">
        <is>
          <t>4–5</t>
        </is>
      </c>
      <c r="S254" s="29" t="inlineStr">
        <is>
          <t>6–9 yrs</t>
        </is>
      </c>
      <c r="T254" s="29" t="inlineStr">
        <is>
          <t>7–10 · 6–11</t>
        </is>
      </c>
      <c r="U254" s="29" t="inlineStr">
        <is>
          <t>Senior Marketing Specialist</t>
        </is>
      </c>
      <c r="V254" s="29" t="inlineStr">
        <is>
          <t>IRIS Vs Market Benchmark — CIM proficiency scale: 3–4 · IRIS Vs Competitor Benchmark — SaaS marketing ladder: Marketing Manager</t>
        </is>
      </c>
      <c r="W254" s="29" t="inlineStr">
        <is>
          <t>CIM Global Professional Marketing Framework — proficiency Aware → Active learner → Able → Accomplished → Authoritative</t>
        </is>
      </c>
      <c r="X254" s="29" t="inlineStr">
        <is>
          <t>Core 3 · Future 3 · Functional 4 · Leadership 2</t>
        </is>
      </c>
      <c r="Y254" s="52" t="n">
        <v>297</v>
      </c>
      <c r="Z254" s="53" t="inlineStr">
        <is>
          <t>IRIS2200</t>
        </is>
      </c>
      <c r="AA254" s="53" t="inlineStr">
        <is>
          <t>Employee</t>
        </is>
      </c>
      <c r="AB254" s="53" t="inlineStr">
        <is>
          <t>Active</t>
        </is>
      </c>
      <c r="AC254" s="53" t="inlineStr">
        <is>
          <t>Barsha Gloria Gomes</t>
        </is>
      </c>
      <c r="AD254" s="54" t="n">
        <v>45225</v>
      </c>
      <c r="AE254" s="53" t="inlineStr">
        <is>
          <t>Manager-Content</t>
        </is>
      </c>
      <c r="AF254" s="53" t="inlineStr">
        <is>
          <t>MA</t>
        </is>
      </c>
      <c r="AG254" s="53" t="inlineStr">
        <is>
          <t>Abhilash Menon</t>
        </is>
      </c>
      <c r="AH254" s="53" t="inlineStr">
        <is>
          <t>N-4</t>
        </is>
      </c>
      <c r="AI254" s="53" t="inlineStr">
        <is>
          <t>Individual Contributor</t>
        </is>
      </c>
      <c r="AJ254" s="53" t="inlineStr">
        <is>
          <t>7 years, 0 months, 0 days</t>
        </is>
      </c>
      <c r="AK254" s="53" t="inlineStr">
        <is>
          <t>2 years, 9 months, 30 days</t>
        </is>
      </c>
      <c r="AL254" s="53" t="inlineStr">
        <is>
          <t>Corporate Marketing</t>
        </is>
      </c>
      <c r="AM254" s="53" t="inlineStr">
        <is>
          <t>Corporate - Corporate Marketing</t>
        </is>
      </c>
      <c r="AN254" s="53" t="inlineStr">
        <is>
          <t>Marketing</t>
        </is>
      </c>
      <c r="AO254" s="53" t="inlineStr">
        <is>
          <t>Marketing</t>
        </is>
      </c>
      <c r="AP254" s="53" t="inlineStr">
        <is>
          <t>No</t>
        </is>
      </c>
      <c r="AQ254" s="53" t="inlineStr">
        <is>
          <t>Sales, Marketing &amp; Support</t>
        </is>
      </c>
      <c r="AR254" s="53" t="inlineStr">
        <is>
          <t>Content Writing</t>
        </is>
      </c>
      <c r="AS254" s="53" t="inlineStr">
        <is>
          <t>Non-technical</t>
        </is>
      </c>
      <c r="AT254" s="53" t="n">
        <v>20</v>
      </c>
      <c r="AU254" s="53" t="inlineStr">
        <is>
          <t>Covered</t>
        </is>
      </c>
      <c r="AV254" s="53" t="n"/>
      <c r="AW254" s="53" t="n"/>
      <c r="AX254" s="53" t="n"/>
      <c r="AY254" s="53" t="n"/>
      <c r="AZ254" s="53" t="n"/>
      <c r="BA254" s="53" t="n"/>
      <c r="BB254" s="53" t="n"/>
      <c r="BC254" s="53" t="n"/>
      <c r="BD254" s="53" t="n"/>
      <c r="BE254" s="53" t="n"/>
      <c r="BF254" s="53" t="n"/>
      <c r="BG254" s="53" t="n"/>
      <c r="BH254" s="53" t="n"/>
      <c r="BI254" s="53" t="n"/>
      <c r="BJ254" s="53" t="n"/>
      <c r="BK254" s="53" t="n"/>
      <c r="BL254" s="53" t="n"/>
      <c r="BM254" s="53" t="n"/>
      <c r="BN254" s="53" t="n"/>
      <c r="BO254" s="53" t="n"/>
      <c r="BP254" s="53" t="n"/>
      <c r="BQ254" s="53" t="n"/>
      <c r="BR254" s="53" t="n"/>
      <c r="BS254" s="53" t="n"/>
      <c r="BT254" s="53" t="n"/>
      <c r="BU254" s="53" t="n"/>
      <c r="BV254" s="53" t="n"/>
      <c r="BW254" s="53" t="n"/>
      <c r="BX254" s="53" t="n"/>
      <c r="BY254" s="53" t="n"/>
      <c r="BZ254" s="53" t="n"/>
      <c r="CA254" s="53" t="n"/>
      <c r="CB254" s="53" t="n"/>
      <c r="CC254" s="53" t="n"/>
      <c r="CD254" s="53" t="n"/>
      <c r="CE254" s="53" t="n"/>
      <c r="CF254" s="53" t="n"/>
      <c r="CG254" s="53" t="n"/>
      <c r="CH254" s="53" t="n"/>
      <c r="CI254" s="53" t="n"/>
      <c r="CJ254" s="53" t="n"/>
      <c r="CK254" s="53" t="n"/>
      <c r="CL254" s="53" t="n"/>
      <c r="CM254" s="53" t="n"/>
      <c r="CN254" s="53" t="n"/>
      <c r="CO254" s="53" t="n"/>
      <c r="CP254" s="53" t="n"/>
      <c r="CQ254" s="53" t="n"/>
      <c r="CR254" s="53" t="n"/>
      <c r="CS254" s="53" t="n"/>
      <c r="CT254" s="53" t="n"/>
      <c r="CU254" s="53" t="n"/>
      <c r="CV254" s="53" t="n"/>
      <c r="CW254" s="53" t="n"/>
      <c r="CX254" s="53" t="n"/>
      <c r="CY254" s="53" t="n"/>
      <c r="CZ254" s="53" t="n"/>
      <c r="DA254" s="53" t="n"/>
      <c r="DB254" s="53" t="n"/>
      <c r="DC254" s="53" t="n"/>
      <c r="DD254" s="53" t="inlineStr">
        <is>
          <t>IRIS2200</t>
        </is>
      </c>
      <c r="DE254" s="53" t="inlineStr">
        <is>
          <t>Employee</t>
        </is>
      </c>
      <c r="DF254" s="53" t="inlineStr">
        <is>
          <t>Active</t>
        </is>
      </c>
      <c r="DG254" s="53" t="inlineStr">
        <is>
          <t>Barsha Gloria Gomes</t>
        </is>
      </c>
      <c r="DH254" s="54" t="n">
        <v>45225</v>
      </c>
      <c r="DI254" s="53" t="inlineStr">
        <is>
          <t>Manager-Content</t>
        </is>
      </c>
      <c r="DJ254" s="53" t="inlineStr">
        <is>
          <t>Marketing &amp; Communications</t>
        </is>
      </c>
      <c r="DK254" s="53" t="inlineStr">
        <is>
          <t>Content Marketing</t>
        </is>
      </c>
      <c r="DL254" s="53" t="inlineStr">
        <is>
          <t>Manager-Content</t>
        </is>
      </c>
      <c r="DM254" s="53" t="inlineStr">
        <is>
          <t>L5 – Manager</t>
        </is>
      </c>
      <c r="DN254" s="53" t="inlineStr">
        <is>
          <t>MA</t>
        </is>
      </c>
      <c r="DO254" s="53" t="inlineStr">
        <is>
          <t>Arup Ganguly</t>
        </is>
      </c>
      <c r="DP254" s="53" t="inlineStr">
        <is>
          <t>N-2</t>
        </is>
      </c>
      <c r="DQ254" s="53" t="inlineStr">
        <is>
          <t>Individual Contributor</t>
        </is>
      </c>
      <c r="DR254" s="53" t="inlineStr">
        <is>
          <t>7 years, 0 months, 0 days</t>
        </is>
      </c>
      <c r="DS254" s="53" t="inlineStr">
        <is>
          <t>2 years, 7 months, 25 days</t>
        </is>
      </c>
      <c r="DT254" s="53" t="inlineStr">
        <is>
          <t>9 years, 7 months, 25 days</t>
        </is>
      </c>
      <c r="DU254" s="53" t="n"/>
      <c r="DV254" s="53" t="inlineStr">
        <is>
          <t>Corporate Marketing</t>
        </is>
      </c>
      <c r="DW254" s="53" t="inlineStr">
        <is>
          <t>Others - Corporate Marketing</t>
        </is>
      </c>
      <c r="DX254" s="53" t="inlineStr">
        <is>
          <t>Marketing</t>
        </is>
      </c>
      <c r="DY254" s="53" t="inlineStr">
        <is>
          <t>Marketing</t>
        </is>
      </c>
      <c r="DZ254" s="53" t="inlineStr">
        <is>
          <t>No</t>
        </is>
      </c>
      <c r="EA254" s="53" t="inlineStr">
        <is>
          <t>Sales, Marketing &amp; Support</t>
        </is>
      </c>
      <c r="EB254" s="53" t="inlineStr">
        <is>
          <t>Content Writing</t>
        </is>
      </c>
      <c r="EC254" s="53" t="inlineStr">
        <is>
          <t>Non-technical</t>
        </is>
      </c>
      <c r="ED254" s="53" t="inlineStr">
        <is>
          <t>Remote- Outside Mumbai</t>
        </is>
      </c>
      <c r="EE254" s="53" t="inlineStr">
        <is>
          <t>Publish a minimum of 4 blog posts per month · 12 per quarter adhering to the editorial calendar with ≥90% on-time delivery.
Deliver ≥3 long-form thought leadership assets per quarter · whitepapers, executive POVs, research reports with stakeholder sign-off in ≤2 revision cycles.
Achieve ≥10% quarter-over-quarter growth in organic search traffic to content pages, measured via GA4.
Maintain ≥15 target keywords ranking on Google Page 1 · positions 1–10 by quarter-end, tracked via Search Console.
Produce ≥30 total content assets per quarter across all formats · blogs, web copy, social posts, case studies, newsletters with 100% brand and factual accuracy on internal audit.
Coordinate SME reviews and obtain sign-off within ≤5 business days average turnaround per content piece.</t>
        </is>
      </c>
      <c r="EF254" s="53" t="inlineStr">
        <is>
          <t>1. Deliver committed marketing/content calendar with &gt;=90% on-time publishing
2. Meet campaign KPIs · leads/MQLs/engagement at &gt;=90% of targets
3. Grow owned channel metric · traffic / followers / engagement by &gt;=15%
4. Keep creative/content rework cycles to &lt;=2 per deliverable on average
5. Support sales with collateral/assets within agreed turnaround · 100% on time
6. Track and report campaign ROI/performance monthly with full accuracy</t>
        </is>
      </c>
      <c r="EG254" s="53" t="inlineStr">
        <is>
          <t>Q1: Deliver committed marketing/content calendar with &gt;=90% on-time publishing
Q1: Meet campaign KPIs · leads/MQLs/engagement at &gt;=90% of targets
Q1: Grow owned channel metric · traffic / followers / engagement by &gt;=15%
Q1: Keep creative/content rework cycles to &lt;=2 per deliverable on average</t>
        </is>
      </c>
      <c r="EH254" s="53" t="n">
        <v>3</v>
      </c>
      <c r="EI254" s="53" t="n"/>
      <c r="EJ254" s="53" t="n"/>
      <c r="EK254" s="53" t="n"/>
      <c r="EL254" s="53" t="n">
        <v>3</v>
      </c>
      <c r="EM254" s="53" t="inlineStr">
        <is>
          <t>Medium</t>
        </is>
      </c>
      <c r="EN254" s="53" t="inlineStr">
        <is>
          <t>Core Contributor</t>
        </is>
      </c>
      <c r="EO254" s="53" t="inlineStr">
        <is>
          <t>No</t>
        </is>
      </c>
      <c r="EP254" s="53" t="inlineStr">
        <is>
          <t>No</t>
        </is>
      </c>
      <c r="EQ254" s="53" t="inlineStr">
        <is>
          <t>Yes</t>
        </is>
      </c>
      <c r="ER254" s="53" t="n"/>
      <c r="ES254" s="53" t="n"/>
      <c r="ET254" s="53" t="n"/>
      <c r="EU254" s="53" t="n"/>
      <c r="EV254" s="53" t="n"/>
      <c r="EW254" s="52" t="n"/>
      <c r="EX254" s="53" t="n"/>
      <c r="EY254" s="53" t="n"/>
      <c r="EZ254" s="53" t="n"/>
      <c r="FA254" s="53" t="n"/>
      <c r="FB254" s="53" t="n"/>
      <c r="FC254" s="53" t="n"/>
      <c r="FD254" s="53" t="n"/>
      <c r="FE254" s="57" t="inlineStr">
        <is>
          <t>1. Deliver committed marketing/content calendar with &gt;=90% on-time publishing
2. Meet campaign KPIs · leads/MQLs/engagement at &gt;=90% of targets
3. Grow owned channel metric · traffic / followers / engagement by &gt;=15%
4. Keep creative/content rework cycles to &lt;=2 per deliverable on average
5. Support sales with collateral/assets within agreed turnaround · 100% on time
6. Track and report campaign ROI/performance monthly with full accuracy</t>
        </is>
      </c>
      <c r="FF254" s="56" t="inlineStr">
        <is>
          <t>Q1: Deliver committed marketing/content calendar with &gt;=90% on-time publishing
Q1: Meet campaign KPIs · leads/MQLs/engagement at &gt;=90% of targets
Q1: Grow owned channel metric · traffic / followers / engagement by &gt;=15%
Q1: Keep creative/content rework cycles to &lt;=2 per deliverable on average</t>
        </is>
      </c>
      <c r="FG254" s="56" t="inlineStr">
        <is>
          <t>Publish a minimum of 4 blog posts per month · 12 per quarter adhering to the editorial calendar with ≥90% on-time delivery.
Deliver ≥3 long-form thought leadership assets per quarter · whitepapers, executive POVs, research reports with stakeholder sign-off in ≤2 revision cycles.
Achieve ≥10% quarter-over-quarter growth in organic search traffic to content pages, measured via GA4.
Maintain ≥15 target keywords ranking on Google Page 1 · positions 1–10 by quarter-end, tracked via Search Console.
Produce ≥30 total content assets per quarter across all formats · blogs, web copy, social posts, case studies, newsletters with 100% brand and factual accuracy on internal audit.
Coordinate SME reviews and obtain sign-off within ≤5 business days average turnaround per content piece.</t>
        </is>
      </c>
      <c r="FH254" s="56" t="inlineStr">
        <is>
          <t>3</t>
        </is>
      </c>
      <c r="FI254" s="56" t="n"/>
      <c r="FJ254" s="56" t="inlineStr">
        <is>
          <t>Received · manager annual, quarterly, self</t>
        </is>
      </c>
      <c r="FK254" s="56" t="inlineStr">
        <is>
          <t>Talent Mapping · iFile collated</t>
        </is>
      </c>
      <c r="FL254" s="56" t="n">
        <v>18</v>
      </c>
      <c r="FM254" s="32" t="inlineStr">
        <is>
          <t>Full survey answers not in the files received · How We Grow export needed · HR</t>
        </is>
      </c>
      <c r="FN254" s="56" t="inlineStr">
        <is>
          <t>—</t>
        </is>
      </c>
      <c r="FO254" s="56" t="inlineStr">
        <is>
          <t>—</t>
        </is>
      </c>
      <c r="FP254" s="56" t="inlineStr">
        <is>
          <t>—</t>
        </is>
      </c>
      <c r="FQ254" s="56" t="inlineStr">
        <is>
          <t>—</t>
        </is>
      </c>
      <c r="FR254" s="56" t="inlineStr">
        <is>
          <t>Complexity: Evidence reads like B1: Plans and writes all content on regulatory subject matter: web, blogs, briefs, case studies, positioning → moved down 0.5
Autonomy: Evidence reads like A3: Decides content planning, editorial priorities and messaging; content still goes through SME/stakeholder sign-off → moved down 1
Accountability: Evidence reads like B1: All corporate content deliverables and brand messaging across channels → moved down 0.5
Leadership: Evidence reads like A1: No people guidance described; 0 direct reports → moved down 1
Business Impact: Moved +0.5: the survey / manager mapping marks it business-critical.</t>
        </is>
      </c>
      <c r="FS254" s="56" t="inlineStr">
        <is>
          <t>Common themes in sub-family holders, all levels' answers: content · creation · brand · marketing · leads · through
Common themes in sub-family holders, all levels' answers: content · blogs · week · research · campaign · assets
Common themes in sub-family holders, all levels' answers: content · media · social · marketing · blogs · campaigns
Common themes in sub-family holders, all levels' answers: content · social media · website · accountable · marketing · brand
Common themes in sub-family holders, all levels' answers: seo · blogs · content
If the work is missed · role-holders' themes: ranking.</t>
        </is>
      </c>
      <c r="FT254" s="56" t="inlineStr">
        <is>
          <t>Self-identified: Leadership &amp; people management
For the next role: Leadership &amp; people management</t>
        </is>
      </c>
      <c r="FU254" s="32" t="inlineStr">
        <is>
          <t>Full survey answers not in the files received · How We Grow export needed · HR</t>
        </is>
      </c>
    </row>
    <row r="255" ht="90" customHeight="1">
      <c r="A255" s="51" t="inlineStr">
        <is>
          <t>◂ Back</t>
        </is>
      </c>
      <c r="B255" s="29" t="inlineStr">
        <is>
          <t>Mapped</t>
        </is>
      </c>
      <c r="C255" s="28" t="inlineStr">
        <is>
          <t>Corporate</t>
        </is>
      </c>
      <c r="D255" s="29" t="inlineStr">
        <is>
          <t>IRIS2307</t>
        </is>
      </c>
      <c r="E255" s="29" t="inlineStr">
        <is>
          <t>Abhishek Sharma</t>
        </is>
      </c>
      <c r="F255" s="29" t="inlineStr">
        <is>
          <t>Marketing</t>
        </is>
      </c>
      <c r="G255" s="29" t="inlineStr">
        <is>
          <t>Senior Designer</t>
        </is>
      </c>
      <c r="H255" s="29" t="inlineStr">
        <is>
          <t>Senior Designer</t>
        </is>
      </c>
      <c r="I255" s="29" t="inlineStr">
        <is>
          <t>L4 – Senior</t>
        </is>
      </c>
      <c r="J255" s="29" t="inlineStr">
        <is>
          <t>A3</t>
        </is>
      </c>
      <c r="K255" s="29" t="inlineStr">
        <is>
          <t>• Same level</t>
        </is>
      </c>
      <c r="L255" s="29" t="inlineStr">
        <is>
          <t>Design &amp; Creative</t>
        </is>
      </c>
      <c r="M255" s="29" t="inlineStr">
        <is>
          <t>Brand, Graphic &amp; Video Design</t>
        </is>
      </c>
      <c r="N255" s="29" t="n"/>
      <c r="O255" s="29" t="n">
        <v>20</v>
      </c>
      <c r="P255" s="28" t="inlineStr">
        <is>
          <t>P2</t>
        </is>
      </c>
      <c r="Q255" s="29" t="inlineStr">
        <is>
          <t>Developing</t>
        </is>
      </c>
      <c r="R255" s="29" t="inlineStr">
        <is>
          <t>3 Apply</t>
        </is>
      </c>
      <c r="S255" s="29" t="inlineStr">
        <is>
          <t>2–4 yrs</t>
        </is>
      </c>
      <c r="T255" s="29" t="inlineStr">
        <is>
          <t>3–5 · 2–5</t>
        </is>
      </c>
      <c r="U255" s="29" t="inlineStr">
        <is>
          <t>Designer</t>
        </is>
      </c>
      <c r="V255" s="29" t="inlineStr">
        <is>
          <t>IRIS Vs Competitor Benchmark — UX / design ladder: Designer</t>
        </is>
      </c>
      <c r="W255" s="29" t="inlineStr">
        <is>
          <t>UX career ladder Junior → Designer → Senior → Lead → Principal; WCAG accessibility</t>
        </is>
      </c>
      <c r="X255" s="29" t="inlineStr">
        <is>
          <t>Core 2 · Future 2 · Functional 3 · Leadership not scored</t>
        </is>
      </c>
      <c r="Y255" s="52" t="n">
        <v>342</v>
      </c>
      <c r="Z255" s="53" t="inlineStr">
        <is>
          <t>IRIS2307</t>
        </is>
      </c>
      <c r="AA255" s="53" t="inlineStr">
        <is>
          <t>Employee</t>
        </is>
      </c>
      <c r="AB255" s="53" t="inlineStr">
        <is>
          <t>Active</t>
        </is>
      </c>
      <c r="AC255" s="53" t="inlineStr">
        <is>
          <t>Abhishek Sharma</t>
        </is>
      </c>
      <c r="AD255" s="54" t="n">
        <v>45551</v>
      </c>
      <c r="AE255" s="53" t="inlineStr">
        <is>
          <t>Senior Designer</t>
        </is>
      </c>
      <c r="AF255" s="53" t="inlineStr">
        <is>
          <t>HSC</t>
        </is>
      </c>
      <c r="AG255" s="53" t="inlineStr">
        <is>
          <t>Abhilash Menon</t>
        </is>
      </c>
      <c r="AH255" s="53" t="inlineStr">
        <is>
          <t>N-4</t>
        </is>
      </c>
      <c r="AI255" s="53" t="inlineStr">
        <is>
          <t>Individual Contributor</t>
        </is>
      </c>
      <c r="AJ255" s="53" t="inlineStr">
        <is>
          <t>4 years, 0 months, 0 days</t>
        </is>
      </c>
      <c r="AK255" s="53" t="inlineStr">
        <is>
          <t>1 years, 11 months, 9 days</t>
        </is>
      </c>
      <c r="AL255" s="53" t="inlineStr">
        <is>
          <t>Corporate Marketing</t>
        </is>
      </c>
      <c r="AM255" s="53" t="inlineStr">
        <is>
          <t>Corporate - Corporate Marketing</t>
        </is>
      </c>
      <c r="AN255" s="53" t="inlineStr">
        <is>
          <t>Marketing</t>
        </is>
      </c>
      <c r="AO255" s="53" t="inlineStr">
        <is>
          <t>Marketing</t>
        </is>
      </c>
      <c r="AP255" s="53" t="inlineStr">
        <is>
          <t>No</t>
        </is>
      </c>
      <c r="AQ255" s="53" t="inlineStr">
        <is>
          <t>Sales, Marketing &amp; Support</t>
        </is>
      </c>
      <c r="AR255" s="53" t="inlineStr">
        <is>
          <t>Graphic design</t>
        </is>
      </c>
      <c r="AS255" s="53" t="inlineStr">
        <is>
          <t>Non-technical</t>
        </is>
      </c>
      <c r="AT255" s="53" t="n">
        <v>20</v>
      </c>
      <c r="AU255" s="53" t="inlineStr">
        <is>
          <t>Covered</t>
        </is>
      </c>
      <c r="AV255" s="53" t="n"/>
      <c r="AW255" s="53" t="n"/>
      <c r="AX255" s="53" t="n"/>
      <c r="AY255" s="53" t="n"/>
      <c r="AZ255" s="53" t="n"/>
      <c r="BA255" s="53" t="n"/>
      <c r="BB255" s="53" t="n"/>
      <c r="BC255" s="53" t="n"/>
      <c r="BD255" s="53" t="n"/>
      <c r="BE255" s="53" t="n"/>
      <c r="BF255" s="53" t="n"/>
      <c r="BG255" s="53" t="n"/>
      <c r="BH255" s="53" t="n"/>
      <c r="BI255" s="53" t="n"/>
      <c r="BJ255" s="53" t="n"/>
      <c r="BK255" s="53" t="n"/>
      <c r="BL255" s="53" t="n"/>
      <c r="BM255" s="53" t="n"/>
      <c r="BN255" s="53" t="n"/>
      <c r="BO255" s="53" t="n"/>
      <c r="BP255" s="53" t="n"/>
      <c r="BQ255" s="53" t="n"/>
      <c r="BR255" s="53" t="n"/>
      <c r="BS255" s="53" t="n"/>
      <c r="BT255" s="53" t="n"/>
      <c r="BU255" s="53" t="n"/>
      <c r="BV255" s="53" t="n"/>
      <c r="BW255" s="53" t="n"/>
      <c r="BX255" s="53" t="n"/>
      <c r="BY255" s="53" t="n"/>
      <c r="BZ255" s="53" t="n"/>
      <c r="CA255" s="53" t="n"/>
      <c r="CB255" s="53" t="n"/>
      <c r="CC255" s="53" t="n"/>
      <c r="CD255" s="53" t="n"/>
      <c r="CE255" s="53" t="n"/>
      <c r="CF255" s="53" t="n"/>
      <c r="CG255" s="53" t="n"/>
      <c r="CH255" s="53" t="n"/>
      <c r="CI255" s="53" t="n"/>
      <c r="CJ255" s="53" t="n"/>
      <c r="CK255" s="53" t="n"/>
      <c r="CL255" s="53" t="n"/>
      <c r="CM255" s="53" t="n"/>
      <c r="CN255" s="53" t="n"/>
      <c r="CO255" s="53" t="n"/>
      <c r="CP255" s="53" t="n"/>
      <c r="CQ255" s="53" t="n"/>
      <c r="CR255" s="53" t="n"/>
      <c r="CS255" s="53" t="n"/>
      <c r="CT255" s="53" t="n"/>
      <c r="CU255" s="53" t="n"/>
      <c r="CV255" s="53" t="n"/>
      <c r="CW255" s="53" t="n"/>
      <c r="CX255" s="53" t="n"/>
      <c r="CY255" s="53" t="n"/>
      <c r="CZ255" s="53" t="n"/>
      <c r="DA255" s="53" t="n"/>
      <c r="DB255" s="53" t="n"/>
      <c r="DC255" s="53" t="n"/>
      <c r="DD255" s="53" t="inlineStr">
        <is>
          <t>IRIS2307</t>
        </is>
      </c>
      <c r="DE255" s="53" t="inlineStr">
        <is>
          <t>Employee</t>
        </is>
      </c>
      <c r="DF255" s="53" t="inlineStr">
        <is>
          <t>Active</t>
        </is>
      </c>
      <c r="DG255" s="53" t="inlineStr">
        <is>
          <t>Abhishek Sharma</t>
        </is>
      </c>
      <c r="DH255" s="54" t="n">
        <v>45551</v>
      </c>
      <c r="DI255" s="53" t="inlineStr">
        <is>
          <t>Senior Designer</t>
        </is>
      </c>
      <c r="DJ255" s="53" t="inlineStr">
        <is>
          <t>Design &amp; Creative</t>
        </is>
      </c>
      <c r="DK255" s="53" t="inlineStr">
        <is>
          <t>Graphic / Visual Design</t>
        </is>
      </c>
      <c r="DL255" s="53" t="inlineStr">
        <is>
          <t>Senior Designer</t>
        </is>
      </c>
      <c r="DM255" s="53" t="inlineStr">
        <is>
          <t>L4 – Senior</t>
        </is>
      </c>
      <c r="DN255" s="53" t="inlineStr">
        <is>
          <t>HSC</t>
        </is>
      </c>
      <c r="DO255" s="53" t="inlineStr">
        <is>
          <t>Arup Ganguly</t>
        </is>
      </c>
      <c r="DP255" s="53" t="inlineStr">
        <is>
          <t>N-2</t>
        </is>
      </c>
      <c r="DQ255" s="53" t="inlineStr">
        <is>
          <t>Individual Contributor</t>
        </is>
      </c>
      <c r="DR255" s="53" t="inlineStr">
        <is>
          <t>4 years, 0 months, 0 days</t>
        </is>
      </c>
      <c r="DS255" s="53" t="inlineStr">
        <is>
          <t>1 years, 9 months, 4 days</t>
        </is>
      </c>
      <c r="DT255" s="53" t="inlineStr">
        <is>
          <t>5 years, 9 months, 4 days</t>
        </is>
      </c>
      <c r="DU255" s="53" t="n"/>
      <c r="DV255" s="53" t="inlineStr">
        <is>
          <t>Corporate Marketing</t>
        </is>
      </c>
      <c r="DW255" s="53" t="inlineStr">
        <is>
          <t>Others - Corporate Marketing</t>
        </is>
      </c>
      <c r="DX255" s="53" t="inlineStr">
        <is>
          <t>Marketing</t>
        </is>
      </c>
      <c r="DY255" s="53" t="inlineStr">
        <is>
          <t>Marketing</t>
        </is>
      </c>
      <c r="DZ255" s="53" t="inlineStr">
        <is>
          <t>No</t>
        </is>
      </c>
      <c r="EA255" s="53" t="inlineStr">
        <is>
          <t>Sales, Marketing &amp; Support</t>
        </is>
      </c>
      <c r="EB255" s="53" t="inlineStr">
        <is>
          <t>Graphic design</t>
        </is>
      </c>
      <c r="EC255" s="53" t="inlineStr">
        <is>
          <t>Non-technical</t>
        </is>
      </c>
      <c r="ED255" s="53" t="inlineStr">
        <is>
          <t>Remote - Mumbai</t>
        </is>
      </c>
      <c r="EE255" s="53" t="inlineStr">
        <is>
          <t>Deliver all campaign creative assets with ≥95% on-time delivery against committed deadlines, tracked via the creative request tracker.
Produce ≥60 creative deliverables per quarter across static, animated, video, and document formats.
Deliver ≥6 video assets per quarter · product demos, explainers, social clips, motion graphics in final published form.
Achieve 100% brand guideline compliance across all published creatives, verified through quarterly brand audit.
Complete ≥10 website design tasks per quarter · landing pages, banners, UI elements within agreed SLA.
Maintain ≥85% first- or second-pass approval rate on creative assets, minimizing revision cycles to ≤2 per deliverable.</t>
        </is>
      </c>
      <c r="EF255" s="53" t="inlineStr">
        <is>
          <t>1. Deliver committed marketing/content calendar with &gt;=90% on-time publishing
2. Meet campaign KPIs · leads/MQLs/engagement at &gt;=90% of targets
3. Grow owned channel metric · traffic / followers / engagement by &gt;=15%
4. Keep creative/content rework cycles to &lt;=2 per deliverable on average
5. Support sales with collateral/assets within agreed turnaround · 100% on time
6. Track and report campaign ROI/performance monthly with full accuracy</t>
        </is>
      </c>
      <c r="EG255" s="53" t="inlineStr">
        <is>
          <t>Q1: Deliver committed marketing/content calendar with &gt;=90% on-time publishing
Q1: Meet campaign KPIs · leads/MQLs/engagement at &gt;=90% of targets
Q1: Grow owned channel metric · traffic / followers / engagement by &gt;=15%
Q1: Keep creative/content rework cycles to &lt;=2 per deliverable on average</t>
        </is>
      </c>
      <c r="EH255" s="53" t="n">
        <v>3</v>
      </c>
      <c r="EI255" s="53" t="n"/>
      <c r="EJ255" s="53" t="n"/>
      <c r="EK255" s="53" t="inlineStr">
        <is>
          <t>No</t>
        </is>
      </c>
      <c r="EL255" s="53" t="n">
        <v>3</v>
      </c>
      <c r="EM255" s="53" t="inlineStr">
        <is>
          <t>Medium</t>
        </is>
      </c>
      <c r="EN255" s="53" t="inlineStr">
        <is>
          <t>Reliable Specialist</t>
        </is>
      </c>
      <c r="EO255" s="53" t="inlineStr">
        <is>
          <t>No</t>
        </is>
      </c>
      <c r="EP255" s="53" t="inlineStr">
        <is>
          <t>No</t>
        </is>
      </c>
      <c r="EQ255" s="53" t="inlineStr">
        <is>
          <t>Yes</t>
        </is>
      </c>
      <c r="ER255" s="53" t="n"/>
      <c r="ES255" s="53" t="inlineStr">
        <is>
          <t>Creative Workshops in the orld of AI , brand &amp; creative best practices. AI tools for design</t>
        </is>
      </c>
      <c r="ET255" s="53" t="n"/>
      <c r="EU255" s="53" t="n"/>
      <c r="EV255" s="53" t="n"/>
      <c r="EW255" s="52" t="n"/>
      <c r="EX255" s="53" t="n"/>
      <c r="EY255" s="53" t="n"/>
      <c r="EZ255" s="53" t="n"/>
      <c r="FA255" s="53" t="n"/>
      <c r="FB255" s="53" t="n"/>
      <c r="FC255" s="53" t="n"/>
      <c r="FD255" s="53" t="n"/>
      <c r="FE255" s="57" t="inlineStr">
        <is>
          <t>1. Deliver committed marketing/content calendar with &gt;=90% on-time publishing
2. Meet campaign KPIs · leads/MQLs/engagement at &gt;=90% of targets
3. Grow owned channel metric · traffic / followers / engagement by &gt;=15%
4. Keep creative/content rework cycles to &lt;=2 per deliverable on average
5. Support sales with collateral/assets within agreed turnaround · 100% on time
6. Track and report campaign ROI/performance monthly with full accuracy</t>
        </is>
      </c>
      <c r="FF255" s="56" t="inlineStr">
        <is>
          <t>Q1: Deliver committed marketing/content calendar with &gt;=90% on-time publishing
Q1: Meet campaign KPIs · leads/MQLs/engagement at &gt;=90% of targets
Q1: Grow owned channel metric · traffic / followers / engagement by &gt;=15%
Q1: Keep creative/content rework cycles to &lt;=2 per deliverable on average</t>
        </is>
      </c>
      <c r="FG255" s="56" t="inlineStr">
        <is>
          <t>Deliver all campaign creative assets with ≥95% on-time delivery against committed deadlines, tracked via the creative request tracker.
Produce ≥60 creative deliverables per quarter across static, animated, video, and document formats.
Deliver ≥6 video assets per quarter · product demos, explainers, social clips, motion graphics in final published form.
Achieve 100% brand guideline compliance across all published creatives, verified through quarterly brand audit.
Complete ≥10 website design tasks per quarter · landing pages, banners, UI elements within agreed SLA.
Maintain ≥85% first- or second-pass approval rate on creative assets, minimizing revision cycles to ≤2 per deliverable.</t>
        </is>
      </c>
      <c r="FH255" s="56" t="inlineStr">
        <is>
          <t>3</t>
        </is>
      </c>
      <c r="FI255" s="56" t="n"/>
      <c r="FJ255" s="56" t="inlineStr">
        <is>
          <t>Received · manager annual, quarterly, self</t>
        </is>
      </c>
      <c r="FK255" s="56" t="inlineStr">
        <is>
          <t>Talent Mapping · iFile collated</t>
        </is>
      </c>
      <c r="FL255" s="56" t="n">
        <v>20</v>
      </c>
      <c r="FM255" s="32" t="inlineStr">
        <is>
          <t>Full survey answers not in the files received · How We Grow export needed · HR</t>
        </is>
      </c>
      <c r="FN255" s="56" t="inlineStr">
        <is>
          <t>—</t>
        </is>
      </c>
      <c r="FO255" s="56" t="inlineStr">
        <is>
          <t>—</t>
        </is>
      </c>
      <c r="FP255" s="56" t="inlineStr">
        <is>
          <t>—</t>
        </is>
      </c>
      <c r="FQ255" s="56" t="inlineStr">
        <is>
          <t>—</t>
        </is>
      </c>
      <c r="FR255" s="56" t="inlineStr">
        <is>
          <t>Complexity: Evidence reads like A3: Varied design: RFP presentations, sales kits, website UI/UX, video editing, event and corporate branding → matches the start
Autonomy: Evidence reads like A3: Decides design elements and core ideation for assets → matches the start
Accountability: Evidence reads like A3: Accountable for all design output and brand consistency; RFP and event deadlines affect opportunities → matches the start
Leadership: Evidence reads like A1: No guidance or leadership of others described → moved down 0.5
Business Impact: Moved +0.5: the survey / manager mapping marks it business-critical.</t>
        </is>
      </c>
      <c r="FS255" s="56" t="inlineStr">
        <is>
          <t>Common themes in sub-family holders, all levels' answers: media · social · collaterals · designing · shobhan · reports
Common themes in sub-family holders, all levels' answers: sales · event · collaterals
Common themes in sub-family holders, all levels' answers: decks · assets · video · event · presentation · social
Common themes in sub-family holders, all levels' answers: visual · design · presentation · solution
Common themes in sub-family holders, all levels' answers: design
If the work is missed · role-holders' themes: sales.</t>
        </is>
      </c>
      <c r="FT255" s="56" t="inlineStr">
        <is>
          <t>Self-identified: Answered · no common topic
For the next role: Answered · no common topic</t>
        </is>
      </c>
      <c r="FU255" s="32" t="inlineStr">
        <is>
          <t>Full survey answers not in the files received · How We Grow export needed · HR</t>
        </is>
      </c>
    </row>
    <row r="256" ht="90" customHeight="1">
      <c r="A256" s="51" t="inlineStr">
        <is>
          <t>◂ Back</t>
        </is>
      </c>
      <c r="B256" s="29" t="inlineStr">
        <is>
          <t>Mapped</t>
        </is>
      </c>
      <c r="C256" s="28" t="inlineStr">
        <is>
          <t>Corporate</t>
        </is>
      </c>
      <c r="D256" s="29" t="inlineStr">
        <is>
          <t>IRIS2190</t>
        </is>
      </c>
      <c r="E256" s="29" t="inlineStr">
        <is>
          <t>Esther Kanagaselvam D</t>
        </is>
      </c>
      <c r="F256" s="29" t="inlineStr">
        <is>
          <t>Marketing</t>
        </is>
      </c>
      <c r="G256" s="29" t="inlineStr">
        <is>
          <t>Executive Lead Generation and Database</t>
        </is>
      </c>
      <c r="H256" s="29" t="inlineStr">
        <is>
          <t>Senior Marketing Operations Associate</t>
        </is>
      </c>
      <c r="I256" s="29" t="inlineStr">
        <is>
          <t>L5 – Lead · IC</t>
        </is>
      </c>
      <c r="J256" s="29" t="inlineStr">
        <is>
          <t>A3</t>
        </is>
      </c>
      <c r="K256" s="29" t="inlineStr">
        <is>
          <t>▼ Down · protected</t>
        </is>
      </c>
      <c r="L256" s="29" t="inlineStr">
        <is>
          <t>Marketing &amp; Communications</t>
        </is>
      </c>
      <c r="M256" s="29" t="inlineStr">
        <is>
          <t>Marketing Operations &amp; Automation</t>
        </is>
      </c>
      <c r="N256" s="29" t="n"/>
      <c r="O256" s="29" t="n">
        <v>20</v>
      </c>
      <c r="P256" s="28" t="inlineStr">
        <is>
          <t>P2</t>
        </is>
      </c>
      <c r="Q256" s="29" t="inlineStr">
        <is>
          <t>Developing</t>
        </is>
      </c>
      <c r="R256" s="29" t="inlineStr">
        <is>
          <t>3 Apply</t>
        </is>
      </c>
      <c r="S256" s="29" t="inlineStr">
        <is>
          <t>2–4 yrs</t>
        </is>
      </c>
      <c r="T256" s="29" t="inlineStr">
        <is>
          <t>3–5 · 2–5</t>
        </is>
      </c>
      <c r="U256" s="29" t="inlineStr">
        <is>
          <t>Marketing Executive</t>
        </is>
      </c>
      <c r="V256" s="29" t="inlineStr">
        <is>
          <t>IRIS Vs Market Benchmark — CIM proficiency scale: 2–3 · IRIS Vs Competitor Benchmark — SaaS marketing ladder: Marketing Specialist</t>
        </is>
      </c>
      <c r="W256" s="29" t="inlineStr">
        <is>
          <t>CIM Global Professional Marketing Framework — proficiency Aware → Active learner → Able → Accomplished → Authoritative</t>
        </is>
      </c>
      <c r="X256" s="29" t="inlineStr">
        <is>
          <t>Core 2 · Future 2 · Functional 3 · Leadership not scored</t>
        </is>
      </c>
      <c r="Y256" s="52" t="n">
        <v>295</v>
      </c>
      <c r="Z256" s="53" t="inlineStr">
        <is>
          <t>IRIS2190</t>
        </is>
      </c>
      <c r="AA256" s="53" t="inlineStr">
        <is>
          <t>Employee</t>
        </is>
      </c>
      <c r="AB256" s="53" t="inlineStr">
        <is>
          <t>Active</t>
        </is>
      </c>
      <c r="AC256" s="53" t="inlineStr">
        <is>
          <t>Esther Kanagaselvam D</t>
        </is>
      </c>
      <c r="AD256" s="54" t="n">
        <v>45194</v>
      </c>
      <c r="AE256" s="53" t="inlineStr">
        <is>
          <t>Executive Lead Generation and Database</t>
        </is>
      </c>
      <c r="AF256" s="53" t="inlineStr">
        <is>
          <t>B.E</t>
        </is>
      </c>
      <c r="AG256" s="53" t="inlineStr">
        <is>
          <t>Abhilash Menon</t>
        </is>
      </c>
      <c r="AH256" s="53" t="inlineStr">
        <is>
          <t>N-4</t>
        </is>
      </c>
      <c r="AI256" s="53" t="inlineStr">
        <is>
          <t>Individual Contributor</t>
        </is>
      </c>
      <c r="AJ256" s="53" t="inlineStr">
        <is>
          <t>2 years, 6 months, 0 days</t>
        </is>
      </c>
      <c r="AK256" s="53" t="inlineStr">
        <is>
          <t>2 years, 11 months, 0 days</t>
        </is>
      </c>
      <c r="AL256" s="53" t="inlineStr">
        <is>
          <t>Corporate Marketing</t>
        </is>
      </c>
      <c r="AM256" s="53" t="inlineStr">
        <is>
          <t>Corporate - Corporate Marketing</t>
        </is>
      </c>
      <c r="AN256" s="53" t="inlineStr">
        <is>
          <t>Marketing</t>
        </is>
      </c>
      <c r="AO256" s="53" t="inlineStr">
        <is>
          <t>Marketing</t>
        </is>
      </c>
      <c r="AP256" s="53" t="inlineStr">
        <is>
          <t>No</t>
        </is>
      </c>
      <c r="AQ256" s="53" t="inlineStr">
        <is>
          <t>Sales, Marketing &amp; Support</t>
        </is>
      </c>
      <c r="AR256" s="53" t="inlineStr">
        <is>
          <t>Marketing</t>
        </is>
      </c>
      <c r="AS256" s="53" t="inlineStr">
        <is>
          <t>Non-technical</t>
        </is>
      </c>
      <c r="AT256" s="53" t="n">
        <v>20</v>
      </c>
      <c r="AU256" s="53" t="inlineStr">
        <is>
          <t>Covered</t>
        </is>
      </c>
      <c r="AV256" s="53" t="n"/>
      <c r="AW256" s="53" t="n"/>
      <c r="AX256" s="53" t="n"/>
      <c r="AY256" s="53" t="n"/>
      <c r="AZ256" s="53" t="n"/>
      <c r="BA256" s="53" t="n"/>
      <c r="BB256" s="53" t="n"/>
      <c r="BC256" s="53" t="n"/>
      <c r="BD256" s="53" t="n"/>
      <c r="BE256" s="53" t="n"/>
      <c r="BF256" s="53" t="n"/>
      <c r="BG256" s="53" t="n"/>
      <c r="BH256" s="53" t="n"/>
      <c r="BI256" s="53" t="n"/>
      <c r="BJ256" s="53" t="n"/>
      <c r="BK256" s="53" t="n"/>
      <c r="BL256" s="53" t="n"/>
      <c r="BM256" s="53" t="n"/>
      <c r="BN256" s="53" t="n"/>
      <c r="BO256" s="53" t="n"/>
      <c r="BP256" s="53" t="n"/>
      <c r="BQ256" s="53" t="n"/>
      <c r="BR256" s="53" t="n"/>
      <c r="BS256" s="53" t="n"/>
      <c r="BT256" s="53" t="n"/>
      <c r="BU256" s="53" t="n"/>
      <c r="BV256" s="53" t="n"/>
      <c r="BW256" s="53" t="n"/>
      <c r="BX256" s="53" t="n"/>
      <c r="BY256" s="53" t="n"/>
      <c r="BZ256" s="53" t="n"/>
      <c r="CA256" s="53" t="n"/>
      <c r="CB256" s="53" t="n"/>
      <c r="CC256" s="53" t="n"/>
      <c r="CD256" s="53" t="n"/>
      <c r="CE256" s="53" t="n"/>
      <c r="CF256" s="53" t="n"/>
      <c r="CG256" s="53" t="n"/>
      <c r="CH256" s="53" t="n"/>
      <c r="CI256" s="53" t="n"/>
      <c r="CJ256" s="53" t="n"/>
      <c r="CK256" s="53" t="n"/>
      <c r="CL256" s="53" t="n"/>
      <c r="CM256" s="53" t="n"/>
      <c r="CN256" s="53" t="n"/>
      <c r="CO256" s="53" t="n"/>
      <c r="CP256" s="53" t="n"/>
      <c r="CQ256" s="53" t="n"/>
      <c r="CR256" s="53" t="n"/>
      <c r="CS256" s="53" t="n"/>
      <c r="CT256" s="53" t="n"/>
      <c r="CU256" s="53" t="n"/>
      <c r="CV256" s="53" t="n"/>
      <c r="CW256" s="53" t="n"/>
      <c r="CX256" s="53" t="n"/>
      <c r="CY256" s="53" t="n"/>
      <c r="CZ256" s="53" t="n"/>
      <c r="DA256" s="53" t="n"/>
      <c r="DB256" s="53" t="n"/>
      <c r="DC256" s="53" t="n"/>
      <c r="DD256" s="53" t="inlineStr">
        <is>
          <t>IRIS2190</t>
        </is>
      </c>
      <c r="DE256" s="53" t="inlineStr">
        <is>
          <t>Employee</t>
        </is>
      </c>
      <c r="DF256" s="53" t="inlineStr">
        <is>
          <t>Active</t>
        </is>
      </c>
      <c r="DG256" s="53" t="inlineStr">
        <is>
          <t>Esther Kanagaselvam D</t>
        </is>
      </c>
      <c r="DH256" s="54" t="n">
        <v>45194</v>
      </c>
      <c r="DI256" s="53" t="inlineStr">
        <is>
          <t>Executive Lead Generation and Database</t>
        </is>
      </c>
      <c r="DJ256" s="53" t="inlineStr">
        <is>
          <t>Data &amp; Analytics</t>
        </is>
      </c>
      <c r="DK256" s="53" t="inlineStr">
        <is>
          <t>Data &amp; Analytics</t>
        </is>
      </c>
      <c r="DL256" s="53" t="inlineStr">
        <is>
          <t>Executive Lead Generation and Database</t>
        </is>
      </c>
      <c r="DM256" s="53" t="inlineStr">
        <is>
          <t>L5 – Lead · IC</t>
        </is>
      </c>
      <c r="DN256" s="53" t="inlineStr">
        <is>
          <t>B.E</t>
        </is>
      </c>
      <c r="DO256" s="53" t="inlineStr">
        <is>
          <t>Arup Ganguly</t>
        </is>
      </c>
      <c r="DP256" s="53" t="inlineStr">
        <is>
          <t>N-2</t>
        </is>
      </c>
      <c r="DQ256" s="53" t="inlineStr">
        <is>
          <t>Individual Contributor</t>
        </is>
      </c>
      <c r="DR256" s="53" t="inlineStr">
        <is>
          <t>2 years, 6 months, 0 days</t>
        </is>
      </c>
      <c r="DS256" s="53" t="inlineStr">
        <is>
          <t>2 years, 8 months, 26 days</t>
        </is>
      </c>
      <c r="DT256" s="53" t="inlineStr">
        <is>
          <t>5 years, 2 months, 26 days</t>
        </is>
      </c>
      <c r="DU256" s="53" t="n"/>
      <c r="DV256" s="53" t="inlineStr">
        <is>
          <t>Corporate Marketing</t>
        </is>
      </c>
      <c r="DW256" s="53" t="inlineStr">
        <is>
          <t>Others - Corporate Marketing</t>
        </is>
      </c>
      <c r="DX256" s="53" t="inlineStr">
        <is>
          <t>Marketing</t>
        </is>
      </c>
      <c r="DY256" s="53" t="inlineStr">
        <is>
          <t>Marketing</t>
        </is>
      </c>
      <c r="DZ256" s="53" t="inlineStr">
        <is>
          <t>No</t>
        </is>
      </c>
      <c r="EA256" s="53" t="inlineStr">
        <is>
          <t>Sales, Marketing &amp; Support</t>
        </is>
      </c>
      <c r="EB256" s="53" t="inlineStr">
        <is>
          <t>Marketing</t>
        </is>
      </c>
      <c r="EC256" s="53" t="inlineStr">
        <is>
          <t>Non-technical</t>
        </is>
      </c>
      <c r="ED256" s="53" t="inlineStr">
        <is>
          <t>Remote- Outside Mumbai</t>
        </is>
      </c>
      <c r="EE256" s="53" t="inlineStr">
        <is>
          <t>Maintain ≥98% lead routing accuracy with all leads correctly assigned to the appropriate sales owner within defined SLA, tracked in Zoho CRM.
Achieve ≥95% CRM data quality score — no duplicates, complete required fields, valid formats — verified through monthly data audits.
Publish 100% of scheduled social media posts on or before the planned date and time, per the content calendar.
Deliver all EDM campaigns with ≥25% average open rate and ≥12% click-to-open rate across the quarter.
Complete all campaign operations tasks · list builds, segmentation, email setup, UTM tagging with ≥90% SLA adherence.
Deploy ≥3 new marketing automation workflows or integrations per quarter and document ≥2 CRM process improvements.</t>
        </is>
      </c>
      <c r="EF256" s="53" t="inlineStr">
        <is>
          <t>1. Generate assigned number of qualified leads / SQLs per month · meet 100% of target
2. Maintain outbound activity volume · calls/emails to agreed daily/weekly cadence
3. Achieve meeting-booked conversion of &gt;=10% from qualified outreach
4. Keep CRM data accuracy and lead handoff documentation at 100%
5. Contribute pipeline value meeting assigned sourced-pipeline target
6. Maintain &lt;=1 business-day response SLA on inbound enquiries</t>
        </is>
      </c>
      <c r="EG256" s="53" t="inlineStr">
        <is>
          <t>Q1: Generate assigned number of qualified leads / SQLs per month · meet 100% of target
Q1: Maintain outbound activity volume · calls/emails to agreed daily/weekly cadence
Q1: Achieve meeting-booked conversion of &gt;=10% from qualified outreach
Q1: Keep CRM data accuracy and lead handoff documentation at 100%</t>
        </is>
      </c>
      <c r="EH256" s="53" t="n">
        <v>2</v>
      </c>
      <c r="EI256" s="53" t="inlineStr">
        <is>
          <t>June</t>
        </is>
      </c>
      <c r="EJ256" s="53" t="n"/>
      <c r="EK256" s="53" t="inlineStr">
        <is>
          <t>Yes</t>
        </is>
      </c>
      <c r="EL256" s="53" t="n">
        <v>2</v>
      </c>
      <c r="EM256" s="53" t="inlineStr">
        <is>
          <t>Low</t>
        </is>
      </c>
      <c r="EN256" s="53" t="inlineStr">
        <is>
          <t>Performance Risk</t>
        </is>
      </c>
      <c r="EO256" s="53" t="inlineStr">
        <is>
          <t>No</t>
        </is>
      </c>
      <c r="EP256" s="53" t="inlineStr">
        <is>
          <t>No</t>
        </is>
      </c>
      <c r="EQ256" s="53" t="inlineStr">
        <is>
          <t>No</t>
        </is>
      </c>
      <c r="ER256" s="53" t="inlineStr">
        <is>
          <t>In works</t>
        </is>
      </c>
      <c r="ES256" s="53" t="n"/>
      <c r="ET256" s="53" t="n"/>
      <c r="EU256" s="53" t="inlineStr">
        <is>
          <t>Working on a exit plan for her</t>
        </is>
      </c>
      <c r="EV256" s="53" t="n"/>
      <c r="EW256" s="52" t="n"/>
      <c r="EX256" s="53" t="n"/>
      <c r="EY256" s="53" t="n"/>
      <c r="EZ256" s="53" t="n"/>
      <c r="FA256" s="53" t="n"/>
      <c r="FB256" s="53" t="n"/>
      <c r="FC256" s="53" t="n"/>
      <c r="FD256" s="53" t="n"/>
      <c r="FE256" s="57" t="inlineStr">
        <is>
          <t>1. Generate assigned number of qualified leads / SQLs per month · meet 100% of target
2. Maintain outbound activity volume · calls/emails to agreed daily/weekly cadence
3. Achieve meeting-booked conversion of &gt;=10% from qualified outreach
4. Keep CRM data accuracy and lead handoff documentation at 100%
5. Contribute pipeline value meeting assigned sourced-pipeline target
6. Maintain &lt;=1 business-day response SLA on inbound enquiries</t>
        </is>
      </c>
      <c r="FF256" s="56" t="inlineStr">
        <is>
          <t>Q1: Generate assigned number of qualified leads / SQLs per month · meet 100% of target
Q1: Maintain outbound activity volume · calls/emails to agreed daily/weekly cadence
Q1: Achieve meeting-booked conversion of &gt;=10% from qualified outreach
Q1: Keep CRM data accuracy and lead handoff documentation at 100%</t>
        </is>
      </c>
      <c r="FG256" s="56" t="inlineStr">
        <is>
          <t>Maintain ≥98% lead routing accuracy with all leads correctly assigned to the appropriate sales owner within defined SLA, tracked in Zoho CRM.
Achieve ≥95% CRM data quality score — no duplicates, complete required fields, valid formats — verified through monthly data audits.
Publish 100% of scheduled social media posts on or before the planned date and time, per the content calendar.
Deliver all EDM campaigns with ≥25% average open rate and ≥12% click-to-open rate across the quarter.
Complete all campaign operations tasks · list builds, segmentation, email setup, UTM tagging with ≥90% SLA adherence.
Deploy ≥3 new marketing automation workflows or integrations per quarter and document ≥2 CRM process improvements.</t>
        </is>
      </c>
      <c r="FH256" s="56" t="inlineStr">
        <is>
          <t>2</t>
        </is>
      </c>
      <c r="FI256" s="56" t="n"/>
      <c r="FJ256" s="56" t="inlineStr">
        <is>
          <t>Received · manager annual, quarterly, self</t>
        </is>
      </c>
      <c r="FK256" s="56" t="inlineStr">
        <is>
          <t>Talent Mapping · iFile collated</t>
        </is>
      </c>
      <c r="FL256" s="56" t="n">
        <v>20</v>
      </c>
      <c r="FM256" s="32" t="inlineStr">
        <is>
          <t>Full survey answers not in the files received · How We Grow export needed · HR</t>
        </is>
      </c>
      <c r="FN256" s="56" t="inlineStr">
        <is>
          <t>—</t>
        </is>
      </c>
      <c r="FO256" s="56" t="inlineStr">
        <is>
          <t>—</t>
        </is>
      </c>
      <c r="FP256" s="56" t="inlineStr">
        <is>
          <t>—</t>
        </is>
      </c>
      <c r="FQ256" s="56" t="inlineStr">
        <is>
          <t>—</t>
        </is>
      </c>
      <c r="FR256" s="56" t="inlineStr">
        <is>
          <t>Complexity: Evidence reads like A3: Configures Zoho CRM lead assignment rules, automation and UTM attribution; campaign lists and reports across units → moved up 0.5
Autonomy: Evidence reads like A3: Independently configures lead assignment rules, UTM tracking, marketing lists, data hygiene and reports → moved up 0.5
Accountability: Evidence reads like A3: own survey / KRA answers · summarised by the rater; not quoted → moved up 0.5
Leadership: Evidence reads like A1: No guiding or leading of others described → matches the start
Business Impact: No survey or manager-mapping signal on criticality: kept at the start point.</t>
        </is>
      </c>
      <c r="FS256" s="56" t="inlineStr">
        <is>
          <t>Common themes in role-holders' answers: business · management · crm · lead
Common themes in role-holders' answers: data · crm · lead routing · hygiene · campaign
Common themes in role-holders' answers: data · lead
Common themes in role-holders' answers: data · accuracy · crm · lead routing · reporting · leads
Common themes in role-holders' answers: hygiene · data · crm · campaign
If the work is missed · role-holders' themes: wasted · data · lead.</t>
        </is>
      </c>
      <c r="FT256" s="56" t="inlineStr">
        <is>
          <t>Self-identified: AI / automation · Data, SQL &amp; analytics · Product &amp; tool knowledge · Marketing &amp; content · Broader exposure &amp; ownership
For the next role: AI / automation · Data, SQL &amp; analytics · Product &amp; tool knowledge · Marketing &amp; content · Broader exposure &amp; ownership</t>
        </is>
      </c>
      <c r="FU256" s="32" t="inlineStr">
        <is>
          <t>Full survey answers not in the files received · How We Grow export needed · HR</t>
        </is>
      </c>
    </row>
    <row r="257" ht="90" customHeight="1">
      <c r="A257" s="51" t="inlineStr">
        <is>
          <t>◂ Back</t>
        </is>
      </c>
      <c r="B257" s="29" t="inlineStr">
        <is>
          <t>Mapped</t>
        </is>
      </c>
      <c r="C257" s="28" t="inlineStr">
        <is>
          <t>iFile</t>
        </is>
      </c>
      <c r="D257" s="29" t="inlineStr">
        <is>
          <t>IRIS2550</t>
        </is>
      </c>
      <c r="E257" s="29" t="inlineStr">
        <is>
          <t>Shashwat Dikshit</t>
        </is>
      </c>
      <c r="F257" s="29" t="inlineStr">
        <is>
          <t>Marketing</t>
        </is>
      </c>
      <c r="G257" s="29" t="inlineStr">
        <is>
          <t>Marketing Operations Specialist</t>
        </is>
      </c>
      <c r="H257" s="29" t="inlineStr">
        <is>
          <t>Senior Marketing Operations Associate</t>
        </is>
      </c>
      <c r="I257" s="29" t="inlineStr">
        <is>
          <t>Not in current mapping files</t>
        </is>
      </c>
      <c r="J257" s="29" t="inlineStr">
        <is>
          <t>A3</t>
        </is>
      </c>
      <c r="K257" s="29" t="inlineStr">
        <is>
          <t>● Newly mapped</t>
        </is>
      </c>
      <c r="L257" s="29" t="inlineStr">
        <is>
          <t>Marketing &amp; Communications</t>
        </is>
      </c>
      <c r="M257" s="29" t="inlineStr">
        <is>
          <t>Marketing Operations &amp; Automation</t>
        </is>
      </c>
      <c r="N257" s="29" t="n"/>
      <c r="O257" s="29" t="n">
        <v>19</v>
      </c>
      <c r="P257" s="28" t="inlineStr">
        <is>
          <t>P2</t>
        </is>
      </c>
      <c r="Q257" s="29" t="inlineStr">
        <is>
          <t>Developing</t>
        </is>
      </c>
      <c r="R257" s="29" t="inlineStr">
        <is>
          <t>3 Apply</t>
        </is>
      </c>
      <c r="S257" s="29" t="inlineStr">
        <is>
          <t>2–4 yrs</t>
        </is>
      </c>
      <c r="T257" s="29" t="inlineStr">
        <is>
          <t>3–5 · 2–5</t>
        </is>
      </c>
      <c r="U257" s="29" t="inlineStr">
        <is>
          <t>Marketing Executive</t>
        </is>
      </c>
      <c r="V257" s="29" t="inlineStr">
        <is>
          <t>IRIS Vs Market Benchmark — CIM proficiency scale: 2–3 · IRIS Vs Competitor Benchmark — SaaS marketing ladder: Marketing Specialist</t>
        </is>
      </c>
      <c r="W257" s="29" t="inlineStr">
        <is>
          <t>CIM Global Professional Marketing Framework — proficiency Aware → Active learner → Able → Accomplished → Authoritative</t>
        </is>
      </c>
      <c r="X257" s="29" t="inlineStr">
        <is>
          <t>Core 2 · Future 2 · Functional 3 · Leadership not scored</t>
        </is>
      </c>
      <c r="Y257" s="52" t="n">
        <v>523</v>
      </c>
      <c r="Z257" s="53" t="inlineStr">
        <is>
          <t>IRIS2550</t>
        </is>
      </c>
      <c r="AA257" s="53" t="inlineStr">
        <is>
          <t>Employee</t>
        </is>
      </c>
      <c r="AB257" s="53" t="inlineStr">
        <is>
          <t>Active</t>
        </is>
      </c>
      <c r="AC257" s="53" t="inlineStr">
        <is>
          <t>Shashwat Dikshit</t>
        </is>
      </c>
      <c r="AD257" s="54" t="n">
        <v>46237</v>
      </c>
      <c r="AE257" s="53" t="inlineStr">
        <is>
          <t>Marketing Operations Specialist</t>
        </is>
      </c>
      <c r="AF257" s="53" t="inlineStr">
        <is>
          <t>Masters of Science</t>
        </is>
      </c>
      <c r="AG257" s="53" t="inlineStr">
        <is>
          <t>Abhilash Menon</t>
        </is>
      </c>
      <c r="AH257" s="53" t="inlineStr">
        <is>
          <t>N-4</t>
        </is>
      </c>
      <c r="AI257" s="53" t="inlineStr">
        <is>
          <t>Individual Contributor</t>
        </is>
      </c>
      <c r="AJ257" s="53" t="inlineStr">
        <is>
          <t>4 years, 7 months, 0 days</t>
        </is>
      </c>
      <c r="AK257" s="53" t="inlineStr">
        <is>
          <t>0 years, 0 months, 22 days</t>
        </is>
      </c>
      <c r="AL257" s="53" t="inlineStr">
        <is>
          <t>Suptech</t>
        </is>
      </c>
      <c r="AM257" s="53" t="inlineStr">
        <is>
          <t>iFile</t>
        </is>
      </c>
      <c r="AN257" s="53" t="inlineStr">
        <is>
          <t>Marketing</t>
        </is>
      </c>
      <c r="AO257" s="53" t="inlineStr">
        <is>
          <t>Marketing</t>
        </is>
      </c>
      <c r="AP257" s="53" t="inlineStr">
        <is>
          <t>No</t>
        </is>
      </c>
      <c r="AQ257" s="53" t="inlineStr">
        <is>
          <t>Sales, Marketing &amp; Support</t>
        </is>
      </c>
      <c r="AR257" s="53" t="inlineStr">
        <is>
          <t>Marketing</t>
        </is>
      </c>
      <c r="AS257" s="53" t="inlineStr">
        <is>
          <t>Non-technical</t>
        </is>
      </c>
      <c r="AT257" s="53" t="n">
        <v>20</v>
      </c>
      <c r="AU257" s="53" t="inlineStr">
        <is>
          <t>Covered</t>
        </is>
      </c>
      <c r="AV257" s="53" t="n"/>
      <c r="AW257" s="53" t="n"/>
      <c r="AX257" s="53" t="n"/>
      <c r="AY257" s="53" t="n"/>
      <c r="AZ257" s="53" t="n"/>
      <c r="BA257" s="53" t="n"/>
      <c r="BB257" s="53" t="n"/>
      <c r="BC257" s="53" t="n"/>
      <c r="BD257" s="53" t="n"/>
      <c r="BE257" s="53" t="n"/>
      <c r="BF257" s="53" t="n"/>
      <c r="BG257" s="53" t="n"/>
      <c r="BH257" s="53" t="n"/>
      <c r="BI257" s="53" t="n"/>
      <c r="BJ257" s="53" t="n"/>
      <c r="BK257" s="53" t="n"/>
      <c r="BL257" s="53" t="n"/>
      <c r="BM257" s="53" t="n"/>
      <c r="BN257" s="53" t="n"/>
      <c r="BO257" s="53" t="n"/>
      <c r="BP257" s="53" t="n"/>
      <c r="BQ257" s="53" t="n"/>
      <c r="BR257" s="53" t="n"/>
      <c r="BS257" s="53" t="n"/>
      <c r="BT257" s="53" t="n"/>
      <c r="BU257" s="53" t="n"/>
      <c r="BV257" s="53" t="n"/>
      <c r="BW257" s="53" t="n"/>
      <c r="BX257" s="53" t="n"/>
      <c r="BY257" s="53" t="n"/>
      <c r="BZ257" s="53" t="n"/>
      <c r="CA257" s="53" t="n"/>
      <c r="CB257" s="53" t="n"/>
      <c r="CC257" s="53" t="n"/>
      <c r="CD257" s="53" t="n"/>
      <c r="CE257" s="53" t="n"/>
      <c r="CF257" s="53" t="n"/>
      <c r="CG257" s="53" t="n"/>
      <c r="CH257" s="53" t="n"/>
      <c r="CI257" s="53" t="n"/>
      <c r="CJ257" s="53" t="n"/>
      <c r="CK257" s="53" t="n"/>
      <c r="CL257" s="53" t="n"/>
      <c r="CM257" s="53" t="n"/>
      <c r="CN257" s="53" t="n"/>
      <c r="CO257" s="53" t="n"/>
      <c r="CP257" s="53" t="n"/>
      <c r="CQ257" s="53" t="n"/>
      <c r="CR257" s="53" t="n"/>
      <c r="CS257" s="53" t="n"/>
      <c r="CT257" s="53" t="n"/>
      <c r="CU257" s="53" t="n"/>
      <c r="CV257" s="53" t="n"/>
      <c r="CW257" s="53" t="n"/>
      <c r="CX257" s="53" t="n"/>
      <c r="CY257" s="53" t="n"/>
      <c r="CZ257" s="53" t="n"/>
      <c r="DA257" s="53" t="n"/>
      <c r="DB257" s="53" t="n"/>
      <c r="DC257" s="53" t="n"/>
      <c r="DD257" s="53" t="n"/>
      <c r="DE257" s="53" t="n"/>
      <c r="DF257" s="53" t="n"/>
      <c r="DG257" s="53" t="n"/>
      <c r="DH257" s="53" t="n"/>
      <c r="DI257" s="53" t="n"/>
      <c r="DJ257" s="53" t="n"/>
      <c r="DK257" s="53" t="n"/>
      <c r="DL257" s="53" t="n"/>
      <c r="DM257" s="53" t="n"/>
      <c r="DN257" s="53" t="n"/>
      <c r="DO257" s="53" t="n"/>
      <c r="DP257" s="53" t="n"/>
      <c r="DQ257" s="53" t="n"/>
      <c r="DR257" s="53" t="n"/>
      <c r="DS257" s="53" t="n"/>
      <c r="DT257" s="53" t="n"/>
      <c r="DU257" s="53" t="n"/>
      <c r="DV257" s="53" t="n"/>
      <c r="DW257" s="53" t="n"/>
      <c r="DX257" s="53" t="n"/>
      <c r="DY257" s="53" t="n"/>
      <c r="DZ257" s="53" t="n"/>
      <c r="EA257" s="53" t="n"/>
      <c r="EB257" s="53" t="n"/>
      <c r="EC257" s="53" t="n"/>
      <c r="ED257" s="53" t="n"/>
      <c r="EE257" s="53" t="n"/>
      <c r="EF257" s="53" t="n"/>
      <c r="EG257" s="53" t="n"/>
      <c r="EH257" s="53" t="n"/>
      <c r="EI257" s="53" t="n"/>
      <c r="EJ257" s="53" t="n"/>
      <c r="EK257" s="53" t="n"/>
      <c r="EL257" s="53" t="n"/>
      <c r="EM257" s="53" t="n"/>
      <c r="EN257" s="53" t="n"/>
      <c r="EO257" s="53" t="n"/>
      <c r="EP257" s="53" t="n"/>
      <c r="EQ257" s="53" t="n"/>
      <c r="ER257" s="53" t="n"/>
      <c r="ES257" s="53" t="n"/>
      <c r="ET257" s="53" t="n"/>
      <c r="EU257" s="53" t="n"/>
      <c r="EV257" s="53" t="n"/>
      <c r="EW257" s="52" t="n"/>
      <c r="EX257" s="53" t="n"/>
      <c r="EY257" s="53" t="n"/>
      <c r="EZ257" s="53" t="n"/>
      <c r="FA257" s="53" t="n"/>
      <c r="FB257" s="53" t="n"/>
      <c r="FC257" s="53" t="n"/>
      <c r="FD257" s="53" t="n"/>
      <c r="FE257" s="55" t="inlineStr">
        <is>
          <t>KRAs not received · manager to supply</t>
        </is>
      </c>
      <c r="FF257" s="56" t="n"/>
      <c r="FG257" s="56" t="n"/>
      <c r="FH257" s="56" t="n"/>
      <c r="FI257" s="56" t="n"/>
      <c r="FJ257" s="32" t="inlineStr">
        <is>
          <t>KRAs not received · manager to supply</t>
        </is>
      </c>
      <c r="FK257" s="56" t="n"/>
      <c r="FL257" s="56" t="n">
        <v>19</v>
      </c>
      <c r="FM257" s="32" t="inlineStr">
        <is>
          <t>Full survey answers not in the files received · How We Grow export needed · HR</t>
        </is>
      </c>
      <c r="FN257" s="56" t="inlineStr">
        <is>
          <t>—</t>
        </is>
      </c>
      <c r="FO257" s="56" t="inlineStr">
        <is>
          <t>—</t>
        </is>
      </c>
      <c r="FP257" s="56" t="inlineStr">
        <is>
          <t>—</t>
        </is>
      </c>
      <c r="FQ257" s="56" t="inlineStr">
        <is>
          <t>—</t>
        </is>
      </c>
      <c r="FR257" s="56" t="inlineStr">
        <is>
          <t>Complexity: Evidence reads like A3: Runs Google and LinkedIn paid campaigns, lead routing, website analytics, AI SEO and contact database → moved down 0.5
Autonomy: Evidence reads like A3: Independently handles analytics audits, campaign analysis and website health checks → moved down 0.5
Accountability: Evidence reads like A3: own survey / KRA answers · summarised by the rater; not quoted → moved down 0.5
Leadership: Evidence reads like A1: No guidance or leadership of others described → moved down 1
Business Impact: No survey or manager-mapping signal on criticality: kept at the start point.</t>
        </is>
      </c>
      <c r="FS257" s="56" t="inlineStr">
        <is>
          <t>Common themes in role-holders' answers: business · management · crm · lead
Common themes in role-holders' answers: data · crm · lead routing · hygiene · campaign
Common themes in role-holders' answers: data · lead
Common themes in role-holders' answers: data · accuracy · crm · lead routing · reporting · leads
Common themes in role-holders' answers: hygiene · data · crm · campaign
If the work is missed · role-holders' themes: wasted · data · lead.</t>
        </is>
      </c>
      <c r="FT257" s="56" t="inlineStr">
        <is>
          <t>Self-identified: Answered · no common topic
For the next role: Answered · no common topic</t>
        </is>
      </c>
      <c r="FU257" s="32" t="inlineStr">
        <is>
          <t>Full survey answers not in the files received · How We Grow export needed · HR</t>
        </is>
      </c>
    </row>
    <row r="258" ht="90" customHeight="1">
      <c r="A258" s="51" t="inlineStr">
        <is>
          <t>◂ Back</t>
        </is>
      </c>
      <c r="B258" s="29" t="inlineStr">
        <is>
          <t>Mapped</t>
        </is>
      </c>
      <c r="C258" s="28" t="inlineStr">
        <is>
          <t>iFile</t>
        </is>
      </c>
      <c r="D258" s="29" t="inlineStr">
        <is>
          <t>IRISC312</t>
        </is>
      </c>
      <c r="E258" s="29" t="inlineStr">
        <is>
          <t>Rajesh Nair</t>
        </is>
      </c>
      <c r="F258" s="29" t="inlineStr">
        <is>
          <t>Sales</t>
        </is>
      </c>
      <c r="G258" s="29" t="inlineStr">
        <is>
          <t>Consultant</t>
        </is>
      </c>
      <c r="H258" s="29" t="inlineStr">
        <is>
          <t>Consultant – Enterprise Sales &amp; Account Management</t>
        </is>
      </c>
      <c r="I258" s="29" t="inlineStr">
        <is>
          <t>L3 – Professional / Associate</t>
        </is>
      </c>
      <c r="J258" s="29" t="inlineStr">
        <is>
          <t>X2</t>
        </is>
      </c>
      <c r="K258" s="29" t="inlineStr">
        <is>
          <t>• Same level</t>
        </is>
      </c>
      <c r="L258" s="29" t="inlineStr">
        <is>
          <t>Sales &amp; Business Development</t>
        </is>
      </c>
      <c r="M258" s="29" t="inlineStr">
        <is>
          <t>Enterprise Sales &amp; Account Management</t>
        </is>
      </c>
      <c r="N258" s="29" t="n"/>
      <c r="O258" s="29" t="n">
        <v>20</v>
      </c>
      <c r="P258" s="28" t="inlineStr">
        <is>
          <t>Contractor</t>
        </is>
      </c>
      <c r="Q258" s="29" t="inlineStr">
        <is>
          <t>—</t>
        </is>
      </c>
      <c r="R258" s="29" t="inlineStr">
        <is>
          <t>—</t>
        </is>
      </c>
      <c r="S258" s="29" t="inlineStr">
        <is>
          <t>4–10 yrs</t>
        </is>
      </c>
      <c r="T258" s="29" t="inlineStr">
        <is>
          <t>—</t>
        </is>
      </c>
      <c r="U258" s="29" t="inlineStr">
        <is>
          <t>Contractor · rate card</t>
        </is>
      </c>
      <c r="V258" s="29" t="inlineStr">
        <is>
          <t>—</t>
        </is>
      </c>
      <c r="W258" s="29" t="inlineStr">
        <is>
          <t>SaaS sales ladder · SDR → AE → Enterprise AE → VP / CRO; MEDDICC-style qualification</t>
        </is>
      </c>
      <c r="X258" s="29" t="inlineStr">
        <is>
          <t>Per statement of work</t>
        </is>
      </c>
      <c r="Y258" s="52" t="n">
        <v>373</v>
      </c>
      <c r="Z258" s="53" t="inlineStr">
        <is>
          <t>IRISC312</t>
        </is>
      </c>
      <c r="AA258" s="53" t="inlineStr">
        <is>
          <t>Full Time Consultant</t>
        </is>
      </c>
      <c r="AB258" s="53" t="inlineStr">
        <is>
          <t>Active</t>
        </is>
      </c>
      <c r="AC258" s="53" t="inlineStr">
        <is>
          <t>Rajesh Nair</t>
        </is>
      </c>
      <c r="AD258" s="54" t="n">
        <v>45811</v>
      </c>
      <c r="AE258" s="53" t="inlineStr">
        <is>
          <t>Consultant</t>
        </is>
      </c>
      <c r="AF258" s="53" t="inlineStr">
        <is>
          <t>MBA</t>
        </is>
      </c>
      <c r="AG258" s="53" t="inlineStr">
        <is>
          <t>Arup Ganguly</t>
        </is>
      </c>
      <c r="AH258" s="53" t="inlineStr">
        <is>
          <t>N-3</t>
        </is>
      </c>
      <c r="AI258" s="53" t="inlineStr">
        <is>
          <t>Individual Contributor</t>
        </is>
      </c>
      <c r="AJ258" s="53" t="inlineStr">
        <is>
          <t>14 years, 0 months, 0 days</t>
        </is>
      </c>
      <c r="AK258" s="53" t="inlineStr">
        <is>
          <t>1 years, 2 months, 22 days</t>
        </is>
      </c>
      <c r="AL258" s="53" t="inlineStr">
        <is>
          <t>Suptech</t>
        </is>
      </c>
      <c r="AM258" s="53" t="inlineStr">
        <is>
          <t>iFile</t>
        </is>
      </c>
      <c r="AN258" s="53" t="inlineStr">
        <is>
          <t>Sales</t>
        </is>
      </c>
      <c r="AO258" s="53" t="inlineStr">
        <is>
          <t>Sales</t>
        </is>
      </c>
      <c r="AP258" s="53" t="inlineStr">
        <is>
          <t>No</t>
        </is>
      </c>
      <c r="AQ258" s="53" t="inlineStr">
        <is>
          <t>Sales, Marketing &amp; Support</t>
        </is>
      </c>
      <c r="AR258" s="53" t="inlineStr">
        <is>
          <t>Sales</t>
        </is>
      </c>
      <c r="AS258" s="53" t="inlineStr">
        <is>
          <t>Non-technical</t>
        </is>
      </c>
      <c r="AT258" s="53" t="n">
        <v>20</v>
      </c>
      <c r="AU258" s="53" t="inlineStr">
        <is>
          <t>Covered</t>
        </is>
      </c>
      <c r="AV258" s="53" t="n"/>
      <c r="AW258" s="53" t="n"/>
      <c r="AX258" s="53" t="n"/>
      <c r="AY258" s="53" t="n"/>
      <c r="AZ258" s="53" t="n"/>
      <c r="BA258" s="53" t="n"/>
      <c r="BB258" s="53" t="n"/>
      <c r="BC258" s="53" t="n"/>
      <c r="BD258" s="53" t="n"/>
      <c r="BE258" s="53" t="n"/>
      <c r="BF258" s="53" t="n"/>
      <c r="BG258" s="53" t="n"/>
      <c r="BH258" s="53" t="n"/>
      <c r="BI258" s="53" t="n"/>
      <c r="BJ258" s="53" t="n"/>
      <c r="BK258" s="53" t="n"/>
      <c r="BL258" s="53" t="n"/>
      <c r="BM258" s="53" t="n"/>
      <c r="BN258" s="53" t="n"/>
      <c r="BO258" s="53" t="n"/>
      <c r="BP258" s="53" t="n"/>
      <c r="BQ258" s="53" t="n"/>
      <c r="BR258" s="53" t="n"/>
      <c r="BS258" s="53" t="n"/>
      <c r="BT258" s="53" t="n"/>
      <c r="BU258" s="53" t="n"/>
      <c r="BV258" s="53" t="n"/>
      <c r="BW258" s="53" t="n"/>
      <c r="BX258" s="53" t="n"/>
      <c r="BY258" s="53" t="n"/>
      <c r="BZ258" s="53" t="n"/>
      <c r="CA258" s="53" t="n"/>
      <c r="CB258" s="53" t="n"/>
      <c r="CC258" s="53" t="n"/>
      <c r="CD258" s="53" t="n"/>
      <c r="CE258" s="53" t="n"/>
      <c r="CF258" s="53" t="n"/>
      <c r="CG258" s="53" t="n"/>
      <c r="CH258" s="53" t="n"/>
      <c r="CI258" s="53" t="n"/>
      <c r="CJ258" s="53" t="n"/>
      <c r="CK258" s="53" t="n"/>
      <c r="CL258" s="53" t="n"/>
      <c r="CM258" s="53" t="n"/>
      <c r="CN258" s="53" t="n"/>
      <c r="CO258" s="53" t="n"/>
      <c r="CP258" s="53" t="n"/>
      <c r="CQ258" s="53" t="n"/>
      <c r="CR258" s="53" t="n"/>
      <c r="CS258" s="53" t="n"/>
      <c r="CT258" s="53" t="n"/>
      <c r="CU258" s="53" t="n"/>
      <c r="CV258" s="53" t="n"/>
      <c r="CW258" s="53" t="n"/>
      <c r="CX258" s="53" t="n"/>
      <c r="CY258" s="53" t="n"/>
      <c r="CZ258" s="53" t="n"/>
      <c r="DA258" s="53" t="n"/>
      <c r="DB258" s="53" t="n"/>
      <c r="DC258" s="53" t="n"/>
      <c r="DD258" s="53" t="inlineStr">
        <is>
          <t>IRISC312</t>
        </is>
      </c>
      <c r="DE258" s="53" t="inlineStr">
        <is>
          <t>Full Time Consultant</t>
        </is>
      </c>
      <c r="DF258" s="53" t="inlineStr">
        <is>
          <t>Active</t>
        </is>
      </c>
      <c r="DG258" s="53" t="inlineStr">
        <is>
          <t>Rajesh Nair</t>
        </is>
      </c>
      <c r="DH258" s="54" t="n">
        <v>45811</v>
      </c>
      <c r="DI258" s="53" t="inlineStr">
        <is>
          <t>Consultant</t>
        </is>
      </c>
      <c r="DJ258" s="53" t="inlineStr">
        <is>
          <t>Consulting &amp; Professional Services</t>
        </is>
      </c>
      <c r="DK258" s="53" t="inlineStr">
        <is>
          <t>XBRL / Regulatory Reporting</t>
        </is>
      </c>
      <c r="DL258" s="53" t="inlineStr">
        <is>
          <t>Consultant</t>
        </is>
      </c>
      <c r="DM258" s="53" t="inlineStr">
        <is>
          <t>L3 – Professional / Associate</t>
        </is>
      </c>
      <c r="DN258" s="53" t="inlineStr">
        <is>
          <t>MBA</t>
        </is>
      </c>
      <c r="DO258" s="53" t="inlineStr">
        <is>
          <t>Arup Ganguly</t>
        </is>
      </c>
      <c r="DP258" s="53" t="inlineStr">
        <is>
          <t>N-2</t>
        </is>
      </c>
      <c r="DQ258" s="53" t="inlineStr">
        <is>
          <t>Individual Contributor</t>
        </is>
      </c>
      <c r="DR258" s="53" t="inlineStr">
        <is>
          <t>14 years, 0 months, 0 days</t>
        </is>
      </c>
      <c r="DS258" s="53" t="inlineStr">
        <is>
          <t>1 years, 0 months, 17 days</t>
        </is>
      </c>
      <c r="DT258" s="53" t="inlineStr">
        <is>
          <t>15 years, 0 months, 17 days</t>
        </is>
      </c>
      <c r="DU258" s="53" t="n"/>
      <c r="DV258" s="53" t="inlineStr">
        <is>
          <t>Suptech</t>
        </is>
      </c>
      <c r="DW258" s="53" t="inlineStr">
        <is>
          <t>iFile</t>
        </is>
      </c>
      <c r="DX258" s="53" t="inlineStr">
        <is>
          <t>Sales</t>
        </is>
      </c>
      <c r="DY258" s="53" t="inlineStr">
        <is>
          <t>Sales</t>
        </is>
      </c>
      <c r="DZ258" s="53" t="inlineStr">
        <is>
          <t>No</t>
        </is>
      </c>
      <c r="EA258" s="53" t="inlineStr">
        <is>
          <t>Sales, Marketing &amp; Support</t>
        </is>
      </c>
      <c r="EB258" s="53" t="inlineStr">
        <is>
          <t>Sales</t>
        </is>
      </c>
      <c r="EC258" s="53" t="inlineStr">
        <is>
          <t>Non-technical</t>
        </is>
      </c>
      <c r="ED258" s="53" t="inlineStr">
        <is>
          <t>Remote - Mumbai</t>
        </is>
      </c>
      <c r="EE258" s="53" t="inlineStr">
        <is>
          <t>1."Billing &amp; Collections @100% efficiency 
2.Coordination with Partner for monthly Payment @100 Efficiency 
3.Coordinate with Sales, Product for Client Success 
4.Keep CRM hygiene at 100% · all opportunities &amp; activities logged &amp; current @100% "
5. Coordinate &amp; Maintain Sales Qualification to Sales Outreach within a day</t>
        </is>
      </c>
      <c r="EF258" s="53" t="inlineStr">
        <is>
          <t>1. Achieve assigned annual sales / revenue quota · target: 100% of number
2. Build and maintain qualified pipeline of &gt;=3x quota coverage
3. Maintain healthy win rate on qualified opportunities
4. Keep CRM hygiene at 100% · all opportunities &amp; activities logged &amp; current
5. Drive new logo acquisition: meet assigned new-account target for the year
6. Achieve forecast accuracy within +/-15% each quarter
7. Maintain average sales cycle within target band for the segment</t>
        </is>
      </c>
      <c r="EG258" s="53" t="inlineStr">
        <is>
          <t>Q1: Achieve assigned quarterly sales / revenue quota · target: 100% of number
Q1: Build and maintain qualified pipeline of &gt;=3x quota coverage
Q1: Maintain healthy win rate on qualified opportunities
Q1: Keep CRM hygiene at 100% · all opportunities &amp; activities logged &amp; current</t>
        </is>
      </c>
      <c r="EH258" s="53" t="n">
        <v>3</v>
      </c>
      <c r="EI258" s="53" t="inlineStr">
        <is>
          <t>June</t>
        </is>
      </c>
      <c r="EJ258" s="53" t="inlineStr">
        <is>
          <t>Sales Coordinator</t>
        </is>
      </c>
      <c r="EK258" s="53" t="n"/>
      <c r="EL258" s="53" t="n">
        <v>3</v>
      </c>
      <c r="EM258" s="53" t="inlineStr">
        <is>
          <t>Medium</t>
        </is>
      </c>
      <c r="EN258" s="53" t="inlineStr">
        <is>
          <t>Core Contributor</t>
        </is>
      </c>
      <c r="EO258" s="53" t="inlineStr">
        <is>
          <t>No</t>
        </is>
      </c>
      <c r="EP258" s="53" t="inlineStr">
        <is>
          <t>No</t>
        </is>
      </c>
      <c r="EQ258" s="53" t="inlineStr">
        <is>
          <t>Yes</t>
        </is>
      </c>
      <c r="ER258" s="53" t="inlineStr">
        <is>
          <t>No</t>
        </is>
      </c>
      <c r="ES258" s="53" t="inlineStr">
        <is>
          <t>AI usage for the work , Deep CRM Knowledge</t>
        </is>
      </c>
      <c r="ET258" s="53" t="n"/>
      <c r="EU258" s="53" t="n"/>
      <c r="EV258" s="53" t="n"/>
      <c r="EW258" s="52" t="n"/>
      <c r="EX258" s="53" t="n"/>
      <c r="EY258" s="53" t="n"/>
      <c r="EZ258" s="53" t="n"/>
      <c r="FA258" s="53" t="n"/>
      <c r="FB258" s="53" t="n"/>
      <c r="FC258" s="53" t="n"/>
      <c r="FD258" s="53" t="n"/>
      <c r="FE258" s="57" t="inlineStr">
        <is>
          <t>1. Achieve assigned annual sales / revenue quota · target: 100% of number
2. Build and maintain qualified pipeline of &gt;=3x quota coverage
3. Maintain healthy win rate · &gt;=20% on qualified opportunities
4. Keep CRM hygiene at 100% · all opportunities &amp; activities logged &amp; current
5. Drive new logo acquisition: meet assigned new-account target for the year
6. Achieve forecast accuracy within +/-15% each quarter
7. Maintain average sales cycle within target band for the segment</t>
        </is>
      </c>
      <c r="FF258" s="56" t="inlineStr">
        <is>
          <t>Q1: Achieve assigned quarterly sales / revenue quota · target: 100% of number
Q1: Build and maintain qualified pipeline of &gt;=3x quota coverage
Q1: Maintain healthy win rate · &gt;=20% on qualified opportunities
Q1: Keep CRM hygiene at 100% · all opportunities &amp; activities logged &amp; current</t>
        </is>
      </c>
      <c r="FG258" s="56" t="inlineStr">
        <is>
          <t>1."Billing &amp; Collections @100% efficiency 
2.Coordination with Partner for monthly Payment @100 Efficiency 
3.Coordinate with Sales, Product for Client Success 
4.Keep CRM hygiene at 100% · all opportunities &amp; activities logged &amp; current @100% "
5. Coordinate &amp; Maintain Sales Qualification to Sales Outreach within a day</t>
        </is>
      </c>
      <c r="FH258" s="56" t="inlineStr">
        <is>
          <t>3</t>
        </is>
      </c>
      <c r="FI258" s="56" t="n"/>
      <c r="FJ258" s="56" t="inlineStr">
        <is>
          <t>Received · manager annual, quarterly, self</t>
        </is>
      </c>
      <c r="FK258" s="56" t="inlineStr">
        <is>
          <t>Talent Mapping · iFile collated</t>
        </is>
      </c>
      <c r="FL258" s="56" t="n">
        <v>20</v>
      </c>
      <c r="FM258" s="32" t="inlineStr">
        <is>
          <t>Full survey answers not in the files received · How We Grow export needed · HR</t>
        </is>
      </c>
      <c r="FN258" s="56" t="inlineStr">
        <is>
          <t>—</t>
        </is>
      </c>
      <c r="FO258" s="56" t="inlineStr">
        <is>
          <t>—</t>
        </is>
      </c>
      <c r="FP258" s="56" t="inlineStr">
        <is>
          <t>—</t>
        </is>
      </c>
      <c r="FQ258" s="56" t="inlineStr">
        <is>
          <t>—</t>
        </is>
      </c>
      <c r="FR258" s="56" t="n"/>
      <c r="FS258" s="56" t="inlineStr">
        <is>
          <t>Common themes in sub-family holders, all levels' answers: sales · company · revenue
Common themes in sub-family holders, all levels' answers: ups · follow
Common themes in sub-family holders, all levels' answers: client
Common themes in sub-family holders, all levels' answers: revenue · client · target
Common themes in sub-family holders, all levels' answers: meeting</t>
        </is>
      </c>
      <c r="FT258" s="56" t="inlineStr">
        <is>
          <t>Self-identified: Answered · no common topic
For the next role: Answered · no common topic</t>
        </is>
      </c>
      <c r="FU258" s="32" t="inlineStr">
        <is>
          <t>Full survey answers not in the files received · How We Grow export needed · HR</t>
        </is>
      </c>
    </row>
    <row r="259" ht="90" customHeight="1">
      <c r="A259" s="51" t="inlineStr">
        <is>
          <t>◂ Back</t>
        </is>
      </c>
      <c r="B259" s="29" t="inlineStr">
        <is>
          <t>Mapped</t>
        </is>
      </c>
      <c r="C259" s="28" t="inlineStr">
        <is>
          <t>iFile</t>
        </is>
      </c>
      <c r="D259" s="29" t="inlineStr">
        <is>
          <t>IRISC223</t>
        </is>
      </c>
      <c r="E259" s="29" t="inlineStr">
        <is>
          <t>Pradip Dey</t>
        </is>
      </c>
      <c r="F259" s="29" t="inlineStr">
        <is>
          <t>Technology</t>
        </is>
      </c>
      <c r="G259" s="29" t="inlineStr">
        <is>
          <t>Head Delivery</t>
        </is>
      </c>
      <c r="H259" s="29" t="inlineStr">
        <is>
          <t>Head – Delivery</t>
        </is>
      </c>
      <c r="I259" s="29" t="inlineStr">
        <is>
          <t>L7 – Head / Sr Director</t>
        </is>
      </c>
      <c r="J259" s="29" t="inlineStr">
        <is>
          <t>C2</t>
        </is>
      </c>
      <c r="K259" s="29" t="inlineStr">
        <is>
          <t>• Same level</t>
        </is>
      </c>
      <c r="L259" s="29" t="inlineStr">
        <is>
          <t>Executive Leadership</t>
        </is>
      </c>
      <c r="M259" s="29" t="inlineStr">
        <is>
          <t>Business Head</t>
        </is>
      </c>
      <c r="N259" s="29" t="inlineStr">
        <is>
          <t>• Survey response or KRAs describing the work · nothing on file — Employee + manager
• Confirm hands-on delivery share · Player-Coach candidate — Manager</t>
        </is>
      </c>
      <c r="O259" s="29" t="n">
        <v>0</v>
      </c>
      <c r="P259" s="28" t="inlineStr">
        <is>
          <t>P7 / M6</t>
        </is>
      </c>
      <c r="Q259" s="29" t="inlineStr">
        <is>
          <t>— / Senior Director</t>
        </is>
      </c>
      <c r="R259" s="29" t="inlineStr">
        <is>
          <t>6 Initiate, influence</t>
        </is>
      </c>
      <c r="S259" s="29" t="inlineStr">
        <is>
          <t>12–17 yrs</t>
        </is>
      </c>
      <c r="T259" s="29" t="inlineStr">
        <is>
          <t>—</t>
        </is>
      </c>
      <c r="U259" s="29" t="inlineStr">
        <is>
          <t>Senior Head / General Manager</t>
        </is>
      </c>
      <c r="V259" s="29" t="inlineStr">
        <is>
          <t>IRIS Vs Competitor Benchmark — PMI pathway + SaaS delivery ladder: Director PMO / Delivery</t>
        </is>
      </c>
      <c r="W259" s="29" t="inlineStr">
        <is>
          <t>PMI PMBOK and Talent Triangle; CAPM · entry → PMP → PgMP; Scrum / SAFe</t>
        </is>
      </c>
      <c r="X259" s="29" t="inlineStr">
        <is>
          <t>Core 4 · Future 4 · Functional 5 · Leadership 4</t>
        </is>
      </c>
      <c r="Y259" s="52" t="n">
        <v>209</v>
      </c>
      <c r="Z259" s="53" t="inlineStr">
        <is>
          <t>IRISC223</t>
        </is>
      </c>
      <c r="AA259" s="53" t="inlineStr">
        <is>
          <t>Full Time Consultant</t>
        </is>
      </c>
      <c r="AB259" s="53" t="inlineStr">
        <is>
          <t>Active</t>
        </is>
      </c>
      <c r="AC259" s="53" t="inlineStr">
        <is>
          <t>Pradip Dey</t>
        </is>
      </c>
      <c r="AD259" s="54" t="n">
        <v>44595</v>
      </c>
      <c r="AE259" s="53" t="inlineStr">
        <is>
          <t>Head Delivery</t>
        </is>
      </c>
      <c r="AF259" s="53" t="inlineStr">
        <is>
          <t>MCA</t>
        </is>
      </c>
      <c r="AG259" s="53" t="inlineStr">
        <is>
          <t>Shailesh Gupta</t>
        </is>
      </c>
      <c r="AH259" s="53" t="inlineStr">
        <is>
          <t>N-2</t>
        </is>
      </c>
      <c r="AI259" s="53" t="inlineStr">
        <is>
          <t>Manager</t>
        </is>
      </c>
      <c r="AJ259" s="53" t="inlineStr">
        <is>
          <t>20 years, 0 months, 0 days</t>
        </is>
      </c>
      <c r="AK259" s="53" t="inlineStr">
        <is>
          <t>4 years, 6 months, 22 days</t>
        </is>
      </c>
      <c r="AL259" s="53" t="inlineStr">
        <is>
          <t>Suptech</t>
        </is>
      </c>
      <c r="AM259" s="53" t="inlineStr">
        <is>
          <t>iFile</t>
        </is>
      </c>
      <c r="AN259" s="53" t="inlineStr">
        <is>
          <t>Technology</t>
        </is>
      </c>
      <c r="AO259" s="53" t="inlineStr">
        <is>
          <t>Client Engagement</t>
        </is>
      </c>
      <c r="AP259" s="53" t="inlineStr">
        <is>
          <t>No</t>
        </is>
      </c>
      <c r="AQ259" s="53" t="inlineStr">
        <is>
          <t>Client Engagement</t>
        </is>
      </c>
      <c r="AR259" s="53" t="inlineStr">
        <is>
          <t>Project Management</t>
        </is>
      </c>
      <c r="AS259" s="53" t="inlineStr">
        <is>
          <t>Technical · BA, PM and QA</t>
        </is>
      </c>
      <c r="AT259" s="53" t="n">
        <v>0</v>
      </c>
      <c r="AU259" s="53" t="inlineStr">
        <is>
          <t>E-Top management</t>
        </is>
      </c>
      <c r="AV259" s="53" t="n"/>
      <c r="AW259" s="53" t="n"/>
      <c r="AX259" s="53" t="n"/>
      <c r="AY259" s="53" t="n"/>
      <c r="AZ259" s="53" t="n"/>
      <c r="BA259" s="53" t="n"/>
      <c r="BB259" s="53" t="n"/>
      <c r="BC259" s="53" t="n"/>
      <c r="BD259" s="53" t="n"/>
      <c r="BE259" s="53" t="n"/>
      <c r="BF259" s="53" t="n"/>
      <c r="BG259" s="53" t="n"/>
      <c r="BH259" s="53" t="n"/>
      <c r="BI259" s="53" t="n"/>
      <c r="BJ259" s="53" t="n"/>
      <c r="BK259" s="53" t="n"/>
      <c r="BL259" s="53" t="n"/>
      <c r="BM259" s="53" t="n"/>
      <c r="BN259" s="53" t="n"/>
      <c r="BO259" s="53" t="n"/>
      <c r="BP259" s="53" t="n"/>
      <c r="BQ259" s="53" t="n"/>
      <c r="BR259" s="53" t="n"/>
      <c r="BS259" s="53" t="n"/>
      <c r="BT259" s="53" t="n"/>
      <c r="BU259" s="53" t="n"/>
      <c r="BV259" s="53" t="n"/>
      <c r="BW259" s="53" t="n"/>
      <c r="BX259" s="53" t="n"/>
      <c r="BY259" s="53" t="n"/>
      <c r="BZ259" s="53" t="n"/>
      <c r="CA259" s="53" t="n"/>
      <c r="CB259" s="53" t="n"/>
      <c r="CC259" s="53" t="n"/>
      <c r="CD259" s="53" t="n"/>
      <c r="CE259" s="53" t="n"/>
      <c r="CF259" s="53" t="n"/>
      <c r="CG259" s="53" t="n"/>
      <c r="CH259" s="53" t="n"/>
      <c r="CI259" s="53" t="n"/>
      <c r="CJ259" s="53" t="n"/>
      <c r="CK259" s="53" t="n"/>
      <c r="CL259" s="53" t="n"/>
      <c r="CM259" s="53" t="n"/>
      <c r="CN259" s="53" t="n"/>
      <c r="CO259" s="53" t="n"/>
      <c r="CP259" s="53" t="n"/>
      <c r="CQ259" s="53" t="n"/>
      <c r="CR259" s="53" t="n"/>
      <c r="CS259" s="53" t="n"/>
      <c r="CT259" s="53" t="n"/>
      <c r="CU259" s="53" t="n"/>
      <c r="CV259" s="53" t="n"/>
      <c r="CW259" s="53" t="n"/>
      <c r="CX259" s="53" t="n"/>
      <c r="CY259" s="53" t="n"/>
      <c r="CZ259" s="53" t="n"/>
      <c r="DA259" s="53" t="n"/>
      <c r="DB259" s="53" t="n"/>
      <c r="DC259" s="53" t="n"/>
      <c r="DD259" s="53" t="inlineStr">
        <is>
          <t>IRISC223</t>
        </is>
      </c>
      <c r="DE259" s="53" t="inlineStr">
        <is>
          <t>Full Time Consultant</t>
        </is>
      </c>
      <c r="DF259" s="53" t="inlineStr">
        <is>
          <t>Active</t>
        </is>
      </c>
      <c r="DG259" s="53" t="inlineStr">
        <is>
          <t>Pradip Dey</t>
        </is>
      </c>
      <c r="DH259" s="54" t="n">
        <v>44595</v>
      </c>
      <c r="DI259" s="53" t="inlineStr">
        <is>
          <t>Head Delivery</t>
        </is>
      </c>
      <c r="DJ259" s="53" t="inlineStr">
        <is>
          <t>Project &amp; Program Management</t>
        </is>
      </c>
      <c r="DK259" s="53" t="inlineStr">
        <is>
          <t>Project Management</t>
        </is>
      </c>
      <c r="DL259" s="53" t="inlineStr">
        <is>
          <t>Head Delivery</t>
        </is>
      </c>
      <c r="DM259" s="53" t="inlineStr">
        <is>
          <t>L7 – Head / Sr Director</t>
        </is>
      </c>
      <c r="DN259" s="53" t="inlineStr">
        <is>
          <t>MCA</t>
        </is>
      </c>
      <c r="DO259" s="53" t="inlineStr">
        <is>
          <t>Balachandran K</t>
        </is>
      </c>
      <c r="DP259" s="53" t="inlineStr">
        <is>
          <t>N-1</t>
        </is>
      </c>
      <c r="DQ259" s="53" t="inlineStr">
        <is>
          <t>Manager</t>
        </is>
      </c>
      <c r="DR259" s="53" t="inlineStr">
        <is>
          <t>20 years, 0 months, 0 days</t>
        </is>
      </c>
      <c r="DS259" s="53" t="inlineStr">
        <is>
          <t>4 years, 6 months, 8 days</t>
        </is>
      </c>
      <c r="DT259" s="53" t="inlineStr">
        <is>
          <t>24 years, 6 months, 8 days</t>
        </is>
      </c>
      <c r="DU259" s="53" t="n"/>
      <c r="DV259" s="53" t="inlineStr">
        <is>
          <t>Suptech</t>
        </is>
      </c>
      <c r="DW259" s="53" t="inlineStr">
        <is>
          <t>iFile</t>
        </is>
      </c>
      <c r="DX259" s="53" t="inlineStr">
        <is>
          <t>Technology</t>
        </is>
      </c>
      <c r="DY259" s="53" t="inlineStr">
        <is>
          <t>Client Engagement</t>
        </is>
      </c>
      <c r="DZ259" s="53" t="inlineStr">
        <is>
          <t>No</t>
        </is>
      </c>
      <c r="EA259" s="53" t="inlineStr">
        <is>
          <t>Client Engagement</t>
        </is>
      </c>
      <c r="EB259" s="53" t="inlineStr">
        <is>
          <t>Project Management</t>
        </is>
      </c>
      <c r="EC259" s="53" t="inlineStr">
        <is>
          <t>Technical · BA, PM and QA</t>
        </is>
      </c>
      <c r="ED259" s="53" t="inlineStr">
        <is>
          <t>Work From Office - Turbhe</t>
        </is>
      </c>
      <c r="EE259" s="53" t="n"/>
      <c r="EF259" s="53" t="n"/>
      <c r="EG259" s="53" t="n"/>
      <c r="EH259" s="53" t="n"/>
      <c r="EI259" s="53" t="n"/>
      <c r="EJ259" s="53" t="n"/>
      <c r="EK259" s="53" t="n"/>
      <c r="EL259" s="53" t="n"/>
      <c r="EM259" s="53" t="n"/>
      <c r="EN259" s="53" t="n"/>
      <c r="EO259" s="53" t="n"/>
      <c r="EP259" s="53" t="n"/>
      <c r="EQ259" s="53" t="n"/>
      <c r="ER259" s="53" t="n"/>
      <c r="ES259" s="53" t="n"/>
      <c r="ET259" s="53" t="n"/>
      <c r="EU259" s="53" t="n"/>
      <c r="EV259" s="53" t="n"/>
      <c r="EW259" s="52" t="n"/>
      <c r="EX259" s="53" t="n"/>
      <c r="EY259" s="53" t="n"/>
      <c r="EZ259" s="53" t="n"/>
      <c r="FA259" s="53" t="n"/>
      <c r="FB259" s="53" t="n"/>
      <c r="FC259" s="53" t="n"/>
      <c r="FD259" s="53" t="n"/>
      <c r="FE259" s="55" t="inlineStr">
        <is>
          <t>KRAs not received · manager to supply</t>
        </is>
      </c>
      <c r="FF259" s="56" t="n"/>
      <c r="FG259" s="56" t="n"/>
      <c r="FH259" s="56" t="n"/>
      <c r="FI259" s="56" t="n"/>
      <c r="FJ259" s="32" t="inlineStr">
        <is>
          <t>KRAs not received · manager to supply</t>
        </is>
      </c>
      <c r="FK259" s="56" t="n"/>
      <c r="FL259" s="56" t="n">
        <v>0</v>
      </c>
      <c r="FM259" s="32" t="inlineStr">
        <is>
          <t>No survey response on file</t>
        </is>
      </c>
      <c r="FN259" s="56" t="inlineStr">
        <is>
          <t>—</t>
        </is>
      </c>
      <c r="FO259" s="56" t="inlineStr">
        <is>
          <t>—</t>
        </is>
      </c>
      <c r="FP259" s="56" t="inlineStr">
        <is>
          <t>—</t>
        </is>
      </c>
      <c r="FQ259" s="56" t="inlineStr">
        <is>
          <t>—</t>
        </is>
      </c>
      <c r="FR259" s="56"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FS259" s="56" t="n"/>
      <c r="FT259" s="56" t="n"/>
      <c r="FU259" s="32" t="inlineStr">
        <is>
          <t>No survey response on file</t>
        </is>
      </c>
    </row>
    <row r="260" ht="90" customHeight="1">
      <c r="A260" s="51" t="inlineStr">
        <is>
          <t>◂ Back</t>
        </is>
      </c>
      <c r="B260" s="29" t="inlineStr">
        <is>
          <t>Mapped</t>
        </is>
      </c>
      <c r="C260" s="28" t="inlineStr">
        <is>
          <t>iFile</t>
        </is>
      </c>
      <c r="D260" s="29" t="inlineStr">
        <is>
          <t>IRIS2428</t>
        </is>
      </c>
      <c r="E260" s="29" t="inlineStr">
        <is>
          <t>Ajay Singh Chauhan</t>
        </is>
      </c>
      <c r="F260" s="29" t="inlineStr">
        <is>
          <t>Sales</t>
        </is>
      </c>
      <c r="G260" s="29" t="inlineStr">
        <is>
          <t>Vice President Sales</t>
        </is>
      </c>
      <c r="H260" s="29" t="inlineStr">
        <is>
          <t>Principal – Enterprise Sales</t>
        </is>
      </c>
      <c r="I260" s="29" t="inlineStr">
        <is>
          <t>L8 – Vice President</t>
        </is>
      </c>
      <c r="J260" s="29" t="inlineStr">
        <is>
          <t>C1</t>
        </is>
      </c>
      <c r="K260" s="29" t="inlineStr">
        <is>
          <t>▼ Down · protected</t>
        </is>
      </c>
      <c r="L260" s="29" t="inlineStr">
        <is>
          <t>Sales &amp; Business Development</t>
        </is>
      </c>
      <c r="M260" s="29" t="inlineStr">
        <is>
          <t>Sales Leadership</t>
        </is>
      </c>
      <c r="N260" s="29" t="inlineStr">
        <is>
          <t>• Confirm structure behind the senior title · org chart — Business head</t>
        </is>
      </c>
      <c r="O260" s="29" t="n">
        <v>0</v>
      </c>
      <c r="P260" s="28" t="inlineStr">
        <is>
          <t>P6 / M5</t>
        </is>
      </c>
      <c r="Q260" s="29" t="inlineStr">
        <is>
          <t>Principal / Director</t>
        </is>
      </c>
      <c r="R260" s="29" t="inlineStr">
        <is>
          <t>5–6</t>
        </is>
      </c>
      <c r="S260" s="29" t="inlineStr">
        <is>
          <t>10–14 yrs</t>
        </is>
      </c>
      <c r="T260" s="29" t="inlineStr">
        <is>
          <t>12–16 · 12–18</t>
        </is>
      </c>
      <c r="U260" s="29" t="inlineStr">
        <is>
          <t>—</t>
        </is>
      </c>
      <c r="V260" s="29" t="inlineStr">
        <is>
          <t>IRIS Vs Competitor Benchmark — SaaS sales ladder — IC: Strategic / Principal AE · IRIS Vs Competitor Benchmark — SaaS sales ladder — management: Regional Sales Head</t>
        </is>
      </c>
      <c r="W260" s="29" t="inlineStr">
        <is>
          <t>SaaS sales ladder · SDR → AE → Enterprise AE → VP / CRO; MEDDICC-style qualification</t>
        </is>
      </c>
      <c r="X260" s="29" t="inlineStr">
        <is>
          <t>Core 4 · Future 4 · Functional 4 · Leadership 4</t>
        </is>
      </c>
      <c r="Y260" s="52" t="n">
        <v>397</v>
      </c>
      <c r="Z260" s="53" t="inlineStr">
        <is>
          <t>IRIS2428</t>
        </is>
      </c>
      <c r="AA260" s="53" t="inlineStr">
        <is>
          <t>Employee</t>
        </is>
      </c>
      <c r="AB260" s="53" t="inlineStr">
        <is>
          <t>Active</t>
        </is>
      </c>
      <c r="AC260" s="53" t="inlineStr">
        <is>
          <t>Ajay Singh Chauhan</t>
        </is>
      </c>
      <c r="AD260" s="54" t="n">
        <v>45901</v>
      </c>
      <c r="AE260" s="53" t="inlineStr">
        <is>
          <t>Vice President Sales</t>
        </is>
      </c>
      <c r="AF260" s="53" t="inlineStr">
        <is>
          <t>PGDBA</t>
        </is>
      </c>
      <c r="AG260" s="53" t="inlineStr">
        <is>
          <t>Pradip Dey</t>
        </is>
      </c>
      <c r="AH260" s="53" t="inlineStr">
        <is>
          <t>N-3</t>
        </is>
      </c>
      <c r="AI260" s="53" t="inlineStr">
        <is>
          <t>Individual Contributor</t>
        </is>
      </c>
      <c r="AJ260" s="53" t="inlineStr">
        <is>
          <t>15 years, 0 months, 0 days</t>
        </is>
      </c>
      <c r="AK260" s="53" t="inlineStr">
        <is>
          <t>0 years, 11 months, 24 days</t>
        </is>
      </c>
      <c r="AL260" s="53" t="inlineStr">
        <is>
          <t>Suptech</t>
        </is>
      </c>
      <c r="AM260" s="53" t="inlineStr">
        <is>
          <t>iFile</t>
        </is>
      </c>
      <c r="AN260" s="53" t="inlineStr">
        <is>
          <t>Sales</t>
        </is>
      </c>
      <c r="AO260" s="53" t="inlineStr">
        <is>
          <t>Sales</t>
        </is>
      </c>
      <c r="AP260" s="53" t="inlineStr">
        <is>
          <t>No</t>
        </is>
      </c>
      <c r="AQ260" s="53" t="inlineStr">
        <is>
          <t>Sales, Marketing &amp; Support</t>
        </is>
      </c>
      <c r="AR260" s="53" t="inlineStr">
        <is>
          <t>Sales</t>
        </is>
      </c>
      <c r="AS260" s="53" t="inlineStr">
        <is>
          <t>Non-technical</t>
        </is>
      </c>
      <c r="AT260" s="53" t="n">
        <v>0</v>
      </c>
      <c r="AU260" s="53" t="inlineStr">
        <is>
          <t>E-Top management</t>
        </is>
      </c>
      <c r="AV260" s="53" t="n"/>
      <c r="AW260" s="53" t="n"/>
      <c r="AX260" s="53" t="n"/>
      <c r="AY260" s="53" t="n"/>
      <c r="AZ260" s="53" t="n"/>
      <c r="BA260" s="53" t="n"/>
      <c r="BB260" s="53" t="n"/>
      <c r="BC260" s="53" t="n"/>
      <c r="BD260" s="53" t="n"/>
      <c r="BE260" s="53" t="n"/>
      <c r="BF260" s="53" t="n"/>
      <c r="BG260" s="53" t="n"/>
      <c r="BH260" s="53" t="n"/>
      <c r="BI260" s="53" t="n"/>
      <c r="BJ260" s="53" t="n"/>
      <c r="BK260" s="53" t="n"/>
      <c r="BL260" s="53" t="n"/>
      <c r="BM260" s="53" t="n"/>
      <c r="BN260" s="53" t="n"/>
      <c r="BO260" s="53" t="n"/>
      <c r="BP260" s="53" t="n"/>
      <c r="BQ260" s="53" t="n"/>
      <c r="BR260" s="53" t="n"/>
      <c r="BS260" s="53" t="n"/>
      <c r="BT260" s="53" t="n"/>
      <c r="BU260" s="53" t="n"/>
      <c r="BV260" s="53" t="n"/>
      <c r="BW260" s="53" t="n"/>
      <c r="BX260" s="53" t="n"/>
      <c r="BY260" s="53" t="n"/>
      <c r="BZ260" s="53" t="n"/>
      <c r="CA260" s="53" t="n"/>
      <c r="CB260" s="53" t="n"/>
      <c r="CC260" s="53" t="n"/>
      <c r="CD260" s="53" t="n"/>
      <c r="CE260" s="53" t="n"/>
      <c r="CF260" s="53" t="n"/>
      <c r="CG260" s="53" t="n"/>
      <c r="CH260" s="53" t="n"/>
      <c r="CI260" s="53" t="n"/>
      <c r="CJ260" s="53" t="n"/>
      <c r="CK260" s="53" t="n"/>
      <c r="CL260" s="53" t="n"/>
      <c r="CM260" s="53" t="n"/>
      <c r="CN260" s="53" t="n"/>
      <c r="CO260" s="53" t="n"/>
      <c r="CP260" s="53" t="n"/>
      <c r="CQ260" s="53" t="n"/>
      <c r="CR260" s="53" t="n"/>
      <c r="CS260" s="53" t="n"/>
      <c r="CT260" s="53" t="n"/>
      <c r="CU260" s="53" t="n"/>
      <c r="CV260" s="53" t="n"/>
      <c r="CW260" s="53" t="n"/>
      <c r="CX260" s="53" t="n"/>
      <c r="CY260" s="53" t="n"/>
      <c r="CZ260" s="53" t="n"/>
      <c r="DA260" s="53" t="n"/>
      <c r="DB260" s="53" t="n"/>
      <c r="DC260" s="53" t="n"/>
      <c r="DD260" s="53" t="inlineStr">
        <is>
          <t>IRIS2428</t>
        </is>
      </c>
      <c r="DE260" s="53" t="inlineStr">
        <is>
          <t>Employee</t>
        </is>
      </c>
      <c r="DF260" s="53" t="inlineStr">
        <is>
          <t>Active</t>
        </is>
      </c>
      <c r="DG260" s="53" t="inlineStr">
        <is>
          <t>Ajay Singh Chauhan</t>
        </is>
      </c>
      <c r="DH260" s="54" t="n">
        <v>45901</v>
      </c>
      <c r="DI260" s="53" t="inlineStr">
        <is>
          <t>Vice President Sales</t>
        </is>
      </c>
      <c r="DJ260" s="53" t="inlineStr">
        <is>
          <t>Executive Leadership</t>
        </is>
      </c>
      <c r="DK260" s="53" t="inlineStr">
        <is>
          <t>Business / Functional Leadership</t>
        </is>
      </c>
      <c r="DL260" s="53" t="inlineStr">
        <is>
          <t>Vice President Sales</t>
        </is>
      </c>
      <c r="DM260" s="53" t="inlineStr">
        <is>
          <t>L8 – Vice President</t>
        </is>
      </c>
      <c r="DN260" s="53" t="inlineStr">
        <is>
          <t>PGDBA</t>
        </is>
      </c>
      <c r="DO260" s="53" t="inlineStr">
        <is>
          <t>Pradip Dey</t>
        </is>
      </c>
      <c r="DP260" s="53" t="inlineStr">
        <is>
          <t>N-2</t>
        </is>
      </c>
      <c r="DQ260" s="53" t="inlineStr">
        <is>
          <t>Individual Contributor</t>
        </is>
      </c>
      <c r="DR260" s="53" t="inlineStr">
        <is>
          <t>15 years, 0 months, 0 days</t>
        </is>
      </c>
      <c r="DS260" s="53" t="inlineStr">
        <is>
          <t>0 years, 9 months, 19 days</t>
        </is>
      </c>
      <c r="DT260" s="53" t="inlineStr">
        <is>
          <t>15 years, 9 months, 19 days</t>
        </is>
      </c>
      <c r="DU260" s="53" t="n"/>
      <c r="DV260" s="53" t="inlineStr">
        <is>
          <t>Suptech</t>
        </is>
      </c>
      <c r="DW260" s="53" t="inlineStr">
        <is>
          <t>iFile</t>
        </is>
      </c>
      <c r="DX260" s="53" t="inlineStr">
        <is>
          <t>Sales</t>
        </is>
      </c>
      <c r="DY260" s="53" t="inlineStr">
        <is>
          <t>Sales</t>
        </is>
      </c>
      <c r="DZ260" s="53" t="inlineStr">
        <is>
          <t>No</t>
        </is>
      </c>
      <c r="EA260" s="53" t="inlineStr">
        <is>
          <t>Sales, Marketing &amp; Support</t>
        </is>
      </c>
      <c r="EB260" s="53" t="inlineStr">
        <is>
          <t>Sales</t>
        </is>
      </c>
      <c r="EC260" s="53" t="inlineStr">
        <is>
          <t>Non-technical</t>
        </is>
      </c>
      <c r="ED260" s="53" t="inlineStr">
        <is>
          <t>Remote- Outside Mumbai</t>
        </is>
      </c>
      <c r="EE260" s="53" t="n"/>
      <c r="EF260" s="53" t="inlineStr">
        <is>
          <t>1. Sales/GTM plan
Prepare, collaborate and roll out overall plan for the organization
Spearhead/Contribute to acquire at least 1 new client by Dec 2026
Build strong netwrok/pipeline to get at least 2 new clients by Jun, 2027
2. Partner EcoSystem Development
Build strong partner ecosystem and close 8-12 partnership agreement in a year
Couple of successful submission of the RFPs- bringing potential partner.
At least 1 new contract through partners by Jun, 2027
3.Domain/product knowledge
Gain thorough knowledge of SupTech Domain and iFile platform
Attend 4-5 events per year 
New Regulation hunting - Conduct workshops, events, engagements for new regulations</t>
        </is>
      </c>
      <c r="EG260" s="53" t="inlineStr">
        <is>
          <t>Attend 1-2 suptech/fintech events
3-4 new partnership agreements
Submission of 2-3 RFPs</t>
        </is>
      </c>
      <c r="EH260" s="53" t="inlineStr">
        <is>
          <t>Exceed Expectations</t>
        </is>
      </c>
      <c r="EI260" s="53" t="n"/>
      <c r="EJ260" s="53" t="inlineStr">
        <is>
          <t>Vice President Sales</t>
        </is>
      </c>
      <c r="EK260" s="53" t="n"/>
      <c r="EL260" s="53" t="n">
        <v>4</v>
      </c>
      <c r="EM260" s="53" t="inlineStr">
        <is>
          <t>High</t>
        </is>
      </c>
      <c r="EN260" s="53" t="inlineStr">
        <is>
          <t>Trusted Professional</t>
        </is>
      </c>
      <c r="EO260" s="53" t="n"/>
      <c r="EP260" s="53" t="inlineStr">
        <is>
          <t>Yes</t>
        </is>
      </c>
      <c r="EQ260" s="53" t="inlineStr">
        <is>
          <t>Yes</t>
        </is>
      </c>
      <c r="ER260" s="53" t="n"/>
      <c r="ES260" s="53" t="inlineStr">
        <is>
          <t>SupTech Domain</t>
        </is>
      </c>
      <c r="ET260" s="53" t="n"/>
      <c r="EU260" s="53" t="inlineStr">
        <is>
          <t>IRIS Instant - MBRS</t>
        </is>
      </c>
      <c r="EV260" s="53" t="n"/>
      <c r="EW260" s="52" t="n"/>
      <c r="EX260" s="53" t="n"/>
      <c r="EY260" s="53" t="n"/>
      <c r="EZ260" s="53" t="n"/>
      <c r="FA260" s="53" t="n"/>
      <c r="FB260" s="53" t="n"/>
      <c r="FC260" s="53" t="n"/>
      <c r="FD260" s="53" t="n"/>
      <c r="FE260" s="57" t="inlineStr">
        <is>
          <t>1. Sales/GTM plan
Prepare, collaborate and roll out overall plan for the organization
Spearhead/Contribute to acquire at least 1 new client by Dec 2026
Build strong netwrok/pipeline to get at least 2 new clients by Jun, 2027
2. Partner EcoSystem Development
Build strong partner ecosystem and close 8-12 partnership agreement in a year
Couple of successful submission of the RFPs- bringing potential partner.
At least 1 new contract through partners by Jun, 2027
3.Domain/product knowledge
Gain thorough knowledge of SupTech Domain and iFile platform
Attend 4-5 events per year 
New Regulation hunting - Conduct workshops, events, engagements for new regulations</t>
        </is>
      </c>
      <c r="FF260" s="56" t="inlineStr">
        <is>
          <t>Attend 1-2 suptech/fintech events
3-4 new partnership agreements
Submission of 2-3 RFPs</t>
        </is>
      </c>
      <c r="FG260" s="56" t="n"/>
      <c r="FH260" s="56" t="inlineStr">
        <is>
          <t>Exceed Expectations</t>
        </is>
      </c>
      <c r="FI260" s="56" t="n"/>
      <c r="FJ260" s="56" t="inlineStr">
        <is>
          <t>Received · manager annual, quarterly</t>
        </is>
      </c>
      <c r="FK260" s="56" t="inlineStr">
        <is>
          <t>Talent Mapping · iFile collated</t>
        </is>
      </c>
      <c r="FL260" s="56" t="n">
        <v>0</v>
      </c>
      <c r="FM260" s="32" t="inlineStr">
        <is>
          <t>No survey response on file</t>
        </is>
      </c>
      <c r="FN260" s="56" t="inlineStr">
        <is>
          <t>—</t>
        </is>
      </c>
      <c r="FO260" s="56" t="inlineStr">
        <is>
          <t>—</t>
        </is>
      </c>
      <c r="FP260" s="56" t="inlineStr">
        <is>
          <t>—</t>
        </is>
      </c>
      <c r="FQ260" s="56" t="inlineStr">
        <is>
          <t>—</t>
        </is>
      </c>
      <c r="FR260" s="56" t="inlineStr">
        <is>
          <t>Complexity: Evidence reads like B2: KRA only: prepare and roll out sales/GTM plan, build partner ecosystem, RFP submissions → moved down 0.5
Autonomy: Evidence reads like B1: No survey; KRA implies closing partnership agreements and shaping the GTM plan collaboratively → moved down 0.5
Accountability: Evidence reads like B2: KRA targets: one new client by Dec 2026, 8-12 partnership agreements a year → moved down 0.5
Leadership: Evidence reads like A1: No survey; KRA mentions no team or people leadership; zero reports → moved down 0.5
Business Impact: Moved +0.5: the survey / manager mapping marks it business-critical.</t>
        </is>
      </c>
      <c r="FS260" s="56" t="inlineStr">
        <is>
          <t>Common themes in sub-family holders, all levels' answers: client · follow till · negotiations · details sdr · understand · call
Common themes in sub-family holders, all levels' answers: building · partner
Common themes in sub-family holders, all levels' answers: sales
Common themes in sub-family holders, all levels' answers: revenue · generation · sales
If the work is missed · role-holders' themes: revenue · opportunities · lost.</t>
        </is>
      </c>
      <c r="FT260" s="56" t="n"/>
      <c r="FU260" s="32" t="inlineStr">
        <is>
          <t>No survey response on file</t>
        </is>
      </c>
    </row>
    <row r="261" ht="90" customHeight="1">
      <c r="A261" s="51" t="inlineStr">
        <is>
          <t>◂ Back</t>
        </is>
      </c>
      <c r="B261" s="29" t="inlineStr">
        <is>
          <t>Mapped</t>
        </is>
      </c>
      <c r="C261" s="28" t="inlineStr">
        <is>
          <t>iFile</t>
        </is>
      </c>
      <c r="D261" s="29" t="inlineStr">
        <is>
          <t>IRIS1690</t>
        </is>
      </c>
      <c r="E261" s="29" t="inlineStr">
        <is>
          <t>Sharanagouda Patil</t>
        </is>
      </c>
      <c r="F261" s="29" t="inlineStr">
        <is>
          <t>Technology</t>
        </is>
      </c>
      <c r="G261" s="29" t="inlineStr">
        <is>
          <t>Technical Architect</t>
        </is>
      </c>
      <c r="H261" s="29" t="inlineStr">
        <is>
          <t>Technical Architect</t>
        </is>
      </c>
      <c r="I261" s="29" t="inlineStr">
        <is>
          <t>L3 – Professional / Associate</t>
        </is>
      </c>
      <c r="J261" s="29" t="inlineStr">
        <is>
          <t>C1</t>
        </is>
      </c>
      <c r="K261" s="29" t="inlineStr">
        <is>
          <t>▲ Up</t>
        </is>
      </c>
      <c r="L261" s="29" t="inlineStr">
        <is>
          <t>Engineering &amp; Architecture</t>
        </is>
      </c>
      <c r="M261" s="29" t="inlineStr">
        <is>
          <t>Solution &amp; Technical Architecture</t>
        </is>
      </c>
      <c r="N261" s="29" t="n"/>
      <c r="O261" s="29" t="n">
        <v>20</v>
      </c>
      <c r="P261" s="28" t="inlineStr">
        <is>
          <t>P6 / M5</t>
        </is>
      </c>
      <c r="Q261" s="29" t="inlineStr">
        <is>
          <t>Principal / Director</t>
        </is>
      </c>
      <c r="R261" s="29" t="inlineStr">
        <is>
          <t>5–6</t>
        </is>
      </c>
      <c r="S261" s="29" t="inlineStr">
        <is>
          <t>10–14 yrs</t>
        </is>
      </c>
      <c r="T261" s="29" t="inlineStr">
        <is>
          <t>12–16 · 12–18</t>
        </is>
      </c>
      <c r="U261" s="29" t="inlineStr">
        <is>
          <t>Chief / Enterprise Architect</t>
        </is>
      </c>
      <c r="V261" s="29" t="inlineStr">
        <is>
          <t>Nasdaq / AxiomSL: Principal SE · Salesforce: PMTS · Atlassian: P60 Principal · 10+ yrs · Freshworks: Senior Staff SE · IRIS Vs Competitor Benchmark — engineering managers: Senior EM / Director</t>
        </is>
      </c>
      <c r="W261" s="29" t="inlineStr">
        <is>
          <t>SFIA 9 · solution architecture; TOGAF; AWS / Azure architect certifications</t>
        </is>
      </c>
      <c r="X261" s="29" t="inlineStr">
        <is>
          <t>Core 4 · Future 4 · Functional 4 · Leadership 4</t>
        </is>
      </c>
      <c r="Y261" s="52" t="n">
        <v>142</v>
      </c>
      <c r="Z261" s="53" t="inlineStr">
        <is>
          <t>IRIS1690</t>
        </is>
      </c>
      <c r="AA261" s="53" t="inlineStr">
        <is>
          <t>Employee</t>
        </is>
      </c>
      <c r="AB261" s="53" t="inlineStr">
        <is>
          <t>Active</t>
        </is>
      </c>
      <c r="AC261" s="53" t="inlineStr">
        <is>
          <t>Sharanagouda Patil</t>
        </is>
      </c>
      <c r="AD261" s="54" t="n">
        <v>43073</v>
      </c>
      <c r="AE261" s="53" t="inlineStr">
        <is>
          <t>Technical Architect</t>
        </is>
      </c>
      <c r="AF261" s="53" t="inlineStr">
        <is>
          <t>MCA</t>
        </is>
      </c>
      <c r="AG261" s="53" t="inlineStr">
        <is>
          <t>Pradip Dey</t>
        </is>
      </c>
      <c r="AH261" s="53" t="inlineStr">
        <is>
          <t>N-3</t>
        </is>
      </c>
      <c r="AI261" s="53" t="inlineStr">
        <is>
          <t>Manager</t>
        </is>
      </c>
      <c r="AJ261" s="53" t="inlineStr">
        <is>
          <t>10 years, 3 months, 0 days</t>
        </is>
      </c>
      <c r="AK261" s="53" t="inlineStr">
        <is>
          <t>8 years, 8 months, 21 days</t>
        </is>
      </c>
      <c r="AL261" s="53" t="inlineStr">
        <is>
          <t>Suptech</t>
        </is>
      </c>
      <c r="AM261" s="53" t="inlineStr">
        <is>
          <t>iFile</t>
        </is>
      </c>
      <c r="AN261" s="53" t="inlineStr">
        <is>
          <t>Technology</t>
        </is>
      </c>
      <c r="AO261" s="53" t="inlineStr">
        <is>
          <t>Development</t>
        </is>
      </c>
      <c r="AP261" s="53" t="inlineStr">
        <is>
          <t>Yes</t>
        </is>
      </c>
      <c r="AQ261" s="53" t="inlineStr">
        <is>
          <t>Product/Project</t>
        </is>
      </c>
      <c r="AR261" s="53" t="inlineStr">
        <is>
          <t>.NET MVC</t>
        </is>
      </c>
      <c r="AS261" s="53" t="inlineStr">
        <is>
          <t>Technical - Developer</t>
        </is>
      </c>
      <c r="AT261" s="53" t="n">
        <v>20</v>
      </c>
      <c r="AU261" s="53" t="inlineStr">
        <is>
          <t>Covered</t>
        </is>
      </c>
      <c r="AV261" s="53" t="n"/>
      <c r="AW261" s="53" t="n"/>
      <c r="AX261" s="53" t="n"/>
      <c r="AY261" s="53" t="n"/>
      <c r="AZ261" s="53" t="n"/>
      <c r="BA261" s="53" t="n"/>
      <c r="BB261" s="53" t="n"/>
      <c r="BC261" s="53" t="n"/>
      <c r="BD261" s="53" t="n"/>
      <c r="BE261" s="53" t="n"/>
      <c r="BF261" s="53" t="n"/>
      <c r="BG261" s="53" t="n"/>
      <c r="BH261" s="53" t="n"/>
      <c r="BI261" s="53" t="n"/>
      <c r="BJ261" s="53" t="n"/>
      <c r="BK261" s="53" t="n"/>
      <c r="BL261" s="53" t="n"/>
      <c r="BM261" s="53" t="n"/>
      <c r="BN261" s="53" t="n"/>
      <c r="BO261" s="53" t="n"/>
      <c r="BP261" s="53" t="n"/>
      <c r="BQ261" s="53" t="n"/>
      <c r="BR261" s="53" t="n"/>
      <c r="BS261" s="53" t="n"/>
      <c r="BT261" s="53" t="n"/>
      <c r="BU261" s="53" t="n"/>
      <c r="BV261" s="53" t="n"/>
      <c r="BW261" s="53" t="n"/>
      <c r="BX261" s="53" t="n"/>
      <c r="BY261" s="53" t="n"/>
      <c r="BZ261" s="53" t="n"/>
      <c r="CA261" s="53" t="n"/>
      <c r="CB261" s="53" t="n"/>
      <c r="CC261" s="53" t="n"/>
      <c r="CD261" s="53" t="n"/>
      <c r="CE261" s="53" t="n"/>
      <c r="CF261" s="53" t="n"/>
      <c r="CG261" s="53" t="n"/>
      <c r="CH261" s="53" t="n"/>
      <c r="CI261" s="53" t="n"/>
      <c r="CJ261" s="53" t="n"/>
      <c r="CK261" s="53" t="n"/>
      <c r="CL261" s="53" t="n"/>
      <c r="CM261" s="53" t="n"/>
      <c r="CN261" s="53" t="n"/>
      <c r="CO261" s="53" t="n"/>
      <c r="CP261" s="53" t="n"/>
      <c r="CQ261" s="53" t="n"/>
      <c r="CR261" s="53" t="n"/>
      <c r="CS261" s="53" t="n"/>
      <c r="CT261" s="53" t="n"/>
      <c r="CU261" s="53" t="n"/>
      <c r="CV261" s="53" t="n"/>
      <c r="CW261" s="53" t="n"/>
      <c r="CX261" s="53" t="n"/>
      <c r="CY261" s="53" t="n"/>
      <c r="CZ261" s="53" t="n"/>
      <c r="DA261" s="53" t="n"/>
      <c r="DB261" s="53" t="n"/>
      <c r="DC261" s="53" t="n"/>
      <c r="DD261" s="53" t="inlineStr">
        <is>
          <t>IRIS1690</t>
        </is>
      </c>
      <c r="DE261" s="53" t="inlineStr">
        <is>
          <t>Employee</t>
        </is>
      </c>
      <c r="DF261" s="53" t="inlineStr">
        <is>
          <t>Active</t>
        </is>
      </c>
      <c r="DG261" s="53" t="inlineStr">
        <is>
          <t>Sharanagouda Patil</t>
        </is>
      </c>
      <c r="DH261" s="54" t="n">
        <v>43073</v>
      </c>
      <c r="DI261" s="53" t="inlineStr">
        <is>
          <t>Technical Architect</t>
        </is>
      </c>
      <c r="DJ261" s="53" t="inlineStr">
        <is>
          <t>Engineering &amp; Architecture</t>
        </is>
      </c>
      <c r="DK261" s="53" t="inlineStr">
        <is>
          <t>Solution / Software Architecture</t>
        </is>
      </c>
      <c r="DL261" s="53" t="inlineStr">
        <is>
          <t>Technical Architect</t>
        </is>
      </c>
      <c r="DM261" s="53" t="inlineStr">
        <is>
          <t>L3 – Professional / Associate</t>
        </is>
      </c>
      <c r="DN261" s="53" t="inlineStr">
        <is>
          <t>MCA</t>
        </is>
      </c>
      <c r="DO261" s="53" t="inlineStr">
        <is>
          <t>Pradip Dey</t>
        </is>
      </c>
      <c r="DP261" s="53" t="inlineStr">
        <is>
          <t>N-2</t>
        </is>
      </c>
      <c r="DQ261" s="53" t="inlineStr">
        <is>
          <t>Manager</t>
        </is>
      </c>
      <c r="DR261" s="53" t="inlineStr">
        <is>
          <t>10 years, 3 months, 0 days</t>
        </is>
      </c>
      <c r="DS261" s="53" t="inlineStr">
        <is>
          <t>8 years, 6 months, 16 days</t>
        </is>
      </c>
      <c r="DT261" s="53" t="inlineStr">
        <is>
          <t>18 years, 9 months, 16 days</t>
        </is>
      </c>
      <c r="DU261" s="53" t="n">
        <v>8.54383561643836</v>
      </c>
      <c r="DV261" s="53" t="inlineStr">
        <is>
          <t>Suptech</t>
        </is>
      </c>
      <c r="DW261" s="53" t="inlineStr">
        <is>
          <t>iFile</t>
        </is>
      </c>
      <c r="DX261" s="53" t="inlineStr">
        <is>
          <t>Technology</t>
        </is>
      </c>
      <c r="DY261" s="53" t="inlineStr">
        <is>
          <t>Development</t>
        </is>
      </c>
      <c r="DZ261" s="53" t="inlineStr">
        <is>
          <t>Yes</t>
        </is>
      </c>
      <c r="EA261" s="53" t="inlineStr">
        <is>
          <t>Product/Project</t>
        </is>
      </c>
      <c r="EB261" s="53" t="inlineStr">
        <is>
          <t>.NET MVC</t>
        </is>
      </c>
      <c r="EC261" s="53" t="inlineStr">
        <is>
          <t>Technical - Developer</t>
        </is>
      </c>
      <c r="ED261" s="53" t="inlineStr">
        <is>
          <t>Remote- Outside Mumbai</t>
        </is>
      </c>
      <c r="EE261" s="53" t="n"/>
      <c r="EF261" s="53" t="inlineStr">
        <is>
          <t>1. SBC project completion
Provide technical leadership and ensure SBC project work is getting completed without major escalations
Train team for tech upgrade, compliance check rule engine development using Python without calling LLM APIs, API based data submission etc. 
2. Webform product 
Bring in necessary refinements for o human touch integration
Complete documentation of architecture and impart KT so that at least 5-6 senior developers/tech leads are able to run with the product independently and they in turn able to train the partners and other team members
3. New IP creation &amp; Strategic Contributions
Contribute with development of 2-3 new product components which can be understood by extended team and integrated with ifile platform
Organization level talent building and initiatives
4. AI use cases
AI based use cases implementaiton and speedy delivery · 4-5 next a year
Appicable for productivity improvements as we all as enrichment of IRIS offerings
5. Operational support
Ensure team members are able to fix issues promptly
Ensure new initiatives and project work is not gtting impacted due to lack of capacity/capability in the team</t>
        </is>
      </c>
      <c r="EG261" s="53" t="inlineStr">
        <is>
          <t>Support SBC project completion as per schedule without major deviation. Provide metrics and documentation to dmeonstration how AI usage helps with productivity improvements
Build new modules and train other team members so that they are able to effectively communicate with client
Webform KT and team development</t>
        </is>
      </c>
      <c r="EH261" s="53" t="inlineStr">
        <is>
          <t>Exceeds Expectations</t>
        </is>
      </c>
      <c r="EI261" s="54" t="n">
        <v>45931</v>
      </c>
      <c r="EJ261" s="53" t="inlineStr">
        <is>
          <t>Technical Architect</t>
        </is>
      </c>
      <c r="EK261" s="53" t="n"/>
      <c r="EL261" s="53" t="n">
        <v>4</v>
      </c>
      <c r="EM261" s="53" t="inlineStr">
        <is>
          <t>High</t>
        </is>
      </c>
      <c r="EN261" s="53" t="inlineStr">
        <is>
          <t>High Impact / Growth Talent</t>
        </is>
      </c>
      <c r="EO261" s="53" t="n"/>
      <c r="EP261" s="53" t="inlineStr">
        <is>
          <t>Y</t>
        </is>
      </c>
      <c r="EQ261" s="53" t="inlineStr">
        <is>
          <t>Y</t>
        </is>
      </c>
      <c r="ER261" s="53" t="n"/>
      <c r="ES261" s="53" t="inlineStr">
        <is>
          <t>AI and data science related training may help at this juncture for Sharan to build products to enable SupTech stakeholders</t>
        </is>
      </c>
      <c r="ET261" s="53" t="n"/>
      <c r="EU261" s="53" t="inlineStr">
        <is>
          <t>GRI,QCB</t>
        </is>
      </c>
      <c r="EV261" s="53" t="n"/>
      <c r="EW261" s="52" t="n"/>
      <c r="EX261" s="53" t="n"/>
      <c r="EY261" s="53" t="n"/>
      <c r="EZ261" s="53" t="n"/>
      <c r="FA261" s="53" t="n"/>
      <c r="FB261" s="53" t="n"/>
      <c r="FC261" s="53" t="n"/>
      <c r="FD261" s="53" t="n"/>
      <c r="FE261" s="57" t="inlineStr">
        <is>
          <t>1. SBC project completion
Provide technical leadership and ensure SBC project work is getting completed without major escalations
Train team for tech upgrade, compliance check rule engine development using Python without calling LLM APIs, API based data submission etc. 
2. Webform product 
Bring in necessary refinements for o human touch integration
Complete documentation of architecture and impart KT so that at least 5-6 senior developers/tech leads are able to run with the product independently and they in turn able to train the partners and other team members
3. New IP creation &amp; Strategic Contributions
Contribute with development of 2-3 new product components which can be understood by extended team and integrated with ifile platform
Organization level talent building and initiatives
4. AI use cases
AI based use cases implementaiton and speedy delivery · 4-5 next a year
Appicable for productivity improvements as we all as enrichment of IRIS offerings
5. Operational support
Ensure team members are able to fix issues promptly
Ensure new initiatives and project work is not gtting impacted due to lack of capacity/capability in the team</t>
        </is>
      </c>
      <c r="FF261" s="56" t="inlineStr">
        <is>
          <t>Support SBC project completion as per schedule without major deviation. Provide metrics and documentation to dmeonstration how AI usage helps with productivity improvements
Build new modules and train other team members so that they are able to effectively communicate with client
Webform KT and team development</t>
        </is>
      </c>
      <c r="FG261" s="56" t="n"/>
      <c r="FH261" s="56" t="inlineStr">
        <is>
          <t>Exceeds Expectations</t>
        </is>
      </c>
      <c r="FI261" s="56" t="n"/>
      <c r="FJ261" s="56" t="inlineStr">
        <is>
          <t>Received · manager annual, quarterly</t>
        </is>
      </c>
      <c r="FK261" s="56" t="inlineStr">
        <is>
          <t>Talent Mapping · iFile collated</t>
        </is>
      </c>
      <c r="FL261" s="56" t="n">
        <v>20</v>
      </c>
      <c r="FM261" s="32" t="inlineStr">
        <is>
          <t>Full survey answers not in the files received · How We Grow export needed · HR</t>
        </is>
      </c>
      <c r="FN261" s="56" t="inlineStr">
        <is>
          <t>—</t>
        </is>
      </c>
      <c r="FO261" s="56" t="inlineStr">
        <is>
          <t>—</t>
        </is>
      </c>
      <c r="FP261" s="56" t="inlineStr">
        <is>
          <t>—</t>
        </is>
      </c>
      <c r="FQ261" s="56" t="inlineStr">
        <is>
          <t>—</t>
        </is>
      </c>
      <c r="FR261" s="56" t="inlineStr">
        <is>
          <t>Complexity: Evidence reads like B1: Application development needing XBRL knowledge, client-specific requirements, legacy modernisation; no design detail given → moved down 0.5
Autonomy: Evidence reads like B1: States only 'Technical' decisions; manages a 9-person team, so calls apply to them → moved down 0.5
Accountability: Evidence reads like B1: Accountable for technical quality, timelines and compatibility of work owned; manages a team → moved down 0.5
Leadership: Evidence reads like B2: States 'managing team'; HR shows 9 direct reports; no detail on how → moved down 0.5
Business Impact: Moved +0.5: the survey / manager mapping marks it business-critical.</t>
        </is>
      </c>
      <c r="FS261" s="56" t="inlineStr">
        <is>
          <t>Common themes in sub-family holders, all levels' answers: technical · client · project · design · development · business
Common themes in sub-family holders, all levels' answers: client · technical · documentation · solution · architecture · management
Common themes in sub-family holders, all levels' answers: architecture · design · documentation · solution · technical · project
Common themes in sub-family holders, all levels' answers: technical · client · solution · architecture · design · am
Common themes in sub-family holders, all levels' answers: technical · approach · design · standards
If the work is missed · role-holders' themes: client · time · rework.</t>
        </is>
      </c>
      <c r="FT261" s="56" t="inlineStr">
        <is>
          <t>Self-identified: Leadership &amp; people management · Technical depth &amp; architecture · Strategy &amp; business acumen
For the next role: Leadership &amp; people management · Technical depth &amp; architecture · Strategy &amp; business acumen</t>
        </is>
      </c>
      <c r="FU261" s="32" t="inlineStr">
        <is>
          <t>Full survey answers not in the files received · How We Grow export needed · HR</t>
        </is>
      </c>
    </row>
    <row r="262" ht="90" customHeight="1">
      <c r="A262" s="51" t="inlineStr">
        <is>
          <t>◂ Back</t>
        </is>
      </c>
      <c r="B262" s="29" t="inlineStr">
        <is>
          <t>Mapped</t>
        </is>
      </c>
      <c r="C262" s="28" t="inlineStr">
        <is>
          <t>iFile</t>
        </is>
      </c>
      <c r="D262" s="29" t="inlineStr">
        <is>
          <t>IRIS0103</t>
        </is>
      </c>
      <c r="E262" s="29" t="inlineStr">
        <is>
          <t>Alwina Shaikh</t>
        </is>
      </c>
      <c r="F262" s="29" t="inlineStr">
        <is>
          <t>Technology</t>
        </is>
      </c>
      <c r="G262" s="29" t="inlineStr">
        <is>
          <t>Lead Software Engineer</t>
        </is>
      </c>
      <c r="H262" s="29" t="inlineStr">
        <is>
          <t>Lead Software Engineer – POD Lead</t>
        </is>
      </c>
      <c r="I262" s="29" t="inlineStr">
        <is>
          <t>L5 – Lead · IC</t>
        </is>
      </c>
      <c r="J262" s="29" t="inlineStr">
        <is>
          <t>B3</t>
        </is>
      </c>
      <c r="K262" s="29" t="inlineStr">
        <is>
          <t>• Same level</t>
        </is>
      </c>
      <c r="L262" s="29" t="inlineStr">
        <is>
          <t>Engineering &amp; Development</t>
        </is>
      </c>
      <c r="M262" s="29" t="inlineStr">
        <is>
          <t>Full-Stack Development</t>
        </is>
      </c>
      <c r="N262" s="29" t="n"/>
      <c r="O262" s="29" t="n">
        <v>20</v>
      </c>
      <c r="P262" s="28" t="inlineStr">
        <is>
          <t>P5 / M4</t>
        </is>
      </c>
      <c r="Q262" s="29" t="inlineStr">
        <is>
          <t>Expert / Senior Manager</t>
        </is>
      </c>
      <c r="R262" s="29" t="inlineStr">
        <is>
          <t>5 Ensure, advise</t>
        </is>
      </c>
      <c r="S262" s="29" t="inlineStr">
        <is>
          <t>8–12 yrs</t>
        </is>
      </c>
      <c r="T262" s="29" t="inlineStr">
        <is>
          <t>9–13 · 9–14</t>
        </is>
      </c>
      <c r="U262" s="29" t="inlineStr">
        <is>
          <t>Principal Engineer</t>
        </is>
      </c>
      <c r="V262" s="29" t="inlineStr">
        <is>
          <t>Workiva: Staff SE · Broadridge India: Senior Lead SE · Nasdaq / AxiomSL: Lead SE · Salesforce: LMTS · Atlassian: P50 Senior · Freshworks: Staff SE</t>
        </is>
      </c>
      <c r="W262" s="29" t="inlineStr">
        <is>
          <t>SFIA 9 · software development, programming; OWASP secure coding; cloud vendor certifications</t>
        </is>
      </c>
      <c r="X262" s="29" t="inlineStr">
        <is>
          <t>Core 4 · Future 3 · Functional 4 · Leadership 4</t>
        </is>
      </c>
      <c r="Y262" s="52" t="n">
        <v>23</v>
      </c>
      <c r="Z262" s="53" t="inlineStr">
        <is>
          <t>IRIS0103</t>
        </is>
      </c>
      <c r="AA262" s="53" t="inlineStr">
        <is>
          <t>Employee</t>
        </is>
      </c>
      <c r="AB262" s="53" t="inlineStr">
        <is>
          <t>Active</t>
        </is>
      </c>
      <c r="AC262" s="53" t="inlineStr">
        <is>
          <t>Alwina Shaikh</t>
        </is>
      </c>
      <c r="AD262" s="54" t="n">
        <v>39279</v>
      </c>
      <c r="AE262" s="53" t="inlineStr">
        <is>
          <t>Lead Software Engineer</t>
        </is>
      </c>
      <c r="AF262" s="53" t="inlineStr">
        <is>
          <t>PGDM</t>
        </is>
      </c>
      <c r="AG262" s="53" t="inlineStr">
        <is>
          <t>Sharanagouda Patil</t>
        </is>
      </c>
      <c r="AH262" s="53" t="inlineStr">
        <is>
          <t>N-4</t>
        </is>
      </c>
      <c r="AI262" s="53" t="inlineStr">
        <is>
          <t>Manager</t>
        </is>
      </c>
      <c r="AJ262" s="53" t="inlineStr">
        <is>
          <t>0 years, 0 months, 0 days</t>
        </is>
      </c>
      <c r="AK262" s="53" t="inlineStr">
        <is>
          <t>19 years, 1 months, 9 days</t>
        </is>
      </c>
      <c r="AL262" s="53" t="inlineStr">
        <is>
          <t>Suptech</t>
        </is>
      </c>
      <c r="AM262" s="53" t="inlineStr">
        <is>
          <t>iFile</t>
        </is>
      </c>
      <c r="AN262" s="53" t="inlineStr">
        <is>
          <t>Technology</t>
        </is>
      </c>
      <c r="AO262" s="53" t="inlineStr">
        <is>
          <t>Development</t>
        </is>
      </c>
      <c r="AP262" s="53" t="inlineStr">
        <is>
          <t>Yes</t>
        </is>
      </c>
      <c r="AQ262" s="53" t="inlineStr">
        <is>
          <t>Product/Project</t>
        </is>
      </c>
      <c r="AR262" s="53" t="inlineStr">
        <is>
          <t>.NET MVC</t>
        </is>
      </c>
      <c r="AS262" s="53" t="inlineStr">
        <is>
          <t>Technical - Developer</t>
        </is>
      </c>
      <c r="AT262" s="53" t="n">
        <v>20</v>
      </c>
      <c r="AU262" s="53" t="inlineStr">
        <is>
          <t>Covered</t>
        </is>
      </c>
      <c r="AV262" s="53" t="n"/>
      <c r="AW262" s="53" t="n"/>
      <c r="AX262" s="53" t="n"/>
      <c r="AY262" s="53" t="n"/>
      <c r="AZ262" s="53" t="n"/>
      <c r="BA262" s="53" t="n"/>
      <c r="BB262" s="53" t="n"/>
      <c r="BC262" s="53" t="n"/>
      <c r="BD262" s="53" t="n"/>
      <c r="BE262" s="53" t="n"/>
      <c r="BF262" s="53" t="n"/>
      <c r="BG262" s="53" t="n"/>
      <c r="BH262" s="53" t="n"/>
      <c r="BI262" s="53" t="n"/>
      <c r="BJ262" s="53" t="n"/>
      <c r="BK262" s="53" t="n"/>
      <c r="BL262" s="53" t="n"/>
      <c r="BM262" s="53" t="n"/>
      <c r="BN262" s="53" t="n"/>
      <c r="BO262" s="53" t="n"/>
      <c r="BP262" s="53" t="n"/>
      <c r="BQ262" s="53" t="n"/>
      <c r="BR262" s="53" t="n"/>
      <c r="BS262" s="53" t="n"/>
      <c r="BT262" s="53" t="n"/>
      <c r="BU262" s="53" t="n"/>
      <c r="BV262" s="53" t="n"/>
      <c r="BW262" s="53" t="n"/>
      <c r="BX262" s="53" t="n"/>
      <c r="BY262" s="53" t="n"/>
      <c r="BZ262" s="53" t="n"/>
      <c r="CA262" s="53" t="n"/>
      <c r="CB262" s="53" t="n"/>
      <c r="CC262" s="53" t="n"/>
      <c r="CD262" s="53" t="n"/>
      <c r="CE262" s="53" t="n"/>
      <c r="CF262" s="53" t="n"/>
      <c r="CG262" s="53" t="n"/>
      <c r="CH262" s="53" t="n"/>
      <c r="CI262" s="53" t="n"/>
      <c r="CJ262" s="53" t="n"/>
      <c r="CK262" s="53" t="n"/>
      <c r="CL262" s="53" t="n"/>
      <c r="CM262" s="53" t="n"/>
      <c r="CN262" s="53" t="n"/>
      <c r="CO262" s="53" t="n"/>
      <c r="CP262" s="53" t="n"/>
      <c r="CQ262" s="53" t="n"/>
      <c r="CR262" s="53" t="n"/>
      <c r="CS262" s="53" t="n"/>
      <c r="CT262" s="53" t="n"/>
      <c r="CU262" s="53" t="n"/>
      <c r="CV262" s="53" t="n"/>
      <c r="CW262" s="53" t="n"/>
      <c r="CX262" s="53" t="n"/>
      <c r="CY262" s="53" t="n"/>
      <c r="CZ262" s="53" t="n"/>
      <c r="DA262" s="53" t="n"/>
      <c r="DB262" s="53" t="n"/>
      <c r="DC262" s="53" t="n"/>
      <c r="DD262" s="53" t="inlineStr">
        <is>
          <t>IRIS0103</t>
        </is>
      </c>
      <c r="DE262" s="53" t="inlineStr">
        <is>
          <t>Employee</t>
        </is>
      </c>
      <c r="DF262" s="53" t="inlineStr">
        <is>
          <t>Active</t>
        </is>
      </c>
      <c r="DG262" s="53" t="inlineStr">
        <is>
          <t>Alwina Shaikh</t>
        </is>
      </c>
      <c r="DH262" s="54" t="n">
        <v>39279</v>
      </c>
      <c r="DI262" s="53" t="inlineStr">
        <is>
          <t>Lead Software Engineer</t>
        </is>
      </c>
      <c r="DJ262" s="53" t="inlineStr">
        <is>
          <t>Engineering &amp; Development</t>
        </is>
      </c>
      <c r="DK262" s="53" t="inlineStr">
        <is>
          <t>Backend Engineering ·.NET</t>
        </is>
      </c>
      <c r="DL262" s="53" t="inlineStr">
        <is>
          <t>Lead Software Engineer</t>
        </is>
      </c>
      <c r="DM262" s="53" t="inlineStr">
        <is>
          <t>L5 – Lead · IC</t>
        </is>
      </c>
      <c r="DN262" s="53" t="inlineStr">
        <is>
          <t>PGDM</t>
        </is>
      </c>
      <c r="DO262" s="53" t="inlineStr">
        <is>
          <t>Sharanagouda Patil</t>
        </is>
      </c>
      <c r="DP262" s="53" t="inlineStr">
        <is>
          <t>N-3</t>
        </is>
      </c>
      <c r="DQ262" s="53" t="inlineStr">
        <is>
          <t>Manager</t>
        </is>
      </c>
      <c r="DR262" s="53" t="inlineStr">
        <is>
          <t>0 years, 0 months, 0 days</t>
        </is>
      </c>
      <c r="DS262" s="53" t="inlineStr">
        <is>
          <t>18 years, 11 months, 4 days</t>
        </is>
      </c>
      <c r="DT262" s="53" t="inlineStr">
        <is>
          <t>18 years, 11 months, 4 days</t>
        </is>
      </c>
      <c r="DU262" s="53" t="n">
        <v>18.9276255707763</v>
      </c>
      <c r="DV262" s="53" t="inlineStr">
        <is>
          <t>Suptech</t>
        </is>
      </c>
      <c r="DW262" s="53" t="inlineStr">
        <is>
          <t>iFile</t>
        </is>
      </c>
      <c r="DX262" s="53" t="inlineStr">
        <is>
          <t>Technology</t>
        </is>
      </c>
      <c r="DY262" s="53" t="inlineStr">
        <is>
          <t>Development</t>
        </is>
      </c>
      <c r="DZ262" s="53" t="inlineStr">
        <is>
          <t>Yes</t>
        </is>
      </c>
      <c r="EA262" s="53" t="inlineStr">
        <is>
          <t>Product/Project</t>
        </is>
      </c>
      <c r="EB262" s="53" t="inlineStr">
        <is>
          <t>.NET MVC</t>
        </is>
      </c>
      <c r="EC262" s="53" t="inlineStr">
        <is>
          <t>Technical - Developer</t>
        </is>
      </c>
      <c r="ED262" s="53" t="inlineStr">
        <is>
          <t>Remote - Mumbai</t>
        </is>
      </c>
      <c r="EE262" s="53" t="n"/>
      <c r="EF262" s="53" t="n"/>
      <c r="EG262" s="53" t="inlineStr">
        <is>
          <t>1. Provide production support and work on assigned Webform projects.
2. Work independently and complete tasks on time and guide team members.
3. Improve the Webform product using AI and automation to reduce manual effort.
4. Build strong knowledge of Taxonomy and related concepts.
5. Upgrade technology and improve application performance.</t>
        </is>
      </c>
      <c r="EH262" s="53" t="n">
        <v>4</v>
      </c>
      <c r="EI262" s="54" t="n">
        <v>45901</v>
      </c>
      <c r="EJ262" s="53" t="inlineStr">
        <is>
          <t>Lead Software Engineer</t>
        </is>
      </c>
      <c r="EK262" s="53" t="inlineStr">
        <is>
          <t>Yes</t>
        </is>
      </c>
      <c r="EL262" s="53" t="n">
        <v>4</v>
      </c>
      <c r="EM262" s="53" t="inlineStr">
        <is>
          <t>Medium</t>
        </is>
      </c>
      <c r="EN262" s="53" t="inlineStr">
        <is>
          <t>Trusted Professional</t>
        </is>
      </c>
      <c r="EO262" s="53" t="n"/>
      <c r="EP262" s="53" t="n"/>
      <c r="EQ262" s="53" t="n"/>
      <c r="ER262" s="53" t="inlineStr">
        <is>
          <t>Shubham Nimse</t>
        </is>
      </c>
      <c r="ES262" s="53" t="inlineStr">
        <is>
          <t>AI Training</t>
        </is>
      </c>
      <c r="ET262" s="53" t="n"/>
      <c r="EU262" s="53" t="n"/>
      <c r="EV262" s="53" t="n"/>
      <c r="EW262" s="52" t="n"/>
      <c r="EX262" s="53" t="n"/>
      <c r="EY262" s="53" t="n"/>
      <c r="EZ262" s="53" t="n"/>
      <c r="FA262" s="53" t="n"/>
      <c r="FB262" s="53" t="n"/>
      <c r="FC262" s="53" t="n"/>
      <c r="FD262" s="53" t="n"/>
      <c r="FE262" s="55" t="inlineStr">
        <is>
          <t>KRAs not received · manager to supply</t>
        </is>
      </c>
      <c r="FF262" s="56" t="inlineStr">
        <is>
          <t>1. Provide production support and work on assigned Webform projects.
2. Work independently and complete tasks on time and guide team members.
3. Improve the Webform product using AI and automation to reduce manual effort.
4. Build strong knowledge of Taxonomy and related concepts.
5. Upgrade technology and improve application performance.</t>
        </is>
      </c>
      <c r="FG262" s="56" t="n"/>
      <c r="FH262" s="56" t="inlineStr">
        <is>
          <t>4</t>
        </is>
      </c>
      <c r="FI262" s="56" t="n"/>
      <c r="FJ262" s="56" t="inlineStr">
        <is>
          <t>Received · quarterly</t>
        </is>
      </c>
      <c r="FK262" s="56" t="inlineStr">
        <is>
          <t>Talent Mapping · iFile collated</t>
        </is>
      </c>
      <c r="FL262" s="56" t="n">
        <v>20</v>
      </c>
      <c r="FM262" s="32" t="inlineStr">
        <is>
          <t>Full survey answers not in the files received · How We Grow export needed · HR</t>
        </is>
      </c>
      <c r="FN262" s="56" t="inlineStr">
        <is>
          <t>—</t>
        </is>
      </c>
      <c r="FO262" s="56" t="inlineStr">
        <is>
          <t>—</t>
        </is>
      </c>
      <c r="FP262" s="56" t="inlineStr">
        <is>
          <t>—</t>
        </is>
      </c>
      <c r="FQ262" s="56" t="inlineStr">
        <is>
          <t>—</t>
        </is>
      </c>
      <c r="FR262" s="56" t="inlineStr">
        <is>
          <t>Complexity: Evidence reads like A3: Does everything needed for a feature in Node.js / Angular; little detail given → moved down 0.5
Autonomy: Evidence reads like A3: Decides release to QA; shares timelines → moved down 0.5
Accountability: Evidence reads like A3: Accountable for 'deliverables' of features end to end; delays hit timeline → moved down 0.5
Leadership: Evidence reads like A3: Says he manages the team; 2 direct reports → moved down 0.5
Business Impact: No survey or manager-mapping signal on criticality: kept at the start point.</t>
        </is>
      </c>
      <c r="FS262" s="56" t="inlineStr">
        <is>
          <t>Common themes in sub-family holders, all levels' answers: software · develop · solutions · product · improve · business
Common themes in sub-family holders, all levels' answers: development · bug · fixing · feature · support · code
Common themes in sub-family holders, all levels' answers: features · software · fixes · bug · solutions · product
Common themes in sub-family holders, all levels' answers: accountable · production · development · quality · delivery · am
Common themes in sub-family holders, all levels' answers: code · implementation · technical · approaches · independently · decisions
If the work is missed · role-holders' themes: delays · rework · issues.</t>
        </is>
      </c>
      <c r="FT262" s="56" t="inlineStr">
        <is>
          <t>Self-identified: Certification / formal course
For the next role: Certification / formal course</t>
        </is>
      </c>
      <c r="FU262" s="32" t="inlineStr">
        <is>
          <t>Full survey answers not in the files received · How We Grow export needed · HR</t>
        </is>
      </c>
    </row>
    <row r="263" ht="90" customHeight="1">
      <c r="A263" s="51" t="inlineStr">
        <is>
          <t>◂ Back</t>
        </is>
      </c>
      <c r="B263" s="29" t="inlineStr">
        <is>
          <t>Mapped</t>
        </is>
      </c>
      <c r="C263" s="28" t="inlineStr">
        <is>
          <t>iFile</t>
        </is>
      </c>
      <c r="D263" s="29" t="inlineStr">
        <is>
          <t>IRIS2537</t>
        </is>
      </c>
      <c r="E263" s="29" t="inlineStr">
        <is>
          <t>Shritesh Aher</t>
        </is>
      </c>
      <c r="F263" s="29" t="inlineStr">
        <is>
          <t>Technology</t>
        </is>
      </c>
      <c r="G263" s="29" t="inlineStr">
        <is>
          <t>Software Engineer</t>
        </is>
      </c>
      <c r="H263" s="29" t="inlineStr">
        <is>
          <t>Senior UI Developer</t>
        </is>
      </c>
      <c r="I263" s="29" t="inlineStr">
        <is>
          <t>Not in current mapping files</t>
        </is>
      </c>
      <c r="J263" s="29" t="inlineStr">
        <is>
          <t>A3</t>
        </is>
      </c>
      <c r="K263" s="29" t="inlineStr">
        <is>
          <t>● Newly mapped</t>
        </is>
      </c>
      <c r="L263" s="29" t="inlineStr">
        <is>
          <t>Engineering &amp; Development</t>
        </is>
      </c>
      <c r="M263" s="29" t="inlineStr">
        <is>
          <t>Front-End / UI Development</t>
        </is>
      </c>
      <c r="N263" s="29" t="n"/>
      <c r="O263" s="29" t="n">
        <v>20</v>
      </c>
      <c r="P263" s="28" t="inlineStr">
        <is>
          <t>P2</t>
        </is>
      </c>
      <c r="Q263" s="29" t="inlineStr">
        <is>
          <t>Developing</t>
        </is>
      </c>
      <c r="R263" s="29" t="inlineStr">
        <is>
          <t>3 Apply</t>
        </is>
      </c>
      <c r="S263" s="29" t="inlineStr">
        <is>
          <t>2–4 yrs</t>
        </is>
      </c>
      <c r="T263" s="29" t="inlineStr">
        <is>
          <t>3–5 · 2–5</t>
        </is>
      </c>
      <c r="U263" s="29" t="inlineStr">
        <is>
          <t>Software Engineer</t>
        </is>
      </c>
      <c r="V263" s="29" t="inlineStr">
        <is>
          <t>Workiva: SE · Broadridge India: SE · Nasdaq / AxiomSL: SE · Salesforce: MTS · Atlassian: P40 · 3–7 yrs · Freshworks: Senior SE</t>
        </is>
      </c>
      <c r="W263" s="29" t="inlineStr">
        <is>
          <t>SFIA 9 · software development, programming; OWASP secure coding; cloud vendor certifications</t>
        </is>
      </c>
      <c r="X263" s="29" t="inlineStr">
        <is>
          <t>Core 2 · Future 2 · Functional 3 · Leadership not scored</t>
        </is>
      </c>
      <c r="Y263" s="52" t="n">
        <v>510</v>
      </c>
      <c r="Z263" s="53" t="inlineStr">
        <is>
          <t>IRIS2537</t>
        </is>
      </c>
      <c r="AA263" s="53" t="inlineStr">
        <is>
          <t>Employee</t>
        </is>
      </c>
      <c r="AB263" s="53" t="inlineStr">
        <is>
          <t>Active</t>
        </is>
      </c>
      <c r="AC263" s="53" t="inlineStr">
        <is>
          <t>Shritesh Aher</t>
        </is>
      </c>
      <c r="AD263" s="54" t="n">
        <v>46188</v>
      </c>
      <c r="AE263" s="53" t="inlineStr">
        <is>
          <t>Software Engineer</t>
        </is>
      </c>
      <c r="AF263" s="53" t="inlineStr">
        <is>
          <t>B.E</t>
        </is>
      </c>
      <c r="AG263" s="53" t="inlineStr">
        <is>
          <t>Alwina Shaikh</t>
        </is>
      </c>
      <c r="AH263" s="53" t="inlineStr">
        <is>
          <t>N-5</t>
        </is>
      </c>
      <c r="AI263" s="53" t="inlineStr">
        <is>
          <t>Individual Contributor</t>
        </is>
      </c>
      <c r="AJ263" s="53" t="inlineStr">
        <is>
          <t>3 years, 7 months, 00 days</t>
        </is>
      </c>
      <c r="AK263" s="53" t="inlineStr">
        <is>
          <t>0 years, 2 months, 10 days</t>
        </is>
      </c>
      <c r="AL263" s="53" t="inlineStr">
        <is>
          <t>Suptech</t>
        </is>
      </c>
      <c r="AM263" s="53" t="inlineStr">
        <is>
          <t>iFile</t>
        </is>
      </c>
      <c r="AN263" s="53" t="inlineStr">
        <is>
          <t>Technology</t>
        </is>
      </c>
      <c r="AO263" s="53" t="inlineStr">
        <is>
          <t>Development</t>
        </is>
      </c>
      <c r="AP263" s="53" t="inlineStr">
        <is>
          <t>Yes</t>
        </is>
      </c>
      <c r="AQ263" s="53" t="inlineStr">
        <is>
          <t>Product/Project</t>
        </is>
      </c>
      <c r="AR263" s="53" t="inlineStr">
        <is>
          <t>Angular + Node.js</t>
        </is>
      </c>
      <c r="AS263" s="53" t="inlineStr">
        <is>
          <t>Technical - Developer</t>
        </is>
      </c>
      <c r="AT263" s="53" t="n">
        <v>20</v>
      </c>
      <c r="AU263" s="53" t="inlineStr">
        <is>
          <t>Covered</t>
        </is>
      </c>
      <c r="AV263" s="53" t="n"/>
      <c r="AW263" s="53" t="n"/>
      <c r="AX263" s="53" t="n"/>
      <c r="AY263" s="53" t="n"/>
      <c r="AZ263" s="53" t="n"/>
      <c r="BA263" s="53" t="n"/>
      <c r="BB263" s="53" t="n"/>
      <c r="BC263" s="53" t="n"/>
      <c r="BD263" s="53" t="n"/>
      <c r="BE263" s="53" t="n"/>
      <c r="BF263" s="53" t="n"/>
      <c r="BG263" s="53" t="n"/>
      <c r="BH263" s="53" t="n"/>
      <c r="BI263" s="53" t="n"/>
      <c r="BJ263" s="53" t="n"/>
      <c r="BK263" s="53" t="n"/>
      <c r="BL263" s="53" t="n"/>
      <c r="BM263" s="53" t="n"/>
      <c r="BN263" s="53" t="n"/>
      <c r="BO263" s="53" t="n"/>
      <c r="BP263" s="53" t="n"/>
      <c r="BQ263" s="53" t="n"/>
      <c r="BR263" s="53" t="n"/>
      <c r="BS263" s="53" t="n"/>
      <c r="BT263" s="53" t="n"/>
      <c r="BU263" s="53" t="n"/>
      <c r="BV263" s="53" t="n"/>
      <c r="BW263" s="53" t="n"/>
      <c r="BX263" s="53" t="n"/>
      <c r="BY263" s="53" t="n"/>
      <c r="BZ263" s="53" t="n"/>
      <c r="CA263" s="53" t="n"/>
      <c r="CB263" s="53" t="n"/>
      <c r="CC263" s="53" t="n"/>
      <c r="CD263" s="53" t="n"/>
      <c r="CE263" s="53" t="n"/>
      <c r="CF263" s="53" t="n"/>
      <c r="CG263" s="53" t="n"/>
      <c r="CH263" s="53" t="n"/>
      <c r="CI263" s="53" t="n"/>
      <c r="CJ263" s="53" t="n"/>
      <c r="CK263" s="53" t="n"/>
      <c r="CL263" s="53" t="n"/>
      <c r="CM263" s="53" t="n"/>
      <c r="CN263" s="53" t="n"/>
      <c r="CO263" s="53" t="n"/>
      <c r="CP263" s="53" t="n"/>
      <c r="CQ263" s="53" t="n"/>
      <c r="CR263" s="53" t="n"/>
      <c r="CS263" s="53" t="n"/>
      <c r="CT263" s="53" t="n"/>
      <c r="CU263" s="53" t="n"/>
      <c r="CV263" s="53" t="n"/>
      <c r="CW263" s="53" t="n"/>
      <c r="CX263" s="53" t="n"/>
      <c r="CY263" s="53" t="n"/>
      <c r="CZ263" s="53" t="n"/>
      <c r="DA263" s="53" t="n"/>
      <c r="DB263" s="53" t="n"/>
      <c r="DC263" s="53" t="n"/>
      <c r="DD263" s="53" t="n"/>
      <c r="DE263" s="53" t="n"/>
      <c r="DF263" s="53" t="n"/>
      <c r="DG263" s="53" t="n"/>
      <c r="DH263" s="53" t="n"/>
      <c r="DI263" s="53" t="n"/>
      <c r="DJ263" s="53" t="n"/>
      <c r="DK263" s="53" t="n"/>
      <c r="DL263" s="53" t="n"/>
      <c r="DM263" s="53" t="n"/>
      <c r="DN263" s="53" t="n"/>
      <c r="DO263" s="53" t="n"/>
      <c r="DP263" s="53" t="n"/>
      <c r="DQ263" s="53" t="n"/>
      <c r="DR263" s="53" t="n"/>
      <c r="DS263" s="53" t="n"/>
      <c r="DT263" s="53" t="n"/>
      <c r="DU263" s="53" t="n"/>
      <c r="DV263" s="53" t="n"/>
      <c r="DW263" s="53" t="n"/>
      <c r="DX263" s="53" t="n"/>
      <c r="DY263" s="53" t="n"/>
      <c r="DZ263" s="53" t="n"/>
      <c r="EA263" s="53" t="n"/>
      <c r="EB263" s="53" t="n"/>
      <c r="EC263" s="53" t="n"/>
      <c r="ED263" s="53" t="n"/>
      <c r="EE263" s="53" t="n"/>
      <c r="EF263" s="53" t="n"/>
      <c r="EG263" s="53" t="n"/>
      <c r="EH263" s="53" t="n"/>
      <c r="EI263" s="53" t="n"/>
      <c r="EJ263" s="53" t="n"/>
      <c r="EK263" s="53" t="n"/>
      <c r="EL263" s="53" t="n"/>
      <c r="EM263" s="53" t="n"/>
      <c r="EN263" s="53" t="n"/>
      <c r="EO263" s="53" t="n"/>
      <c r="EP263" s="53" t="n"/>
      <c r="EQ263" s="53" t="n"/>
      <c r="ER263" s="53" t="n"/>
      <c r="ES263" s="53" t="n"/>
      <c r="ET263" s="53" t="n"/>
      <c r="EU263" s="53" t="n"/>
      <c r="EV263" s="53" t="n"/>
      <c r="EW263" s="52" t="n"/>
      <c r="EX263" s="53" t="n"/>
      <c r="EY263" s="53" t="n"/>
      <c r="EZ263" s="53" t="n"/>
      <c r="FA263" s="53" t="n"/>
      <c r="FB263" s="53" t="n"/>
      <c r="FC263" s="53" t="n"/>
      <c r="FD263" s="53" t="n"/>
      <c r="FE263" s="55" t="inlineStr">
        <is>
          <t>KRAs not received · manager to supply</t>
        </is>
      </c>
      <c r="FF263" s="56" t="n"/>
      <c r="FG263" s="56" t="n"/>
      <c r="FH263" s="56" t="n"/>
      <c r="FI263" s="56" t="n"/>
      <c r="FJ263" s="32" t="inlineStr">
        <is>
          <t>KRAs not received · manager to supply</t>
        </is>
      </c>
      <c r="FK263" s="56" t="n"/>
      <c r="FL263" s="56" t="n">
        <v>20</v>
      </c>
      <c r="FM263" s="32" t="inlineStr">
        <is>
          <t>Full survey answers not in the files received · How We Grow export needed · HR</t>
        </is>
      </c>
      <c r="FN263" s="56" t="inlineStr">
        <is>
          <t>—</t>
        </is>
      </c>
      <c r="FO263" s="56" t="inlineStr">
        <is>
          <t>—</t>
        </is>
      </c>
      <c r="FP263" s="56" t="inlineStr">
        <is>
          <t>—</t>
        </is>
      </c>
      <c r="FQ263" s="56" t="inlineStr">
        <is>
          <t>—</t>
        </is>
      </c>
      <c r="FR263" s="56" t="inlineStr">
        <is>
          <t>Complexity: Evidence reads like A2: Delivers 'a module feature'; no specific work, technology or problem described → matches the start
Autonomy: Evidence reads like A2: Decides handling of edge cases → matches the start
Accountability: Evidence reads like A2: Accountable for own feature not breaking the existing flow → matches the start
Leadership: Evidence reads like A1: No guiding or leading described → matches the start
Business Impact: No survey or manager-mapping signal on criticality: kept at the start point.</t>
        </is>
      </c>
      <c r="FS263" s="56" t="inlineStr">
        <is>
          <t>Common themes in role-holders' answers: core · purpose · web · improve · business · user-friendly
Common themes in role-holders' answers: ui · user · performance · design · development · testing
Common themes in role-holders' answers: user · app
Common themes in role-holders' answers: development · am · accountable · quality · ui · responsive user-friendly
Common themes in role-holders' answers: code · ui
If the work is missed · role-holders' themes: impact · delivery · performance · overall.
Measured on · manager-set KRA themes: components · sprint · code · coverage · quality · maintain.</t>
        </is>
      </c>
      <c r="FT263" s="56" t="inlineStr">
        <is>
          <t>Self-identified: Technical depth &amp; architecture
For the next role: Technical depth &amp; architecture</t>
        </is>
      </c>
      <c r="FU263" s="32" t="inlineStr">
        <is>
          <t>Full survey answers not in the files received · How We Grow export needed · HR</t>
        </is>
      </c>
    </row>
    <row r="264" ht="90" customHeight="1">
      <c r="A264" s="51" t="inlineStr">
        <is>
          <t>◂ Back</t>
        </is>
      </c>
      <c r="B264" s="29" t="inlineStr">
        <is>
          <t>Mapped</t>
        </is>
      </c>
      <c r="C264" s="28" t="inlineStr">
        <is>
          <t>iFile</t>
        </is>
      </c>
      <c r="D264" s="29" t="inlineStr">
        <is>
          <t>IRIS2441</t>
        </is>
      </c>
      <c r="E264" s="29" t="inlineStr">
        <is>
          <t>Mayuresh Raghunath Mahale</t>
        </is>
      </c>
      <c r="F264" s="29" t="inlineStr">
        <is>
          <t>Technology</t>
        </is>
      </c>
      <c r="G264" s="29" t="inlineStr">
        <is>
          <t>Trainee Software Engineer</t>
        </is>
      </c>
      <c r="H264" s="29" t="inlineStr">
        <is>
          <t>Trainee Software Engineer</t>
        </is>
      </c>
      <c r="I264" s="29" t="inlineStr">
        <is>
          <t>L2 – Trainee</t>
        </is>
      </c>
      <c r="J264" s="29" t="inlineStr">
        <is>
          <t>A1</t>
        </is>
      </c>
      <c r="K264" s="29" t="inlineStr">
        <is>
          <t>• Same level</t>
        </is>
      </c>
      <c r="L264" s="29" t="inlineStr">
        <is>
          <t>Engineering &amp; Development</t>
        </is>
      </c>
      <c r="M264" s="29" t="inlineStr">
        <is>
          <t>Full-Stack Development</t>
        </is>
      </c>
      <c r="N264" s="29" t="n"/>
      <c r="O264" s="29" t="n">
        <v>20</v>
      </c>
      <c r="P264" s="28" t="inlineStr">
        <is>
          <t>Entry / P1 · intern</t>
        </is>
      </c>
      <c r="Q264" s="29" t="inlineStr">
        <is>
          <t>Entry</t>
        </is>
      </c>
      <c r="R264" s="29" t="inlineStr">
        <is>
          <t>1 Follow</t>
        </is>
      </c>
      <c r="S264" s="29" t="inlineStr">
        <is>
          <t>0 yrs · fresher / intern</t>
        </is>
      </c>
      <c r="T264" s="29" t="inlineStr">
        <is>
          <t>—</t>
        </is>
      </c>
      <c r="U264" s="29" t="inlineStr">
        <is>
          <t>Associate Software Engineer</t>
        </is>
      </c>
      <c r="V264" s="29" t="inlineStr">
        <is>
          <t>—</t>
        </is>
      </c>
      <c r="W264" s="29" t="inlineStr">
        <is>
          <t>SFIA 9 · software development, programming; OWASP secure coding; cloud vendor certifications</t>
        </is>
      </c>
      <c r="X264" s="29" t="inlineStr">
        <is>
          <t>Core 1 · Future 1 · Functional 1 · Leadership not scored</t>
        </is>
      </c>
      <c r="Y264" s="52" t="n">
        <v>408</v>
      </c>
      <c r="Z264" s="53" t="inlineStr">
        <is>
          <t>IRIS2441</t>
        </is>
      </c>
      <c r="AA264" s="53" t="inlineStr">
        <is>
          <t>Employee</t>
        </is>
      </c>
      <c r="AB264" s="53" t="inlineStr">
        <is>
          <t>Active</t>
        </is>
      </c>
      <c r="AC264" s="53" t="inlineStr">
        <is>
          <t>Mayuresh Raghunath Mahale</t>
        </is>
      </c>
      <c r="AD264" s="54" t="n">
        <v>45964</v>
      </c>
      <c r="AE264" s="53" t="inlineStr">
        <is>
          <t>Trainee Software Engineer</t>
        </is>
      </c>
      <c r="AF264" s="53" t="inlineStr">
        <is>
          <t>B.E</t>
        </is>
      </c>
      <c r="AG264" s="53" t="inlineStr">
        <is>
          <t>Alwina Shaikh</t>
        </is>
      </c>
      <c r="AH264" s="53" t="inlineStr">
        <is>
          <t>N-5</t>
        </is>
      </c>
      <c r="AI264" s="53" t="inlineStr">
        <is>
          <t>Individual Contributor</t>
        </is>
      </c>
      <c r="AJ264" s="53" t="inlineStr">
        <is>
          <t>0 years, 0 months, 0 days</t>
        </is>
      </c>
      <c r="AK264" s="53" t="inlineStr">
        <is>
          <t>0 years, 9 months, 22 days</t>
        </is>
      </c>
      <c r="AL264" s="53" t="inlineStr">
        <is>
          <t>Suptech</t>
        </is>
      </c>
      <c r="AM264" s="53" t="inlineStr">
        <is>
          <t>iFile</t>
        </is>
      </c>
      <c r="AN264" s="53" t="inlineStr">
        <is>
          <t>Technology</t>
        </is>
      </c>
      <c r="AO264" s="53" t="inlineStr">
        <is>
          <t>Development</t>
        </is>
      </c>
      <c r="AP264" s="53" t="inlineStr">
        <is>
          <t>Yes</t>
        </is>
      </c>
      <c r="AQ264" s="53" t="inlineStr">
        <is>
          <t>Product/Project</t>
        </is>
      </c>
      <c r="AR264" s="53" t="inlineStr">
        <is>
          <t>Java</t>
        </is>
      </c>
      <c r="AS264" s="53" t="inlineStr">
        <is>
          <t>Technical - Developer</t>
        </is>
      </c>
      <c r="AT264" s="53" t="n">
        <v>20</v>
      </c>
      <c r="AU264" s="53" t="inlineStr">
        <is>
          <t>Covered</t>
        </is>
      </c>
      <c r="AV264" s="53" t="n"/>
      <c r="AW264" s="53" t="n"/>
      <c r="AX264" s="53" t="n"/>
      <c r="AY264" s="53" t="n"/>
      <c r="AZ264" s="53" t="n"/>
      <c r="BA264" s="53" t="n"/>
      <c r="BB264" s="53" t="n"/>
      <c r="BC264" s="53" t="n"/>
      <c r="BD264" s="53" t="n"/>
      <c r="BE264" s="53" t="n"/>
      <c r="BF264" s="53" t="n"/>
      <c r="BG264" s="53" t="n"/>
      <c r="BH264" s="53" t="n"/>
      <c r="BI264" s="53" t="n"/>
      <c r="BJ264" s="53" t="n"/>
      <c r="BK264" s="53" t="n"/>
      <c r="BL264" s="53" t="n"/>
      <c r="BM264" s="53" t="n"/>
      <c r="BN264" s="53" t="n"/>
      <c r="BO264" s="53" t="n"/>
      <c r="BP264" s="53" t="n"/>
      <c r="BQ264" s="53" t="n"/>
      <c r="BR264" s="53" t="n"/>
      <c r="BS264" s="53" t="n"/>
      <c r="BT264" s="53" t="n"/>
      <c r="BU264" s="53" t="n"/>
      <c r="BV264" s="53" t="n"/>
      <c r="BW264" s="53" t="n"/>
      <c r="BX264" s="53" t="n"/>
      <c r="BY264" s="53" t="n"/>
      <c r="BZ264" s="53" t="n"/>
      <c r="CA264" s="53" t="n"/>
      <c r="CB264" s="53" t="n"/>
      <c r="CC264" s="53" t="n"/>
      <c r="CD264" s="53" t="n"/>
      <c r="CE264" s="53" t="n"/>
      <c r="CF264" s="53" t="n"/>
      <c r="CG264" s="53" t="n"/>
      <c r="CH264" s="53" t="n"/>
      <c r="CI264" s="53" t="n"/>
      <c r="CJ264" s="53" t="n"/>
      <c r="CK264" s="53" t="n"/>
      <c r="CL264" s="53" t="n"/>
      <c r="CM264" s="53" t="n"/>
      <c r="CN264" s="53" t="n"/>
      <c r="CO264" s="53" t="n"/>
      <c r="CP264" s="53" t="n"/>
      <c r="CQ264" s="53" t="n"/>
      <c r="CR264" s="53" t="n"/>
      <c r="CS264" s="53" t="n"/>
      <c r="CT264" s="53" t="n"/>
      <c r="CU264" s="53" t="n"/>
      <c r="CV264" s="53" t="n"/>
      <c r="CW264" s="53" t="n"/>
      <c r="CX264" s="53" t="n"/>
      <c r="CY264" s="53" t="n"/>
      <c r="CZ264" s="53" t="n"/>
      <c r="DA264" s="53" t="n"/>
      <c r="DB264" s="53" t="n"/>
      <c r="DC264" s="53" t="n"/>
      <c r="DD264" s="53" t="inlineStr">
        <is>
          <t>IRIS2441</t>
        </is>
      </c>
      <c r="DE264" s="53" t="inlineStr">
        <is>
          <t>Employee</t>
        </is>
      </c>
      <c r="DF264" s="53" t="inlineStr">
        <is>
          <t>Active</t>
        </is>
      </c>
      <c r="DG264" s="53" t="inlineStr">
        <is>
          <t>Mayuresh Raghunath Mahale</t>
        </is>
      </c>
      <c r="DH264" s="54" t="n">
        <v>45964</v>
      </c>
      <c r="DI264" s="53" t="inlineStr">
        <is>
          <t>Trainee Software Engineer</t>
        </is>
      </c>
      <c r="DJ264" s="53" t="inlineStr">
        <is>
          <t>Engineering &amp; Development</t>
        </is>
      </c>
      <c r="DK264" s="53" t="inlineStr">
        <is>
          <t>Backend Engineering · Java</t>
        </is>
      </c>
      <c r="DL264" s="53" t="inlineStr">
        <is>
          <t>Trainee Software Engineer</t>
        </is>
      </c>
      <c r="DM264" s="53" t="inlineStr">
        <is>
          <t>L2 – Trainee</t>
        </is>
      </c>
      <c r="DN264" s="53" t="inlineStr">
        <is>
          <t>B.E</t>
        </is>
      </c>
      <c r="DO264" s="53" t="inlineStr">
        <is>
          <t>Alwina Shaikh</t>
        </is>
      </c>
      <c r="DP264" s="53" t="inlineStr">
        <is>
          <t>N-4</t>
        </is>
      </c>
      <c r="DQ264" s="53" t="inlineStr">
        <is>
          <t>Individual Contributor</t>
        </is>
      </c>
      <c r="DR264" s="53" t="inlineStr">
        <is>
          <t>0 years, 0 months, 0 days</t>
        </is>
      </c>
      <c r="DS264" s="53" t="inlineStr">
        <is>
          <t>0 years, 7 months, 17 days</t>
        </is>
      </c>
      <c r="DT264" s="53" t="inlineStr">
        <is>
          <t>0 years, 7 months, 17 days</t>
        </is>
      </c>
      <c r="DU264" s="53" t="n"/>
      <c r="DV264" s="53" t="inlineStr">
        <is>
          <t>Suptech</t>
        </is>
      </c>
      <c r="DW264" s="53" t="inlineStr">
        <is>
          <t>iFile</t>
        </is>
      </c>
      <c r="DX264" s="53" t="inlineStr">
        <is>
          <t>Technology</t>
        </is>
      </c>
      <c r="DY264" s="53" t="inlineStr">
        <is>
          <t>Development</t>
        </is>
      </c>
      <c r="DZ264" s="53" t="inlineStr">
        <is>
          <t>Yes</t>
        </is>
      </c>
      <c r="EA264" s="53" t="inlineStr">
        <is>
          <t>Product/Project</t>
        </is>
      </c>
      <c r="EB264" s="53" t="inlineStr">
        <is>
          <t>Java</t>
        </is>
      </c>
      <c r="EC264" s="53" t="inlineStr">
        <is>
          <t>Technical - Developer</t>
        </is>
      </c>
      <c r="ED264" s="53" t="inlineStr">
        <is>
          <t>Work From Office - Turbhe</t>
        </is>
      </c>
      <c r="EE264" s="53" t="n"/>
      <c r="EF264" s="53" t="n"/>
      <c r="EG264" s="53" t="inlineStr">
        <is>
          <t>1. Provide production support and work on assigned Webform projects.
2. Work independently and complete tasks on time and guide team members.
3. Improve the Webform product using AI and automation to reduce manual effort.
4. Build strong knowledge of Taxonomy and related concepts.
5. Upgrade technology and improve application performance.</t>
        </is>
      </c>
      <c r="EH264" s="53" t="n">
        <v>3</v>
      </c>
      <c r="EI264" s="53" t="n"/>
      <c r="EJ264" s="53" t="inlineStr">
        <is>
          <t>Trainee Software Engineer</t>
        </is>
      </c>
      <c r="EK264" s="53" t="inlineStr">
        <is>
          <t>Yes</t>
        </is>
      </c>
      <c r="EL264" s="53" t="n">
        <v>3</v>
      </c>
      <c r="EM264" s="53" t="inlineStr">
        <is>
          <t>Medium</t>
        </is>
      </c>
      <c r="EN264" s="53" t="inlineStr">
        <is>
          <t>Trusted Professional</t>
        </is>
      </c>
      <c r="EO264" s="53" t="n"/>
      <c r="EP264" s="53" t="n"/>
      <c r="EQ264" s="53" t="n"/>
      <c r="ER264" s="53" t="n"/>
      <c r="ES264" s="53" t="inlineStr">
        <is>
          <t>Taxonomy
AI</t>
        </is>
      </c>
      <c r="ET264" s="53" t="n"/>
      <c r="EU264" s="53" t="n"/>
      <c r="EV264" s="53" t="n"/>
      <c r="EW264" s="52" t="n"/>
      <c r="EX264" s="53" t="n"/>
      <c r="EY264" s="53" t="n"/>
      <c r="EZ264" s="53" t="n"/>
      <c r="FA264" s="53" t="n"/>
      <c r="FB264" s="53" t="n"/>
      <c r="FC264" s="53" t="n"/>
      <c r="FD264" s="53" t="n"/>
      <c r="FE264" s="55" t="inlineStr">
        <is>
          <t>KRAs not received · manager to supply</t>
        </is>
      </c>
      <c r="FF264" s="56" t="inlineStr">
        <is>
          <t>1. Provide production support and work on assigned Webform projects.
2. Work independently and complete tasks on time and guide team members.
3. Improve the Webform product using AI and automation to reduce manual effort.
4. Build strong knowledge of Taxonomy and related concepts.
5. Upgrade technology and improve application performance.</t>
        </is>
      </c>
      <c r="FG264" s="56" t="n"/>
      <c r="FH264" s="56" t="inlineStr">
        <is>
          <t>3</t>
        </is>
      </c>
      <c r="FI264" s="56" t="n"/>
      <c r="FJ264" s="56" t="inlineStr">
        <is>
          <t>Received · quarterly</t>
        </is>
      </c>
      <c r="FK264" s="56" t="inlineStr">
        <is>
          <t>Talent Mapping · iFile collated</t>
        </is>
      </c>
      <c r="FL264" s="56" t="n">
        <v>20</v>
      </c>
      <c r="FM264" s="32" t="inlineStr">
        <is>
          <t>Full survey answers not in the files received · How We Grow export needed · HR</t>
        </is>
      </c>
      <c r="FN264" s="56" t="inlineStr">
        <is>
          <t>—</t>
        </is>
      </c>
      <c r="FO264" s="56" t="inlineStr">
        <is>
          <t>—</t>
        </is>
      </c>
      <c r="FP264" s="56" t="inlineStr">
        <is>
          <t>—</t>
        </is>
      </c>
      <c r="FQ264" s="56" t="inlineStr">
        <is>
          <t>—</t>
        </is>
      </c>
      <c r="FR264" s="56" t="n"/>
      <c r="FS264" s="56" t="inlineStr">
        <is>
          <t>Common themes in role-holders' answers: improving · software
Common themes in role-holders' answers: bug fixing · development · feature
Common themes in role-holders' answers: features · bug fixes · technical · apis · software
Common themes in role-holders' answers: development · am
Common themes in role-holders' answers: approaches · implementation
If the work is missed · role-holders' themes: rework · lead · delays.
Measured on · manager-set KRA themes: complete · assigned · improve · code · technical · quality.</t>
        </is>
      </c>
      <c r="FT264" s="56" t="inlineStr">
        <is>
          <t>Self-identified: Technical depth &amp; architecture · Domain, regulatory &amp; XBRL
For the next role: Technical depth &amp; architecture · Domain, regulatory &amp; XBRL</t>
        </is>
      </c>
      <c r="FU264" s="32" t="inlineStr">
        <is>
          <t>Full survey answers not in the files received · How We Grow export needed · HR</t>
        </is>
      </c>
    </row>
    <row r="265" ht="90" customHeight="1">
      <c r="A265" s="51" t="inlineStr">
        <is>
          <t>◂ Back</t>
        </is>
      </c>
      <c r="B265" s="29" t="inlineStr">
        <is>
          <t>Mapped</t>
        </is>
      </c>
      <c r="C265" s="28" t="inlineStr">
        <is>
          <t>iFile</t>
        </is>
      </c>
      <c r="D265" s="29" t="inlineStr">
        <is>
          <t>IRIS1476</t>
        </is>
      </c>
      <c r="E265" s="29" t="inlineStr">
        <is>
          <t>Himanshu Pawar</t>
        </is>
      </c>
      <c r="F265" s="29" t="inlineStr">
        <is>
          <t>Technology</t>
        </is>
      </c>
      <c r="G265" s="29" t="inlineStr">
        <is>
          <t>Lead Software Engineer</t>
        </is>
      </c>
      <c r="H265" s="29" t="inlineStr">
        <is>
          <t>Lead Software Engineer</t>
        </is>
      </c>
      <c r="I265" s="29" t="inlineStr">
        <is>
          <t>L5 – Lead · IC</t>
        </is>
      </c>
      <c r="J265" s="29" t="inlineStr">
        <is>
          <t>B2</t>
        </is>
      </c>
      <c r="K265" s="29" t="inlineStr">
        <is>
          <t>• Same level</t>
        </is>
      </c>
      <c r="L265" s="29" t="inlineStr">
        <is>
          <t>Engineering &amp; Development</t>
        </is>
      </c>
      <c r="M265" s="29" t="inlineStr">
        <is>
          <t>Backend Development</t>
        </is>
      </c>
      <c r="N265" s="29" t="inlineStr">
        <is>
          <t>• Confirm the reporting line — Manager</t>
        </is>
      </c>
      <c r="O265" s="29" t="n">
        <v>20</v>
      </c>
      <c r="P265" s="28" t="inlineStr">
        <is>
          <t>P4 / M3</t>
        </is>
      </c>
      <c r="Q265" s="29" t="inlineStr">
        <is>
          <t>Senior / Manager</t>
        </is>
      </c>
      <c r="R265" s="29" t="inlineStr">
        <is>
          <t>4–5</t>
        </is>
      </c>
      <c r="S265" s="29" t="inlineStr">
        <is>
          <t>6–9 yrs</t>
        </is>
      </c>
      <c r="T265" s="29" t="inlineStr">
        <is>
          <t>7–10 · 6–11</t>
        </is>
      </c>
      <c r="U265" s="29" t="inlineStr">
        <is>
          <t>Principal Engineer</t>
        </is>
      </c>
      <c r="V265" s="29" t="inlineStr">
        <is>
          <t>Workiva: Senior SE · Broadridge India: Lead SE · Nasdaq / AxiomSL: Senior SE · Salesforce: SMTS · Atlassian: P50 Senior · 6–12 yrs · Freshworks: Lead SE</t>
        </is>
      </c>
      <c r="W265" s="29" t="inlineStr">
        <is>
          <t>SFIA 9 · software development, programming; OWASP secure coding; cloud vendor certifications</t>
        </is>
      </c>
      <c r="X265" s="29" t="inlineStr">
        <is>
          <t>Core 3 · Future 3 · Functional 4 · Leadership 2</t>
        </is>
      </c>
      <c r="Y265" s="52" t="n">
        <v>122</v>
      </c>
      <c r="Z265" s="53" t="inlineStr">
        <is>
          <t>IRIS1476</t>
        </is>
      </c>
      <c r="AA265" s="53" t="inlineStr">
        <is>
          <t>Employee</t>
        </is>
      </c>
      <c r="AB265" s="53" t="inlineStr">
        <is>
          <t>Active</t>
        </is>
      </c>
      <c r="AC265" s="53" t="inlineStr">
        <is>
          <t>Himanshu Pawar</t>
        </is>
      </c>
      <c r="AD265" s="54" t="n">
        <v>41869</v>
      </c>
      <c r="AE265" s="53" t="inlineStr">
        <is>
          <t>Lead Software Engineer</t>
        </is>
      </c>
      <c r="AF265" s="53" t="inlineStr">
        <is>
          <t>B.E</t>
        </is>
      </c>
      <c r="AG265" s="53" t="inlineStr">
        <is>
          <t>Sharanagouda Patil</t>
        </is>
      </c>
      <c r="AH265" s="53" t="inlineStr">
        <is>
          <t>N-4</t>
        </is>
      </c>
      <c r="AI265" s="53" t="inlineStr">
        <is>
          <t>Individual Contributor</t>
        </is>
      </c>
      <c r="AJ265" s="53" t="inlineStr">
        <is>
          <t>2 years, 0 months, 0 days</t>
        </is>
      </c>
      <c r="AK265" s="53" t="inlineStr">
        <is>
          <t>12 years, 0 months, 7 days</t>
        </is>
      </c>
      <c r="AL265" s="53" t="inlineStr">
        <is>
          <t>Suptech</t>
        </is>
      </c>
      <c r="AM265" s="53" t="inlineStr">
        <is>
          <t>iFile</t>
        </is>
      </c>
      <c r="AN265" s="53" t="inlineStr">
        <is>
          <t>Technology</t>
        </is>
      </c>
      <c r="AO265" s="53" t="inlineStr">
        <is>
          <t>Development</t>
        </is>
      </c>
      <c r="AP265" s="53" t="inlineStr">
        <is>
          <t>Yes</t>
        </is>
      </c>
      <c r="AQ265" s="53" t="inlineStr">
        <is>
          <t>Product/Project</t>
        </is>
      </c>
      <c r="AR265" s="53" t="inlineStr">
        <is>
          <t>.NET MVC</t>
        </is>
      </c>
      <c r="AS265" s="53" t="inlineStr">
        <is>
          <t>Technical - Developer</t>
        </is>
      </c>
      <c r="AT265" s="53" t="n">
        <v>20</v>
      </c>
      <c r="AU265" s="53" t="inlineStr">
        <is>
          <t>Covered</t>
        </is>
      </c>
      <c r="AV265" s="53" t="n"/>
      <c r="AW265" s="53" t="n"/>
      <c r="AX265" s="53" t="n"/>
      <c r="AY265" s="53" t="n"/>
      <c r="AZ265" s="53" t="n"/>
      <c r="BA265" s="53" t="n"/>
      <c r="BB265" s="53" t="n"/>
      <c r="BC265" s="53" t="n"/>
      <c r="BD265" s="53" t="n"/>
      <c r="BE265" s="53" t="n"/>
      <c r="BF265" s="53" t="n"/>
      <c r="BG265" s="53" t="n"/>
      <c r="BH265" s="53" t="n"/>
      <c r="BI265" s="53" t="n"/>
      <c r="BJ265" s="53" t="n"/>
      <c r="BK265" s="53" t="n"/>
      <c r="BL265" s="53" t="n"/>
      <c r="BM265" s="53" t="n"/>
      <c r="BN265" s="53" t="n"/>
      <c r="BO265" s="53" t="n"/>
      <c r="BP265" s="53" t="n"/>
      <c r="BQ265" s="53" t="n"/>
      <c r="BR265" s="53" t="n"/>
      <c r="BS265" s="53" t="n"/>
      <c r="BT265" s="53" t="n"/>
      <c r="BU265" s="53" t="n"/>
      <c r="BV265" s="53" t="n"/>
      <c r="BW265" s="53" t="n"/>
      <c r="BX265" s="53" t="n"/>
      <c r="BY265" s="53" t="n"/>
      <c r="BZ265" s="53" t="n"/>
      <c r="CA265" s="53" t="n"/>
      <c r="CB265" s="53" t="n"/>
      <c r="CC265" s="53" t="n"/>
      <c r="CD265" s="53" t="n"/>
      <c r="CE265" s="53" t="n"/>
      <c r="CF265" s="53" t="n"/>
      <c r="CG265" s="53" t="n"/>
      <c r="CH265" s="53" t="n"/>
      <c r="CI265" s="53" t="n"/>
      <c r="CJ265" s="53" t="n"/>
      <c r="CK265" s="53" t="n"/>
      <c r="CL265" s="53" t="n"/>
      <c r="CM265" s="53" t="n"/>
      <c r="CN265" s="53" t="n"/>
      <c r="CO265" s="53" t="n"/>
      <c r="CP265" s="53" t="n"/>
      <c r="CQ265" s="53" t="n"/>
      <c r="CR265" s="53" t="n"/>
      <c r="CS265" s="53" t="n"/>
      <c r="CT265" s="53" t="n"/>
      <c r="CU265" s="53" t="n"/>
      <c r="CV265" s="53" t="n"/>
      <c r="CW265" s="53" t="n"/>
      <c r="CX265" s="53" t="n"/>
      <c r="CY265" s="53" t="n"/>
      <c r="CZ265" s="53" t="n"/>
      <c r="DA265" s="53" t="n"/>
      <c r="DB265" s="53" t="n"/>
      <c r="DC265" s="53" t="n"/>
      <c r="DD265" s="53" t="inlineStr">
        <is>
          <t>IRIS1476</t>
        </is>
      </c>
      <c r="DE265" s="53" t="inlineStr">
        <is>
          <t>Employee</t>
        </is>
      </c>
      <c r="DF265" s="53" t="inlineStr">
        <is>
          <t>Active</t>
        </is>
      </c>
      <c r="DG265" s="53" t="inlineStr">
        <is>
          <t>Himanshu Pawar</t>
        </is>
      </c>
      <c r="DH265" s="54" t="n">
        <v>41869</v>
      </c>
      <c r="DI265" s="53" t="inlineStr">
        <is>
          <t>Lead Software Engineer</t>
        </is>
      </c>
      <c r="DJ265" s="53" t="inlineStr">
        <is>
          <t>Engineering &amp; Development</t>
        </is>
      </c>
      <c r="DK265" s="53" t="inlineStr">
        <is>
          <t>Backend Engineering ·.NET</t>
        </is>
      </c>
      <c r="DL265" s="53" t="inlineStr">
        <is>
          <t>Lead Software Engineer</t>
        </is>
      </c>
      <c r="DM265" s="53" t="inlineStr">
        <is>
          <t>L5 – Lead · IC</t>
        </is>
      </c>
      <c r="DN265" s="53" t="inlineStr">
        <is>
          <t>B.E</t>
        </is>
      </c>
      <c r="DO265" s="53" t="inlineStr">
        <is>
          <t>Sharanagouda Patil</t>
        </is>
      </c>
      <c r="DP265" s="53" t="inlineStr">
        <is>
          <t>N-3</t>
        </is>
      </c>
      <c r="DQ265" s="53" t="inlineStr">
        <is>
          <t>Individual Contributor</t>
        </is>
      </c>
      <c r="DR265" s="53" t="inlineStr">
        <is>
          <t>2 years, 0 months, 0 days</t>
        </is>
      </c>
      <c r="DS265" s="53" t="inlineStr">
        <is>
          <t>11 years, 10 months, 2 days</t>
        </is>
      </c>
      <c r="DT265" s="53" t="inlineStr">
        <is>
          <t>13 years, 10 months, 2 days</t>
        </is>
      </c>
      <c r="DU265" s="53" t="n"/>
      <c r="DV265" s="53" t="inlineStr">
        <is>
          <t>Suptech</t>
        </is>
      </c>
      <c r="DW265" s="53" t="inlineStr">
        <is>
          <t>iFile</t>
        </is>
      </c>
      <c r="DX265" s="53" t="inlineStr">
        <is>
          <t>Technology</t>
        </is>
      </c>
      <c r="DY265" s="53" t="inlineStr">
        <is>
          <t>Development</t>
        </is>
      </c>
      <c r="DZ265" s="53" t="inlineStr">
        <is>
          <t>Yes</t>
        </is>
      </c>
      <c r="EA265" s="53" t="inlineStr">
        <is>
          <t>Product/Project</t>
        </is>
      </c>
      <c r="EB265" s="53" t="inlineStr">
        <is>
          <t>.NET MVC</t>
        </is>
      </c>
      <c r="EC265" s="53" t="inlineStr">
        <is>
          <t>Technical - Developer</t>
        </is>
      </c>
      <c r="ED265" s="53" t="inlineStr">
        <is>
          <t>Remote - Mumbai</t>
        </is>
      </c>
      <c r="EE265" s="53" t="n"/>
      <c r="EF265" s="53" t="n"/>
      <c r="EG265" s="53" t="inlineStr">
        <is>
          <t>1. Provide production support/Upgrade of SBC and Webform.
2. Work independently and complete tasks on time and guide team members.
3. Improve the Webform product using AI and automation to reduce manual effort.
4. Build strong knowledge of Taxonomy and related concepts.
5. Upgrade technology and improve application performance.</t>
        </is>
      </c>
      <c r="EH265" s="53" t="n">
        <v>3</v>
      </c>
      <c r="EI265" s="54" t="n">
        <v>45901</v>
      </c>
      <c r="EJ265" s="53" t="inlineStr">
        <is>
          <t>Lead Software Engineer</t>
        </is>
      </c>
      <c r="EK265" s="53" t="inlineStr">
        <is>
          <t>Yes</t>
        </is>
      </c>
      <c r="EL265" s="53" t="n">
        <v>3</v>
      </c>
      <c r="EM265" s="53" t="inlineStr">
        <is>
          <t>Medium</t>
        </is>
      </c>
      <c r="EN265" s="53" t="inlineStr">
        <is>
          <t>Trusted Professional</t>
        </is>
      </c>
      <c r="EO265" s="53" t="n"/>
      <c r="EP265" s="53" t="n"/>
      <c r="EQ265" s="53" t="n"/>
      <c r="ER265" s="53" t="n"/>
      <c r="ES265" s="53" t="inlineStr">
        <is>
          <t>Taxonomy
AI</t>
        </is>
      </c>
      <c r="ET265" s="53" t="n"/>
      <c r="EU265" s="53" t="n"/>
      <c r="EV265" s="53" t="n"/>
      <c r="EW265" s="52" t="n"/>
      <c r="EX265" s="53" t="n"/>
      <c r="EY265" s="53" t="n"/>
      <c r="EZ265" s="53" t="n"/>
      <c r="FA265" s="53" t="n"/>
      <c r="FB265" s="53" t="n"/>
      <c r="FC265" s="53" t="n"/>
      <c r="FD265" s="53" t="n"/>
      <c r="FE265" s="55" t="inlineStr">
        <is>
          <t>KRAs not received · manager to supply</t>
        </is>
      </c>
      <c r="FF265" s="56" t="inlineStr">
        <is>
          <t>1. Provide production support/Upgrade of SBC and Webform.
2. Work independently and complete tasks on time and guide team members.
3. Improve the Webform product using AI and automation to reduce manual effort.
4. Build strong knowledge of Taxonomy and related concepts.
5. Upgrade technology and improve application performance.</t>
        </is>
      </c>
      <c r="FG265" s="56" t="n"/>
      <c r="FH265" s="56" t="inlineStr">
        <is>
          <t>3</t>
        </is>
      </c>
      <c r="FI265" s="56" t="n"/>
      <c r="FJ265" s="56" t="inlineStr">
        <is>
          <t>Received · quarterly</t>
        </is>
      </c>
      <c r="FK265" s="56" t="inlineStr">
        <is>
          <t>Talent Mapping · iFile collated</t>
        </is>
      </c>
      <c r="FL265" s="56" t="n">
        <v>20</v>
      </c>
      <c r="FM265" s="32" t="inlineStr">
        <is>
          <t>Full survey answers not in the files received · How We Grow export needed · HR</t>
        </is>
      </c>
      <c r="FN265" s="56" t="inlineStr">
        <is>
          <t>—</t>
        </is>
      </c>
      <c r="FO265" s="56" t="inlineStr">
        <is>
          <t>—</t>
        </is>
      </c>
      <c r="FP265" s="56" t="inlineStr">
        <is>
          <t>—</t>
        </is>
      </c>
      <c r="FQ265" s="56" t="inlineStr">
        <is>
          <t>—</t>
        </is>
      </c>
      <c r="FR265" s="56" t="inlineStr">
        <is>
          <t>Business Impact: No survey or manager-mapping signal on criticality: kept at the start point.</t>
        </is>
      </c>
      <c r="FS265" s="56" t="inlineStr">
        <is>
          <t>Common themes in role-holders' answers: solutions · technical · reliable · scalable · software · business
Common themes in role-holders' answers: delivery · technical · code · solution design · ownership · leadership
Common themes in role-holders' answers: documentation · features · software · produce · deliver
Common themes in role-holders' answers: design · am · accountable · solution · technical · delivery
Common themes in role-holders' answers: technical · approach · design · implementation · ai · code
If the work is missed · role-holders' themes: rework · client · impact · production · issues.
Measured on · manager-set KRA themes: modules · coverage · complete · components · committed · sprint.</t>
        </is>
      </c>
      <c r="FT265" s="56" t="inlineStr">
        <is>
          <t>Self-identified: Leadership &amp; people management
For the next role: Leadership &amp; people management</t>
        </is>
      </c>
      <c r="FU265" s="32" t="inlineStr">
        <is>
          <t>Full survey answers not in the files received · How We Grow export needed · HR</t>
        </is>
      </c>
    </row>
    <row r="266" ht="90" customHeight="1">
      <c r="A266" s="51" t="inlineStr">
        <is>
          <t>◂ Back</t>
        </is>
      </c>
      <c r="B266" s="29" t="inlineStr">
        <is>
          <t>Mapped</t>
        </is>
      </c>
      <c r="C266" s="28" t="inlineStr">
        <is>
          <t>iFile</t>
        </is>
      </c>
      <c r="D266" s="29" t="inlineStr">
        <is>
          <t>IRIS1627</t>
        </is>
      </c>
      <c r="E266" s="29" t="inlineStr">
        <is>
          <t>Manish Chouhan</t>
        </is>
      </c>
      <c r="F266" s="29" t="inlineStr">
        <is>
          <t>Technology</t>
        </is>
      </c>
      <c r="G266" s="29" t="inlineStr">
        <is>
          <t>Senior Software Engineer</t>
        </is>
      </c>
      <c r="H266" s="29" t="inlineStr">
        <is>
          <t>Senior Technical Specialist – POD Lead</t>
        </is>
      </c>
      <c r="I266" s="29" t="inlineStr">
        <is>
          <t>L4 – Senior</t>
        </is>
      </c>
      <c r="J266" s="29" t="inlineStr">
        <is>
          <t>B1</t>
        </is>
      </c>
      <c r="K266" s="29" t="inlineStr">
        <is>
          <t>▲ Up</t>
        </is>
      </c>
      <c r="L266" s="29" t="inlineStr">
        <is>
          <t>Engineering &amp; Development</t>
        </is>
      </c>
      <c r="M266" s="29" t="inlineStr">
        <is>
          <t>Backend Development</t>
        </is>
      </c>
      <c r="N266" s="29" t="n"/>
      <c r="O266" s="29" t="n">
        <v>19</v>
      </c>
      <c r="P266" s="28" t="inlineStr">
        <is>
          <t>P3 / M2</t>
        </is>
      </c>
      <c r="Q266" s="29" t="inlineStr">
        <is>
          <t>Career / · Team Lead</t>
        </is>
      </c>
      <c r="R266" s="29" t="inlineStr">
        <is>
          <t>4 Enable</t>
        </is>
      </c>
      <c r="S266" s="29" t="inlineStr">
        <is>
          <t>4–7 yrs</t>
        </is>
      </c>
      <c r="T266" s="29" t="inlineStr">
        <is>
          <t>5–8 · 4–8</t>
        </is>
      </c>
      <c r="U266" s="29" t="inlineStr">
        <is>
          <t>Lead / Staff Engineer</t>
        </is>
      </c>
      <c r="V266" s="29" t="inlineStr">
        <is>
          <t>Workiva: SE / Senior SE · Broadridge India: Senior SE · Nasdaq / AxiomSL: Senior SE · Salesforce: MTS · Atlassian: P40 · Freshworks: Senior SE</t>
        </is>
      </c>
      <c r="W266" s="29" t="inlineStr">
        <is>
          <t>SFIA 9 · software development, programming; OWASP secure coding; cloud vendor certifications</t>
        </is>
      </c>
      <c r="X266" s="29" t="inlineStr">
        <is>
          <t>Core 3 · Future 3 · Functional 3 · Leadership 2</t>
        </is>
      </c>
      <c r="Y266" s="52" t="n">
        <v>133</v>
      </c>
      <c r="Z266" s="53" t="inlineStr">
        <is>
          <t>IRIS1627</t>
        </is>
      </c>
      <c r="AA266" s="53" t="inlineStr">
        <is>
          <t>Employee</t>
        </is>
      </c>
      <c r="AB266" s="53" t="inlineStr">
        <is>
          <t>Active</t>
        </is>
      </c>
      <c r="AC266" s="53" t="inlineStr">
        <is>
          <t>Manish Chouhan</t>
        </is>
      </c>
      <c r="AD266" s="54" t="n">
        <v>42795</v>
      </c>
      <c r="AE266" s="53" t="inlineStr">
        <is>
          <t>Senior Software Engineer</t>
        </is>
      </c>
      <c r="AF266" s="53" t="inlineStr">
        <is>
          <t>M.Tech</t>
        </is>
      </c>
      <c r="AG266" s="53" t="inlineStr">
        <is>
          <t>Sharanagouda Patil</t>
        </is>
      </c>
      <c r="AH266" s="53" t="inlineStr">
        <is>
          <t>N-4</t>
        </is>
      </c>
      <c r="AI266" s="53" t="inlineStr">
        <is>
          <t>Manager</t>
        </is>
      </c>
      <c r="AJ266" s="53" t="inlineStr">
        <is>
          <t>2 years, 0 months, 0 days</t>
        </is>
      </c>
      <c r="AK266" s="53" t="inlineStr">
        <is>
          <t>9 years, 5 months, 24 days</t>
        </is>
      </c>
      <c r="AL266" s="53" t="inlineStr">
        <is>
          <t>Suptech</t>
        </is>
      </c>
      <c r="AM266" s="53" t="inlineStr">
        <is>
          <t>iFile</t>
        </is>
      </c>
      <c r="AN266" s="53" t="inlineStr">
        <is>
          <t>Technology</t>
        </is>
      </c>
      <c r="AO266" s="53" t="inlineStr">
        <is>
          <t>Development</t>
        </is>
      </c>
      <c r="AP266" s="53" t="inlineStr">
        <is>
          <t>Yes</t>
        </is>
      </c>
      <c r="AQ266" s="53" t="inlineStr">
        <is>
          <t>Product/Project</t>
        </is>
      </c>
      <c r="AR266" s="53" t="inlineStr">
        <is>
          <t>.NET MVC</t>
        </is>
      </c>
      <c r="AS266" s="53" t="inlineStr">
        <is>
          <t>Technical - Developer</t>
        </is>
      </c>
      <c r="AT266" s="53" t="n">
        <v>20</v>
      </c>
      <c r="AU266" s="53" t="inlineStr">
        <is>
          <t>Covered</t>
        </is>
      </c>
      <c r="AV266" s="53" t="n"/>
      <c r="AW266" s="53" t="n"/>
      <c r="AX266" s="53" t="n"/>
      <c r="AY266" s="53" t="n"/>
      <c r="AZ266" s="53" t="n"/>
      <c r="BA266" s="53" t="n"/>
      <c r="BB266" s="53" t="n"/>
      <c r="BC266" s="53" t="n"/>
      <c r="BD266" s="53" t="n"/>
      <c r="BE266" s="53" t="n"/>
      <c r="BF266" s="53" t="n"/>
      <c r="BG266" s="53" t="n"/>
      <c r="BH266" s="53" t="n"/>
      <c r="BI266" s="53" t="n"/>
      <c r="BJ266" s="53" t="n"/>
      <c r="BK266" s="53" t="n"/>
      <c r="BL266" s="53" t="n"/>
      <c r="BM266" s="53" t="n"/>
      <c r="BN266" s="53" t="n"/>
      <c r="BO266" s="53" t="n"/>
      <c r="BP266" s="53" t="n"/>
      <c r="BQ266" s="53" t="n"/>
      <c r="BR266" s="53" t="n"/>
      <c r="BS266" s="53" t="n"/>
      <c r="BT266" s="53" t="n"/>
      <c r="BU266" s="53" t="n"/>
      <c r="BV266" s="53" t="n"/>
      <c r="BW266" s="53" t="n"/>
      <c r="BX266" s="53" t="n"/>
      <c r="BY266" s="53" t="n"/>
      <c r="BZ266" s="53" t="n"/>
      <c r="CA266" s="53" t="n"/>
      <c r="CB266" s="53" t="n"/>
      <c r="CC266" s="53" t="n"/>
      <c r="CD266" s="53" t="n"/>
      <c r="CE266" s="53" t="n"/>
      <c r="CF266" s="53" t="n"/>
      <c r="CG266" s="53" t="n"/>
      <c r="CH266" s="53" t="n"/>
      <c r="CI266" s="53" t="n"/>
      <c r="CJ266" s="53" t="n"/>
      <c r="CK266" s="53" t="n"/>
      <c r="CL266" s="53" t="n"/>
      <c r="CM266" s="53" t="n"/>
      <c r="CN266" s="53" t="n"/>
      <c r="CO266" s="53" t="n"/>
      <c r="CP266" s="53" t="n"/>
      <c r="CQ266" s="53" t="n"/>
      <c r="CR266" s="53" t="n"/>
      <c r="CS266" s="53" t="n"/>
      <c r="CT266" s="53" t="n"/>
      <c r="CU266" s="53" t="n"/>
      <c r="CV266" s="53" t="n"/>
      <c r="CW266" s="53" t="n"/>
      <c r="CX266" s="53" t="n"/>
      <c r="CY266" s="53" t="n"/>
      <c r="CZ266" s="53" t="n"/>
      <c r="DA266" s="53" t="n"/>
      <c r="DB266" s="53" t="n"/>
      <c r="DC266" s="53" t="n"/>
      <c r="DD266" s="53" t="inlineStr">
        <is>
          <t>IRIS1627</t>
        </is>
      </c>
      <c r="DE266" s="53" t="inlineStr">
        <is>
          <t>Employee</t>
        </is>
      </c>
      <c r="DF266" s="53" t="inlineStr">
        <is>
          <t>Active</t>
        </is>
      </c>
      <c r="DG266" s="53" t="inlineStr">
        <is>
          <t>Manish Chouhan</t>
        </is>
      </c>
      <c r="DH266" s="54" t="n">
        <v>42795</v>
      </c>
      <c r="DI266" s="53" t="inlineStr">
        <is>
          <t>Senior Software Engineer</t>
        </is>
      </c>
      <c r="DJ266" s="53" t="inlineStr">
        <is>
          <t>Engineering &amp; Development</t>
        </is>
      </c>
      <c r="DK266" s="53" t="inlineStr">
        <is>
          <t>Backend Engineering ·.NET</t>
        </is>
      </c>
      <c r="DL266" s="53" t="inlineStr">
        <is>
          <t>Senior Software Engineer</t>
        </is>
      </c>
      <c r="DM266" s="53" t="inlineStr">
        <is>
          <t>L4 – Senior</t>
        </is>
      </c>
      <c r="DN266" s="53" t="inlineStr">
        <is>
          <t>M.Tech</t>
        </is>
      </c>
      <c r="DO266" s="53" t="inlineStr">
        <is>
          <t>Sharanagouda Patil</t>
        </is>
      </c>
      <c r="DP266" s="53" t="inlineStr">
        <is>
          <t>N-3</t>
        </is>
      </c>
      <c r="DQ266" s="53" t="inlineStr">
        <is>
          <t>Manager</t>
        </is>
      </c>
      <c r="DR266" s="53" t="inlineStr">
        <is>
          <t>2 years, 0 months, 0 days</t>
        </is>
      </c>
      <c r="DS266" s="53" t="inlineStr">
        <is>
          <t>9 years, 3 months, 19 days</t>
        </is>
      </c>
      <c r="DT266" s="53" t="inlineStr">
        <is>
          <t>11 years, 3 months, 19 days</t>
        </is>
      </c>
      <c r="DU266" s="53" t="n">
        <v>9.302054794520551</v>
      </c>
      <c r="DV266" s="53" t="inlineStr">
        <is>
          <t>Suptech</t>
        </is>
      </c>
      <c r="DW266" s="53" t="inlineStr">
        <is>
          <t>iFile</t>
        </is>
      </c>
      <c r="DX266" s="53" t="inlineStr">
        <is>
          <t>Technology</t>
        </is>
      </c>
      <c r="DY266" s="53" t="inlineStr">
        <is>
          <t>Development</t>
        </is>
      </c>
      <c r="DZ266" s="53" t="inlineStr">
        <is>
          <t>Yes</t>
        </is>
      </c>
      <c r="EA266" s="53" t="inlineStr">
        <is>
          <t>Product/Project</t>
        </is>
      </c>
      <c r="EB266" s="53" t="inlineStr">
        <is>
          <t>.NET MVC</t>
        </is>
      </c>
      <c r="EC266" s="53" t="inlineStr">
        <is>
          <t>Technical - Developer</t>
        </is>
      </c>
      <c r="ED266" s="53" t="inlineStr">
        <is>
          <t>Hybrid</t>
        </is>
      </c>
      <c r="EE266" s="53" t="n"/>
      <c r="EF266" s="53" t="n"/>
      <c r="EG266" s="53" t="inlineStr">
        <is>
          <t>1. Provide production support/Upgrade of SBC.
2. Work independently and complete tasks on time and guide team members.
3. Improve the Webform product using AI and automation to reduce manual effort.
4. Build strong knowledge of Taxonomy and related concepts.
5. Upgrade technology and improve application performance.</t>
        </is>
      </c>
      <c r="EH266" s="53" t="n">
        <v>3</v>
      </c>
      <c r="EI266" s="54" t="n">
        <v>45901</v>
      </c>
      <c r="EJ266" s="53" t="inlineStr">
        <is>
          <t>Lead Software Engineer · review – mgr scope + tenure</t>
        </is>
      </c>
      <c r="EK266" s="53" t="inlineStr">
        <is>
          <t>Yes</t>
        </is>
      </c>
      <c r="EL266" s="53" t="n">
        <v>3</v>
      </c>
      <c r="EM266" s="53" t="inlineStr">
        <is>
          <t>Medium</t>
        </is>
      </c>
      <c r="EN266" s="53" t="inlineStr">
        <is>
          <t>Trusted Professional</t>
        </is>
      </c>
      <c r="EO266" s="53" t="n"/>
      <c r="EP266" s="53" t="n"/>
      <c r="EQ266" s="53" t="n"/>
      <c r="ER266" s="53" t="n"/>
      <c r="ES266" s="53" t="inlineStr">
        <is>
          <t>Taxonomy
AI</t>
        </is>
      </c>
      <c r="ET266" s="53" t="n"/>
      <c r="EU266" s="53" t="n"/>
      <c r="EV266" s="53" t="n"/>
      <c r="EW266" s="52" t="n"/>
      <c r="EX266" s="53" t="n"/>
      <c r="EY266" s="53" t="n"/>
      <c r="EZ266" s="53" t="n"/>
      <c r="FA266" s="53" t="n"/>
      <c r="FB266" s="53" t="n"/>
      <c r="FC266" s="53" t="n"/>
      <c r="FD266" s="53" t="n"/>
      <c r="FE266" s="55" t="inlineStr">
        <is>
          <t>KRAs not received · manager to supply</t>
        </is>
      </c>
      <c r="FF266" s="56" t="inlineStr">
        <is>
          <t>1. Provide production support/Upgrade of SBC.
2. Work independently and complete tasks on time and guide team members.
3. Improve the Webform product using AI and automation to reduce manual effort.
4. Build strong knowledge of Taxonomy and related concepts.
5. Upgrade technology and improve application performance.</t>
        </is>
      </c>
      <c r="FG266" s="56" t="n"/>
      <c r="FH266" s="56" t="inlineStr">
        <is>
          <t>3</t>
        </is>
      </c>
      <c r="FI266" s="56" t="n"/>
      <c r="FJ266" s="56" t="inlineStr">
        <is>
          <t>Received · quarterly</t>
        </is>
      </c>
      <c r="FK266" s="56" t="inlineStr">
        <is>
          <t>Talent Mapping · iFile collated</t>
        </is>
      </c>
      <c r="FL266" s="56" t="n">
        <v>19</v>
      </c>
      <c r="FM266" s="32" t="inlineStr">
        <is>
          <t>Full survey answers not in the files received · How We Grow export needed · HR</t>
        </is>
      </c>
      <c r="FN266" s="56" t="inlineStr">
        <is>
          <t>—</t>
        </is>
      </c>
      <c r="FO266" s="56" t="inlineStr">
        <is>
          <t>—</t>
        </is>
      </c>
      <c r="FP266" s="56" t="inlineStr">
        <is>
          <t>—</t>
        </is>
      </c>
      <c r="FQ266" s="56" t="inlineStr">
        <is>
          <t>—</t>
        </is>
      </c>
      <c r="FR266" s="56" t="inlineStr">
        <is>
          <t>Complexity: Evidence reads like B2: Resolves technical problems and makes design decisions across 7-9 iFile tools, GST Utility, SBC portal → moved up 1
Autonomy: Evidence reads like B1: Decides implementation approach, iFile design, support process and timelines for the tools team → moved up 0.5
Accountability: Evidence reads like B1: Delivery and support of 7-9 iFile tools, GST Utility and SBC portal changes → matches the start
Leadership: Evidence reads like B1: Guides the iFile tool team and reviews their work at regular intervals; 2 reports → matches the start
Business Impact: No survey or manager-mapping signal on criticality: kept at the start point.</t>
        </is>
      </c>
      <c r="FS266" s="56" t="inlineStr">
        <is>
          <t>Common themes in role-holders' answers: technical · members · guide · lead · time · support
Common themes in role-holders' answers: development · requirement · testing · support · software · solution
Common themes in role-holders' answers: features · technical · issue · code · releases
Common themes in role-holders' answers: code · requirement · delivery · changes · am · delivering
Common themes in role-holders' answers: technical · approach · decisions · process · issue · code
If the work is missed · role-holders' themes: timeline · delays · rework.
Measured on · manager-set KRA themes: reduce · production · time · quarterly · incidents resolved · stability critical.</t>
        </is>
      </c>
      <c r="FT266" s="56" t="inlineStr">
        <is>
          <t>Self-identified: Technical depth &amp; architecture · Broader exposure &amp; ownership
For the next role: Technical depth &amp; architecture · Broader exposure &amp; ownership</t>
        </is>
      </c>
      <c r="FU266" s="32" t="inlineStr">
        <is>
          <t>Full survey answers not in the files received · How We Grow export needed · HR</t>
        </is>
      </c>
    </row>
    <row r="267" ht="90" customHeight="1">
      <c r="A267" s="51" t="inlineStr">
        <is>
          <t>◂ Back</t>
        </is>
      </c>
      <c r="B267" s="29" t="inlineStr">
        <is>
          <t>Mapped</t>
        </is>
      </c>
      <c r="C267" s="28" t="inlineStr">
        <is>
          <t>iFile</t>
        </is>
      </c>
      <c r="D267" s="29" t="inlineStr">
        <is>
          <t>IRIS2073</t>
        </is>
      </c>
      <c r="E267" s="29" t="inlineStr">
        <is>
          <t>Hemalatha Visamsetti</t>
        </is>
      </c>
      <c r="F267" s="29" t="inlineStr">
        <is>
          <t>Technology</t>
        </is>
      </c>
      <c r="G267" s="29" t="inlineStr">
        <is>
          <t>Senior Software Engineer</t>
        </is>
      </c>
      <c r="H267" s="29" t="inlineStr">
        <is>
          <t>Senior Software Engineer</t>
        </is>
      </c>
      <c r="I267" s="29" t="inlineStr">
        <is>
          <t>L4 – Senior</t>
        </is>
      </c>
      <c r="J267" s="29" t="inlineStr">
        <is>
          <t>A3</t>
        </is>
      </c>
      <c r="K267" s="29" t="inlineStr">
        <is>
          <t>• Same level</t>
        </is>
      </c>
      <c r="L267" s="29" t="inlineStr">
        <is>
          <t>Engineering &amp; Development</t>
        </is>
      </c>
      <c r="M267" s="29" t="inlineStr">
        <is>
          <t>Backend Development</t>
        </is>
      </c>
      <c r="N267" s="29" t="n"/>
      <c r="O267" s="29" t="n">
        <v>20</v>
      </c>
      <c r="P267" s="28" t="inlineStr">
        <is>
          <t>P2</t>
        </is>
      </c>
      <c r="Q267" s="29" t="inlineStr">
        <is>
          <t>Developing</t>
        </is>
      </c>
      <c r="R267" s="29" t="inlineStr">
        <is>
          <t>3 Apply</t>
        </is>
      </c>
      <c r="S267" s="29" t="inlineStr">
        <is>
          <t>2–4 yrs</t>
        </is>
      </c>
      <c r="T267" s="29" t="inlineStr">
        <is>
          <t>3–5 · 2–5</t>
        </is>
      </c>
      <c r="U267" s="29" t="inlineStr">
        <is>
          <t>Software Engineer</t>
        </is>
      </c>
      <c r="V267" s="29" t="inlineStr">
        <is>
          <t>Workiva: SE · Broadridge India: SE · Nasdaq / AxiomSL: SE · Salesforce: MTS · Atlassian: P40 · 3–7 yrs · Freshworks: Senior SE</t>
        </is>
      </c>
      <c r="W267" s="29" t="inlineStr">
        <is>
          <t>SFIA 9 · software development, programming; OWASP secure coding; cloud vendor certifications</t>
        </is>
      </c>
      <c r="X267" s="29" t="inlineStr">
        <is>
          <t>Core 2 · Future 2 · Functional 3 · Leadership not scored</t>
        </is>
      </c>
      <c r="Y267" s="52" t="n">
        <v>248</v>
      </c>
      <c r="Z267" s="53" t="inlineStr">
        <is>
          <t>IRIS2073</t>
        </is>
      </c>
      <c r="AA267" s="53" t="inlineStr">
        <is>
          <t>Employee</t>
        </is>
      </c>
      <c r="AB267" s="53" t="inlineStr">
        <is>
          <t>Active</t>
        </is>
      </c>
      <c r="AC267" s="53" t="inlineStr">
        <is>
          <t>Hemalatha Visamsetti</t>
        </is>
      </c>
      <c r="AD267" s="54" t="n">
        <v>44866</v>
      </c>
      <c r="AE267" s="53" t="inlineStr">
        <is>
          <t>Senior Software Engineer</t>
        </is>
      </c>
      <c r="AF267" s="53" t="inlineStr">
        <is>
          <t>MCA</t>
        </is>
      </c>
      <c r="AG267" s="53" t="inlineStr">
        <is>
          <t>Manish Chouhan</t>
        </is>
      </c>
      <c r="AH267" s="53" t="inlineStr">
        <is>
          <t>N-5</t>
        </is>
      </c>
      <c r="AI267" s="53" t="inlineStr">
        <is>
          <t>Individual Contributor</t>
        </is>
      </c>
      <c r="AJ267" s="53" t="inlineStr">
        <is>
          <t>4 years, 2 months, 0 days</t>
        </is>
      </c>
      <c r="AK267" s="53" t="inlineStr">
        <is>
          <t>3 years, 9 months, 24 days</t>
        </is>
      </c>
      <c r="AL267" s="53" t="inlineStr">
        <is>
          <t>Suptech</t>
        </is>
      </c>
      <c r="AM267" s="53" t="inlineStr">
        <is>
          <t>iFile</t>
        </is>
      </c>
      <c r="AN267" s="53" t="inlineStr">
        <is>
          <t>Technology</t>
        </is>
      </c>
      <c r="AO267" s="53" t="inlineStr">
        <is>
          <t>Development</t>
        </is>
      </c>
      <c r="AP267" s="53" t="inlineStr">
        <is>
          <t>Yes</t>
        </is>
      </c>
      <c r="AQ267" s="53" t="inlineStr">
        <is>
          <t>Product/Project</t>
        </is>
      </c>
      <c r="AR267" s="53" t="inlineStr">
        <is>
          <t>.NET MVC</t>
        </is>
      </c>
      <c r="AS267" s="53" t="inlineStr">
        <is>
          <t>Technical - Developer</t>
        </is>
      </c>
      <c r="AT267" s="53" t="n">
        <v>20</v>
      </c>
      <c r="AU267" s="53" t="inlineStr">
        <is>
          <t>Covered</t>
        </is>
      </c>
      <c r="AV267" s="53" t="n"/>
      <c r="AW267" s="53" t="n"/>
      <c r="AX267" s="53" t="n"/>
      <c r="AY267" s="53" t="n"/>
      <c r="AZ267" s="53" t="n"/>
      <c r="BA267" s="53" t="n"/>
      <c r="BB267" s="53" t="n"/>
      <c r="BC267" s="53" t="n"/>
      <c r="BD267" s="53" t="n"/>
      <c r="BE267" s="53" t="n"/>
      <c r="BF267" s="53" t="n"/>
      <c r="BG267" s="53" t="n"/>
      <c r="BH267" s="53" t="n"/>
      <c r="BI267" s="53" t="n"/>
      <c r="BJ267" s="53" t="n"/>
      <c r="BK267" s="53" t="n"/>
      <c r="BL267" s="53" t="n"/>
      <c r="BM267" s="53" t="n"/>
      <c r="BN267" s="53" t="n"/>
      <c r="BO267" s="53" t="n"/>
      <c r="BP267" s="53" t="n"/>
      <c r="BQ267" s="53" t="n"/>
      <c r="BR267" s="53" t="n"/>
      <c r="BS267" s="53" t="n"/>
      <c r="BT267" s="53" t="n"/>
      <c r="BU267" s="53" t="n"/>
      <c r="BV267" s="53" t="n"/>
      <c r="BW267" s="53" t="n"/>
      <c r="BX267" s="53" t="n"/>
      <c r="BY267" s="53" t="n"/>
      <c r="BZ267" s="53" t="n"/>
      <c r="CA267" s="53" t="n"/>
      <c r="CB267" s="53" t="n"/>
      <c r="CC267" s="53" t="n"/>
      <c r="CD267" s="53" t="n"/>
      <c r="CE267" s="53" t="n"/>
      <c r="CF267" s="53" t="n"/>
      <c r="CG267" s="53" t="n"/>
      <c r="CH267" s="53" t="n"/>
      <c r="CI267" s="53" t="n"/>
      <c r="CJ267" s="53" t="n"/>
      <c r="CK267" s="53" t="n"/>
      <c r="CL267" s="53" t="n"/>
      <c r="CM267" s="53" t="n"/>
      <c r="CN267" s="53" t="n"/>
      <c r="CO267" s="53" t="n"/>
      <c r="CP267" s="53" t="n"/>
      <c r="CQ267" s="53" t="n"/>
      <c r="CR267" s="53" t="n"/>
      <c r="CS267" s="53" t="n"/>
      <c r="CT267" s="53" t="n"/>
      <c r="CU267" s="53" t="n"/>
      <c r="CV267" s="53" t="n"/>
      <c r="CW267" s="53" t="n"/>
      <c r="CX267" s="53" t="n"/>
      <c r="CY267" s="53" t="n"/>
      <c r="CZ267" s="53" t="n"/>
      <c r="DA267" s="53" t="n"/>
      <c r="DB267" s="53" t="n"/>
      <c r="DC267" s="53" t="n"/>
      <c r="DD267" s="53" t="inlineStr">
        <is>
          <t>IRIS2073</t>
        </is>
      </c>
      <c r="DE267" s="53" t="inlineStr">
        <is>
          <t>Employee</t>
        </is>
      </c>
      <c r="DF267" s="53" t="inlineStr">
        <is>
          <t>Active</t>
        </is>
      </c>
      <c r="DG267" s="53" t="inlineStr">
        <is>
          <t>Hemalatha Visamsetti</t>
        </is>
      </c>
      <c r="DH267" s="54" t="n">
        <v>44866</v>
      </c>
      <c r="DI267" s="53" t="inlineStr">
        <is>
          <t>Senior Software Engineer</t>
        </is>
      </c>
      <c r="DJ267" s="53" t="inlineStr">
        <is>
          <t>Engineering &amp; Development</t>
        </is>
      </c>
      <c r="DK267" s="53" t="inlineStr">
        <is>
          <t>Backend Engineering ·.NET</t>
        </is>
      </c>
      <c r="DL267" s="53" t="inlineStr">
        <is>
          <t>Senior Software Engineer</t>
        </is>
      </c>
      <c r="DM267" s="53" t="inlineStr">
        <is>
          <t>L4 – Senior</t>
        </is>
      </c>
      <c r="DN267" s="53" t="inlineStr">
        <is>
          <t>MCA</t>
        </is>
      </c>
      <c r="DO267" s="53" t="inlineStr">
        <is>
          <t>Manish Chouhan</t>
        </is>
      </c>
      <c r="DP267" s="53" t="inlineStr">
        <is>
          <t>N-4</t>
        </is>
      </c>
      <c r="DQ267" s="53" t="inlineStr">
        <is>
          <t>Individual Contributor</t>
        </is>
      </c>
      <c r="DR267" s="53" t="inlineStr">
        <is>
          <t>4 years, 2 months, 0 days</t>
        </is>
      </c>
      <c r="DS267" s="53" t="inlineStr">
        <is>
          <t>3 years, 7 months, 19 days</t>
        </is>
      </c>
      <c r="DT267" s="53" t="inlineStr">
        <is>
          <t>7 years, 9 months, 19 days</t>
        </is>
      </c>
      <c r="DU267" s="53" t="n"/>
      <c r="DV267" s="53" t="inlineStr">
        <is>
          <t>Suptech</t>
        </is>
      </c>
      <c r="DW267" s="53" t="inlineStr">
        <is>
          <t>iFile</t>
        </is>
      </c>
      <c r="DX267" s="53" t="inlineStr">
        <is>
          <t>Technology</t>
        </is>
      </c>
      <c r="DY267" s="53" t="inlineStr">
        <is>
          <t>Development</t>
        </is>
      </c>
      <c r="DZ267" s="53" t="inlineStr">
        <is>
          <t>Yes</t>
        </is>
      </c>
      <c r="EA267" s="53" t="inlineStr">
        <is>
          <t>Product/Project</t>
        </is>
      </c>
      <c r="EB267" s="53" t="inlineStr">
        <is>
          <t>.NET MVC</t>
        </is>
      </c>
      <c r="EC267" s="53" t="inlineStr">
        <is>
          <t>Technical - Developer</t>
        </is>
      </c>
      <c r="ED267" s="53" t="inlineStr">
        <is>
          <t>Remote- Outside Mumbai</t>
        </is>
      </c>
      <c r="EE267" s="53" t="n"/>
      <c r="EF267" s="53" t="inlineStr">
        <is>
          <t>1. Ensure reliable production support and maintenance for Kuwait CMA, ADX, DFM, and SCA applications by maintaining 95% SLA compliance, timely issue resolution, and improved application stability throughout the year.
2. Deliver continuous enhancement and development of the Taxonomy Viewer solution by completing planned features and releases as per the annual roadmap with successful QA approval.
3. Drive automation and process improvement initiatives by conducting R&amp;D and delivering automation solutions, including Kuwait CMA Excel modification automation, to reduce manual effort and improve efficiency.
4. Develop and enhance an internal support portal with searchable knowledge articles and troubleshooting solutions to improve support productivity and reduce issue resolution time.
5. Improve  XBRL knowledge to be able to work independently.
5. Deliver approved application enhancements and strategic development initiatives, including ADX DFM, SCA, Kuwait CMA and other assigned projects, within planned timelines and with successful UAT sign-off.</t>
        </is>
      </c>
      <c r="EG267" s="53" t="inlineStr">
        <is>
          <t>1. Provide production support and resolve bug fixes for Kuwait CMA, ADX, DFM, and SCA applications, ensuring 95% of support requests are resolved within the agreed SLA.
2. Complete the planned Taxonomy Viewer development as per the quarterly project timeline.
3. Conduct R&amp;D for Kuwait CMA Excel automation and worked on a Proof of Concept · PoC to reduce manual modification effort.
4. Develop Phase 1 of an internal support portal with searchable knowledge articles to improve support efficiency and reduce issue resolution time.</t>
        </is>
      </c>
      <c r="EH267" s="53" t="n">
        <v>4</v>
      </c>
      <c r="EI267" s="54" t="n">
        <v>45901</v>
      </c>
      <c r="EJ267" s="53" t="inlineStr">
        <is>
          <t>Senior Software Engineer</t>
        </is>
      </c>
      <c r="EK267" s="53" t="inlineStr">
        <is>
          <t>Yes</t>
        </is>
      </c>
      <c r="EL267" s="53" t="n">
        <v>4</v>
      </c>
      <c r="EM267" s="53" t="inlineStr">
        <is>
          <t>Medium</t>
        </is>
      </c>
      <c r="EN267" s="53" t="inlineStr">
        <is>
          <t>Trusted Professional</t>
        </is>
      </c>
      <c r="EO267" s="53" t="n"/>
      <c r="EP267" s="53" t="n"/>
      <c r="EQ267" s="53" t="n"/>
      <c r="ER267" s="53" t="n"/>
      <c r="ES267" s="53" t="n"/>
      <c r="ET267" s="53" t="n"/>
      <c r="EU267" s="53" t="n"/>
      <c r="EV267" s="53" t="n"/>
      <c r="EW267" s="52" t="n"/>
      <c r="EX267" s="53" t="n"/>
      <c r="EY267" s="53" t="n"/>
      <c r="EZ267" s="53" t="n"/>
      <c r="FA267" s="53" t="n"/>
      <c r="FB267" s="53" t="n"/>
      <c r="FC267" s="53" t="n"/>
      <c r="FD267" s="53" t="n"/>
      <c r="FE267" s="57" t="inlineStr">
        <is>
          <t>1. Ensure reliable production support and maintenance for Kuwait CMA, ADX, DFM, and SCA applications by maintaining 95% SLA compliance, timely issue resolution, and improved application stability throughout the year.
2. Deliver continuous enhancement and development of the Taxonomy Viewer solution by completing planned features and releases as per the annual roadmap with successful QA approval.
3. Drive automation and process improvement initiatives by conducting R&amp;D and delivering automation solutions, including Kuwait CMA Excel modification automation, to reduce manual effort and improve efficiency.
4. Develop and enhance an internal support portal with searchable knowledge articles and troubleshooting solutions to improve support productivity and reduce issue resolution time.
5. Improve  XBRL knowledge to be able to work independently.
5. Deliver approved application enhancements and strategic development initiatives, including ADX DFM, SCA, Kuwait CMA and other assigned projects, within planned timelines and with successful UAT sign-off.</t>
        </is>
      </c>
      <c r="FF267" s="56" t="inlineStr">
        <is>
          <t>1. Provide production support and resolve bug fixes for Kuwait CMA, ADX, DFM, and SCA applications, ensuring 95% of support requests are resolved within the agreed SLA.
2. Complete the planned Taxonomy Viewer development as per the quarterly project timeline.
3. Conduct R&amp;D for Kuwait CMA Excel automation and worked on a Proof of Concept · PoC to reduce manual modification effort.
4. Develop Phase 1 of an internal support portal with searchable knowledge articles to improve support efficiency and reduce issue resolution time.</t>
        </is>
      </c>
      <c r="FG267" s="56" t="n"/>
      <c r="FH267" s="56" t="inlineStr">
        <is>
          <t>4</t>
        </is>
      </c>
      <c r="FI267" s="56" t="n"/>
      <c r="FJ267" s="56" t="inlineStr">
        <is>
          <t>Received · manager annual, quarterly</t>
        </is>
      </c>
      <c r="FK267" s="56" t="inlineStr">
        <is>
          <t>Talent Mapping · iFile collated</t>
        </is>
      </c>
      <c r="FL267" s="56" t="n">
        <v>20</v>
      </c>
      <c r="FM267" s="32" t="inlineStr">
        <is>
          <t>Full survey answers not in the files received · How We Grow export needed · HR</t>
        </is>
      </c>
      <c r="FN267" s="56" t="inlineStr">
        <is>
          <t>—</t>
        </is>
      </c>
      <c r="FO267" s="56" t="inlineStr">
        <is>
          <t>—</t>
        </is>
      </c>
      <c r="FP267" s="56" t="inlineStr">
        <is>
          <t>—</t>
        </is>
      </c>
      <c r="FQ267" s="56" t="inlineStr">
        <is>
          <t>—</t>
        </is>
      </c>
      <c r="FR267" s="56" t="inlineStr">
        <is>
          <t>Complexity: Evidence reads like A3:.NET and VSTO development, production support and owning critical features → matches the start
Autonomy: Evidence reads like A2: Only independent decision cited is support for technical tools → moved down 0.5
Accountability: Evidence reads like A3: Quality of delivered solutions; KRA covers production support for four regulator applications → matches the start
Leadership: Evidence reads like A2: Mentions mentoring and code reviews once, without detail → matches the start
Business Impact: No survey or manager-mapping signal on criticality: kept at the start point.</t>
        </is>
      </c>
      <c r="FS267"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267" s="56" t="inlineStr">
        <is>
          <t>Self-identified: Leadership &amp; people management · Technical depth &amp; architecture
For the next role: Leadership &amp; people management · Technical depth &amp; architecture · Broader exposure &amp; ownership</t>
        </is>
      </c>
      <c r="FU267" s="32" t="inlineStr">
        <is>
          <t>Full survey answers not in the files received · How We Grow export needed · HR</t>
        </is>
      </c>
    </row>
    <row r="268" ht="90" customHeight="1">
      <c r="A268" s="51" t="inlineStr">
        <is>
          <t>◂ Back</t>
        </is>
      </c>
      <c r="B268" s="29" t="inlineStr">
        <is>
          <t>Mapped</t>
        </is>
      </c>
      <c r="C268" s="28" t="inlineStr">
        <is>
          <t>iFile</t>
        </is>
      </c>
      <c r="D268" s="29" t="inlineStr">
        <is>
          <t>IRIS2026</t>
        </is>
      </c>
      <c r="E268" s="29" t="inlineStr">
        <is>
          <t>Shubhangi Vaidya</t>
        </is>
      </c>
      <c r="F268" s="29" t="inlineStr">
        <is>
          <t>Technology</t>
        </is>
      </c>
      <c r="G268" s="29" t="inlineStr">
        <is>
          <t>Software Engineer</t>
        </is>
      </c>
      <c r="H268" s="29" t="inlineStr">
        <is>
          <t>Senior Software Engineer</t>
        </is>
      </c>
      <c r="I268" s="29" t="inlineStr">
        <is>
          <t>L3 – Professional / Associate</t>
        </is>
      </c>
      <c r="J268" s="29" t="inlineStr">
        <is>
          <t>A3</t>
        </is>
      </c>
      <c r="K268" s="29" t="inlineStr">
        <is>
          <t>▲ Up</t>
        </is>
      </c>
      <c r="L268" s="29" t="inlineStr">
        <is>
          <t>Engineering &amp; Development</t>
        </is>
      </c>
      <c r="M268" s="29" t="inlineStr">
        <is>
          <t>Backend Development</t>
        </is>
      </c>
      <c r="N268" s="29" t="n"/>
      <c r="O268" s="29" t="n">
        <v>20</v>
      </c>
      <c r="P268" s="28" t="inlineStr">
        <is>
          <t>P2</t>
        </is>
      </c>
      <c r="Q268" s="29" t="inlineStr">
        <is>
          <t>Developing</t>
        </is>
      </c>
      <c r="R268" s="29" t="inlineStr">
        <is>
          <t>3 Apply</t>
        </is>
      </c>
      <c r="S268" s="29" t="inlineStr">
        <is>
          <t>2–4 yrs</t>
        </is>
      </c>
      <c r="T268" s="29" t="inlineStr">
        <is>
          <t>3–5 · 2–5</t>
        </is>
      </c>
      <c r="U268" s="29" t="inlineStr">
        <is>
          <t>Software Engineer</t>
        </is>
      </c>
      <c r="V268" s="29" t="inlineStr">
        <is>
          <t>Workiva: SE · Broadridge India: SE · Nasdaq / AxiomSL: SE · Salesforce: MTS · Atlassian: P40 · 3–7 yrs · Freshworks: Senior SE</t>
        </is>
      </c>
      <c r="W268" s="29" t="inlineStr">
        <is>
          <t>SFIA 9 · software development, programming; OWASP secure coding; cloud vendor certifications</t>
        </is>
      </c>
      <c r="X268" s="29" t="inlineStr">
        <is>
          <t>Core 2 · Future 2 · Functional 3 · Leadership not scored</t>
        </is>
      </c>
      <c r="Y268" s="52" t="n">
        <v>222</v>
      </c>
      <c r="Z268" s="53" t="inlineStr">
        <is>
          <t>IRIS2026</t>
        </is>
      </c>
      <c r="AA268" s="53" t="inlineStr">
        <is>
          <t>Employee</t>
        </is>
      </c>
      <c r="AB268" s="53" t="inlineStr">
        <is>
          <t>Active</t>
        </is>
      </c>
      <c r="AC268" s="53" t="inlineStr">
        <is>
          <t>Shubhangi Vaidya</t>
        </is>
      </c>
      <c r="AD268" s="54" t="n">
        <v>44721</v>
      </c>
      <c r="AE268" s="53" t="inlineStr">
        <is>
          <t>Software Engineer</t>
        </is>
      </c>
      <c r="AF268" s="53" t="inlineStr">
        <is>
          <t>MCA</t>
        </is>
      </c>
      <c r="AG268" s="53" t="inlineStr">
        <is>
          <t>Manish Chouhan</t>
        </is>
      </c>
      <c r="AH268" s="53" t="inlineStr">
        <is>
          <t>N-5</t>
        </is>
      </c>
      <c r="AI268" s="53" t="inlineStr">
        <is>
          <t>Individual Contributor</t>
        </is>
      </c>
      <c r="AJ268" s="53" t="inlineStr">
        <is>
          <t>1 years, 4 months, 0 days</t>
        </is>
      </c>
      <c r="AK268" s="53" t="inlineStr">
        <is>
          <t>4 years, 2 months, 16 days</t>
        </is>
      </c>
      <c r="AL268" s="53" t="inlineStr">
        <is>
          <t>Suptech</t>
        </is>
      </c>
      <c r="AM268" s="53" t="inlineStr">
        <is>
          <t>iFile</t>
        </is>
      </c>
      <c r="AN268" s="53" t="inlineStr">
        <is>
          <t>Technology</t>
        </is>
      </c>
      <c r="AO268" s="53" t="inlineStr">
        <is>
          <t>Development</t>
        </is>
      </c>
      <c r="AP268" s="53" t="inlineStr">
        <is>
          <t>Yes</t>
        </is>
      </c>
      <c r="AQ268" s="53" t="inlineStr">
        <is>
          <t>Product/Project</t>
        </is>
      </c>
      <c r="AR268" s="53" t="inlineStr">
        <is>
          <t>.NET MVC</t>
        </is>
      </c>
      <c r="AS268" s="53" t="inlineStr">
        <is>
          <t>Technical - Developer</t>
        </is>
      </c>
      <c r="AT268" s="53" t="n">
        <v>20</v>
      </c>
      <c r="AU268" s="53" t="inlineStr">
        <is>
          <t>Covered</t>
        </is>
      </c>
      <c r="AV268" s="53" t="n"/>
      <c r="AW268" s="53" t="n"/>
      <c r="AX268" s="53" t="n"/>
      <c r="AY268" s="53" t="n"/>
      <c r="AZ268" s="53" t="n"/>
      <c r="BA268" s="53" t="n"/>
      <c r="BB268" s="53" t="n"/>
      <c r="BC268" s="53" t="n"/>
      <c r="BD268" s="53" t="n"/>
      <c r="BE268" s="53" t="n"/>
      <c r="BF268" s="53" t="n"/>
      <c r="BG268" s="53" t="n"/>
      <c r="BH268" s="53" t="n"/>
      <c r="BI268" s="53" t="n"/>
      <c r="BJ268" s="53" t="n"/>
      <c r="BK268" s="53" t="n"/>
      <c r="BL268" s="53" t="n"/>
      <c r="BM268" s="53" t="n"/>
      <c r="BN268" s="53" t="n"/>
      <c r="BO268" s="53" t="n"/>
      <c r="BP268" s="53" t="n"/>
      <c r="BQ268" s="53" t="n"/>
      <c r="BR268" s="53" t="n"/>
      <c r="BS268" s="53" t="n"/>
      <c r="BT268" s="53" t="n"/>
      <c r="BU268" s="53" t="n"/>
      <c r="BV268" s="53" t="n"/>
      <c r="BW268" s="53" t="n"/>
      <c r="BX268" s="53" t="n"/>
      <c r="BY268" s="53" t="n"/>
      <c r="BZ268" s="53" t="n"/>
      <c r="CA268" s="53" t="n"/>
      <c r="CB268" s="53" t="n"/>
      <c r="CC268" s="53" t="n"/>
      <c r="CD268" s="53" t="n"/>
      <c r="CE268" s="53" t="n"/>
      <c r="CF268" s="53" t="n"/>
      <c r="CG268" s="53" t="n"/>
      <c r="CH268" s="53" t="n"/>
      <c r="CI268" s="53" t="n"/>
      <c r="CJ268" s="53" t="n"/>
      <c r="CK268" s="53" t="n"/>
      <c r="CL268" s="53" t="n"/>
      <c r="CM268" s="53" t="n"/>
      <c r="CN268" s="53" t="n"/>
      <c r="CO268" s="53" t="n"/>
      <c r="CP268" s="53" t="n"/>
      <c r="CQ268" s="53" t="n"/>
      <c r="CR268" s="53" t="n"/>
      <c r="CS268" s="53" t="n"/>
      <c r="CT268" s="53" t="n"/>
      <c r="CU268" s="53" t="n"/>
      <c r="CV268" s="53" t="n"/>
      <c r="CW268" s="53" t="n"/>
      <c r="CX268" s="53" t="n"/>
      <c r="CY268" s="53" t="n"/>
      <c r="CZ268" s="53" t="n"/>
      <c r="DA268" s="53" t="n"/>
      <c r="DB268" s="53" t="n"/>
      <c r="DC268" s="53" t="n"/>
      <c r="DD268" s="53" t="inlineStr">
        <is>
          <t>IRIS2026</t>
        </is>
      </c>
      <c r="DE268" s="53" t="inlineStr">
        <is>
          <t>Employee</t>
        </is>
      </c>
      <c r="DF268" s="53" t="inlineStr">
        <is>
          <t>Active</t>
        </is>
      </c>
      <c r="DG268" s="53" t="inlineStr">
        <is>
          <t>Shubhangi Vaidya</t>
        </is>
      </c>
      <c r="DH268" s="54" t="n">
        <v>44721</v>
      </c>
      <c r="DI268" s="53" t="inlineStr">
        <is>
          <t>Software Engineer</t>
        </is>
      </c>
      <c r="DJ268" s="53" t="inlineStr">
        <is>
          <t>Engineering &amp; Development</t>
        </is>
      </c>
      <c r="DK268" s="53" t="inlineStr">
        <is>
          <t>Backend Engineering ·.NET</t>
        </is>
      </c>
      <c r="DL268" s="53" t="inlineStr">
        <is>
          <t>Software Engineer</t>
        </is>
      </c>
      <c r="DM268" s="53" t="inlineStr">
        <is>
          <t>L3 – Professional / Associate</t>
        </is>
      </c>
      <c r="DN268" s="53" t="inlineStr">
        <is>
          <t>MCA</t>
        </is>
      </c>
      <c r="DO268" s="53" t="inlineStr">
        <is>
          <t>Manish Chouhan</t>
        </is>
      </c>
      <c r="DP268" s="53" t="inlineStr">
        <is>
          <t>N-4</t>
        </is>
      </c>
      <c r="DQ268" s="53" t="inlineStr">
        <is>
          <t>Individual Contributor</t>
        </is>
      </c>
      <c r="DR268" s="53" t="inlineStr">
        <is>
          <t>1 years, 4 months, 0 days</t>
        </is>
      </c>
      <c r="DS268" s="53" t="inlineStr">
        <is>
          <t>4 years, 0 months, 11 days</t>
        </is>
      </c>
      <c r="DT268" s="53" t="inlineStr">
        <is>
          <t>5 years, 4 months, 11 days</t>
        </is>
      </c>
      <c r="DU268" s="53" t="n"/>
      <c r="DV268" s="53" t="inlineStr">
        <is>
          <t>Suptech</t>
        </is>
      </c>
      <c r="DW268" s="53" t="inlineStr">
        <is>
          <t>iFile</t>
        </is>
      </c>
      <c r="DX268" s="53" t="inlineStr">
        <is>
          <t>Technology</t>
        </is>
      </c>
      <c r="DY268" s="53" t="inlineStr">
        <is>
          <t>Development</t>
        </is>
      </c>
      <c r="DZ268" s="53" t="inlineStr">
        <is>
          <t>Yes</t>
        </is>
      </c>
      <c r="EA268" s="53" t="inlineStr">
        <is>
          <t>Product/Project</t>
        </is>
      </c>
      <c r="EB268" s="53" t="inlineStr">
        <is>
          <t>.NET MVC</t>
        </is>
      </c>
      <c r="EC268" s="53" t="inlineStr">
        <is>
          <t>Technical - Developer</t>
        </is>
      </c>
      <c r="ED268" s="53" t="inlineStr">
        <is>
          <t>Remote- Outside Mumbai</t>
        </is>
      </c>
      <c r="EE268" s="53" t="n"/>
      <c r="EF268" s="53" t="inlineStr">
        <is>
          <t>1. Ensure stable production support and maintenance for regulatory applications · CBJ iFile, CMA Oman, SSM, Tadawul, JCM, etc. by maintaining 95% SLA compliance and high application availability throughout the year.
2. Deliver approved application enhancements and strategic development initiatives, including SBC taxonomy integration, cma oman and other assigned projects, within planned timelines and with successful UAT sign-off.
3. Develop and enhance shared solutions such as the Taxonomy Viewer, delivering planned releases as per the product roadmap while maintaining quality and performance.
4. Improve development productivity by leveraging AI tools and automation to reduce repetitive effort, improve code quality, and increase delivery efficiency by 10–15%.
5. Improve XBRL knowledge to be able to work independently</t>
        </is>
      </c>
      <c r="EG268" s="53" t="inlineStr">
        <is>
          <t>1. Provide production support and resolve bug fixes for CBJ iFile, CMA Oman, SSM, Tadawul, and JCM applications, ensuring 95% SLA compliance.
2. Complete SBC development for the new taxonomy integration within the planned quarterly timeline with successful UAT sign-off.
3. Develop and deliver the Taxonomy Viewer as per the approved requirements and schedule.
4. Leverage AI tools to improve development productivity by reducing repetitive effort and enhancing code quality.</t>
        </is>
      </c>
      <c r="EH268" s="53" t="n">
        <v>4</v>
      </c>
      <c r="EI268" s="54" t="n">
        <v>45901</v>
      </c>
      <c r="EJ268" s="53" t="inlineStr">
        <is>
          <t>Software Engineer</t>
        </is>
      </c>
      <c r="EK268" s="53" t="inlineStr">
        <is>
          <t>Yes</t>
        </is>
      </c>
      <c r="EL268" s="53" t="n">
        <v>4.5</v>
      </c>
      <c r="EM268" s="53" t="inlineStr">
        <is>
          <t>Medium</t>
        </is>
      </c>
      <c r="EN268" s="53" t="inlineStr">
        <is>
          <t>Trusted Professional</t>
        </is>
      </c>
      <c r="EO268" s="53" t="n"/>
      <c r="EP268" s="53" t="n"/>
      <c r="EQ268" s="53" t="n"/>
      <c r="ER268" s="53" t="n"/>
      <c r="ES268" s="53" t="inlineStr">
        <is>
          <t>Advanced .NET MVC; secure coding &amp; code-quality practices; unit/automated testing; system design fundamentals</t>
        </is>
      </c>
      <c r="ET268" s="53" t="n"/>
      <c r="EU268" s="53" t="n"/>
      <c r="EV268" s="53" t="n"/>
      <c r="EW268" s="52" t="n"/>
      <c r="EX268" s="53" t="n"/>
      <c r="EY268" s="53" t="n"/>
      <c r="EZ268" s="53" t="n"/>
      <c r="FA268" s="53" t="n"/>
      <c r="FB268" s="53" t="n"/>
      <c r="FC268" s="53" t="n"/>
      <c r="FD268" s="53" t="n"/>
      <c r="FE268" s="57" t="inlineStr">
        <is>
          <t>1. Ensure stable production support and maintenance for regulatory applications · CBJ iFile, CMA Oman, SSM, Tadawul, JCM, etc. by maintaining 95% SLA compliance and high application availability throughout the year.
2. Deliver approved application enhancements and strategic development initiatives, including SBC taxonomy integration, cma oman and other assigned projects, within planned timelines and with successful UAT sign-off.
3. Develop and enhance shared solutions such as the Taxonomy Viewer, delivering planned releases as per the product roadmap while maintaining quality and performance.
4. Improve development productivity by leveraging AI tools and automation to reduce repetitive effort, improve code quality, and increase delivery efficiency by 10–15%.
5. Improve  XBRL knowledge to be able to work independently</t>
        </is>
      </c>
      <c r="FF268" s="56" t="inlineStr">
        <is>
          <t>1. Provide production support and resolve bug fixes for CBJ iFile, CMA Oman, SSM, Tadawul, and JCM applications, ensuring 95% SLA compliance.
2. Complete SBC development for the new taxonomy integration within the planned quarterly timeline with successful UAT sign-off.
3. Develop and deliver the Taxonomy Viewer as per the approved requirements and schedule.
4. Leverage AI tools to improve development productivity by reducing repetitive effort and enhancing code quality.</t>
        </is>
      </c>
      <c r="FG268" s="56" t="n"/>
      <c r="FH268" s="56" t="inlineStr">
        <is>
          <t>4</t>
        </is>
      </c>
      <c r="FI268" s="56" t="n"/>
      <c r="FJ268" s="56" t="inlineStr">
        <is>
          <t>Received · manager annual, quarterly</t>
        </is>
      </c>
      <c r="FK268" s="56" t="inlineStr">
        <is>
          <t>Talent Mapping · iFile collated</t>
        </is>
      </c>
      <c r="FL268" s="56" t="n">
        <v>20</v>
      </c>
      <c r="FM268" s="32" t="inlineStr">
        <is>
          <t>Full survey answers not in the files received · How We Grow export needed · HR</t>
        </is>
      </c>
      <c r="FN268" s="56" t="inlineStr">
        <is>
          <t>—</t>
        </is>
      </c>
      <c r="FO268" s="56" t="inlineStr">
        <is>
          <t>—</t>
        </is>
      </c>
      <c r="FP268" s="56" t="inlineStr">
        <is>
          <t>—</t>
        </is>
      </c>
      <c r="FQ268" s="56" t="inlineStr">
        <is>
          <t>—</t>
        </is>
      </c>
      <c r="FR268" s="56" t="inlineStr">
        <is>
          <t>Complexity: Evidence reads like A2: Development and fixes for client support issues; KRA says XBRL knowledge not yet independent → matches the start
Autonomy: Evidence reads like A2: Decides bug fixes → matches the start
Accountability: Evidence reads like A2: Accountable for timelines and functionality working; says errors mean rework → matches the start
Leadership: Evidence reads like A1: No guiding or leading described → matches the start
Business Impact: No survey or manager-mapping signal on criticality: kept at the start point.</t>
        </is>
      </c>
      <c r="FS268"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268" s="56" t="inlineStr">
        <is>
          <t>Self-identified: Answered · no common topic
For the next role: Answered · no common topic</t>
        </is>
      </c>
      <c r="FU268" s="32" t="inlineStr">
        <is>
          <t>Full survey answers not in the files received · How We Grow export needed · HR</t>
        </is>
      </c>
    </row>
    <row r="269" ht="90" customHeight="1">
      <c r="A269" s="51" t="inlineStr">
        <is>
          <t>◂ Back</t>
        </is>
      </c>
      <c r="B269" s="29" t="inlineStr">
        <is>
          <t>Mapped</t>
        </is>
      </c>
      <c r="C269" s="28" t="inlineStr">
        <is>
          <t>iFile</t>
        </is>
      </c>
      <c r="D269" s="29" t="inlineStr">
        <is>
          <t>IRIS1550</t>
        </is>
      </c>
      <c r="E269" s="29" t="inlineStr">
        <is>
          <t>Paresh Patil</t>
        </is>
      </c>
      <c r="F269" s="29" t="inlineStr">
        <is>
          <t>Technology</t>
        </is>
      </c>
      <c r="G269" s="29" t="inlineStr">
        <is>
          <t>Senior Software Engineer</t>
        </is>
      </c>
      <c r="H269" s="29" t="inlineStr">
        <is>
          <t>Technical Specialist – POD Lead</t>
        </is>
      </c>
      <c r="I269" s="29" t="inlineStr">
        <is>
          <t>L4 – Senior</t>
        </is>
      </c>
      <c r="J269" s="29" t="inlineStr">
        <is>
          <t>B1</t>
        </is>
      </c>
      <c r="K269" s="29" t="inlineStr">
        <is>
          <t>▲ Up</t>
        </is>
      </c>
      <c r="L269" s="29" t="inlineStr">
        <is>
          <t>Engineering &amp; Development</t>
        </is>
      </c>
      <c r="M269" s="29" t="inlineStr">
        <is>
          <t>Full-Stack Development</t>
        </is>
      </c>
      <c r="N269" s="29" t="n"/>
      <c r="O269" s="29" t="n">
        <v>20</v>
      </c>
      <c r="P269" s="28" t="inlineStr">
        <is>
          <t>P3 / M2</t>
        </is>
      </c>
      <c r="Q269" s="29" t="inlineStr">
        <is>
          <t>Career / · Team Lead</t>
        </is>
      </c>
      <c r="R269" s="29" t="inlineStr">
        <is>
          <t>4 Enable</t>
        </is>
      </c>
      <c r="S269" s="29" t="inlineStr">
        <is>
          <t>4–7 yrs</t>
        </is>
      </c>
      <c r="T269" s="29" t="inlineStr">
        <is>
          <t>5–8 · 4–8</t>
        </is>
      </c>
      <c r="U269" s="29" t="inlineStr">
        <is>
          <t>Senior Software Engineer</t>
        </is>
      </c>
      <c r="V269" s="29" t="inlineStr">
        <is>
          <t>Workiva: SE / Senior SE · Broadridge India: Senior SE · Nasdaq / AxiomSL: Senior SE · Salesforce: MTS · Atlassian: P40 · Freshworks: Senior SE</t>
        </is>
      </c>
      <c r="W269" s="29" t="inlineStr">
        <is>
          <t>SFIA 9 · software development, programming; OWASP secure coding; cloud vendor certifications</t>
        </is>
      </c>
      <c r="X269" s="29" t="inlineStr">
        <is>
          <t>Core 3 · Future 3 · Functional 3 · Leadership 2</t>
        </is>
      </c>
      <c r="Y269" s="52" t="n">
        <v>126</v>
      </c>
      <c r="Z269" s="53" t="inlineStr">
        <is>
          <t>IRIS1550</t>
        </is>
      </c>
      <c r="AA269" s="53" t="inlineStr">
        <is>
          <t>Employee</t>
        </is>
      </c>
      <c r="AB269" s="53" t="inlineStr">
        <is>
          <t>Active</t>
        </is>
      </c>
      <c r="AC269" s="53" t="inlineStr">
        <is>
          <t>Paresh Patil</t>
        </is>
      </c>
      <c r="AD269" s="54" t="n">
        <v>42186</v>
      </c>
      <c r="AE269" s="53" t="inlineStr">
        <is>
          <t>Senior Software Engineer</t>
        </is>
      </c>
      <c r="AF269" s="53" t="inlineStr">
        <is>
          <t>B.E</t>
        </is>
      </c>
      <c r="AG269" s="53" t="inlineStr">
        <is>
          <t>Sharanagouda Patil</t>
        </is>
      </c>
      <c r="AH269" s="53" t="inlineStr">
        <is>
          <t>N-4</t>
        </is>
      </c>
      <c r="AI269" s="53" t="inlineStr">
        <is>
          <t>Manager</t>
        </is>
      </c>
      <c r="AJ269" s="53" t="inlineStr">
        <is>
          <t>0 years, 0 months, 0 days</t>
        </is>
      </c>
      <c r="AK269" s="53" t="inlineStr">
        <is>
          <t>11 years, 1 months, 24 days</t>
        </is>
      </c>
      <c r="AL269" s="53" t="inlineStr">
        <is>
          <t>Suptech</t>
        </is>
      </c>
      <c r="AM269" s="53" t="inlineStr">
        <is>
          <t>iFile</t>
        </is>
      </c>
      <c r="AN269" s="53" t="inlineStr">
        <is>
          <t>Technology</t>
        </is>
      </c>
      <c r="AO269" s="53" t="inlineStr">
        <is>
          <t>Development</t>
        </is>
      </c>
      <c r="AP269" s="53" t="inlineStr">
        <is>
          <t>Yes</t>
        </is>
      </c>
      <c r="AQ269" s="53" t="inlineStr">
        <is>
          <t>Product/Project</t>
        </is>
      </c>
      <c r="AR269" s="53" t="inlineStr">
        <is>
          <t>.NET MVC</t>
        </is>
      </c>
      <c r="AS269" s="53" t="inlineStr">
        <is>
          <t>Technical - Developer</t>
        </is>
      </c>
      <c r="AT269" s="53" t="n">
        <v>20</v>
      </c>
      <c r="AU269" s="53" t="inlineStr">
        <is>
          <t>Covered</t>
        </is>
      </c>
      <c r="AV269" s="53" t="n"/>
      <c r="AW269" s="53" t="n"/>
      <c r="AX269" s="53" t="n"/>
      <c r="AY269" s="53" t="n"/>
      <c r="AZ269" s="53" t="n"/>
      <c r="BA269" s="53" t="n"/>
      <c r="BB269" s="53" t="n"/>
      <c r="BC269" s="53" t="n"/>
      <c r="BD269" s="53" t="n"/>
      <c r="BE269" s="53" t="n"/>
      <c r="BF269" s="53" t="n"/>
      <c r="BG269" s="53" t="n"/>
      <c r="BH269" s="53" t="n"/>
      <c r="BI269" s="53" t="n"/>
      <c r="BJ269" s="53" t="n"/>
      <c r="BK269" s="53" t="n"/>
      <c r="BL269" s="53" t="n"/>
      <c r="BM269" s="53" t="n"/>
      <c r="BN269" s="53" t="n"/>
      <c r="BO269" s="53" t="n"/>
      <c r="BP269" s="53" t="n"/>
      <c r="BQ269" s="53" t="n"/>
      <c r="BR269" s="53" t="n"/>
      <c r="BS269" s="53" t="n"/>
      <c r="BT269" s="53" t="n"/>
      <c r="BU269" s="53" t="n"/>
      <c r="BV269" s="53" t="n"/>
      <c r="BW269" s="53" t="n"/>
      <c r="BX269" s="53" t="n"/>
      <c r="BY269" s="53" t="n"/>
      <c r="BZ269" s="53" t="n"/>
      <c r="CA269" s="53" t="n"/>
      <c r="CB269" s="53" t="n"/>
      <c r="CC269" s="53" t="n"/>
      <c r="CD269" s="53" t="n"/>
      <c r="CE269" s="53" t="n"/>
      <c r="CF269" s="53" t="n"/>
      <c r="CG269" s="53" t="n"/>
      <c r="CH269" s="53" t="n"/>
      <c r="CI269" s="53" t="n"/>
      <c r="CJ269" s="53" t="n"/>
      <c r="CK269" s="53" t="n"/>
      <c r="CL269" s="53" t="n"/>
      <c r="CM269" s="53" t="n"/>
      <c r="CN269" s="53" t="n"/>
      <c r="CO269" s="53" t="n"/>
      <c r="CP269" s="53" t="n"/>
      <c r="CQ269" s="53" t="n"/>
      <c r="CR269" s="53" t="n"/>
      <c r="CS269" s="53" t="n"/>
      <c r="CT269" s="53" t="n"/>
      <c r="CU269" s="53" t="n"/>
      <c r="CV269" s="53" t="n"/>
      <c r="CW269" s="53" t="n"/>
      <c r="CX269" s="53" t="n"/>
      <c r="CY269" s="53" t="n"/>
      <c r="CZ269" s="53" t="n"/>
      <c r="DA269" s="53" t="n"/>
      <c r="DB269" s="53" t="n"/>
      <c r="DC269" s="53" t="n"/>
      <c r="DD269" s="53" t="inlineStr">
        <is>
          <t>IRIS1550</t>
        </is>
      </c>
      <c r="DE269" s="53" t="inlineStr">
        <is>
          <t>Employee</t>
        </is>
      </c>
      <c r="DF269" s="53" t="inlineStr">
        <is>
          <t>Active</t>
        </is>
      </c>
      <c r="DG269" s="53" t="inlineStr">
        <is>
          <t>Paresh Patil</t>
        </is>
      </c>
      <c r="DH269" s="54" t="n">
        <v>42186</v>
      </c>
      <c r="DI269" s="53" t="inlineStr">
        <is>
          <t>Senior Software Engineer</t>
        </is>
      </c>
      <c r="DJ269" s="53" t="inlineStr">
        <is>
          <t>Engineering &amp; Development</t>
        </is>
      </c>
      <c r="DK269" s="53" t="inlineStr">
        <is>
          <t>Backend Engineering ·.NET</t>
        </is>
      </c>
      <c r="DL269" s="53" t="inlineStr">
        <is>
          <t>Senior Software Engineer</t>
        </is>
      </c>
      <c r="DM269" s="53" t="inlineStr">
        <is>
          <t>L4 – Senior</t>
        </is>
      </c>
      <c r="DN269" s="53" t="inlineStr">
        <is>
          <t>B.E</t>
        </is>
      </c>
      <c r="DO269" s="53" t="inlineStr">
        <is>
          <t>Sharanagouda Patil</t>
        </is>
      </c>
      <c r="DP269" s="53" t="inlineStr">
        <is>
          <t>N-3</t>
        </is>
      </c>
      <c r="DQ269" s="53" t="inlineStr">
        <is>
          <t>Manager</t>
        </is>
      </c>
      <c r="DR269" s="53" t="inlineStr">
        <is>
          <t>0 years, 0 months, 0 days</t>
        </is>
      </c>
      <c r="DS269" s="53" t="inlineStr">
        <is>
          <t>10 years, 11 months, 19 days</t>
        </is>
      </c>
      <c r="DT269" s="53" t="inlineStr">
        <is>
          <t>10 years, 11 months, 19 days</t>
        </is>
      </c>
      <c r="DU269" s="53" t="n">
        <v>10.9687214611872</v>
      </c>
      <c r="DV269" s="53" t="inlineStr">
        <is>
          <t>Suptech</t>
        </is>
      </c>
      <c r="DW269" s="53" t="inlineStr">
        <is>
          <t>iFile</t>
        </is>
      </c>
      <c r="DX269" s="53" t="inlineStr">
        <is>
          <t>Technology</t>
        </is>
      </c>
      <c r="DY269" s="53" t="inlineStr">
        <is>
          <t>Development</t>
        </is>
      </c>
      <c r="DZ269" s="53" t="inlineStr">
        <is>
          <t>Yes</t>
        </is>
      </c>
      <c r="EA269" s="53" t="inlineStr">
        <is>
          <t>Product/Project</t>
        </is>
      </c>
      <c r="EB269" s="53" t="inlineStr">
        <is>
          <t>.NET MVC</t>
        </is>
      </c>
      <c r="EC269" s="53" t="inlineStr">
        <is>
          <t>Technical - Developer</t>
        </is>
      </c>
      <c r="ED269" s="53" t="inlineStr">
        <is>
          <t>Remote - Mumbai</t>
        </is>
      </c>
      <c r="EE269" s="53" t="n"/>
      <c r="EF269" s="53" t="n"/>
      <c r="EG269" s="53" t="inlineStr">
        <is>
          <t>1. Provide production support and work on assigned Webform projects.
2. Work independently and complete tasks on time and guide team members.
3. Improve the Webform product using AI and automation to reduce manual effort.
4. Build strong knowledge of Taxonomy and related concepts.
5. Upgrade technology and improve application performance.</t>
        </is>
      </c>
      <c r="EH269" s="53" t="n">
        <v>4</v>
      </c>
      <c r="EI269" s="54" t="n">
        <v>45901</v>
      </c>
      <c r="EJ269" s="53" t="inlineStr">
        <is>
          <t>Lead Software Engineer · review – mgr scope + tenure</t>
        </is>
      </c>
      <c r="EK269" s="53" t="inlineStr">
        <is>
          <t>Yes</t>
        </is>
      </c>
      <c r="EL269" s="53" t="n">
        <v>4</v>
      </c>
      <c r="EM269" s="53" t="inlineStr">
        <is>
          <t>High</t>
        </is>
      </c>
      <c r="EN269" s="53" t="inlineStr">
        <is>
          <t>High Impact / Growth Talent</t>
        </is>
      </c>
      <c r="EO269" s="53" t="n"/>
      <c r="EP269" s="53" t="n"/>
      <c r="EQ269" s="53" t="n"/>
      <c r="ER269" s="53" t="inlineStr">
        <is>
          <t>Devkumar</t>
        </is>
      </c>
      <c r="ES269" s="53" t="inlineStr">
        <is>
          <t>Taxonomy
AI</t>
        </is>
      </c>
      <c r="ET269" s="53" t="n"/>
      <c r="EU269" s="53" t="n"/>
      <c r="EV269" s="53" t="n"/>
      <c r="EW269" s="52" t="n"/>
      <c r="EX269" s="53" t="n"/>
      <c r="EY269" s="53" t="n"/>
      <c r="EZ269" s="53" t="n"/>
      <c r="FA269" s="53" t="n"/>
      <c r="FB269" s="53" t="n"/>
      <c r="FC269" s="53" t="n"/>
      <c r="FD269" s="53" t="n"/>
      <c r="FE269" s="55" t="inlineStr">
        <is>
          <t>KRAs not received · manager to supply</t>
        </is>
      </c>
      <c r="FF269" s="56" t="inlineStr">
        <is>
          <t>1. Provide production support and work on assigned Webform projects.
2. Work independently and complete tasks on time and guide team members.
3. Improve the Webform product using AI and automation to reduce manual effort.
4. Build strong knowledge of Taxonomy and related concepts.
5. Upgrade technology and improve application performance.</t>
        </is>
      </c>
      <c r="FG269" s="56" t="n"/>
      <c r="FH269" s="56" t="inlineStr">
        <is>
          <t>4</t>
        </is>
      </c>
      <c r="FI269" s="56" t="n"/>
      <c r="FJ269" s="56" t="inlineStr">
        <is>
          <t>Received · quarterly</t>
        </is>
      </c>
      <c r="FK269" s="56" t="inlineStr">
        <is>
          <t>Talent Mapping · iFile collated</t>
        </is>
      </c>
      <c r="FL269" s="56" t="n">
        <v>20</v>
      </c>
      <c r="FM269" s="32" t="inlineStr">
        <is>
          <t>Full survey answers not in the files received · How We Grow export needed · HR</t>
        </is>
      </c>
      <c r="FN269" s="56" t="inlineStr">
        <is>
          <t>—</t>
        </is>
      </c>
      <c r="FO269" s="56" t="inlineStr">
        <is>
          <t>—</t>
        </is>
      </c>
      <c r="FP269" s="56" t="inlineStr">
        <is>
          <t>—</t>
        </is>
      </c>
      <c r="FQ269" s="56" t="inlineStr">
        <is>
          <t>—</t>
        </is>
      </c>
      <c r="FR269" s="56" t="inlineStr">
        <is>
          <t>Complexity: Evidence reads like A3: Develops and supports regulator software across application, database, IIS and integration layers; XBRL validation → matches the start
Autonomy: Evidence reads like A3: Diagnoses issues, picks implementation approach, changes application/database code and optimises without checking → matches the start
Accountability: Evidence reads like A3: Production readiness of delivered functionality: XBRL validation/reporting, database changes, deployments → moved down 0.5
Leadership: Evidence reads like A2: No guiding described in survey; KRA asks for guiding team members; 2 reports → moved down 1
Business Impact: No survey or manager-mapping signal on criticality: kept at the start point.</t>
        </is>
      </c>
      <c r="FS269" s="56" t="inlineStr">
        <is>
          <t>Common themes in role-holders' answers: keep · secure · development · continuously · technical · software
Common themes in role-holders' answers: technical · code · production · support · development
Common themes in role-holders' answers: solutions · software · fixes · technical · deliver · updates
Common themes in role-holders' answers: accountable · if · correctness · production · database · technical
Common themes in role-holders' answers: code · independently · approaches · diagnose · improvements · issues
If the work is missed · role-holders' themes: production · rework · incorrectly · business · lead.
Measured on · manager-set KRA themes: improve · defect · assigned · time · production.</t>
        </is>
      </c>
      <c r="FT269" s="56" t="inlineStr">
        <is>
          <t>Self-identified: Leadership &amp; people management · Technical depth &amp; architecture · Domain, regulatory &amp; XBRL
For the next role: Leadership &amp; people management · Technical depth &amp; architecture · Domain, regulatory &amp; XBRL</t>
        </is>
      </c>
      <c r="FU269" s="32" t="inlineStr">
        <is>
          <t>Full survey answers not in the files received · How We Grow export needed · HR</t>
        </is>
      </c>
    </row>
    <row r="270" ht="90" customHeight="1">
      <c r="A270" s="51" t="inlineStr">
        <is>
          <t>◂ Back</t>
        </is>
      </c>
      <c r="B270" s="29" t="inlineStr">
        <is>
          <t>Mapped</t>
        </is>
      </c>
      <c r="C270" s="28" t="inlineStr">
        <is>
          <t>iFile</t>
        </is>
      </c>
      <c r="D270" s="29" t="inlineStr">
        <is>
          <t>IRIS2185</t>
        </is>
      </c>
      <c r="E270" s="29" t="inlineStr">
        <is>
          <t>Devkumar Nishad</t>
        </is>
      </c>
      <c r="F270" s="29" t="inlineStr">
        <is>
          <t>Technology</t>
        </is>
      </c>
      <c r="G270" s="29" t="inlineStr">
        <is>
          <t>Junior Software Engineer</t>
        </is>
      </c>
      <c r="H270" s="29" t="inlineStr">
        <is>
          <t>Senior Software Engineer</t>
        </is>
      </c>
      <c r="I270" s="29" t="inlineStr">
        <is>
          <t>L3 – Professional / Associate</t>
        </is>
      </c>
      <c r="J270" s="29" t="inlineStr">
        <is>
          <t>A3</t>
        </is>
      </c>
      <c r="K270" s="29" t="inlineStr">
        <is>
          <t>▲ Up</t>
        </is>
      </c>
      <c r="L270" s="29" t="inlineStr">
        <is>
          <t>Engineering &amp; Development</t>
        </is>
      </c>
      <c r="M270" s="29" t="inlineStr">
        <is>
          <t>Full-Stack Development</t>
        </is>
      </c>
      <c r="N270" s="29" t="inlineStr">
        <is>
          <t>• Confirm the reporting line — Manager</t>
        </is>
      </c>
      <c r="O270" s="29" t="n">
        <v>20</v>
      </c>
      <c r="P270" s="28" t="inlineStr">
        <is>
          <t>P2</t>
        </is>
      </c>
      <c r="Q270" s="29" t="inlineStr">
        <is>
          <t>Developing</t>
        </is>
      </c>
      <c r="R270" s="29" t="inlineStr">
        <is>
          <t>3 Apply</t>
        </is>
      </c>
      <c r="S270" s="29" t="inlineStr">
        <is>
          <t>2–4 yrs</t>
        </is>
      </c>
      <c r="T270" s="29" t="inlineStr">
        <is>
          <t>3–5 · 2–5</t>
        </is>
      </c>
      <c r="U270" s="29" t="inlineStr">
        <is>
          <t>Software Engineer</t>
        </is>
      </c>
      <c r="V270" s="29" t="inlineStr">
        <is>
          <t>Workiva: SE · Broadridge India: SE · Nasdaq / AxiomSL: SE · Salesforce: MTS · Atlassian: P40 · 3–7 yrs · Freshworks: Senior SE</t>
        </is>
      </c>
      <c r="W270" s="29" t="inlineStr">
        <is>
          <t>SFIA 9 · software development, programming; OWASP secure coding; cloud vendor certifications</t>
        </is>
      </c>
      <c r="X270" s="29" t="inlineStr">
        <is>
          <t>Core 2 · Future 2 · Functional 3 · Leadership not scored</t>
        </is>
      </c>
      <c r="Y270" s="52" t="n">
        <v>293</v>
      </c>
      <c r="Z270" s="53" t="inlineStr">
        <is>
          <t>IRIS2185</t>
        </is>
      </c>
      <c r="AA270" s="53" t="inlineStr">
        <is>
          <t>Employee</t>
        </is>
      </c>
      <c r="AB270" s="53" t="inlineStr">
        <is>
          <t>Active</t>
        </is>
      </c>
      <c r="AC270" s="53" t="inlineStr">
        <is>
          <t>Devkumar Nishad</t>
        </is>
      </c>
      <c r="AD270" s="54" t="n">
        <v>45180</v>
      </c>
      <c r="AE270" s="53" t="inlineStr">
        <is>
          <t>Junior Software Engineer</t>
        </is>
      </c>
      <c r="AF270" s="53" t="inlineStr">
        <is>
          <t>PG-DAC</t>
        </is>
      </c>
      <c r="AG270" s="53" t="inlineStr">
        <is>
          <t>Paresh Patil</t>
        </is>
      </c>
      <c r="AH270" s="53" t="inlineStr">
        <is>
          <t>N-5</t>
        </is>
      </c>
      <c r="AI270" s="53" t="inlineStr">
        <is>
          <t>Individual Contributor</t>
        </is>
      </c>
      <c r="AJ270" s="53" t="inlineStr">
        <is>
          <t>0 years, 0 months, 0 days</t>
        </is>
      </c>
      <c r="AK270" s="53" t="inlineStr">
        <is>
          <t>2 years, 11 months, 14 days</t>
        </is>
      </c>
      <c r="AL270" s="53" t="inlineStr">
        <is>
          <t>Suptech</t>
        </is>
      </c>
      <c r="AM270" s="53" t="inlineStr">
        <is>
          <t>iFile</t>
        </is>
      </c>
      <c r="AN270" s="53" t="inlineStr">
        <is>
          <t>Technology</t>
        </is>
      </c>
      <c r="AO270" s="53" t="inlineStr">
        <is>
          <t>Development</t>
        </is>
      </c>
      <c r="AP270" s="53" t="inlineStr">
        <is>
          <t>Yes</t>
        </is>
      </c>
      <c r="AQ270" s="53" t="inlineStr">
        <is>
          <t>Product/Project</t>
        </is>
      </c>
      <c r="AR270" s="53" t="inlineStr">
        <is>
          <t>.NET MVC</t>
        </is>
      </c>
      <c r="AS270" s="53" t="inlineStr">
        <is>
          <t>Technical - Developer</t>
        </is>
      </c>
      <c r="AT270" s="53" t="n">
        <v>20</v>
      </c>
      <c r="AU270" s="53" t="inlineStr">
        <is>
          <t>Covered</t>
        </is>
      </c>
      <c r="AV270" s="53" t="n"/>
      <c r="AW270" s="53" t="n"/>
      <c r="AX270" s="53" t="n"/>
      <c r="AY270" s="53" t="n"/>
      <c r="AZ270" s="53" t="n"/>
      <c r="BA270" s="53" t="n"/>
      <c r="BB270" s="53" t="n"/>
      <c r="BC270" s="53" t="n"/>
      <c r="BD270" s="53" t="n"/>
      <c r="BE270" s="53" t="n"/>
      <c r="BF270" s="53" t="n"/>
      <c r="BG270" s="53" t="n"/>
      <c r="BH270" s="53" t="n"/>
      <c r="BI270" s="53" t="n"/>
      <c r="BJ270" s="53" t="n"/>
      <c r="BK270" s="53" t="n"/>
      <c r="BL270" s="53" t="n"/>
      <c r="BM270" s="53" t="n"/>
      <c r="BN270" s="53" t="n"/>
      <c r="BO270" s="53" t="n"/>
      <c r="BP270" s="53" t="n"/>
      <c r="BQ270" s="53" t="n"/>
      <c r="BR270" s="53" t="n"/>
      <c r="BS270" s="53" t="n"/>
      <c r="BT270" s="53" t="n"/>
      <c r="BU270" s="53" t="n"/>
      <c r="BV270" s="53" t="n"/>
      <c r="BW270" s="53" t="n"/>
      <c r="BX270" s="53" t="n"/>
      <c r="BY270" s="53" t="n"/>
      <c r="BZ270" s="53" t="n"/>
      <c r="CA270" s="53" t="n"/>
      <c r="CB270" s="53" t="n"/>
      <c r="CC270" s="53" t="n"/>
      <c r="CD270" s="53" t="n"/>
      <c r="CE270" s="53" t="n"/>
      <c r="CF270" s="53" t="n"/>
      <c r="CG270" s="53" t="n"/>
      <c r="CH270" s="53" t="n"/>
      <c r="CI270" s="53" t="n"/>
      <c r="CJ270" s="53" t="n"/>
      <c r="CK270" s="53" t="n"/>
      <c r="CL270" s="53" t="n"/>
      <c r="CM270" s="53" t="n"/>
      <c r="CN270" s="53" t="n"/>
      <c r="CO270" s="53" t="n"/>
      <c r="CP270" s="53" t="n"/>
      <c r="CQ270" s="53" t="n"/>
      <c r="CR270" s="53" t="n"/>
      <c r="CS270" s="53" t="n"/>
      <c r="CT270" s="53" t="n"/>
      <c r="CU270" s="53" t="n"/>
      <c r="CV270" s="53" t="n"/>
      <c r="CW270" s="53" t="n"/>
      <c r="CX270" s="53" t="n"/>
      <c r="CY270" s="53" t="n"/>
      <c r="CZ270" s="53" t="n"/>
      <c r="DA270" s="53" t="n"/>
      <c r="DB270" s="53" t="n"/>
      <c r="DC270" s="53" t="n"/>
      <c r="DD270" s="53" t="inlineStr">
        <is>
          <t>IRIS2185</t>
        </is>
      </c>
      <c r="DE270" s="53" t="inlineStr">
        <is>
          <t>Employee</t>
        </is>
      </c>
      <c r="DF270" s="53" t="inlineStr">
        <is>
          <t>Active</t>
        </is>
      </c>
      <c r="DG270" s="53" t="inlineStr">
        <is>
          <t>Devkumar Nishad</t>
        </is>
      </c>
      <c r="DH270" s="54" t="n">
        <v>45180</v>
      </c>
      <c r="DI270" s="53" t="inlineStr">
        <is>
          <t>Junior Software Engineer</t>
        </is>
      </c>
      <c r="DJ270" s="53" t="inlineStr">
        <is>
          <t>Engineering &amp; Development</t>
        </is>
      </c>
      <c r="DK270" s="53" t="inlineStr">
        <is>
          <t>Backend Engineering ·.NET</t>
        </is>
      </c>
      <c r="DL270" s="53" t="inlineStr">
        <is>
          <t>Junior Software Engineer</t>
        </is>
      </c>
      <c r="DM270" s="53" t="inlineStr">
        <is>
          <t>L3 – Professional / Associate</t>
        </is>
      </c>
      <c r="DN270" s="53" t="inlineStr">
        <is>
          <t>PG-DAC</t>
        </is>
      </c>
      <c r="DO270" s="53" t="inlineStr">
        <is>
          <t>Paresh Patil</t>
        </is>
      </c>
      <c r="DP270" s="53" t="inlineStr">
        <is>
          <t>N-4</t>
        </is>
      </c>
      <c r="DQ270" s="53" t="inlineStr">
        <is>
          <t>Individual Contributor</t>
        </is>
      </c>
      <c r="DR270" s="53" t="inlineStr">
        <is>
          <t>0 years, 0 months, 0 days</t>
        </is>
      </c>
      <c r="DS270" s="53" t="inlineStr">
        <is>
          <t>2 years, 9 months, 9 days</t>
        </is>
      </c>
      <c r="DT270" s="53" t="inlineStr">
        <is>
          <t>2 years, 9 months, 9 days</t>
        </is>
      </c>
      <c r="DU270" s="53" t="n"/>
      <c r="DV270" s="53" t="inlineStr">
        <is>
          <t>Suptech</t>
        </is>
      </c>
      <c r="DW270" s="53" t="inlineStr">
        <is>
          <t>iFile</t>
        </is>
      </c>
      <c r="DX270" s="53" t="inlineStr">
        <is>
          <t>Technology</t>
        </is>
      </c>
      <c r="DY270" s="53" t="inlineStr">
        <is>
          <t>Development</t>
        </is>
      </c>
      <c r="DZ270" s="53" t="inlineStr">
        <is>
          <t>Yes</t>
        </is>
      </c>
      <c r="EA270" s="53" t="inlineStr">
        <is>
          <t>Product/Project</t>
        </is>
      </c>
      <c r="EB270" s="53" t="inlineStr">
        <is>
          <t>.NET MVC</t>
        </is>
      </c>
      <c r="EC270" s="53" t="inlineStr">
        <is>
          <t>Technical - Developer</t>
        </is>
      </c>
      <c r="ED270" s="53" t="inlineStr">
        <is>
          <t>Remote - Mumbai</t>
        </is>
      </c>
      <c r="EE270" s="53" t="n"/>
      <c r="EF270" s="53" t="n"/>
      <c r="EG270" s="53" t="inlineStr">
        <is>
          <t>1. Provide production support and work on assigned Webform projects.
2. Work independently and complete tasks on time and guide team members.
3. Improve the Webform product using AI and automation to reduce manual effort.
4. Build strong knowledge of Taxonomy and related concepts.
5. Upgrade technology and improve application performance.</t>
        </is>
      </c>
      <c r="EH270" s="53" t="n">
        <v>4</v>
      </c>
      <c r="EI270" s="54" t="n">
        <v>45901</v>
      </c>
      <c r="EJ270" s="53" t="inlineStr">
        <is>
          <t>Junior Software Engineer</t>
        </is>
      </c>
      <c r="EK270" s="53" t="inlineStr">
        <is>
          <t>Yes</t>
        </is>
      </c>
      <c r="EL270" s="53" t="n">
        <v>4</v>
      </c>
      <c r="EM270" s="53" t="inlineStr">
        <is>
          <t>Medium</t>
        </is>
      </c>
      <c r="EN270" s="53" t="inlineStr">
        <is>
          <t>Trusted Professional</t>
        </is>
      </c>
      <c r="EO270" s="53" t="n"/>
      <c r="EP270" s="53" t="n"/>
      <c r="EQ270" s="53" t="n"/>
      <c r="ER270" s="53" t="n"/>
      <c r="ES270" s="53" t="inlineStr">
        <is>
          <t>Taxonomy
AI</t>
        </is>
      </c>
      <c r="ET270" s="53" t="n"/>
      <c r="EU270" s="53" t="n"/>
      <c r="EV270" s="53" t="n"/>
      <c r="EW270" s="52" t="n"/>
      <c r="EX270" s="53" t="n"/>
      <c r="EY270" s="53" t="n"/>
      <c r="EZ270" s="53" t="n"/>
      <c r="FA270" s="53" t="n"/>
      <c r="FB270" s="53" t="n"/>
      <c r="FC270" s="53" t="n"/>
      <c r="FD270" s="53" t="n"/>
      <c r="FE270" s="55" t="inlineStr">
        <is>
          <t>KRAs not received · manager to supply</t>
        </is>
      </c>
      <c r="FF270" s="56" t="inlineStr">
        <is>
          <t>1. Provide production support and work on assigned Webform projects.
2. Work independently and complete tasks on time and guide team members.
3. Improve the Webform product using AI and automation to reduce manual effort.
4. Build strong knowledge of Taxonomy and related concepts.
5. Upgrade technology and improve application performance.</t>
        </is>
      </c>
      <c r="FG270" s="56" t="n"/>
      <c r="FH270" s="56" t="inlineStr">
        <is>
          <t>4</t>
        </is>
      </c>
      <c r="FI270" s="56" t="n"/>
      <c r="FJ270" s="56" t="inlineStr">
        <is>
          <t>Received · quarterly</t>
        </is>
      </c>
      <c r="FK270" s="56" t="inlineStr">
        <is>
          <t>Talent Mapping · iFile collated</t>
        </is>
      </c>
      <c r="FL270" s="56" t="n">
        <v>20</v>
      </c>
      <c r="FM270" s="32" t="inlineStr">
        <is>
          <t>Full survey answers not in the files received · How We Grow export needed · HR</t>
        </is>
      </c>
      <c r="FN270" s="56" t="inlineStr">
        <is>
          <t>—</t>
        </is>
      </c>
      <c r="FO270" s="56" t="inlineStr">
        <is>
          <t>—</t>
        </is>
      </c>
      <c r="FP270" s="56" t="inlineStr">
        <is>
          <t>—</t>
        </is>
      </c>
      <c r="FQ270" s="56" t="inlineStr">
        <is>
          <t>—</t>
        </is>
      </c>
      <c r="FR270" s="56" t="inlineStr">
        <is>
          <t>Complexity: Evidence reads like A3: Webform customisation across IFSCA, GTA, MBRS, RMA projects; impact testing of new features on existing ones → moved up 0.5
Autonomy: Evidence reads like A3: Decides how to customise new features; discusses requirements and dependencies beforehand → moved up 0.5
Accountability: Evidence reads like A3: End-to-end feature implementation for webform on two projects; delay shifts QA and delivery dates → moved up 0.5
Leadership: Evidence reads like A3: Acts as webform lead on IFSCA and GTA; trains and mentors assigned intern → moved up 1
Business Impact: No survey or manager-mapping signal on criticality: kept at the start point.</t>
        </is>
      </c>
      <c r="FS270" s="56"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FT270" s="56" t="inlineStr">
        <is>
          <t>Self-identified: Project / programme management
For the next role: Project / programme management</t>
        </is>
      </c>
      <c r="FU270" s="32" t="inlineStr">
        <is>
          <t>Full survey answers not in the files received · How We Grow export needed · HR</t>
        </is>
      </c>
    </row>
    <row r="271" ht="90" customHeight="1">
      <c r="A271" s="51" t="inlineStr">
        <is>
          <t>◂ Back</t>
        </is>
      </c>
      <c r="B271" s="29" t="inlineStr">
        <is>
          <t>Mapped</t>
        </is>
      </c>
      <c r="C271" s="28" t="inlineStr">
        <is>
          <t>iFile</t>
        </is>
      </c>
      <c r="D271" s="29" t="inlineStr">
        <is>
          <t>IRIS2525</t>
        </is>
      </c>
      <c r="E271" s="29" t="inlineStr">
        <is>
          <t>Rajeev Gupta</t>
        </is>
      </c>
      <c r="F271" s="29" t="inlineStr">
        <is>
          <t>Technology</t>
        </is>
      </c>
      <c r="G271" s="29" t="inlineStr">
        <is>
          <t>Software Engineer</t>
        </is>
      </c>
      <c r="H271" s="29" t="inlineStr">
        <is>
          <t>UI Developer</t>
        </is>
      </c>
      <c r="I271" s="29" t="inlineStr">
        <is>
          <t>L3 – Professional / Associate</t>
        </is>
      </c>
      <c r="J271" s="29" t="inlineStr">
        <is>
          <t>A2</t>
        </is>
      </c>
      <c r="K271" s="29" t="inlineStr">
        <is>
          <t>• Same level</t>
        </is>
      </c>
      <c r="L271" s="29" t="inlineStr">
        <is>
          <t>Engineering &amp; Development</t>
        </is>
      </c>
      <c r="M271" s="29" t="inlineStr">
        <is>
          <t>Front-End / UI Development</t>
        </is>
      </c>
      <c r="N271" s="29" t="n"/>
      <c r="O271" s="29" t="n">
        <v>20</v>
      </c>
      <c r="P271" s="28" t="inlineStr">
        <is>
          <t>P1–P2</t>
        </is>
      </c>
      <c r="Q271" s="29" t="inlineStr">
        <is>
          <t>Entry / Developing</t>
        </is>
      </c>
      <c r="R271" s="29" t="inlineStr">
        <is>
          <t>2 Assist</t>
        </is>
      </c>
      <c r="S271" s="29" t="inlineStr">
        <is>
          <t>0–2 yrs</t>
        </is>
      </c>
      <c r="T271" s="29" t="inlineStr">
        <is>
          <t>1–3 · 0–3</t>
        </is>
      </c>
      <c r="U271" s="29" t="inlineStr">
        <is>
          <t>Associate Software Engineer / Software Engineer</t>
        </is>
      </c>
      <c r="V271" s="29" t="inlineStr">
        <is>
          <t>Workiva: Associate SE · Broadridge India: SE · Nasdaq / AxiomSL: SE · Salesforce: AMTS · Atlassian: P30 Junior · 0–2 yrs · Freshworks: SE</t>
        </is>
      </c>
      <c r="W271" s="29" t="inlineStr">
        <is>
          <t>SFIA 9 · software development, programming; OWASP secure coding; cloud vendor certifications</t>
        </is>
      </c>
      <c r="X271" s="29" t="inlineStr">
        <is>
          <t>Core 2 · Future 2 · Functional 2 · Leadership not scored</t>
        </is>
      </c>
      <c r="Y271" s="52" t="n">
        <v>495</v>
      </c>
      <c r="Z271" s="53" t="inlineStr">
        <is>
          <t>IRIS2525</t>
        </is>
      </c>
      <c r="AA271" s="53" t="inlineStr">
        <is>
          <t>Employee</t>
        </is>
      </c>
      <c r="AB271" s="53" t="inlineStr">
        <is>
          <t>Active</t>
        </is>
      </c>
      <c r="AC271" s="53" t="inlineStr">
        <is>
          <t>Rajeev Gupta</t>
        </is>
      </c>
      <c r="AD271" s="54" t="n">
        <v>46135</v>
      </c>
      <c r="AE271" s="53" t="inlineStr">
        <is>
          <t>Software Engineer</t>
        </is>
      </c>
      <c r="AF271" s="53" t="inlineStr">
        <is>
          <t>B.Tech</t>
        </is>
      </c>
      <c r="AG271" s="53" t="inlineStr">
        <is>
          <t>Paresh Patil</t>
        </is>
      </c>
      <c r="AH271" s="53" t="inlineStr">
        <is>
          <t>N-5</t>
        </is>
      </c>
      <c r="AI271" s="53" t="inlineStr">
        <is>
          <t>Individual Contributor</t>
        </is>
      </c>
      <c r="AJ271" s="53" t="inlineStr">
        <is>
          <t>1 years, 4 months, 0 days</t>
        </is>
      </c>
      <c r="AK271" s="53" t="inlineStr">
        <is>
          <t>0 years, 4 months, 2 days</t>
        </is>
      </c>
      <c r="AL271" s="53" t="inlineStr">
        <is>
          <t>Suptech</t>
        </is>
      </c>
      <c r="AM271" s="53" t="inlineStr">
        <is>
          <t>iFile</t>
        </is>
      </c>
      <c r="AN271" s="53" t="inlineStr">
        <is>
          <t>Technology</t>
        </is>
      </c>
      <c r="AO271" s="53" t="inlineStr">
        <is>
          <t>Development</t>
        </is>
      </c>
      <c r="AP271" s="53" t="inlineStr">
        <is>
          <t>Yes</t>
        </is>
      </c>
      <c r="AQ271" s="53" t="inlineStr">
        <is>
          <t>Product/Project</t>
        </is>
      </c>
      <c r="AR271" s="53" t="inlineStr">
        <is>
          <t>Angular + Node.js</t>
        </is>
      </c>
      <c r="AS271" s="53" t="inlineStr">
        <is>
          <t>Technical - Developer</t>
        </is>
      </c>
      <c r="AT271" s="53" t="n">
        <v>20</v>
      </c>
      <c r="AU271" s="53" t="inlineStr">
        <is>
          <t>Covered</t>
        </is>
      </c>
      <c r="AV271" s="53" t="n"/>
      <c r="AW271" s="53" t="n"/>
      <c r="AX271" s="53" t="n"/>
      <c r="AY271" s="53" t="n"/>
      <c r="AZ271" s="53" t="n"/>
      <c r="BA271" s="53" t="n"/>
      <c r="BB271" s="53" t="n"/>
      <c r="BC271" s="53" t="n"/>
      <c r="BD271" s="53" t="n"/>
      <c r="BE271" s="53" t="n"/>
      <c r="BF271" s="53" t="n"/>
      <c r="BG271" s="53" t="n"/>
      <c r="BH271" s="53" t="n"/>
      <c r="BI271" s="53" t="n"/>
      <c r="BJ271" s="53" t="n"/>
      <c r="BK271" s="53" t="n"/>
      <c r="BL271" s="53" t="n"/>
      <c r="BM271" s="53" t="n"/>
      <c r="BN271" s="53" t="n"/>
      <c r="BO271" s="53" t="n"/>
      <c r="BP271" s="53" t="n"/>
      <c r="BQ271" s="53" t="n"/>
      <c r="BR271" s="53" t="n"/>
      <c r="BS271" s="53" t="n"/>
      <c r="BT271" s="53" t="n"/>
      <c r="BU271" s="53" t="n"/>
      <c r="BV271" s="53" t="n"/>
      <c r="BW271" s="53" t="n"/>
      <c r="BX271" s="53" t="n"/>
      <c r="BY271" s="53" t="n"/>
      <c r="BZ271" s="53" t="n"/>
      <c r="CA271" s="53" t="n"/>
      <c r="CB271" s="53" t="n"/>
      <c r="CC271" s="53" t="n"/>
      <c r="CD271" s="53" t="n"/>
      <c r="CE271" s="53" t="n"/>
      <c r="CF271" s="53" t="n"/>
      <c r="CG271" s="53" t="n"/>
      <c r="CH271" s="53" t="n"/>
      <c r="CI271" s="53" t="n"/>
      <c r="CJ271" s="53" t="n"/>
      <c r="CK271" s="53" t="n"/>
      <c r="CL271" s="53" t="n"/>
      <c r="CM271" s="53" t="n"/>
      <c r="CN271" s="53" t="n"/>
      <c r="CO271" s="53" t="n"/>
      <c r="CP271" s="53" t="n"/>
      <c r="CQ271" s="53" t="n"/>
      <c r="CR271" s="53" t="n"/>
      <c r="CS271" s="53" t="n"/>
      <c r="CT271" s="53" t="n"/>
      <c r="CU271" s="53" t="n"/>
      <c r="CV271" s="53" t="n"/>
      <c r="CW271" s="53" t="n"/>
      <c r="CX271" s="53" t="n"/>
      <c r="CY271" s="53" t="n"/>
      <c r="CZ271" s="53" t="n"/>
      <c r="DA271" s="53" t="n"/>
      <c r="DB271" s="53" t="n"/>
      <c r="DC271" s="53" t="n"/>
      <c r="DD271" s="53" t="inlineStr">
        <is>
          <t>IRIS2525</t>
        </is>
      </c>
      <c r="DE271" s="53" t="inlineStr">
        <is>
          <t>Employee</t>
        </is>
      </c>
      <c r="DF271" s="53" t="inlineStr">
        <is>
          <t>Active</t>
        </is>
      </c>
      <c r="DG271" s="53" t="inlineStr">
        <is>
          <t>Rajeev Gupta</t>
        </is>
      </c>
      <c r="DH271" s="54" t="n">
        <v>46135</v>
      </c>
      <c r="DI271" s="53" t="inlineStr">
        <is>
          <t>Software Engineer</t>
        </is>
      </c>
      <c r="DJ271" s="53" t="inlineStr">
        <is>
          <t>Engineering &amp; Development</t>
        </is>
      </c>
      <c r="DK271" s="53" t="inlineStr">
        <is>
          <t>Software Engineering</t>
        </is>
      </c>
      <c r="DL271" s="53" t="inlineStr">
        <is>
          <t>Software Engineer</t>
        </is>
      </c>
      <c r="DM271" s="53" t="inlineStr">
        <is>
          <t>L3 – Professional / Associate</t>
        </is>
      </c>
      <c r="DN271" s="53" t="inlineStr">
        <is>
          <t>B.Tech</t>
        </is>
      </c>
      <c r="DO271" s="53" t="inlineStr">
        <is>
          <t>Paresh Patil</t>
        </is>
      </c>
      <c r="DP271" s="53" t="inlineStr">
        <is>
          <t>N-4</t>
        </is>
      </c>
      <c r="DQ271" s="53" t="inlineStr">
        <is>
          <t>Individual Contributor</t>
        </is>
      </c>
      <c r="DR271" s="53" t="inlineStr">
        <is>
          <t>1 years, 4 months, 0 days</t>
        </is>
      </c>
      <c r="DS271" s="53" t="inlineStr">
        <is>
          <t>0 years, 1 months, 28 days</t>
        </is>
      </c>
      <c r="DT271" s="53" t="inlineStr">
        <is>
          <t>1 years, 5 months, 28 days</t>
        </is>
      </c>
      <c r="DU271" s="53" t="n"/>
      <c r="DV271" s="53" t="inlineStr">
        <is>
          <t>Suptech</t>
        </is>
      </c>
      <c r="DW271" s="53" t="inlineStr">
        <is>
          <t>iFile</t>
        </is>
      </c>
      <c r="DX271" s="53" t="inlineStr">
        <is>
          <t>Technology</t>
        </is>
      </c>
      <c r="DY271" s="53" t="inlineStr">
        <is>
          <t>Development</t>
        </is>
      </c>
      <c r="DZ271" s="53" t="inlineStr">
        <is>
          <t>Yes</t>
        </is>
      </c>
      <c r="EA271" s="53" t="inlineStr">
        <is>
          <t>Product/Project</t>
        </is>
      </c>
      <c r="EB271" s="53" t="inlineStr">
        <is>
          <t>Angular + Node.js</t>
        </is>
      </c>
      <c r="EC271" s="53" t="inlineStr">
        <is>
          <t>Technical - Developer</t>
        </is>
      </c>
      <c r="ED271" s="53" t="inlineStr">
        <is>
          <t>Work From Office - Turbhe</t>
        </is>
      </c>
      <c r="EE271" s="53" t="n"/>
      <c r="EF271" s="53" t="n"/>
      <c r="EG271" s="53" t="inlineStr">
        <is>
          <t>1. Provide production support and work on assigned Webform projects.
2. Work independently and complete tasks on time and guide team members.
3. Improve the Webform product using AI and automation to reduce manual effort.
4. Build strong knowledge of Taxonomy and related concepts.
5. Upgrade technology and improve application performance.</t>
        </is>
      </c>
      <c r="EH271" s="53" t="n">
        <v>3</v>
      </c>
      <c r="EI271" s="53" t="n"/>
      <c r="EJ271" s="53" t="inlineStr">
        <is>
          <t>Software Engineer</t>
        </is>
      </c>
      <c r="EK271" s="53" t="inlineStr">
        <is>
          <t>Yes</t>
        </is>
      </c>
      <c r="EL271" s="53" t="n">
        <v>3</v>
      </c>
      <c r="EM271" s="53" t="inlineStr">
        <is>
          <t>Medium</t>
        </is>
      </c>
      <c r="EN271" s="53" t="inlineStr">
        <is>
          <t>Trusted Professional</t>
        </is>
      </c>
      <c r="EO271" s="53" t="n"/>
      <c r="EP271" s="53" t="n"/>
      <c r="EQ271" s="53" t="n"/>
      <c r="ER271" s="53" t="n"/>
      <c r="ES271" s="53" t="inlineStr">
        <is>
          <t>Taxonomy
AI</t>
        </is>
      </c>
      <c r="ET271" s="53" t="n"/>
      <c r="EU271" s="53" t="n"/>
      <c r="EV271" s="53" t="n"/>
      <c r="EW271" s="52" t="n"/>
      <c r="EX271" s="53" t="n"/>
      <c r="EY271" s="53" t="n"/>
      <c r="EZ271" s="53" t="n"/>
      <c r="FA271" s="53" t="n"/>
      <c r="FB271" s="53" t="n"/>
      <c r="FC271" s="53" t="n"/>
      <c r="FD271" s="53" t="n"/>
      <c r="FE271" s="55" t="inlineStr">
        <is>
          <t>KRAs not received · manager to supply</t>
        </is>
      </c>
      <c r="FF271" s="56" t="inlineStr">
        <is>
          <t>1. Provide production support and work on assigned Webform projects.
2. Work independently and complete tasks on time and guide team members.
3. Improve the Webform product using AI and automation to reduce manual effort.
4. Build strong knowledge of Taxonomy and related concepts.
5. Upgrade technology and improve application performance.</t>
        </is>
      </c>
      <c r="FG271" s="56" t="n"/>
      <c r="FH271" s="56" t="inlineStr">
        <is>
          <t>3</t>
        </is>
      </c>
      <c r="FI271" s="56" t="n"/>
      <c r="FJ271" s="56" t="inlineStr">
        <is>
          <t>Received · quarterly</t>
        </is>
      </c>
      <c r="FK271" s="56" t="inlineStr">
        <is>
          <t>Talent Mapping · iFile collated</t>
        </is>
      </c>
      <c r="FL271" s="56" t="n">
        <v>20</v>
      </c>
      <c r="FM271" s="32" t="inlineStr">
        <is>
          <t>Full survey answers not in the files received · How We Grow export needed · HR</t>
        </is>
      </c>
      <c r="FN271" s="56" t="inlineStr">
        <is>
          <t>—</t>
        </is>
      </c>
      <c r="FO271" s="56" t="inlineStr">
        <is>
          <t>—</t>
        </is>
      </c>
      <c r="FP271" s="56" t="inlineStr">
        <is>
          <t>—</t>
        </is>
      </c>
      <c r="FQ271" s="56" t="inlineStr">
        <is>
          <t>—</t>
        </is>
      </c>
      <c r="FR271" s="56" t="inlineStr">
        <is>
          <t>Complexity: Evidence reads like A2: Develops new features per client requirement; no specific module, problem or technique described → matches the start
Autonomy: Evidence reads like A2: 'Strategy then implement': chooses own approach; nothing more specific → matches the start
Accountability: Evidence reads like A2: Accountable for delivering own work within the timeframe → matches the start
Leadership: Evidence reads like A2: KRA expects guiding team members; survey describes none → moved up 0.5
Business Impact: No survey or manager-mapping signal on criticality: kept at the start point.</t>
        </is>
      </c>
      <c r="FS271" s="56" t="inlineStr">
        <is>
          <t>Common themes in role-holders' answers: solutions · maintain · problems · core · purpose · while
Common themes in role-holders' answers: feature · code · quality · development · delivery
Common themes in role-holders' answers: features · quality · software
Common themes in role-holders' answers: quality · accountable · reliability · deliver · features · code
Common themes in role-holders' answers: decisions · implement
If the work is missed · role-holders' themes: delays · quality · impact · rework.
Measured on · manager-set KRA themes: complete · improve · assigned · resolve · code · leakage qa/uat.</t>
        </is>
      </c>
      <c r="FT271" s="56" t="inlineStr">
        <is>
          <t>Self-identified: Answered · no common topic
For the next role: Answered · no common topic</t>
        </is>
      </c>
      <c r="FU271" s="32" t="inlineStr">
        <is>
          <t>Full survey answers not in the files received · How We Grow export needed · HR</t>
        </is>
      </c>
    </row>
    <row r="272" ht="90" customHeight="1">
      <c r="A272" s="51" t="inlineStr">
        <is>
          <t>◂ Back</t>
        </is>
      </c>
      <c r="B272" s="29" t="inlineStr">
        <is>
          <t>Mapped</t>
        </is>
      </c>
      <c r="C272" s="28" t="inlineStr">
        <is>
          <t>iFile</t>
        </is>
      </c>
      <c r="D272" s="29" t="inlineStr">
        <is>
          <t>IRIS1470</t>
        </is>
      </c>
      <c r="E272" s="29" t="inlineStr">
        <is>
          <t>Rajneesh Patel</t>
        </is>
      </c>
      <c r="F272" s="29" t="inlineStr">
        <is>
          <t>Technology</t>
        </is>
      </c>
      <c r="G272" s="29" t="inlineStr">
        <is>
          <t>Senior Software Engineer</t>
        </is>
      </c>
      <c r="H272" s="29" t="inlineStr">
        <is>
          <t>Technical Specialist – POD Lead</t>
        </is>
      </c>
      <c r="I272" s="29" t="inlineStr">
        <is>
          <t>L4 – Senior</t>
        </is>
      </c>
      <c r="J272" s="29" t="inlineStr">
        <is>
          <t>B1</t>
        </is>
      </c>
      <c r="K272" s="29" t="inlineStr">
        <is>
          <t>▲ Up</t>
        </is>
      </c>
      <c r="L272" s="29" t="inlineStr">
        <is>
          <t>Engineering &amp; Development</t>
        </is>
      </c>
      <c r="M272" s="29" t="inlineStr">
        <is>
          <t>Full-Stack Development</t>
        </is>
      </c>
      <c r="N272" s="29" t="n"/>
      <c r="O272" s="29" t="n">
        <v>20</v>
      </c>
      <c r="P272" s="28" t="inlineStr">
        <is>
          <t>P3 / M2</t>
        </is>
      </c>
      <c r="Q272" s="29" t="inlineStr">
        <is>
          <t>Career / · Team Lead</t>
        </is>
      </c>
      <c r="R272" s="29" t="inlineStr">
        <is>
          <t>4 Enable</t>
        </is>
      </c>
      <c r="S272" s="29" t="inlineStr">
        <is>
          <t>4–7 yrs</t>
        </is>
      </c>
      <c r="T272" s="29" t="inlineStr">
        <is>
          <t>5–8 · 4–8</t>
        </is>
      </c>
      <c r="U272" s="29" t="inlineStr">
        <is>
          <t>Senior Software Engineer</t>
        </is>
      </c>
      <c r="V272" s="29" t="inlineStr">
        <is>
          <t>Workiva: SE / Senior SE · Broadridge India: Senior SE · Nasdaq / AxiomSL: Senior SE · Salesforce: MTS · Atlassian: P40 · Freshworks: Senior SE</t>
        </is>
      </c>
      <c r="W272" s="29" t="inlineStr">
        <is>
          <t>SFIA 9 · software development, programming; OWASP secure coding; cloud vendor certifications</t>
        </is>
      </c>
      <c r="X272" s="29" t="inlineStr">
        <is>
          <t>Core 3 · Future 3 · Functional 3 · Leadership 2</t>
        </is>
      </c>
      <c r="Y272" s="52" t="n">
        <v>120</v>
      </c>
      <c r="Z272" s="53" t="inlineStr">
        <is>
          <t>IRIS1470</t>
        </is>
      </c>
      <c r="AA272" s="53" t="inlineStr">
        <is>
          <t>Employee</t>
        </is>
      </c>
      <c r="AB272" s="53" t="inlineStr">
        <is>
          <t>Active</t>
        </is>
      </c>
      <c r="AC272" s="53" t="inlineStr">
        <is>
          <t>Rajneesh Patel</t>
        </is>
      </c>
      <c r="AD272" s="54" t="n">
        <v>41855</v>
      </c>
      <c r="AE272" s="53" t="inlineStr">
        <is>
          <t>Senior Software Engineer</t>
        </is>
      </c>
      <c r="AF272" s="53" t="inlineStr">
        <is>
          <t>MCA</t>
        </is>
      </c>
      <c r="AG272" s="53" t="inlineStr">
        <is>
          <t>Sharanagouda Patil</t>
        </is>
      </c>
      <c r="AH272" s="53" t="inlineStr">
        <is>
          <t>N-4</t>
        </is>
      </c>
      <c r="AI272" s="53" t="inlineStr">
        <is>
          <t>Manager</t>
        </is>
      </c>
      <c r="AJ272" s="53" t="inlineStr">
        <is>
          <t>6 years, 6 months, 0 days</t>
        </is>
      </c>
      <c r="AK272" s="53" t="inlineStr">
        <is>
          <t>12 years, 0 months, 21 days</t>
        </is>
      </c>
      <c r="AL272" s="53" t="inlineStr">
        <is>
          <t>Suptech</t>
        </is>
      </c>
      <c r="AM272" s="53" t="inlineStr">
        <is>
          <t>iFile</t>
        </is>
      </c>
      <c r="AN272" s="53" t="inlineStr">
        <is>
          <t>Technology</t>
        </is>
      </c>
      <c r="AO272" s="53" t="inlineStr">
        <is>
          <t>Development</t>
        </is>
      </c>
      <c r="AP272" s="53" t="inlineStr">
        <is>
          <t>Yes</t>
        </is>
      </c>
      <c r="AQ272" s="53" t="inlineStr">
        <is>
          <t>Product/Project</t>
        </is>
      </c>
      <c r="AR272" s="53" t="inlineStr">
        <is>
          <t>.NET MVC</t>
        </is>
      </c>
      <c r="AS272" s="53" t="inlineStr">
        <is>
          <t>Technical - Developer</t>
        </is>
      </c>
      <c r="AT272" s="53" t="n">
        <v>20</v>
      </c>
      <c r="AU272" s="53" t="inlineStr">
        <is>
          <t>Covered</t>
        </is>
      </c>
      <c r="AV272" s="53" t="n"/>
      <c r="AW272" s="53" t="n"/>
      <c r="AX272" s="53" t="n"/>
      <c r="AY272" s="53" t="n"/>
      <c r="AZ272" s="53" t="n"/>
      <c r="BA272" s="53" t="n"/>
      <c r="BB272" s="53" t="n"/>
      <c r="BC272" s="53" t="n"/>
      <c r="BD272" s="53" t="n"/>
      <c r="BE272" s="53" t="n"/>
      <c r="BF272" s="53" t="n"/>
      <c r="BG272" s="53" t="n"/>
      <c r="BH272" s="53" t="n"/>
      <c r="BI272" s="53" t="n"/>
      <c r="BJ272" s="53" t="n"/>
      <c r="BK272" s="53" t="n"/>
      <c r="BL272" s="53" t="n"/>
      <c r="BM272" s="53" t="n"/>
      <c r="BN272" s="53" t="n"/>
      <c r="BO272" s="53" t="n"/>
      <c r="BP272" s="53" t="n"/>
      <c r="BQ272" s="53" t="n"/>
      <c r="BR272" s="53" t="n"/>
      <c r="BS272" s="53" t="n"/>
      <c r="BT272" s="53" t="n"/>
      <c r="BU272" s="53" t="n"/>
      <c r="BV272" s="53" t="n"/>
      <c r="BW272" s="53" t="n"/>
      <c r="BX272" s="53" t="n"/>
      <c r="BY272" s="53" t="n"/>
      <c r="BZ272" s="53" t="n"/>
      <c r="CA272" s="53" t="n"/>
      <c r="CB272" s="53" t="n"/>
      <c r="CC272" s="53" t="n"/>
      <c r="CD272" s="53" t="n"/>
      <c r="CE272" s="53" t="n"/>
      <c r="CF272" s="53" t="n"/>
      <c r="CG272" s="53" t="n"/>
      <c r="CH272" s="53" t="n"/>
      <c r="CI272" s="53" t="n"/>
      <c r="CJ272" s="53" t="n"/>
      <c r="CK272" s="53" t="n"/>
      <c r="CL272" s="53" t="n"/>
      <c r="CM272" s="53" t="n"/>
      <c r="CN272" s="53" t="n"/>
      <c r="CO272" s="53" t="n"/>
      <c r="CP272" s="53" t="n"/>
      <c r="CQ272" s="53" t="n"/>
      <c r="CR272" s="53" t="n"/>
      <c r="CS272" s="53" t="n"/>
      <c r="CT272" s="53" t="n"/>
      <c r="CU272" s="53" t="n"/>
      <c r="CV272" s="53" t="n"/>
      <c r="CW272" s="53" t="n"/>
      <c r="CX272" s="53" t="n"/>
      <c r="CY272" s="53" t="n"/>
      <c r="CZ272" s="53" t="n"/>
      <c r="DA272" s="53" t="n"/>
      <c r="DB272" s="53" t="n"/>
      <c r="DC272" s="53" t="n"/>
      <c r="DD272" s="53" t="inlineStr">
        <is>
          <t>IRIS1470</t>
        </is>
      </c>
      <c r="DE272" s="53" t="inlineStr">
        <is>
          <t>Employee</t>
        </is>
      </c>
      <c r="DF272" s="53" t="inlineStr">
        <is>
          <t>Active</t>
        </is>
      </c>
      <c r="DG272" s="53" t="inlineStr">
        <is>
          <t>Rajneesh Patel</t>
        </is>
      </c>
      <c r="DH272" s="54" t="n">
        <v>41855</v>
      </c>
      <c r="DI272" s="53" t="inlineStr">
        <is>
          <t>Senior Software Engineer</t>
        </is>
      </c>
      <c r="DJ272" s="53" t="inlineStr">
        <is>
          <t>Engineering &amp; Development</t>
        </is>
      </c>
      <c r="DK272" s="53" t="inlineStr">
        <is>
          <t>Backend Engineering ·.NET</t>
        </is>
      </c>
      <c r="DL272" s="53" t="inlineStr">
        <is>
          <t>Senior Software Engineer</t>
        </is>
      </c>
      <c r="DM272" s="53" t="inlineStr">
        <is>
          <t>L4 – Senior</t>
        </is>
      </c>
      <c r="DN272" s="53" t="inlineStr">
        <is>
          <t>MCA</t>
        </is>
      </c>
      <c r="DO272" s="53" t="inlineStr">
        <is>
          <t>Sharanagouda Patil</t>
        </is>
      </c>
      <c r="DP272" s="53" t="inlineStr">
        <is>
          <t>N-3</t>
        </is>
      </c>
      <c r="DQ272" s="53" t="inlineStr">
        <is>
          <t>Manager</t>
        </is>
      </c>
      <c r="DR272" s="53" t="inlineStr">
        <is>
          <t>6 years, 6 months, 0 days</t>
        </is>
      </c>
      <c r="DS272" s="53" t="inlineStr">
        <is>
          <t>11 years, 10 months, 16 days</t>
        </is>
      </c>
      <c r="DT272" s="53" t="inlineStr">
        <is>
          <t>18 years, 4 months, 16 days</t>
        </is>
      </c>
      <c r="DU272" s="53" t="n">
        <v>11.8771689497717</v>
      </c>
      <c r="DV272" s="53" t="inlineStr">
        <is>
          <t>Suptech</t>
        </is>
      </c>
      <c r="DW272" s="53" t="inlineStr">
        <is>
          <t>iFile</t>
        </is>
      </c>
      <c r="DX272" s="53" t="inlineStr">
        <is>
          <t>Technology</t>
        </is>
      </c>
      <c r="DY272" s="53" t="inlineStr">
        <is>
          <t>Development</t>
        </is>
      </c>
      <c r="DZ272" s="53" t="inlineStr">
        <is>
          <t>Yes</t>
        </is>
      </c>
      <c r="EA272" s="53" t="inlineStr">
        <is>
          <t>Product/Project</t>
        </is>
      </c>
      <c r="EB272" s="53" t="inlineStr">
        <is>
          <t>.NET MVC</t>
        </is>
      </c>
      <c r="EC272" s="53" t="inlineStr">
        <is>
          <t>Technical - Developer</t>
        </is>
      </c>
      <c r="ED272" s="53" t="inlineStr">
        <is>
          <t>Remote - Mumbai</t>
        </is>
      </c>
      <c r="EE272" s="53" t="n"/>
      <c r="EF272" s="53" t="inlineStr">
        <is>
          <t>1. Deliver team release roadmap on schedule: &gt;=90% of committed releases on time
2. Keep team sprint velocity stable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EG272" s="53" t="inlineStr">
        <is>
          <t>Q1: Deliver team release roadmap on schedule: &gt;=90% of committed releases on time
Q1: Keep team sprint velocity stable and defect leakage &lt;=5%
Q1: Drive production stability: critical incidents resolved within SLA &gt;=95%
Q1: Reduce module-level tech debt by &gt;=15% via refactoring / reusable components</t>
        </is>
      </c>
      <c r="EH272" s="53" t="n"/>
      <c r="EI272" s="53" t="n"/>
      <c r="EJ272" s="53" t="inlineStr">
        <is>
          <t>Lead Software Engineer · review – mgr scope + tenure</t>
        </is>
      </c>
      <c r="EK272" s="53" t="inlineStr">
        <is>
          <t>Yes</t>
        </is>
      </c>
      <c r="EL272" s="53" t="n"/>
      <c r="EM272" s="53" t="n"/>
      <c r="EN272" s="53" t="n"/>
      <c r="EO272" s="53" t="n"/>
      <c r="EP272" s="53" t="n"/>
      <c r="EQ272" s="53" t="n"/>
      <c r="ER272" s="53" t="n"/>
      <c r="ES272" s="53" t="inlineStr">
        <is>
          <t>Advanced .NET MVC; secure coding &amp; code-quality practices; unit/automated testing; system design fundamentals | People management: goal-setting &amp; feedback, 1:1 coaching, performance conversations</t>
        </is>
      </c>
      <c r="ET272" s="53" t="inlineStr">
        <is>
          <t>Leadership development: strategic thinking, cross-functional influence, financial/business acumen, succession &amp; talent development, change management, executive communication</t>
        </is>
      </c>
      <c r="EU272" s="53" t="n"/>
      <c r="EV272" s="53" t="n"/>
      <c r="EW272" s="52" t="n"/>
      <c r="EX272" s="53" t="n"/>
      <c r="EY272" s="53" t="n"/>
      <c r="EZ272" s="53" t="n"/>
      <c r="FA272" s="53" t="n"/>
      <c r="FB272" s="53" t="n"/>
      <c r="FC272" s="53" t="n"/>
      <c r="FD272" s="53" t="n"/>
      <c r="FE272" s="57" t="inlineStr">
        <is>
          <t>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FF272" s="56" t="inlineStr">
        <is>
          <t>Q1: Deliver team release roadmap on schedule: &gt;=90% of committed releases on time
Q1: Keep team sprint velocity stable · +/-10% and defect leakage &lt;=5%
Q1: Drive production stability: critical incidents resolved within SLA &gt;=95%
Q1: Reduce module-level tech debt by &gt;=15% via refactoring / reusable components</t>
        </is>
      </c>
      <c r="FG272" s="56" t="n"/>
      <c r="FH272" s="56" t="n"/>
      <c r="FI272" s="56" t="n"/>
      <c r="FJ272" s="56" t="inlineStr">
        <is>
          <t>Received · manager annual, quarterly</t>
        </is>
      </c>
      <c r="FK272" s="56" t="inlineStr">
        <is>
          <t>Talent Mapping · iFile collated</t>
        </is>
      </c>
      <c r="FL272" s="56" t="n">
        <v>20</v>
      </c>
      <c r="FM272" s="32" t="inlineStr">
        <is>
          <t>Full survey answers not in the files received · How We Grow export needed · HR</t>
        </is>
      </c>
      <c r="FN272" s="56" t="inlineStr">
        <is>
          <t>—</t>
        </is>
      </c>
      <c r="FO272" s="56" t="inlineStr">
        <is>
          <t>—</t>
        </is>
      </c>
      <c r="FP272" s="56" t="inlineStr">
        <is>
          <t>—</t>
        </is>
      </c>
      <c r="FQ272" s="56" t="inlineStr">
        <is>
          <t>—</t>
        </is>
      </c>
      <c r="FR272" s="56" t="inlineStr">
        <is>
          <t>Complexity: Evidence reads like B1: Diagnoses production errors and manages environments, certificates, gateways and SSO for QAWAEM e-filing platform → moved up 0.5
Autonomy: Evidence reads like B1: Sets technical approach and directs team on upgrades/CRs; production changes need client approval → moved up 0.5
Accountability: Evidence reads like B1: Production stability, QA/UAT/prod environment health and client issue resolution for the QAWAEM platform → moved up 0.5
Leadership: Evidence reads like B1: Guides and unblocks the team, reviews documentation, reports status to client; 1 report → moved up 0.5
Business Impact: No survey or manager-mapping signal on criticality: kept at the start point.</t>
        </is>
      </c>
      <c r="FS272" s="56" t="inlineStr">
        <is>
          <t>Common themes in role-holders' answers: keep · secure · development · continuously · technical · software
Common themes in role-holders' answers: technical · code · production · support · development
Common themes in role-holders' answers: solutions · software · fixes · technical · deliver · updates
Common themes in role-holders' answers: accountable · if · correctness · production · database · technical
Common themes in role-holders' answers: code · independently · approaches · diagnose · improvements · issues
If the work is missed · role-holders' themes: production · rework · incorrectly · business · lead.
Measured on · manager-set KRA themes: improve · defect · assigned · time · production.</t>
        </is>
      </c>
      <c r="FT272" s="56" t="inlineStr">
        <is>
          <t>Self-identified: AI / automation · Technical depth &amp; architecture · Domain, regulatory &amp; XBRL · Broader exposure &amp; ownership
For the next role: AI / automation · Technical depth &amp; architecture · Domain, regulatory &amp; XBRL · Client, sales &amp; stakeholders · Broader exposure &amp; ownership</t>
        </is>
      </c>
      <c r="FU272" s="32" t="inlineStr">
        <is>
          <t>Full survey answers not in the files received · How We Grow export needed · HR</t>
        </is>
      </c>
    </row>
    <row r="273" ht="90" customHeight="1">
      <c r="A273" s="51" t="inlineStr">
        <is>
          <t>◂ Back</t>
        </is>
      </c>
      <c r="B273" s="29" t="inlineStr">
        <is>
          <t>Mapped</t>
        </is>
      </c>
      <c r="C273" s="28" t="inlineStr">
        <is>
          <t>iFile</t>
        </is>
      </c>
      <c r="D273" s="29" t="inlineStr">
        <is>
          <t>IRIS2429</t>
        </is>
      </c>
      <c r="E273" s="29" t="inlineStr">
        <is>
          <t>Subham Chakrabertty</t>
        </is>
      </c>
      <c r="F273" s="29" t="inlineStr">
        <is>
          <t>Technology</t>
        </is>
      </c>
      <c r="G273" s="29" t="inlineStr">
        <is>
          <t>Trainee Software Engineer</t>
        </is>
      </c>
      <c r="H273" s="29" t="inlineStr">
        <is>
          <t>Software Engineer</t>
        </is>
      </c>
      <c r="I273" s="29" t="inlineStr">
        <is>
          <t>L2 – Trainee</t>
        </is>
      </c>
      <c r="J273" s="29" t="inlineStr">
        <is>
          <t>A2</t>
        </is>
      </c>
      <c r="K273" s="29" t="inlineStr">
        <is>
          <t>▲ Up</t>
        </is>
      </c>
      <c r="L273" s="29" t="inlineStr">
        <is>
          <t>Engineering &amp; Development</t>
        </is>
      </c>
      <c r="M273" s="29" t="inlineStr">
        <is>
          <t>Backend Development</t>
        </is>
      </c>
      <c r="N273" s="29" t="n"/>
      <c r="O273" s="29" t="n">
        <v>20</v>
      </c>
      <c r="P273" s="28" t="inlineStr">
        <is>
          <t>P1–P2</t>
        </is>
      </c>
      <c r="Q273" s="29" t="inlineStr">
        <is>
          <t>Entry / Developing</t>
        </is>
      </c>
      <c r="R273" s="29" t="inlineStr">
        <is>
          <t>2 Assist</t>
        </is>
      </c>
      <c r="S273" s="29" t="inlineStr">
        <is>
          <t>0–2 yrs</t>
        </is>
      </c>
      <c r="T273" s="29" t="inlineStr">
        <is>
          <t>1–3 · 0–3</t>
        </is>
      </c>
      <c r="U273" s="29" t="inlineStr">
        <is>
          <t>Associate Software Engineer / Software Engineer</t>
        </is>
      </c>
      <c r="V273" s="29" t="inlineStr">
        <is>
          <t>Workiva: Associate SE · Broadridge India: SE · Nasdaq / AxiomSL: SE · Salesforce: AMTS · Atlassian: P30 Junior · 0–2 yrs · Freshworks: SE</t>
        </is>
      </c>
      <c r="W273" s="29" t="inlineStr">
        <is>
          <t>SFIA 9 · software development, programming; OWASP secure coding; cloud vendor certifications</t>
        </is>
      </c>
      <c r="X273" s="29" t="inlineStr">
        <is>
          <t>Core 2 · Future 2 · Functional 2 · Leadership not scored</t>
        </is>
      </c>
      <c r="Y273" s="52" t="n">
        <v>399</v>
      </c>
      <c r="Z273" s="53" t="inlineStr">
        <is>
          <t>IRIS2429</t>
        </is>
      </c>
      <c r="AA273" s="53" t="inlineStr">
        <is>
          <t>Employee</t>
        </is>
      </c>
      <c r="AB273" s="53" t="inlineStr">
        <is>
          <t>Active</t>
        </is>
      </c>
      <c r="AC273" s="53" t="inlineStr">
        <is>
          <t>Subham Chakrabertty</t>
        </is>
      </c>
      <c r="AD273" s="54" t="n">
        <v>45904</v>
      </c>
      <c r="AE273" s="53" t="inlineStr">
        <is>
          <t>Trainee Software Engineer</t>
        </is>
      </c>
      <c r="AF273" s="53" t="inlineStr">
        <is>
          <t>MCA</t>
        </is>
      </c>
      <c r="AG273" s="53" t="inlineStr">
        <is>
          <t>Rajneesh Patel</t>
        </is>
      </c>
      <c r="AH273" s="53" t="inlineStr">
        <is>
          <t>N-5</t>
        </is>
      </c>
      <c r="AI273" s="53" t="inlineStr">
        <is>
          <t>Individual Contributor</t>
        </is>
      </c>
      <c r="AJ273" s="53" t="inlineStr">
        <is>
          <t>0 years, 0 months, 0 days</t>
        </is>
      </c>
      <c r="AK273" s="53" t="inlineStr">
        <is>
          <t>0 years, 11 months, 21 days</t>
        </is>
      </c>
      <c r="AL273" s="53" t="inlineStr">
        <is>
          <t>Suptech</t>
        </is>
      </c>
      <c r="AM273" s="53" t="inlineStr">
        <is>
          <t>iFile</t>
        </is>
      </c>
      <c r="AN273" s="53" t="inlineStr">
        <is>
          <t>Technology</t>
        </is>
      </c>
      <c r="AO273" s="53" t="inlineStr">
        <is>
          <t>Development</t>
        </is>
      </c>
      <c r="AP273" s="53" t="inlineStr">
        <is>
          <t>Yes</t>
        </is>
      </c>
      <c r="AQ273" s="53" t="inlineStr">
        <is>
          <t>Product/Project</t>
        </is>
      </c>
      <c r="AR273" s="53" t="inlineStr">
        <is>
          <t>.NET MVC</t>
        </is>
      </c>
      <c r="AS273" s="53" t="inlineStr">
        <is>
          <t>Technical - Developer</t>
        </is>
      </c>
      <c r="AT273" s="53" t="n">
        <v>20</v>
      </c>
      <c r="AU273" s="53" t="inlineStr">
        <is>
          <t>Covered</t>
        </is>
      </c>
      <c r="AV273" s="53" t="n"/>
      <c r="AW273" s="53" t="n"/>
      <c r="AX273" s="53" t="n"/>
      <c r="AY273" s="53" t="n"/>
      <c r="AZ273" s="53" t="n"/>
      <c r="BA273" s="53" t="n"/>
      <c r="BB273" s="53" t="n"/>
      <c r="BC273" s="53" t="n"/>
      <c r="BD273" s="53" t="n"/>
      <c r="BE273" s="53" t="n"/>
      <c r="BF273" s="53" t="n"/>
      <c r="BG273" s="53" t="n"/>
      <c r="BH273" s="53" t="n"/>
      <c r="BI273" s="53" t="n"/>
      <c r="BJ273" s="53" t="n"/>
      <c r="BK273" s="53" t="n"/>
      <c r="BL273" s="53" t="n"/>
      <c r="BM273" s="53" t="n"/>
      <c r="BN273" s="53" t="n"/>
      <c r="BO273" s="53" t="n"/>
      <c r="BP273" s="53" t="n"/>
      <c r="BQ273" s="53" t="n"/>
      <c r="BR273" s="53" t="n"/>
      <c r="BS273" s="53" t="n"/>
      <c r="BT273" s="53" t="n"/>
      <c r="BU273" s="53" t="n"/>
      <c r="BV273" s="53" t="n"/>
      <c r="BW273" s="53" t="n"/>
      <c r="BX273" s="53" t="n"/>
      <c r="BY273" s="53" t="n"/>
      <c r="BZ273" s="53" t="n"/>
      <c r="CA273" s="53" t="n"/>
      <c r="CB273" s="53" t="n"/>
      <c r="CC273" s="53" t="n"/>
      <c r="CD273" s="53" t="n"/>
      <c r="CE273" s="53" t="n"/>
      <c r="CF273" s="53" t="n"/>
      <c r="CG273" s="53" t="n"/>
      <c r="CH273" s="53" t="n"/>
      <c r="CI273" s="53" t="n"/>
      <c r="CJ273" s="53" t="n"/>
      <c r="CK273" s="53" t="n"/>
      <c r="CL273" s="53" t="n"/>
      <c r="CM273" s="53" t="n"/>
      <c r="CN273" s="53" t="n"/>
      <c r="CO273" s="53" t="n"/>
      <c r="CP273" s="53" t="n"/>
      <c r="CQ273" s="53" t="n"/>
      <c r="CR273" s="53" t="n"/>
      <c r="CS273" s="53" t="n"/>
      <c r="CT273" s="53" t="n"/>
      <c r="CU273" s="53" t="n"/>
      <c r="CV273" s="53" t="n"/>
      <c r="CW273" s="53" t="n"/>
      <c r="CX273" s="53" t="n"/>
      <c r="CY273" s="53" t="n"/>
      <c r="CZ273" s="53" t="n"/>
      <c r="DA273" s="53" t="n"/>
      <c r="DB273" s="53" t="n"/>
      <c r="DC273" s="53" t="n"/>
      <c r="DD273" s="53" t="inlineStr">
        <is>
          <t>IRIS2429</t>
        </is>
      </c>
      <c r="DE273" s="53" t="inlineStr">
        <is>
          <t>Employee</t>
        </is>
      </c>
      <c r="DF273" s="53" t="inlineStr">
        <is>
          <t>Active</t>
        </is>
      </c>
      <c r="DG273" s="53" t="inlineStr">
        <is>
          <t>Subham Chakrabertty</t>
        </is>
      </c>
      <c r="DH273" s="54" t="n">
        <v>45904</v>
      </c>
      <c r="DI273" s="53" t="inlineStr">
        <is>
          <t>Trainee Software Engineer</t>
        </is>
      </c>
      <c r="DJ273" s="53" t="inlineStr">
        <is>
          <t>Engineering &amp; Development</t>
        </is>
      </c>
      <c r="DK273" s="53" t="inlineStr">
        <is>
          <t>Backend Engineering ·.NET</t>
        </is>
      </c>
      <c r="DL273" s="53" t="inlineStr">
        <is>
          <t>Trainee Software Engineer</t>
        </is>
      </c>
      <c r="DM273" s="53" t="inlineStr">
        <is>
          <t>L2 – Trainee</t>
        </is>
      </c>
      <c r="DN273" s="53" t="inlineStr">
        <is>
          <t>MCA</t>
        </is>
      </c>
      <c r="DO273" s="53" t="inlineStr">
        <is>
          <t>Rajneesh Patel</t>
        </is>
      </c>
      <c r="DP273" s="53" t="inlineStr">
        <is>
          <t>N-4</t>
        </is>
      </c>
      <c r="DQ273" s="53" t="inlineStr">
        <is>
          <t>Individual Contributor</t>
        </is>
      </c>
      <c r="DR273" s="53" t="inlineStr">
        <is>
          <t>0 years, 0 months, 0 days</t>
        </is>
      </c>
      <c r="DS273" s="53" t="inlineStr">
        <is>
          <t>0 years, 9 months, 16 days</t>
        </is>
      </c>
      <c r="DT273" s="53" t="inlineStr">
        <is>
          <t>0 years, 9 months, 16 days</t>
        </is>
      </c>
      <c r="DU273" s="53" t="n"/>
      <c r="DV273" s="53" t="inlineStr">
        <is>
          <t>Suptech</t>
        </is>
      </c>
      <c r="DW273" s="53" t="inlineStr">
        <is>
          <t>iFile</t>
        </is>
      </c>
      <c r="DX273" s="53" t="inlineStr">
        <is>
          <t>Technology</t>
        </is>
      </c>
      <c r="DY273" s="53" t="inlineStr">
        <is>
          <t>Development</t>
        </is>
      </c>
      <c r="DZ273" s="53" t="inlineStr">
        <is>
          <t>Yes</t>
        </is>
      </c>
      <c r="EA273" s="53" t="inlineStr">
        <is>
          <t>Product/Project</t>
        </is>
      </c>
      <c r="EB273" s="53" t="inlineStr">
        <is>
          <t>.NET MVC</t>
        </is>
      </c>
      <c r="EC273" s="53" t="inlineStr">
        <is>
          <t>Technical - Developer</t>
        </is>
      </c>
      <c r="ED273" s="53" t="inlineStr">
        <is>
          <t>Work From Office - Turbhe</t>
        </is>
      </c>
      <c r="EE273" s="53" t="n"/>
      <c r="EF273" s="53" t="n"/>
      <c r="EG273" s="53" t="inlineStr">
        <is>
          <t>1. Provide production support/Upgrade of SBC.
2. Work independently and complete tasks on time and guide team members.
3. Improve the Webform product using AI and automation to reduce manual effort.
4. Build strong knowledge of Taxonomy and related concepts.
5. Upgrade technology and improve application performance.</t>
        </is>
      </c>
      <c r="EH273" s="53" t="n">
        <v>4</v>
      </c>
      <c r="EI273" s="54" t="n">
        <v>45901</v>
      </c>
      <c r="EJ273" s="53" t="inlineStr">
        <is>
          <t>Trainee Software Engineer</t>
        </is>
      </c>
      <c r="EK273" s="53" t="inlineStr">
        <is>
          <t>Yes</t>
        </is>
      </c>
      <c r="EL273" s="53" t="n">
        <v>4</v>
      </c>
      <c r="EM273" s="53" t="inlineStr">
        <is>
          <t>Medium</t>
        </is>
      </c>
      <c r="EN273" s="53" t="inlineStr">
        <is>
          <t>Trusted Professional</t>
        </is>
      </c>
      <c r="EO273" s="53" t="n"/>
      <c r="EP273" s="53" t="n"/>
      <c r="EQ273" s="53" t="n"/>
      <c r="ER273" s="53" t="n"/>
      <c r="ES273" s="53" t="inlineStr">
        <is>
          <t>Taxonomy
AI</t>
        </is>
      </c>
      <c r="ET273" s="53" t="n"/>
      <c r="EU273" s="53" t="n"/>
      <c r="EV273" s="53" t="n"/>
      <c r="EW273" s="52" t="n"/>
      <c r="EX273" s="53" t="n"/>
      <c r="EY273" s="53" t="n"/>
      <c r="EZ273" s="53" t="n"/>
      <c r="FA273" s="53" t="n"/>
      <c r="FB273" s="53" t="n"/>
      <c r="FC273" s="53" t="n"/>
      <c r="FD273" s="53" t="n"/>
      <c r="FE273" s="55" t="inlineStr">
        <is>
          <t>KRAs not received · manager to supply</t>
        </is>
      </c>
      <c r="FF273" s="56" t="inlineStr">
        <is>
          <t>1. Provide production support/Upgrade of SBC.
2. Work independently and complete tasks on time and guide team members.
3. Improve the Webform product using AI and automation to reduce manual effort.
4. Build strong knowledge of Taxonomy and related concepts.
5. Upgrade technology and improve application performance.</t>
        </is>
      </c>
      <c r="FG273" s="56" t="n"/>
      <c r="FH273" s="56" t="inlineStr">
        <is>
          <t>4</t>
        </is>
      </c>
      <c r="FI273" s="56" t="n"/>
      <c r="FJ273" s="56" t="inlineStr">
        <is>
          <t>Received · quarterly</t>
        </is>
      </c>
      <c r="FK273" s="56" t="inlineStr">
        <is>
          <t>Talent Mapping · iFile collated</t>
        </is>
      </c>
      <c r="FL273" s="56" t="n">
        <v>20</v>
      </c>
      <c r="FM273" s="32" t="inlineStr">
        <is>
          <t>Full survey answers not in the files received · How We Grow export needed · HR</t>
        </is>
      </c>
      <c r="FN273" s="56" t="inlineStr">
        <is>
          <t>—</t>
        </is>
      </c>
      <c r="FO273" s="56" t="inlineStr">
        <is>
          <t>—</t>
        </is>
      </c>
      <c r="FP273" s="56" t="inlineStr">
        <is>
          <t>—</t>
        </is>
      </c>
      <c r="FQ273" s="56" t="inlineStr">
        <is>
          <t>—</t>
        </is>
      </c>
      <c r="FR273" s="56" t="inlineStr">
        <is>
          <t>Business Impact: No survey or manager-mapping signal on criticality: kept at the start point.</t>
        </is>
      </c>
      <c r="FS273" s="56" t="inlineStr">
        <is>
          <t>Common themes in role-holders' answers: software · time · maintain · take · solutions · efficiency
Common themes in role-holders' answers: fixing · quality · bug · development · client · code
Common themes in role-holders' answers: solutions · bug · fixes · features
Common themes in role-holders' answers: quality · personally · reliable · delivering · am · accountable
Common themes in role-holders' answers: implement · solutions · issues · structure · design
If the work is missed · role-holders' themes: rework · incorrectly · issues · delays.
Measured on · manager-set KRA themes: improve · deliver · modules · committed · coverage · automated.</t>
        </is>
      </c>
      <c r="FT273" s="56" t="inlineStr">
        <is>
          <t>Self-identified: Technical depth &amp; architecture · Broader exposure &amp; ownership
For the next role: Technical depth &amp; architecture · Product &amp; tool knowledge · Broader exposure &amp; ownership</t>
        </is>
      </c>
      <c r="FU273" s="32" t="inlineStr">
        <is>
          <t>Full survey answers not in the files received · How We Grow export needed · HR</t>
        </is>
      </c>
    </row>
    <row r="274" ht="90" customHeight="1">
      <c r="A274" s="51" t="inlineStr">
        <is>
          <t>◂ Back</t>
        </is>
      </c>
      <c r="B274" s="29" t="inlineStr">
        <is>
          <t>Mapped</t>
        </is>
      </c>
      <c r="C274" s="28" t="inlineStr">
        <is>
          <t>iFile</t>
        </is>
      </c>
      <c r="D274" s="29" t="inlineStr">
        <is>
          <t>IRIS2256</t>
        </is>
      </c>
      <c r="E274" s="29" t="inlineStr">
        <is>
          <t>Prajwal Chitode</t>
        </is>
      </c>
      <c r="F274" s="29" t="inlineStr">
        <is>
          <t>Technology</t>
        </is>
      </c>
      <c r="G274" s="29" t="inlineStr">
        <is>
          <t>Software Engineer</t>
        </is>
      </c>
      <c r="H274" s="29" t="inlineStr">
        <is>
          <t>Senior Software Engineer</t>
        </is>
      </c>
      <c r="I274" s="29" t="inlineStr">
        <is>
          <t>L2 – Trainee</t>
        </is>
      </c>
      <c r="J274" s="29" t="inlineStr">
        <is>
          <t>A3</t>
        </is>
      </c>
      <c r="K274" s="29" t="inlineStr">
        <is>
          <t>▲ Up</t>
        </is>
      </c>
      <c r="L274" s="29" t="inlineStr">
        <is>
          <t>Engineering &amp; Development</t>
        </is>
      </c>
      <c r="M274" s="29" t="inlineStr">
        <is>
          <t>Full-Stack Development</t>
        </is>
      </c>
      <c r="N274" s="29" t="n"/>
      <c r="O274" s="29" t="n">
        <v>19</v>
      </c>
      <c r="P274" s="28" t="inlineStr">
        <is>
          <t>P2</t>
        </is>
      </c>
      <c r="Q274" s="29" t="inlineStr">
        <is>
          <t>Developing</t>
        </is>
      </c>
      <c r="R274" s="29" t="inlineStr">
        <is>
          <t>3 Apply</t>
        </is>
      </c>
      <c r="S274" s="29" t="inlineStr">
        <is>
          <t>2–4 yrs</t>
        </is>
      </c>
      <c r="T274" s="29" t="inlineStr">
        <is>
          <t>3–5 · 2–5</t>
        </is>
      </c>
      <c r="U274" s="29" t="inlineStr">
        <is>
          <t>Software Engineer</t>
        </is>
      </c>
      <c r="V274" s="29" t="inlineStr">
        <is>
          <t>Workiva: SE · Broadridge India: SE · Nasdaq / AxiomSL: SE · Salesforce: MTS · Atlassian: P40 · 3–7 yrs · Freshworks: Senior SE</t>
        </is>
      </c>
      <c r="W274" s="29" t="inlineStr">
        <is>
          <t>SFIA 9 · software development, programming; OWASP secure coding; cloud vendor certifications</t>
        </is>
      </c>
      <c r="X274" s="29" t="inlineStr">
        <is>
          <t>Core 2 · Future 2 · Functional 3 · Leadership not scored</t>
        </is>
      </c>
      <c r="Y274" s="52" t="n">
        <v>319</v>
      </c>
      <c r="Z274" s="53" t="inlineStr">
        <is>
          <t>IRIS2256</t>
        </is>
      </c>
      <c r="AA274" s="53" t="inlineStr">
        <is>
          <t>Employee</t>
        </is>
      </c>
      <c r="AB274" s="53" t="inlineStr">
        <is>
          <t>Active</t>
        </is>
      </c>
      <c r="AC274" s="53" t="inlineStr">
        <is>
          <t>Prajwal Chitode</t>
        </is>
      </c>
      <c r="AD274" s="54" t="n">
        <v>45446</v>
      </c>
      <c r="AE274" s="53" t="inlineStr">
        <is>
          <t>Software Engineer</t>
        </is>
      </c>
      <c r="AF274" s="53" t="inlineStr">
        <is>
          <t>B.E</t>
        </is>
      </c>
      <c r="AG274" s="53" t="inlineStr">
        <is>
          <t>Sharanagouda Patil</t>
        </is>
      </c>
      <c r="AH274" s="53" t="inlineStr">
        <is>
          <t>N-4</t>
        </is>
      </c>
      <c r="AI274" s="53" t="inlineStr">
        <is>
          <t>Individual Contributor</t>
        </is>
      </c>
      <c r="AJ274" s="53" t="inlineStr">
        <is>
          <t>0 years, 0 months, 0 days</t>
        </is>
      </c>
      <c r="AK274" s="53" t="inlineStr">
        <is>
          <t>2 years, 2 months, 22 days</t>
        </is>
      </c>
      <c r="AL274" s="53" t="inlineStr">
        <is>
          <t>Suptech</t>
        </is>
      </c>
      <c r="AM274" s="53" t="inlineStr">
        <is>
          <t>iFile</t>
        </is>
      </c>
      <c r="AN274" s="53" t="inlineStr">
        <is>
          <t>Technology</t>
        </is>
      </c>
      <c r="AO274" s="53" t="inlineStr">
        <is>
          <t>Development</t>
        </is>
      </c>
      <c r="AP274" s="53" t="inlineStr">
        <is>
          <t>Yes</t>
        </is>
      </c>
      <c r="AQ274" s="53" t="inlineStr">
        <is>
          <t>Product/Project</t>
        </is>
      </c>
      <c r="AR274" s="53" t="inlineStr">
        <is>
          <t>Java + Angular</t>
        </is>
      </c>
      <c r="AS274" s="53" t="inlineStr">
        <is>
          <t>Technical - Developer</t>
        </is>
      </c>
      <c r="AT274" s="53" t="n">
        <v>20</v>
      </c>
      <c r="AU274" s="53" t="inlineStr">
        <is>
          <t>Covered</t>
        </is>
      </c>
      <c r="AV274" s="53" t="n"/>
      <c r="AW274" s="53" t="n"/>
      <c r="AX274" s="53" t="n"/>
      <c r="AY274" s="53" t="n"/>
      <c r="AZ274" s="53" t="n"/>
      <c r="BA274" s="53" t="n"/>
      <c r="BB274" s="53" t="n"/>
      <c r="BC274" s="53" t="n"/>
      <c r="BD274" s="53" t="n"/>
      <c r="BE274" s="53" t="n"/>
      <c r="BF274" s="53" t="n"/>
      <c r="BG274" s="53" t="n"/>
      <c r="BH274" s="53" t="n"/>
      <c r="BI274" s="53" t="n"/>
      <c r="BJ274" s="53" t="n"/>
      <c r="BK274" s="53" t="n"/>
      <c r="BL274" s="53" t="n"/>
      <c r="BM274" s="53" t="n"/>
      <c r="BN274" s="53" t="n"/>
      <c r="BO274" s="53" t="n"/>
      <c r="BP274" s="53" t="n"/>
      <c r="BQ274" s="53" t="n"/>
      <c r="BR274" s="53" t="n"/>
      <c r="BS274" s="53" t="n"/>
      <c r="BT274" s="53" t="n"/>
      <c r="BU274" s="53" t="n"/>
      <c r="BV274" s="53" t="n"/>
      <c r="BW274" s="53" t="n"/>
      <c r="BX274" s="53" t="n"/>
      <c r="BY274" s="53" t="n"/>
      <c r="BZ274" s="53" t="n"/>
      <c r="CA274" s="53" t="n"/>
      <c r="CB274" s="53" t="n"/>
      <c r="CC274" s="53" t="n"/>
      <c r="CD274" s="53" t="n"/>
      <c r="CE274" s="53" t="n"/>
      <c r="CF274" s="53" t="n"/>
      <c r="CG274" s="53" t="n"/>
      <c r="CH274" s="53" t="n"/>
      <c r="CI274" s="53" t="n"/>
      <c r="CJ274" s="53" t="n"/>
      <c r="CK274" s="53" t="n"/>
      <c r="CL274" s="53" t="n"/>
      <c r="CM274" s="53" t="n"/>
      <c r="CN274" s="53" t="n"/>
      <c r="CO274" s="53" t="n"/>
      <c r="CP274" s="53" t="n"/>
      <c r="CQ274" s="53" t="n"/>
      <c r="CR274" s="53" t="n"/>
      <c r="CS274" s="53" t="n"/>
      <c r="CT274" s="53" t="n"/>
      <c r="CU274" s="53" t="n"/>
      <c r="CV274" s="53" t="n"/>
      <c r="CW274" s="53" t="n"/>
      <c r="CX274" s="53" t="n"/>
      <c r="CY274" s="53" t="n"/>
      <c r="CZ274" s="53" t="n"/>
      <c r="DA274" s="53" t="n"/>
      <c r="DB274" s="53" t="n"/>
      <c r="DC274" s="53" t="n"/>
      <c r="DD274" s="53" t="inlineStr">
        <is>
          <t>IRIS2256</t>
        </is>
      </c>
      <c r="DE274" s="53" t="inlineStr">
        <is>
          <t>Employee</t>
        </is>
      </c>
      <c r="DF274" s="53" t="inlineStr">
        <is>
          <t>Active</t>
        </is>
      </c>
      <c r="DG274" s="53" t="inlineStr">
        <is>
          <t>Prajwal Chitode</t>
        </is>
      </c>
      <c r="DH274" s="54" t="n">
        <v>45446</v>
      </c>
      <c r="DI274" s="53" t="inlineStr">
        <is>
          <t>Trainee Software Engineer</t>
        </is>
      </c>
      <c r="DJ274" s="53" t="inlineStr">
        <is>
          <t>Engineering &amp; Development</t>
        </is>
      </c>
      <c r="DK274" s="53" t="inlineStr">
        <is>
          <t>Backend Engineering · Java</t>
        </is>
      </c>
      <c r="DL274" s="53" t="inlineStr">
        <is>
          <t>Trainee Software Engineer</t>
        </is>
      </c>
      <c r="DM274" s="53" t="inlineStr">
        <is>
          <t>L2 – Trainee</t>
        </is>
      </c>
      <c r="DN274" s="53" t="inlineStr">
        <is>
          <t>B.E</t>
        </is>
      </c>
      <c r="DO274" s="53" t="inlineStr">
        <is>
          <t>Sharanagouda Patil</t>
        </is>
      </c>
      <c r="DP274" s="53" t="inlineStr">
        <is>
          <t>N-3</t>
        </is>
      </c>
      <c r="DQ274" s="53" t="inlineStr">
        <is>
          <t>Individual Contributor</t>
        </is>
      </c>
      <c r="DR274" s="53" t="inlineStr">
        <is>
          <t>0 years, 0 months, 0 days</t>
        </is>
      </c>
      <c r="DS274" s="53" t="inlineStr">
        <is>
          <t>2 years, 0 months, 17 days</t>
        </is>
      </c>
      <c r="DT274" s="53" t="inlineStr">
        <is>
          <t>2 years, 0 months, 17 days</t>
        </is>
      </c>
      <c r="DU274" s="53" t="n"/>
      <c r="DV274" s="53" t="inlineStr">
        <is>
          <t>Suptech</t>
        </is>
      </c>
      <c r="DW274" s="53" t="inlineStr">
        <is>
          <t>iFile</t>
        </is>
      </c>
      <c r="DX274" s="53" t="inlineStr">
        <is>
          <t>Technology</t>
        </is>
      </c>
      <c r="DY274" s="53" t="inlineStr">
        <is>
          <t>Development</t>
        </is>
      </c>
      <c r="DZ274" s="53" t="inlineStr">
        <is>
          <t>Yes</t>
        </is>
      </c>
      <c r="EA274" s="53" t="inlineStr">
        <is>
          <t>Product/Project</t>
        </is>
      </c>
      <c r="EB274" s="53" t="inlineStr">
        <is>
          <t>Java + Angular</t>
        </is>
      </c>
      <c r="EC274" s="53" t="inlineStr">
        <is>
          <t>Technical - Developer</t>
        </is>
      </c>
      <c r="ED274" s="53" t="inlineStr">
        <is>
          <t>Remote - Mumbai</t>
        </is>
      </c>
      <c r="EE274" s="53" t="n"/>
      <c r="EF274" s="53" t="n"/>
      <c r="EG274" s="53" t="inlineStr">
        <is>
          <t>1. Provide production support/Upgrade of SBC.
2. Work independently and complete tasks on time and guide team members.
3. Improve the Webform product using AI and automation to reduce manual effort.
4. Build strong knowledge of Taxonomy and related concepts.
5. Upgrade technology and improve application performance.</t>
        </is>
      </c>
      <c r="EH274" s="53" t="n">
        <v>3</v>
      </c>
      <c r="EI274" s="54" t="n">
        <v>45901</v>
      </c>
      <c r="EJ274" s="53" t="inlineStr">
        <is>
          <t>Trainee Software Engineer</t>
        </is>
      </c>
      <c r="EK274" s="53" t="inlineStr">
        <is>
          <t>Yes</t>
        </is>
      </c>
      <c r="EL274" s="53" t="n">
        <v>3</v>
      </c>
      <c r="EM274" s="53" t="inlineStr">
        <is>
          <t>Medium</t>
        </is>
      </c>
      <c r="EN274" s="53" t="inlineStr">
        <is>
          <t>Trusted Professional</t>
        </is>
      </c>
      <c r="EO274" s="53" t="n"/>
      <c r="EP274" s="53" t="n"/>
      <c r="EQ274" s="53" t="n"/>
      <c r="ER274" s="53" t="n"/>
      <c r="ES274" s="53" t="inlineStr">
        <is>
          <t>Taxonomy
AI</t>
        </is>
      </c>
      <c r="ET274" s="53" t="n"/>
      <c r="EU274" s="53" t="n"/>
      <c r="EV274" s="53" t="n"/>
      <c r="EW274" s="52" t="n"/>
      <c r="EX274" s="53" t="n"/>
      <c r="EY274" s="53" t="n"/>
      <c r="EZ274" s="53" t="n"/>
      <c r="FA274" s="53" t="n"/>
      <c r="FB274" s="53" t="n"/>
      <c r="FC274" s="53" t="n"/>
      <c r="FD274" s="53" t="n"/>
      <c r="FE274" s="55" t="inlineStr">
        <is>
          <t>KRAs not received · manager to supply</t>
        </is>
      </c>
      <c r="FF274" s="56" t="inlineStr">
        <is>
          <t>1. Provide production support/Upgrade of SBC.
2. Work independently and complete tasks on time and guide team members.
3. Improve the Webform product using AI and automation to reduce manual effort.
4. Build strong knowledge of Taxonomy and related concepts.
5. Upgrade technology and improve application performance.</t>
        </is>
      </c>
      <c r="FG274" s="56" t="n"/>
      <c r="FH274" s="56" t="inlineStr">
        <is>
          <t>3</t>
        </is>
      </c>
      <c r="FI274" s="56" t="n"/>
      <c r="FJ274" s="56" t="inlineStr">
        <is>
          <t>Received · quarterly</t>
        </is>
      </c>
      <c r="FK274" s="56" t="inlineStr">
        <is>
          <t>Talent Mapping · iFile collated</t>
        </is>
      </c>
      <c r="FL274" s="56" t="n">
        <v>19</v>
      </c>
      <c r="FM274" s="32" t="inlineStr">
        <is>
          <t>Full survey answers not in the files received · How We Grow export needed · HR</t>
        </is>
      </c>
      <c r="FN274" s="56" t="inlineStr">
        <is>
          <t>—</t>
        </is>
      </c>
      <c r="FO274" s="56" t="inlineStr">
        <is>
          <t>—</t>
        </is>
      </c>
      <c r="FP274" s="56" t="inlineStr">
        <is>
          <t>—</t>
        </is>
      </c>
      <c r="FQ274" s="56" t="inlineStr">
        <is>
          <t>—</t>
        </is>
      </c>
      <c r="FR274" s="56" t="inlineStr">
        <is>
          <t>Complexity: Evidence reads like A3: Builds, tests, optimises and deploys the Angular frontend of the SBC upgrade project → moved up 0.5
Autonomy: Evidence reads like A2: Decides code clean-up, optimisation and fixes for self-discovered bugs → matches the start
Accountability: Evidence reads like A3: Accountable for the frontend of the SBC Upgrade Project → moved up 0.5
Leadership: Evidence reads like A2: KRA expects guiding team members; survey mentions only keeping the team informed → moved up 0.5
Business Impact: No survey or manager-mapping signal on criticality: kept at the start point.</t>
        </is>
      </c>
      <c r="FS274" s="56"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FT274" s="56" t="inlineStr">
        <is>
          <t>Self-identified: AI / automation
For the next role: AI / automation</t>
        </is>
      </c>
      <c r="FU274" s="32" t="inlineStr">
        <is>
          <t>Full survey answers not in the files received · How We Grow export needed · HR</t>
        </is>
      </c>
    </row>
    <row r="275" ht="90" customHeight="1">
      <c r="A275" s="51" t="inlineStr">
        <is>
          <t>◂ Back</t>
        </is>
      </c>
      <c r="B275" s="29" t="inlineStr">
        <is>
          <t>Mapped</t>
        </is>
      </c>
      <c r="C275" s="28" t="inlineStr">
        <is>
          <t>iFile</t>
        </is>
      </c>
      <c r="D275" s="29" t="inlineStr">
        <is>
          <t>IRIS2451</t>
        </is>
      </c>
      <c r="E275" s="29" t="inlineStr">
        <is>
          <t>Anurag Gupta</t>
        </is>
      </c>
      <c r="F275" s="29" t="inlineStr">
        <is>
          <t>Technology</t>
        </is>
      </c>
      <c r="G275" s="29" t="inlineStr">
        <is>
          <t>Trainee Software Engineer</t>
        </is>
      </c>
      <c r="H275" s="29" t="inlineStr">
        <is>
          <t>UI Developer</t>
        </is>
      </c>
      <c r="I275" s="29" t="inlineStr">
        <is>
          <t>L2 – Trainee</t>
        </is>
      </c>
      <c r="J275" s="29" t="inlineStr">
        <is>
          <t>A2</t>
        </is>
      </c>
      <c r="K275" s="29" t="inlineStr">
        <is>
          <t>▲ Up</t>
        </is>
      </c>
      <c r="L275" s="29" t="inlineStr">
        <is>
          <t>Engineering &amp; Development</t>
        </is>
      </c>
      <c r="M275" s="29" t="inlineStr">
        <is>
          <t>Front-End / UI Development</t>
        </is>
      </c>
      <c r="N275" s="29" t="n"/>
      <c r="O275" s="29" t="n">
        <v>20</v>
      </c>
      <c r="P275" s="28" t="inlineStr">
        <is>
          <t>P1–P2</t>
        </is>
      </c>
      <c r="Q275" s="29" t="inlineStr">
        <is>
          <t>Entry / Developing</t>
        </is>
      </c>
      <c r="R275" s="29" t="inlineStr">
        <is>
          <t>2 Assist</t>
        </is>
      </c>
      <c r="S275" s="29" t="inlineStr">
        <is>
          <t>0–2 yrs</t>
        </is>
      </c>
      <c r="T275" s="29" t="inlineStr">
        <is>
          <t>1–3 · 0–3</t>
        </is>
      </c>
      <c r="U275" s="29" t="inlineStr">
        <is>
          <t>Associate Software Engineer / Software Engineer</t>
        </is>
      </c>
      <c r="V275" s="29" t="inlineStr">
        <is>
          <t>Workiva: Associate SE · Broadridge India: SE · Nasdaq / AxiomSL: SE · Salesforce: AMTS · Atlassian: P30 Junior · 0–2 yrs · Freshworks: SE</t>
        </is>
      </c>
      <c r="W275" s="29" t="inlineStr">
        <is>
          <t>SFIA 9 · software development, programming; OWASP secure coding; cloud vendor certifications</t>
        </is>
      </c>
      <c r="X275" s="29" t="inlineStr">
        <is>
          <t>Core 2 · Future 2 · Functional 2 · Leadership not scored</t>
        </is>
      </c>
      <c r="Y275" s="52" t="n">
        <v>416</v>
      </c>
      <c r="Z275" s="53" t="inlineStr">
        <is>
          <t>IRIS2451</t>
        </is>
      </c>
      <c r="AA275" s="53" t="inlineStr">
        <is>
          <t>Employee</t>
        </is>
      </c>
      <c r="AB275" s="53" t="inlineStr">
        <is>
          <t>Active</t>
        </is>
      </c>
      <c r="AC275" s="53" t="inlineStr">
        <is>
          <t>Anurag Gupta</t>
        </is>
      </c>
      <c r="AD275" s="54" t="n">
        <v>45995</v>
      </c>
      <c r="AE275" s="53" t="inlineStr">
        <is>
          <t>Trainee Software Engineer</t>
        </is>
      </c>
      <c r="AF275" s="53" t="inlineStr">
        <is>
          <t>B.Sc</t>
        </is>
      </c>
      <c r="AG275" s="53" t="inlineStr">
        <is>
          <t>Sharanagouda Patil</t>
        </is>
      </c>
      <c r="AH275" s="53" t="inlineStr">
        <is>
          <t>N-4</t>
        </is>
      </c>
      <c r="AI275" s="53" t="inlineStr">
        <is>
          <t>Individual Contributor</t>
        </is>
      </c>
      <c r="AJ275" s="53" t="inlineStr">
        <is>
          <t>1 years, 2 months, 0 days</t>
        </is>
      </c>
      <c r="AK275" s="53" t="inlineStr">
        <is>
          <t>0 years, 8 months, 21 days</t>
        </is>
      </c>
      <c r="AL275" s="53" t="inlineStr">
        <is>
          <t>Suptech</t>
        </is>
      </c>
      <c r="AM275" s="53" t="inlineStr">
        <is>
          <t>iFile</t>
        </is>
      </c>
      <c r="AN275" s="53" t="inlineStr">
        <is>
          <t>Technology</t>
        </is>
      </c>
      <c r="AO275" s="53" t="inlineStr">
        <is>
          <t>Development</t>
        </is>
      </c>
      <c r="AP275" s="53" t="inlineStr">
        <is>
          <t>Yes</t>
        </is>
      </c>
      <c r="AQ275" s="53" t="inlineStr">
        <is>
          <t>Product/Project</t>
        </is>
      </c>
      <c r="AR275" s="53" t="inlineStr">
        <is>
          <t>Angular</t>
        </is>
      </c>
      <c r="AS275" s="53" t="inlineStr">
        <is>
          <t>Technical - Developer</t>
        </is>
      </c>
      <c r="AT275" s="53" t="n">
        <v>20</v>
      </c>
      <c r="AU275" s="53" t="inlineStr">
        <is>
          <t>Covered</t>
        </is>
      </c>
      <c r="AV275" s="53" t="n"/>
      <c r="AW275" s="53" t="n"/>
      <c r="AX275" s="53" t="n"/>
      <c r="AY275" s="53" t="n"/>
      <c r="AZ275" s="53" t="n"/>
      <c r="BA275" s="53" t="n"/>
      <c r="BB275" s="53" t="n"/>
      <c r="BC275" s="53" t="n"/>
      <c r="BD275" s="53" t="n"/>
      <c r="BE275" s="53" t="n"/>
      <c r="BF275" s="53" t="n"/>
      <c r="BG275" s="53" t="n"/>
      <c r="BH275" s="53" t="n"/>
      <c r="BI275" s="53" t="n"/>
      <c r="BJ275" s="53" t="n"/>
      <c r="BK275" s="53" t="n"/>
      <c r="BL275" s="53" t="n"/>
      <c r="BM275" s="53" t="n"/>
      <c r="BN275" s="53" t="n"/>
      <c r="BO275" s="53" t="n"/>
      <c r="BP275" s="53" t="n"/>
      <c r="BQ275" s="53" t="n"/>
      <c r="BR275" s="53" t="n"/>
      <c r="BS275" s="53" t="n"/>
      <c r="BT275" s="53" t="n"/>
      <c r="BU275" s="53" t="n"/>
      <c r="BV275" s="53" t="n"/>
      <c r="BW275" s="53" t="n"/>
      <c r="BX275" s="53" t="n"/>
      <c r="BY275" s="53" t="n"/>
      <c r="BZ275" s="53" t="n"/>
      <c r="CA275" s="53" t="n"/>
      <c r="CB275" s="53" t="n"/>
      <c r="CC275" s="53" t="n"/>
      <c r="CD275" s="53" t="n"/>
      <c r="CE275" s="53" t="n"/>
      <c r="CF275" s="53" t="n"/>
      <c r="CG275" s="53" t="n"/>
      <c r="CH275" s="53" t="n"/>
      <c r="CI275" s="53" t="n"/>
      <c r="CJ275" s="53" t="n"/>
      <c r="CK275" s="53" t="n"/>
      <c r="CL275" s="53" t="n"/>
      <c r="CM275" s="53" t="n"/>
      <c r="CN275" s="53" t="n"/>
      <c r="CO275" s="53" t="n"/>
      <c r="CP275" s="53" t="n"/>
      <c r="CQ275" s="53" t="n"/>
      <c r="CR275" s="53" t="n"/>
      <c r="CS275" s="53" t="n"/>
      <c r="CT275" s="53" t="n"/>
      <c r="CU275" s="53" t="n"/>
      <c r="CV275" s="53" t="n"/>
      <c r="CW275" s="53" t="n"/>
      <c r="CX275" s="53" t="n"/>
      <c r="CY275" s="53" t="n"/>
      <c r="CZ275" s="53" t="n"/>
      <c r="DA275" s="53" t="n"/>
      <c r="DB275" s="53" t="n"/>
      <c r="DC275" s="53" t="n"/>
      <c r="DD275" s="53" t="inlineStr">
        <is>
          <t>IRIS2451</t>
        </is>
      </c>
      <c r="DE275" s="53" t="inlineStr">
        <is>
          <t>Employee</t>
        </is>
      </c>
      <c r="DF275" s="53" t="inlineStr">
        <is>
          <t>Active</t>
        </is>
      </c>
      <c r="DG275" s="53" t="inlineStr">
        <is>
          <t>Anurag Gupta</t>
        </is>
      </c>
      <c r="DH275" s="54" t="n">
        <v>45995</v>
      </c>
      <c r="DI275" s="53" t="inlineStr">
        <is>
          <t>Trainee Software Engineer</t>
        </is>
      </c>
      <c r="DJ275" s="53" t="inlineStr">
        <is>
          <t>Engineering &amp; Development</t>
        </is>
      </c>
      <c r="DK275" s="53" t="inlineStr">
        <is>
          <t>Software Engineering</t>
        </is>
      </c>
      <c r="DL275" s="53" t="inlineStr">
        <is>
          <t>Trainee Software Engineer</t>
        </is>
      </c>
      <c r="DM275" s="53" t="inlineStr">
        <is>
          <t>L2 – Trainee</t>
        </is>
      </c>
      <c r="DN275" s="53" t="inlineStr">
        <is>
          <t>B.Sc</t>
        </is>
      </c>
      <c r="DO275" s="53" t="inlineStr">
        <is>
          <t>Sharanagouda Patil</t>
        </is>
      </c>
      <c r="DP275" s="53" t="inlineStr">
        <is>
          <t>N-3</t>
        </is>
      </c>
      <c r="DQ275" s="53" t="inlineStr">
        <is>
          <t>Individual Contributor</t>
        </is>
      </c>
      <c r="DR275" s="53" t="inlineStr">
        <is>
          <t>1 years, 2 months, 0 days</t>
        </is>
      </c>
      <c r="DS275" s="53" t="inlineStr">
        <is>
          <t>0 years, 6 months, 16 days</t>
        </is>
      </c>
      <c r="DT275" s="53" t="inlineStr">
        <is>
          <t>1 years, 8 months, 16 days</t>
        </is>
      </c>
      <c r="DU275" s="53" t="n"/>
      <c r="DV275" s="53" t="inlineStr">
        <is>
          <t>Suptech</t>
        </is>
      </c>
      <c r="DW275" s="53" t="inlineStr">
        <is>
          <t>iFile</t>
        </is>
      </c>
      <c r="DX275" s="53" t="inlineStr">
        <is>
          <t>Technology</t>
        </is>
      </c>
      <c r="DY275" s="53" t="inlineStr">
        <is>
          <t>Development</t>
        </is>
      </c>
      <c r="DZ275" s="53" t="inlineStr">
        <is>
          <t>Yes</t>
        </is>
      </c>
      <c r="EA275" s="53" t="inlineStr">
        <is>
          <t>Product/Project</t>
        </is>
      </c>
      <c r="EB275" s="53" t="inlineStr">
        <is>
          <t>Angular</t>
        </is>
      </c>
      <c r="EC275" s="53" t="inlineStr">
        <is>
          <t>Technical - Developer</t>
        </is>
      </c>
      <c r="ED275" s="53" t="inlineStr">
        <is>
          <t>Work From Office - Turbhe</t>
        </is>
      </c>
      <c r="EE275" s="53" t="n"/>
      <c r="EF275" s="53" t="n"/>
      <c r="EG275" s="53" t="inlineStr">
        <is>
          <t>1. Provide production support/Upgrade of SBC.
2. Work independently and complete tasks on time and guide team members.
3. Improve the Webform product using AI and automation to reduce manual effort.
4. Build strong knowledge of Taxonomy and related concepts.
5. Upgrade technology and improve application performance.</t>
        </is>
      </c>
      <c r="EH275" s="53" t="n">
        <v>3</v>
      </c>
      <c r="EI275" s="54" t="n">
        <v>45901</v>
      </c>
      <c r="EJ275" s="53" t="inlineStr">
        <is>
          <t>Trainee Software Engineer</t>
        </is>
      </c>
      <c r="EK275" s="53" t="inlineStr">
        <is>
          <t>Yes</t>
        </is>
      </c>
      <c r="EL275" s="53" t="n">
        <v>3</v>
      </c>
      <c r="EM275" s="53" t="inlineStr">
        <is>
          <t>Medium</t>
        </is>
      </c>
      <c r="EN275" s="53" t="inlineStr">
        <is>
          <t>Trusted Professional</t>
        </is>
      </c>
      <c r="EO275" s="53" t="n"/>
      <c r="EP275" s="53" t="n"/>
      <c r="EQ275" s="53" t="n"/>
      <c r="ER275" s="53" t="n"/>
      <c r="ES275" s="53" t="inlineStr">
        <is>
          <t>Taxonomy
AI</t>
        </is>
      </c>
      <c r="ET275" s="53" t="n"/>
      <c r="EU275" s="53" t="n"/>
      <c r="EV275" s="53" t="n"/>
      <c r="EW275" s="52" t="n"/>
      <c r="EX275" s="53" t="n"/>
      <c r="EY275" s="53" t="n"/>
      <c r="EZ275" s="53" t="n"/>
      <c r="FA275" s="53" t="n"/>
      <c r="FB275" s="53" t="n"/>
      <c r="FC275" s="53" t="n"/>
      <c r="FD275" s="53" t="n"/>
      <c r="FE275" s="55" t="inlineStr">
        <is>
          <t>KRAs not received · manager to supply</t>
        </is>
      </c>
      <c r="FF275" s="56" t="inlineStr">
        <is>
          <t>1. Provide production support/Upgrade of SBC.
2. Work independently and complete tasks on time and guide team members.
3. Improve the Webform product using AI and automation to reduce manual effort.
4. Build strong knowledge of Taxonomy and related concepts.
5. Upgrade technology and improve application performance.</t>
        </is>
      </c>
      <c r="FG275" s="56" t="n"/>
      <c r="FH275" s="56" t="inlineStr">
        <is>
          <t>3</t>
        </is>
      </c>
      <c r="FI275" s="56" t="n"/>
      <c r="FJ275" s="56" t="inlineStr">
        <is>
          <t>Received · quarterly</t>
        </is>
      </c>
      <c r="FK275" s="56" t="inlineStr">
        <is>
          <t>Talent Mapping · iFile collated</t>
        </is>
      </c>
      <c r="FL275" s="56" t="n">
        <v>20</v>
      </c>
      <c r="FM275" s="32" t="inlineStr">
        <is>
          <t>Full survey answers not in the files received · How We Grow export needed · HR</t>
        </is>
      </c>
      <c r="FN275" s="56" t="inlineStr">
        <is>
          <t>—</t>
        </is>
      </c>
      <c r="FO275" s="56" t="inlineStr">
        <is>
          <t>—</t>
        </is>
      </c>
      <c r="FP275" s="56" t="inlineStr">
        <is>
          <t>—</t>
        </is>
      </c>
      <c r="FQ275" s="56" t="inlineStr">
        <is>
          <t>—</t>
        </is>
      </c>
      <c r="FR275" s="56" t="inlineStr">
        <is>
          <t>Business Impact: No survey or manager-mapping signal on criticality: kept at the start point.</t>
        </is>
      </c>
      <c r="FS275" s="56" t="inlineStr">
        <is>
          <t>Common themes in role-holders' answers: solutions · maintain · problems · core · purpose · while
Common themes in role-holders' answers: feature · code · quality · development · delivery
Common themes in role-holders' answers: features · quality · software
Common themes in role-holders' answers: quality · accountable · reliability · deliver · features · code
Common themes in role-holders' answers: decisions · implement
If the work is missed · role-holders' themes: delays · quality · impact · rework.
Measured on · manager-set KRA themes: complete · improve · assigned · resolve · code · leakage qa/uat.</t>
        </is>
      </c>
      <c r="FT275" s="56" t="inlineStr">
        <is>
          <t>Self-identified: Leadership &amp; people management · Project / programme management · Technical depth &amp; architecture · Broader exposure &amp; ownership
For the next role: Leadership &amp; people management · Project / programme management · Technical depth &amp; architecture · Broader exposure &amp; ownership</t>
        </is>
      </c>
      <c r="FU275" s="32" t="inlineStr">
        <is>
          <t>Full survey answers not in the files received · How We Grow export needed · HR</t>
        </is>
      </c>
    </row>
    <row r="276" ht="90" customHeight="1">
      <c r="A276" s="51" t="inlineStr">
        <is>
          <t>◂ Back</t>
        </is>
      </c>
      <c r="B276" s="29" t="inlineStr">
        <is>
          <t>Mapped</t>
        </is>
      </c>
      <c r="C276" s="28" t="inlineStr">
        <is>
          <t>iFile</t>
        </is>
      </c>
      <c r="D276" s="29" t="inlineStr">
        <is>
          <t>IRIS2314</t>
        </is>
      </c>
      <c r="E276" s="29" t="inlineStr">
        <is>
          <t>Shubham Nimse</t>
        </is>
      </c>
      <c r="F276" s="29" t="inlineStr">
        <is>
          <t>Technology</t>
        </is>
      </c>
      <c r="G276" s="29" t="inlineStr">
        <is>
          <t>Trainee Software Engineer</t>
        </is>
      </c>
      <c r="H276" s="29" t="inlineStr">
        <is>
          <t>Software Engineer</t>
        </is>
      </c>
      <c r="I276" s="29" t="inlineStr">
        <is>
          <t>L2 – Trainee</t>
        </is>
      </c>
      <c r="J276" s="29" t="inlineStr">
        <is>
          <t>A2</t>
        </is>
      </c>
      <c r="K276" s="29" t="inlineStr">
        <is>
          <t>▲ Up</t>
        </is>
      </c>
      <c r="L276" s="29" t="inlineStr">
        <is>
          <t>Engineering &amp; Development</t>
        </is>
      </c>
      <c r="M276" s="29" t="inlineStr">
        <is>
          <t>Full-Stack Development</t>
        </is>
      </c>
      <c r="N276" s="29" t="n"/>
      <c r="O276" s="29" t="n">
        <v>19</v>
      </c>
      <c r="P276" s="28" t="inlineStr">
        <is>
          <t>P1–P2</t>
        </is>
      </c>
      <c r="Q276" s="29" t="inlineStr">
        <is>
          <t>Entry / Developing</t>
        </is>
      </c>
      <c r="R276" s="29" t="inlineStr">
        <is>
          <t>2 Assist</t>
        </is>
      </c>
      <c r="S276" s="29" t="inlineStr">
        <is>
          <t>0–2 yrs</t>
        </is>
      </c>
      <c r="T276" s="29" t="inlineStr">
        <is>
          <t>1–3 · 0–3</t>
        </is>
      </c>
      <c r="U276" s="29" t="inlineStr">
        <is>
          <t>Associate Software Engineer / Software Engineer</t>
        </is>
      </c>
      <c r="V276" s="29" t="inlineStr">
        <is>
          <t>Workiva: Associate SE · Broadridge India: SE · Nasdaq / AxiomSL: SE · Salesforce: AMTS · Atlassian: P30 Junior · 0–2 yrs · Freshworks: SE</t>
        </is>
      </c>
      <c r="W276" s="29" t="inlineStr">
        <is>
          <t>SFIA 9 · software development, programming; OWASP secure coding; cloud vendor certifications</t>
        </is>
      </c>
      <c r="X276" s="29" t="inlineStr">
        <is>
          <t>Core 2 · Future 2 · Functional 2 · Leadership not scored</t>
        </is>
      </c>
      <c r="Y276" s="52" t="n">
        <v>345</v>
      </c>
      <c r="Z276" s="53" t="inlineStr">
        <is>
          <t>IRIS2314</t>
        </is>
      </c>
      <c r="AA276" s="53" t="inlineStr">
        <is>
          <t>Employee</t>
        </is>
      </c>
      <c r="AB276" s="53" t="inlineStr">
        <is>
          <t>Active</t>
        </is>
      </c>
      <c r="AC276" s="53" t="inlineStr">
        <is>
          <t>Shubham Nimse</t>
        </is>
      </c>
      <c r="AD276" s="54" t="n">
        <v>45568</v>
      </c>
      <c r="AE276" s="53" t="inlineStr">
        <is>
          <t>Trainee Software Engineer</t>
        </is>
      </c>
      <c r="AF276" s="53" t="inlineStr">
        <is>
          <t>B.E</t>
        </is>
      </c>
      <c r="AG276" s="53" t="inlineStr">
        <is>
          <t>Sharanagouda Patil</t>
        </is>
      </c>
      <c r="AH276" s="53" t="inlineStr">
        <is>
          <t>N-4</t>
        </is>
      </c>
      <c r="AI276" s="53" t="inlineStr">
        <is>
          <t>Individual Contributor</t>
        </is>
      </c>
      <c r="AJ276" s="53" t="inlineStr">
        <is>
          <t>0 years, 6 months, 0 days</t>
        </is>
      </c>
      <c r="AK276" s="53" t="inlineStr">
        <is>
          <t>1 years, 10 months, 22 days</t>
        </is>
      </c>
      <c r="AL276" s="53" t="inlineStr">
        <is>
          <t>Suptech</t>
        </is>
      </c>
      <c r="AM276" s="53" t="inlineStr">
        <is>
          <t>iFile</t>
        </is>
      </c>
      <c r="AN276" s="53" t="inlineStr">
        <is>
          <t>Technology</t>
        </is>
      </c>
      <c r="AO276" s="53" t="inlineStr">
        <is>
          <t>Development</t>
        </is>
      </c>
      <c r="AP276" s="53" t="inlineStr">
        <is>
          <t>Yes</t>
        </is>
      </c>
      <c r="AQ276" s="53" t="inlineStr">
        <is>
          <t>Product/Project</t>
        </is>
      </c>
      <c r="AR276" s="53" t="inlineStr">
        <is>
          <t>.NET MVC</t>
        </is>
      </c>
      <c r="AS276" s="53" t="inlineStr">
        <is>
          <t>Technical - Developer</t>
        </is>
      </c>
      <c r="AT276" s="53" t="n">
        <v>20</v>
      </c>
      <c r="AU276" s="53" t="inlineStr">
        <is>
          <t>Covered</t>
        </is>
      </c>
      <c r="AV276" s="53" t="n"/>
      <c r="AW276" s="53" t="n"/>
      <c r="AX276" s="53" t="n"/>
      <c r="AY276" s="53" t="n"/>
      <c r="AZ276" s="53" t="n"/>
      <c r="BA276" s="53" t="n"/>
      <c r="BB276" s="53" t="n"/>
      <c r="BC276" s="53" t="n"/>
      <c r="BD276" s="53" t="n"/>
      <c r="BE276" s="53" t="n"/>
      <c r="BF276" s="53" t="n"/>
      <c r="BG276" s="53" t="n"/>
      <c r="BH276" s="53" t="n"/>
      <c r="BI276" s="53" t="n"/>
      <c r="BJ276" s="53" t="n"/>
      <c r="BK276" s="53" t="n"/>
      <c r="BL276" s="53" t="n"/>
      <c r="BM276" s="53" t="n"/>
      <c r="BN276" s="53" t="n"/>
      <c r="BO276" s="53" t="n"/>
      <c r="BP276" s="53" t="n"/>
      <c r="BQ276" s="53" t="n"/>
      <c r="BR276" s="53" t="n"/>
      <c r="BS276" s="53" t="n"/>
      <c r="BT276" s="53" t="n"/>
      <c r="BU276" s="53" t="n"/>
      <c r="BV276" s="53" t="n"/>
      <c r="BW276" s="53" t="n"/>
      <c r="BX276" s="53" t="n"/>
      <c r="BY276" s="53" t="n"/>
      <c r="BZ276" s="53" t="n"/>
      <c r="CA276" s="53" t="n"/>
      <c r="CB276" s="53" t="n"/>
      <c r="CC276" s="53" t="n"/>
      <c r="CD276" s="53" t="n"/>
      <c r="CE276" s="53" t="n"/>
      <c r="CF276" s="53" t="n"/>
      <c r="CG276" s="53" t="n"/>
      <c r="CH276" s="53" t="n"/>
      <c r="CI276" s="53" t="n"/>
      <c r="CJ276" s="53" t="n"/>
      <c r="CK276" s="53" t="n"/>
      <c r="CL276" s="53" t="n"/>
      <c r="CM276" s="53" t="n"/>
      <c r="CN276" s="53" t="n"/>
      <c r="CO276" s="53" t="n"/>
      <c r="CP276" s="53" t="n"/>
      <c r="CQ276" s="53" t="n"/>
      <c r="CR276" s="53" t="n"/>
      <c r="CS276" s="53" t="n"/>
      <c r="CT276" s="53" t="n"/>
      <c r="CU276" s="53" t="n"/>
      <c r="CV276" s="53" t="n"/>
      <c r="CW276" s="53" t="n"/>
      <c r="CX276" s="53" t="n"/>
      <c r="CY276" s="53" t="n"/>
      <c r="CZ276" s="53" t="n"/>
      <c r="DA276" s="53" t="n"/>
      <c r="DB276" s="53" t="n"/>
      <c r="DC276" s="53" t="n"/>
      <c r="DD276" s="53" t="inlineStr">
        <is>
          <t>IRIS2314</t>
        </is>
      </c>
      <c r="DE276" s="53" t="inlineStr">
        <is>
          <t>Employee</t>
        </is>
      </c>
      <c r="DF276" s="53" t="inlineStr">
        <is>
          <t>Active</t>
        </is>
      </c>
      <c r="DG276" s="53" t="inlineStr">
        <is>
          <t>Shubham Nimse</t>
        </is>
      </c>
      <c r="DH276" s="54" t="n">
        <v>45568</v>
      </c>
      <c r="DI276" s="53" t="inlineStr">
        <is>
          <t>Trainee Software Engineer</t>
        </is>
      </c>
      <c r="DJ276" s="53" t="inlineStr">
        <is>
          <t>Engineering &amp; Development</t>
        </is>
      </c>
      <c r="DK276" s="53" t="inlineStr">
        <is>
          <t>Backend Engineering ·.NET</t>
        </is>
      </c>
      <c r="DL276" s="53" t="inlineStr">
        <is>
          <t>Trainee Software Engineer</t>
        </is>
      </c>
      <c r="DM276" s="53" t="inlineStr">
        <is>
          <t>L2 – Trainee</t>
        </is>
      </c>
      <c r="DN276" s="53" t="inlineStr">
        <is>
          <t>B.E</t>
        </is>
      </c>
      <c r="DO276" s="53" t="inlineStr">
        <is>
          <t>Sharanagouda Patil</t>
        </is>
      </c>
      <c r="DP276" s="53" t="inlineStr">
        <is>
          <t>N-3</t>
        </is>
      </c>
      <c r="DQ276" s="53" t="inlineStr">
        <is>
          <t>Individual Contributor</t>
        </is>
      </c>
      <c r="DR276" s="53" t="inlineStr">
        <is>
          <t>0 years, 6 months, 0 days</t>
        </is>
      </c>
      <c r="DS276" s="53" t="inlineStr">
        <is>
          <t>1 years, 8 months, 17 days</t>
        </is>
      </c>
      <c r="DT276" s="53" t="inlineStr">
        <is>
          <t>2 years, 2 months, 17 days</t>
        </is>
      </c>
      <c r="DU276" s="53" t="n"/>
      <c r="DV276" s="53" t="inlineStr">
        <is>
          <t>Suptech</t>
        </is>
      </c>
      <c r="DW276" s="53" t="inlineStr">
        <is>
          <t>iFile</t>
        </is>
      </c>
      <c r="DX276" s="53" t="inlineStr">
        <is>
          <t>Technology</t>
        </is>
      </c>
      <c r="DY276" s="53" t="inlineStr">
        <is>
          <t>Development</t>
        </is>
      </c>
      <c r="DZ276" s="53" t="inlineStr">
        <is>
          <t>Yes</t>
        </is>
      </c>
      <c r="EA276" s="53" t="inlineStr">
        <is>
          <t>Product/Project</t>
        </is>
      </c>
      <c r="EB276" s="53" t="inlineStr">
        <is>
          <t>.NET MVC</t>
        </is>
      </c>
      <c r="EC276" s="53" t="inlineStr">
        <is>
          <t>Technical - Developer</t>
        </is>
      </c>
      <c r="ED276" s="53" t="inlineStr">
        <is>
          <t>Hybrid</t>
        </is>
      </c>
      <c r="EE276" s="53" t="n"/>
      <c r="EF276" s="53" t="n"/>
      <c r="EG276" s="53" t="inlineStr">
        <is>
          <t>1. Provide production support and work on assigned Webform projects.
2. Work independently and complete tasks on time and guide team members.
3. Improve the Webform product using AI and automation to reduce manual effort.
4. Build strong knowledge of Taxonomy and related concepts.
5. Upgrade technology and improve application performance.</t>
        </is>
      </c>
      <c r="EH276" s="53" t="n">
        <v>4</v>
      </c>
      <c r="EI276" s="54" t="n">
        <v>45901</v>
      </c>
      <c r="EJ276" s="53" t="inlineStr">
        <is>
          <t>Trainee Software Engineer</t>
        </is>
      </c>
      <c r="EK276" s="53" t="inlineStr">
        <is>
          <t>Yes</t>
        </is>
      </c>
      <c r="EL276" s="53" t="n">
        <v>4</v>
      </c>
      <c r="EM276" s="53" t="inlineStr">
        <is>
          <t>High</t>
        </is>
      </c>
      <c r="EN276" s="53" t="inlineStr">
        <is>
          <t>Trusted Professional</t>
        </is>
      </c>
      <c r="EO276" s="53" t="n"/>
      <c r="EP276" s="53" t="n"/>
      <c r="EQ276" s="53" t="n"/>
      <c r="ER276" s="53" t="n"/>
      <c r="ES276" s="53" t="inlineStr">
        <is>
          <t>Taxonomy
AI</t>
        </is>
      </c>
      <c r="ET276" s="53" t="n"/>
      <c r="EU276" s="53" t="n"/>
      <c r="EV276" s="53" t="n"/>
      <c r="EW276" s="52" t="n"/>
      <c r="EX276" s="53" t="n"/>
      <c r="EY276" s="53" t="n"/>
      <c r="EZ276" s="53" t="n"/>
      <c r="FA276" s="53" t="n"/>
      <c r="FB276" s="53" t="n"/>
      <c r="FC276" s="53" t="n"/>
      <c r="FD276" s="53" t="n"/>
      <c r="FE276" s="55" t="inlineStr">
        <is>
          <t>KRAs not received · manager to supply</t>
        </is>
      </c>
      <c r="FF276" s="56" t="inlineStr">
        <is>
          <t>1. Provide production support and work on assigned Webform projects.
2. Work independently and complete tasks on time and guide team members.
3. Improve the Webform product using AI and automation to reduce manual effort.
4. Build strong knowledge of Taxonomy and related concepts.
5. Upgrade technology and improve application performance.</t>
        </is>
      </c>
      <c r="FG276" s="56" t="n"/>
      <c r="FH276" s="56" t="inlineStr">
        <is>
          <t>4</t>
        </is>
      </c>
      <c r="FI276" s="56" t="n"/>
      <c r="FJ276" s="56" t="inlineStr">
        <is>
          <t>Received · quarterly</t>
        </is>
      </c>
      <c r="FK276" s="56" t="inlineStr">
        <is>
          <t>Talent Mapping · iFile collated</t>
        </is>
      </c>
      <c r="FL276" s="56" t="n">
        <v>19</v>
      </c>
      <c r="FM276" s="32" t="inlineStr">
        <is>
          <t>Full survey answers not in the files received · How We Grow export needed · HR</t>
        </is>
      </c>
      <c r="FN276" s="56" t="inlineStr">
        <is>
          <t>—</t>
        </is>
      </c>
      <c r="FO276" s="56" t="inlineStr">
        <is>
          <t>—</t>
        </is>
      </c>
      <c r="FP276" s="56" t="inlineStr">
        <is>
          <t>—</t>
        </is>
      </c>
      <c r="FQ276" s="56" t="inlineStr">
        <is>
          <t>—</t>
        </is>
      </c>
      <c r="FR276" s="56" t="inlineStr">
        <is>
          <t>Complexity: Evidence reads like A2: New features, bug fixes, deployment, documentation and testing on assigned returns → moved up 0.5
Autonomy: Evidence reads like A2: Decides the development approach for own work → moved up 0.5
Accountability: Evidence reads like A3: Whole lifecycle of assigned returns from development to production go-live and later bugs → moved up 1
Leadership: Evidence reads like A2: Helps new peers with knowledge transfer on projects → moved up 0.5
Business Impact: No survey or manager-mapping signal on criticality: kept at the start point.</t>
        </is>
      </c>
      <c r="FS276" s="56" t="inlineStr">
        <is>
          <t>Common themes in role-holders' answers: solutions
Common themes in role-holders' answers: deployment · testing
Common themes in role-holders' answers: software
Common themes in role-holders' answers: accountable · bugs · development
If the work is missed · role-holders' themes: client · impacts.
Measured on · manager-set KRA themes: assigned · improve · resolve · code · leakage qa/uat · coverage.</t>
        </is>
      </c>
      <c r="FT276" s="56" t="inlineStr">
        <is>
          <t>Self-identified: Project / programme management · Technical depth &amp; architecture
For the next role: Project / programme management · Technical depth &amp; architecture</t>
        </is>
      </c>
      <c r="FU276" s="32" t="inlineStr">
        <is>
          <t>Full survey answers not in the files received · How We Grow export needed · HR</t>
        </is>
      </c>
    </row>
    <row r="277" ht="90" customHeight="1">
      <c r="A277" s="51" t="inlineStr">
        <is>
          <t>◂ Back</t>
        </is>
      </c>
      <c r="B277" s="29" t="inlineStr">
        <is>
          <t>Mapped</t>
        </is>
      </c>
      <c r="C277" s="28" t="inlineStr">
        <is>
          <t>iFile</t>
        </is>
      </c>
      <c r="D277" s="29" t="inlineStr">
        <is>
          <t>INTN0289</t>
        </is>
      </c>
      <c r="E277" s="29" t="inlineStr">
        <is>
          <t>Pradnya Shindhe</t>
        </is>
      </c>
      <c r="F277" s="29" t="inlineStr">
        <is>
          <t>Technology</t>
        </is>
      </c>
      <c r="G277" s="29" t="inlineStr">
        <is>
          <t>Intern</t>
        </is>
      </c>
      <c r="H277" s="29" t="inlineStr">
        <is>
          <t>Intern – Front-End / UI Development</t>
        </is>
      </c>
      <c r="I277" s="29" t="inlineStr">
        <is>
          <t>L1 – Intern</t>
        </is>
      </c>
      <c r="J277" s="29" t="inlineStr">
        <is>
          <t>A1</t>
        </is>
      </c>
      <c r="K277" s="29" t="inlineStr">
        <is>
          <t>• Same level</t>
        </is>
      </c>
      <c r="L277" s="29" t="inlineStr">
        <is>
          <t>Engineering &amp; Development</t>
        </is>
      </c>
      <c r="M277" s="29" t="inlineStr">
        <is>
          <t>Front-End / UI Development</t>
        </is>
      </c>
      <c r="N277" s="29" t="n"/>
      <c r="O277" s="29" t="n">
        <v>20</v>
      </c>
      <c r="P277" s="28" t="inlineStr">
        <is>
          <t>Entry / P1 · intern</t>
        </is>
      </c>
      <c r="Q277" s="29" t="inlineStr">
        <is>
          <t>Entry</t>
        </is>
      </c>
      <c r="R277" s="29" t="inlineStr">
        <is>
          <t>1 Follow</t>
        </is>
      </c>
      <c r="S277" s="29" t="inlineStr">
        <is>
          <t>0 yrs · fresher / intern</t>
        </is>
      </c>
      <c r="T277" s="29" t="inlineStr">
        <is>
          <t>—</t>
        </is>
      </c>
      <c r="U277" s="29" t="inlineStr">
        <is>
          <t>Associate Software Engineer</t>
        </is>
      </c>
      <c r="V277" s="29" t="inlineStr">
        <is>
          <t>—</t>
        </is>
      </c>
      <c r="W277" s="29" t="inlineStr">
        <is>
          <t>SFIA 9 · software development, programming; OWASP secure coding; cloud vendor certifications</t>
        </is>
      </c>
      <c r="X277" s="29" t="inlineStr">
        <is>
          <t>Core 1 · Future 1 · Functional 1 · Leadership not scored</t>
        </is>
      </c>
      <c r="Y277" s="52" t="n">
        <v>436</v>
      </c>
      <c r="Z277" s="53" t="inlineStr">
        <is>
          <t>INTN0289</t>
        </is>
      </c>
      <c r="AA277" s="53" t="inlineStr">
        <is>
          <t>Intern</t>
        </is>
      </c>
      <c r="AB277" s="53" t="inlineStr">
        <is>
          <t>Active</t>
        </is>
      </c>
      <c r="AC277" s="53" t="inlineStr">
        <is>
          <t>Pradnya Shindhe</t>
        </is>
      </c>
      <c r="AD277" s="54" t="n">
        <v>46034</v>
      </c>
      <c r="AE277" s="53" t="inlineStr">
        <is>
          <t>Intern</t>
        </is>
      </c>
      <c r="AF277" s="53" t="inlineStr">
        <is>
          <t>BCA</t>
        </is>
      </c>
      <c r="AG277" s="53" t="inlineStr">
        <is>
          <t>Sharanagouda Patil</t>
        </is>
      </c>
      <c r="AH277" s="53" t="inlineStr">
        <is>
          <t>N-4</t>
        </is>
      </c>
      <c r="AI277" s="53" t="inlineStr">
        <is>
          <t>Individual Contributor</t>
        </is>
      </c>
      <c r="AJ277" s="53" t="inlineStr">
        <is>
          <t>0 years, 0 months, 0 days</t>
        </is>
      </c>
      <c r="AK277" s="53" t="inlineStr">
        <is>
          <t>0 years, 7 months, 13 days</t>
        </is>
      </c>
      <c r="AL277" s="53" t="inlineStr">
        <is>
          <t>Suptech</t>
        </is>
      </c>
      <c r="AM277" s="53" t="inlineStr">
        <is>
          <t>iFile</t>
        </is>
      </c>
      <c r="AN277" s="53" t="inlineStr">
        <is>
          <t>Technology</t>
        </is>
      </c>
      <c r="AO277" s="53" t="inlineStr">
        <is>
          <t>Development</t>
        </is>
      </c>
      <c r="AP277" s="53" t="inlineStr">
        <is>
          <t>Yes</t>
        </is>
      </c>
      <c r="AQ277" s="53" t="inlineStr">
        <is>
          <t>Product/Project</t>
        </is>
      </c>
      <c r="AR277" s="53" t="inlineStr">
        <is>
          <t>Angular</t>
        </is>
      </c>
      <c r="AS277" s="53" t="inlineStr">
        <is>
          <t>Technical - Developer</t>
        </is>
      </c>
      <c r="AT277" s="53" t="n">
        <v>20</v>
      </c>
      <c r="AU277" s="53" t="inlineStr">
        <is>
          <t>Covered</t>
        </is>
      </c>
      <c r="AV277" s="53" t="n"/>
      <c r="AW277" s="53" t="n"/>
      <c r="AX277" s="53" t="n"/>
      <c r="AY277" s="53" t="n"/>
      <c r="AZ277" s="53" t="n"/>
      <c r="BA277" s="53" t="n"/>
      <c r="BB277" s="53" t="n"/>
      <c r="BC277" s="53" t="n"/>
      <c r="BD277" s="53" t="n"/>
      <c r="BE277" s="53" t="n"/>
      <c r="BF277" s="53" t="n"/>
      <c r="BG277" s="53" t="n"/>
      <c r="BH277" s="53" t="n"/>
      <c r="BI277" s="53" t="n"/>
      <c r="BJ277" s="53" t="n"/>
      <c r="BK277" s="53" t="n"/>
      <c r="BL277" s="53" t="n"/>
      <c r="BM277" s="53" t="n"/>
      <c r="BN277" s="53" t="n"/>
      <c r="BO277" s="53" t="n"/>
      <c r="BP277" s="53" t="n"/>
      <c r="BQ277" s="53" t="n"/>
      <c r="BR277" s="53" t="n"/>
      <c r="BS277" s="53" t="n"/>
      <c r="BT277" s="53" t="n"/>
      <c r="BU277" s="53" t="n"/>
      <c r="BV277" s="53" t="n"/>
      <c r="BW277" s="53" t="n"/>
      <c r="BX277" s="53" t="n"/>
      <c r="BY277" s="53" t="n"/>
      <c r="BZ277" s="53" t="n"/>
      <c r="CA277" s="53" t="n"/>
      <c r="CB277" s="53" t="n"/>
      <c r="CC277" s="53" t="n"/>
      <c r="CD277" s="53" t="n"/>
      <c r="CE277" s="53" t="n"/>
      <c r="CF277" s="53" t="n"/>
      <c r="CG277" s="53" t="n"/>
      <c r="CH277" s="53" t="n"/>
      <c r="CI277" s="53" t="n"/>
      <c r="CJ277" s="53" t="n"/>
      <c r="CK277" s="53" t="n"/>
      <c r="CL277" s="53" t="n"/>
      <c r="CM277" s="53" t="n"/>
      <c r="CN277" s="53" t="n"/>
      <c r="CO277" s="53" t="n"/>
      <c r="CP277" s="53" t="n"/>
      <c r="CQ277" s="53" t="n"/>
      <c r="CR277" s="53" t="n"/>
      <c r="CS277" s="53" t="n"/>
      <c r="CT277" s="53" t="n"/>
      <c r="CU277" s="53" t="n"/>
      <c r="CV277" s="53" t="n"/>
      <c r="CW277" s="53" t="n"/>
      <c r="CX277" s="53" t="n"/>
      <c r="CY277" s="53" t="n"/>
      <c r="CZ277" s="53" t="n"/>
      <c r="DA277" s="53" t="n"/>
      <c r="DB277" s="53" t="n"/>
      <c r="DC277" s="53" t="n"/>
      <c r="DD277" s="53" t="inlineStr">
        <is>
          <t>INTN0289</t>
        </is>
      </c>
      <c r="DE277" s="53" t="inlineStr">
        <is>
          <t>Intern</t>
        </is>
      </c>
      <c r="DF277" s="53" t="inlineStr">
        <is>
          <t>Active</t>
        </is>
      </c>
      <c r="DG277" s="53" t="inlineStr">
        <is>
          <t>Pradnya Shindhe</t>
        </is>
      </c>
      <c r="DH277" s="54" t="n">
        <v>46034</v>
      </c>
      <c r="DI277" s="53" t="inlineStr">
        <is>
          <t>Intern</t>
        </is>
      </c>
      <c r="DJ277" s="53" t="inlineStr">
        <is>
          <t>Engineering &amp; Development</t>
        </is>
      </c>
      <c r="DK277" s="53" t="inlineStr">
        <is>
          <t>Software Engineering</t>
        </is>
      </c>
      <c r="DL277" s="53" t="inlineStr">
        <is>
          <t>Intern</t>
        </is>
      </c>
      <c r="DM277" s="53" t="inlineStr">
        <is>
          <t>L1 – Intern</t>
        </is>
      </c>
      <c r="DN277" s="53" t="inlineStr">
        <is>
          <t>BCA</t>
        </is>
      </c>
      <c r="DO277" s="53" t="inlineStr">
        <is>
          <t>Sharanagouda Patil</t>
        </is>
      </c>
      <c r="DP277" s="53" t="inlineStr">
        <is>
          <t>N-3</t>
        </is>
      </c>
      <c r="DQ277" s="53" t="inlineStr">
        <is>
          <t>Individual Contributor</t>
        </is>
      </c>
      <c r="DR277" s="53" t="inlineStr">
        <is>
          <t>0 years, 0 months, 0 days</t>
        </is>
      </c>
      <c r="DS277" s="53" t="inlineStr">
        <is>
          <t>0 years, 5 months, 8 days</t>
        </is>
      </c>
      <c r="DT277" s="53" t="inlineStr">
        <is>
          <t>0 years, 5 months, 8 days</t>
        </is>
      </c>
      <c r="DU277" s="53" t="n"/>
      <c r="DV277" s="53" t="inlineStr">
        <is>
          <t>Suptech</t>
        </is>
      </c>
      <c r="DW277" s="53" t="inlineStr">
        <is>
          <t>iFile</t>
        </is>
      </c>
      <c r="DX277" s="53" t="inlineStr">
        <is>
          <t>Technology</t>
        </is>
      </c>
      <c r="DY277" s="53" t="inlineStr">
        <is>
          <t>Development</t>
        </is>
      </c>
      <c r="DZ277" s="53" t="inlineStr">
        <is>
          <t>Yes</t>
        </is>
      </c>
      <c r="EA277" s="53" t="inlineStr">
        <is>
          <t>Product/Project</t>
        </is>
      </c>
      <c r="EB277" s="53" t="inlineStr">
        <is>
          <t>Angular</t>
        </is>
      </c>
      <c r="EC277" s="53" t="inlineStr">
        <is>
          <t>Technical - Developer</t>
        </is>
      </c>
      <c r="ED277" s="53" t="inlineStr">
        <is>
          <t>Work From Office - Turbhe</t>
        </is>
      </c>
      <c r="EE277" s="53" t="n"/>
      <c r="EF277" s="53" t="n"/>
      <c r="EG277" s="53" t="inlineStr">
        <is>
          <t>1. Provide production support and work on assigned Webform projects.
2. Complete tasks on time and get knowdlge from Team lead.
3. Improve the Webform product using AI and automation to reduce manual effort.
4. Build strong knowledge of Taxonomy and related concepts.
5. Upgrade technology and improve application performance.</t>
        </is>
      </c>
      <c r="EH277" s="53" t="n">
        <v>3</v>
      </c>
      <c r="EI277" s="53" t="n"/>
      <c r="EJ277" s="53" t="inlineStr">
        <is>
          <t>Intern</t>
        </is>
      </c>
      <c r="EK277" s="53" t="inlineStr">
        <is>
          <t>Yes</t>
        </is>
      </c>
      <c r="EL277" s="53" t="n">
        <v>3</v>
      </c>
      <c r="EM277" s="53" t="n"/>
      <c r="EN277" s="53" t="inlineStr">
        <is>
          <t>Trusted Professional</t>
        </is>
      </c>
      <c r="EO277" s="53" t="n"/>
      <c r="EP277" s="53" t="n"/>
      <c r="EQ277" s="53" t="n"/>
      <c r="ER277" s="53" t="n"/>
      <c r="ES277" s="53" t="inlineStr">
        <is>
          <t>Taxonomy
AI</t>
        </is>
      </c>
      <c r="ET277" s="53" t="n"/>
      <c r="EU277" s="53" t="n"/>
      <c r="EV277" s="53" t="n"/>
      <c r="EW277" s="52" t="n"/>
      <c r="EX277" s="53" t="n"/>
      <c r="EY277" s="53" t="n"/>
      <c r="EZ277" s="53" t="n"/>
      <c r="FA277" s="53" t="n"/>
      <c r="FB277" s="53" t="n"/>
      <c r="FC277" s="53" t="n"/>
      <c r="FD277" s="53" t="n"/>
      <c r="FE277" s="55" t="inlineStr">
        <is>
          <t>KRAs not received · manager to supply</t>
        </is>
      </c>
      <c r="FF277" s="56" t="inlineStr">
        <is>
          <t>1. Provide production support and work on assigned Webform projects.
2. Complete tasks on time and get knowdlge from Team lead.
3. Improve the Webform product using AI and automation to reduce manual effort.
4. Build strong knowledge of Taxonomy and related concepts.
5. Upgrade technology and improve application performance.</t>
        </is>
      </c>
      <c r="FG277" s="56" t="n"/>
      <c r="FH277" s="56" t="inlineStr">
        <is>
          <t>3</t>
        </is>
      </c>
      <c r="FI277" s="56" t="n"/>
      <c r="FJ277" s="56" t="inlineStr">
        <is>
          <t>Received · quarterly</t>
        </is>
      </c>
      <c r="FK277" s="56" t="inlineStr">
        <is>
          <t>Talent Mapping · iFile collated</t>
        </is>
      </c>
      <c r="FL277" s="56" t="n">
        <v>20</v>
      </c>
      <c r="FM277" s="32" t="inlineStr">
        <is>
          <t>Full survey answers not in the files received · How We Grow export needed · HR</t>
        </is>
      </c>
      <c r="FN277" s="56" t="inlineStr">
        <is>
          <t>—</t>
        </is>
      </c>
      <c r="FO277" s="56" t="inlineStr">
        <is>
          <t>—</t>
        </is>
      </c>
      <c r="FP277" s="56" t="inlineStr">
        <is>
          <t>—</t>
        </is>
      </c>
      <c r="FQ277" s="56" t="inlineStr">
        <is>
          <t>—</t>
        </is>
      </c>
      <c r="FR277" s="56" t="n"/>
      <c r="FS277" s="56" t="inlineStr">
        <is>
          <t>Common themes in sub-family holders, all levels' answers: core · purpose · business · improve · development · solutions
Common themes in sub-family holders, all levels' answers: ui · code · feature · development · design · testing
Common themes in sub-family holders, all levels' answers: features · user · app · ui · quality · software
Common themes in sub-family holders, all levels' answers: accountable · quality · development · am · reliability · personally
Common themes in sub-family holders, all levels' answers: decide · code · ui · decisions · implement
If the work is missed · role-holders' themes: impact · delays · rework · delivery.</t>
        </is>
      </c>
      <c r="FT277" s="56" t="inlineStr">
        <is>
          <t>Self-identified: Answered · no common topic
For the next role: Answered · no common topic</t>
        </is>
      </c>
      <c r="FU277" s="32" t="inlineStr">
        <is>
          <t>Full survey answers not in the files received · How We Grow export needed · HR</t>
        </is>
      </c>
    </row>
    <row r="278" ht="90" customHeight="1">
      <c r="A278" s="51" t="inlineStr">
        <is>
          <t>◂ Back</t>
        </is>
      </c>
      <c r="B278" s="29" t="inlineStr">
        <is>
          <t>Mapped</t>
        </is>
      </c>
      <c r="C278" s="28" t="inlineStr">
        <is>
          <t>iFile</t>
        </is>
      </c>
      <c r="D278" s="29" t="inlineStr">
        <is>
          <t>IRIS0211</t>
        </is>
      </c>
      <c r="E278" s="29" t="inlineStr">
        <is>
          <t>Brij Kishor Singh</t>
        </is>
      </c>
      <c r="F278" s="29" t="inlineStr">
        <is>
          <t>Technology</t>
        </is>
      </c>
      <c r="G278" s="29" t="inlineStr">
        <is>
          <t>Technical Architect</t>
        </is>
      </c>
      <c r="H278" s="29" t="inlineStr">
        <is>
          <t>Practice Lead – Solution &amp; Technical Architecture · Player-Coach</t>
        </is>
      </c>
      <c r="I278" s="29" t="inlineStr">
        <is>
          <t>L3 – Professional / Associate</t>
        </is>
      </c>
      <c r="J278" s="29" t="inlineStr">
        <is>
          <t>B+</t>
        </is>
      </c>
      <c r="K278" s="29" t="inlineStr">
        <is>
          <t>▲ Up</t>
        </is>
      </c>
      <c r="L278" s="29" t="inlineStr">
        <is>
          <t>Engineering &amp; Architecture</t>
        </is>
      </c>
      <c r="M278" s="29" t="inlineStr">
        <is>
          <t>Solution &amp; Technical Architecture</t>
        </is>
      </c>
      <c r="N278" s="29" t="n"/>
      <c r="O278" s="29" t="n">
        <v>20</v>
      </c>
      <c r="P278" s="28" t="inlineStr">
        <is>
          <t>P5–P6 / M4–M5</t>
        </is>
      </c>
      <c r="Q278" s="29" t="inlineStr">
        <is>
          <t>Expert / Senior Manager · player-coach</t>
        </is>
      </c>
      <c r="R278" s="29" t="inlineStr">
        <is>
          <t>5 Ensure, advise</t>
        </is>
      </c>
      <c r="S278" s="29" t="inlineStr">
        <is>
          <t>9–14 yrs</t>
        </is>
      </c>
      <c r="T278" s="29" t="inlineStr">
        <is>
          <t>9–13 · 9–14</t>
        </is>
      </c>
      <c r="U278" s="29" t="inlineStr">
        <is>
          <t>Tech Lead Manager / Practice Lead · player-coach</t>
        </is>
      </c>
      <c r="V278" s="29" t="inlineStr">
        <is>
          <t>Google: Tech Lead Manager · TLM · McKinsey player/coach · 3–5 reports · SaaS: player-coach team lead carrying own work</t>
        </is>
      </c>
      <c r="W278" s="29" t="inlineStr">
        <is>
          <t>SFIA 9 · solution architecture; TOGAF; AWS / Azure architect certifications</t>
        </is>
      </c>
      <c r="X278" s="29" t="inlineStr">
        <is>
          <t>Core 4 · Future 4 · Functional 4 · Leadership 4</t>
        </is>
      </c>
      <c r="Y278" s="52" t="n">
        <v>38</v>
      </c>
      <c r="Z278" s="53" t="inlineStr">
        <is>
          <t>IRIS0211</t>
        </is>
      </c>
      <c r="AA278" s="53" t="inlineStr">
        <is>
          <t>Employee</t>
        </is>
      </c>
      <c r="AB278" s="53" t="inlineStr">
        <is>
          <t>Active</t>
        </is>
      </c>
      <c r="AC278" s="53" t="inlineStr">
        <is>
          <t>Brij Kishor Singh</t>
        </is>
      </c>
      <c r="AD278" s="54" t="n">
        <v>39651</v>
      </c>
      <c r="AE278" s="53" t="inlineStr">
        <is>
          <t>Technical Architect</t>
        </is>
      </c>
      <c r="AF278" s="53" t="inlineStr">
        <is>
          <t>MCA</t>
        </is>
      </c>
      <c r="AG278" s="53" t="inlineStr">
        <is>
          <t>Pradip Dey</t>
        </is>
      </c>
      <c r="AH278" s="53" t="inlineStr">
        <is>
          <t>N-3</t>
        </is>
      </c>
      <c r="AI278" s="53" t="inlineStr">
        <is>
          <t>Manager</t>
        </is>
      </c>
      <c r="AJ278" s="53" t="inlineStr">
        <is>
          <t>0 years, 0 months, 0 days</t>
        </is>
      </c>
      <c r="AK278" s="53" t="inlineStr">
        <is>
          <t>18 years, 1 months, 3 days</t>
        </is>
      </c>
      <c r="AL278" s="53" t="inlineStr">
        <is>
          <t>Suptech</t>
        </is>
      </c>
      <c r="AM278" s="53" t="inlineStr">
        <is>
          <t>iFile</t>
        </is>
      </c>
      <c r="AN278" s="53" t="inlineStr">
        <is>
          <t>Technology</t>
        </is>
      </c>
      <c r="AO278" s="53" t="inlineStr">
        <is>
          <t>Development</t>
        </is>
      </c>
      <c r="AP278" s="53" t="inlineStr">
        <is>
          <t>Yes</t>
        </is>
      </c>
      <c r="AQ278" s="53" t="inlineStr">
        <is>
          <t>Product/Project</t>
        </is>
      </c>
      <c r="AR278" s="53" t="inlineStr">
        <is>
          <t>Java</t>
        </is>
      </c>
      <c r="AS278" s="53" t="inlineStr">
        <is>
          <t>Technical - Developer</t>
        </is>
      </c>
      <c r="AT278" s="53" t="n">
        <v>20</v>
      </c>
      <c r="AU278" s="53" t="inlineStr">
        <is>
          <t>Covered</t>
        </is>
      </c>
      <c r="AV278" s="53" t="n"/>
      <c r="AW278" s="53" t="n"/>
      <c r="AX278" s="53" t="n"/>
      <c r="AY278" s="53" t="n"/>
      <c r="AZ278" s="53" t="n"/>
      <c r="BA278" s="53" t="n"/>
      <c r="BB278" s="53" t="n"/>
      <c r="BC278" s="53" t="n"/>
      <c r="BD278" s="53" t="n"/>
      <c r="BE278" s="53" t="n"/>
      <c r="BF278" s="53" t="n"/>
      <c r="BG278" s="53" t="n"/>
      <c r="BH278" s="53" t="n"/>
      <c r="BI278" s="53" t="n"/>
      <c r="BJ278" s="53" t="n"/>
      <c r="BK278" s="53" t="n"/>
      <c r="BL278" s="53" t="n"/>
      <c r="BM278" s="53" t="n"/>
      <c r="BN278" s="53" t="n"/>
      <c r="BO278" s="53" t="n"/>
      <c r="BP278" s="53" t="n"/>
      <c r="BQ278" s="53" t="n"/>
      <c r="BR278" s="53" t="n"/>
      <c r="BS278" s="53" t="n"/>
      <c r="BT278" s="53" t="n"/>
      <c r="BU278" s="53" t="n"/>
      <c r="BV278" s="53" t="n"/>
      <c r="BW278" s="53" t="n"/>
      <c r="BX278" s="53" t="n"/>
      <c r="BY278" s="53" t="n"/>
      <c r="BZ278" s="53" t="n"/>
      <c r="CA278" s="53" t="n"/>
      <c r="CB278" s="53" t="n"/>
      <c r="CC278" s="53" t="n"/>
      <c r="CD278" s="53" t="n"/>
      <c r="CE278" s="53" t="n"/>
      <c r="CF278" s="53" t="n"/>
      <c r="CG278" s="53" t="n"/>
      <c r="CH278" s="53" t="n"/>
      <c r="CI278" s="53" t="n"/>
      <c r="CJ278" s="53" t="n"/>
      <c r="CK278" s="53" t="n"/>
      <c r="CL278" s="53" t="n"/>
      <c r="CM278" s="53" t="n"/>
      <c r="CN278" s="53" t="n"/>
      <c r="CO278" s="53" t="n"/>
      <c r="CP278" s="53" t="n"/>
      <c r="CQ278" s="53" t="n"/>
      <c r="CR278" s="53" t="n"/>
      <c r="CS278" s="53" t="n"/>
      <c r="CT278" s="53" t="n"/>
      <c r="CU278" s="53" t="n"/>
      <c r="CV278" s="53" t="n"/>
      <c r="CW278" s="53" t="n"/>
      <c r="CX278" s="53" t="n"/>
      <c r="CY278" s="53" t="n"/>
      <c r="CZ278" s="53" t="n"/>
      <c r="DA278" s="53" t="n"/>
      <c r="DB278" s="53" t="n"/>
      <c r="DC278" s="53" t="n"/>
      <c r="DD278" s="53" t="inlineStr">
        <is>
          <t>IRIS0211</t>
        </is>
      </c>
      <c r="DE278" s="53" t="inlineStr">
        <is>
          <t>Employee</t>
        </is>
      </c>
      <c r="DF278" s="53" t="inlineStr">
        <is>
          <t>Active</t>
        </is>
      </c>
      <c r="DG278" s="53" t="inlineStr">
        <is>
          <t>Brij Kishor Singh</t>
        </is>
      </c>
      <c r="DH278" s="54" t="n">
        <v>39651</v>
      </c>
      <c r="DI278" s="53" t="inlineStr">
        <is>
          <t>Technical Architect</t>
        </is>
      </c>
      <c r="DJ278" s="53" t="inlineStr">
        <is>
          <t>Engineering &amp; Architecture</t>
        </is>
      </c>
      <c r="DK278" s="53" t="inlineStr">
        <is>
          <t>Solution / Software Architecture</t>
        </is>
      </c>
      <c r="DL278" s="53" t="inlineStr">
        <is>
          <t>Technical Architect</t>
        </is>
      </c>
      <c r="DM278" s="53" t="inlineStr">
        <is>
          <t>L3 – Professional / Associate</t>
        </is>
      </c>
      <c r="DN278" s="53" t="inlineStr">
        <is>
          <t>MCA</t>
        </is>
      </c>
      <c r="DO278" s="53" t="inlineStr">
        <is>
          <t>Pradip Dey</t>
        </is>
      </c>
      <c r="DP278" s="53" t="inlineStr">
        <is>
          <t>N-2</t>
        </is>
      </c>
      <c r="DQ278" s="53" t="inlineStr">
        <is>
          <t>Manager</t>
        </is>
      </c>
      <c r="DR278" s="53" t="inlineStr">
        <is>
          <t>0 years, 0 months, 0 days</t>
        </is>
      </c>
      <c r="DS278" s="53" t="inlineStr">
        <is>
          <t>17 years, 10 months, 29 days</t>
        </is>
      </c>
      <c r="DT278" s="53" t="inlineStr">
        <is>
          <t>17 years, 10 months, 29 days</t>
        </is>
      </c>
      <c r="DU278" s="53" t="n">
        <v>17.9127853881279</v>
      </c>
      <c r="DV278" s="53" t="inlineStr">
        <is>
          <t>Suptech</t>
        </is>
      </c>
      <c r="DW278" s="53" t="inlineStr">
        <is>
          <t>iFile</t>
        </is>
      </c>
      <c r="DX278" s="53" t="inlineStr">
        <is>
          <t>Technology</t>
        </is>
      </c>
      <c r="DY278" s="53" t="inlineStr">
        <is>
          <t>Development</t>
        </is>
      </c>
      <c r="DZ278" s="53" t="inlineStr">
        <is>
          <t>Yes</t>
        </is>
      </c>
      <c r="EA278" s="53" t="inlineStr">
        <is>
          <t>Product/Project</t>
        </is>
      </c>
      <c r="EB278" s="53" t="inlineStr">
        <is>
          <t>Java</t>
        </is>
      </c>
      <c r="EC278" s="53" t="inlineStr">
        <is>
          <t>Technical - Developer</t>
        </is>
      </c>
      <c r="ED278" s="53" t="inlineStr">
        <is>
          <t>Hybrid</t>
        </is>
      </c>
      <c r="EE278" s="53" t="n"/>
      <c r="EF278" s="53" t="inlineStr">
        <is>
          <t>1. Account/Project Management
Ensure constant touch with clients and rapport building, especially SSM, RMA, IFSCA
Ensure project activities and implementation getting completed as per plan and within budget 
Ensure team members are continuosly getting opportunities to excel and able to contribute at a higher level productivity
2. Team Building
Develop future leaders. Ensure at least couple of team members are able to operate at a higher level independently by next year
Ensure constantly working towards reducing frictitions with the stakeholders and able to maintain professional decorum
3. Sales, Pre-sales, process adherence, &amp; strategic contributions
Contribute to business expansion through active participation in sales, pre-sales, solutioning, and proposal development support 
Ensure adoption of digital way of working across the various product modules
Ensure SCRUM rituals are followed effectively
Contribute/support towards getting 1-2 new clients this financial year
4. PMP/PRINCE and AI
Complete PMP/PRINCE training and get certification
Leverage AI in day to day working - vibe coding, prepration/reuse of technical artefacts, unit/funcitonal test cases writing and automaiton etc.</t>
        </is>
      </c>
      <c r="EG278" s="53" t="inlineStr">
        <is>
          <t>ADGM POC completion
Process improvements
Initiate PMP/PRINCE Certification
Digital way of working and measurement of metrics through the tools</t>
        </is>
      </c>
      <c r="EH278" s="53" t="inlineStr">
        <is>
          <t>Exceed Expectations</t>
        </is>
      </c>
      <c r="EI278" s="54" t="n">
        <v>45931</v>
      </c>
      <c r="EJ278" s="53" t="inlineStr">
        <is>
          <t>Technical Architect</t>
        </is>
      </c>
      <c r="EK278" s="53" t="n"/>
      <c r="EL278" s="53" t="n">
        <v>4</v>
      </c>
      <c r="EM278" s="53" t="inlineStr">
        <is>
          <t>High</t>
        </is>
      </c>
      <c r="EN278" s="53" t="inlineStr">
        <is>
          <t>Trusted Professional</t>
        </is>
      </c>
      <c r="EO278" s="53" t="n"/>
      <c r="EP278" s="53" t="inlineStr">
        <is>
          <t>Y</t>
        </is>
      </c>
      <c r="EQ278" s="53" t="inlineStr">
        <is>
          <t>Y</t>
        </is>
      </c>
      <c r="ER278" s="53" t="n"/>
      <c r="ES278" s="53" t="inlineStr">
        <is>
          <t>Communications and Soft Skills</t>
        </is>
      </c>
      <c r="ET278" s="53" t="n"/>
      <c r="EU278" s="53" t="inlineStr">
        <is>
          <t>IRIS Instant - MBRS</t>
        </is>
      </c>
      <c r="EV278" s="53" t="n"/>
      <c r="EW278" s="52" t="n"/>
      <c r="EX278" s="53" t="n"/>
      <c r="EY278" s="53" t="n"/>
      <c r="EZ278" s="53" t="n"/>
      <c r="FA278" s="53" t="n"/>
      <c r="FB278" s="53" t="n"/>
      <c r="FC278" s="53" t="n"/>
      <c r="FD278" s="53" t="n"/>
      <c r="FE278" s="57" t="inlineStr">
        <is>
          <t>1. Account/Project Management
Ensure constant touch with clients and rapport building, especially SSM, RMA, IFSCA
Ensure project activities and implementation getting completed as per plan and within budget 
Ensure team members are continuosly getting opportunities to excel and able to contribute at a higher level productivity
2. Team Building
Develop future leaders. Ensure at least couple of team members are able to operate at a higher level independently by next year
Ensure constantly working towards reducing frictitions with the stakeholders and able to maintain professional decorum
3. Sales, Pre-sales, process adherence, &amp; strategic contributions
Contribute to business expansion through active participation in sales, pre-sales, solutioning, and proposal development support 
Ensure adoption of digital way of working across the various product modules
Ensure SCRUM rituals are followed effectively
Contribute/support towards getting 1-2 new clients this financial year
4. PMP/PRINCE and AI
Complete PMP/PRINCE training and get certification
Leverage AI in day to day working - vibe coding, prepration/reuse of technical artefacts, unit/funcitonal test cases writing and automaiton etc.</t>
        </is>
      </c>
      <c r="FF278" s="56" t="inlineStr">
        <is>
          <t>ADGM POC completion
Process improvements
Initiate PMP/PRINCE Certification
Digital way of working and measurement of metrics through the tools</t>
        </is>
      </c>
      <c r="FG278" s="56" t="n"/>
      <c r="FH278" s="56" t="inlineStr">
        <is>
          <t>Exceed Expectations</t>
        </is>
      </c>
      <c r="FI278" s="56" t="n"/>
      <c r="FJ278" s="56" t="inlineStr">
        <is>
          <t>Received · manager annual, quarterly</t>
        </is>
      </c>
      <c r="FK278" s="56" t="inlineStr">
        <is>
          <t>Talent Mapping · iFile collated</t>
        </is>
      </c>
      <c r="FL278" s="56" t="n">
        <v>20</v>
      </c>
      <c r="FM278" s="32" t="inlineStr">
        <is>
          <t>Full survey answers not in the files received · How We Grow export needed · HR</t>
        </is>
      </c>
      <c r="FN278" s="56" t="inlineStr">
        <is>
          <t>—</t>
        </is>
      </c>
      <c r="FO278" s="56" t="inlineStr">
        <is>
          <t>—</t>
        </is>
      </c>
      <c r="FP278" s="56" t="inlineStr">
        <is>
          <t>—</t>
        </is>
      </c>
      <c r="FQ278" s="56" t="inlineStr">
        <is>
          <t>—</t>
        </is>
      </c>
      <c r="FR278" s="56" t="inlineStr">
        <is>
          <t>Complexity: Evidence reads like B3: Designs solution architecture and integrations for client implementations in Bhutan, Jordan, Malaysia; assesses change-request impact → moved down 0.5
Autonomy: Evidence reads like B2: Decides architecture patterns, integration methods and technology options; gives CR effort estimates to clients → moved down 1
Accountability: Evidence reads like B2: Owns solution design, CR impact assessment and estimates across several client accounts → moved down 0.5
Leadership: Evidence reads like B1: Four direct reports; KRA: team building and developing future leaders; survey describes little people leadership → moved down 1
Business Impact: Moved +0.5: the survey / manager mapping marks it business-critical.</t>
        </is>
      </c>
      <c r="FS278" s="56" t="inlineStr">
        <is>
          <t>Common themes in role-holders' answers: technical · client · design · understanding · solution · application
Common themes in role-holders' answers: client · documentation · technical · solution · requirement · meeting
Common themes in role-holders' answers: solution · architecture · design
Common themes in role-holders' answers: client · if · solution · architecture · design · technical
Common themes in role-holders' answers: approach
If the work is missed · role-holders' themes: client · time.
Measured on · manager-set KRA themes: support · technical · project · completion · develop · year.</t>
        </is>
      </c>
      <c r="FT278" s="56" t="inlineStr">
        <is>
          <t>Self-identified: Leadership &amp; people management · Technical depth &amp; architecture
For the next role: Leadership &amp; people management · Technical depth &amp; architecture</t>
        </is>
      </c>
      <c r="FU278" s="32" t="inlineStr">
        <is>
          <t>Full survey answers not in the files received · How We Grow export needed · HR</t>
        </is>
      </c>
    </row>
    <row r="279" ht="90" customHeight="1">
      <c r="A279" s="51" t="inlineStr">
        <is>
          <t>◂ Back</t>
        </is>
      </c>
      <c r="B279" s="29" t="inlineStr">
        <is>
          <t>Mapped</t>
        </is>
      </c>
      <c r="C279" s="28" t="inlineStr">
        <is>
          <t>iFile</t>
        </is>
      </c>
      <c r="D279" s="29" t="inlineStr">
        <is>
          <t>IRIS2019</t>
        </is>
      </c>
      <c r="E279" s="29" t="inlineStr">
        <is>
          <t>Anup Salve</t>
        </is>
      </c>
      <c r="F279" s="29" t="inlineStr">
        <is>
          <t>Technology</t>
        </is>
      </c>
      <c r="G279" s="29" t="inlineStr">
        <is>
          <t>Lead Software Engineer</t>
        </is>
      </c>
      <c r="H279" s="29" t="inlineStr">
        <is>
          <t>Senior Technical Specialist – POD Lead</t>
        </is>
      </c>
      <c r="I279" s="29" t="inlineStr">
        <is>
          <t>L5 – Lead · IC</t>
        </is>
      </c>
      <c r="J279" s="29" t="inlineStr">
        <is>
          <t>B2</t>
        </is>
      </c>
      <c r="K279" s="29" t="inlineStr">
        <is>
          <t>▼ Down · protected</t>
        </is>
      </c>
      <c r="L279" s="29" t="inlineStr">
        <is>
          <t>Engineering &amp; Development</t>
        </is>
      </c>
      <c r="M279" s="29" t="inlineStr">
        <is>
          <t>Full-Stack Development</t>
        </is>
      </c>
      <c r="N279" s="29" t="n"/>
      <c r="O279" s="29" t="n">
        <v>20</v>
      </c>
      <c r="P279" s="28" t="inlineStr">
        <is>
          <t>P4 / M3</t>
        </is>
      </c>
      <c r="Q279" s="29" t="inlineStr">
        <is>
          <t>Senior / Manager</t>
        </is>
      </c>
      <c r="R279" s="29" t="inlineStr">
        <is>
          <t>4–5</t>
        </is>
      </c>
      <c r="S279" s="29" t="inlineStr">
        <is>
          <t>6–9 yrs</t>
        </is>
      </c>
      <c r="T279" s="29" t="inlineStr">
        <is>
          <t>7–10 · 6–11</t>
        </is>
      </c>
      <c r="U279" s="29" t="inlineStr">
        <is>
          <t>Lead / Staff Engineer</t>
        </is>
      </c>
      <c r="V279" s="29" t="inlineStr">
        <is>
          <t>Workiva: Senior SE · Broadridge India: Lead SE · Nasdaq / AxiomSL: Senior SE · Salesforce: SMTS · Atlassian: P50 Senior · 6–12 yrs · Freshworks: Lead SE</t>
        </is>
      </c>
      <c r="W279" s="29" t="inlineStr">
        <is>
          <t>SFIA 9 · software development, programming; OWASP secure coding; cloud vendor certifications</t>
        </is>
      </c>
      <c r="X279" s="29" t="inlineStr">
        <is>
          <t>Core 3 · Future 3 · Functional 4 · Leadership 3</t>
        </is>
      </c>
      <c r="Y279" s="52" t="n">
        <v>219</v>
      </c>
      <c r="Z279" s="53" t="inlineStr">
        <is>
          <t>IRIS2019</t>
        </is>
      </c>
      <c r="AA279" s="53" t="inlineStr">
        <is>
          <t>Employee</t>
        </is>
      </c>
      <c r="AB279" s="53" t="inlineStr">
        <is>
          <t>Active</t>
        </is>
      </c>
      <c r="AC279" s="53" t="inlineStr">
        <is>
          <t>Anup Salve</t>
        </is>
      </c>
      <c r="AD279" s="54" t="n">
        <v>44713</v>
      </c>
      <c r="AE279" s="53" t="inlineStr">
        <is>
          <t>Lead Software Engineer</t>
        </is>
      </c>
      <c r="AF279" s="53" t="inlineStr">
        <is>
          <t>B.E</t>
        </is>
      </c>
      <c r="AG279" s="53" t="inlineStr">
        <is>
          <t>Brij Kishor Singh</t>
        </is>
      </c>
      <c r="AH279" s="53" t="inlineStr">
        <is>
          <t>N-4</t>
        </is>
      </c>
      <c r="AI279" s="53" t="inlineStr">
        <is>
          <t>Manager</t>
        </is>
      </c>
      <c r="AJ279" s="53" t="inlineStr">
        <is>
          <t>8 years, 0 months, 0 days</t>
        </is>
      </c>
      <c r="AK279" s="53" t="inlineStr">
        <is>
          <t>4 years, 2 months, 24 days</t>
        </is>
      </c>
      <c r="AL279" s="53" t="inlineStr">
        <is>
          <t>Suptech</t>
        </is>
      </c>
      <c r="AM279" s="53" t="inlineStr">
        <is>
          <t>iFile</t>
        </is>
      </c>
      <c r="AN279" s="53" t="inlineStr">
        <is>
          <t>Technology</t>
        </is>
      </c>
      <c r="AO279" s="53" t="inlineStr">
        <is>
          <t>Development</t>
        </is>
      </c>
      <c r="AP279" s="53" t="inlineStr">
        <is>
          <t>Yes</t>
        </is>
      </c>
      <c r="AQ279" s="53" t="inlineStr">
        <is>
          <t>Product/Project</t>
        </is>
      </c>
      <c r="AR279" s="53" t="inlineStr">
        <is>
          <t>Java</t>
        </is>
      </c>
      <c r="AS279" s="53" t="inlineStr">
        <is>
          <t>Technical - Developer</t>
        </is>
      </c>
      <c r="AT279" s="53" t="n">
        <v>20</v>
      </c>
      <c r="AU279" s="53" t="inlineStr">
        <is>
          <t>Covered</t>
        </is>
      </c>
      <c r="AV279" s="53" t="n"/>
      <c r="AW279" s="53" t="n"/>
      <c r="AX279" s="53" t="n"/>
      <c r="AY279" s="53" t="n"/>
      <c r="AZ279" s="53" t="n"/>
      <c r="BA279" s="53" t="n"/>
      <c r="BB279" s="53" t="n"/>
      <c r="BC279" s="53" t="n"/>
      <c r="BD279" s="53" t="n"/>
      <c r="BE279" s="53" t="n"/>
      <c r="BF279" s="53" t="n"/>
      <c r="BG279" s="53" t="n"/>
      <c r="BH279" s="53" t="n"/>
      <c r="BI279" s="53" t="n"/>
      <c r="BJ279" s="53" t="n"/>
      <c r="BK279" s="53" t="n"/>
      <c r="BL279" s="53" t="n"/>
      <c r="BM279" s="53" t="n"/>
      <c r="BN279" s="53" t="n"/>
      <c r="BO279" s="53" t="n"/>
      <c r="BP279" s="53" t="n"/>
      <c r="BQ279" s="53" t="n"/>
      <c r="BR279" s="53" t="n"/>
      <c r="BS279" s="53" t="n"/>
      <c r="BT279" s="53" t="n"/>
      <c r="BU279" s="53" t="n"/>
      <c r="BV279" s="53" t="n"/>
      <c r="BW279" s="53" t="n"/>
      <c r="BX279" s="53" t="n"/>
      <c r="BY279" s="53" t="n"/>
      <c r="BZ279" s="53" t="n"/>
      <c r="CA279" s="53" t="n"/>
      <c r="CB279" s="53" t="n"/>
      <c r="CC279" s="53" t="n"/>
      <c r="CD279" s="53" t="n"/>
      <c r="CE279" s="53" t="n"/>
      <c r="CF279" s="53" t="n"/>
      <c r="CG279" s="53" t="n"/>
      <c r="CH279" s="53" t="n"/>
      <c r="CI279" s="53" t="n"/>
      <c r="CJ279" s="53" t="n"/>
      <c r="CK279" s="53" t="n"/>
      <c r="CL279" s="53" t="n"/>
      <c r="CM279" s="53" t="n"/>
      <c r="CN279" s="53" t="n"/>
      <c r="CO279" s="53" t="n"/>
      <c r="CP279" s="53" t="n"/>
      <c r="CQ279" s="53" t="n"/>
      <c r="CR279" s="53" t="n"/>
      <c r="CS279" s="53" t="n"/>
      <c r="CT279" s="53" t="n"/>
      <c r="CU279" s="53" t="n"/>
      <c r="CV279" s="53" t="n"/>
      <c r="CW279" s="53" t="n"/>
      <c r="CX279" s="53" t="n"/>
      <c r="CY279" s="53" t="n"/>
      <c r="CZ279" s="53" t="n"/>
      <c r="DA279" s="53" t="n"/>
      <c r="DB279" s="53" t="n"/>
      <c r="DC279" s="53" t="n"/>
      <c r="DD279" s="53" t="inlineStr">
        <is>
          <t>IRIS2019</t>
        </is>
      </c>
      <c r="DE279" s="53" t="inlineStr">
        <is>
          <t>Employee</t>
        </is>
      </c>
      <c r="DF279" s="53" t="inlineStr">
        <is>
          <t>Active</t>
        </is>
      </c>
      <c r="DG279" s="53" t="inlineStr">
        <is>
          <t>Anup Salve</t>
        </is>
      </c>
      <c r="DH279" s="54" t="n">
        <v>44713</v>
      </c>
      <c r="DI279" s="53" t="inlineStr">
        <is>
          <t>Lead Software Engineer</t>
        </is>
      </c>
      <c r="DJ279" s="53" t="inlineStr">
        <is>
          <t>Engineering &amp; Development</t>
        </is>
      </c>
      <c r="DK279" s="53" t="inlineStr">
        <is>
          <t>Backend Engineering · Java</t>
        </is>
      </c>
      <c r="DL279" s="53" t="inlineStr">
        <is>
          <t>Lead Software Engineer</t>
        </is>
      </c>
      <c r="DM279" s="53" t="inlineStr">
        <is>
          <t>L5 – Lead · IC</t>
        </is>
      </c>
      <c r="DN279" s="53" t="inlineStr">
        <is>
          <t>B.E</t>
        </is>
      </c>
      <c r="DO279" s="53" t="inlineStr">
        <is>
          <t>Brij Kishor Singh</t>
        </is>
      </c>
      <c r="DP279" s="53" t="inlineStr">
        <is>
          <t>N-3</t>
        </is>
      </c>
      <c r="DQ279" s="53" t="inlineStr">
        <is>
          <t>Manager</t>
        </is>
      </c>
      <c r="DR279" s="53" t="inlineStr">
        <is>
          <t>8 years, 0 months, 0 days</t>
        </is>
      </c>
      <c r="DS279" s="53" t="inlineStr">
        <is>
          <t>4 years, 0 months, 19 days</t>
        </is>
      </c>
      <c r="DT279" s="53" t="inlineStr">
        <is>
          <t>12 years, 0 months, 19 days</t>
        </is>
      </c>
      <c r="DU279" s="53" t="n">
        <v>4.05205479452055</v>
      </c>
      <c r="DV279" s="53" t="inlineStr">
        <is>
          <t>Suptech</t>
        </is>
      </c>
      <c r="DW279" s="53" t="inlineStr">
        <is>
          <t>iFile</t>
        </is>
      </c>
      <c r="DX279" s="53" t="inlineStr">
        <is>
          <t>Technology</t>
        </is>
      </c>
      <c r="DY279" s="53" t="inlineStr">
        <is>
          <t>Development</t>
        </is>
      </c>
      <c r="DZ279" s="53" t="inlineStr">
        <is>
          <t>Yes</t>
        </is>
      </c>
      <c r="EA279" s="53" t="inlineStr">
        <is>
          <t>Product/Project</t>
        </is>
      </c>
      <c r="EB279" s="53" t="inlineStr">
        <is>
          <t>Java</t>
        </is>
      </c>
      <c r="EC279" s="53" t="inlineStr">
        <is>
          <t>Technical - Developer</t>
        </is>
      </c>
      <c r="ED279" s="53" t="inlineStr">
        <is>
          <t>Remote- Outside Mumbai</t>
        </is>
      </c>
      <c r="EE279" s="53" t="inlineStr">
        <is>
          <t>1. Project Delivery &amp; Execution	
2. Application Performance &amp; Reliability	
3. Production Support
4. Team Mentoring &amp; Collaboration	
5. Documentation &amp; Compliance</t>
        </is>
      </c>
      <c r="EF279" s="53" t="inlineStr">
        <is>
          <t>1. Deliver team release roadmap on schedule: &gt;=90% of committed releases on time
2. Keep team sprint velocity stable and defect leakage &lt;=5%
3. Drive production stability: critical incidents resolved within SLA &gt;=95%
4. Reduce module-level tech debt by &gt;=15% via refactoring / reusable components
5. Ensure 100% of team has current quarterly goals and 1:1s logged monthly</t>
        </is>
      </c>
      <c r="EG279" s="53" t="inlineStr">
        <is>
          <t>Q1: RMS payment integration is smooth and automated for MBRS.
Q1: CRS Integration for MBRS
Q1: Drive production stability: critical incidents resolved within SLA &gt;=95%
Q1: SSM4U and UAM IntegrationQ1: RMS payment integration is smooth and automated for MBRS.
Q2: MBRS UAT 
Q2: MBRS FAT
Q2: MBRS Production Integration</t>
        </is>
      </c>
      <c r="EH279" s="53" t="n">
        <v>4</v>
      </c>
      <c r="EI279" s="54" t="n">
        <v>46174</v>
      </c>
      <c r="EJ279" s="53" t="inlineStr">
        <is>
          <t>Lead Software Engineer</t>
        </is>
      </c>
      <c r="EK279" s="53" t="inlineStr">
        <is>
          <t>No</t>
        </is>
      </c>
      <c r="EL279" s="53" t="n">
        <v>4</v>
      </c>
      <c r="EM279" s="53" t="inlineStr">
        <is>
          <t>Medium</t>
        </is>
      </c>
      <c r="EN279" s="53" t="inlineStr">
        <is>
          <t>Core Contributor</t>
        </is>
      </c>
      <c r="EO279" s="53" t="n"/>
      <c r="EP279" s="53" t="n"/>
      <c r="EQ279" s="53" t="n"/>
      <c r="ER279" s="53" t="inlineStr">
        <is>
          <t>Pradnaya Mhatre</t>
        </is>
      </c>
      <c r="ES279" s="53" t="inlineStr">
        <is>
          <t>Advanced Java; secure coding &amp; code-quality practices; unit/automated testing; system design fundamentals</t>
        </is>
      </c>
      <c r="ET279" s="53" t="inlineStr">
        <is>
          <t>strategic thinking, cross-functional influence</t>
        </is>
      </c>
      <c r="EU279" s="53" t="n"/>
      <c r="EV279" s="53" t="n"/>
      <c r="EW279" s="52" t="n"/>
      <c r="EX279" s="53" t="n"/>
      <c r="EY279" s="53" t="n"/>
      <c r="EZ279" s="53" t="n"/>
      <c r="FA279" s="53" t="n"/>
      <c r="FB279" s="53" t="n"/>
      <c r="FC279" s="53" t="n"/>
      <c r="FD279" s="53" t="n"/>
      <c r="FE279" s="57" t="inlineStr">
        <is>
          <t>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100% of team has current quarterly goals and 1:1s logged monthly</t>
        </is>
      </c>
      <c r="FF279" s="56" t="inlineStr">
        <is>
          <t>Q1: RMS payment integration is smooth and automated for MBRS.
Q1: CRS Integration for MBRS
Q1: Drive production stability: critical incidents resolved within SLA &gt;=95%
Q1: SSM4U and UAM IntegrationQ1: RMS payment integration is smooth and automated for MBRS.
Q2: MBRS UAT 
Q2: MBRS FAT
Q2: MBRS Production Integration</t>
        </is>
      </c>
      <c r="FG279" s="56" t="inlineStr">
        <is>
          <t>1. Project Delivery &amp; Execution	
2. Application Performance &amp; Reliability	
3. Production Support
4. Team Mentoring &amp; Collaboration	
5. Documentation &amp; Compliance</t>
        </is>
      </c>
      <c r="FH279" s="56" t="inlineStr">
        <is>
          <t>4</t>
        </is>
      </c>
      <c r="FI279" s="56" t="n"/>
      <c r="FJ279" s="56" t="inlineStr">
        <is>
          <t>Received · manager annual, quarterly, self</t>
        </is>
      </c>
      <c r="FK279" s="56" t="inlineStr">
        <is>
          <t>Talent Mapping · iFile collated</t>
        </is>
      </c>
      <c r="FL279" s="56" t="n">
        <v>20</v>
      </c>
      <c r="FM279" s="32" t="inlineStr">
        <is>
          <t>Full survey answers not in the files received · How We Grow export needed · HR</t>
        </is>
      </c>
      <c r="FN279" s="56" t="inlineStr">
        <is>
          <t>—</t>
        </is>
      </c>
      <c r="FO279" s="56" t="inlineStr">
        <is>
          <t>—</t>
        </is>
      </c>
      <c r="FP279" s="56" t="inlineStr">
        <is>
          <t>—</t>
        </is>
      </c>
      <c r="FQ279" s="56" t="inlineStr">
        <is>
          <t>—</t>
        </is>
      </c>
      <c r="FR279" s="56" t="inlineStr">
        <is>
          <t>Complexity: Evidence reads like B1: Designs application architecture; payment and SSO/SAML integrations; root-cause analysis across application, database and configuration → moved down 1
Autonomy: Evidence reads like B1: Reviews and merges team's code; gives clients ETAs, but informs seniors → moved down 1
Accountability: Evidence reads like B1: own survey / KRA answers · summarised by the rater; not quoted → moved down 0.5
Leadership: Evidence reads like B1: Handles and guides a team; 3 direct reports; code review and merging → moved down 0.5
Business Impact: No survey or manager-mapping signal on criticality: kept at the start point.</t>
        </is>
      </c>
      <c r="FS279" s="56" t="inlineStr">
        <is>
          <t>Common themes in sub-family holders, all levels' answers: software · develop · solutions · product · improve · business
Common themes in sub-family holders, all levels' answers: development · bug · fixing · feature · support · code
Common themes in sub-family holders, all levels' answers: features · software · fixes · bug · solutions · product
Common themes in sub-family holders, all levels' answers: accountable · production · development · quality · delivery · am
Common themes in sub-family holders, all levels' answers: code · implementation · technical · approaches · independently · decisions
If the work is missed · role-holders' themes: delays · rework · issues.</t>
        </is>
      </c>
      <c r="FT279" s="56" t="inlineStr">
        <is>
          <t>Self-identified: Technical depth &amp; architecture · Broader exposure &amp; ownership
For the next role: Leadership &amp; people management · Project / programme management · Technical depth &amp; architecture · Strategy &amp; business acumen · Broader exposure &amp; ownership</t>
        </is>
      </c>
      <c r="FU279" s="32" t="inlineStr">
        <is>
          <t>Full survey answers not in the files received · How We Grow export needed · HR</t>
        </is>
      </c>
    </row>
    <row r="280" ht="90" customHeight="1">
      <c r="A280" s="51" t="inlineStr">
        <is>
          <t>◂ Back</t>
        </is>
      </c>
      <c r="B280" s="29" t="inlineStr">
        <is>
          <t>Mapped</t>
        </is>
      </c>
      <c r="C280" s="28" t="inlineStr">
        <is>
          <t>iFile</t>
        </is>
      </c>
      <c r="D280" s="29" t="inlineStr">
        <is>
          <t>IRIS2508</t>
        </is>
      </c>
      <c r="E280" s="29" t="inlineStr">
        <is>
          <t>Ayush Saurkar</t>
        </is>
      </c>
      <c r="F280" s="29" t="inlineStr">
        <is>
          <t>Quality Assurance</t>
        </is>
      </c>
      <c r="G280" s="29" t="inlineStr">
        <is>
          <t>QA Engineer</t>
        </is>
      </c>
      <c r="H280" s="29" t="inlineStr">
        <is>
          <t>Senior QA Engineer</t>
        </is>
      </c>
      <c r="I280" s="29" t="inlineStr">
        <is>
          <t>L3 – Professional / Associate</t>
        </is>
      </c>
      <c r="J280" s="29" t="inlineStr">
        <is>
          <t>A3</t>
        </is>
      </c>
      <c r="K280" s="29" t="inlineStr">
        <is>
          <t>▲ Up</t>
        </is>
      </c>
      <c r="L280" s="29" t="inlineStr">
        <is>
          <t>Quality Assurance</t>
        </is>
      </c>
      <c r="M280" s="29" t="inlineStr">
        <is>
          <t>Functional &amp; Domain Testing</t>
        </is>
      </c>
      <c r="N280" s="29" t="n"/>
      <c r="O280" s="29" t="n">
        <v>19</v>
      </c>
      <c r="P280" s="28" t="inlineStr">
        <is>
          <t>P2</t>
        </is>
      </c>
      <c r="Q280" s="29" t="inlineStr">
        <is>
          <t>Developing</t>
        </is>
      </c>
      <c r="R280" s="29" t="inlineStr">
        <is>
          <t>3 Apply</t>
        </is>
      </c>
      <c r="S280" s="29" t="inlineStr">
        <is>
          <t>2–4 yrs</t>
        </is>
      </c>
      <c r="T280" s="29" t="inlineStr">
        <is>
          <t>3–5 · 2–5</t>
        </is>
      </c>
      <c r="U280" s="29" t="inlineStr">
        <is>
          <t>QA Engineer</t>
        </is>
      </c>
      <c r="V280" s="29" t="inlineStr">
        <is>
          <t>Workiva: SE · Broadridge India: SE · Nasdaq / AxiomSL: SE · IRIS Vs Market Benchmark — ISTQB certification pathway: Foundation</t>
        </is>
      </c>
      <c r="W280" s="29" t="inlineStr">
        <is>
          <t>ISTQB Foundation → Advanced → Expert; SFIA testing</t>
        </is>
      </c>
      <c r="X280" s="29" t="inlineStr">
        <is>
          <t>Core 2 · Future 2 · Functional 3 · Leadership not scored</t>
        </is>
      </c>
      <c r="Y280" s="52" t="n">
        <v>478</v>
      </c>
      <c r="Z280" s="53" t="inlineStr">
        <is>
          <t>IRIS2508</t>
        </is>
      </c>
      <c r="AA280" s="53" t="inlineStr">
        <is>
          <t>Employee</t>
        </is>
      </c>
      <c r="AB280" s="53" t="inlineStr">
        <is>
          <t>Active</t>
        </is>
      </c>
      <c r="AC280" s="53" t="inlineStr">
        <is>
          <t>Ayush Saurkar</t>
        </is>
      </c>
      <c r="AD280" s="54" t="n">
        <v>46118</v>
      </c>
      <c r="AE280" s="53" t="inlineStr">
        <is>
          <t>QA Engineer</t>
        </is>
      </c>
      <c r="AF280" s="53" t="inlineStr">
        <is>
          <t>B.Tech</t>
        </is>
      </c>
      <c r="AG280" s="53" t="inlineStr">
        <is>
          <t>Anup Salve</t>
        </is>
      </c>
      <c r="AH280" s="53" t="inlineStr">
        <is>
          <t>N-5</t>
        </is>
      </c>
      <c r="AI280" s="53" t="inlineStr">
        <is>
          <t>Individual Contributor</t>
        </is>
      </c>
      <c r="AJ280" s="53" t="inlineStr">
        <is>
          <t>2 years, 2 months, 0 days</t>
        </is>
      </c>
      <c r="AK280" s="53" t="inlineStr">
        <is>
          <t>0 years, 4 months, 19 days</t>
        </is>
      </c>
      <c r="AL280" s="53" t="inlineStr">
        <is>
          <t>Suptech</t>
        </is>
      </c>
      <c r="AM280" s="53" t="inlineStr">
        <is>
          <t>iFile</t>
        </is>
      </c>
      <c r="AN280" s="53" t="inlineStr">
        <is>
          <t>Quality Assurance</t>
        </is>
      </c>
      <c r="AO280" s="53" t="inlineStr">
        <is>
          <t>Quality Assurance</t>
        </is>
      </c>
      <c r="AP280" s="53" t="inlineStr">
        <is>
          <t>No</t>
        </is>
      </c>
      <c r="AQ280" s="53" t="inlineStr">
        <is>
          <t>Product/Project</t>
        </is>
      </c>
      <c r="AR280" s="53" t="inlineStr">
        <is>
          <t>Software Testing</t>
        </is>
      </c>
      <c r="AS280" s="53" t="inlineStr">
        <is>
          <t>Technical · BA, PM and QA</t>
        </is>
      </c>
      <c r="AT280" s="53" t="n">
        <v>20</v>
      </c>
      <c r="AU280" s="53" t="inlineStr">
        <is>
          <t>Covered</t>
        </is>
      </c>
      <c r="AV280" s="53" t="n"/>
      <c r="AW280" s="53" t="n"/>
      <c r="AX280" s="53" t="n"/>
      <c r="AY280" s="53" t="n"/>
      <c r="AZ280" s="53" t="n"/>
      <c r="BA280" s="53" t="n"/>
      <c r="BB280" s="53" t="n"/>
      <c r="BC280" s="53" t="n"/>
      <c r="BD280" s="53" t="n"/>
      <c r="BE280" s="53" t="n"/>
      <c r="BF280" s="53" t="n"/>
      <c r="BG280" s="53" t="n"/>
      <c r="BH280" s="53" t="n"/>
      <c r="BI280" s="53" t="n"/>
      <c r="BJ280" s="53" t="n"/>
      <c r="BK280" s="53" t="n"/>
      <c r="BL280" s="53" t="n"/>
      <c r="BM280" s="53" t="n"/>
      <c r="BN280" s="53" t="n"/>
      <c r="BO280" s="53" t="n"/>
      <c r="BP280" s="53" t="n"/>
      <c r="BQ280" s="53" t="n"/>
      <c r="BR280" s="53" t="n"/>
      <c r="BS280" s="53" t="n"/>
      <c r="BT280" s="53" t="n"/>
      <c r="BU280" s="53" t="n"/>
      <c r="BV280" s="53" t="n"/>
      <c r="BW280" s="53" t="n"/>
      <c r="BX280" s="53" t="n"/>
      <c r="BY280" s="53" t="n"/>
      <c r="BZ280" s="53" t="n"/>
      <c r="CA280" s="53" t="n"/>
      <c r="CB280" s="53" t="n"/>
      <c r="CC280" s="53" t="n"/>
      <c r="CD280" s="53" t="n"/>
      <c r="CE280" s="53" t="n"/>
      <c r="CF280" s="53" t="n"/>
      <c r="CG280" s="53" t="n"/>
      <c r="CH280" s="53" t="n"/>
      <c r="CI280" s="53" t="n"/>
      <c r="CJ280" s="53" t="n"/>
      <c r="CK280" s="53" t="n"/>
      <c r="CL280" s="53" t="n"/>
      <c r="CM280" s="53" t="n"/>
      <c r="CN280" s="53" t="n"/>
      <c r="CO280" s="53" t="n"/>
      <c r="CP280" s="53" t="n"/>
      <c r="CQ280" s="53" t="n"/>
      <c r="CR280" s="53" t="n"/>
      <c r="CS280" s="53" t="n"/>
      <c r="CT280" s="53" t="n"/>
      <c r="CU280" s="53" t="n"/>
      <c r="CV280" s="53" t="n"/>
      <c r="CW280" s="53" t="n"/>
      <c r="CX280" s="53" t="n"/>
      <c r="CY280" s="53" t="n"/>
      <c r="CZ280" s="53" t="n"/>
      <c r="DA280" s="53" t="n"/>
      <c r="DB280" s="53" t="n"/>
      <c r="DC280" s="53" t="n"/>
      <c r="DD280" s="53" t="inlineStr">
        <is>
          <t>IRIS2508</t>
        </is>
      </c>
      <c r="DE280" s="53" t="inlineStr">
        <is>
          <t>Employee</t>
        </is>
      </c>
      <c r="DF280" s="53" t="inlineStr">
        <is>
          <t>Active</t>
        </is>
      </c>
      <c r="DG280" s="53" t="inlineStr">
        <is>
          <t>Ayush Saurkar</t>
        </is>
      </c>
      <c r="DH280" s="54" t="n">
        <v>46118</v>
      </c>
      <c r="DI280" s="53" t="inlineStr">
        <is>
          <t>QA Engineer</t>
        </is>
      </c>
      <c r="DJ280" s="53" t="inlineStr">
        <is>
          <t>Quality Assurance</t>
        </is>
      </c>
      <c r="DK280" s="53" t="inlineStr">
        <is>
          <t>Quality Engineering</t>
        </is>
      </c>
      <c r="DL280" s="53" t="inlineStr">
        <is>
          <t>QA Engineer</t>
        </is>
      </c>
      <c r="DM280" s="53" t="inlineStr">
        <is>
          <t>L3 – Professional / Associate</t>
        </is>
      </c>
      <c r="DN280" s="53" t="inlineStr">
        <is>
          <t>B.Tech</t>
        </is>
      </c>
      <c r="DO280" s="53" t="inlineStr">
        <is>
          <t>Anup Salve</t>
        </is>
      </c>
      <c r="DP280" s="53" t="inlineStr">
        <is>
          <t>N-4</t>
        </is>
      </c>
      <c r="DQ280" s="53" t="inlineStr">
        <is>
          <t>Individual Contributor</t>
        </is>
      </c>
      <c r="DR280" s="53" t="inlineStr">
        <is>
          <t>2 years, 2 months, 0 days</t>
        </is>
      </c>
      <c r="DS280" s="53" t="inlineStr">
        <is>
          <t>0 years, 2 months, 14 days</t>
        </is>
      </c>
      <c r="DT280" s="53" t="inlineStr">
        <is>
          <t>2 years, 4 months, 14 days</t>
        </is>
      </c>
      <c r="DU280" s="53" t="n"/>
      <c r="DV280" s="53" t="inlineStr">
        <is>
          <t>Suptech</t>
        </is>
      </c>
      <c r="DW280" s="53" t="inlineStr">
        <is>
          <t>iFile</t>
        </is>
      </c>
      <c r="DX280" s="53" t="inlineStr">
        <is>
          <t>Quality Assurance</t>
        </is>
      </c>
      <c r="DY280" s="53" t="inlineStr">
        <is>
          <t>Quality Assurance</t>
        </is>
      </c>
      <c r="DZ280" s="53" t="inlineStr">
        <is>
          <t>No</t>
        </is>
      </c>
      <c r="EA280" s="53" t="inlineStr">
        <is>
          <t>Product/Project</t>
        </is>
      </c>
      <c r="EB280" s="53" t="inlineStr">
        <is>
          <t>Software Testing</t>
        </is>
      </c>
      <c r="EC280" s="53" t="inlineStr">
        <is>
          <t>Technical · BA, PM and QA</t>
        </is>
      </c>
      <c r="ED280" s="53" t="inlineStr">
        <is>
          <t>Client Side</t>
        </is>
      </c>
      <c r="EE280" s="53" t="inlineStr">
        <is>
          <t>1. Improve Defect Detection and Reporting
2. Improve Defect Detection and Reporting
3. Support Smooth and Quality Releases
4. Enhance Test Coverage
5. Build Automation Testing Skills</t>
        </is>
      </c>
      <c r="EF280" s="53" t="inlineStr">
        <is>
          <t>1. Achieve &gt;=95% test case execution coverage for each assigned release
2. Keep defect detection effectiveness &gt;=90% · defects caught pre-production
3. Automate &gt;=20% of repetitive/regression test cases over the year
4. Maintain test documentation &amp; defect logs with 100% traceability to requirements
5. Reduce average defect turnaround · report-to-verify to within agreed SLA
6. Keep production escape defects on owned modules to &lt;=3% of total defects</t>
        </is>
      </c>
      <c r="EG280" s="53" t="inlineStr">
        <is>
          <t>Q1: Achieve &gt;=95% test case execution coverage for each assigned release
Q1: Keep defect detection effectiveness &gt;=90% · defects caught pre-production
Q1: Automate &gt;=20% of repetitive/regression test cases this quarter
Q1: Maintain test documentation &amp; defect logs with 100% traceability to requirements
Q2: Strengthen Technical and Domain Knowledge
Q2: Improve Test Process and Standards
Q2: Support Faster and More Reliable Releases
Q2: To ensure the DRR Portal application remains stable, reliable, and defect-free by validating functionality
Q2: Support Faster and More Reliable Releases</t>
        </is>
      </c>
      <c r="EH280" s="53" t="n">
        <v>2</v>
      </c>
      <c r="EI280" s="54" t="n">
        <v>46143</v>
      </c>
      <c r="EJ280" s="53" t="inlineStr">
        <is>
          <t>QA Engineer</t>
        </is>
      </c>
      <c r="EK280" s="53" t="inlineStr">
        <is>
          <t>No</t>
        </is>
      </c>
      <c r="EL280" s="53" t="n">
        <v>2</v>
      </c>
      <c r="EM280" s="53" t="inlineStr">
        <is>
          <t>Medium</t>
        </is>
      </c>
      <c r="EN280" s="53" t="inlineStr">
        <is>
          <t>Emerging Talent</t>
        </is>
      </c>
      <c r="EO280" s="53" t="n"/>
      <c r="EP280" s="53" t="n"/>
      <c r="EQ280" s="53" t="n"/>
      <c r="ER280" s="53" t="n"/>
      <c r="ES280" s="53" t="inlineStr">
        <is>
          <t>Test automation frameworks · Selenium/Playwright; API testing; CI/CD test integration; defect analytics</t>
        </is>
      </c>
      <c r="ET280" s="53" t="inlineStr">
        <is>
          <t>Transition to leadership: people management &amp; delegation, mentoring/coaching, project ownership &amp; stakeholder management, prioritisation under ambiguity, presentation &amp; influence skills</t>
        </is>
      </c>
      <c r="EU280" s="53" t="n"/>
      <c r="EV280" s="53" t="n"/>
      <c r="EW280" s="52" t="n"/>
      <c r="EX280" s="53" t="n"/>
      <c r="EY280" s="53" t="n"/>
      <c r="EZ280" s="53" t="n"/>
      <c r="FA280" s="53" t="n"/>
      <c r="FB280" s="53" t="n"/>
      <c r="FC280" s="53" t="n"/>
      <c r="FD280" s="53" t="n"/>
      <c r="FE280" s="57" t="inlineStr">
        <is>
          <t>1. Achieve &gt;=95% test case execution coverage for each assigned release
2. Keep defect detection effectiveness &gt;=90% · defects caught pre-production
3. Automate &gt;=20% of repetitive/regression test cases over the year
4. Maintain test documentation &amp; defect logs with 100% traceability to requirements
5. Reduce average defect turnaround · report-to-verify to within agreed SLA
6. Keep production escape defects on owned modules to &lt;=3% of total defects</t>
        </is>
      </c>
      <c r="FF280" s="56" t="inlineStr">
        <is>
          <t>Q1: Achieve &gt;=95% test case execution coverage for each assigned release
Q1: Keep defect detection effectiveness &gt;=90% · defects caught pre-production
Q1: Automate &gt;=20% of repetitive/regression test cases this quarter
Q1: Maintain test documentation &amp; defect logs with 100% traceability to requirements
Q2: Strengthen Technical and Domain Knowledge
Q2: Improve Test Process and Standards
Q2: Support Faster and More Reliable Releases
Q2: To ensure the DRR Portal application remains stable, reliable, and defect-free by validating functionality
Q2: Support Faster and More Reliable Releases</t>
        </is>
      </c>
      <c r="FG280" s="56" t="inlineStr">
        <is>
          <t>1. Improve Defect Detection and Reporting
2. Improve Defect Detection and Reporting
3. Support Smooth and Quality Releases
4. Enhance Test Coverage
5. Build Automation Testing Skills</t>
        </is>
      </c>
      <c r="FH280" s="56" t="inlineStr">
        <is>
          <t>2</t>
        </is>
      </c>
      <c r="FI280" s="56" t="n"/>
      <c r="FJ280" s="56" t="inlineStr">
        <is>
          <t>Received · manager annual, quarterly, self</t>
        </is>
      </c>
      <c r="FK280" s="56" t="inlineStr">
        <is>
          <t>Talent Mapping · iFile collated</t>
        </is>
      </c>
      <c r="FL280" s="56" t="n">
        <v>19</v>
      </c>
      <c r="FM280" s="32" t="inlineStr">
        <is>
          <t>Full survey answers not in the files received · How We Grow export needed · HR</t>
        </is>
      </c>
      <c r="FN280" s="56" t="inlineStr">
        <is>
          <t>—</t>
        </is>
      </c>
      <c r="FO280" s="56" t="inlineStr">
        <is>
          <t>—</t>
        </is>
      </c>
      <c r="FP280" s="56" t="inlineStr">
        <is>
          <t>—</t>
        </is>
      </c>
      <c r="FQ280" s="56" t="inlineStr">
        <is>
          <t>—</t>
        </is>
      </c>
      <c r="FR280" s="56" t="inlineStr">
        <is>
          <t>Complexity: Evidence reads like A2: Test case preparation, testing and retesting; smoke testing tracked in QuickScrum and Jira → matches the start
Autonomy: Evidence reads like A2: Only decides to investigate an issue → matches the start
Accountability: Evidence reads like A2: Own test case preparation and testing → matches the start
Leadership: Evidence reads like A1: No guiding or leading of others described → matches the start
Business Impact: No survey or manager-mapping signal on criticality: kept at the start point.</t>
        </is>
      </c>
      <c r="FS280" s="56"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FT280" s="56" t="inlineStr">
        <is>
          <t>Self-identified: AI / automation · Testing &amp; quality
For the next role: AI / automation · Testing &amp; quality</t>
        </is>
      </c>
      <c r="FU280" s="32" t="inlineStr">
        <is>
          <t>Full survey answers not in the files received · How We Grow export needed · HR</t>
        </is>
      </c>
    </row>
    <row r="281" ht="90" customHeight="1">
      <c r="A281" s="51" t="inlineStr">
        <is>
          <t>◂ Back</t>
        </is>
      </c>
      <c r="B281" s="29" t="inlineStr">
        <is>
          <t>Mapped</t>
        </is>
      </c>
      <c r="C281" s="28" t="inlineStr">
        <is>
          <t>iFile</t>
        </is>
      </c>
      <c r="D281" s="29" t="inlineStr">
        <is>
          <t>IRIS2524</t>
        </is>
      </c>
      <c r="E281" s="29" t="inlineStr">
        <is>
          <t>Chetna Vijay Nile</t>
        </is>
      </c>
      <c r="F281" s="29" t="inlineStr">
        <is>
          <t>Technology</t>
        </is>
      </c>
      <c r="G281" s="29" t="inlineStr">
        <is>
          <t>Software Engineer</t>
        </is>
      </c>
      <c r="H281" s="29" t="inlineStr">
        <is>
          <t>Software Engineer</t>
        </is>
      </c>
      <c r="I281" s="29" t="inlineStr">
        <is>
          <t>L3 – Professional / Associate</t>
        </is>
      </c>
      <c r="J281" s="29" t="inlineStr">
        <is>
          <t>A2</t>
        </is>
      </c>
      <c r="K281" s="29" t="inlineStr">
        <is>
          <t>• Same level</t>
        </is>
      </c>
      <c r="L281" s="29" t="inlineStr">
        <is>
          <t>Engineering &amp; Development</t>
        </is>
      </c>
      <c r="M281" s="29" t="inlineStr">
        <is>
          <t>Full-Stack Development</t>
        </is>
      </c>
      <c r="N281" s="29" t="n"/>
      <c r="O281" s="29" t="n">
        <v>19</v>
      </c>
      <c r="P281" s="28" t="inlineStr">
        <is>
          <t>P1–P2</t>
        </is>
      </c>
      <c r="Q281" s="29" t="inlineStr">
        <is>
          <t>Entry / Developing</t>
        </is>
      </c>
      <c r="R281" s="29" t="inlineStr">
        <is>
          <t>2 Assist</t>
        </is>
      </c>
      <c r="S281" s="29" t="inlineStr">
        <is>
          <t>0–2 yrs</t>
        </is>
      </c>
      <c r="T281" s="29" t="inlineStr">
        <is>
          <t>1–3 · 0–3</t>
        </is>
      </c>
      <c r="U281" s="29" t="inlineStr">
        <is>
          <t>Associate Software Engineer / Software Engineer</t>
        </is>
      </c>
      <c r="V281" s="29" t="inlineStr">
        <is>
          <t>Workiva: Associate SE · Broadridge India: SE · Nasdaq / AxiomSL: SE · Salesforce: AMTS · Atlassian: P30 Junior · 0–2 yrs · Freshworks: SE</t>
        </is>
      </c>
      <c r="W281" s="29" t="inlineStr">
        <is>
          <t>SFIA 9 · software development, programming; OWASP secure coding; cloud vendor certifications</t>
        </is>
      </c>
      <c r="X281" s="29" t="inlineStr">
        <is>
          <t>Core 2 · Future 2 · Functional 2 · Leadership not scored</t>
        </is>
      </c>
      <c r="Y281" s="52" t="n">
        <v>494</v>
      </c>
      <c r="Z281" s="53" t="inlineStr">
        <is>
          <t>IRIS2524</t>
        </is>
      </c>
      <c r="AA281" s="53" t="inlineStr">
        <is>
          <t>Employee</t>
        </is>
      </c>
      <c r="AB281" s="53" t="inlineStr">
        <is>
          <t>Active</t>
        </is>
      </c>
      <c r="AC281" s="53" t="inlineStr">
        <is>
          <t>Chetna Vijay Nile</t>
        </is>
      </c>
      <c r="AD281" s="54" t="n">
        <v>46135</v>
      </c>
      <c r="AE281" s="53" t="inlineStr">
        <is>
          <t>Software Engineer</t>
        </is>
      </c>
      <c r="AF281" s="53" t="inlineStr">
        <is>
          <t>PGDM</t>
        </is>
      </c>
      <c r="AG281" s="53" t="inlineStr">
        <is>
          <t>Anup Salve</t>
        </is>
      </c>
      <c r="AH281" s="53" t="inlineStr">
        <is>
          <t>N-5</t>
        </is>
      </c>
      <c r="AI281" s="53" t="inlineStr">
        <is>
          <t>Individual Contributor</t>
        </is>
      </c>
      <c r="AJ281" s="53" t="inlineStr">
        <is>
          <t>0 years, 0 months, 0 days</t>
        </is>
      </c>
      <c r="AK281" s="53" t="inlineStr">
        <is>
          <t>0 years, 4 months, 2 days</t>
        </is>
      </c>
      <c r="AL281" s="53" t="inlineStr">
        <is>
          <t>Suptech</t>
        </is>
      </c>
      <c r="AM281" s="53" t="inlineStr">
        <is>
          <t>iFile</t>
        </is>
      </c>
      <c r="AN281" s="53" t="inlineStr">
        <is>
          <t>Technology</t>
        </is>
      </c>
      <c r="AO281" s="53" t="inlineStr">
        <is>
          <t>Development</t>
        </is>
      </c>
      <c r="AP281" s="53" t="inlineStr">
        <is>
          <t>Yes</t>
        </is>
      </c>
      <c r="AQ281" s="53" t="inlineStr">
        <is>
          <t>Product/Project</t>
        </is>
      </c>
      <c r="AR281" s="53" t="inlineStr">
        <is>
          <t>Java + Angular</t>
        </is>
      </c>
      <c r="AS281" s="53" t="inlineStr">
        <is>
          <t>Technical - Developer</t>
        </is>
      </c>
      <c r="AT281" s="53" t="n">
        <v>20</v>
      </c>
      <c r="AU281" s="53" t="inlineStr">
        <is>
          <t>Covered</t>
        </is>
      </c>
      <c r="AV281" s="53" t="n"/>
      <c r="AW281" s="53" t="n"/>
      <c r="AX281" s="53" t="n"/>
      <c r="AY281" s="53" t="n"/>
      <c r="AZ281" s="53" t="n"/>
      <c r="BA281" s="53" t="n"/>
      <c r="BB281" s="53" t="n"/>
      <c r="BC281" s="53" t="n"/>
      <c r="BD281" s="53" t="n"/>
      <c r="BE281" s="53" t="n"/>
      <c r="BF281" s="53" t="n"/>
      <c r="BG281" s="53" t="n"/>
      <c r="BH281" s="53" t="n"/>
      <c r="BI281" s="53" t="n"/>
      <c r="BJ281" s="53" t="n"/>
      <c r="BK281" s="53" t="n"/>
      <c r="BL281" s="53" t="n"/>
      <c r="BM281" s="53" t="n"/>
      <c r="BN281" s="53" t="n"/>
      <c r="BO281" s="53" t="n"/>
      <c r="BP281" s="53" t="n"/>
      <c r="BQ281" s="53" t="n"/>
      <c r="BR281" s="53" t="n"/>
      <c r="BS281" s="53" t="n"/>
      <c r="BT281" s="53" t="n"/>
      <c r="BU281" s="53" t="n"/>
      <c r="BV281" s="53" t="n"/>
      <c r="BW281" s="53" t="n"/>
      <c r="BX281" s="53" t="n"/>
      <c r="BY281" s="53" t="n"/>
      <c r="BZ281" s="53" t="n"/>
      <c r="CA281" s="53" t="n"/>
      <c r="CB281" s="53" t="n"/>
      <c r="CC281" s="53" t="n"/>
      <c r="CD281" s="53" t="n"/>
      <c r="CE281" s="53" t="n"/>
      <c r="CF281" s="53" t="n"/>
      <c r="CG281" s="53" t="n"/>
      <c r="CH281" s="53" t="n"/>
      <c r="CI281" s="53" t="n"/>
      <c r="CJ281" s="53" t="n"/>
      <c r="CK281" s="53" t="n"/>
      <c r="CL281" s="53" t="n"/>
      <c r="CM281" s="53" t="n"/>
      <c r="CN281" s="53" t="n"/>
      <c r="CO281" s="53" t="n"/>
      <c r="CP281" s="53" t="n"/>
      <c r="CQ281" s="53" t="n"/>
      <c r="CR281" s="53" t="n"/>
      <c r="CS281" s="53" t="n"/>
      <c r="CT281" s="53" t="n"/>
      <c r="CU281" s="53" t="n"/>
      <c r="CV281" s="53" t="n"/>
      <c r="CW281" s="53" t="n"/>
      <c r="CX281" s="53" t="n"/>
      <c r="CY281" s="53" t="n"/>
      <c r="CZ281" s="53" t="n"/>
      <c r="DA281" s="53" t="n"/>
      <c r="DB281" s="53" t="n"/>
      <c r="DC281" s="53" t="n"/>
      <c r="DD281" s="53" t="inlineStr">
        <is>
          <t>IRIS2524</t>
        </is>
      </c>
      <c r="DE281" s="53" t="inlineStr">
        <is>
          <t>Employee</t>
        </is>
      </c>
      <c r="DF281" s="53" t="inlineStr">
        <is>
          <t>Active</t>
        </is>
      </c>
      <c r="DG281" s="53" t="inlineStr">
        <is>
          <t>Chetna Vijay Nile</t>
        </is>
      </c>
      <c r="DH281" s="54" t="n">
        <v>46135</v>
      </c>
      <c r="DI281" s="53" t="inlineStr">
        <is>
          <t>Software Engineer</t>
        </is>
      </c>
      <c r="DJ281" s="53" t="inlineStr">
        <is>
          <t>Engineering &amp; Development</t>
        </is>
      </c>
      <c r="DK281" s="53" t="inlineStr">
        <is>
          <t>Backend Engineering · Java</t>
        </is>
      </c>
      <c r="DL281" s="53" t="inlineStr">
        <is>
          <t>Software Engineer</t>
        </is>
      </c>
      <c r="DM281" s="53" t="inlineStr">
        <is>
          <t>L3 – Professional / Associate</t>
        </is>
      </c>
      <c r="DN281" s="53" t="inlineStr">
        <is>
          <t>PGDM</t>
        </is>
      </c>
      <c r="DO281" s="53" t="inlineStr">
        <is>
          <t>Anup Salve</t>
        </is>
      </c>
      <c r="DP281" s="53" t="inlineStr">
        <is>
          <t>N-4</t>
        </is>
      </c>
      <c r="DQ281" s="53" t="inlineStr">
        <is>
          <t>Individual Contributor</t>
        </is>
      </c>
      <c r="DR281" s="53" t="inlineStr">
        <is>
          <t>0 years, 0 months, 0 days</t>
        </is>
      </c>
      <c r="DS281" s="53" t="inlineStr">
        <is>
          <t>0 years, 1 months, 28 days</t>
        </is>
      </c>
      <c r="DT281" s="53" t="inlineStr">
        <is>
          <t>0 years, 1 months, 28 days</t>
        </is>
      </c>
      <c r="DU281" s="53" t="n"/>
      <c r="DV281" s="53" t="inlineStr">
        <is>
          <t>Suptech</t>
        </is>
      </c>
      <c r="DW281" s="53" t="inlineStr">
        <is>
          <t>iFile</t>
        </is>
      </c>
      <c r="DX281" s="53" t="inlineStr">
        <is>
          <t>Technology</t>
        </is>
      </c>
      <c r="DY281" s="53" t="inlineStr">
        <is>
          <t>Development</t>
        </is>
      </c>
      <c r="DZ281" s="53" t="inlineStr">
        <is>
          <t>Yes</t>
        </is>
      </c>
      <c r="EA281" s="53" t="inlineStr">
        <is>
          <t>Product/Project</t>
        </is>
      </c>
      <c r="EB281" s="53" t="inlineStr">
        <is>
          <t>Java + Angular</t>
        </is>
      </c>
      <c r="EC281" s="53" t="inlineStr">
        <is>
          <t>Technical - Developer</t>
        </is>
      </c>
      <c r="ED281" s="53" t="inlineStr">
        <is>
          <t>Client Side</t>
        </is>
      </c>
      <c r="EE281" s="53" t="inlineStr">
        <is>
          <t>1. Learn complete teapot codebase
2. Understance the teapot development work flow
3. Understande the teapot services
4. Sove assigned bug in agreed timeline
5. Be ready to take ownership of any new development module</t>
        </is>
      </c>
      <c r="EF281" s="53" t="inlineStr">
        <is>
          <t>1. Deliver committed sprint stories with &gt;=90% sprint commitment adherence across the year
2. Maintain code quality: defect leakage to QA/UAT &lt;=5% of delivered stories
3. Improve unit-test / automated coverage on owned modules by &gt;=15 percentage points
4. Contribute to &gt;=2 reusable components / technical improvements · reduction in tech debt
5. Complete peer code reviews within 24 hrs; &lt;=2 rework cycles per PR on average
6. Understand the complete teapot code base</t>
        </is>
      </c>
      <c r="EG281" s="53" t="inlineStr">
        <is>
          <t>Q1: Deliver committed sprint stories with &gt;=90% sprint commitment adherence this quarter
Q1: Maintain code quality
Q1: Resolve assigned  bugs within agreed timeline
Q1: Improve unit-test / automated coverage on owned modules by &gt;=15 percentage points
Q2:  Understand the code commit process in teapot
Q2: Develop any assigned module independently
Q2:  Improve efficiency to resolve bugs
Q2: Understance the business workflow</t>
        </is>
      </c>
      <c r="EH281" s="53" t="n">
        <v>2</v>
      </c>
      <c r="EI281" s="54" t="n">
        <v>46143</v>
      </c>
      <c r="EJ281" s="53" t="inlineStr">
        <is>
          <t>Software Engineer</t>
        </is>
      </c>
      <c r="EK281" s="53" t="inlineStr">
        <is>
          <t>No</t>
        </is>
      </c>
      <c r="EL281" s="53" t="n">
        <v>2</v>
      </c>
      <c r="EM281" s="53" t="inlineStr">
        <is>
          <t>Low</t>
        </is>
      </c>
      <c r="EN281" s="53" t="inlineStr">
        <is>
          <t>Emerging Talent</t>
        </is>
      </c>
      <c r="EO281" s="53" t="n"/>
      <c r="EP281" s="53" t="n"/>
      <c r="EQ281" s="53" t="n"/>
      <c r="ER281" s="53" t="n"/>
      <c r="ES281" s="53" t="inlineStr">
        <is>
          <t>Advanced Java + Angular; secure coding &amp; code-quality practices; unit/automated testing; system design fundamentals</t>
        </is>
      </c>
      <c r="ET281" s="53" t="inlineStr">
        <is>
          <t>Transition to leadership: people management &amp; delegation, mentoring/coaching, project ownership &amp; stakeholder management, prioritisation under ambiguity, presentation &amp; influence skills</t>
        </is>
      </c>
      <c r="EU281" s="53" t="n"/>
      <c r="EV281" s="53" t="n"/>
      <c r="EW281" s="52" t="n"/>
      <c r="EX281" s="53" t="n"/>
      <c r="EY281" s="53" t="n"/>
      <c r="EZ281" s="53" t="n"/>
      <c r="FA281" s="53" t="n"/>
      <c r="FB281" s="53" t="n"/>
      <c r="FC281" s="53" t="n"/>
      <c r="FD281" s="53" t="n"/>
      <c r="FE281" s="57" t="inlineStr">
        <is>
          <t>1. Deliver committed sprint stories with &gt;=90% sprint commitment adherence across the year
2. Maintain code quality: defect leakage to QA/UAT &lt;=5% of delivered stories
3. Improve unit-test / automated coverage on owned modules by &gt;=15 percentage points
4. Contribute to &gt;=2 reusable components / technical improvements · reduction in tech debt
5. Complete peer code reviews within 24 hrs; &lt;=2 rework cycles per PR on average
6. Understand the complete teapot code base</t>
        </is>
      </c>
      <c r="FF281" s="56" t="inlineStr">
        <is>
          <t>Q1: Deliver committed sprint stories with &gt;=90% sprint commitment adherence this quarter
Q1: Maintain code quality
Q1: Resolve assigned  bugs within agreed timeline
Q1: Improve unit-test / automated coverage on owned modules by &gt;=15 percentage points
Q2:  Understand the code commit process in teapot
Q2: Develop any assigned module independently
Q2:  Improve efficiency to resolve bugs
Q2: Understance the business workflow</t>
        </is>
      </c>
      <c r="FG281" s="56" t="inlineStr">
        <is>
          <t>1. Learn complete teapot codebase
2. Understance the teapot development work flow
3. Understande the teapot services
4. Sove assigned bug in agreed timeline
5. Be ready to take ownership of any new development module</t>
        </is>
      </c>
      <c r="FH281" s="56" t="inlineStr">
        <is>
          <t>2</t>
        </is>
      </c>
      <c r="FI281" s="56" t="n"/>
      <c r="FJ281" s="56" t="inlineStr">
        <is>
          <t>Received · manager annual, quarterly, self</t>
        </is>
      </c>
      <c r="FK281" s="56" t="inlineStr">
        <is>
          <t>Talent Mapping · iFile collated</t>
        </is>
      </c>
      <c r="FL281" s="56" t="n">
        <v>19</v>
      </c>
      <c r="FM281" s="32" t="inlineStr">
        <is>
          <t>Full survey answers not in the files received · How We Grow export needed · HR</t>
        </is>
      </c>
      <c r="FN281" s="56" t="inlineStr">
        <is>
          <t>—</t>
        </is>
      </c>
      <c r="FO281" s="56" t="inlineStr">
        <is>
          <t>—</t>
        </is>
      </c>
      <c r="FP281" s="56" t="inlineStr">
        <is>
          <t>—</t>
        </is>
      </c>
      <c r="FQ281" s="56" t="inlineStr">
        <is>
          <t>—</t>
        </is>
      </c>
      <c r="FR281" s="56" t="inlineStr">
        <is>
          <t>Business Impact: No survey or manager-mapping signal on criticality: kept at the start point.</t>
        </is>
      </c>
      <c r="FS281" s="56" t="inlineStr">
        <is>
          <t>Common themes in role-holders' answers: solutions
Common themes in role-holders' answers: deployment · testing
Common themes in role-holders' answers: software
Common themes in role-holders' answers: accountable · bugs · development
If the work is missed · role-holders' themes: client · impacts.
Measured on · manager-set KRA themes: assigned · improve · resolve · code · leakage qa/uat · coverage.</t>
        </is>
      </c>
      <c r="FT281" s="56" t="inlineStr">
        <is>
          <t>Self-identified: Leadership &amp; people management · Project / programme management · Technical depth &amp; architecture
For the next role: Leadership &amp; people management · Project / programme management · Technical depth &amp; architecture</t>
        </is>
      </c>
      <c r="FU281" s="32" t="inlineStr">
        <is>
          <t>Full survey answers not in the files received · How We Grow export needed · HR</t>
        </is>
      </c>
    </row>
    <row r="282" ht="90" customHeight="1">
      <c r="A282" s="51" t="inlineStr">
        <is>
          <t>◂ Back</t>
        </is>
      </c>
      <c r="B282" s="29" t="inlineStr">
        <is>
          <t>Mapped</t>
        </is>
      </c>
      <c r="C282" s="28" t="inlineStr">
        <is>
          <t>iFile</t>
        </is>
      </c>
      <c r="D282" s="29" t="inlineStr">
        <is>
          <t>IRIS2562</t>
        </is>
      </c>
      <c r="E282" s="29" t="inlineStr">
        <is>
          <t>Sanskruti Varade</t>
        </is>
      </c>
      <c r="F282" s="29" t="inlineStr">
        <is>
          <t>Quality Assurance</t>
        </is>
      </c>
      <c r="G282" s="29" t="inlineStr">
        <is>
          <t>QA Engineer</t>
        </is>
      </c>
      <c r="H282" s="29" t="inlineStr">
        <is>
          <t>QA Engineer</t>
        </is>
      </c>
      <c r="I282" s="29" t="inlineStr">
        <is>
          <t>Not in current mapping files</t>
        </is>
      </c>
      <c r="J282" s="29" t="inlineStr">
        <is>
          <t>A2</t>
        </is>
      </c>
      <c r="K282" s="29" t="inlineStr">
        <is>
          <t>● Newly mapped</t>
        </is>
      </c>
      <c r="L282" s="29" t="inlineStr">
        <is>
          <t>Quality Assurance</t>
        </is>
      </c>
      <c r="M282" s="29" t="inlineStr">
        <is>
          <t>Functional &amp; Domain Testing</t>
        </is>
      </c>
      <c r="N282" s="29" t="inlineStr">
        <is>
          <t>• Total experience · outside + at IRIS — HR — HRIS
• Confirm prior experience · provisional placement — HR</t>
        </is>
      </c>
      <c r="O282" s="29" t="n">
        <v>20</v>
      </c>
      <c r="P282" s="28" t="inlineStr">
        <is>
          <t>P1–P2</t>
        </is>
      </c>
      <c r="Q282" s="29" t="inlineStr">
        <is>
          <t>Entry / Developing</t>
        </is>
      </c>
      <c r="R282" s="29" t="inlineStr">
        <is>
          <t>2 Assist</t>
        </is>
      </c>
      <c r="S282" s="29" t="inlineStr">
        <is>
          <t>0–2 yrs</t>
        </is>
      </c>
      <c r="T282" s="29" t="inlineStr">
        <is>
          <t>1–3 · 0–3</t>
        </is>
      </c>
      <c r="U282" s="29" t="inlineStr">
        <is>
          <t>Associate QA Engineer / QA Engineer</t>
        </is>
      </c>
      <c r="V282" s="29" t="inlineStr">
        <is>
          <t>Workiva: Associate SE · Broadridge India: SE · Nasdaq / AxiomSL: SE · IRIS Vs Market Benchmark — ISTQB certification pathway: Foundation</t>
        </is>
      </c>
      <c r="W282" s="29" t="inlineStr">
        <is>
          <t>ISTQB Foundation → Advanced → Expert; SFIA testing</t>
        </is>
      </c>
      <c r="X282" s="29" t="inlineStr">
        <is>
          <t>Core 2 · Future 2 · Functional 2 · Leadership not scored</t>
        </is>
      </c>
      <c r="Y282" s="52" t="n">
        <v>535</v>
      </c>
      <c r="Z282" s="53" t="inlineStr">
        <is>
          <t>IRIS2562</t>
        </is>
      </c>
      <c r="AA282" s="53" t="inlineStr">
        <is>
          <t>Employee</t>
        </is>
      </c>
      <c r="AB282" s="53" t="inlineStr">
        <is>
          <t>Active</t>
        </is>
      </c>
      <c r="AC282" s="53" t="inlineStr">
        <is>
          <t>Sanskruti Varade</t>
        </is>
      </c>
      <c r="AD282" s="54" t="n">
        <v>46272</v>
      </c>
      <c r="AE282" s="53" t="inlineStr">
        <is>
          <t>QA Engineer</t>
        </is>
      </c>
      <c r="AF282" s="53" t="inlineStr">
        <is>
          <t>B.Sc</t>
        </is>
      </c>
      <c r="AG282" s="53" t="inlineStr">
        <is>
          <t>Anup Salve</t>
        </is>
      </c>
      <c r="AH282" s="53" t="inlineStr">
        <is>
          <t>N-5</t>
        </is>
      </c>
      <c r="AI282" s="53" t="inlineStr">
        <is>
          <t>Individual Contributor</t>
        </is>
      </c>
      <c r="AJ282" s="53" t="n"/>
      <c r="AK282" s="53" t="n"/>
      <c r="AL282" s="53" t="inlineStr">
        <is>
          <t>Suptech</t>
        </is>
      </c>
      <c r="AM282" s="53" t="inlineStr">
        <is>
          <t>iFile</t>
        </is>
      </c>
      <c r="AN282" s="53" t="inlineStr">
        <is>
          <t>Quality Assurance</t>
        </is>
      </c>
      <c r="AO282" s="53" t="inlineStr">
        <is>
          <t>Quality Assurance</t>
        </is>
      </c>
      <c r="AP282" s="53" t="inlineStr">
        <is>
          <t>No</t>
        </is>
      </c>
      <c r="AQ282" s="53" t="inlineStr">
        <is>
          <t>Product/Project</t>
        </is>
      </c>
      <c r="AR282" s="53" t="inlineStr">
        <is>
          <t>Software Testing</t>
        </is>
      </c>
      <c r="AS282" s="53" t="inlineStr">
        <is>
          <t>Technical · BA, PM and QA</t>
        </is>
      </c>
      <c r="AT282" s="53" t="n">
        <v>20</v>
      </c>
      <c r="AU282" s="53" t="inlineStr">
        <is>
          <t>Covered</t>
        </is>
      </c>
      <c r="AV282" s="53" t="n"/>
      <c r="AW282" s="53" t="n"/>
      <c r="AX282" s="53" t="n"/>
      <c r="AY282" s="53" t="n"/>
      <c r="AZ282" s="53" t="n"/>
      <c r="BA282" s="53" t="n"/>
      <c r="BB282" s="53" t="n"/>
      <c r="BC282" s="53" t="n"/>
      <c r="BD282" s="53" t="n"/>
      <c r="BE282" s="53" t="n"/>
      <c r="BF282" s="53" t="n"/>
      <c r="BG282" s="53" t="n"/>
      <c r="BH282" s="53" t="n"/>
      <c r="BI282" s="53" t="n"/>
      <c r="BJ282" s="53" t="n"/>
      <c r="BK282" s="53" t="n"/>
      <c r="BL282" s="53" t="n"/>
      <c r="BM282" s="53" t="n"/>
      <c r="BN282" s="53" t="n"/>
      <c r="BO282" s="53" t="n"/>
      <c r="BP282" s="53" t="n"/>
      <c r="BQ282" s="53" t="n"/>
      <c r="BR282" s="53" t="n"/>
      <c r="BS282" s="53" t="n"/>
      <c r="BT282" s="53" t="n"/>
      <c r="BU282" s="53" t="n"/>
      <c r="BV282" s="53" t="n"/>
      <c r="BW282" s="53" t="n"/>
      <c r="BX282" s="53" t="n"/>
      <c r="BY282" s="53" t="n"/>
      <c r="BZ282" s="53" t="n"/>
      <c r="CA282" s="53" t="n"/>
      <c r="CB282" s="53" t="n"/>
      <c r="CC282" s="53" t="n"/>
      <c r="CD282" s="53" t="n"/>
      <c r="CE282" s="53" t="n"/>
      <c r="CF282" s="53" t="n"/>
      <c r="CG282" s="53" t="n"/>
      <c r="CH282" s="53" t="n"/>
      <c r="CI282" s="53" t="n"/>
      <c r="CJ282" s="53" t="n"/>
      <c r="CK282" s="53" t="n"/>
      <c r="CL282" s="53" t="n"/>
      <c r="CM282" s="53" t="n"/>
      <c r="CN282" s="53" t="n"/>
      <c r="CO282" s="53" t="n"/>
      <c r="CP282" s="53" t="n"/>
      <c r="CQ282" s="53" t="n"/>
      <c r="CR282" s="53" t="n"/>
      <c r="CS282" s="53" t="n"/>
      <c r="CT282" s="53" t="n"/>
      <c r="CU282" s="53" t="n"/>
      <c r="CV282" s="53" t="n"/>
      <c r="CW282" s="53" t="n"/>
      <c r="CX282" s="53" t="n"/>
      <c r="CY282" s="53" t="n"/>
      <c r="CZ282" s="53" t="n"/>
      <c r="DA282" s="53" t="n"/>
      <c r="DB282" s="53" t="n"/>
      <c r="DC282" s="53" t="n"/>
      <c r="DD282" s="53" t="n"/>
      <c r="DE282" s="53" t="n"/>
      <c r="DF282" s="53" t="n"/>
      <c r="DG282" s="53" t="n"/>
      <c r="DH282" s="53" t="n"/>
      <c r="DI282" s="53" t="n"/>
      <c r="DJ282" s="53" t="n"/>
      <c r="DK282" s="53" t="n"/>
      <c r="DL282" s="53" t="n"/>
      <c r="DM282" s="53" t="n"/>
      <c r="DN282" s="53" t="n"/>
      <c r="DO282" s="53" t="n"/>
      <c r="DP282" s="53" t="n"/>
      <c r="DQ282" s="53" t="n"/>
      <c r="DR282" s="53" t="n"/>
      <c r="DS282" s="53" t="n"/>
      <c r="DT282" s="53" t="n"/>
      <c r="DU282" s="53" t="n"/>
      <c r="DV282" s="53" t="n"/>
      <c r="DW282" s="53" t="n"/>
      <c r="DX282" s="53" t="n"/>
      <c r="DY282" s="53" t="n"/>
      <c r="DZ282" s="53" t="n"/>
      <c r="EA282" s="53" t="n"/>
      <c r="EB282" s="53" t="n"/>
      <c r="EC282" s="53" t="n"/>
      <c r="ED282" s="53" t="n"/>
      <c r="EE282" s="53" t="n"/>
      <c r="EF282" s="53" t="n"/>
      <c r="EG282" s="53" t="n"/>
      <c r="EH282" s="53" t="n"/>
      <c r="EI282" s="53" t="n"/>
      <c r="EJ282" s="53" t="n"/>
      <c r="EK282" s="53" t="n"/>
      <c r="EL282" s="53" t="n"/>
      <c r="EM282" s="53" t="n"/>
      <c r="EN282" s="53" t="n"/>
      <c r="EO282" s="53" t="n"/>
      <c r="EP282" s="53" t="n"/>
      <c r="EQ282" s="53" t="n"/>
      <c r="ER282" s="53" t="n"/>
      <c r="ES282" s="53" t="n"/>
      <c r="ET282" s="53" t="n"/>
      <c r="EU282" s="53" t="n"/>
      <c r="EV282" s="53" t="n"/>
      <c r="EW282" s="52" t="n"/>
      <c r="EX282" s="53" t="n"/>
      <c r="EY282" s="53" t="n"/>
      <c r="EZ282" s="53" t="n"/>
      <c r="FA282" s="53" t="n"/>
      <c r="FB282" s="53" t="n"/>
      <c r="FC282" s="53" t="n"/>
      <c r="FD282" s="53" t="n"/>
      <c r="FE282" s="55" t="inlineStr">
        <is>
          <t>KRAs not received · manager to supply</t>
        </is>
      </c>
      <c r="FF282" s="56" t="n"/>
      <c r="FG282" s="56" t="n"/>
      <c r="FH282" s="56" t="n"/>
      <c r="FI282" s="56" t="n"/>
      <c r="FJ282" s="32" t="inlineStr">
        <is>
          <t>KRAs not received · manager to supply</t>
        </is>
      </c>
      <c r="FK282" s="56" t="n"/>
      <c r="FL282" s="56" t="n">
        <v>20</v>
      </c>
      <c r="FM282" s="32" t="inlineStr">
        <is>
          <t>Full survey answers not in the files received · How We Grow export needed · HR</t>
        </is>
      </c>
      <c r="FN282" s="56" t="inlineStr">
        <is>
          <t>—</t>
        </is>
      </c>
      <c r="FO282" s="56" t="inlineStr">
        <is>
          <t>—</t>
        </is>
      </c>
      <c r="FP282" s="56" t="inlineStr">
        <is>
          <t>—</t>
        </is>
      </c>
      <c r="FQ282" s="56" t="inlineStr">
        <is>
          <t>—</t>
        </is>
      </c>
      <c r="FR282" s="56" t="inlineStr">
        <is>
          <t>Business Impact: No survey or manager-mapping signal on criticality: kept at the start point.</t>
        </is>
      </c>
      <c r="FS282" s="56" t="inlineStr">
        <is>
          <t>Common themes in sub-family holders, all levels' answers: software · quality · product · requirements · user · before
Common themes in sub-family holders, all levels' answers: test · defect · reporting · regression · case · execution
Common themes in sub-family holders, all levels' answers: test · quality · reports · bug · cases · defect
Common themes in sub-family holders, all levels' answers: quality · test · accountable · am · release · reporting
Common themes in sub-family holders, all levels' answers: test · prioritize · independently · scenarios · identify · issues
If the work is missed · role-holders' themes: rework · production · issues · client.</t>
        </is>
      </c>
      <c r="FT282" s="56" t="inlineStr">
        <is>
          <t>Self-identified: Communication &amp; presentation · Broader exposure &amp; ownership
For the next role: Communication &amp; presentation · Broader exposure &amp; ownership</t>
        </is>
      </c>
      <c r="FU282" s="32" t="inlineStr">
        <is>
          <t>Full survey answers not in the files received · How We Grow export needed · HR</t>
        </is>
      </c>
    </row>
    <row r="283" ht="90" customHeight="1">
      <c r="A283" s="51" t="inlineStr">
        <is>
          <t>◂ Back</t>
        </is>
      </c>
      <c r="B283" s="29" t="inlineStr">
        <is>
          <t>Mapped</t>
        </is>
      </c>
      <c r="C283" s="28" t="inlineStr">
        <is>
          <t>iFile</t>
        </is>
      </c>
      <c r="D283" s="29" t="inlineStr">
        <is>
          <t>IRIS1860</t>
        </is>
      </c>
      <c r="E283" s="29" t="inlineStr">
        <is>
          <t>Pradnya Mhatre</t>
        </is>
      </c>
      <c r="F283" s="29" t="inlineStr">
        <is>
          <t>Technology</t>
        </is>
      </c>
      <c r="G283" s="29" t="inlineStr">
        <is>
          <t>Senior Software Engineer</t>
        </is>
      </c>
      <c r="H283" s="29" t="inlineStr">
        <is>
          <t>Technical Specialist – POD Lead</t>
        </is>
      </c>
      <c r="I283" s="29" t="inlineStr">
        <is>
          <t>L4 – Senior</t>
        </is>
      </c>
      <c r="J283" s="29" t="inlineStr">
        <is>
          <t>B1</t>
        </is>
      </c>
      <c r="K283" s="29" t="inlineStr">
        <is>
          <t>▲ Up</t>
        </is>
      </c>
      <c r="L283" s="29" t="inlineStr">
        <is>
          <t>Engineering &amp; Development</t>
        </is>
      </c>
      <c r="M283" s="29" t="inlineStr">
        <is>
          <t>Backend Development</t>
        </is>
      </c>
      <c r="N283" s="29" t="n"/>
      <c r="O283" s="29" t="n">
        <v>20</v>
      </c>
      <c r="P283" s="28" t="inlineStr">
        <is>
          <t>P3 / M2</t>
        </is>
      </c>
      <c r="Q283" s="29" t="inlineStr">
        <is>
          <t>Career / · Team Lead</t>
        </is>
      </c>
      <c r="R283" s="29" t="inlineStr">
        <is>
          <t>4 Enable</t>
        </is>
      </c>
      <c r="S283" s="29" t="inlineStr">
        <is>
          <t>4–7 yrs</t>
        </is>
      </c>
      <c r="T283" s="29" t="inlineStr">
        <is>
          <t>5–8 · 4–8</t>
        </is>
      </c>
      <c r="U283" s="29" t="inlineStr">
        <is>
          <t>Senior Software Engineer</t>
        </is>
      </c>
      <c r="V283" s="29" t="inlineStr">
        <is>
          <t>Workiva: SE / Senior SE · Broadridge India: Senior SE · Nasdaq / AxiomSL: Senior SE · Salesforce: MTS · Atlassian: P40 · Freshworks: Senior SE</t>
        </is>
      </c>
      <c r="W283" s="29" t="inlineStr">
        <is>
          <t>SFIA 9 · software development, programming; OWASP secure coding; cloud vendor certifications</t>
        </is>
      </c>
      <c r="X283" s="29" t="inlineStr">
        <is>
          <t>Core 3 · Future 3 · Functional 3 · Leadership 2</t>
        </is>
      </c>
      <c r="Y283" s="52" t="n">
        <v>168</v>
      </c>
      <c r="Z283" s="53" t="inlineStr">
        <is>
          <t>IRIS1860</t>
        </is>
      </c>
      <c r="AA283" s="53" t="inlineStr">
        <is>
          <t>Employee</t>
        </is>
      </c>
      <c r="AB283" s="53" t="inlineStr">
        <is>
          <t>Active</t>
        </is>
      </c>
      <c r="AC283" s="53" t="inlineStr">
        <is>
          <t>Pradnya Mhatre</t>
        </is>
      </c>
      <c r="AD283" s="54" t="n">
        <v>44025</v>
      </c>
      <c r="AE283" s="53" t="inlineStr">
        <is>
          <t>Senior Software Engineer</t>
        </is>
      </c>
      <c r="AF283" s="53" t="inlineStr">
        <is>
          <t>MSc</t>
        </is>
      </c>
      <c r="AG283" s="53" t="inlineStr">
        <is>
          <t>Brij Kishor Singh</t>
        </is>
      </c>
      <c r="AH283" s="53" t="inlineStr">
        <is>
          <t>N-4</t>
        </is>
      </c>
      <c r="AI283" s="53" t="inlineStr">
        <is>
          <t>Manager</t>
        </is>
      </c>
      <c r="AJ283" s="53" t="inlineStr">
        <is>
          <t>6 years, 0 months, 0 days</t>
        </is>
      </c>
      <c r="AK283" s="53" t="inlineStr">
        <is>
          <t>6 years, 1 months, 12 days</t>
        </is>
      </c>
      <c r="AL283" s="53" t="inlineStr">
        <is>
          <t>Suptech</t>
        </is>
      </c>
      <c r="AM283" s="53" t="inlineStr">
        <is>
          <t>iFile</t>
        </is>
      </c>
      <c r="AN283" s="53" t="inlineStr">
        <is>
          <t>Technology</t>
        </is>
      </c>
      <c r="AO283" s="53" t="inlineStr">
        <is>
          <t>Development</t>
        </is>
      </c>
      <c r="AP283" s="53" t="inlineStr">
        <is>
          <t>Yes</t>
        </is>
      </c>
      <c r="AQ283" s="53" t="inlineStr">
        <is>
          <t>Product/Project</t>
        </is>
      </c>
      <c r="AR283" s="53" t="inlineStr">
        <is>
          <t>Java</t>
        </is>
      </c>
      <c r="AS283" s="53" t="inlineStr">
        <is>
          <t>Technical - Developer</t>
        </is>
      </c>
      <c r="AT283" s="53" t="n">
        <v>20</v>
      </c>
      <c r="AU283" s="53" t="inlineStr">
        <is>
          <t>Covered</t>
        </is>
      </c>
      <c r="AV283" s="53" t="n"/>
      <c r="AW283" s="53" t="n"/>
      <c r="AX283" s="53" t="n"/>
      <c r="AY283" s="53" t="n"/>
      <c r="AZ283" s="53" t="n"/>
      <c r="BA283" s="53" t="n"/>
      <c r="BB283" s="53" t="n"/>
      <c r="BC283" s="53" t="n"/>
      <c r="BD283" s="53" t="n"/>
      <c r="BE283" s="53" t="n"/>
      <c r="BF283" s="53" t="n"/>
      <c r="BG283" s="53" t="n"/>
      <c r="BH283" s="53" t="n"/>
      <c r="BI283" s="53" t="n"/>
      <c r="BJ283" s="53" t="n"/>
      <c r="BK283" s="53" t="n"/>
      <c r="BL283" s="53" t="n"/>
      <c r="BM283" s="53" t="n"/>
      <c r="BN283" s="53" t="n"/>
      <c r="BO283" s="53" t="n"/>
      <c r="BP283" s="53" t="n"/>
      <c r="BQ283" s="53" t="n"/>
      <c r="BR283" s="53" t="n"/>
      <c r="BS283" s="53" t="n"/>
      <c r="BT283" s="53" t="n"/>
      <c r="BU283" s="53" t="n"/>
      <c r="BV283" s="53" t="n"/>
      <c r="BW283" s="53" t="n"/>
      <c r="BX283" s="53" t="n"/>
      <c r="BY283" s="53" t="n"/>
      <c r="BZ283" s="53" t="n"/>
      <c r="CA283" s="53" t="n"/>
      <c r="CB283" s="53" t="n"/>
      <c r="CC283" s="53" t="n"/>
      <c r="CD283" s="53" t="n"/>
      <c r="CE283" s="53" t="n"/>
      <c r="CF283" s="53" t="n"/>
      <c r="CG283" s="53" t="n"/>
      <c r="CH283" s="53" t="n"/>
      <c r="CI283" s="53" t="n"/>
      <c r="CJ283" s="53" t="n"/>
      <c r="CK283" s="53" t="n"/>
      <c r="CL283" s="53" t="n"/>
      <c r="CM283" s="53" t="n"/>
      <c r="CN283" s="53" t="n"/>
      <c r="CO283" s="53" t="n"/>
      <c r="CP283" s="53" t="n"/>
      <c r="CQ283" s="53" t="n"/>
      <c r="CR283" s="53" t="n"/>
      <c r="CS283" s="53" t="n"/>
      <c r="CT283" s="53" t="n"/>
      <c r="CU283" s="53" t="n"/>
      <c r="CV283" s="53" t="n"/>
      <c r="CW283" s="53" t="n"/>
      <c r="CX283" s="53" t="n"/>
      <c r="CY283" s="53" t="n"/>
      <c r="CZ283" s="53" t="n"/>
      <c r="DA283" s="53" t="n"/>
      <c r="DB283" s="53" t="n"/>
      <c r="DC283" s="53" t="n"/>
      <c r="DD283" s="53" t="inlineStr">
        <is>
          <t>IRIS1860</t>
        </is>
      </c>
      <c r="DE283" s="53" t="inlineStr">
        <is>
          <t>Employee</t>
        </is>
      </c>
      <c r="DF283" s="53" t="inlineStr">
        <is>
          <t>Active</t>
        </is>
      </c>
      <c r="DG283" s="53" t="inlineStr">
        <is>
          <t>Pradnya Mhatre</t>
        </is>
      </c>
      <c r="DH283" s="54" t="n">
        <v>44025</v>
      </c>
      <c r="DI283" s="53" t="inlineStr">
        <is>
          <t>Senior Software Engineer</t>
        </is>
      </c>
      <c r="DJ283" s="53" t="inlineStr">
        <is>
          <t>Engineering &amp; Development</t>
        </is>
      </c>
      <c r="DK283" s="53" t="inlineStr">
        <is>
          <t>Backend Engineering · Java</t>
        </is>
      </c>
      <c r="DL283" s="53" t="inlineStr">
        <is>
          <t>Senior Software Engineer</t>
        </is>
      </c>
      <c r="DM283" s="53" t="inlineStr">
        <is>
          <t>L4 – Senior</t>
        </is>
      </c>
      <c r="DN283" s="53" t="inlineStr">
        <is>
          <t>MSc</t>
        </is>
      </c>
      <c r="DO283" s="53" t="inlineStr">
        <is>
          <t>Brij Kishor Singh</t>
        </is>
      </c>
      <c r="DP283" s="53" t="inlineStr">
        <is>
          <t>N-3</t>
        </is>
      </c>
      <c r="DQ283" s="53" t="inlineStr">
        <is>
          <t>Manager</t>
        </is>
      </c>
      <c r="DR283" s="53" t="inlineStr">
        <is>
          <t>6 years, 0 months, 0 days</t>
        </is>
      </c>
      <c r="DS283" s="53" t="inlineStr">
        <is>
          <t>5 years, 11 months, 7 days</t>
        </is>
      </c>
      <c r="DT283" s="53" t="inlineStr">
        <is>
          <t>11 years, 11 months, 7 days</t>
        </is>
      </c>
      <c r="DU283" s="53" t="n">
        <v>5.93584474885845</v>
      </c>
      <c r="DV283" s="53" t="inlineStr">
        <is>
          <t>Suptech</t>
        </is>
      </c>
      <c r="DW283" s="53" t="inlineStr">
        <is>
          <t>iFile</t>
        </is>
      </c>
      <c r="DX283" s="53" t="inlineStr">
        <is>
          <t>Technology</t>
        </is>
      </c>
      <c r="DY283" s="53" t="inlineStr">
        <is>
          <t>Development</t>
        </is>
      </c>
      <c r="DZ283" s="53" t="inlineStr">
        <is>
          <t>Yes</t>
        </is>
      </c>
      <c r="EA283" s="53" t="inlineStr">
        <is>
          <t>Product/Project</t>
        </is>
      </c>
      <c r="EB283" s="53" t="inlineStr">
        <is>
          <t>Java</t>
        </is>
      </c>
      <c r="EC283" s="53" t="inlineStr">
        <is>
          <t>Technical - Developer</t>
        </is>
      </c>
      <c r="ED283" s="53" t="inlineStr">
        <is>
          <t>Remote - Mumbai</t>
        </is>
      </c>
      <c r="EE283" s="53" t="inlineStr">
        <is>
          <t>1. DFERM Automatation
2. DMRS Automatation
3. Deliver all changes on scheduled timeline
4. Upgrade the codebase
5. Integrate webform with MBRS</t>
        </is>
      </c>
      <c r="EF283" s="53" t="inlineStr">
        <is>
          <t>1. Deliver team release roadmap on schedule: &gt;=90% of committed releases on time
2. Keep team sprint velocity stable and defect leakage &lt;=5%
3. Drive production stability: critical incidents resolved within SLA &gt;=95%
4. Reduce module-level tech debt by &gt;=15% via refactoring / reusable components
5. Ensure 100% of team has current quarterly goals and 1:1s logged monthly</t>
        </is>
      </c>
      <c r="EG283" s="53" t="inlineStr">
        <is>
          <t>Q1: Loan leadger automation
Q1: Deposit ledger automation
Q1: VAPT Completion
Q1: Reduce module-level tech debt by &gt;=15% via refactoring / reusable components 
Q2: DMRS API Integration
Q2: DFRM API Integration
Q2: Jquery Upgradation</t>
        </is>
      </c>
      <c r="EH283" s="53" t="n">
        <v>3</v>
      </c>
      <c r="EI283" s="54" t="n">
        <v>46174</v>
      </c>
      <c r="EJ283" s="53" t="inlineStr">
        <is>
          <t>Lead Software Engineer · review – mgr scope + tenure</t>
        </is>
      </c>
      <c r="EK283" s="53" t="inlineStr">
        <is>
          <t>NO</t>
        </is>
      </c>
      <c r="EL283" s="53" t="n">
        <v>3</v>
      </c>
      <c r="EM283" s="53" t="inlineStr">
        <is>
          <t>Medium</t>
        </is>
      </c>
      <c r="EN283" s="53" t="inlineStr">
        <is>
          <t>Core Contributor</t>
        </is>
      </c>
      <c r="EO283" s="53" t="n"/>
      <c r="EP283" s="53" t="n"/>
      <c r="EQ283" s="53" t="n"/>
      <c r="ER283" s="53" t="inlineStr">
        <is>
          <t>Anup Salve</t>
        </is>
      </c>
      <c r="ES283" s="53" t="inlineStr">
        <is>
          <t>Advanced Java; secure coding &amp; code-quality practices; unit/automated testing; system design fundamentals | People management: goal-setting &amp; feedback, 1:1 coaching, performance conversations</t>
        </is>
      </c>
      <c r="ET283" s="53" t="inlineStr">
        <is>
          <t>Leadership development: strategic thinking, cross-functional influence, financial/business acumen, succession &amp; talent development, change management, executive communication</t>
        </is>
      </c>
      <c r="EU283" s="53" t="n"/>
      <c r="EV283" s="53" t="n"/>
      <c r="EW283" s="52" t="n"/>
      <c r="EX283" s="53" t="n"/>
      <c r="EY283" s="53" t="n"/>
      <c r="EZ283" s="53" t="n"/>
      <c r="FA283" s="53" t="n"/>
      <c r="FB283" s="53" t="n"/>
      <c r="FC283" s="53" t="n"/>
      <c r="FD283" s="53" t="n"/>
      <c r="FE283" s="57" t="inlineStr">
        <is>
          <t>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100% of team has current quarterly goals and 1:1s logged monthly</t>
        </is>
      </c>
      <c r="FF283" s="56" t="inlineStr">
        <is>
          <t>Q1: Loan leadger automation
Q1: Deposit ledger automation
Q1: VAPT Completion
Q1: Reduce module-level tech debt by &gt;=15% via refactoring / reusable components 
Q2: DMRS API Integration
Q2: DFRM API Integration
Q2: Jquery Upgradation</t>
        </is>
      </c>
      <c r="FG283" s="56" t="inlineStr">
        <is>
          <t>1. DFERM Automatation
2. DMRS Automatation
3. Deliver all changes on scheduled timeline
4. Upgrade the codebase
5. Integrate webform with MBRS</t>
        </is>
      </c>
      <c r="FH283" s="56" t="inlineStr">
        <is>
          <t>3</t>
        </is>
      </c>
      <c r="FI283" s="56" t="n"/>
      <c r="FJ283" s="56" t="inlineStr">
        <is>
          <t>Received · manager annual, quarterly, self</t>
        </is>
      </c>
      <c r="FK283" s="56" t="inlineStr">
        <is>
          <t>Talent Mapping · iFile collated</t>
        </is>
      </c>
      <c r="FL283" s="56" t="n">
        <v>20</v>
      </c>
      <c r="FM283" s="32" t="inlineStr">
        <is>
          <t>Full survey answers not in the files received · How We Grow export needed · HR</t>
        </is>
      </c>
      <c r="FN283" s="56" t="inlineStr">
        <is>
          <t>—</t>
        </is>
      </c>
      <c r="FO283" s="56" t="inlineStr">
        <is>
          <t>—</t>
        </is>
      </c>
      <c r="FP283" s="56" t="inlineStr">
        <is>
          <t>—</t>
        </is>
      </c>
      <c r="FQ283" s="56" t="inlineStr">
        <is>
          <t>—</t>
        </is>
      </c>
      <c r="FR283" s="56" t="inlineStr">
        <is>
          <t>Complexity: Evidence reads like A3: Gathers client requirements, develops Java features, tests, checks logs and supports the client → matches the start
Autonomy: Evidence reads like A2: Decides only how to write code for a given requirement → moved down 0.5
Accountability: Evidence reads like A3: Client requirement through to delivered feature; client issue fixes and data reports → moved down 0.5
Leadership: Evidence reads like A2: No team duties in survey despite 3 reports; only the team-level KRA template → moved down 1
Business Impact: No survey or manager-mapping signal on criticality: kept at the start point.</t>
        </is>
      </c>
      <c r="FS283" s="56" t="inlineStr">
        <is>
          <t>Common themes in role-holders' answers: technical · members · guide · lead · time · support
Common themes in role-holders' answers: development · requirement · testing · support · software · solution
Common themes in role-holders' answers: features · technical · issue · code · releases
Common themes in role-holders' answers: code · requirement · delivery · changes · am · delivering
Common themes in role-holders' answers: technical · approach · decisions · process · issue · code
If the work is missed · role-holders' themes: timeline · delays · rework.
Measured on · manager-set KRA themes: reduce · production · time · quarterly · incidents resolved · stability critical.</t>
        </is>
      </c>
      <c r="FT283" s="56" t="inlineStr">
        <is>
          <t>Self-identified: AI / automation · Project / programme management
For the next role: AI / automation · Project / programme management</t>
        </is>
      </c>
      <c r="FU283" s="32" t="inlineStr">
        <is>
          <t>Full survey answers not in the files received · How We Grow export needed · HR</t>
        </is>
      </c>
    </row>
    <row r="284" ht="90" customHeight="1">
      <c r="A284" s="51" t="inlineStr">
        <is>
          <t>◂ Back</t>
        </is>
      </c>
      <c r="B284" s="29" t="inlineStr">
        <is>
          <t>Mapped</t>
        </is>
      </c>
      <c r="C284" s="28" t="inlineStr">
        <is>
          <t>iFile</t>
        </is>
      </c>
      <c r="D284" s="29" t="inlineStr">
        <is>
          <t>IRIS2532</t>
        </is>
      </c>
      <c r="E284" s="29" t="inlineStr">
        <is>
          <t>Abhishek Patil</t>
        </is>
      </c>
      <c r="F284" s="29" t="inlineStr">
        <is>
          <t>Technology</t>
        </is>
      </c>
      <c r="G284" s="29" t="inlineStr">
        <is>
          <t>Software Engineer</t>
        </is>
      </c>
      <c r="H284" s="29" t="inlineStr">
        <is>
          <t>Senior Software Engineer</t>
        </is>
      </c>
      <c r="I284" s="29" t="inlineStr">
        <is>
          <t>L3 – Professional / Associate</t>
        </is>
      </c>
      <c r="J284" s="29" t="inlineStr">
        <is>
          <t>A3</t>
        </is>
      </c>
      <c r="K284" s="29" t="inlineStr">
        <is>
          <t>▲ Up</t>
        </is>
      </c>
      <c r="L284" s="29" t="inlineStr">
        <is>
          <t>Engineering &amp; Development</t>
        </is>
      </c>
      <c r="M284" s="29" t="inlineStr">
        <is>
          <t>Full-Stack Development</t>
        </is>
      </c>
      <c r="N284" s="29" t="n"/>
      <c r="O284" s="29" t="n">
        <v>20</v>
      </c>
      <c r="P284" s="28" t="inlineStr">
        <is>
          <t>P2</t>
        </is>
      </c>
      <c r="Q284" s="29" t="inlineStr">
        <is>
          <t>Developing</t>
        </is>
      </c>
      <c r="R284" s="29" t="inlineStr">
        <is>
          <t>3 Apply</t>
        </is>
      </c>
      <c r="S284" s="29" t="inlineStr">
        <is>
          <t>2–4 yrs</t>
        </is>
      </c>
      <c r="T284" s="29" t="inlineStr">
        <is>
          <t>3–5 · 2–5</t>
        </is>
      </c>
      <c r="U284" s="29" t="inlineStr">
        <is>
          <t>Software Engineer</t>
        </is>
      </c>
      <c r="V284" s="29" t="inlineStr">
        <is>
          <t>Workiva: SE · Broadridge India: SE · Nasdaq / AxiomSL: SE · Salesforce: MTS · Atlassian: P40 · 3–7 yrs · Freshworks: Senior SE</t>
        </is>
      </c>
      <c r="W284" s="29" t="inlineStr">
        <is>
          <t>SFIA 9 · software development, programming; OWASP secure coding; cloud vendor certifications</t>
        </is>
      </c>
      <c r="X284" s="29" t="inlineStr">
        <is>
          <t>Core 2 · Future 2 · Functional 3 · Leadership not scored</t>
        </is>
      </c>
      <c r="Y284" s="52" t="n">
        <v>504</v>
      </c>
      <c r="Z284" s="53" t="inlineStr">
        <is>
          <t>IRIS2532</t>
        </is>
      </c>
      <c r="AA284" s="53" t="inlineStr">
        <is>
          <t>Employee</t>
        </is>
      </c>
      <c r="AB284" s="53" t="inlineStr">
        <is>
          <t>Active</t>
        </is>
      </c>
      <c r="AC284" s="53" t="inlineStr">
        <is>
          <t>Abhishek Patil</t>
        </is>
      </c>
      <c r="AD284" s="54" t="n">
        <v>46167</v>
      </c>
      <c r="AE284" s="53" t="inlineStr">
        <is>
          <t>Software Engineer</t>
        </is>
      </c>
      <c r="AF284" s="53" t="inlineStr">
        <is>
          <t>BCA</t>
        </is>
      </c>
      <c r="AG284" s="53" t="inlineStr">
        <is>
          <t>Pradnya Mhatre</t>
        </is>
      </c>
      <c r="AH284" s="53" t="inlineStr">
        <is>
          <t>N-5</t>
        </is>
      </c>
      <c r="AI284" s="53" t="inlineStr">
        <is>
          <t>Individual Contributor</t>
        </is>
      </c>
      <c r="AJ284" s="53" t="inlineStr">
        <is>
          <t>3 years, 7 months, 0 days</t>
        </is>
      </c>
      <c r="AK284" s="53" t="inlineStr">
        <is>
          <t>0 years, 3 months, 0 days</t>
        </is>
      </c>
      <c r="AL284" s="53" t="inlineStr">
        <is>
          <t>Suptech</t>
        </is>
      </c>
      <c r="AM284" s="53" t="inlineStr">
        <is>
          <t>iFile</t>
        </is>
      </c>
      <c r="AN284" s="53" t="inlineStr">
        <is>
          <t>Technology</t>
        </is>
      </c>
      <c r="AO284" s="53" t="inlineStr">
        <is>
          <t>Development</t>
        </is>
      </c>
      <c r="AP284" s="53" t="inlineStr">
        <is>
          <t>Yes</t>
        </is>
      </c>
      <c r="AQ284" s="53" t="inlineStr">
        <is>
          <t>Product/Project</t>
        </is>
      </c>
      <c r="AR284" s="53" t="inlineStr">
        <is>
          <t>Java + Angular</t>
        </is>
      </c>
      <c r="AS284" s="53" t="inlineStr">
        <is>
          <t>Technical - Developer</t>
        </is>
      </c>
      <c r="AT284" s="53" t="n">
        <v>20</v>
      </c>
      <c r="AU284" s="53" t="inlineStr">
        <is>
          <t>Covered</t>
        </is>
      </c>
      <c r="AV284" s="53" t="n"/>
      <c r="AW284" s="53" t="n"/>
      <c r="AX284" s="53" t="n"/>
      <c r="AY284" s="53" t="n"/>
      <c r="AZ284" s="53" t="n"/>
      <c r="BA284" s="53" t="n"/>
      <c r="BB284" s="53" t="n"/>
      <c r="BC284" s="53" t="n"/>
      <c r="BD284" s="53" t="n"/>
      <c r="BE284" s="53" t="n"/>
      <c r="BF284" s="53" t="n"/>
      <c r="BG284" s="53" t="n"/>
      <c r="BH284" s="53" t="n"/>
      <c r="BI284" s="53" t="n"/>
      <c r="BJ284" s="53" t="n"/>
      <c r="BK284" s="53" t="n"/>
      <c r="BL284" s="53" t="n"/>
      <c r="BM284" s="53" t="n"/>
      <c r="BN284" s="53" t="n"/>
      <c r="BO284" s="53" t="n"/>
      <c r="BP284" s="53" t="n"/>
      <c r="BQ284" s="53" t="n"/>
      <c r="BR284" s="53" t="n"/>
      <c r="BS284" s="53" t="n"/>
      <c r="BT284" s="53" t="n"/>
      <c r="BU284" s="53" t="n"/>
      <c r="BV284" s="53" t="n"/>
      <c r="BW284" s="53" t="n"/>
      <c r="BX284" s="53" t="n"/>
      <c r="BY284" s="53" t="n"/>
      <c r="BZ284" s="53" t="n"/>
      <c r="CA284" s="53" t="n"/>
      <c r="CB284" s="53" t="n"/>
      <c r="CC284" s="53" t="n"/>
      <c r="CD284" s="53" t="n"/>
      <c r="CE284" s="53" t="n"/>
      <c r="CF284" s="53" t="n"/>
      <c r="CG284" s="53" t="n"/>
      <c r="CH284" s="53" t="n"/>
      <c r="CI284" s="53" t="n"/>
      <c r="CJ284" s="53" t="n"/>
      <c r="CK284" s="53" t="n"/>
      <c r="CL284" s="53" t="n"/>
      <c r="CM284" s="53" t="n"/>
      <c r="CN284" s="53" t="n"/>
      <c r="CO284" s="53" t="n"/>
      <c r="CP284" s="53" t="n"/>
      <c r="CQ284" s="53" t="n"/>
      <c r="CR284" s="53" t="n"/>
      <c r="CS284" s="53" t="n"/>
      <c r="CT284" s="53" t="n"/>
      <c r="CU284" s="53" t="n"/>
      <c r="CV284" s="53" t="n"/>
      <c r="CW284" s="53" t="n"/>
      <c r="CX284" s="53" t="n"/>
      <c r="CY284" s="53" t="n"/>
      <c r="CZ284" s="53" t="n"/>
      <c r="DA284" s="53" t="n"/>
      <c r="DB284" s="53" t="n"/>
      <c r="DC284" s="53" t="n"/>
      <c r="DD284" s="53" t="inlineStr">
        <is>
          <t>IRIS2532</t>
        </is>
      </c>
      <c r="DE284" s="53" t="inlineStr">
        <is>
          <t>Employee</t>
        </is>
      </c>
      <c r="DF284" s="53" t="inlineStr">
        <is>
          <t>Active</t>
        </is>
      </c>
      <c r="DG284" s="53" t="inlineStr">
        <is>
          <t>Abhishek Patil</t>
        </is>
      </c>
      <c r="DH284" s="54" t="n">
        <v>46167</v>
      </c>
      <c r="DI284" s="53" t="inlineStr">
        <is>
          <t>Software Engineer</t>
        </is>
      </c>
      <c r="DJ284" s="53" t="inlineStr">
        <is>
          <t>Engineering &amp; Development</t>
        </is>
      </c>
      <c r="DK284" s="53" t="inlineStr">
        <is>
          <t>Backend Engineering · Java</t>
        </is>
      </c>
      <c r="DL284" s="53" t="inlineStr">
        <is>
          <t>Software Engineer</t>
        </is>
      </c>
      <c r="DM284" s="53" t="inlineStr">
        <is>
          <t>L3 – Professional / Associate</t>
        </is>
      </c>
      <c r="DN284" s="53" t="inlineStr">
        <is>
          <t>BCA</t>
        </is>
      </c>
      <c r="DO284" s="53" t="inlineStr">
        <is>
          <t>Pradnya Mhatre</t>
        </is>
      </c>
      <c r="DP284" s="53" t="inlineStr">
        <is>
          <t>N-4</t>
        </is>
      </c>
      <c r="DQ284" s="53" t="inlineStr">
        <is>
          <t>Individual Contributor</t>
        </is>
      </c>
      <c r="DR284" s="53" t="inlineStr">
        <is>
          <t>3 years, 7 months, 0 days</t>
        </is>
      </c>
      <c r="DS284" s="53" t="inlineStr">
        <is>
          <t>0 years, 0 months, 26 days</t>
        </is>
      </c>
      <c r="DT284" s="53" t="inlineStr">
        <is>
          <t>3 years, 7 months, 26 days</t>
        </is>
      </c>
      <c r="DU284" s="53" t="n"/>
      <c r="DV284" s="53" t="inlineStr">
        <is>
          <t>Suptech</t>
        </is>
      </c>
      <c r="DW284" s="53" t="inlineStr">
        <is>
          <t>iFile</t>
        </is>
      </c>
      <c r="DX284" s="53" t="inlineStr">
        <is>
          <t>Technology</t>
        </is>
      </c>
      <c r="DY284" s="53" t="inlineStr">
        <is>
          <t>Development</t>
        </is>
      </c>
      <c r="DZ284" s="53" t="inlineStr">
        <is>
          <t>Yes</t>
        </is>
      </c>
      <c r="EA284" s="53" t="inlineStr">
        <is>
          <t>Product/Project</t>
        </is>
      </c>
      <c r="EB284" s="53" t="inlineStr">
        <is>
          <t>Java + Angular</t>
        </is>
      </c>
      <c r="EC284" s="53" t="inlineStr">
        <is>
          <t>Technical - Developer</t>
        </is>
      </c>
      <c r="ED284" s="53" t="inlineStr">
        <is>
          <t>Work From Office - Turbhe</t>
        </is>
      </c>
      <c r="EE284" s="53" t="inlineStr">
        <is>
          <t>5.Batch services development for new taxonomy</t>
        </is>
      </c>
      <c r="EF284"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284"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H284" s="53" t="n"/>
      <c r="EI284" s="53" t="n"/>
      <c r="EJ284" s="53" t="inlineStr">
        <is>
          <t>Software Engineer</t>
        </is>
      </c>
      <c r="EK284" s="53" t="n"/>
      <c r="EL284" s="53" t="n"/>
      <c r="EM284" s="53" t="n"/>
      <c r="EN284" s="53" t="n"/>
      <c r="EO284" s="53" t="n"/>
      <c r="EP284" s="53" t="n"/>
      <c r="EQ284" s="53" t="n"/>
      <c r="ER284" s="53" t="n"/>
      <c r="ES284" s="53" t="inlineStr">
        <is>
          <t>Advanced Java + Angular; secure coding &amp; code-quality practices; unit/automated testing; system design fundamentals</t>
        </is>
      </c>
      <c r="ET284" s="53" t="inlineStr">
        <is>
          <t>Transition to leadership: people management &amp; delegation, mentoring/coaching, project ownership &amp; stakeholder management, prioritisation under ambiguity, presentation &amp; influence skills</t>
        </is>
      </c>
      <c r="EU284" s="53" t="n"/>
      <c r="EV284" s="53" t="n"/>
      <c r="EW284" s="52" t="n"/>
      <c r="EX284" s="53" t="n"/>
      <c r="EY284" s="53" t="n"/>
      <c r="EZ284" s="53" t="n"/>
      <c r="FA284" s="53" t="n"/>
      <c r="FB284" s="53" t="n"/>
      <c r="FC284" s="53" t="n"/>
      <c r="FD284" s="53" t="n"/>
      <c r="FE284"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284"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FG284" s="56" t="inlineStr">
        <is>
          <t>5.Batch services development for new taxonomy</t>
        </is>
      </c>
      <c r="FH284" s="56" t="n"/>
      <c r="FI284" s="56" t="n"/>
      <c r="FJ284" s="56" t="inlineStr">
        <is>
          <t>Received · manager annual, quarterly, self</t>
        </is>
      </c>
      <c r="FK284" s="56" t="inlineStr">
        <is>
          <t>Talent Mapping · iFile collated</t>
        </is>
      </c>
      <c r="FL284" s="56" t="n">
        <v>20</v>
      </c>
      <c r="FM284" s="32" t="inlineStr">
        <is>
          <t>Full survey answers not in the files received · How We Grow export needed · HR</t>
        </is>
      </c>
      <c r="FN284" s="56" t="inlineStr">
        <is>
          <t>—</t>
        </is>
      </c>
      <c r="FO284" s="56" t="inlineStr">
        <is>
          <t>—</t>
        </is>
      </c>
      <c r="FP284" s="56" t="inlineStr">
        <is>
          <t>—</t>
        </is>
      </c>
      <c r="FQ284" s="56" t="inlineStr">
        <is>
          <t>—</t>
        </is>
      </c>
      <c r="FR284" s="56" t="inlineStr">
        <is>
          <t>Complexity: Evidence reads like A3: REST APIs, DB schemas, migration scripts, validation logic; root cause analysis and production support → moved up 0.5
Autonomy: Evidence reads like A3: Decides code implementation and query optimisation; judges code fix versus data fix → moved up 0.5
Accountability: Evidence reads like A3: API correctness and data integrity; wrong filing status blocks bank submissions to regulator → moved up 0.5
Leadership: Evidence reads like A1: No guidance of others described → matches the start
Business Impact: No survey or manager-mapping signal on criticality: kept at the start point.</t>
        </is>
      </c>
      <c r="FS284" s="56"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FT284" s="56" t="inlineStr">
        <is>
          <t>Self-identified: Technical depth &amp; architecture · Strategy &amp; business acumen
For the next role: Technical depth &amp; architecture · Strategy &amp; business acumen</t>
        </is>
      </c>
      <c r="FU284" s="32" t="inlineStr">
        <is>
          <t>Full survey answers not in the files received · How We Grow export needed · HR</t>
        </is>
      </c>
    </row>
    <row r="285" ht="90" customHeight="1">
      <c r="A285" s="51" t="inlineStr">
        <is>
          <t>◂ Back</t>
        </is>
      </c>
      <c r="B285" s="29" t="inlineStr">
        <is>
          <t>Mapped</t>
        </is>
      </c>
      <c r="C285" s="28" t="inlineStr">
        <is>
          <t>iFile</t>
        </is>
      </c>
      <c r="D285" s="29" t="inlineStr">
        <is>
          <t>IRIS2446</t>
        </is>
      </c>
      <c r="E285" s="29" t="inlineStr">
        <is>
          <t>Kunal Sanjay Prasad</t>
        </is>
      </c>
      <c r="F285" s="29" t="inlineStr">
        <is>
          <t>Technology</t>
        </is>
      </c>
      <c r="G285" s="29" t="inlineStr">
        <is>
          <t>Software Engineer</t>
        </is>
      </c>
      <c r="H285" s="29" t="inlineStr">
        <is>
          <t>Senior Software Engineer</t>
        </is>
      </c>
      <c r="I285" s="29" t="inlineStr">
        <is>
          <t>L3 – Professional / Associate</t>
        </is>
      </c>
      <c r="J285" s="29" t="inlineStr">
        <is>
          <t>A3</t>
        </is>
      </c>
      <c r="K285" s="29" t="inlineStr">
        <is>
          <t>▲ Up</t>
        </is>
      </c>
      <c r="L285" s="29" t="inlineStr">
        <is>
          <t>Engineering &amp; Development</t>
        </is>
      </c>
      <c r="M285" s="29" t="inlineStr">
        <is>
          <t>Backend Development</t>
        </is>
      </c>
      <c r="N285" s="29" t="n"/>
      <c r="O285" s="29" t="n">
        <v>20</v>
      </c>
      <c r="P285" s="28" t="inlineStr">
        <is>
          <t>P2</t>
        </is>
      </c>
      <c r="Q285" s="29" t="inlineStr">
        <is>
          <t>Developing</t>
        </is>
      </c>
      <c r="R285" s="29" t="inlineStr">
        <is>
          <t>3 Apply</t>
        </is>
      </c>
      <c r="S285" s="29" t="inlineStr">
        <is>
          <t>2–4 yrs</t>
        </is>
      </c>
      <c r="T285" s="29" t="inlineStr">
        <is>
          <t>3–5 · 2–5</t>
        </is>
      </c>
      <c r="U285" s="29" t="inlineStr">
        <is>
          <t>Software Engineer</t>
        </is>
      </c>
      <c r="V285" s="29" t="inlineStr">
        <is>
          <t>Workiva: SE · Broadridge India: SE · Nasdaq / AxiomSL: SE · Salesforce: MTS · Atlassian: P40 · 3–7 yrs · Freshworks: Senior SE</t>
        </is>
      </c>
      <c r="W285" s="29" t="inlineStr">
        <is>
          <t>SFIA 9 · software development, programming; OWASP secure coding; cloud vendor certifications</t>
        </is>
      </c>
      <c r="X285" s="29" t="inlineStr">
        <is>
          <t>Core 2 · Future 2 · Functional 3 · Leadership not scored</t>
        </is>
      </c>
      <c r="Y285" s="52" t="n">
        <v>413</v>
      </c>
      <c r="Z285" s="53" t="inlineStr">
        <is>
          <t>IRIS2446</t>
        </is>
      </c>
      <c r="AA285" s="53" t="inlineStr">
        <is>
          <t>Employee</t>
        </is>
      </c>
      <c r="AB285" s="53" t="inlineStr">
        <is>
          <t>Active</t>
        </is>
      </c>
      <c r="AC285" s="53" t="inlineStr">
        <is>
          <t>Kunal Sanjay Prasad</t>
        </is>
      </c>
      <c r="AD285" s="54" t="n">
        <v>45992</v>
      </c>
      <c r="AE285" s="53" t="inlineStr">
        <is>
          <t>Software Engineer</t>
        </is>
      </c>
      <c r="AF285" s="53" t="inlineStr">
        <is>
          <t>B.Sc</t>
        </is>
      </c>
      <c r="AG285" s="53" t="inlineStr">
        <is>
          <t>Pradnya Mhatre</t>
        </is>
      </c>
      <c r="AH285" s="53" t="inlineStr">
        <is>
          <t>N-5</t>
        </is>
      </c>
      <c r="AI285" s="53" t="inlineStr">
        <is>
          <t>Individual Contributor</t>
        </is>
      </c>
      <c r="AJ285" s="53" t="inlineStr">
        <is>
          <t>2 years, 7 months, 0 days</t>
        </is>
      </c>
      <c r="AK285" s="53" t="inlineStr">
        <is>
          <t>0 years, 8 months, 24 days</t>
        </is>
      </c>
      <c r="AL285" s="53" t="inlineStr">
        <is>
          <t>Suptech</t>
        </is>
      </c>
      <c r="AM285" s="53" t="inlineStr">
        <is>
          <t>iFile</t>
        </is>
      </c>
      <c r="AN285" s="53" t="inlineStr">
        <is>
          <t>Technology</t>
        </is>
      </c>
      <c r="AO285" s="53" t="inlineStr">
        <is>
          <t>Development</t>
        </is>
      </c>
      <c r="AP285" s="53" t="inlineStr">
        <is>
          <t>Yes</t>
        </is>
      </c>
      <c r="AQ285" s="53" t="inlineStr">
        <is>
          <t>Product/Project</t>
        </is>
      </c>
      <c r="AR285" s="53" t="inlineStr">
        <is>
          <t>Java</t>
        </is>
      </c>
      <c r="AS285" s="53" t="inlineStr">
        <is>
          <t>Technical - Developer</t>
        </is>
      </c>
      <c r="AT285" s="53" t="n">
        <v>20</v>
      </c>
      <c r="AU285" s="53" t="inlineStr">
        <is>
          <t>Covered</t>
        </is>
      </c>
      <c r="AV285" s="53" t="n"/>
      <c r="AW285" s="53" t="n"/>
      <c r="AX285" s="53" t="n"/>
      <c r="AY285" s="53" t="n"/>
      <c r="AZ285" s="53" t="n"/>
      <c r="BA285" s="53" t="n"/>
      <c r="BB285" s="53" t="n"/>
      <c r="BC285" s="53" t="n"/>
      <c r="BD285" s="53" t="n"/>
      <c r="BE285" s="53" t="n"/>
      <c r="BF285" s="53" t="n"/>
      <c r="BG285" s="53" t="n"/>
      <c r="BH285" s="53" t="n"/>
      <c r="BI285" s="53" t="n"/>
      <c r="BJ285" s="53" t="n"/>
      <c r="BK285" s="53" t="n"/>
      <c r="BL285" s="53" t="n"/>
      <c r="BM285" s="53" t="n"/>
      <c r="BN285" s="53" t="n"/>
      <c r="BO285" s="53" t="n"/>
      <c r="BP285" s="53" t="n"/>
      <c r="BQ285" s="53" t="n"/>
      <c r="BR285" s="53" t="n"/>
      <c r="BS285" s="53" t="n"/>
      <c r="BT285" s="53" t="n"/>
      <c r="BU285" s="53" t="n"/>
      <c r="BV285" s="53" t="n"/>
      <c r="BW285" s="53" t="n"/>
      <c r="BX285" s="53" t="n"/>
      <c r="BY285" s="53" t="n"/>
      <c r="BZ285" s="53" t="n"/>
      <c r="CA285" s="53" t="n"/>
      <c r="CB285" s="53" t="n"/>
      <c r="CC285" s="53" t="n"/>
      <c r="CD285" s="53" t="n"/>
      <c r="CE285" s="53" t="n"/>
      <c r="CF285" s="53" t="n"/>
      <c r="CG285" s="53" t="n"/>
      <c r="CH285" s="53" t="n"/>
      <c r="CI285" s="53" t="n"/>
      <c r="CJ285" s="53" t="n"/>
      <c r="CK285" s="53" t="n"/>
      <c r="CL285" s="53" t="n"/>
      <c r="CM285" s="53" t="n"/>
      <c r="CN285" s="53" t="n"/>
      <c r="CO285" s="53" t="n"/>
      <c r="CP285" s="53" t="n"/>
      <c r="CQ285" s="53" t="n"/>
      <c r="CR285" s="53" t="n"/>
      <c r="CS285" s="53" t="n"/>
      <c r="CT285" s="53" t="n"/>
      <c r="CU285" s="53" t="n"/>
      <c r="CV285" s="53" t="n"/>
      <c r="CW285" s="53" t="n"/>
      <c r="CX285" s="53" t="n"/>
      <c r="CY285" s="53" t="n"/>
      <c r="CZ285" s="53" t="n"/>
      <c r="DA285" s="53" t="n"/>
      <c r="DB285" s="53" t="n"/>
      <c r="DC285" s="53" t="n"/>
      <c r="DD285" s="53" t="inlineStr">
        <is>
          <t>IRIS2446</t>
        </is>
      </c>
      <c r="DE285" s="53" t="inlineStr">
        <is>
          <t>Employee</t>
        </is>
      </c>
      <c r="DF285" s="53" t="inlineStr">
        <is>
          <t>Active</t>
        </is>
      </c>
      <c r="DG285" s="53" t="inlineStr">
        <is>
          <t>Kunal Sanjay Prasad</t>
        </is>
      </c>
      <c r="DH285" s="54" t="n">
        <v>45992</v>
      </c>
      <c r="DI285" s="53" t="inlineStr">
        <is>
          <t>Software Engineer</t>
        </is>
      </c>
      <c r="DJ285" s="53" t="inlineStr">
        <is>
          <t>Engineering &amp; Development</t>
        </is>
      </c>
      <c r="DK285" s="53" t="inlineStr">
        <is>
          <t>Backend Engineering · Java</t>
        </is>
      </c>
      <c r="DL285" s="53" t="inlineStr">
        <is>
          <t>Software Engineer</t>
        </is>
      </c>
      <c r="DM285" s="53" t="inlineStr">
        <is>
          <t>L3 – Professional / Associate</t>
        </is>
      </c>
      <c r="DN285" s="53" t="inlineStr">
        <is>
          <t>B.Sc</t>
        </is>
      </c>
      <c r="DO285" s="53" t="inlineStr">
        <is>
          <t>Sarvesh Yadav</t>
        </is>
      </c>
      <c r="DP285" s="53" t="inlineStr">
        <is>
          <t>N-4</t>
        </is>
      </c>
      <c r="DQ285" s="53" t="inlineStr">
        <is>
          <t>Individual Contributor</t>
        </is>
      </c>
      <c r="DR285" s="53" t="inlineStr">
        <is>
          <t>2 years, 7 months, 0 days</t>
        </is>
      </c>
      <c r="DS285" s="53" t="inlineStr">
        <is>
          <t>0 years, 6 months, 19 days</t>
        </is>
      </c>
      <c r="DT285" s="53" t="inlineStr">
        <is>
          <t>3 years, 1 months, 19 days</t>
        </is>
      </c>
      <c r="DU285" s="53" t="n"/>
      <c r="DV285" s="53" t="inlineStr">
        <is>
          <t>Suptech</t>
        </is>
      </c>
      <c r="DW285" s="53" t="inlineStr">
        <is>
          <t>iFile</t>
        </is>
      </c>
      <c r="DX285" s="53" t="inlineStr">
        <is>
          <t>Technology</t>
        </is>
      </c>
      <c r="DY285" s="53" t="inlineStr">
        <is>
          <t>Development</t>
        </is>
      </c>
      <c r="DZ285" s="53" t="inlineStr">
        <is>
          <t>Yes</t>
        </is>
      </c>
      <c r="EA285" s="53" t="inlineStr">
        <is>
          <t>Product/Project</t>
        </is>
      </c>
      <c r="EB285" s="53" t="inlineStr">
        <is>
          <t>Java</t>
        </is>
      </c>
      <c r="EC285" s="53" t="inlineStr">
        <is>
          <t>Technical - Developer</t>
        </is>
      </c>
      <c r="ED285" s="53" t="inlineStr">
        <is>
          <t>Work From Office - Turbhe</t>
        </is>
      </c>
      <c r="EE285" s="53" t="inlineStr">
        <is>
          <t>1. Complete rendering for FS and AR
2. Learn end to end MBRS
3. Development for webform Integration
4.Rendering development for new taxonomy
5.Batch services development for new taxonomy
6. Support related delivery on time</t>
        </is>
      </c>
      <c r="EF285"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EG285" s="53" t="inlineStr">
        <is>
          <t>Q1: Rendering development for AR
Q1: Rendering development for FS
Q1: Resolve assigned production/critical bugs within agreed SLA · &gt;=95% within SLA
Q1: Improve unit-test / automated coverage on owned modules by &gt;=15 percentage points
Q2: Complete the Idaman development and testing
Q2: Webform integration 
Q3: Rendering development for new taxonomy</t>
        </is>
      </c>
      <c r="EH285" s="53" t="n">
        <v>2</v>
      </c>
      <c r="EI285" s="54" t="n">
        <v>46143</v>
      </c>
      <c r="EJ285" s="53" t="inlineStr">
        <is>
          <t>Software Engineer</t>
        </is>
      </c>
      <c r="EK285" s="53" t="inlineStr">
        <is>
          <t>No</t>
        </is>
      </c>
      <c r="EL285" s="53" t="n">
        <v>2</v>
      </c>
      <c r="EM285" s="53" t="inlineStr">
        <is>
          <t>Low</t>
        </is>
      </c>
      <c r="EN285" s="53" t="inlineStr">
        <is>
          <t>Emerging Talent</t>
        </is>
      </c>
      <c r="EO285" s="53" t="n"/>
      <c r="EP285" s="53" t="n"/>
      <c r="EQ285" s="53" t="n"/>
      <c r="ER285" s="53" t="n"/>
      <c r="ES285" s="53" t="inlineStr">
        <is>
          <t>Advanced Java; secure coding &amp; code-quality practices; unit/automated testing; system design fundamentals</t>
        </is>
      </c>
      <c r="ET285" s="53" t="inlineStr">
        <is>
          <t>Transition to leadership: people management &amp; delegation, mentoring/coaching, project ownership &amp; stakeholder management, prioritisation under ambiguity, presentation &amp; influence skills</t>
        </is>
      </c>
      <c r="EU285" s="53" t="n"/>
      <c r="EV285" s="53" t="n"/>
      <c r="EW285" s="52" t="n"/>
      <c r="EX285" s="53" t="n"/>
      <c r="EY285" s="53" t="n"/>
      <c r="EZ285" s="53" t="n"/>
      <c r="FA285" s="53" t="n"/>
      <c r="FB285" s="53" t="n"/>
      <c r="FC285" s="53" t="n"/>
      <c r="FD285" s="53" t="n"/>
      <c r="FE285"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FF285" s="56" t="inlineStr">
        <is>
          <t>Q1:   Rendering development for AR
Q1: Rendering development for FS
Q1: Resolve assigned production/critical bugs within agreed SLA · &gt;=95% within SLA
Q1: Improve unit-test / automated coverage on owned modules by &gt;=15 percentage points
Q2 :  Complete the Idaman development and testing
Q2:  Webform integration 
Q3: Rendering development for new taxonomy</t>
        </is>
      </c>
      <c r="FG285" s="56" t="inlineStr">
        <is>
          <t>1. Complete rendering for FS and AR
2. Learn end to end MBRS
3. Development for webform Integration
4.Rendering development for new taxonomy
5.Batch services development for new taxonomy
6. Support related delivery on time</t>
        </is>
      </c>
      <c r="FH285" s="56" t="inlineStr">
        <is>
          <t>2</t>
        </is>
      </c>
      <c r="FI285" s="56" t="n"/>
      <c r="FJ285" s="56" t="inlineStr">
        <is>
          <t>Received · manager annual, quarterly, self</t>
        </is>
      </c>
      <c r="FK285" s="56" t="inlineStr">
        <is>
          <t>Talent Mapping · iFile collated</t>
        </is>
      </c>
      <c r="FL285" s="56" t="n">
        <v>20</v>
      </c>
      <c r="FM285" s="32" t="inlineStr">
        <is>
          <t>Full survey answers not in the files received · How We Grow export needed · HR</t>
        </is>
      </c>
      <c r="FN285" s="56" t="inlineStr">
        <is>
          <t>—</t>
        </is>
      </c>
      <c r="FO285" s="56" t="inlineStr">
        <is>
          <t>—</t>
        </is>
      </c>
      <c r="FP285" s="56" t="inlineStr">
        <is>
          <t>—</t>
        </is>
      </c>
      <c r="FQ285" s="56" t="inlineStr">
        <is>
          <t>—</t>
        </is>
      </c>
      <c r="FR285" s="56" t="inlineStr">
        <is>
          <t>Complexity: Evidence reads like A2: Java/Spring Boot enhancements and bug fixes; KRA covers rendering and batch-service development, still learning MBRS → matches the start
Autonomy: Evidence reads like A2: Decides troubleshooting, query optimisation and testing on own tasks → matches the start
Accountability: Evidence reads like A2: Accountable for quality, accuracy and timeliness of software changes assigned to them → matches the start
Leadership: Evidence reads like A1: No guiding or leading described → matches the start
Business Impact: No survey or manager-mapping signal on criticality: kept at the start point.</t>
        </is>
      </c>
      <c r="FS285"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285" s="56" t="inlineStr">
        <is>
          <t>Self-identified: Technical depth &amp; architecture
For the next role: Technical depth &amp; architecture</t>
        </is>
      </c>
      <c r="FU285" s="32" t="inlineStr">
        <is>
          <t>Full survey answers not in the files received · How We Grow export needed · HR</t>
        </is>
      </c>
    </row>
    <row r="286" ht="90" customHeight="1">
      <c r="A286" s="51" t="inlineStr">
        <is>
          <t>◂ Back</t>
        </is>
      </c>
      <c r="B286" s="29" t="inlineStr">
        <is>
          <t>Mapped</t>
        </is>
      </c>
      <c r="C286" s="28" t="inlineStr">
        <is>
          <t>iFile</t>
        </is>
      </c>
      <c r="D286" s="29" t="inlineStr">
        <is>
          <t>IRIS2438</t>
        </is>
      </c>
      <c r="E286" s="29" t="inlineStr">
        <is>
          <t>Pranay Usatkar</t>
        </is>
      </c>
      <c r="F286" s="29" t="inlineStr">
        <is>
          <t>Technology</t>
        </is>
      </c>
      <c r="G286" s="29" t="inlineStr">
        <is>
          <t>Software Engineer</t>
        </is>
      </c>
      <c r="H286" s="29" t="inlineStr">
        <is>
          <t>Senior Software Engineer</t>
        </is>
      </c>
      <c r="I286" s="29" t="inlineStr">
        <is>
          <t>L3 – Professional / Associate</t>
        </is>
      </c>
      <c r="J286" s="29" t="inlineStr">
        <is>
          <t>A3</t>
        </is>
      </c>
      <c r="K286" s="29" t="inlineStr">
        <is>
          <t>▲ Up</t>
        </is>
      </c>
      <c r="L286" s="29" t="inlineStr">
        <is>
          <t>Engineering &amp; Development</t>
        </is>
      </c>
      <c r="M286" s="29" t="inlineStr">
        <is>
          <t>Backend Development</t>
        </is>
      </c>
      <c r="N286" s="29" t="n"/>
      <c r="O286" s="29" t="n">
        <v>10</v>
      </c>
      <c r="P286" s="28" t="inlineStr">
        <is>
          <t>P2</t>
        </is>
      </c>
      <c r="Q286" s="29" t="inlineStr">
        <is>
          <t>Developing</t>
        </is>
      </c>
      <c r="R286" s="29" t="inlineStr">
        <is>
          <t>3 Apply</t>
        </is>
      </c>
      <c r="S286" s="29" t="inlineStr">
        <is>
          <t>2–4 yrs</t>
        </is>
      </c>
      <c r="T286" s="29" t="inlineStr">
        <is>
          <t>3–5 · 2–5</t>
        </is>
      </c>
      <c r="U286" s="29" t="inlineStr">
        <is>
          <t>Software Engineer</t>
        </is>
      </c>
      <c r="V286" s="29" t="inlineStr">
        <is>
          <t>Workiva: SE · Broadridge India: SE · Nasdaq / AxiomSL: SE · Salesforce: MTS · Atlassian: P40 · 3–7 yrs · Freshworks: Senior SE</t>
        </is>
      </c>
      <c r="W286" s="29" t="inlineStr">
        <is>
          <t>SFIA 9 · software development, programming; OWASP secure coding; cloud vendor certifications</t>
        </is>
      </c>
      <c r="X286" s="29" t="inlineStr">
        <is>
          <t>Core 2 · Future 2 · Functional 3 · Leadership not scored</t>
        </is>
      </c>
      <c r="Y286" s="52" t="n">
        <v>406</v>
      </c>
      <c r="Z286" s="53" t="inlineStr">
        <is>
          <t>IRIS2438</t>
        </is>
      </c>
      <c r="AA286" s="53" t="inlineStr">
        <is>
          <t>Employee</t>
        </is>
      </c>
      <c r="AB286" s="53" t="inlineStr">
        <is>
          <t>Active</t>
        </is>
      </c>
      <c r="AC286" s="53" t="inlineStr">
        <is>
          <t>Pranay Usatkar</t>
        </is>
      </c>
      <c r="AD286" s="54" t="n">
        <v>45946</v>
      </c>
      <c r="AE286" s="53" t="inlineStr">
        <is>
          <t>Software Engineer</t>
        </is>
      </c>
      <c r="AF286" s="53" t="inlineStr">
        <is>
          <t>B.E</t>
        </is>
      </c>
      <c r="AG286" s="53" t="inlineStr">
        <is>
          <t>Pradnya Mhatre</t>
        </is>
      </c>
      <c r="AH286" s="53" t="inlineStr">
        <is>
          <t>N-5</t>
        </is>
      </c>
      <c r="AI286" s="53" t="inlineStr">
        <is>
          <t>Individual Contributor</t>
        </is>
      </c>
      <c r="AJ286" s="53" t="inlineStr">
        <is>
          <t>3 years, 2 months, 0 days</t>
        </is>
      </c>
      <c r="AK286" s="53" t="inlineStr">
        <is>
          <t>0 years, 10 months, 9 days</t>
        </is>
      </c>
      <c r="AL286" s="53" t="inlineStr">
        <is>
          <t>Suptech</t>
        </is>
      </c>
      <c r="AM286" s="53" t="inlineStr">
        <is>
          <t>iFile</t>
        </is>
      </c>
      <c r="AN286" s="53" t="inlineStr">
        <is>
          <t>Technology</t>
        </is>
      </c>
      <c r="AO286" s="53" t="inlineStr">
        <is>
          <t>Development</t>
        </is>
      </c>
      <c r="AP286" s="53" t="inlineStr">
        <is>
          <t>Yes</t>
        </is>
      </c>
      <c r="AQ286" s="53" t="inlineStr">
        <is>
          <t>Product/Project</t>
        </is>
      </c>
      <c r="AR286" s="53" t="inlineStr">
        <is>
          <t>Java</t>
        </is>
      </c>
      <c r="AS286" s="53" t="inlineStr">
        <is>
          <t>Technical - Developer</t>
        </is>
      </c>
      <c r="AT286" s="53" t="n">
        <v>20</v>
      </c>
      <c r="AU286" s="53" t="inlineStr">
        <is>
          <t>Covered</t>
        </is>
      </c>
      <c r="AV286" s="53" t="n"/>
      <c r="AW286" s="53" t="n"/>
      <c r="AX286" s="53" t="n"/>
      <c r="AY286" s="53" t="n"/>
      <c r="AZ286" s="53" t="n"/>
      <c r="BA286" s="53" t="n"/>
      <c r="BB286" s="53" t="n"/>
      <c r="BC286" s="53" t="n"/>
      <c r="BD286" s="53" t="n"/>
      <c r="BE286" s="53" t="n"/>
      <c r="BF286" s="53" t="n"/>
      <c r="BG286" s="53" t="n"/>
      <c r="BH286" s="53" t="n"/>
      <c r="BI286" s="53" t="n"/>
      <c r="BJ286" s="53" t="n"/>
      <c r="BK286" s="53" t="n"/>
      <c r="BL286" s="53" t="n"/>
      <c r="BM286" s="53" t="n"/>
      <c r="BN286" s="53" t="n"/>
      <c r="BO286" s="53" t="n"/>
      <c r="BP286" s="53" t="n"/>
      <c r="BQ286" s="53" t="n"/>
      <c r="BR286" s="53" t="n"/>
      <c r="BS286" s="53" t="n"/>
      <c r="BT286" s="53" t="n"/>
      <c r="BU286" s="53" t="n"/>
      <c r="BV286" s="53" t="n"/>
      <c r="BW286" s="53" t="n"/>
      <c r="BX286" s="53" t="n"/>
      <c r="BY286" s="53" t="n"/>
      <c r="BZ286" s="53" t="n"/>
      <c r="CA286" s="53" t="n"/>
      <c r="CB286" s="53" t="n"/>
      <c r="CC286" s="53" t="n"/>
      <c r="CD286" s="53" t="n"/>
      <c r="CE286" s="53" t="n"/>
      <c r="CF286" s="53" t="n"/>
      <c r="CG286" s="53" t="n"/>
      <c r="CH286" s="53" t="n"/>
      <c r="CI286" s="53" t="n"/>
      <c r="CJ286" s="53" t="n"/>
      <c r="CK286" s="53" t="n"/>
      <c r="CL286" s="53" t="n"/>
      <c r="CM286" s="53" t="n"/>
      <c r="CN286" s="53" t="n"/>
      <c r="CO286" s="53" t="n"/>
      <c r="CP286" s="53" t="n"/>
      <c r="CQ286" s="53" t="n"/>
      <c r="CR286" s="53" t="n"/>
      <c r="CS286" s="53" t="n"/>
      <c r="CT286" s="53" t="n"/>
      <c r="CU286" s="53" t="n"/>
      <c r="CV286" s="53" t="n"/>
      <c r="CW286" s="53" t="n"/>
      <c r="CX286" s="53" t="n"/>
      <c r="CY286" s="53" t="n"/>
      <c r="CZ286" s="53" t="n"/>
      <c r="DA286" s="53" t="n"/>
      <c r="DB286" s="53" t="n"/>
      <c r="DC286" s="53" t="n"/>
      <c r="DD286" s="53" t="inlineStr">
        <is>
          <t>IRIS2438</t>
        </is>
      </c>
      <c r="DE286" s="53" t="inlineStr">
        <is>
          <t>Employee</t>
        </is>
      </c>
      <c r="DF286" s="53" t="inlineStr">
        <is>
          <t>Active</t>
        </is>
      </c>
      <c r="DG286" s="53" t="inlineStr">
        <is>
          <t>Pranay Usatkar</t>
        </is>
      </c>
      <c r="DH286" s="54" t="n">
        <v>45946</v>
      </c>
      <c r="DI286" s="53" t="inlineStr">
        <is>
          <t>Software Engineer</t>
        </is>
      </c>
      <c r="DJ286" s="53" t="inlineStr">
        <is>
          <t>Engineering &amp; Development</t>
        </is>
      </c>
      <c r="DK286" s="53" t="inlineStr">
        <is>
          <t>Backend Engineering · Java</t>
        </is>
      </c>
      <c r="DL286" s="53" t="inlineStr">
        <is>
          <t>Software Engineer</t>
        </is>
      </c>
      <c r="DM286" s="53" t="inlineStr">
        <is>
          <t>L3 – Professional / Associate</t>
        </is>
      </c>
      <c r="DN286" s="53" t="inlineStr">
        <is>
          <t>B.E</t>
        </is>
      </c>
      <c r="DO286" s="53" t="inlineStr">
        <is>
          <t>Sarvesh Yadav</t>
        </is>
      </c>
      <c r="DP286" s="53" t="inlineStr">
        <is>
          <t>N-4</t>
        </is>
      </c>
      <c r="DQ286" s="53" t="inlineStr">
        <is>
          <t>Individual Contributor</t>
        </is>
      </c>
      <c r="DR286" s="53" t="inlineStr">
        <is>
          <t>3 years, 2 months, 0 days</t>
        </is>
      </c>
      <c r="DS286" s="53" t="inlineStr">
        <is>
          <t>0 years, 8 months, 4 days</t>
        </is>
      </c>
      <c r="DT286" s="53" t="inlineStr">
        <is>
          <t>3 years, 10 months, 4 days</t>
        </is>
      </c>
      <c r="DU286" s="53" t="n"/>
      <c r="DV286" s="53" t="inlineStr">
        <is>
          <t>Suptech</t>
        </is>
      </c>
      <c r="DW286" s="53" t="inlineStr">
        <is>
          <t>iFile</t>
        </is>
      </c>
      <c r="DX286" s="53" t="inlineStr">
        <is>
          <t>Technology</t>
        </is>
      </c>
      <c r="DY286" s="53" t="inlineStr">
        <is>
          <t>Development</t>
        </is>
      </c>
      <c r="DZ286" s="53" t="inlineStr">
        <is>
          <t>Yes</t>
        </is>
      </c>
      <c r="EA286" s="53" t="inlineStr">
        <is>
          <t>Product/Project</t>
        </is>
      </c>
      <c r="EB286" s="53" t="inlineStr">
        <is>
          <t>Java</t>
        </is>
      </c>
      <c r="EC286" s="53" t="inlineStr">
        <is>
          <t>Technical - Developer</t>
        </is>
      </c>
      <c r="ED286" s="53" t="inlineStr">
        <is>
          <t>Work From Office - Turbhe</t>
        </is>
      </c>
      <c r="EE286" s="53" t="inlineStr">
        <is>
          <t>1. Complete rendering for FS and AR
2. Learn end to end MBRS
3. Development for webform Integration
4.Rendering development for new taxonomy
5.Batch services development for new taxonomy</t>
        </is>
      </c>
      <c r="EF286"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EG286" s="53" t="inlineStr">
        <is>
          <t>Q1: Rendering development for AR
Q1: Rendering development for FS
Q1: Resolve assigned production/critical bugs within agreed SLA · &gt;=95% within SLA
Q1: Improve unit-test / automated coverage on owned modules by &gt;=15 percentage points
Q2: Complete the Idaman development and testing
Q2: Webform integration 
Q3: Rendering development for new taxonomy</t>
        </is>
      </c>
      <c r="EH286" s="53" t="n">
        <v>2</v>
      </c>
      <c r="EI286" s="54" t="n">
        <v>46113</v>
      </c>
      <c r="EJ286" s="53" t="inlineStr">
        <is>
          <t>Software Engineer</t>
        </is>
      </c>
      <c r="EK286" s="53" t="inlineStr">
        <is>
          <t>No</t>
        </is>
      </c>
      <c r="EL286" s="53" t="n">
        <v>2</v>
      </c>
      <c r="EM286" s="53" t="inlineStr">
        <is>
          <t>Low</t>
        </is>
      </c>
      <c r="EN286" s="53" t="inlineStr">
        <is>
          <t>Emerging Talent</t>
        </is>
      </c>
      <c r="EO286" s="53" t="n"/>
      <c r="EP286" s="53" t="n"/>
      <c r="EQ286" s="53" t="n"/>
      <c r="ER286" s="53" t="n"/>
      <c r="ES286" s="53" t="inlineStr">
        <is>
          <t>Advanced Java; secure coding &amp; code-quality practices; unit/automated testing; system design fundamentals</t>
        </is>
      </c>
      <c r="ET286" s="53" t="inlineStr">
        <is>
          <t>Transition to leadership: people management &amp; delegation, mentoring/coaching, project ownership &amp; stakeholder management, prioritisation under ambiguity, presentation &amp; influence skills</t>
        </is>
      </c>
      <c r="EU286" s="53" t="n"/>
      <c r="EV286" s="53" t="n"/>
      <c r="EW286" s="52" t="n"/>
      <c r="EX286" s="53" t="n"/>
      <c r="EY286" s="53" t="n"/>
      <c r="EZ286" s="53" t="n"/>
      <c r="FA286" s="53" t="n"/>
      <c r="FB286" s="53" t="n"/>
      <c r="FC286" s="53" t="n"/>
      <c r="FD286" s="53" t="n"/>
      <c r="FE286"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FF286" s="56" t="inlineStr">
        <is>
          <t>Q1:   Rendering development for AR
Q1: Rendering development for FS
Q1: Resolve assigned production/critical bugs within agreed SLA · &gt;=95% within SLA
Q1: Improve unit-test / automated coverage on owned modules by &gt;=15 percentage points
Q2 :  Complete the Idaman development and testing
Q2:  Webform integration 
Q3: Rendering development for new taxonomy</t>
        </is>
      </c>
      <c r="FG286" s="56" t="inlineStr">
        <is>
          <t>1. Complete rendering for FS and AR
2. Learn end to end MBRS
3. Development for webform Integration
4.Rendering development for new taxonomy
5.Batch services development for new taxonomy</t>
        </is>
      </c>
      <c r="FH286" s="56" t="inlineStr">
        <is>
          <t>2</t>
        </is>
      </c>
      <c r="FI286" s="56" t="n"/>
      <c r="FJ286" s="56" t="inlineStr">
        <is>
          <t>Received · manager annual, quarterly, self</t>
        </is>
      </c>
      <c r="FK286" s="56" t="inlineStr">
        <is>
          <t>Talent Mapping · iFile collated</t>
        </is>
      </c>
      <c r="FL286" s="56" t="n">
        <v>10</v>
      </c>
      <c r="FM286" s="32" t="inlineStr">
        <is>
          <t>Full survey answers not in the files received · How We Grow export needed · HR</t>
        </is>
      </c>
      <c r="FN286" s="56" t="inlineStr">
        <is>
          <t>—</t>
        </is>
      </c>
      <c r="FO286" s="56" t="inlineStr">
        <is>
          <t>—</t>
        </is>
      </c>
      <c r="FP286" s="56" t="inlineStr">
        <is>
          <t>—</t>
        </is>
      </c>
      <c r="FQ286" s="56" t="inlineStr">
        <is>
          <t>—</t>
        </is>
      </c>
      <c r="FR286" s="56" t="inlineStr">
        <is>
          <t>Complexity: Evidence reads like A2: Resolves customer tickets and rendering issues, codes enhancements in Java, JSP and SQL → matches the start
Autonomy: Evidence reads like A2: Only independent decision cited is reproducing the scenario locally → matches the start
Accountability: Evidence reads like A2: Accountable for 'ticket activities' → matches the start
Leadership: Evidence reads like A1: No guiding or leading described → matches the start
Business Impact: No survey or manager-mapping signal on criticality: kept at the start point.</t>
        </is>
      </c>
      <c r="FS286"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286" s="56" t="n"/>
      <c r="FU286" s="32" t="inlineStr">
        <is>
          <t>Full survey answers not in the files received · How We Grow export needed · HR</t>
        </is>
      </c>
    </row>
    <row r="287" ht="90" customHeight="1">
      <c r="A287" s="51" t="inlineStr">
        <is>
          <t>◂ Back</t>
        </is>
      </c>
      <c r="B287" s="29" t="inlineStr">
        <is>
          <t>Mapped</t>
        </is>
      </c>
      <c r="C287" s="28" t="inlineStr">
        <is>
          <t>iFile</t>
        </is>
      </c>
      <c r="D287" s="29" t="inlineStr">
        <is>
          <t>IRIS1653</t>
        </is>
      </c>
      <c r="E287" s="29" t="inlineStr">
        <is>
          <t>Sarvesh Yadav</t>
        </is>
      </c>
      <c r="F287" s="29" t="inlineStr">
        <is>
          <t>Technology</t>
        </is>
      </c>
      <c r="G287" s="29" t="inlineStr">
        <is>
          <t>Senior Software Engineer</t>
        </is>
      </c>
      <c r="H287" s="29" t="inlineStr">
        <is>
          <t>Technical Specialist</t>
        </is>
      </c>
      <c r="I287" s="29" t="inlineStr">
        <is>
          <t>L4 – Senior</t>
        </is>
      </c>
      <c r="J287" s="29" t="inlineStr">
        <is>
          <t>B1</t>
        </is>
      </c>
      <c r="K287" s="29" t="inlineStr">
        <is>
          <t>▲ Up</t>
        </is>
      </c>
      <c r="L287" s="29" t="inlineStr">
        <is>
          <t>Engineering &amp; Development</t>
        </is>
      </c>
      <c r="M287" s="29" t="inlineStr">
        <is>
          <t>Backend Development</t>
        </is>
      </c>
      <c r="N287" s="29" t="inlineStr">
        <is>
          <t>• Confirm the reporting line — Manager</t>
        </is>
      </c>
      <c r="O287" s="29" t="n">
        <v>17</v>
      </c>
      <c r="P287" s="28" t="inlineStr">
        <is>
          <t>P3 / M2</t>
        </is>
      </c>
      <c r="Q287" s="29" t="inlineStr">
        <is>
          <t>Career / · Team Lead</t>
        </is>
      </c>
      <c r="R287" s="29" t="inlineStr">
        <is>
          <t>4 Enable</t>
        </is>
      </c>
      <c r="S287" s="29" t="inlineStr">
        <is>
          <t>4–7 yrs</t>
        </is>
      </c>
      <c r="T287" s="29" t="inlineStr">
        <is>
          <t>5–8 · 4–8</t>
        </is>
      </c>
      <c r="U287" s="29" t="inlineStr">
        <is>
          <t>Senior Software Engineer</t>
        </is>
      </c>
      <c r="V287" s="29" t="inlineStr">
        <is>
          <t>Workiva: SE / Senior SE · Broadridge India: Senior SE · Nasdaq / AxiomSL: Senior SE · Salesforce: MTS · Atlassian: P40 · Freshworks: Senior SE</t>
        </is>
      </c>
      <c r="W287" s="29" t="inlineStr">
        <is>
          <t>SFIA 9 · software development, programming; OWASP secure coding; cloud vendor certifications</t>
        </is>
      </c>
      <c r="X287" s="29" t="inlineStr">
        <is>
          <t>Core 3 · Future 3 · Functional 3 · Leadership 1</t>
        </is>
      </c>
      <c r="Y287" s="52" t="n">
        <v>137</v>
      </c>
      <c r="Z287" s="53" t="inlineStr">
        <is>
          <t>IRIS1653</t>
        </is>
      </c>
      <c r="AA287" s="53" t="inlineStr">
        <is>
          <t>Employee</t>
        </is>
      </c>
      <c r="AB287" s="53" t="inlineStr">
        <is>
          <t>Active</t>
        </is>
      </c>
      <c r="AC287" s="53" t="inlineStr">
        <is>
          <t>Sarvesh Yadav</t>
        </is>
      </c>
      <c r="AD287" s="54" t="n">
        <v>42921</v>
      </c>
      <c r="AE287" s="53" t="inlineStr">
        <is>
          <t>Senior Software Engineer</t>
        </is>
      </c>
      <c r="AF287" s="53" t="inlineStr">
        <is>
          <t>MCA</t>
        </is>
      </c>
      <c r="AG287" s="53" t="inlineStr">
        <is>
          <t>Brij Kishor Singh</t>
        </is>
      </c>
      <c r="AH287" s="53" t="inlineStr">
        <is>
          <t>N-4</t>
        </is>
      </c>
      <c r="AI287" s="53" t="inlineStr">
        <is>
          <t>Individual Contributor</t>
        </is>
      </c>
      <c r="AJ287" s="53" t="inlineStr">
        <is>
          <t>5 years, 7 months, 0 days</t>
        </is>
      </c>
      <c r="AK287" s="53" t="inlineStr">
        <is>
          <t>9 years, 1 months, 20 days</t>
        </is>
      </c>
      <c r="AL287" s="53" t="inlineStr">
        <is>
          <t>Suptech</t>
        </is>
      </c>
      <c r="AM287" s="53" t="inlineStr">
        <is>
          <t>iFile</t>
        </is>
      </c>
      <c r="AN287" s="53" t="inlineStr">
        <is>
          <t>Technology</t>
        </is>
      </c>
      <c r="AO287" s="53" t="inlineStr">
        <is>
          <t>Development</t>
        </is>
      </c>
      <c r="AP287" s="53" t="inlineStr">
        <is>
          <t>Yes</t>
        </is>
      </c>
      <c r="AQ287" s="53" t="inlineStr">
        <is>
          <t>Product/Project</t>
        </is>
      </c>
      <c r="AR287" s="53" t="inlineStr">
        <is>
          <t>Java</t>
        </is>
      </c>
      <c r="AS287" s="53" t="inlineStr">
        <is>
          <t>Technical - Developer</t>
        </is>
      </c>
      <c r="AT287" s="53" t="n">
        <v>20</v>
      </c>
      <c r="AU287" s="53" t="inlineStr">
        <is>
          <t>Covered</t>
        </is>
      </c>
      <c r="AV287" s="53" t="n"/>
      <c r="AW287" s="53" t="n"/>
      <c r="AX287" s="53" t="n"/>
      <c r="AY287" s="53" t="n"/>
      <c r="AZ287" s="53" t="n"/>
      <c r="BA287" s="53" t="n"/>
      <c r="BB287" s="53" t="n"/>
      <c r="BC287" s="53" t="n"/>
      <c r="BD287" s="53" t="n"/>
      <c r="BE287" s="53" t="n"/>
      <c r="BF287" s="53" t="n"/>
      <c r="BG287" s="53" t="n"/>
      <c r="BH287" s="53" t="n"/>
      <c r="BI287" s="53" t="n"/>
      <c r="BJ287" s="53" t="n"/>
      <c r="BK287" s="53" t="n"/>
      <c r="BL287" s="53" t="n"/>
      <c r="BM287" s="53" t="n"/>
      <c r="BN287" s="53" t="n"/>
      <c r="BO287" s="53" t="n"/>
      <c r="BP287" s="53" t="n"/>
      <c r="BQ287" s="53" t="n"/>
      <c r="BR287" s="53" t="n"/>
      <c r="BS287" s="53" t="n"/>
      <c r="BT287" s="53" t="n"/>
      <c r="BU287" s="53" t="n"/>
      <c r="BV287" s="53" t="n"/>
      <c r="BW287" s="53" t="n"/>
      <c r="BX287" s="53" t="n"/>
      <c r="BY287" s="53" t="n"/>
      <c r="BZ287" s="53" t="n"/>
      <c r="CA287" s="53" t="n"/>
      <c r="CB287" s="53" t="n"/>
      <c r="CC287" s="53" t="n"/>
      <c r="CD287" s="53" t="n"/>
      <c r="CE287" s="53" t="n"/>
      <c r="CF287" s="53" t="n"/>
      <c r="CG287" s="53" t="n"/>
      <c r="CH287" s="53" t="n"/>
      <c r="CI287" s="53" t="n"/>
      <c r="CJ287" s="53" t="n"/>
      <c r="CK287" s="53" t="n"/>
      <c r="CL287" s="53" t="n"/>
      <c r="CM287" s="53" t="n"/>
      <c r="CN287" s="53" t="n"/>
      <c r="CO287" s="53" t="n"/>
      <c r="CP287" s="53" t="n"/>
      <c r="CQ287" s="53" t="n"/>
      <c r="CR287" s="53" t="n"/>
      <c r="CS287" s="53" t="n"/>
      <c r="CT287" s="53" t="n"/>
      <c r="CU287" s="53" t="n"/>
      <c r="CV287" s="53" t="n"/>
      <c r="CW287" s="53" t="n"/>
      <c r="CX287" s="53" t="n"/>
      <c r="CY287" s="53" t="n"/>
      <c r="CZ287" s="53" t="n"/>
      <c r="DA287" s="53" t="n"/>
      <c r="DB287" s="53" t="n"/>
      <c r="DC287" s="53" t="n"/>
      <c r="DD287" s="53" t="inlineStr">
        <is>
          <t>IRIS1653</t>
        </is>
      </c>
      <c r="DE287" s="53" t="inlineStr">
        <is>
          <t>Employee</t>
        </is>
      </c>
      <c r="DF287" s="53" t="inlineStr">
        <is>
          <t>Active</t>
        </is>
      </c>
      <c r="DG287" s="53" t="inlineStr">
        <is>
          <t>Sarvesh Yadav</t>
        </is>
      </c>
      <c r="DH287" s="54" t="n">
        <v>42921</v>
      </c>
      <c r="DI287" s="53" t="inlineStr">
        <is>
          <t>Senior Software Engineer</t>
        </is>
      </c>
      <c r="DJ287" s="53" t="inlineStr">
        <is>
          <t>Engineering &amp; Development</t>
        </is>
      </c>
      <c r="DK287" s="53" t="inlineStr">
        <is>
          <t>Backend Engineering · Java</t>
        </is>
      </c>
      <c r="DL287" s="53" t="inlineStr">
        <is>
          <t>Senior Software Engineer</t>
        </is>
      </c>
      <c r="DM287" s="53" t="inlineStr">
        <is>
          <t>L4 – Senior</t>
        </is>
      </c>
      <c r="DN287" s="53" t="inlineStr">
        <is>
          <t>MCA</t>
        </is>
      </c>
      <c r="DO287" s="53" t="inlineStr">
        <is>
          <t>Brij Kishor Singh</t>
        </is>
      </c>
      <c r="DP287" s="53" t="inlineStr">
        <is>
          <t>N-3</t>
        </is>
      </c>
      <c r="DQ287" s="53" t="inlineStr">
        <is>
          <t>Manager</t>
        </is>
      </c>
      <c r="DR287" s="53" t="inlineStr">
        <is>
          <t>5 years, 7 months, 0 days</t>
        </is>
      </c>
      <c r="DS287" s="53" t="inlineStr">
        <is>
          <t>8 years, 11 months, 15 days</t>
        </is>
      </c>
      <c r="DT287" s="53" t="inlineStr">
        <is>
          <t>14 years, 6 months, 15 days</t>
        </is>
      </c>
      <c r="DU287" s="53" t="n">
        <v>8.957762557077629</v>
      </c>
      <c r="DV287" s="53" t="inlineStr">
        <is>
          <t>Suptech</t>
        </is>
      </c>
      <c r="DW287" s="53" t="inlineStr">
        <is>
          <t>iFile</t>
        </is>
      </c>
      <c r="DX287" s="53" t="inlineStr">
        <is>
          <t>Technology</t>
        </is>
      </c>
      <c r="DY287" s="53" t="inlineStr">
        <is>
          <t>Development</t>
        </is>
      </c>
      <c r="DZ287" s="53" t="inlineStr">
        <is>
          <t>Yes</t>
        </is>
      </c>
      <c r="EA287" s="53" t="inlineStr">
        <is>
          <t>Product/Project</t>
        </is>
      </c>
      <c r="EB287" s="53" t="inlineStr">
        <is>
          <t>Java</t>
        </is>
      </c>
      <c r="EC287" s="53" t="inlineStr">
        <is>
          <t>Technical - Developer</t>
        </is>
      </c>
      <c r="ED287" s="53" t="inlineStr">
        <is>
          <t>Remote - Mumbai</t>
        </is>
      </c>
      <c r="EE287" s="53" t="inlineStr">
        <is>
          <t>1. Project Delivery &amp; Execution	
2. Application Performance &amp; Reliability	
3. Production Support
4. Team Mentoring &amp; Collaboration	
5. Documentation &amp; Compliance</t>
        </is>
      </c>
      <c r="EF287" s="53" t="inlineStr">
        <is>
          <t>1. Deliver team release roadmap on schedule: &gt;=90% of committed releases on time
2. Keep team sprint velocity stable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EG287" s="53" t="inlineStr">
        <is>
          <t>Q1: Deliver team release roadmap on schedule: &gt;=90% of committed releases on time
Q1: Keep team sprint velocity stable · +/-10% and defect leakage &lt;=5%
Q1: Drive production stability: critical incidents resolved within SLA &gt;=95%
Q1: Reduce module-level tech debt by &gt;=15% via refactoring / reusable components
Q2: Deliver team release roadmap on schedule: &gt;=90% of committed releases on time
Q2: Keep team sprint velocity stable · +/-10% and defect leakage &lt;=5%
Q2: Drive production stability: critical incidents resolved within SLA &gt;=95%</t>
        </is>
      </c>
      <c r="EH287" s="53" t="n">
        <v>2</v>
      </c>
      <c r="EI287" s="54" t="n">
        <v>46204</v>
      </c>
      <c r="EJ287" s="53" t="inlineStr">
        <is>
          <t>Lead Software Engineer · review – mgr scope + tenure</t>
        </is>
      </c>
      <c r="EK287" s="53" t="inlineStr">
        <is>
          <t>Yes</t>
        </is>
      </c>
      <c r="EL287" s="53" t="n">
        <v>2</v>
      </c>
      <c r="EM287" s="53" t="inlineStr">
        <is>
          <t>Low</t>
        </is>
      </c>
      <c r="EN287" s="53" t="inlineStr">
        <is>
          <t>Performance Risk</t>
        </is>
      </c>
      <c r="EO287" s="53" t="n"/>
      <c r="EP287" s="53" t="n"/>
      <c r="EQ287" s="53" t="n"/>
      <c r="ER287" s="53" t="n"/>
      <c r="ES287" s="53" t="inlineStr">
        <is>
          <t>Advanced Java; secure coding &amp; code-quality practices; unit/automated testing; system design fundamentals | People management: goal-setting &amp; feedback, 1:1 coaching, performance conversations</t>
        </is>
      </c>
      <c r="ET287" s="53" t="inlineStr">
        <is>
          <t>Leadership development: strategic thinking, cross-functional influence, financial/business acumen, succession &amp; talent development, change management, executive communication</t>
        </is>
      </c>
      <c r="EU287" s="53" t="n"/>
      <c r="EV287" s="53" t="n"/>
      <c r="EW287" s="52" t="n"/>
      <c r="EX287" s="53" t="n"/>
      <c r="EY287" s="53" t="n"/>
      <c r="EZ287" s="53" t="n"/>
      <c r="FA287" s="53" t="n"/>
      <c r="FB287" s="53" t="n"/>
      <c r="FC287" s="53" t="inlineStr">
        <is>
          <t>Quarterly KRAs</t>
        </is>
      </c>
      <c r="FD287" s="53" t="n"/>
      <c r="FE287" s="57" t="inlineStr">
        <is>
          <t>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FF287" s="56" t="inlineStr">
        <is>
          <t>Q1: Deliver team release roadmap on schedule: &gt;=90% of committed releases on time
Q1: Keep team sprint velocity stable · +/-10% and defect leakage &lt;=5%
Q1: Drive production stability: critical incidents resolved within SLA &gt;=95%
Q1: Reduce module-level tech debt by &gt;=15% via refactoring / reusable components
Q2: Deliver team release roadmap on schedule: &gt;=90% of committed releases on time
Q2: Keep team sprint velocity stable · +/-10% and defect leakage &lt;=5%
Q2: Drive production stability: critical incidents resolved within SLA &gt;=95%</t>
        </is>
      </c>
      <c r="FG287" s="56" t="inlineStr">
        <is>
          <t>1. Project Delivery &amp; Execution	
2. Application Performance &amp; Reliability	
3. Production Support
4. Team Mentoring &amp; Collaboration	
5. Documentation &amp; Compliance</t>
        </is>
      </c>
      <c r="FH287" s="56" t="inlineStr">
        <is>
          <t>2</t>
        </is>
      </c>
      <c r="FI287" s="56" t="n"/>
      <c r="FJ287" s="56" t="inlineStr">
        <is>
          <t>Received · manager annual, quarterly, self</t>
        </is>
      </c>
      <c r="FK287" s="56" t="inlineStr">
        <is>
          <t>Talent Mapping · iFile collated</t>
        </is>
      </c>
      <c r="FL287" s="56" t="n">
        <v>17</v>
      </c>
      <c r="FM287" s="32" t="inlineStr">
        <is>
          <t>Full survey answers not in the files received · How We Grow export needed · HR</t>
        </is>
      </c>
      <c r="FN287" s="56" t="inlineStr">
        <is>
          <t>—</t>
        </is>
      </c>
      <c r="FO287" s="56" t="inlineStr">
        <is>
          <t>—</t>
        </is>
      </c>
      <c r="FP287" s="56" t="inlineStr">
        <is>
          <t>—</t>
        </is>
      </c>
      <c r="FQ287" s="56" t="inlineStr">
        <is>
          <t>—</t>
        </is>
      </c>
      <c r="FR287" s="56" t="inlineStr">
        <is>
          <t>Complexity: Evidence reads like B1: Lists solution design, complex issue resolution and production issues on Java/Oracle stack; no system named → moved up 0.5
Autonomy: Evidence reads like B2: Decides task prioritisation, task allocation, technical approach and code review outcomes → moved up 0.5
Accountability: Evidence reads like B1: own survey / KRA answers · summarised by the rater; not quoted → moved up 0.5
Leadership: Evidence reads like B1: Calls self team lead with team management and code reviews; 0 reports in HR data → moved up 0.5
Business Impact: No survey or manager-mapping signal on criticality: kept at the start point.</t>
        </is>
      </c>
      <c r="FS287" s="56" t="inlineStr">
        <is>
          <t>Common themes in role-holders' answers: technical · members · guide · lead · time · support
Common themes in role-holders' answers: development · requirement · testing · support · software · solution
Common themes in role-holders' answers: features · technical · issue · code · releases
Common themes in role-holders' answers: code · requirement · delivery · changes · am · delivering
Common themes in role-holders' answers: technical · approach · decisions · process · issue · code
If the work is missed · role-holders' themes: timeline · delays · rework.
Measured on · manager-set KRA themes: reduce · production · time · quarterly · incidents resolved · stability critical.</t>
        </is>
      </c>
      <c r="FT287" s="56" t="inlineStr">
        <is>
          <t>Self-identified: AI / automation · Leadership &amp; people management · Technical depth &amp; architecture · Client, sales &amp; stakeholders · Strategy &amp; business acumen
For the next role: AI / automation · Leadership &amp; people management · Technical depth &amp; architecture · Client, sales &amp; stakeholders · Strategy &amp; business acumen</t>
        </is>
      </c>
      <c r="FU287" s="32" t="inlineStr">
        <is>
          <t>Full survey answers not in the files received · How We Grow export needed · HR</t>
        </is>
      </c>
    </row>
    <row r="288" ht="90" customHeight="1">
      <c r="A288" s="51" t="inlineStr">
        <is>
          <t>◂ Back</t>
        </is>
      </c>
      <c r="B288" s="29" t="inlineStr">
        <is>
          <t>Mapped</t>
        </is>
      </c>
      <c r="C288" s="28" t="inlineStr">
        <is>
          <t>iFile</t>
        </is>
      </c>
      <c r="D288" s="29" t="inlineStr">
        <is>
          <t>IRIS1667</t>
        </is>
      </c>
      <c r="E288" s="29" t="inlineStr">
        <is>
          <t>Arun Kumar</t>
        </is>
      </c>
      <c r="F288" s="29" t="inlineStr">
        <is>
          <t>Technology</t>
        </is>
      </c>
      <c r="G288" s="29" t="inlineStr">
        <is>
          <t>Senior Software Engineer</t>
        </is>
      </c>
      <c r="H288" s="29" t="inlineStr">
        <is>
          <t>Technical Specialist</t>
        </is>
      </c>
      <c r="I288" s="29" t="inlineStr">
        <is>
          <t>L4 – Senior</t>
        </is>
      </c>
      <c r="J288" s="29" t="inlineStr">
        <is>
          <t>A3</t>
        </is>
      </c>
      <c r="K288" s="29" t="inlineStr">
        <is>
          <t>▲ Up</t>
        </is>
      </c>
      <c r="L288" s="29" t="inlineStr">
        <is>
          <t>Engineering &amp; Development</t>
        </is>
      </c>
      <c r="M288" s="29" t="inlineStr">
        <is>
          <t>Backend Development</t>
        </is>
      </c>
      <c r="N288" s="29" t="inlineStr">
        <is>
          <t>• Confirm the reporting line — Manager</t>
        </is>
      </c>
      <c r="O288" s="29" t="n">
        <v>20</v>
      </c>
      <c r="P288" s="28" t="inlineStr">
        <is>
          <t>P2</t>
        </is>
      </c>
      <c r="Q288" s="29" t="inlineStr">
        <is>
          <t>Developing</t>
        </is>
      </c>
      <c r="R288" s="29" t="inlineStr">
        <is>
          <t>3 Apply</t>
        </is>
      </c>
      <c r="S288" s="29" t="inlineStr">
        <is>
          <t>2–4 yrs</t>
        </is>
      </c>
      <c r="T288" s="29" t="inlineStr">
        <is>
          <t>3–5 · 2–5</t>
        </is>
      </c>
      <c r="U288" s="29" t="inlineStr">
        <is>
          <t>Senior Software Engineer</t>
        </is>
      </c>
      <c r="V288" s="29" t="inlineStr">
        <is>
          <t>Workiva: SE · Broadridge India: SE · Nasdaq / AxiomSL: SE · Salesforce: MTS · Atlassian: P40 · 3–7 yrs · Freshworks: Senior SE</t>
        </is>
      </c>
      <c r="W288" s="29" t="inlineStr">
        <is>
          <t>SFIA 9 · software development, programming; OWASP secure coding; cloud vendor certifications</t>
        </is>
      </c>
      <c r="X288" s="29" t="inlineStr">
        <is>
          <t>Core 2 · Future 2 · Functional 3 · Leadership not scored</t>
        </is>
      </c>
      <c r="Y288" s="52" t="n">
        <v>138</v>
      </c>
      <c r="Z288" s="53" t="inlineStr">
        <is>
          <t>IRIS1667</t>
        </is>
      </c>
      <c r="AA288" s="53" t="inlineStr">
        <is>
          <t>Employee</t>
        </is>
      </c>
      <c r="AB288" s="53" t="inlineStr">
        <is>
          <t>Active</t>
        </is>
      </c>
      <c r="AC288" s="53" t="inlineStr">
        <is>
          <t>Arun Kumar</t>
        </is>
      </c>
      <c r="AD288" s="54" t="n">
        <v>43011</v>
      </c>
      <c r="AE288" s="53" t="inlineStr">
        <is>
          <t>Senior Software Engineer</t>
        </is>
      </c>
      <c r="AF288" s="53" t="inlineStr">
        <is>
          <t>MCA</t>
        </is>
      </c>
      <c r="AG288" s="53" t="inlineStr">
        <is>
          <t>Brij Kishor Singh</t>
        </is>
      </c>
      <c r="AH288" s="53" t="inlineStr">
        <is>
          <t>N-4</t>
        </is>
      </c>
      <c r="AI288" s="53" t="inlineStr">
        <is>
          <t>Individual Contributor</t>
        </is>
      </c>
      <c r="AJ288" s="53" t="inlineStr">
        <is>
          <t>3 years, 3 months, 0 days</t>
        </is>
      </c>
      <c r="AK288" s="53" t="inlineStr">
        <is>
          <t>8 years, 10 months, 22 days</t>
        </is>
      </c>
      <c r="AL288" s="53" t="inlineStr">
        <is>
          <t>Suptech</t>
        </is>
      </c>
      <c r="AM288" s="53" t="inlineStr">
        <is>
          <t>iFile</t>
        </is>
      </c>
      <c r="AN288" s="53" t="inlineStr">
        <is>
          <t>Technology</t>
        </is>
      </c>
      <c r="AO288" s="53" t="inlineStr">
        <is>
          <t>Development</t>
        </is>
      </c>
      <c r="AP288" s="53" t="inlineStr">
        <is>
          <t>Yes</t>
        </is>
      </c>
      <c r="AQ288" s="53" t="inlineStr">
        <is>
          <t>Product/Project</t>
        </is>
      </c>
      <c r="AR288" s="53" t="inlineStr">
        <is>
          <t>Java</t>
        </is>
      </c>
      <c r="AS288" s="53" t="inlineStr">
        <is>
          <t>Technical - Developer</t>
        </is>
      </c>
      <c r="AT288" s="53" t="n">
        <v>20</v>
      </c>
      <c r="AU288" s="53" t="inlineStr">
        <is>
          <t>Covered</t>
        </is>
      </c>
      <c r="AV288" s="53" t="n"/>
      <c r="AW288" s="53" t="n"/>
      <c r="AX288" s="53" t="n"/>
      <c r="AY288" s="53" t="n"/>
      <c r="AZ288" s="53" t="n"/>
      <c r="BA288" s="53" t="n"/>
      <c r="BB288" s="53" t="n"/>
      <c r="BC288" s="53" t="n"/>
      <c r="BD288" s="53" t="n"/>
      <c r="BE288" s="53" t="n"/>
      <c r="BF288" s="53" t="n"/>
      <c r="BG288" s="53" t="n"/>
      <c r="BH288" s="53" t="n"/>
      <c r="BI288" s="53" t="n"/>
      <c r="BJ288" s="53" t="n"/>
      <c r="BK288" s="53" t="n"/>
      <c r="BL288" s="53" t="n"/>
      <c r="BM288" s="53" t="n"/>
      <c r="BN288" s="53" t="n"/>
      <c r="BO288" s="53" t="n"/>
      <c r="BP288" s="53" t="n"/>
      <c r="BQ288" s="53" t="n"/>
      <c r="BR288" s="53" t="n"/>
      <c r="BS288" s="53" t="n"/>
      <c r="BT288" s="53" t="n"/>
      <c r="BU288" s="53" t="n"/>
      <c r="BV288" s="53" t="n"/>
      <c r="BW288" s="53" t="n"/>
      <c r="BX288" s="53" t="n"/>
      <c r="BY288" s="53" t="n"/>
      <c r="BZ288" s="53" t="n"/>
      <c r="CA288" s="53" t="n"/>
      <c r="CB288" s="53" t="n"/>
      <c r="CC288" s="53" t="n"/>
      <c r="CD288" s="53" t="n"/>
      <c r="CE288" s="53" t="n"/>
      <c r="CF288" s="53" t="n"/>
      <c r="CG288" s="53" t="n"/>
      <c r="CH288" s="53" t="n"/>
      <c r="CI288" s="53" t="n"/>
      <c r="CJ288" s="53" t="n"/>
      <c r="CK288" s="53" t="n"/>
      <c r="CL288" s="53" t="n"/>
      <c r="CM288" s="53" t="n"/>
      <c r="CN288" s="53" t="n"/>
      <c r="CO288" s="53" t="n"/>
      <c r="CP288" s="53" t="n"/>
      <c r="CQ288" s="53" t="n"/>
      <c r="CR288" s="53" t="n"/>
      <c r="CS288" s="53" t="n"/>
      <c r="CT288" s="53" t="n"/>
      <c r="CU288" s="53" t="n"/>
      <c r="CV288" s="53" t="n"/>
      <c r="CW288" s="53" t="n"/>
      <c r="CX288" s="53" t="n"/>
      <c r="CY288" s="53" t="n"/>
      <c r="CZ288" s="53" t="n"/>
      <c r="DA288" s="53" t="n"/>
      <c r="DB288" s="53" t="n"/>
      <c r="DC288" s="53" t="n"/>
      <c r="DD288" s="53" t="inlineStr">
        <is>
          <t>IRIS1667</t>
        </is>
      </c>
      <c r="DE288" s="53" t="inlineStr">
        <is>
          <t>Employee</t>
        </is>
      </c>
      <c r="DF288" s="53" t="inlineStr">
        <is>
          <t>Active</t>
        </is>
      </c>
      <c r="DG288" s="53" t="inlineStr">
        <is>
          <t>Arun Kumar</t>
        </is>
      </c>
      <c r="DH288" s="54" t="n">
        <v>43011</v>
      </c>
      <c r="DI288" s="53" t="inlineStr">
        <is>
          <t>Senior Software Engineer</t>
        </is>
      </c>
      <c r="DJ288" s="53" t="inlineStr">
        <is>
          <t>Engineering &amp; Development</t>
        </is>
      </c>
      <c r="DK288" s="53" t="inlineStr">
        <is>
          <t>Backend Engineering · Java</t>
        </is>
      </c>
      <c r="DL288" s="53" t="inlineStr">
        <is>
          <t>Senior Software Engineer</t>
        </is>
      </c>
      <c r="DM288" s="53" t="inlineStr">
        <is>
          <t>L4 – Senior</t>
        </is>
      </c>
      <c r="DN288" s="53" t="inlineStr">
        <is>
          <t>MCA</t>
        </is>
      </c>
      <c r="DO288" s="53" t="inlineStr">
        <is>
          <t>Nikhil Nalawade</t>
        </is>
      </c>
      <c r="DP288" s="53" t="inlineStr">
        <is>
          <t>N-3</t>
        </is>
      </c>
      <c r="DQ288" s="53" t="inlineStr">
        <is>
          <t>Individual Contributor</t>
        </is>
      </c>
      <c r="DR288" s="53" t="inlineStr">
        <is>
          <t>3 years, 3 months, 0 days</t>
        </is>
      </c>
      <c r="DS288" s="53" t="inlineStr">
        <is>
          <t>8 years, 8 months, 17 days</t>
        </is>
      </c>
      <c r="DT288" s="53" t="inlineStr">
        <is>
          <t>11 years, 11 months, 17 days</t>
        </is>
      </c>
      <c r="DU288" s="53" t="n"/>
      <c r="DV288" s="53" t="inlineStr">
        <is>
          <t>Suptech</t>
        </is>
      </c>
      <c r="DW288" s="53" t="inlineStr">
        <is>
          <t>iFile</t>
        </is>
      </c>
      <c r="DX288" s="53" t="inlineStr">
        <is>
          <t>Technology</t>
        </is>
      </c>
      <c r="DY288" s="53" t="inlineStr">
        <is>
          <t>Development</t>
        </is>
      </c>
      <c r="DZ288" s="53" t="inlineStr">
        <is>
          <t>Yes</t>
        </is>
      </c>
      <c r="EA288" s="53" t="inlineStr">
        <is>
          <t>Product/Project</t>
        </is>
      </c>
      <c r="EB288" s="53" t="inlineStr">
        <is>
          <t>Java</t>
        </is>
      </c>
      <c r="EC288" s="53" t="inlineStr">
        <is>
          <t>Technical - Developer</t>
        </is>
      </c>
      <c r="ED288" s="53" t="inlineStr">
        <is>
          <t>Remote- Outside Mumbai</t>
        </is>
      </c>
      <c r="EE288" s="53" t="inlineStr">
        <is>
          <t>1. Lead the successful delivery of multiple projects or strategic initiatives, ensuring alignment with business objectives, delivery commitments, quality standards, and customer expectations.
2. Drive solution architecture, technology strategy, engineering best practices, security, scalability, and operational excellence across projects.
3. Build strong relationships with customers and internal stakeholders by providing strategic guidance, managing expectations, mitigating risks, and ensuring high customer satisfaction.
4. Develop high-performing teams through mentoring, coaching, performance management, succession planning, and capability development while fostering a culture of accountability and collaboration.
5. Improve engineering efficiency by driving process standardization, delivery governance, quality metrics, DevOps adoption, automation, and continuous improvement initiatives.
6. Champion AI adoption across engineering teams by implementing AI-driven solutions, improving developer productivity, and identifying opportunities to enhance products and delivery processes.
7. Contribute to business growth through pre-sales support, solution proposals, technical estimations, innovation initiatives, reusable assets, and process improvements.
8. Complete at least two leadership, architecture, cloud, or technology certifications/training programs and one AI-focused certification or executive learning program, while promoting a culture of continuous learning within the team.
9. Lead organization-wide initiatives such as competency development, knowledge-sharing programs, engineering standards, recruitment, and technical governance to strengthen overall organizational capability.</t>
        </is>
      </c>
      <c r="EF288"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288"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H288" s="53" t="n">
        <v>4</v>
      </c>
      <c r="EI288" s="53" t="inlineStr">
        <is>
          <t>Pending</t>
        </is>
      </c>
      <c r="EJ288" s="53" t="inlineStr">
        <is>
          <t>Senior Software Engineer</t>
        </is>
      </c>
      <c r="EK288" s="53" t="inlineStr">
        <is>
          <t>No</t>
        </is>
      </c>
      <c r="EL288" s="53" t="n">
        <v>4</v>
      </c>
      <c r="EM288" s="53" t="n"/>
      <c r="EN288" s="53" t="inlineStr">
        <is>
          <t>Trusted Professional</t>
        </is>
      </c>
      <c r="EO288" s="53" t="inlineStr">
        <is>
          <t>No</t>
        </is>
      </c>
      <c r="EP288" s="53" t="inlineStr">
        <is>
          <t>No</t>
        </is>
      </c>
      <c r="EQ288" s="53" t="inlineStr">
        <is>
          <t>Yes</t>
        </is>
      </c>
      <c r="ER288" s="53" t="n"/>
      <c r="ES288" s="53" t="inlineStr">
        <is>
          <t>1. Strategic Leadership, Performance Management, Coaching &amp; Mentoring, Conflict Resolution, Change Management
2. Program &amp; Portfolio Management, Agile Leadership, Risk Management, Financial &amp; Resource Planning
3. Solution Architecture, Enterprise Integration, Cloud Architecture · AWS/Azure, Security Architecture
4. DevOps Strategy, Engineering Governance, Quality Engineering, Platform Engineering, SRE Fundamentals
5. AI Strategy, Generative AI for Engineering, AI Governance &amp; Responsible AI, AI-driven SDLC &amp; Productivity
6. Stakeholder Management, Client Engagement, Negotiation, Executive Communication, Pre-sales &amp; Solutioning
7. Talent Development, Succession Planning, Hiring &amp; Interviewing, Organizational Capability Building</t>
        </is>
      </c>
      <c r="ET288" s="53" t="n"/>
      <c r="EU288" s="53" t="inlineStr">
        <is>
          <t>Need to improve communication</t>
        </is>
      </c>
      <c r="EV288" s="53" t="n"/>
      <c r="EW288" s="52" t="n"/>
      <c r="EX288" s="53" t="n"/>
      <c r="EY288" s="53" t="n"/>
      <c r="EZ288" s="53" t="n"/>
      <c r="FA288" s="53" t="n"/>
      <c r="FB288" s="53" t="n"/>
      <c r="FC288" s="53" t="n"/>
      <c r="FD288" s="53" t="n"/>
      <c r="FE288"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288"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FG288" s="56" t="inlineStr">
        <is>
          <t>1. Lead the successful delivery of multiple projects or strategic initiatives, ensuring alignment with business objectives, delivery commitments, quality standards, and customer expectations.
2. Drive solution architecture, technology strategy, engineering best practices, security, scalability, and operational excellence across projects.
3. Build strong relationships with customers and internal stakeholders by providing strategic guidance, managing expectations, mitigating risks, and ensuring high customer satisfaction.
4. Develop high-performing teams through mentoring, coaching, performance management, succession planning, and capability development while fostering a culture of accountability and collaboration.
5. Improve engineering efficiency by driving process standardization, delivery governance, quality metrics, DevOps adoption, automation, and continuous improvement initiatives.
6. Champion AI adoption across engineering teams by implementing AI-driven solutions, improving developer productivity, and identifying opportunities to enhance products and delivery processes.
7. Contribute to business growth through pre-sales support, solution proposals, technical estimations, innovation initiatives, reusable assets, and process improvements.
8. Complete at least two leadership, architecture, cloud, or technology certifications/training programs and one AI-focused certification or executive learning program, while promoting a culture of continuous learning within the team.
9. Lead organization-wide initiatives such as competency development, knowledge-sharing programs, engineering standards, recruitment, and technical governance to strengthen overall organizational capability.</t>
        </is>
      </c>
      <c r="FH288" s="56" t="inlineStr">
        <is>
          <t>4</t>
        </is>
      </c>
      <c r="FI288" s="56" t="n"/>
      <c r="FJ288" s="56" t="inlineStr">
        <is>
          <t>Received · manager annual, quarterly, self</t>
        </is>
      </c>
      <c r="FK288" s="56" t="inlineStr">
        <is>
          <t>Talent Mapping · iFile collated</t>
        </is>
      </c>
      <c r="FL288" s="56" t="n">
        <v>20</v>
      </c>
      <c r="FM288" s="32" t="inlineStr">
        <is>
          <t>Full survey answers not in the files received · How We Grow export needed · HR</t>
        </is>
      </c>
      <c r="FN288" s="56" t="inlineStr">
        <is>
          <t>—</t>
        </is>
      </c>
      <c r="FO288" s="56" t="inlineStr">
        <is>
          <t>—</t>
        </is>
      </c>
      <c r="FP288" s="56" t="inlineStr">
        <is>
          <t>—</t>
        </is>
      </c>
      <c r="FQ288" s="56" t="inlineStr">
        <is>
          <t>—</t>
        </is>
      </c>
      <c r="FR288" s="56" t="inlineStr">
        <is>
          <t>Business Impact: Moved +0.5: the survey / manager mapping marks it business-critical.</t>
        </is>
      </c>
      <c r="FS288"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288" s="56" t="inlineStr">
        <is>
          <t>Self-identified: Technical depth &amp; architecture
For the next role: Technical depth &amp; architecture</t>
        </is>
      </c>
      <c r="FU288" s="32" t="inlineStr">
        <is>
          <t>Full survey answers not in the files received · How We Grow export needed · HR</t>
        </is>
      </c>
    </row>
    <row r="289" ht="90" customHeight="1">
      <c r="A289" s="51" t="inlineStr">
        <is>
          <t>◂ Back</t>
        </is>
      </c>
      <c r="B289" s="29" t="inlineStr">
        <is>
          <t>Mapped</t>
        </is>
      </c>
      <c r="C289" s="28" t="inlineStr">
        <is>
          <t>iFile</t>
        </is>
      </c>
      <c r="D289" s="29" t="inlineStr">
        <is>
          <t>IRIS0217</t>
        </is>
      </c>
      <c r="E289" s="29" t="inlineStr">
        <is>
          <t>Hemant Trivedi</t>
        </is>
      </c>
      <c r="F289" s="29" t="inlineStr">
        <is>
          <t>Technology</t>
        </is>
      </c>
      <c r="G289" s="29" t="inlineStr">
        <is>
          <t>Technical Architect</t>
        </is>
      </c>
      <c r="H289" s="29" t="inlineStr">
        <is>
          <t>Practice Lead – Solution &amp; Technical Architecture · Player-Coach</t>
        </is>
      </c>
      <c r="I289" s="29" t="inlineStr">
        <is>
          <t>L3 – Professional / Associate</t>
        </is>
      </c>
      <c r="J289" s="29" t="inlineStr">
        <is>
          <t>B+</t>
        </is>
      </c>
      <c r="K289" s="29" t="inlineStr">
        <is>
          <t>▲ Up</t>
        </is>
      </c>
      <c r="L289" s="29" t="inlineStr">
        <is>
          <t>Engineering &amp; Architecture</t>
        </is>
      </c>
      <c r="M289" s="29" t="inlineStr">
        <is>
          <t>Solution &amp; Technical Architecture</t>
        </is>
      </c>
      <c r="N289" s="29" t="n"/>
      <c r="O289" s="29" t="n">
        <v>20</v>
      </c>
      <c r="P289" s="28" t="inlineStr">
        <is>
          <t>P5–P6 / M4–M5</t>
        </is>
      </c>
      <c r="Q289" s="29" t="inlineStr">
        <is>
          <t>Expert / Senior Manager · player-coach</t>
        </is>
      </c>
      <c r="R289" s="29" t="inlineStr">
        <is>
          <t>5 Ensure, advise</t>
        </is>
      </c>
      <c r="S289" s="29" t="inlineStr">
        <is>
          <t>9–14 yrs</t>
        </is>
      </c>
      <c r="T289" s="29" t="inlineStr">
        <is>
          <t>9–13 · 9–14</t>
        </is>
      </c>
      <c r="U289" s="29" t="inlineStr">
        <is>
          <t>Tech Lead Manager / Practice Lead · player-coach</t>
        </is>
      </c>
      <c r="V289" s="29" t="inlineStr">
        <is>
          <t>Google: Tech Lead Manager · TLM · McKinsey player/coach · 3–5 reports · SaaS: player-coach team lead carrying own work</t>
        </is>
      </c>
      <c r="W289" s="29" t="inlineStr">
        <is>
          <t>SFIA 9 · solution architecture; TOGAF; AWS / Azure architect certifications</t>
        </is>
      </c>
      <c r="X289" s="29" t="inlineStr">
        <is>
          <t>Core 4 · Future 4 · Functional 4 · Leadership 4</t>
        </is>
      </c>
      <c r="Y289" s="52" t="n">
        <v>39</v>
      </c>
      <c r="Z289" s="53" t="inlineStr">
        <is>
          <t>IRIS0217</t>
        </is>
      </c>
      <c r="AA289" s="53" t="inlineStr">
        <is>
          <t>Employee</t>
        </is>
      </c>
      <c r="AB289" s="53" t="inlineStr">
        <is>
          <t>Active</t>
        </is>
      </c>
      <c r="AC289" s="53" t="inlineStr">
        <is>
          <t>Hemant Trivedi</t>
        </is>
      </c>
      <c r="AD289" s="54" t="n">
        <v>39667</v>
      </c>
      <c r="AE289" s="53" t="inlineStr">
        <is>
          <t>Technical Architect</t>
        </is>
      </c>
      <c r="AF289" s="53" t="inlineStr">
        <is>
          <t>B.E</t>
        </is>
      </c>
      <c r="AG289" s="53" t="inlineStr">
        <is>
          <t>Pradip Dey</t>
        </is>
      </c>
      <c r="AH289" s="53" t="inlineStr">
        <is>
          <t>N-3</t>
        </is>
      </c>
      <c r="AI289" s="53" t="inlineStr">
        <is>
          <t>Manager</t>
        </is>
      </c>
      <c r="AJ289" s="53" t="inlineStr">
        <is>
          <t>1 years, 0 months, 0 days</t>
        </is>
      </c>
      <c r="AK289" s="53" t="inlineStr">
        <is>
          <t>18 years, 0 months, 18 days</t>
        </is>
      </c>
      <c r="AL289" s="53" t="inlineStr">
        <is>
          <t>Suptech</t>
        </is>
      </c>
      <c r="AM289" s="53" t="inlineStr">
        <is>
          <t>iFile</t>
        </is>
      </c>
      <c r="AN289" s="53" t="inlineStr">
        <is>
          <t>Technology</t>
        </is>
      </c>
      <c r="AO289" s="53" t="inlineStr">
        <is>
          <t>Development</t>
        </is>
      </c>
      <c r="AP289" s="53" t="inlineStr">
        <is>
          <t>Yes</t>
        </is>
      </c>
      <c r="AQ289" s="53" t="inlineStr">
        <is>
          <t>Product/Project</t>
        </is>
      </c>
      <c r="AR289" s="53" t="inlineStr">
        <is>
          <t>.NET MVC</t>
        </is>
      </c>
      <c r="AS289" s="53" t="inlineStr">
        <is>
          <t>Technical - Developer</t>
        </is>
      </c>
      <c r="AT289" s="53" t="n">
        <v>20</v>
      </c>
      <c r="AU289" s="53" t="inlineStr">
        <is>
          <t>Covered</t>
        </is>
      </c>
      <c r="AV289" s="53" t="n"/>
      <c r="AW289" s="53" t="n"/>
      <c r="AX289" s="53" t="n"/>
      <c r="AY289" s="53" t="n"/>
      <c r="AZ289" s="53" t="n"/>
      <c r="BA289" s="53" t="n"/>
      <c r="BB289" s="53" t="n"/>
      <c r="BC289" s="53" t="n"/>
      <c r="BD289" s="53" t="n"/>
      <c r="BE289" s="53" t="n"/>
      <c r="BF289" s="53" t="n"/>
      <c r="BG289" s="53" t="n"/>
      <c r="BH289" s="53" t="n"/>
      <c r="BI289" s="53" t="n"/>
      <c r="BJ289" s="53" t="n"/>
      <c r="BK289" s="53" t="n"/>
      <c r="BL289" s="53" t="n"/>
      <c r="BM289" s="53" t="n"/>
      <c r="BN289" s="53" t="n"/>
      <c r="BO289" s="53" t="n"/>
      <c r="BP289" s="53" t="n"/>
      <c r="BQ289" s="53" t="n"/>
      <c r="BR289" s="53" t="n"/>
      <c r="BS289" s="53" t="n"/>
      <c r="BT289" s="53" t="n"/>
      <c r="BU289" s="53" t="n"/>
      <c r="BV289" s="53" t="n"/>
      <c r="BW289" s="53" t="n"/>
      <c r="BX289" s="53" t="n"/>
      <c r="BY289" s="53" t="n"/>
      <c r="BZ289" s="53" t="n"/>
      <c r="CA289" s="53" t="n"/>
      <c r="CB289" s="53" t="n"/>
      <c r="CC289" s="53" t="n"/>
      <c r="CD289" s="53" t="n"/>
      <c r="CE289" s="53" t="n"/>
      <c r="CF289" s="53" t="n"/>
      <c r="CG289" s="53" t="n"/>
      <c r="CH289" s="53" t="n"/>
      <c r="CI289" s="53" t="n"/>
      <c r="CJ289" s="53" t="n"/>
      <c r="CK289" s="53" t="n"/>
      <c r="CL289" s="53" t="n"/>
      <c r="CM289" s="53" t="n"/>
      <c r="CN289" s="53" t="n"/>
      <c r="CO289" s="53" t="n"/>
      <c r="CP289" s="53" t="n"/>
      <c r="CQ289" s="53" t="n"/>
      <c r="CR289" s="53" t="n"/>
      <c r="CS289" s="53" t="n"/>
      <c r="CT289" s="53" t="n"/>
      <c r="CU289" s="53" t="n"/>
      <c r="CV289" s="53" t="n"/>
      <c r="CW289" s="53" t="n"/>
      <c r="CX289" s="53" t="n"/>
      <c r="CY289" s="53" t="n"/>
      <c r="CZ289" s="53" t="n"/>
      <c r="DA289" s="53" t="n"/>
      <c r="DB289" s="53" t="n"/>
      <c r="DC289" s="53" t="n"/>
      <c r="DD289" s="53" t="inlineStr">
        <is>
          <t>IRIS0217</t>
        </is>
      </c>
      <c r="DE289" s="53" t="inlineStr">
        <is>
          <t>Employee</t>
        </is>
      </c>
      <c r="DF289" s="53" t="inlineStr">
        <is>
          <t>Active</t>
        </is>
      </c>
      <c r="DG289" s="53" t="inlineStr">
        <is>
          <t>Hemant Trivedi</t>
        </is>
      </c>
      <c r="DH289" s="54" t="n">
        <v>39667</v>
      </c>
      <c r="DI289" s="53" t="inlineStr">
        <is>
          <t>Technical Architect</t>
        </is>
      </c>
      <c r="DJ289" s="53" t="inlineStr">
        <is>
          <t>Engineering &amp; Architecture</t>
        </is>
      </c>
      <c r="DK289" s="53" t="inlineStr">
        <is>
          <t>Solution / Software Architecture</t>
        </is>
      </c>
      <c r="DL289" s="53" t="inlineStr">
        <is>
          <t>Technical Architect</t>
        </is>
      </c>
      <c r="DM289" s="53" t="inlineStr">
        <is>
          <t>L3 – Professional / Associate</t>
        </is>
      </c>
      <c r="DN289" s="53" t="inlineStr">
        <is>
          <t>B.E</t>
        </is>
      </c>
      <c r="DO289" s="53" t="inlineStr">
        <is>
          <t>Pradip Dey</t>
        </is>
      </c>
      <c r="DP289" s="53" t="inlineStr">
        <is>
          <t>N-2</t>
        </is>
      </c>
      <c r="DQ289" s="53" t="inlineStr">
        <is>
          <t>Manager</t>
        </is>
      </c>
      <c r="DR289" s="53" t="inlineStr">
        <is>
          <t>1 years, 0 months, 0 days</t>
        </is>
      </c>
      <c r="DS289" s="53" t="inlineStr">
        <is>
          <t>17 years, 10 months, 13 days</t>
        </is>
      </c>
      <c r="DT289" s="53" t="inlineStr">
        <is>
          <t>18 years, 10 months, 13 days</t>
        </is>
      </c>
      <c r="DU289" s="53" t="n">
        <v>17.8689497716895</v>
      </c>
      <c r="DV289" s="53" t="inlineStr">
        <is>
          <t>Suptech</t>
        </is>
      </c>
      <c r="DW289" s="53" t="inlineStr">
        <is>
          <t>iFile</t>
        </is>
      </c>
      <c r="DX289" s="53" t="inlineStr">
        <is>
          <t>Technology</t>
        </is>
      </c>
      <c r="DY289" s="53" t="inlineStr">
        <is>
          <t>Development</t>
        </is>
      </c>
      <c r="DZ289" s="53" t="inlineStr">
        <is>
          <t>Yes</t>
        </is>
      </c>
      <c r="EA289" s="53" t="inlineStr">
        <is>
          <t>Product/Project</t>
        </is>
      </c>
      <c r="EB289" s="53" t="inlineStr">
        <is>
          <t>.NET MVC</t>
        </is>
      </c>
      <c r="EC289" s="53" t="inlineStr">
        <is>
          <t>Technical - Developer</t>
        </is>
      </c>
      <c r="ED289" s="53" t="inlineStr">
        <is>
          <t>Work From Office - Turbhe</t>
        </is>
      </c>
      <c r="EE289" s="53" t="n"/>
      <c r="EF289" s="53" t="inlineStr">
        <is>
          <t>1. QFCRA project
Complete QFCRA Taxonomy upgrade and Tech Refresh project implementation in a timely manner
Provide technical leadership, as well as overall team building, coaching/mentoring for the entire team
2. QSE and other running implementations
As SPOC, ensure QSE accout activities are taken care of effectively 
Ensure team members are able to take care of ongoing support/maintenace activities as per SLA
3. NOAH
Ongoing support for the internal/external team and improvements
Develop roadmap for the NOAH product 
Present roadmap to the senior leadership along with relevant metrics for deciding on the next steps
4. Next Steps 
TBD based on #3 and overall structuring/plan</t>
        </is>
      </c>
      <c r="EG289" s="53" t="inlineStr">
        <is>
          <t>QFCRA project completion
NOAH Roadmap completion</t>
        </is>
      </c>
      <c r="EH289" s="53" t="inlineStr">
        <is>
          <t>Meets Expectations</t>
        </is>
      </c>
      <c r="EI289" s="54" t="n">
        <v>45931</v>
      </c>
      <c r="EJ289" s="53" t="inlineStr">
        <is>
          <t>Technical Architect</t>
        </is>
      </c>
      <c r="EK289" s="53" t="n"/>
      <c r="EL289" s="53" t="n">
        <v>4</v>
      </c>
      <c r="EM289" s="53" t="inlineStr">
        <is>
          <t>High</t>
        </is>
      </c>
      <c r="EN289" s="53" t="inlineStr">
        <is>
          <t>Trusted Professional</t>
        </is>
      </c>
      <c r="EO289" s="53" t="n"/>
      <c r="EP289" s="53" t="inlineStr">
        <is>
          <t>Y</t>
        </is>
      </c>
      <c r="EQ289" s="53" t="inlineStr">
        <is>
          <t>Y</t>
        </is>
      </c>
      <c r="ER289" s="53" t="n"/>
      <c r="ES289" s="53" t="inlineStr">
        <is>
          <t>Communications and Soft Skills</t>
        </is>
      </c>
      <c r="ET289" s="53" t="n"/>
      <c r="EU289" s="53" t="inlineStr">
        <is>
          <t>Leadership development: strategic thinking, cross-functional influence, financial/business acumen, succession &amp; talent development, change management, executive communication</t>
        </is>
      </c>
      <c r="EV289" s="53" t="n"/>
      <c r="EW289" s="52" t="n"/>
      <c r="EX289" s="53" t="n"/>
      <c r="EY289" s="53" t="n"/>
      <c r="EZ289" s="53" t="n"/>
      <c r="FA289" s="53" t="n"/>
      <c r="FB289" s="53" t="n"/>
      <c r="FC289" s="53" t="n"/>
      <c r="FD289" s="53" t="n"/>
      <c r="FE289" s="57" t="inlineStr">
        <is>
          <t>1. QFCRA project
Complete QFCRA Taxonomy upgrade and Tech Refresh project implementation in a timely manner
Provide technical leadership, as well as overall team building, coaching/mentoring for the entire team
2. QSE and other running implementations
As SPOC, ensure QSE accout activities are taken care of effectively 
Ensure team members are able to take care of ongoing support/maintenace activities as per SLA
3. NOAH
Ongoing support for the internal/external team and improvements
Develop roadmap for the NOAH product 
Present roadmap to the senior leadership along with relevant metrics for deciding on the next steps
4. Next Steps 
TBD based on #3 and overall structuring/plan</t>
        </is>
      </c>
      <c r="FF289" s="56" t="inlineStr">
        <is>
          <t>QFCRA project completion
NOAH Roadmap completion</t>
        </is>
      </c>
      <c r="FG289" s="56" t="n"/>
      <c r="FH289" s="56" t="inlineStr">
        <is>
          <t>Meets Expectations</t>
        </is>
      </c>
      <c r="FI289" s="56" t="n"/>
      <c r="FJ289" s="56" t="inlineStr">
        <is>
          <t>Received · manager annual, quarterly</t>
        </is>
      </c>
      <c r="FK289" s="56" t="inlineStr">
        <is>
          <t>Talent Mapping · iFile collated</t>
        </is>
      </c>
      <c r="FL289" s="56" t="n">
        <v>20</v>
      </c>
      <c r="FM289" s="32" t="inlineStr">
        <is>
          <t>Full survey answers not in the files received · How We Grow export needed · HR</t>
        </is>
      </c>
      <c r="FN289" s="56" t="inlineStr">
        <is>
          <t>—</t>
        </is>
      </c>
      <c r="FO289" s="56" t="inlineStr">
        <is>
          <t>—</t>
        </is>
      </c>
      <c r="FP289" s="56" t="inlineStr">
        <is>
          <t>—</t>
        </is>
      </c>
      <c r="FQ289" s="56" t="inlineStr">
        <is>
          <t>—</t>
        </is>
      </c>
      <c r="FR289" s="56" t="inlineStr">
        <is>
          <t>Complexity: Evidence reads like B1: Coding, security testing, deployment automation and impact analysis across 5 projects; design claim is generic → moved down 0.5
Autonomy: Evidence reads like A3: Decides how to complete unclear requirements and own development; no team-level calls stated → moved down 0.5
Accountability: Evidence reads like B1: Answers for product/project releases via CI/CD; KRA names him SPOC for QSE account → moved down 0.5
Leadership: Evidence reads like B1: KT to the team; 3 direct reports; KRA expects coaching and mentoring of the team → moved down 0.5
Business Impact: Moved +1: the survey / manager mapping marks it business-critical and it does work no one else does.</t>
        </is>
      </c>
      <c r="FS289" s="56" t="inlineStr">
        <is>
          <t>Common themes in role-holders' answers: technical · client · design · understanding · solution · application
Common themes in role-holders' answers: client · documentation · technical · solution · requirement · meeting
Common themes in role-holders' answers: solution · architecture · design
Common themes in role-holders' answers: client · if · solution · architecture · design · technical
Common themes in role-holders' answers: approach
If the work is missed · role-holders' themes: client · time.
Measured on · manager-set KRA themes: support · technical · project · completion · develop · year.</t>
        </is>
      </c>
      <c r="FT289" s="56" t="inlineStr">
        <is>
          <t>Self-identified: Certification / formal course · Broader exposure &amp; ownership
For the next role: Certification / formal course · Broader exposure &amp; ownership</t>
        </is>
      </c>
      <c r="FU289" s="32" t="inlineStr">
        <is>
          <t>Full survey answers not in the files received · How We Grow export needed · HR</t>
        </is>
      </c>
    </row>
    <row r="290" ht="90" customHeight="1">
      <c r="A290" s="51" t="inlineStr">
        <is>
          <t>◂ Back</t>
        </is>
      </c>
      <c r="B290" s="29" t="inlineStr">
        <is>
          <t>Mapped</t>
        </is>
      </c>
      <c r="C290" s="28" t="inlineStr">
        <is>
          <t>iFile</t>
        </is>
      </c>
      <c r="D290" s="29" t="inlineStr">
        <is>
          <t>IRIS1150</t>
        </is>
      </c>
      <c r="E290" s="29" t="inlineStr">
        <is>
          <t>Pragati Raskar</t>
        </is>
      </c>
      <c r="F290" s="29" t="inlineStr">
        <is>
          <t>Technology</t>
        </is>
      </c>
      <c r="G290" s="29" t="inlineStr">
        <is>
          <t>Senior Software Engineer</t>
        </is>
      </c>
      <c r="H290" s="29" t="inlineStr">
        <is>
          <t>Technical Specialist – POD Lead</t>
        </is>
      </c>
      <c r="I290" s="29" t="inlineStr">
        <is>
          <t>L4 – Senior</t>
        </is>
      </c>
      <c r="J290" s="29" t="inlineStr">
        <is>
          <t>B1</t>
        </is>
      </c>
      <c r="K290" s="29" t="inlineStr">
        <is>
          <t>▲ Up</t>
        </is>
      </c>
      <c r="L290" s="29" t="inlineStr">
        <is>
          <t>Engineering &amp; Development</t>
        </is>
      </c>
      <c r="M290" s="29" t="inlineStr">
        <is>
          <t>Backend Development</t>
        </is>
      </c>
      <c r="N290" s="29" t="n"/>
      <c r="O290" s="29" t="n">
        <v>20</v>
      </c>
      <c r="P290" s="28" t="inlineStr">
        <is>
          <t>P3 / M2</t>
        </is>
      </c>
      <c r="Q290" s="29" t="inlineStr">
        <is>
          <t>Career / · Team Lead</t>
        </is>
      </c>
      <c r="R290" s="29" t="inlineStr">
        <is>
          <t>4 Enable</t>
        </is>
      </c>
      <c r="S290" s="29" t="inlineStr">
        <is>
          <t>4–7 yrs</t>
        </is>
      </c>
      <c r="T290" s="29" t="inlineStr">
        <is>
          <t>5–8 · 4–8</t>
        </is>
      </c>
      <c r="U290" s="29" t="inlineStr">
        <is>
          <t>Senior Software Engineer</t>
        </is>
      </c>
      <c r="V290" s="29" t="inlineStr">
        <is>
          <t>Workiva: SE / Senior SE · Broadridge India: Senior SE · Nasdaq / AxiomSL: Senior SE · Salesforce: MTS · Atlassian: P40 · Freshworks: Senior SE</t>
        </is>
      </c>
      <c r="W290" s="29" t="inlineStr">
        <is>
          <t>SFIA 9 · software development, programming; OWASP secure coding; cloud vendor certifications</t>
        </is>
      </c>
      <c r="X290" s="29" t="inlineStr">
        <is>
          <t>Core 3 · Future 3 · Functional 3 · Leadership 2</t>
        </is>
      </c>
      <c r="Y290" s="52" t="n">
        <v>109</v>
      </c>
      <c r="Z290" s="53" t="inlineStr">
        <is>
          <t>IRIS1150</t>
        </is>
      </c>
      <c r="AA290" s="53" t="inlineStr">
        <is>
          <t>Employee</t>
        </is>
      </c>
      <c r="AB290" s="53" t="inlineStr">
        <is>
          <t>Active</t>
        </is>
      </c>
      <c r="AC290" s="53" t="inlineStr">
        <is>
          <t>Pragati Raskar</t>
        </is>
      </c>
      <c r="AD290" s="54" t="n">
        <v>41071</v>
      </c>
      <c r="AE290" s="53" t="inlineStr">
        <is>
          <t>Senior Software Engineer</t>
        </is>
      </c>
      <c r="AF290" s="53" t="inlineStr">
        <is>
          <t>B.E</t>
        </is>
      </c>
      <c r="AG290" s="53" t="inlineStr">
        <is>
          <t>Hemant Trivedi</t>
        </is>
      </c>
      <c r="AH290" s="53" t="inlineStr">
        <is>
          <t>N-4</t>
        </is>
      </c>
      <c r="AI290" s="53" t="inlineStr">
        <is>
          <t>Manager</t>
        </is>
      </c>
      <c r="AJ290" s="53" t="inlineStr">
        <is>
          <t>2 years, 0 months, 0 days</t>
        </is>
      </c>
      <c r="AK290" s="53" t="inlineStr">
        <is>
          <t>14 years, 2 months, 14 days</t>
        </is>
      </c>
      <c r="AL290" s="53" t="inlineStr">
        <is>
          <t>Suptech</t>
        </is>
      </c>
      <c r="AM290" s="53" t="inlineStr">
        <is>
          <t>iFile</t>
        </is>
      </c>
      <c r="AN290" s="53" t="inlineStr">
        <is>
          <t>Technology</t>
        </is>
      </c>
      <c r="AO290" s="53" t="inlineStr">
        <is>
          <t>Development</t>
        </is>
      </c>
      <c r="AP290" s="53" t="inlineStr">
        <is>
          <t>Yes</t>
        </is>
      </c>
      <c r="AQ290" s="53" t="inlineStr">
        <is>
          <t>Product/Project</t>
        </is>
      </c>
      <c r="AR290" s="53" t="inlineStr">
        <is>
          <t>.NET MVC</t>
        </is>
      </c>
      <c r="AS290" s="53" t="inlineStr">
        <is>
          <t>Technical - Developer</t>
        </is>
      </c>
      <c r="AT290" s="53" t="n">
        <v>20</v>
      </c>
      <c r="AU290" s="53" t="inlineStr">
        <is>
          <t>Covered</t>
        </is>
      </c>
      <c r="AV290" s="53" t="n"/>
      <c r="AW290" s="53" t="n"/>
      <c r="AX290" s="53" t="n"/>
      <c r="AY290" s="53" t="n"/>
      <c r="AZ290" s="53" t="n"/>
      <c r="BA290" s="53" t="n"/>
      <c r="BB290" s="53" t="n"/>
      <c r="BC290" s="53" t="n"/>
      <c r="BD290" s="53" t="n"/>
      <c r="BE290" s="53" t="n"/>
      <c r="BF290" s="53" t="n"/>
      <c r="BG290" s="53" t="n"/>
      <c r="BH290" s="53" t="n"/>
      <c r="BI290" s="53" t="n"/>
      <c r="BJ290" s="53" t="n"/>
      <c r="BK290" s="53" t="n"/>
      <c r="BL290" s="53" t="n"/>
      <c r="BM290" s="53" t="n"/>
      <c r="BN290" s="53" t="n"/>
      <c r="BO290" s="53" t="n"/>
      <c r="BP290" s="53" t="n"/>
      <c r="BQ290" s="53" t="n"/>
      <c r="BR290" s="53" t="n"/>
      <c r="BS290" s="53" t="n"/>
      <c r="BT290" s="53" t="n"/>
      <c r="BU290" s="53" t="n"/>
      <c r="BV290" s="53" t="n"/>
      <c r="BW290" s="53" t="n"/>
      <c r="BX290" s="53" t="n"/>
      <c r="BY290" s="53" t="n"/>
      <c r="BZ290" s="53" t="n"/>
      <c r="CA290" s="53" t="n"/>
      <c r="CB290" s="53" t="n"/>
      <c r="CC290" s="53" t="n"/>
      <c r="CD290" s="53" t="n"/>
      <c r="CE290" s="53" t="n"/>
      <c r="CF290" s="53" t="n"/>
      <c r="CG290" s="53" t="n"/>
      <c r="CH290" s="53" t="n"/>
      <c r="CI290" s="53" t="n"/>
      <c r="CJ290" s="53" t="n"/>
      <c r="CK290" s="53" t="n"/>
      <c r="CL290" s="53" t="n"/>
      <c r="CM290" s="53" t="n"/>
      <c r="CN290" s="53" t="n"/>
      <c r="CO290" s="53" t="n"/>
      <c r="CP290" s="53" t="n"/>
      <c r="CQ290" s="53" t="n"/>
      <c r="CR290" s="53" t="n"/>
      <c r="CS290" s="53" t="n"/>
      <c r="CT290" s="53" t="n"/>
      <c r="CU290" s="53" t="n"/>
      <c r="CV290" s="53" t="n"/>
      <c r="CW290" s="53" t="n"/>
      <c r="CX290" s="53" t="n"/>
      <c r="CY290" s="53" t="n"/>
      <c r="CZ290" s="53" t="n"/>
      <c r="DA290" s="53" t="n"/>
      <c r="DB290" s="53" t="n"/>
      <c r="DC290" s="53" t="n"/>
      <c r="DD290" s="53" t="inlineStr">
        <is>
          <t>IRIS1150</t>
        </is>
      </c>
      <c r="DE290" s="53" t="inlineStr">
        <is>
          <t>Employee</t>
        </is>
      </c>
      <c r="DF290" s="53" t="inlineStr">
        <is>
          <t>Active</t>
        </is>
      </c>
      <c r="DG290" s="53" t="inlineStr">
        <is>
          <t>Pragati Raskar</t>
        </is>
      </c>
      <c r="DH290" s="54" t="n">
        <v>41071</v>
      </c>
      <c r="DI290" s="53" t="inlineStr">
        <is>
          <t>Senior Software Engineer</t>
        </is>
      </c>
      <c r="DJ290" s="53" t="inlineStr">
        <is>
          <t>Engineering &amp; Development</t>
        </is>
      </c>
      <c r="DK290" s="53" t="inlineStr">
        <is>
          <t>Backend Engineering ·.NET</t>
        </is>
      </c>
      <c r="DL290" s="53" t="inlineStr">
        <is>
          <t>Senior Software Engineer</t>
        </is>
      </c>
      <c r="DM290" s="53" t="inlineStr">
        <is>
          <t>L4 – Senior</t>
        </is>
      </c>
      <c r="DN290" s="53" t="inlineStr">
        <is>
          <t>B.E</t>
        </is>
      </c>
      <c r="DO290" s="53" t="inlineStr">
        <is>
          <t>Hemant Trivedi</t>
        </is>
      </c>
      <c r="DP290" s="53" t="inlineStr">
        <is>
          <t>N-3</t>
        </is>
      </c>
      <c r="DQ290" s="53" t="inlineStr">
        <is>
          <t>Manager</t>
        </is>
      </c>
      <c r="DR290" s="53" t="inlineStr">
        <is>
          <t>2 years, 0 months, 0 days</t>
        </is>
      </c>
      <c r="DS290" s="53" t="inlineStr">
        <is>
          <t>14 years, 0 months, 9 days</t>
        </is>
      </c>
      <c r="DT290" s="53" t="inlineStr">
        <is>
          <t>16 years, 0 months, 9 days</t>
        </is>
      </c>
      <c r="DU290" s="53" t="n"/>
      <c r="DV290" s="53" t="inlineStr">
        <is>
          <t>Suptech</t>
        </is>
      </c>
      <c r="DW290" s="53" t="inlineStr">
        <is>
          <t>iFile</t>
        </is>
      </c>
      <c r="DX290" s="53" t="inlineStr">
        <is>
          <t>Technology</t>
        </is>
      </c>
      <c r="DY290" s="53" t="inlineStr">
        <is>
          <t>Development</t>
        </is>
      </c>
      <c r="DZ290" s="53" t="inlineStr">
        <is>
          <t>Yes</t>
        </is>
      </c>
      <c r="EA290" s="53" t="inlineStr">
        <is>
          <t>Product/Project</t>
        </is>
      </c>
      <c r="EB290" s="53" t="inlineStr">
        <is>
          <t>.NET MVC</t>
        </is>
      </c>
      <c r="EC290" s="53" t="inlineStr">
        <is>
          <t>Technical - Developer</t>
        </is>
      </c>
      <c r="ED290" s="53" t="inlineStr">
        <is>
          <t>Hybrid</t>
        </is>
      </c>
      <c r="EE290" s="53" t="inlineStr">
        <is>
          <t>.NET Tasks, XBRL Tasks, Aiusage, Document Tasks, Requirement Analyis Tasks</t>
        </is>
      </c>
      <c r="EF290" s="53" t="inlineStr">
        <is>
          <t>1. Deliver team release roadmap on schedule: &gt;=90% of committed releases on time
2. Keep team sprint velocity stable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EG290" s="53" t="inlineStr">
        <is>
          <t>Q1: Deliver team release roadmap on schedule: &gt;=90% of committed releases on time
Q1: Keep team sprint velocity stable and defect leakage &lt;=5%
Q1: Drive production stability: critical incidents resolved within SLA &gt;=95%
Q1: Reduce module-level tech debt by &gt;=15% via refactoring / reusable components</t>
        </is>
      </c>
      <c r="EH290" s="53" t="n">
        <v>4</v>
      </c>
      <c r="EI290" s="54" t="n">
        <v>46203</v>
      </c>
      <c r="EJ290" s="53" t="inlineStr">
        <is>
          <t>Lead Software Engineer · review – mgr scope + tenure</t>
        </is>
      </c>
      <c r="EK290" s="53" t="inlineStr">
        <is>
          <t>NO COMMENT</t>
        </is>
      </c>
      <c r="EL290" s="53" t="n">
        <v>4</v>
      </c>
      <c r="EM290" s="53" t="inlineStr">
        <is>
          <t>High</t>
        </is>
      </c>
      <c r="EN290" s="53" t="inlineStr">
        <is>
          <t>Trusted Professional</t>
        </is>
      </c>
      <c r="EO290" s="53" t="inlineStr">
        <is>
          <t>Yes</t>
        </is>
      </c>
      <c r="EP290" s="53" t="inlineStr">
        <is>
          <t>Yes</t>
        </is>
      </c>
      <c r="EQ290" s="53" t="inlineStr">
        <is>
          <t>Yes</t>
        </is>
      </c>
      <c r="ER290" s="53" t="inlineStr">
        <is>
          <t>NO</t>
        </is>
      </c>
      <c r="ES290" s="53" t="inlineStr">
        <is>
          <t>Advanced .NET MVC; secure coding &amp; code-quality practices; unit/automated testing; system design fundamentals | People management: goal-setting &amp; feedback, 1:1 coaching, performance conversations</t>
        </is>
      </c>
      <c r="ET290" s="53" t="inlineStr">
        <is>
          <t>Leadership development: strategic thinking, cross-functional influence, financial/business acumen, succession &amp; talent development, change management, executive communication</t>
        </is>
      </c>
      <c r="EU290" s="53" t="inlineStr">
        <is>
          <t>NO</t>
        </is>
      </c>
      <c r="EV290" s="53" t="n"/>
      <c r="EW290" s="52" t="n"/>
      <c r="EX290" s="53" t="n"/>
      <c r="EY290" s="53" t="n"/>
      <c r="EZ290" s="53" t="n"/>
      <c r="FA290" s="53" t="n"/>
      <c r="FB290" s="53" t="n"/>
      <c r="FC290" s="53" t="n"/>
      <c r="FD290" s="53" t="n"/>
      <c r="FE290" s="57" t="inlineStr">
        <is>
          <t>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FF290" s="56" t="inlineStr">
        <is>
          <t>Q1: Deliver team release roadmap on schedule: &gt;=90% of committed releases on time
Q1: Keep team sprint velocity stable · +/-10% and defect leakage &lt;=5%
Q1: Drive production stability: critical incidents resolved within SLA &gt;=95%
Q1: Reduce module-level tech debt by &gt;=15% via refactoring / reusable components</t>
        </is>
      </c>
      <c r="FG290" s="56" t="inlineStr">
        <is>
          <t>.NET Tasks, XBRL Tasks, Aiusage, Document Tasks, Requirement Analyis Tasks</t>
        </is>
      </c>
      <c r="FH290" s="56" t="inlineStr">
        <is>
          <t>4</t>
        </is>
      </c>
      <c r="FI290" s="56" t="n"/>
      <c r="FJ290" s="56" t="inlineStr">
        <is>
          <t>Received · manager annual, quarterly, self</t>
        </is>
      </c>
      <c r="FK290" s="56" t="inlineStr">
        <is>
          <t>Talent Mapping · iFile collated</t>
        </is>
      </c>
      <c r="FL290" s="56" t="n">
        <v>20</v>
      </c>
      <c r="FM290" s="32" t="inlineStr">
        <is>
          <t>Full survey answers not in the files received · How We Grow export needed · HR</t>
        </is>
      </c>
      <c r="FN290" s="56" t="inlineStr">
        <is>
          <t>—</t>
        </is>
      </c>
      <c r="FO290" s="56" t="inlineStr">
        <is>
          <t>—</t>
        </is>
      </c>
      <c r="FP290" s="56" t="inlineStr">
        <is>
          <t>—</t>
        </is>
      </c>
      <c r="FQ290" s="56" t="inlineStr">
        <is>
          <t>—</t>
        </is>
      </c>
      <c r="FR290" s="56" t="inlineStr">
        <is>
          <t>Complexity: Evidence reads like A3: Design and implementation of webform/XBRL functionality in.NET and SQL; cites technical complexity → matches the start
Autonomy: Evidence reads like A2: Decides day-to-day technical implementation only → moved down 0.5
Accountability: Evidence reads like A3: own survey / KRA answers · summarised by the rater; not quoted → moved down 0.5
Leadership: Evidence reads like B1: Lists team management and training as main duties; has 3 reports → matches the start
Business Impact: Moved +0.5: the survey / manager mapping marks it business-critical.</t>
        </is>
      </c>
      <c r="FS290" s="56" t="inlineStr">
        <is>
          <t>Common themes in role-holders' answers: technical · members · guide · lead · time · support
Common themes in role-holders' answers: development · requirement · testing · support · software · solution
Common themes in role-holders' answers: features · technical · issue · code · releases
Common themes in role-holders' answers: code · requirement · delivery · changes · am · delivering
Common themes in role-holders' answers: technical · approach · decisions · process · issue · code
If the work is missed · role-holders' themes: timeline · delays · rework.
Measured on · manager-set KRA themes: reduce · production · time · quarterly · incidents resolved · stability critical.</t>
        </is>
      </c>
      <c r="FT290" s="56" t="inlineStr">
        <is>
          <t>Self-identified: Client, sales &amp; stakeholders
For the next role: Client, sales &amp; stakeholders</t>
        </is>
      </c>
      <c r="FU290" s="32" t="inlineStr">
        <is>
          <t>Full survey answers not in the files received · How We Grow export needed · HR</t>
        </is>
      </c>
    </row>
    <row r="291" ht="90" customHeight="1">
      <c r="A291" s="51" t="inlineStr">
        <is>
          <t>◂ Back</t>
        </is>
      </c>
      <c r="B291" s="29" t="inlineStr">
        <is>
          <t>Mapped</t>
        </is>
      </c>
      <c r="C291" s="28" t="inlineStr">
        <is>
          <t>iFile</t>
        </is>
      </c>
      <c r="D291" s="29" t="inlineStr">
        <is>
          <t>IRIS2186</t>
        </is>
      </c>
      <c r="E291" s="29" t="inlineStr">
        <is>
          <t>Harshal Chaudhari</t>
        </is>
      </c>
      <c r="F291" s="29" t="inlineStr">
        <is>
          <t>Technology</t>
        </is>
      </c>
      <c r="G291" s="29" t="inlineStr">
        <is>
          <t>Junior Software Engineer</t>
        </is>
      </c>
      <c r="H291" s="29" t="inlineStr">
        <is>
          <t>Senior Software Engineer</t>
        </is>
      </c>
      <c r="I291" s="29" t="inlineStr">
        <is>
          <t>L3 – Professional / Associate</t>
        </is>
      </c>
      <c r="J291" s="29" t="inlineStr">
        <is>
          <t>A3</t>
        </is>
      </c>
      <c r="K291" s="29" t="inlineStr">
        <is>
          <t>▲ Up</t>
        </is>
      </c>
      <c r="L291" s="29" t="inlineStr">
        <is>
          <t>Engineering &amp; Development</t>
        </is>
      </c>
      <c r="M291" s="29" t="inlineStr">
        <is>
          <t>Backend Development</t>
        </is>
      </c>
      <c r="N291" s="29" t="n"/>
      <c r="O291" s="29" t="n">
        <v>20</v>
      </c>
      <c r="P291" s="28" t="inlineStr">
        <is>
          <t>P2</t>
        </is>
      </c>
      <c r="Q291" s="29" t="inlineStr">
        <is>
          <t>Developing</t>
        </is>
      </c>
      <c r="R291" s="29" t="inlineStr">
        <is>
          <t>3 Apply</t>
        </is>
      </c>
      <c r="S291" s="29" t="inlineStr">
        <is>
          <t>2–4 yrs</t>
        </is>
      </c>
      <c r="T291" s="29" t="inlineStr">
        <is>
          <t>3–5 · 2–5</t>
        </is>
      </c>
      <c r="U291" s="29" t="inlineStr">
        <is>
          <t>Software Engineer</t>
        </is>
      </c>
      <c r="V291" s="29" t="inlineStr">
        <is>
          <t>Workiva: SE · Broadridge India: SE · Nasdaq / AxiomSL: SE · Salesforce: MTS · Atlassian: P40 · 3–7 yrs · Freshworks: Senior SE</t>
        </is>
      </c>
      <c r="W291" s="29" t="inlineStr">
        <is>
          <t>SFIA 9 · software development, programming; OWASP secure coding; cloud vendor certifications</t>
        </is>
      </c>
      <c r="X291" s="29" t="inlineStr">
        <is>
          <t>Core 2 · Future 2 · Functional 3 · Leadership not scored</t>
        </is>
      </c>
      <c r="Y291" s="52" t="n">
        <v>294</v>
      </c>
      <c r="Z291" s="53" t="inlineStr">
        <is>
          <t>IRIS2186</t>
        </is>
      </c>
      <c r="AA291" s="53" t="inlineStr">
        <is>
          <t>Employee</t>
        </is>
      </c>
      <c r="AB291" s="53" t="inlineStr">
        <is>
          <t>Active</t>
        </is>
      </c>
      <c r="AC291" s="53" t="inlineStr">
        <is>
          <t>Harshal Chaudhari</t>
        </is>
      </c>
      <c r="AD291" s="54" t="n">
        <v>45180</v>
      </c>
      <c r="AE291" s="53" t="inlineStr">
        <is>
          <t>Junior Software Engineer</t>
        </is>
      </c>
      <c r="AF291" s="53" t="inlineStr">
        <is>
          <t>PG-DAC</t>
        </is>
      </c>
      <c r="AG291" s="53" t="inlineStr">
        <is>
          <t>Pragati Raskar</t>
        </is>
      </c>
      <c r="AH291" s="53" t="inlineStr">
        <is>
          <t>N-5</t>
        </is>
      </c>
      <c r="AI291" s="53" t="inlineStr">
        <is>
          <t>Individual Contributor</t>
        </is>
      </c>
      <c r="AJ291" s="53" t="inlineStr">
        <is>
          <t>0 years, 0 months, 0 days</t>
        </is>
      </c>
      <c r="AK291" s="53" t="inlineStr">
        <is>
          <t>2 years, 11 months, 14 days</t>
        </is>
      </c>
      <c r="AL291" s="53" t="inlineStr">
        <is>
          <t>Suptech</t>
        </is>
      </c>
      <c r="AM291" s="53" t="inlineStr">
        <is>
          <t>iFile</t>
        </is>
      </c>
      <c r="AN291" s="53" t="inlineStr">
        <is>
          <t>Technology</t>
        </is>
      </c>
      <c r="AO291" s="53" t="inlineStr">
        <is>
          <t>Development</t>
        </is>
      </c>
      <c r="AP291" s="53" t="inlineStr">
        <is>
          <t>Yes</t>
        </is>
      </c>
      <c r="AQ291" s="53" t="inlineStr">
        <is>
          <t>Product/Project</t>
        </is>
      </c>
      <c r="AR291" s="53" t="inlineStr">
        <is>
          <t>.NET MVC</t>
        </is>
      </c>
      <c r="AS291" s="53" t="inlineStr">
        <is>
          <t>Technical - Developer</t>
        </is>
      </c>
      <c r="AT291" s="53" t="n">
        <v>20</v>
      </c>
      <c r="AU291" s="53" t="inlineStr">
        <is>
          <t>Covered</t>
        </is>
      </c>
      <c r="AV291" s="53" t="n"/>
      <c r="AW291" s="53" t="n"/>
      <c r="AX291" s="53" t="n"/>
      <c r="AY291" s="53" t="n"/>
      <c r="AZ291" s="53" t="n"/>
      <c r="BA291" s="53" t="n"/>
      <c r="BB291" s="53" t="n"/>
      <c r="BC291" s="53" t="n"/>
      <c r="BD291" s="53" t="n"/>
      <c r="BE291" s="53" t="n"/>
      <c r="BF291" s="53" t="n"/>
      <c r="BG291" s="53" t="n"/>
      <c r="BH291" s="53" t="n"/>
      <c r="BI291" s="53" t="n"/>
      <c r="BJ291" s="53" t="n"/>
      <c r="BK291" s="53" t="n"/>
      <c r="BL291" s="53" t="n"/>
      <c r="BM291" s="53" t="n"/>
      <c r="BN291" s="53" t="n"/>
      <c r="BO291" s="53" t="n"/>
      <c r="BP291" s="53" t="n"/>
      <c r="BQ291" s="53" t="n"/>
      <c r="BR291" s="53" t="n"/>
      <c r="BS291" s="53" t="n"/>
      <c r="BT291" s="53" t="n"/>
      <c r="BU291" s="53" t="n"/>
      <c r="BV291" s="53" t="n"/>
      <c r="BW291" s="53" t="n"/>
      <c r="BX291" s="53" t="n"/>
      <c r="BY291" s="53" t="n"/>
      <c r="BZ291" s="53" t="n"/>
      <c r="CA291" s="53" t="n"/>
      <c r="CB291" s="53" t="n"/>
      <c r="CC291" s="53" t="n"/>
      <c r="CD291" s="53" t="n"/>
      <c r="CE291" s="53" t="n"/>
      <c r="CF291" s="53" t="n"/>
      <c r="CG291" s="53" t="n"/>
      <c r="CH291" s="53" t="n"/>
      <c r="CI291" s="53" t="n"/>
      <c r="CJ291" s="53" t="n"/>
      <c r="CK291" s="53" t="n"/>
      <c r="CL291" s="53" t="n"/>
      <c r="CM291" s="53" t="n"/>
      <c r="CN291" s="53" t="n"/>
      <c r="CO291" s="53" t="n"/>
      <c r="CP291" s="53" t="n"/>
      <c r="CQ291" s="53" t="n"/>
      <c r="CR291" s="53" t="n"/>
      <c r="CS291" s="53" t="n"/>
      <c r="CT291" s="53" t="n"/>
      <c r="CU291" s="53" t="n"/>
      <c r="CV291" s="53" t="n"/>
      <c r="CW291" s="53" t="n"/>
      <c r="CX291" s="53" t="n"/>
      <c r="CY291" s="53" t="n"/>
      <c r="CZ291" s="53" t="n"/>
      <c r="DA291" s="53" t="n"/>
      <c r="DB291" s="53" t="n"/>
      <c r="DC291" s="53" t="n"/>
      <c r="DD291" s="53" t="inlineStr">
        <is>
          <t>IRIS2186</t>
        </is>
      </c>
      <c r="DE291" s="53" t="inlineStr">
        <is>
          <t>Employee</t>
        </is>
      </c>
      <c r="DF291" s="53" t="inlineStr">
        <is>
          <t>Active</t>
        </is>
      </c>
      <c r="DG291" s="53" t="inlineStr">
        <is>
          <t>Harshal Chaudhari</t>
        </is>
      </c>
      <c r="DH291" s="54" t="n">
        <v>45180</v>
      </c>
      <c r="DI291" s="53" t="inlineStr">
        <is>
          <t>Junior Software Engineer</t>
        </is>
      </c>
      <c r="DJ291" s="53" t="inlineStr">
        <is>
          <t>Engineering &amp; Development</t>
        </is>
      </c>
      <c r="DK291" s="53" t="inlineStr">
        <is>
          <t>Backend Engineering ·.NET</t>
        </is>
      </c>
      <c r="DL291" s="53" t="inlineStr">
        <is>
          <t>Junior Software Engineer</t>
        </is>
      </c>
      <c r="DM291" s="53" t="inlineStr">
        <is>
          <t>L3 – Professional / Associate</t>
        </is>
      </c>
      <c r="DN291" s="53" t="inlineStr">
        <is>
          <t>PG-DAC</t>
        </is>
      </c>
      <c r="DO291" s="53" t="inlineStr">
        <is>
          <t>Pragati Raskar</t>
        </is>
      </c>
      <c r="DP291" s="53" t="inlineStr">
        <is>
          <t>N-4</t>
        </is>
      </c>
      <c r="DQ291" s="53" t="inlineStr">
        <is>
          <t>Individual Contributor</t>
        </is>
      </c>
      <c r="DR291" s="53" t="inlineStr">
        <is>
          <t>0 years, 0 months, 0 days</t>
        </is>
      </c>
      <c r="DS291" s="53" t="inlineStr">
        <is>
          <t>2 years, 9 months, 9 days</t>
        </is>
      </c>
      <c r="DT291" s="53" t="inlineStr">
        <is>
          <t>2 years, 9 months, 9 days</t>
        </is>
      </c>
      <c r="DU291" s="53" t="n"/>
      <c r="DV291" s="53" t="inlineStr">
        <is>
          <t>Suptech</t>
        </is>
      </c>
      <c r="DW291" s="53" t="inlineStr">
        <is>
          <t>iFile</t>
        </is>
      </c>
      <c r="DX291" s="53" t="inlineStr">
        <is>
          <t>Technology</t>
        </is>
      </c>
      <c r="DY291" s="53" t="inlineStr">
        <is>
          <t>Development</t>
        </is>
      </c>
      <c r="DZ291" s="53" t="inlineStr">
        <is>
          <t>Yes</t>
        </is>
      </c>
      <c r="EA291" s="53" t="inlineStr">
        <is>
          <t>Product/Project</t>
        </is>
      </c>
      <c r="EB291" s="53" t="inlineStr">
        <is>
          <t>.NET MVC</t>
        </is>
      </c>
      <c r="EC291" s="53" t="inlineStr">
        <is>
          <t>Technical - Developer</t>
        </is>
      </c>
      <c r="ED291" s="53" t="inlineStr">
        <is>
          <t>Hybrid</t>
        </is>
      </c>
      <c r="EE291" s="53" t="inlineStr">
        <is>
          <t>.NET Tasks, XBRL Tasks, Aiusage, Document Tasks, Requirement Analyis Tasks</t>
        </is>
      </c>
      <c r="EF291"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291"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H291" s="53" t="n">
        <v>4</v>
      </c>
      <c r="EI291" s="54" t="n">
        <v>46203</v>
      </c>
      <c r="EJ291" s="53" t="inlineStr">
        <is>
          <t>Junior Software Engineer</t>
        </is>
      </c>
      <c r="EK291" s="53" t="inlineStr">
        <is>
          <t>NO COMMENT</t>
        </is>
      </c>
      <c r="EL291" s="53" t="n">
        <v>4</v>
      </c>
      <c r="EM291" s="53" t="inlineStr">
        <is>
          <t>Medium</t>
        </is>
      </c>
      <c r="EN291" s="53" t="inlineStr">
        <is>
          <t>Emerging Talent</t>
        </is>
      </c>
      <c r="EO291" s="53" t="inlineStr">
        <is>
          <t>Yes</t>
        </is>
      </c>
      <c r="EP291" s="53" t="inlineStr">
        <is>
          <t>Yes</t>
        </is>
      </c>
      <c r="EQ291" s="53" t="inlineStr">
        <is>
          <t>Yes</t>
        </is>
      </c>
      <c r="ER291" s="53" t="inlineStr">
        <is>
          <t>NO</t>
        </is>
      </c>
      <c r="ES291" s="53" t="inlineStr">
        <is>
          <t>Advanced .NET MVC; secure coding &amp; code-quality practices; unit/automated testing; system design fundamentals</t>
        </is>
      </c>
      <c r="ET291" s="53" t="inlineStr">
        <is>
          <t>Transition to leadership: people management &amp; delegation, mentoring/coaching, project ownership &amp; stakeholder management, prioritisation under ambiguity, presentation &amp; influence skills</t>
        </is>
      </c>
      <c r="EU291" s="53" t="inlineStr">
        <is>
          <t>NO</t>
        </is>
      </c>
      <c r="EV291" s="53" t="n"/>
      <c r="EW291" s="52" t="n"/>
      <c r="EX291" s="53" t="n"/>
      <c r="EY291" s="53" t="n"/>
      <c r="EZ291" s="53" t="n"/>
      <c r="FA291" s="53" t="n"/>
      <c r="FB291" s="53" t="n"/>
      <c r="FC291" s="53" t="n"/>
      <c r="FD291" s="53" t="n"/>
      <c r="FE291"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291"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FG291" s="56" t="inlineStr">
        <is>
          <t>.NET Tasks, XBRL Tasks, Aiusage, Document Tasks, Requirement Analyis Tasks</t>
        </is>
      </c>
      <c r="FH291" s="56" t="inlineStr">
        <is>
          <t>4</t>
        </is>
      </c>
      <c r="FI291" s="56" t="n"/>
      <c r="FJ291" s="56" t="inlineStr">
        <is>
          <t>Received · manager annual, quarterly, self</t>
        </is>
      </c>
      <c r="FK291" s="56" t="inlineStr">
        <is>
          <t>Talent Mapping · iFile collated</t>
        </is>
      </c>
      <c r="FL291" s="56" t="n">
        <v>20</v>
      </c>
      <c r="FM291" s="32" t="inlineStr">
        <is>
          <t>Full survey answers not in the files received · How We Grow export needed · HR</t>
        </is>
      </c>
      <c r="FN291" s="56" t="inlineStr">
        <is>
          <t>—</t>
        </is>
      </c>
      <c r="FO291" s="56" t="inlineStr">
        <is>
          <t>—</t>
        </is>
      </c>
      <c r="FP291" s="56" t="inlineStr">
        <is>
          <t>—</t>
        </is>
      </c>
      <c r="FQ291" s="56" t="inlineStr">
        <is>
          <t>—</t>
        </is>
      </c>
      <c r="FR291" s="56" t="inlineStr">
        <is>
          <t>Complexity: Evidence reads like A2: own survey / KRA answers · summarised by the rater; not quoted → matches the start
Autonomy: Evidence reads like A2: Decides technical approach analysis on assigned work → matches the start
Accountability: Evidence reads like A2: own survey / KRA answers · summarised by the rater; not quoted → matches the start
Leadership: Evidence reads like A1: No guidance of others described → matches the start
Business Impact: Moved +0.5: the survey / manager mapping marks it business-critical.</t>
        </is>
      </c>
      <c r="FS291"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291" s="56" t="inlineStr">
        <is>
          <t>Self-identified: Leadership &amp; people management · Project / programme management · Broader exposure &amp; ownership
For the next role: Leadership &amp; people management · Project / programme management · Broader exposure &amp; ownership</t>
        </is>
      </c>
      <c r="FU291" s="32" t="inlineStr">
        <is>
          <t>Full survey answers not in the files received · How We Grow export needed · HR</t>
        </is>
      </c>
    </row>
    <row r="292" ht="90" customHeight="1">
      <c r="A292" s="51" t="inlineStr">
        <is>
          <t>◂ Back</t>
        </is>
      </c>
      <c r="B292" s="29" t="inlineStr">
        <is>
          <t>Mapped</t>
        </is>
      </c>
      <c r="C292" s="28" t="inlineStr">
        <is>
          <t>iFile</t>
        </is>
      </c>
      <c r="D292" s="29" t="inlineStr">
        <is>
          <t>IRIS1945</t>
        </is>
      </c>
      <c r="E292" s="29" t="inlineStr">
        <is>
          <t>Priyadarshini Naidu</t>
        </is>
      </c>
      <c r="F292" s="29" t="inlineStr">
        <is>
          <t>Technology</t>
        </is>
      </c>
      <c r="G292" s="29" t="inlineStr">
        <is>
          <t>Software Engineer</t>
        </is>
      </c>
      <c r="H292" s="29" t="inlineStr">
        <is>
          <t>Senior Software Engineer</t>
        </is>
      </c>
      <c r="I292" s="29" t="inlineStr">
        <is>
          <t>L3 – Professional / Associate</t>
        </is>
      </c>
      <c r="J292" s="29" t="inlineStr">
        <is>
          <t>A3</t>
        </is>
      </c>
      <c r="K292" s="29" t="inlineStr">
        <is>
          <t>▲ Up</t>
        </is>
      </c>
      <c r="L292" s="29" t="inlineStr">
        <is>
          <t>Engineering &amp; Development</t>
        </is>
      </c>
      <c r="M292" s="29" t="inlineStr">
        <is>
          <t>Backend Development</t>
        </is>
      </c>
      <c r="N292" s="29" t="n"/>
      <c r="O292" s="29" t="n">
        <v>20</v>
      </c>
      <c r="P292" s="28" t="inlineStr">
        <is>
          <t>P2</t>
        </is>
      </c>
      <c r="Q292" s="29" t="inlineStr">
        <is>
          <t>Developing</t>
        </is>
      </c>
      <c r="R292" s="29" t="inlineStr">
        <is>
          <t>3 Apply</t>
        </is>
      </c>
      <c r="S292" s="29" t="inlineStr">
        <is>
          <t>2–4 yrs</t>
        </is>
      </c>
      <c r="T292" s="29" t="inlineStr">
        <is>
          <t>3–5 · 2–5</t>
        </is>
      </c>
      <c r="U292" s="29" t="inlineStr">
        <is>
          <t>Software Engineer</t>
        </is>
      </c>
      <c r="V292" s="29" t="inlineStr">
        <is>
          <t>Workiva: SE · Broadridge India: SE · Nasdaq / AxiomSL: SE · Salesforce: MTS · Atlassian: P40 · 3–7 yrs · Freshworks: Senior SE</t>
        </is>
      </c>
      <c r="W292" s="29" t="inlineStr">
        <is>
          <t>SFIA 9 · software development, programming; OWASP secure coding; cloud vendor certifications</t>
        </is>
      </c>
      <c r="X292" s="29" t="inlineStr">
        <is>
          <t>Core 2 · Future 2 · Functional 3 · Leadership not scored</t>
        </is>
      </c>
      <c r="Y292" s="52" t="n">
        <v>194</v>
      </c>
      <c r="Z292" s="53" t="inlineStr">
        <is>
          <t>IRIS1945</t>
        </is>
      </c>
      <c r="AA292" s="53" t="inlineStr">
        <is>
          <t>Employee</t>
        </is>
      </c>
      <c r="AB292" s="53" t="inlineStr">
        <is>
          <t>Active</t>
        </is>
      </c>
      <c r="AC292" s="53" t="inlineStr">
        <is>
          <t>Priyadarshini Naidu</t>
        </is>
      </c>
      <c r="AD292" s="54" t="n">
        <v>44424</v>
      </c>
      <c r="AE292" s="53" t="inlineStr">
        <is>
          <t>Software Engineer</t>
        </is>
      </c>
      <c r="AF292" s="53" t="inlineStr">
        <is>
          <t>BCA</t>
        </is>
      </c>
      <c r="AG292" s="53" t="inlineStr">
        <is>
          <t>Pragati Raskar</t>
        </is>
      </c>
      <c r="AH292" s="53" t="inlineStr">
        <is>
          <t>N-5</t>
        </is>
      </c>
      <c r="AI292" s="53" t="inlineStr">
        <is>
          <t>Individual Contributor</t>
        </is>
      </c>
      <c r="AJ292" s="53" t="inlineStr">
        <is>
          <t>2 years, 0 months, 0 days</t>
        </is>
      </c>
      <c r="AK292" s="53" t="inlineStr">
        <is>
          <t>5 years, 0 months, 9 days</t>
        </is>
      </c>
      <c r="AL292" s="53" t="inlineStr">
        <is>
          <t>Suptech</t>
        </is>
      </c>
      <c r="AM292" s="53" t="inlineStr">
        <is>
          <t>iFile</t>
        </is>
      </c>
      <c r="AN292" s="53" t="inlineStr">
        <is>
          <t>Technology</t>
        </is>
      </c>
      <c r="AO292" s="53" t="inlineStr">
        <is>
          <t>Development</t>
        </is>
      </c>
      <c r="AP292" s="53" t="inlineStr">
        <is>
          <t>Yes</t>
        </is>
      </c>
      <c r="AQ292" s="53" t="inlineStr">
        <is>
          <t>Product/Project</t>
        </is>
      </c>
      <c r="AR292" s="53" t="inlineStr">
        <is>
          <t>.NET MVC</t>
        </is>
      </c>
      <c r="AS292" s="53" t="inlineStr">
        <is>
          <t>Technical - Developer</t>
        </is>
      </c>
      <c r="AT292" s="53" t="n">
        <v>20</v>
      </c>
      <c r="AU292" s="53" t="inlineStr">
        <is>
          <t>Covered</t>
        </is>
      </c>
      <c r="AV292" s="53" t="n"/>
      <c r="AW292" s="53" t="n"/>
      <c r="AX292" s="53" t="n"/>
      <c r="AY292" s="53" t="n"/>
      <c r="AZ292" s="53" t="n"/>
      <c r="BA292" s="53" t="n"/>
      <c r="BB292" s="53" t="n"/>
      <c r="BC292" s="53" t="n"/>
      <c r="BD292" s="53" t="n"/>
      <c r="BE292" s="53" t="n"/>
      <c r="BF292" s="53" t="n"/>
      <c r="BG292" s="53" t="n"/>
      <c r="BH292" s="53" t="n"/>
      <c r="BI292" s="53" t="n"/>
      <c r="BJ292" s="53" t="n"/>
      <c r="BK292" s="53" t="n"/>
      <c r="BL292" s="53" t="n"/>
      <c r="BM292" s="53" t="n"/>
      <c r="BN292" s="53" t="n"/>
      <c r="BO292" s="53" t="n"/>
      <c r="BP292" s="53" t="n"/>
      <c r="BQ292" s="53" t="n"/>
      <c r="BR292" s="53" t="n"/>
      <c r="BS292" s="53" t="n"/>
      <c r="BT292" s="53" t="n"/>
      <c r="BU292" s="53" t="n"/>
      <c r="BV292" s="53" t="n"/>
      <c r="BW292" s="53" t="n"/>
      <c r="BX292" s="53" t="n"/>
      <c r="BY292" s="53" t="n"/>
      <c r="BZ292" s="53" t="n"/>
      <c r="CA292" s="53" t="n"/>
      <c r="CB292" s="53" t="n"/>
      <c r="CC292" s="53" t="n"/>
      <c r="CD292" s="53" t="n"/>
      <c r="CE292" s="53" t="n"/>
      <c r="CF292" s="53" t="n"/>
      <c r="CG292" s="53" t="n"/>
      <c r="CH292" s="53" t="n"/>
      <c r="CI292" s="53" t="n"/>
      <c r="CJ292" s="53" t="n"/>
      <c r="CK292" s="53" t="n"/>
      <c r="CL292" s="53" t="n"/>
      <c r="CM292" s="53" t="n"/>
      <c r="CN292" s="53" t="n"/>
      <c r="CO292" s="53" t="n"/>
      <c r="CP292" s="53" t="n"/>
      <c r="CQ292" s="53" t="n"/>
      <c r="CR292" s="53" t="n"/>
      <c r="CS292" s="53" t="n"/>
      <c r="CT292" s="53" t="n"/>
      <c r="CU292" s="53" t="n"/>
      <c r="CV292" s="53" t="n"/>
      <c r="CW292" s="53" t="n"/>
      <c r="CX292" s="53" t="n"/>
      <c r="CY292" s="53" t="n"/>
      <c r="CZ292" s="53" t="n"/>
      <c r="DA292" s="53" t="n"/>
      <c r="DB292" s="53" t="n"/>
      <c r="DC292" s="53" t="n"/>
      <c r="DD292" s="53" t="inlineStr">
        <is>
          <t>IRIS1945</t>
        </is>
      </c>
      <c r="DE292" s="53" t="inlineStr">
        <is>
          <t>Employee</t>
        </is>
      </c>
      <c r="DF292" s="53" t="inlineStr">
        <is>
          <t>Active</t>
        </is>
      </c>
      <c r="DG292" s="53" t="inlineStr">
        <is>
          <t>Priyadarshini Naidu</t>
        </is>
      </c>
      <c r="DH292" s="54" t="n">
        <v>44424</v>
      </c>
      <c r="DI292" s="53" t="inlineStr">
        <is>
          <t>Software Engineer</t>
        </is>
      </c>
      <c r="DJ292" s="53" t="inlineStr">
        <is>
          <t>Engineering &amp; Development</t>
        </is>
      </c>
      <c r="DK292" s="53" t="inlineStr">
        <is>
          <t>Backend Engineering ·.NET</t>
        </is>
      </c>
      <c r="DL292" s="53" t="inlineStr">
        <is>
          <t>Software Engineer</t>
        </is>
      </c>
      <c r="DM292" s="53" t="inlineStr">
        <is>
          <t>L3 – Professional / Associate</t>
        </is>
      </c>
      <c r="DN292" s="53" t="inlineStr">
        <is>
          <t>BCA</t>
        </is>
      </c>
      <c r="DO292" s="53" t="inlineStr">
        <is>
          <t>Pragati Raskar</t>
        </is>
      </c>
      <c r="DP292" s="53" t="inlineStr">
        <is>
          <t>N-4</t>
        </is>
      </c>
      <c r="DQ292" s="53" t="inlineStr">
        <is>
          <t>Individual Contributor</t>
        </is>
      </c>
      <c r="DR292" s="53" t="inlineStr">
        <is>
          <t>2 years, 0 months, 0 days</t>
        </is>
      </c>
      <c r="DS292" s="53" t="inlineStr">
        <is>
          <t>4 years, 10 months, 4 days</t>
        </is>
      </c>
      <c r="DT292" s="53" t="inlineStr">
        <is>
          <t>6 years, 10 months, 4 days</t>
        </is>
      </c>
      <c r="DU292" s="53" t="n"/>
      <c r="DV292" s="53" t="inlineStr">
        <is>
          <t>Suptech</t>
        </is>
      </c>
      <c r="DW292" s="53" t="inlineStr">
        <is>
          <t>iFile</t>
        </is>
      </c>
      <c r="DX292" s="53" t="inlineStr">
        <is>
          <t>Technology</t>
        </is>
      </c>
      <c r="DY292" s="53" t="inlineStr">
        <is>
          <t>Development</t>
        </is>
      </c>
      <c r="DZ292" s="53" t="inlineStr">
        <is>
          <t>Yes</t>
        </is>
      </c>
      <c r="EA292" s="53" t="inlineStr">
        <is>
          <t>Product/Project</t>
        </is>
      </c>
      <c r="EB292" s="53" t="inlineStr">
        <is>
          <t>.NET MVC</t>
        </is>
      </c>
      <c r="EC292" s="53" t="inlineStr">
        <is>
          <t>Technical - Developer</t>
        </is>
      </c>
      <c r="ED292" s="53" t="inlineStr">
        <is>
          <t>Hybrid</t>
        </is>
      </c>
      <c r="EE292" s="53" t="inlineStr">
        <is>
          <t>.NET Tasks, XBRL Tasks, Aiusage, Document Tasks, Requirement Analyis Tasks</t>
        </is>
      </c>
      <c r="EF292"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292"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H292" s="53" t="n">
        <v>4</v>
      </c>
      <c r="EI292" s="54" t="n">
        <v>46203</v>
      </c>
      <c r="EJ292" s="53" t="inlineStr">
        <is>
          <t>Senior Software Engineer · review – experience supports senior band</t>
        </is>
      </c>
      <c r="EK292" s="53" t="inlineStr">
        <is>
          <t>NO COMMENT</t>
        </is>
      </c>
      <c r="EL292" s="53" t="n">
        <v>4</v>
      </c>
      <c r="EM292" s="53" t="inlineStr">
        <is>
          <t>High</t>
        </is>
      </c>
      <c r="EN292" s="53" t="inlineStr">
        <is>
          <t>Emerging Talent</t>
        </is>
      </c>
      <c r="EO292" s="53" t="inlineStr">
        <is>
          <t>Yes</t>
        </is>
      </c>
      <c r="EP292" s="53" t="inlineStr">
        <is>
          <t>Yes</t>
        </is>
      </c>
      <c r="EQ292" s="53" t="inlineStr">
        <is>
          <t>Yes</t>
        </is>
      </c>
      <c r="ER292" s="53" t="inlineStr">
        <is>
          <t>NO</t>
        </is>
      </c>
      <c r="ES292" s="53" t="inlineStr">
        <is>
          <t>Advanced .NET MVC; secure coding &amp; code-quality practices; unit/automated testing; system design fundamentals</t>
        </is>
      </c>
      <c r="ET292" s="53" t="inlineStr">
        <is>
          <t>Transition to leadership: people management &amp; delegation, mentoring/coaching, project ownership &amp; stakeholder management, prioritisation under ambiguity, presentation &amp; influence skills</t>
        </is>
      </c>
      <c r="EU292" s="53" t="inlineStr">
        <is>
          <t>NO</t>
        </is>
      </c>
      <c r="EV292" s="53" t="n"/>
      <c r="EW292" s="52" t="n"/>
      <c r="EX292" s="53" t="n"/>
      <c r="EY292" s="53" t="n"/>
      <c r="EZ292" s="53" t="n"/>
      <c r="FA292" s="53" t="n"/>
      <c r="FB292" s="53" t="n"/>
      <c r="FC292" s="53" t="n"/>
      <c r="FD292" s="53" t="n"/>
      <c r="FE292"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292"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FG292" s="56" t="inlineStr">
        <is>
          <t>.NET Tasks, XBRL Tasks, Aiusage, Document Tasks, Requirement Analyis Tasks</t>
        </is>
      </c>
      <c r="FH292" s="56" t="inlineStr">
        <is>
          <t>4</t>
        </is>
      </c>
      <c r="FI292" s="56" t="n"/>
      <c r="FJ292" s="56" t="inlineStr">
        <is>
          <t>Received · manager annual, quarterly, self</t>
        </is>
      </c>
      <c r="FK292" s="56" t="inlineStr">
        <is>
          <t>Talent Mapping · iFile collated</t>
        </is>
      </c>
      <c r="FL292" s="56" t="n">
        <v>20</v>
      </c>
      <c r="FM292" s="32" t="inlineStr">
        <is>
          <t>Full survey answers not in the files received · How We Grow export needed · HR</t>
        </is>
      </c>
      <c r="FN292" s="56" t="inlineStr">
        <is>
          <t>—</t>
        </is>
      </c>
      <c r="FO292" s="56" t="inlineStr">
        <is>
          <t>—</t>
        </is>
      </c>
      <c r="FP292" s="56" t="inlineStr">
        <is>
          <t>—</t>
        </is>
      </c>
      <c r="FQ292" s="56" t="inlineStr">
        <is>
          <t>—</t>
        </is>
      </c>
      <c r="FR292" s="56" t="inlineStr">
        <is>
          <t>Complexity: Evidence reads like A2: Desktop application development, REST API integration and support fixes; work described only in general terms → matches the start
Autonomy: Evidence reads like A2: Decides the bug-fix approach → matches the start
Accountability: Evidence reads like A2: Accountable for root-causing and fixing own issues; 'client delivery ownership' not tied to anything specific → matches the start
Leadership: Evidence reads like A1: No guiding or leading described → matches the start
Business Impact: Moved +0.5: the survey / manager mapping marks it business-critical.</t>
        </is>
      </c>
      <c r="FS292"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292" s="56" t="inlineStr">
        <is>
          <t>Self-identified: Project / programme management · Technical depth &amp; architecture
For the next role: Project / programme management · Technical depth &amp; architecture</t>
        </is>
      </c>
      <c r="FU292" s="32" t="inlineStr">
        <is>
          <t>Full survey answers not in the files received · How We Grow export needed · HR</t>
        </is>
      </c>
    </row>
    <row r="293" ht="90" customHeight="1">
      <c r="A293" s="51" t="inlineStr">
        <is>
          <t>◂ Back</t>
        </is>
      </c>
      <c r="B293" s="29" t="inlineStr">
        <is>
          <t>Mapped</t>
        </is>
      </c>
      <c r="C293" s="28" t="inlineStr">
        <is>
          <t>iFile</t>
        </is>
      </c>
      <c r="D293" s="29" t="inlineStr">
        <is>
          <t>IRIS2030</t>
        </is>
      </c>
      <c r="E293" s="29" t="inlineStr">
        <is>
          <t>Ritesh Gadekar</t>
        </is>
      </c>
      <c r="F293" s="29" t="inlineStr">
        <is>
          <t>Technology</t>
        </is>
      </c>
      <c r="G293" s="29" t="inlineStr">
        <is>
          <t>Software Engineer</t>
        </is>
      </c>
      <c r="H293" s="29" t="inlineStr">
        <is>
          <t>Senior Software Engineer</t>
        </is>
      </c>
      <c r="I293" s="29" t="inlineStr">
        <is>
          <t>L3 – Professional / Associate</t>
        </is>
      </c>
      <c r="J293" s="29" t="inlineStr">
        <is>
          <t>A3</t>
        </is>
      </c>
      <c r="K293" s="29" t="inlineStr">
        <is>
          <t>▲ Up</t>
        </is>
      </c>
      <c r="L293" s="29" t="inlineStr">
        <is>
          <t>Engineering &amp; Development</t>
        </is>
      </c>
      <c r="M293" s="29" t="inlineStr">
        <is>
          <t>Backend Development</t>
        </is>
      </c>
      <c r="N293" s="29" t="n"/>
      <c r="O293" s="29" t="n">
        <v>20</v>
      </c>
      <c r="P293" s="28" t="inlineStr">
        <is>
          <t>P2</t>
        </is>
      </c>
      <c r="Q293" s="29" t="inlineStr">
        <is>
          <t>Developing</t>
        </is>
      </c>
      <c r="R293" s="29" t="inlineStr">
        <is>
          <t>3 Apply</t>
        </is>
      </c>
      <c r="S293" s="29" t="inlineStr">
        <is>
          <t>2–4 yrs</t>
        </is>
      </c>
      <c r="T293" s="29" t="inlineStr">
        <is>
          <t>3–5 · 2–5</t>
        </is>
      </c>
      <c r="U293" s="29" t="inlineStr">
        <is>
          <t>Software Engineer</t>
        </is>
      </c>
      <c r="V293" s="29" t="inlineStr">
        <is>
          <t>Workiva: SE · Broadridge India: SE · Nasdaq / AxiomSL: SE · Salesforce: MTS · Atlassian: P40 · 3–7 yrs · Freshworks: Senior SE</t>
        </is>
      </c>
      <c r="W293" s="29" t="inlineStr">
        <is>
          <t>SFIA 9 · software development, programming; OWASP secure coding; cloud vendor certifications</t>
        </is>
      </c>
      <c r="X293" s="29" t="inlineStr">
        <is>
          <t>Core 2 · Future 2 · Functional 3 · Leadership not scored</t>
        </is>
      </c>
      <c r="Y293" s="52" t="n">
        <v>224</v>
      </c>
      <c r="Z293" s="53" t="inlineStr">
        <is>
          <t>IRIS2030</t>
        </is>
      </c>
      <c r="AA293" s="53" t="inlineStr">
        <is>
          <t>Employee</t>
        </is>
      </c>
      <c r="AB293" s="53" t="inlineStr">
        <is>
          <t>Active</t>
        </is>
      </c>
      <c r="AC293" s="53" t="inlineStr">
        <is>
          <t>Ritesh Gadekar</t>
        </is>
      </c>
      <c r="AD293" s="54" t="n">
        <v>44735</v>
      </c>
      <c r="AE293" s="53" t="inlineStr">
        <is>
          <t>Software Engineer</t>
        </is>
      </c>
      <c r="AF293" s="53" t="inlineStr">
        <is>
          <t>MSc</t>
        </is>
      </c>
      <c r="AG293" s="53" t="inlineStr">
        <is>
          <t>Pragati Raskar</t>
        </is>
      </c>
      <c r="AH293" s="53" t="inlineStr">
        <is>
          <t>N-5</t>
        </is>
      </c>
      <c r="AI293" s="53" t="inlineStr">
        <is>
          <t>Individual Contributor</t>
        </is>
      </c>
      <c r="AJ293" s="53" t="inlineStr">
        <is>
          <t>0 years, 0 months, 0 days</t>
        </is>
      </c>
      <c r="AK293" s="53" t="inlineStr">
        <is>
          <t>4 years, 2 months, 2 days</t>
        </is>
      </c>
      <c r="AL293" s="53" t="inlineStr">
        <is>
          <t>Suptech</t>
        </is>
      </c>
      <c r="AM293" s="53" t="inlineStr">
        <is>
          <t>iFile</t>
        </is>
      </c>
      <c r="AN293" s="53" t="inlineStr">
        <is>
          <t>Technology</t>
        </is>
      </c>
      <c r="AO293" s="53" t="inlineStr">
        <is>
          <t>Development</t>
        </is>
      </c>
      <c r="AP293" s="53" t="inlineStr">
        <is>
          <t>Yes</t>
        </is>
      </c>
      <c r="AQ293" s="53" t="inlineStr">
        <is>
          <t>Product/Project</t>
        </is>
      </c>
      <c r="AR293" s="53" t="inlineStr">
        <is>
          <t>.NET MVC</t>
        </is>
      </c>
      <c r="AS293" s="53" t="inlineStr">
        <is>
          <t>Technical - Developer</t>
        </is>
      </c>
      <c r="AT293" s="53" t="n">
        <v>20</v>
      </c>
      <c r="AU293" s="53" t="inlineStr">
        <is>
          <t>Covered</t>
        </is>
      </c>
      <c r="AV293" s="53" t="n"/>
      <c r="AW293" s="53" t="n"/>
      <c r="AX293" s="53" t="n"/>
      <c r="AY293" s="53" t="n"/>
      <c r="AZ293" s="53" t="n"/>
      <c r="BA293" s="53" t="n"/>
      <c r="BB293" s="53" t="n"/>
      <c r="BC293" s="53" t="n"/>
      <c r="BD293" s="53" t="n"/>
      <c r="BE293" s="53" t="n"/>
      <c r="BF293" s="53" t="n"/>
      <c r="BG293" s="53" t="n"/>
      <c r="BH293" s="53" t="n"/>
      <c r="BI293" s="53" t="n"/>
      <c r="BJ293" s="53" t="n"/>
      <c r="BK293" s="53" t="n"/>
      <c r="BL293" s="53" t="n"/>
      <c r="BM293" s="53" t="n"/>
      <c r="BN293" s="53" t="n"/>
      <c r="BO293" s="53" t="n"/>
      <c r="BP293" s="53" t="n"/>
      <c r="BQ293" s="53" t="n"/>
      <c r="BR293" s="53" t="n"/>
      <c r="BS293" s="53" t="n"/>
      <c r="BT293" s="53" t="n"/>
      <c r="BU293" s="53" t="n"/>
      <c r="BV293" s="53" t="n"/>
      <c r="BW293" s="53" t="n"/>
      <c r="BX293" s="53" t="n"/>
      <c r="BY293" s="53" t="n"/>
      <c r="BZ293" s="53" t="n"/>
      <c r="CA293" s="53" t="n"/>
      <c r="CB293" s="53" t="n"/>
      <c r="CC293" s="53" t="n"/>
      <c r="CD293" s="53" t="n"/>
      <c r="CE293" s="53" t="n"/>
      <c r="CF293" s="53" t="n"/>
      <c r="CG293" s="53" t="n"/>
      <c r="CH293" s="53" t="n"/>
      <c r="CI293" s="53" t="n"/>
      <c r="CJ293" s="53" t="n"/>
      <c r="CK293" s="53" t="n"/>
      <c r="CL293" s="53" t="n"/>
      <c r="CM293" s="53" t="n"/>
      <c r="CN293" s="53" t="n"/>
      <c r="CO293" s="53" t="n"/>
      <c r="CP293" s="53" t="n"/>
      <c r="CQ293" s="53" t="n"/>
      <c r="CR293" s="53" t="n"/>
      <c r="CS293" s="53" t="n"/>
      <c r="CT293" s="53" t="n"/>
      <c r="CU293" s="53" t="n"/>
      <c r="CV293" s="53" t="n"/>
      <c r="CW293" s="53" t="n"/>
      <c r="CX293" s="53" t="n"/>
      <c r="CY293" s="53" t="n"/>
      <c r="CZ293" s="53" t="n"/>
      <c r="DA293" s="53" t="n"/>
      <c r="DB293" s="53" t="n"/>
      <c r="DC293" s="53" t="n"/>
      <c r="DD293" s="53" t="inlineStr">
        <is>
          <t>IRIS2030</t>
        </is>
      </c>
      <c r="DE293" s="53" t="inlineStr">
        <is>
          <t>Employee</t>
        </is>
      </c>
      <c r="DF293" s="53" t="inlineStr">
        <is>
          <t>Active</t>
        </is>
      </c>
      <c r="DG293" s="53" t="inlineStr">
        <is>
          <t>Ritesh Gadekar</t>
        </is>
      </c>
      <c r="DH293" s="54" t="n">
        <v>44735</v>
      </c>
      <c r="DI293" s="53" t="inlineStr">
        <is>
          <t>Software Engineer</t>
        </is>
      </c>
      <c r="DJ293" s="53" t="inlineStr">
        <is>
          <t>Engineering &amp; Development</t>
        </is>
      </c>
      <c r="DK293" s="53" t="inlineStr">
        <is>
          <t>Backend Engineering ·.NET</t>
        </is>
      </c>
      <c r="DL293" s="53" t="inlineStr">
        <is>
          <t>Software Engineer</t>
        </is>
      </c>
      <c r="DM293" s="53" t="inlineStr">
        <is>
          <t>L3 – Professional / Associate</t>
        </is>
      </c>
      <c r="DN293" s="53" t="inlineStr">
        <is>
          <t>MSc</t>
        </is>
      </c>
      <c r="DO293" s="53" t="inlineStr">
        <is>
          <t>Pragati Raskar</t>
        </is>
      </c>
      <c r="DP293" s="53" t="inlineStr">
        <is>
          <t>N-4</t>
        </is>
      </c>
      <c r="DQ293" s="53" t="inlineStr">
        <is>
          <t>Individual Contributor</t>
        </is>
      </c>
      <c r="DR293" s="53" t="inlineStr">
        <is>
          <t>0 years, 0 months, 0 days</t>
        </is>
      </c>
      <c r="DS293" s="53" t="inlineStr">
        <is>
          <t>3 years, 11 months, 28 days</t>
        </is>
      </c>
      <c r="DT293" s="53" t="inlineStr">
        <is>
          <t>3 years, 11 months, 28 days</t>
        </is>
      </c>
      <c r="DU293" s="53" t="n"/>
      <c r="DV293" s="53" t="inlineStr">
        <is>
          <t>Suptech</t>
        </is>
      </c>
      <c r="DW293" s="53" t="inlineStr">
        <is>
          <t>iFile</t>
        </is>
      </c>
      <c r="DX293" s="53" t="inlineStr">
        <is>
          <t>Technology</t>
        </is>
      </c>
      <c r="DY293" s="53" t="inlineStr">
        <is>
          <t>Development</t>
        </is>
      </c>
      <c r="DZ293" s="53" t="inlineStr">
        <is>
          <t>Yes</t>
        </is>
      </c>
      <c r="EA293" s="53" t="inlineStr">
        <is>
          <t>Product/Project</t>
        </is>
      </c>
      <c r="EB293" s="53" t="inlineStr">
        <is>
          <t>.NET MVC</t>
        </is>
      </c>
      <c r="EC293" s="53" t="inlineStr">
        <is>
          <t>Technical - Developer</t>
        </is>
      </c>
      <c r="ED293" s="53" t="inlineStr">
        <is>
          <t>Remote - Mumbai</t>
        </is>
      </c>
      <c r="EE293" s="53" t="inlineStr">
        <is>
          <t>.NET Tasks, XBRL Tasks, Aiusage, Document Tasks, Requirement Analyis Tasks</t>
        </is>
      </c>
      <c r="EF293"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293"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H293" s="53" t="n">
        <v>4</v>
      </c>
      <c r="EI293" s="54" t="n">
        <v>46203</v>
      </c>
      <c r="EJ293" s="53" t="inlineStr">
        <is>
          <t>Software Engineer</t>
        </is>
      </c>
      <c r="EK293" s="53" t="inlineStr">
        <is>
          <t>NO COMMENT</t>
        </is>
      </c>
      <c r="EL293" s="53" t="n">
        <v>4</v>
      </c>
      <c r="EM293" s="53" t="inlineStr">
        <is>
          <t>High</t>
        </is>
      </c>
      <c r="EN293" s="53" t="inlineStr">
        <is>
          <t>Trusted Professional</t>
        </is>
      </c>
      <c r="EO293" s="53" t="inlineStr">
        <is>
          <t>Yes</t>
        </is>
      </c>
      <c r="EP293" s="53" t="inlineStr">
        <is>
          <t>Yes</t>
        </is>
      </c>
      <c r="EQ293" s="53" t="inlineStr">
        <is>
          <t>Yes</t>
        </is>
      </c>
      <c r="ER293" s="53" t="inlineStr">
        <is>
          <t>NO</t>
        </is>
      </c>
      <c r="ES293" s="53" t="inlineStr">
        <is>
          <t>Advanced .NET MVC; secure coding &amp; code-quality practices; unit/automated testing; system design fundamentals</t>
        </is>
      </c>
      <c r="ET293" s="53" t="inlineStr">
        <is>
          <t>Transition to leadership: people management &amp; delegation, mentoring/coaching, project ownership &amp; stakeholder management, prioritisation under ambiguity, presentation &amp; influence skills</t>
        </is>
      </c>
      <c r="EU293" s="53" t="inlineStr">
        <is>
          <t>NO</t>
        </is>
      </c>
      <c r="EV293" s="53" t="n"/>
      <c r="EW293" s="52" t="n"/>
      <c r="EX293" s="53" t="n"/>
      <c r="EY293" s="53" t="n"/>
      <c r="EZ293" s="53" t="n"/>
      <c r="FA293" s="53" t="n"/>
      <c r="FB293" s="53" t="n"/>
      <c r="FC293" s="53" t="n"/>
      <c r="FD293" s="53" t="n"/>
      <c r="FE293"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293"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FG293" s="56" t="inlineStr">
        <is>
          <t>.NET Tasks, XBRL Tasks, Aiusage, Document Tasks, Requirement Analyis Tasks</t>
        </is>
      </c>
      <c r="FH293" s="56" t="inlineStr">
        <is>
          <t>4</t>
        </is>
      </c>
      <c r="FI293" s="56" t="n"/>
      <c r="FJ293" s="56" t="inlineStr">
        <is>
          <t>Received · manager annual, quarterly, self</t>
        </is>
      </c>
      <c r="FK293" s="56" t="inlineStr">
        <is>
          <t>Talent Mapping · iFile collated</t>
        </is>
      </c>
      <c r="FL293" s="56" t="n">
        <v>20</v>
      </c>
      <c r="FM293" s="32" t="inlineStr">
        <is>
          <t>Full survey answers not in the files received · How We Grow export needed · HR</t>
        </is>
      </c>
      <c r="FN293" s="56" t="inlineStr">
        <is>
          <t>—</t>
        </is>
      </c>
      <c r="FO293" s="56" t="inlineStr">
        <is>
          <t>—</t>
        </is>
      </c>
      <c r="FP293" s="56" t="inlineStr">
        <is>
          <t>—</t>
        </is>
      </c>
      <c r="FQ293" s="56" t="inlineStr">
        <is>
          <t>—</t>
        </is>
      </c>
      <c r="FR293" s="56" t="inlineStr">
        <is>
          <t>Business Impact: Moved +0.5: the survey / manager mapping marks it business-critical.</t>
        </is>
      </c>
      <c r="FS293"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293" s="56" t="inlineStr">
        <is>
          <t>Self-identified: Leadership &amp; people management · Technical depth &amp; architecture · Broader exposure &amp; ownership
For the next role: Leadership &amp; people management · Project / programme management · Technical depth &amp; architecture · Broader exposure &amp; ownership</t>
        </is>
      </c>
      <c r="FU293" s="32" t="inlineStr">
        <is>
          <t>Full survey answers not in the files received · How We Grow export needed · HR</t>
        </is>
      </c>
    </row>
    <row r="294" ht="90" customHeight="1">
      <c r="A294" s="51" t="inlineStr">
        <is>
          <t>◂ Back</t>
        </is>
      </c>
      <c r="B294" s="29" t="inlineStr">
        <is>
          <t>Mapped</t>
        </is>
      </c>
      <c r="C294" s="28" t="inlineStr">
        <is>
          <t>iFile</t>
        </is>
      </c>
      <c r="D294" s="29" t="inlineStr">
        <is>
          <t>IRIS2162</t>
        </is>
      </c>
      <c r="E294" s="29" t="inlineStr">
        <is>
          <t>Vikash Gupta</t>
        </is>
      </c>
      <c r="F294" s="29" t="inlineStr">
        <is>
          <t>Technology</t>
        </is>
      </c>
      <c r="G294" s="29" t="inlineStr">
        <is>
          <t>Senior Software Engineer</t>
        </is>
      </c>
      <c r="H294" s="29" t="inlineStr">
        <is>
          <t>Technical Specialist</t>
        </is>
      </c>
      <c r="I294" s="29" t="inlineStr">
        <is>
          <t>L4 – Senior</t>
        </is>
      </c>
      <c r="J294" s="29" t="inlineStr">
        <is>
          <t>B1</t>
        </is>
      </c>
      <c r="K294" s="29" t="inlineStr">
        <is>
          <t>▲ Up</t>
        </is>
      </c>
      <c r="L294" s="29" t="inlineStr">
        <is>
          <t>Engineering &amp; Development</t>
        </is>
      </c>
      <c r="M294" s="29" t="inlineStr">
        <is>
          <t>Full-Stack Development</t>
        </is>
      </c>
      <c r="N294" s="29" t="n"/>
      <c r="O294" s="29" t="n">
        <v>20</v>
      </c>
      <c r="P294" s="28" t="inlineStr">
        <is>
          <t>P3 / M2</t>
        </is>
      </c>
      <c r="Q294" s="29" t="inlineStr">
        <is>
          <t>Career / · Team Lead</t>
        </is>
      </c>
      <c r="R294" s="29" t="inlineStr">
        <is>
          <t>4 Enable</t>
        </is>
      </c>
      <c r="S294" s="29" t="inlineStr">
        <is>
          <t>4–7 yrs</t>
        </is>
      </c>
      <c r="T294" s="29" t="inlineStr">
        <is>
          <t>5–8 · 4–8</t>
        </is>
      </c>
      <c r="U294" s="29" t="inlineStr">
        <is>
          <t>Senior Software Engineer</t>
        </is>
      </c>
      <c r="V294" s="29" t="inlineStr">
        <is>
          <t>Workiva: SE / Senior SE · Broadridge India: Senior SE · Nasdaq / AxiomSL: Senior SE · Salesforce: MTS · Atlassian: P40 · Freshworks: Senior SE</t>
        </is>
      </c>
      <c r="W294" s="29" t="inlineStr">
        <is>
          <t>SFIA 9 · software development, programming; OWASP secure coding; cloud vendor certifications</t>
        </is>
      </c>
      <c r="X294" s="29" t="inlineStr">
        <is>
          <t>Core 3 · Future 3 · Functional 3 · Leadership 1</t>
        </is>
      </c>
      <c r="Y294" s="52" t="n">
        <v>286</v>
      </c>
      <c r="Z294" s="53" t="inlineStr">
        <is>
          <t>IRIS2162</t>
        </is>
      </c>
      <c r="AA294" s="53" t="inlineStr">
        <is>
          <t>Employee</t>
        </is>
      </c>
      <c r="AB294" s="53" t="inlineStr">
        <is>
          <t>Active</t>
        </is>
      </c>
      <c r="AC294" s="53" t="inlineStr">
        <is>
          <t>Vikash Gupta</t>
        </is>
      </c>
      <c r="AD294" s="54" t="n">
        <v>45133</v>
      </c>
      <c r="AE294" s="53" t="inlineStr">
        <is>
          <t>Senior Software Engineer</t>
        </is>
      </c>
      <c r="AF294" s="53" t="inlineStr">
        <is>
          <t>MCA</t>
        </is>
      </c>
      <c r="AG294" s="53" t="inlineStr">
        <is>
          <t>Hemant Trivedi</t>
        </is>
      </c>
      <c r="AH294" s="53" t="inlineStr">
        <is>
          <t>N-4</t>
        </is>
      </c>
      <c r="AI294" s="53" t="inlineStr">
        <is>
          <t>Individual Contributor</t>
        </is>
      </c>
      <c r="AJ294" s="53" t="inlineStr">
        <is>
          <t>12 years, 0 months, 0 days</t>
        </is>
      </c>
      <c r="AK294" s="53" t="inlineStr">
        <is>
          <t>3 years, 0 months, 30 days</t>
        </is>
      </c>
      <c r="AL294" s="53" t="inlineStr">
        <is>
          <t>Suptech</t>
        </is>
      </c>
      <c r="AM294" s="53" t="inlineStr">
        <is>
          <t>iFile</t>
        </is>
      </c>
      <c r="AN294" s="53" t="inlineStr">
        <is>
          <t>Technology</t>
        </is>
      </c>
      <c r="AO294" s="53" t="inlineStr">
        <is>
          <t>Development</t>
        </is>
      </c>
      <c r="AP294" s="53" t="inlineStr">
        <is>
          <t>Yes</t>
        </is>
      </c>
      <c r="AQ294" s="53" t="inlineStr">
        <is>
          <t>Product/Project</t>
        </is>
      </c>
      <c r="AR294" s="53" t="inlineStr">
        <is>
          <t>.NET MVC + Angular</t>
        </is>
      </c>
      <c r="AS294" s="53" t="inlineStr">
        <is>
          <t>Technical - Developer</t>
        </is>
      </c>
      <c r="AT294" s="53" t="n">
        <v>20</v>
      </c>
      <c r="AU294" s="53" t="inlineStr">
        <is>
          <t>Covered</t>
        </is>
      </c>
      <c r="AV294" s="53" t="n"/>
      <c r="AW294" s="53" t="n"/>
      <c r="AX294" s="53" t="n"/>
      <c r="AY294" s="53" t="n"/>
      <c r="AZ294" s="53" t="n"/>
      <c r="BA294" s="53" t="n"/>
      <c r="BB294" s="53" t="n"/>
      <c r="BC294" s="53" t="n"/>
      <c r="BD294" s="53" t="n"/>
      <c r="BE294" s="53" t="n"/>
      <c r="BF294" s="53" t="n"/>
      <c r="BG294" s="53" t="n"/>
      <c r="BH294" s="53" t="n"/>
      <c r="BI294" s="53" t="n"/>
      <c r="BJ294" s="53" t="n"/>
      <c r="BK294" s="53" t="n"/>
      <c r="BL294" s="53" t="n"/>
      <c r="BM294" s="53" t="n"/>
      <c r="BN294" s="53" t="n"/>
      <c r="BO294" s="53" t="n"/>
      <c r="BP294" s="53" t="n"/>
      <c r="BQ294" s="53" t="n"/>
      <c r="BR294" s="53" t="n"/>
      <c r="BS294" s="53" t="n"/>
      <c r="BT294" s="53" t="n"/>
      <c r="BU294" s="53" t="n"/>
      <c r="BV294" s="53" t="n"/>
      <c r="BW294" s="53" t="n"/>
      <c r="BX294" s="53" t="n"/>
      <c r="BY294" s="53" t="n"/>
      <c r="BZ294" s="53" t="n"/>
      <c r="CA294" s="53" t="n"/>
      <c r="CB294" s="53" t="n"/>
      <c r="CC294" s="53" t="n"/>
      <c r="CD294" s="53" t="n"/>
      <c r="CE294" s="53" t="n"/>
      <c r="CF294" s="53" t="n"/>
      <c r="CG294" s="53" t="n"/>
      <c r="CH294" s="53" t="n"/>
      <c r="CI294" s="53" t="n"/>
      <c r="CJ294" s="53" t="n"/>
      <c r="CK294" s="53" t="n"/>
      <c r="CL294" s="53" t="n"/>
      <c r="CM294" s="53" t="n"/>
      <c r="CN294" s="53" t="n"/>
      <c r="CO294" s="53" t="n"/>
      <c r="CP294" s="53" t="n"/>
      <c r="CQ294" s="53" t="n"/>
      <c r="CR294" s="53" t="n"/>
      <c r="CS294" s="53" t="n"/>
      <c r="CT294" s="53" t="n"/>
      <c r="CU294" s="53" t="n"/>
      <c r="CV294" s="53" t="n"/>
      <c r="CW294" s="53" t="n"/>
      <c r="CX294" s="53" t="n"/>
      <c r="CY294" s="53" t="n"/>
      <c r="CZ294" s="53" t="n"/>
      <c r="DA294" s="53" t="n"/>
      <c r="DB294" s="53" t="n"/>
      <c r="DC294" s="53" t="n"/>
      <c r="DD294" s="53" t="inlineStr">
        <is>
          <t>IRIS2162</t>
        </is>
      </c>
      <c r="DE294" s="53" t="inlineStr">
        <is>
          <t>Employee</t>
        </is>
      </c>
      <c r="DF294" s="53" t="inlineStr">
        <is>
          <t>Active</t>
        </is>
      </c>
      <c r="DG294" s="53" t="inlineStr">
        <is>
          <t>Vikash Gupta</t>
        </is>
      </c>
      <c r="DH294" s="54" t="n">
        <v>45133</v>
      </c>
      <c r="DI294" s="53" t="inlineStr">
        <is>
          <t>Senior Software Engineer</t>
        </is>
      </c>
      <c r="DJ294" s="53" t="inlineStr">
        <is>
          <t>Engineering &amp; Development</t>
        </is>
      </c>
      <c r="DK294" s="53" t="inlineStr">
        <is>
          <t>Backend Engineering ·.NET</t>
        </is>
      </c>
      <c r="DL294" s="53" t="inlineStr">
        <is>
          <t>Senior Software Engineer</t>
        </is>
      </c>
      <c r="DM294" s="53" t="inlineStr">
        <is>
          <t>L4 – Senior</t>
        </is>
      </c>
      <c r="DN294" s="53" t="inlineStr">
        <is>
          <t>MCA</t>
        </is>
      </c>
      <c r="DO294" s="53" t="inlineStr">
        <is>
          <t>Hemant Trivedi</t>
        </is>
      </c>
      <c r="DP294" s="53" t="inlineStr">
        <is>
          <t>N-3</t>
        </is>
      </c>
      <c r="DQ294" s="53" t="inlineStr">
        <is>
          <t>Individual Contributor</t>
        </is>
      </c>
      <c r="DR294" s="53" t="inlineStr">
        <is>
          <t>12 years, 0 months, 0 days</t>
        </is>
      </c>
      <c r="DS294" s="53" t="inlineStr">
        <is>
          <t>2 years, 10 months, 25 days</t>
        </is>
      </c>
      <c r="DT294" s="53" t="inlineStr">
        <is>
          <t>14 years, 10 months, 25 days</t>
        </is>
      </c>
      <c r="DU294" s="53" t="n"/>
      <c r="DV294" s="53" t="inlineStr">
        <is>
          <t>Suptech</t>
        </is>
      </c>
      <c r="DW294" s="53" t="inlineStr">
        <is>
          <t>iFile</t>
        </is>
      </c>
      <c r="DX294" s="53" t="inlineStr">
        <is>
          <t>Technology</t>
        </is>
      </c>
      <c r="DY294" s="53" t="inlineStr">
        <is>
          <t>Development</t>
        </is>
      </c>
      <c r="DZ294" s="53" t="inlineStr">
        <is>
          <t>Yes</t>
        </is>
      </c>
      <c r="EA294" s="53" t="inlineStr">
        <is>
          <t>Product/Project</t>
        </is>
      </c>
      <c r="EB294" s="53" t="inlineStr">
        <is>
          <t>.NET MVC + Angular</t>
        </is>
      </c>
      <c r="EC294" s="53" t="inlineStr">
        <is>
          <t>Technical - Developer</t>
        </is>
      </c>
      <c r="ED294" s="53" t="inlineStr">
        <is>
          <t>Hybrid</t>
        </is>
      </c>
      <c r="EE294" s="53" t="inlineStr">
        <is>
          <t>.NET Tasks, XBRL Tasks, Aiusage, Document Tasks, Requirement Analyis Tasks</t>
        </is>
      </c>
      <c r="EF294"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294"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H294" s="53" t="n">
        <v>4</v>
      </c>
      <c r="EI294" s="54" t="n">
        <v>46203</v>
      </c>
      <c r="EJ294" s="53" t="inlineStr">
        <is>
          <t>Senior Software Engineer</t>
        </is>
      </c>
      <c r="EK294" s="53" t="inlineStr">
        <is>
          <t>NO COMMENT</t>
        </is>
      </c>
      <c r="EL294" s="53" t="n">
        <v>4</v>
      </c>
      <c r="EM294" s="53" t="inlineStr">
        <is>
          <t>High</t>
        </is>
      </c>
      <c r="EN294" s="53" t="inlineStr">
        <is>
          <t>Trusted Professional</t>
        </is>
      </c>
      <c r="EO294" s="53" t="inlineStr">
        <is>
          <t>Yes</t>
        </is>
      </c>
      <c r="EP294" s="53" t="inlineStr">
        <is>
          <t>Yes</t>
        </is>
      </c>
      <c r="EQ294" s="53" t="inlineStr">
        <is>
          <t>Yes</t>
        </is>
      </c>
      <c r="ER294" s="53" t="inlineStr">
        <is>
          <t>NO</t>
        </is>
      </c>
      <c r="ES294" s="53" t="inlineStr">
        <is>
          <t>Advanced .NET MVC + Angular; secure coding &amp; code-quality practices; unit/automated testing; system design fundamentals</t>
        </is>
      </c>
      <c r="ET294" s="53" t="inlineStr">
        <is>
          <t>Transition to leadership: people management &amp; delegation, mentoring/coaching, project ownership &amp; stakeholder management, prioritisation under ambiguity, presentation &amp; influence skills</t>
        </is>
      </c>
      <c r="EU294" s="53" t="inlineStr">
        <is>
          <t>NO</t>
        </is>
      </c>
      <c r="EV294" s="53" t="n"/>
      <c r="EW294" s="52" t="n"/>
      <c r="EX294" s="53" t="n"/>
      <c r="EY294" s="53" t="n"/>
      <c r="EZ294" s="53" t="n"/>
      <c r="FA294" s="53" t="n"/>
      <c r="FB294" s="53" t="n"/>
      <c r="FC294" s="53" t="n"/>
      <c r="FD294" s="53" t="n"/>
      <c r="FE294"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294"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FG294" s="56" t="inlineStr">
        <is>
          <t>.NET Tasks, XBRL Tasks, Aiusage, Document Tasks, Requirement Analyis Tasks</t>
        </is>
      </c>
      <c r="FH294" s="56" t="inlineStr">
        <is>
          <t>4</t>
        </is>
      </c>
      <c r="FI294" s="56" t="n"/>
      <c r="FJ294" s="56" t="inlineStr">
        <is>
          <t>Received · manager annual, quarterly, self</t>
        </is>
      </c>
      <c r="FK294" s="56" t="inlineStr">
        <is>
          <t>Talent Mapping · iFile collated</t>
        </is>
      </c>
      <c r="FL294" s="56" t="n">
        <v>20</v>
      </c>
      <c r="FM294" s="32" t="inlineStr">
        <is>
          <t>Full survey answers not in the files received · How We Grow export needed · HR</t>
        </is>
      </c>
      <c r="FN294" s="56" t="inlineStr">
        <is>
          <t>—</t>
        </is>
      </c>
      <c r="FO294" s="56" t="inlineStr">
        <is>
          <t>—</t>
        </is>
      </c>
      <c r="FP294" s="56" t="inlineStr">
        <is>
          <t>—</t>
        </is>
      </c>
      <c r="FQ294" s="56" t="inlineStr">
        <is>
          <t>—</t>
        </is>
      </c>
      <c r="FR294" s="56" t="inlineStr">
        <is>
          <t>Business Impact: Moved +0.5: the survey / manager mapping marks it business-critical.</t>
        </is>
      </c>
      <c r="FS294" s="56" t="inlineStr">
        <is>
          <t>Common themes in role-holders' answers: keep · secure · development · continuously · technical · software
Common themes in role-holders' answers: technical · code · production · support · development
Common themes in role-holders' answers: solutions · software · fixes · technical · deliver · updates
Common themes in role-holders' answers: accountable · if · correctness · production · database · technical
Common themes in role-holders' answers: code · independently · approaches · diagnose · improvements · issues
If the work is missed · role-holders' themes: production · rework · incorrectly · business · lead.
Measured on · manager-set KRA themes: improve · defect · assigned · time · production.</t>
        </is>
      </c>
      <c r="FT294" s="56" t="inlineStr">
        <is>
          <t>Self-identified: Project / programme management · Technical depth &amp; architecture · Strategy &amp; business acumen · Broader exposure &amp; ownership
For the next role: Leadership &amp; people management · Project / programme management · Technical depth &amp; architecture · Communication &amp; presentation · Strategy &amp; business acumen · Broader exposure &amp; ownership</t>
        </is>
      </c>
      <c r="FU294" s="32" t="inlineStr">
        <is>
          <t>Full survey answers not in the files received · How We Grow export needed · HR</t>
        </is>
      </c>
    </row>
    <row r="295" ht="90" customHeight="1">
      <c r="A295" s="51" t="inlineStr">
        <is>
          <t>◂ Back</t>
        </is>
      </c>
      <c r="B295" s="29" t="inlineStr">
        <is>
          <t>Mapped</t>
        </is>
      </c>
      <c r="C295" s="28" t="inlineStr">
        <is>
          <t>iFile</t>
        </is>
      </c>
      <c r="D295" s="29" t="inlineStr">
        <is>
          <t>IRIS2299</t>
        </is>
      </c>
      <c r="E295" s="29" t="inlineStr">
        <is>
          <t>Mukesh Babulal Suthar</t>
        </is>
      </c>
      <c r="F295" s="29" t="inlineStr">
        <is>
          <t>Technology</t>
        </is>
      </c>
      <c r="G295" s="29" t="inlineStr">
        <is>
          <t>Senior Software Engineer</t>
        </is>
      </c>
      <c r="H295" s="29" t="inlineStr">
        <is>
          <t>Senior Software Engineer</t>
        </is>
      </c>
      <c r="I295" s="29" t="inlineStr">
        <is>
          <t>L4 – Senior</t>
        </is>
      </c>
      <c r="J295" s="29" t="inlineStr">
        <is>
          <t>A3</t>
        </is>
      </c>
      <c r="K295" s="29" t="inlineStr">
        <is>
          <t>• Same level</t>
        </is>
      </c>
      <c r="L295" s="29" t="inlineStr">
        <is>
          <t>Engineering &amp; Development</t>
        </is>
      </c>
      <c r="M295" s="29" t="inlineStr">
        <is>
          <t>Backend Development</t>
        </is>
      </c>
      <c r="N295" s="29" t="n"/>
      <c r="O295" s="29" t="n">
        <v>20</v>
      </c>
      <c r="P295" s="28" t="inlineStr">
        <is>
          <t>P2</t>
        </is>
      </c>
      <c r="Q295" s="29" t="inlineStr">
        <is>
          <t>Developing</t>
        </is>
      </c>
      <c r="R295" s="29" t="inlineStr">
        <is>
          <t>3 Apply</t>
        </is>
      </c>
      <c r="S295" s="29" t="inlineStr">
        <is>
          <t>2–4 yrs</t>
        </is>
      </c>
      <c r="T295" s="29" t="inlineStr">
        <is>
          <t>3–5 · 2–5</t>
        </is>
      </c>
      <c r="U295" s="29" t="inlineStr">
        <is>
          <t>Software Engineer</t>
        </is>
      </c>
      <c r="V295" s="29" t="inlineStr">
        <is>
          <t>Workiva: SE · Broadridge India: SE · Nasdaq / AxiomSL: SE · Salesforce: MTS · Atlassian: P40 · 3–7 yrs · Freshworks: Senior SE</t>
        </is>
      </c>
      <c r="W295" s="29" t="inlineStr">
        <is>
          <t>SFIA 9 · software development, programming; OWASP secure coding; cloud vendor certifications</t>
        </is>
      </c>
      <c r="X295" s="29" t="inlineStr">
        <is>
          <t>Core 2 · Future 2 · Functional 3 · Leadership not scored</t>
        </is>
      </c>
      <c r="Y295" s="52" t="n">
        <v>337</v>
      </c>
      <c r="Z295" s="53" t="inlineStr">
        <is>
          <t>IRIS2299</t>
        </is>
      </c>
      <c r="AA295" s="53" t="inlineStr">
        <is>
          <t>Employee</t>
        </is>
      </c>
      <c r="AB295" s="53" t="inlineStr">
        <is>
          <t>Active</t>
        </is>
      </c>
      <c r="AC295" s="53" t="inlineStr">
        <is>
          <t>Mukesh Babulal Suthar</t>
        </is>
      </c>
      <c r="AD295" s="54" t="n">
        <v>45512</v>
      </c>
      <c r="AE295" s="53" t="inlineStr">
        <is>
          <t>Senior Software Engineer</t>
        </is>
      </c>
      <c r="AF295" s="53" t="inlineStr">
        <is>
          <t>B.E</t>
        </is>
      </c>
      <c r="AG295" s="53" t="inlineStr">
        <is>
          <t>Hemant Trivedi</t>
        </is>
      </c>
      <c r="AH295" s="53" t="inlineStr">
        <is>
          <t>N-4</t>
        </is>
      </c>
      <c r="AI295" s="53" t="inlineStr">
        <is>
          <t>Individual Contributor</t>
        </is>
      </c>
      <c r="AJ295" s="53" t="inlineStr">
        <is>
          <t>9 years, 0 months, 0 days</t>
        </is>
      </c>
      <c r="AK295" s="53" t="inlineStr">
        <is>
          <t>2 years, 0 months, 17 days</t>
        </is>
      </c>
      <c r="AL295" s="53" t="inlineStr">
        <is>
          <t>Suptech</t>
        </is>
      </c>
      <c r="AM295" s="53" t="inlineStr">
        <is>
          <t>iFile</t>
        </is>
      </c>
      <c r="AN295" s="53" t="inlineStr">
        <is>
          <t>Technology</t>
        </is>
      </c>
      <c r="AO295" s="53" t="inlineStr">
        <is>
          <t>Development</t>
        </is>
      </c>
      <c r="AP295" s="53" t="inlineStr">
        <is>
          <t>Yes</t>
        </is>
      </c>
      <c r="AQ295" s="53" t="inlineStr">
        <is>
          <t>Product/Project</t>
        </is>
      </c>
      <c r="AR295" s="53" t="inlineStr">
        <is>
          <t>.NET MVC</t>
        </is>
      </c>
      <c r="AS295" s="53" t="inlineStr">
        <is>
          <t>Technical - Developer</t>
        </is>
      </c>
      <c r="AT295" s="53" t="n">
        <v>20</v>
      </c>
      <c r="AU295" s="53" t="inlineStr">
        <is>
          <t>Covered</t>
        </is>
      </c>
      <c r="AV295" s="53" t="n"/>
      <c r="AW295" s="53" t="n"/>
      <c r="AX295" s="53" t="n"/>
      <c r="AY295" s="53" t="n"/>
      <c r="AZ295" s="53" t="n"/>
      <c r="BA295" s="53" t="n"/>
      <c r="BB295" s="53" t="n"/>
      <c r="BC295" s="53" t="n"/>
      <c r="BD295" s="53" t="n"/>
      <c r="BE295" s="53" t="n"/>
      <c r="BF295" s="53" t="n"/>
      <c r="BG295" s="53" t="n"/>
      <c r="BH295" s="53" t="n"/>
      <c r="BI295" s="53" t="n"/>
      <c r="BJ295" s="53" t="n"/>
      <c r="BK295" s="53" t="n"/>
      <c r="BL295" s="53" t="n"/>
      <c r="BM295" s="53" t="n"/>
      <c r="BN295" s="53" t="n"/>
      <c r="BO295" s="53" t="n"/>
      <c r="BP295" s="53" t="n"/>
      <c r="BQ295" s="53" t="n"/>
      <c r="BR295" s="53" t="n"/>
      <c r="BS295" s="53" t="n"/>
      <c r="BT295" s="53" t="n"/>
      <c r="BU295" s="53" t="n"/>
      <c r="BV295" s="53" t="n"/>
      <c r="BW295" s="53" t="n"/>
      <c r="BX295" s="53" t="n"/>
      <c r="BY295" s="53" t="n"/>
      <c r="BZ295" s="53" t="n"/>
      <c r="CA295" s="53" t="n"/>
      <c r="CB295" s="53" t="n"/>
      <c r="CC295" s="53" t="n"/>
      <c r="CD295" s="53" t="n"/>
      <c r="CE295" s="53" t="n"/>
      <c r="CF295" s="53" t="n"/>
      <c r="CG295" s="53" t="n"/>
      <c r="CH295" s="53" t="n"/>
      <c r="CI295" s="53" t="n"/>
      <c r="CJ295" s="53" t="n"/>
      <c r="CK295" s="53" t="n"/>
      <c r="CL295" s="53" t="n"/>
      <c r="CM295" s="53" t="n"/>
      <c r="CN295" s="53" t="n"/>
      <c r="CO295" s="53" t="n"/>
      <c r="CP295" s="53" t="n"/>
      <c r="CQ295" s="53" t="n"/>
      <c r="CR295" s="53" t="n"/>
      <c r="CS295" s="53" t="n"/>
      <c r="CT295" s="53" t="n"/>
      <c r="CU295" s="53" t="n"/>
      <c r="CV295" s="53" t="n"/>
      <c r="CW295" s="53" t="n"/>
      <c r="CX295" s="53" t="n"/>
      <c r="CY295" s="53" t="n"/>
      <c r="CZ295" s="53" t="n"/>
      <c r="DA295" s="53" t="n"/>
      <c r="DB295" s="53" t="n"/>
      <c r="DC295" s="53" t="n"/>
      <c r="DD295" s="53" t="inlineStr">
        <is>
          <t>IRIS2299</t>
        </is>
      </c>
      <c r="DE295" s="53" t="inlineStr">
        <is>
          <t>Employee</t>
        </is>
      </c>
      <c r="DF295" s="53" t="inlineStr">
        <is>
          <t>Active</t>
        </is>
      </c>
      <c r="DG295" s="53" t="inlineStr">
        <is>
          <t>Mukesh Babulal Suthar</t>
        </is>
      </c>
      <c r="DH295" s="54" t="n">
        <v>45512</v>
      </c>
      <c r="DI295" s="53" t="inlineStr">
        <is>
          <t>Senior Software Engineer</t>
        </is>
      </c>
      <c r="DJ295" s="53" t="inlineStr">
        <is>
          <t>Engineering &amp; Development</t>
        </is>
      </c>
      <c r="DK295" s="53" t="inlineStr">
        <is>
          <t>Backend Engineering ·.NET</t>
        </is>
      </c>
      <c r="DL295" s="53" t="inlineStr">
        <is>
          <t>Senior Software Engineer</t>
        </is>
      </c>
      <c r="DM295" s="53" t="inlineStr">
        <is>
          <t>L4 – Senior</t>
        </is>
      </c>
      <c r="DN295" s="53" t="inlineStr">
        <is>
          <t>B.E</t>
        </is>
      </c>
      <c r="DO295" s="53" t="inlineStr">
        <is>
          <t>Hemant Trivedi</t>
        </is>
      </c>
      <c r="DP295" s="53" t="inlineStr">
        <is>
          <t>N-3</t>
        </is>
      </c>
      <c r="DQ295" s="53" t="inlineStr">
        <is>
          <t>Individual Contributor</t>
        </is>
      </c>
      <c r="DR295" s="53" t="inlineStr">
        <is>
          <t>9 years, 0 months, 0 days</t>
        </is>
      </c>
      <c r="DS295" s="53" t="inlineStr">
        <is>
          <t>1 years, 10 months, 12 days</t>
        </is>
      </c>
      <c r="DT295" s="53" t="inlineStr">
        <is>
          <t>10 years, 10 months, 12 days</t>
        </is>
      </c>
      <c r="DU295" s="53" t="n"/>
      <c r="DV295" s="53" t="inlineStr">
        <is>
          <t>Suptech</t>
        </is>
      </c>
      <c r="DW295" s="53" t="inlineStr">
        <is>
          <t>iFile</t>
        </is>
      </c>
      <c r="DX295" s="53" t="inlineStr">
        <is>
          <t>Technology</t>
        </is>
      </c>
      <c r="DY295" s="53" t="inlineStr">
        <is>
          <t>Development</t>
        </is>
      </c>
      <c r="DZ295" s="53" t="inlineStr">
        <is>
          <t>Yes</t>
        </is>
      </c>
      <c r="EA295" s="53" t="inlineStr">
        <is>
          <t>Product/Project</t>
        </is>
      </c>
      <c r="EB295" s="53" t="inlineStr">
        <is>
          <t>.NET MVC</t>
        </is>
      </c>
      <c r="EC295" s="53" t="inlineStr">
        <is>
          <t>Technical - Developer</t>
        </is>
      </c>
      <c r="ED295" s="53" t="inlineStr">
        <is>
          <t>Hybrid</t>
        </is>
      </c>
      <c r="EE295" s="53" t="inlineStr">
        <is>
          <t>.NET Tasks, XBRL Tasks, Aiusage, Document Tasks, Requirement Analyis Tasks</t>
        </is>
      </c>
      <c r="EF295"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295"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H295" s="53" t="n">
        <v>4</v>
      </c>
      <c r="EI295" s="54" t="n">
        <v>46203</v>
      </c>
      <c r="EJ295" s="53" t="inlineStr">
        <is>
          <t>Senior Software Engineer</t>
        </is>
      </c>
      <c r="EK295" s="53" t="inlineStr">
        <is>
          <t>NO COMMENT</t>
        </is>
      </c>
      <c r="EL295" s="53" t="n">
        <v>4</v>
      </c>
      <c r="EM295" s="53" t="inlineStr">
        <is>
          <t>High</t>
        </is>
      </c>
      <c r="EN295" s="53" t="inlineStr">
        <is>
          <t>Trusted Professional</t>
        </is>
      </c>
      <c r="EO295" s="53" t="inlineStr">
        <is>
          <t>Yes</t>
        </is>
      </c>
      <c r="EP295" s="53" t="inlineStr">
        <is>
          <t>Yes</t>
        </is>
      </c>
      <c r="EQ295" s="53" t="inlineStr">
        <is>
          <t>Yes</t>
        </is>
      </c>
      <c r="ER295" s="53" t="inlineStr">
        <is>
          <t>NO</t>
        </is>
      </c>
      <c r="ES295" s="53" t="inlineStr">
        <is>
          <t>Advanced .NET MVC; secure coding &amp; code-quality practices; unit/automated testing; system design fundamentals</t>
        </is>
      </c>
      <c r="ET295" s="53" t="inlineStr">
        <is>
          <t>Transition to leadership: people management &amp; delegation, mentoring/coaching, project ownership &amp; stakeholder management, prioritisation under ambiguity, presentation &amp; influence skills</t>
        </is>
      </c>
      <c r="EU295" s="53" t="inlineStr">
        <is>
          <t>NO</t>
        </is>
      </c>
      <c r="EV295" s="53" t="n"/>
      <c r="EW295" s="52" t="n"/>
      <c r="EX295" s="53" t="n"/>
      <c r="EY295" s="53" t="n"/>
      <c r="EZ295" s="53" t="n"/>
      <c r="FA295" s="53" t="n"/>
      <c r="FB295" s="53" t="n"/>
      <c r="FC295" s="53" t="n"/>
      <c r="FD295" s="53" t="n"/>
      <c r="FE295"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295"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FG295" s="56" t="inlineStr">
        <is>
          <t>.NET Tasks, XBRL Tasks, Aiusage, Document Tasks, Requirement Analyis Tasks</t>
        </is>
      </c>
      <c r="FH295" s="56" t="inlineStr">
        <is>
          <t>4</t>
        </is>
      </c>
      <c r="FI295" s="56" t="n"/>
      <c r="FJ295" s="56" t="inlineStr">
        <is>
          <t>Received · manager annual, quarterly, self</t>
        </is>
      </c>
      <c r="FK295" s="56" t="inlineStr">
        <is>
          <t>Talent Mapping · iFile collated</t>
        </is>
      </c>
      <c r="FL295" s="56" t="n">
        <v>20</v>
      </c>
      <c r="FM295" s="32" t="inlineStr">
        <is>
          <t>Full survey answers not in the files received · How We Grow export needed · HR</t>
        </is>
      </c>
      <c r="FN295" s="56" t="inlineStr">
        <is>
          <t>—</t>
        </is>
      </c>
      <c r="FO295" s="56" t="inlineStr">
        <is>
          <t>—</t>
        </is>
      </c>
      <c r="FP295" s="56" t="inlineStr">
        <is>
          <t>—</t>
        </is>
      </c>
      <c r="FQ295" s="56" t="inlineStr">
        <is>
          <t>—</t>
        </is>
      </c>
      <c r="FR295" s="56" t="inlineStr">
        <is>
          <t>Complexity: Evidence reads like A2: Feature development, fixes and code deployment; no harder cases described → moved down 0.5
Autonomy: Evidence reads like A2: Decides fixes and development on own tasks → moved down 0.5
Accountability: Evidence reads like A2: own survey / KRA answers · summarised by the rater; not quoted → moved down 0.5
Leadership: Evidence reads like A1: No guiding or reviewing of others described → moved down 0.5
Business Impact: Moved +0.5: the survey / manager mapping marks it business-critical.</t>
        </is>
      </c>
      <c r="FS295"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295" s="56" t="inlineStr">
        <is>
          <t>Self-identified: Answered · no common topic
For the next role: Answered · no common topic</t>
        </is>
      </c>
      <c r="FU295" s="32" t="inlineStr">
        <is>
          <t>Full survey answers not in the files received · How We Grow export needed · HR</t>
        </is>
      </c>
    </row>
    <row r="296" ht="90" customHeight="1">
      <c r="A296" s="51" t="inlineStr">
        <is>
          <t>◂ Back</t>
        </is>
      </c>
      <c r="B296" s="29" t="inlineStr">
        <is>
          <t>Mapped</t>
        </is>
      </c>
      <c r="C296" s="28" t="inlineStr">
        <is>
          <t>iFile</t>
        </is>
      </c>
      <c r="D296" s="29" t="inlineStr">
        <is>
          <t>IRIS1712</t>
        </is>
      </c>
      <c r="E296" s="29" t="inlineStr">
        <is>
          <t>Izharuddin Shaikh</t>
        </is>
      </c>
      <c r="F296" s="29" t="inlineStr">
        <is>
          <t>Technology</t>
        </is>
      </c>
      <c r="G296" s="29" t="inlineStr">
        <is>
          <t>Program Manager</t>
        </is>
      </c>
      <c r="H296" s="29" t="inlineStr">
        <is>
          <t>Practice Lead – Project &amp; Program Delivery · Player-Coach</t>
        </is>
      </c>
      <c r="I296" s="29" t="inlineStr">
        <is>
          <t>L5 – Manager</t>
        </is>
      </c>
      <c r="J296" s="29" t="inlineStr">
        <is>
          <t>B+</t>
        </is>
      </c>
      <c r="K296" s="29" t="inlineStr">
        <is>
          <t>▲ Up</t>
        </is>
      </c>
      <c r="L296" s="29" t="inlineStr">
        <is>
          <t>Project &amp; Program Management</t>
        </is>
      </c>
      <c r="M296" s="29" t="inlineStr">
        <is>
          <t>Project &amp; Program Delivery</t>
        </is>
      </c>
      <c r="N296" s="29" t="n"/>
      <c r="O296" s="29" t="n">
        <v>20</v>
      </c>
      <c r="P296" s="28" t="inlineStr">
        <is>
          <t>P5–P6 / M4–M5</t>
        </is>
      </c>
      <c r="Q296" s="29" t="inlineStr">
        <is>
          <t>Expert / Senior Manager · player-coach</t>
        </is>
      </c>
      <c r="R296" s="29" t="inlineStr">
        <is>
          <t>5 Ensure, advise</t>
        </is>
      </c>
      <c r="S296" s="29" t="inlineStr">
        <is>
          <t>9–14 yrs</t>
        </is>
      </c>
      <c r="T296" s="29" t="inlineStr">
        <is>
          <t>9–13 · 9–14</t>
        </is>
      </c>
      <c r="U296" s="29" t="inlineStr">
        <is>
          <t>Tech Lead Manager / Practice Lead · player-coach</t>
        </is>
      </c>
      <c r="V296" s="29" t="inlineStr">
        <is>
          <t>Google: Tech Lead Manager · TLM · McKinsey player/coach · 3–5 reports · SaaS: player-coach team lead carrying own work</t>
        </is>
      </c>
      <c r="W296" s="29" t="inlineStr">
        <is>
          <t>PMI PMBOK and Talent Triangle; CAPM · entry → PMP → PgMP; Scrum / SAFe</t>
        </is>
      </c>
      <c r="X296" s="29" t="inlineStr">
        <is>
          <t>Core 4 · Future 4 · Functional 4 · Leadership 4</t>
        </is>
      </c>
      <c r="Y296" s="52" t="n">
        <v>147</v>
      </c>
      <c r="Z296" s="53" t="inlineStr">
        <is>
          <t>IRIS1712</t>
        </is>
      </c>
      <c r="AA296" s="53" t="inlineStr">
        <is>
          <t>Employee</t>
        </is>
      </c>
      <c r="AB296" s="53" t="inlineStr">
        <is>
          <t>Active</t>
        </is>
      </c>
      <c r="AC296" s="53" t="inlineStr">
        <is>
          <t>Izharuddin Shaikh</t>
        </is>
      </c>
      <c r="AD296" s="54" t="n">
        <v>43188</v>
      </c>
      <c r="AE296" s="53" t="inlineStr">
        <is>
          <t>Program Manager</t>
        </is>
      </c>
      <c r="AF296" s="53" t="inlineStr">
        <is>
          <t>MBA</t>
        </is>
      </c>
      <c r="AG296" s="53" t="inlineStr">
        <is>
          <t>Pradip Dey</t>
        </is>
      </c>
      <c r="AH296" s="53" t="inlineStr">
        <is>
          <t>N-3</t>
        </is>
      </c>
      <c r="AI296" s="53" t="inlineStr">
        <is>
          <t>Manager</t>
        </is>
      </c>
      <c r="AJ296" s="53" t="inlineStr">
        <is>
          <t>12 years, 1 months, 0 days</t>
        </is>
      </c>
      <c r="AK296" s="53" t="inlineStr">
        <is>
          <t>8 years, 4 months, 27 days</t>
        </is>
      </c>
      <c r="AL296" s="53" t="inlineStr">
        <is>
          <t>Suptech</t>
        </is>
      </c>
      <c r="AM296" s="53" t="inlineStr">
        <is>
          <t>iFile</t>
        </is>
      </c>
      <c r="AN296" s="53" t="inlineStr">
        <is>
          <t>Technology</t>
        </is>
      </c>
      <c r="AO296" s="53" t="inlineStr">
        <is>
          <t>Project Management</t>
        </is>
      </c>
      <c r="AP296" s="53" t="inlineStr">
        <is>
          <t>Yes</t>
        </is>
      </c>
      <c r="AQ296" s="53" t="inlineStr">
        <is>
          <t>Product/Project</t>
        </is>
      </c>
      <c r="AR296" s="53" t="inlineStr">
        <is>
          <t>Project Management</t>
        </is>
      </c>
      <c r="AS296" s="53" t="inlineStr">
        <is>
          <t>Technical · BA, PM and QA</t>
        </is>
      </c>
      <c r="AT296" s="53" t="n">
        <v>20</v>
      </c>
      <c r="AU296" s="53" t="inlineStr">
        <is>
          <t>Covered</t>
        </is>
      </c>
      <c r="AV296" s="53" t="n"/>
      <c r="AW296" s="53" t="n"/>
      <c r="AX296" s="53" t="n"/>
      <c r="AY296" s="53" t="n"/>
      <c r="AZ296" s="53" t="n"/>
      <c r="BA296" s="53" t="n"/>
      <c r="BB296" s="53" t="n"/>
      <c r="BC296" s="53" t="n"/>
      <c r="BD296" s="53" t="n"/>
      <c r="BE296" s="53" t="n"/>
      <c r="BF296" s="53" t="n"/>
      <c r="BG296" s="53" t="n"/>
      <c r="BH296" s="53" t="n"/>
      <c r="BI296" s="53" t="n"/>
      <c r="BJ296" s="53" t="n"/>
      <c r="BK296" s="53" t="n"/>
      <c r="BL296" s="53" t="n"/>
      <c r="BM296" s="53" t="n"/>
      <c r="BN296" s="53" t="n"/>
      <c r="BO296" s="53" t="n"/>
      <c r="BP296" s="53" t="n"/>
      <c r="BQ296" s="53" t="n"/>
      <c r="BR296" s="53" t="n"/>
      <c r="BS296" s="53" t="n"/>
      <c r="BT296" s="53" t="n"/>
      <c r="BU296" s="53" t="n"/>
      <c r="BV296" s="53" t="n"/>
      <c r="BW296" s="53" t="n"/>
      <c r="BX296" s="53" t="n"/>
      <c r="BY296" s="53" t="n"/>
      <c r="BZ296" s="53" t="n"/>
      <c r="CA296" s="53" t="n"/>
      <c r="CB296" s="53" t="n"/>
      <c r="CC296" s="53" t="n"/>
      <c r="CD296" s="53" t="n"/>
      <c r="CE296" s="53" t="n"/>
      <c r="CF296" s="53" t="n"/>
      <c r="CG296" s="53" t="n"/>
      <c r="CH296" s="53" t="n"/>
      <c r="CI296" s="53" t="n"/>
      <c r="CJ296" s="53" t="n"/>
      <c r="CK296" s="53" t="n"/>
      <c r="CL296" s="53" t="n"/>
      <c r="CM296" s="53" t="n"/>
      <c r="CN296" s="53" t="n"/>
      <c r="CO296" s="53" t="n"/>
      <c r="CP296" s="53" t="n"/>
      <c r="CQ296" s="53" t="n"/>
      <c r="CR296" s="53" t="n"/>
      <c r="CS296" s="53" t="n"/>
      <c r="CT296" s="53" t="n"/>
      <c r="CU296" s="53" t="n"/>
      <c r="CV296" s="53" t="n"/>
      <c r="CW296" s="53" t="n"/>
      <c r="CX296" s="53" t="n"/>
      <c r="CY296" s="53" t="n"/>
      <c r="CZ296" s="53" t="n"/>
      <c r="DA296" s="53" t="n"/>
      <c r="DB296" s="53" t="n"/>
      <c r="DC296" s="53" t="n"/>
      <c r="DD296" s="53" t="inlineStr">
        <is>
          <t>IRIS1712</t>
        </is>
      </c>
      <c r="DE296" s="53" t="inlineStr">
        <is>
          <t>Employee</t>
        </is>
      </c>
      <c r="DF296" s="53" t="inlineStr">
        <is>
          <t>Active</t>
        </is>
      </c>
      <c r="DG296" s="53" t="inlineStr">
        <is>
          <t>Izharuddin Shaikh</t>
        </is>
      </c>
      <c r="DH296" s="54" t="n">
        <v>43188</v>
      </c>
      <c r="DI296" s="53" t="inlineStr">
        <is>
          <t>Program Manager</t>
        </is>
      </c>
      <c r="DJ296" s="53" t="inlineStr">
        <is>
          <t>Project &amp; Program Management</t>
        </is>
      </c>
      <c r="DK296" s="53" t="inlineStr">
        <is>
          <t>Program Management</t>
        </is>
      </c>
      <c r="DL296" s="53" t="inlineStr">
        <is>
          <t>Program Manager</t>
        </is>
      </c>
      <c r="DM296" s="53" t="inlineStr">
        <is>
          <t>L5 – Manager</t>
        </is>
      </c>
      <c r="DN296" s="53" t="inlineStr">
        <is>
          <t>MBA</t>
        </is>
      </c>
      <c r="DO296" s="53" t="inlineStr">
        <is>
          <t>Pradip Dey</t>
        </is>
      </c>
      <c r="DP296" s="53" t="inlineStr">
        <is>
          <t>N-2</t>
        </is>
      </c>
      <c r="DQ296" s="53" t="inlineStr">
        <is>
          <t>Manager</t>
        </is>
      </c>
      <c r="DR296" s="53" t="inlineStr">
        <is>
          <t>12 years, 1 months, 0 days</t>
        </is>
      </c>
      <c r="DS296" s="53" t="inlineStr">
        <is>
          <t>8 years, 2 months, 22 days</t>
        </is>
      </c>
      <c r="DT296" s="53" t="inlineStr">
        <is>
          <t>20 years, 3 months, 22 days</t>
        </is>
      </c>
      <c r="DU296" s="53" t="n">
        <v>8.22694063926941</v>
      </c>
      <c r="DV296" s="53" t="inlineStr">
        <is>
          <t>Suptech</t>
        </is>
      </c>
      <c r="DW296" s="53" t="inlineStr">
        <is>
          <t>iFile</t>
        </is>
      </c>
      <c r="DX296" s="53" t="inlineStr">
        <is>
          <t>Technology</t>
        </is>
      </c>
      <c r="DY296" s="53" t="inlineStr">
        <is>
          <t>Project Management</t>
        </is>
      </c>
      <c r="DZ296" s="53" t="inlineStr">
        <is>
          <t>Yes</t>
        </is>
      </c>
      <c r="EA296" s="53" t="inlineStr">
        <is>
          <t>Product/Project</t>
        </is>
      </c>
      <c r="EB296" s="53" t="inlineStr">
        <is>
          <t>Project Management</t>
        </is>
      </c>
      <c r="EC296" s="53" t="inlineStr">
        <is>
          <t>Technical · BA, PM and QA</t>
        </is>
      </c>
      <c r="ED296" s="53" t="inlineStr">
        <is>
          <t>Hybrid</t>
        </is>
      </c>
      <c r="EE296" s="53" t="n"/>
      <c r="EF296" s="53" t="inlineStr">
        <is>
          <t>1. Product Management
Provide leadership for iFile Platform product components, especially DynaForm. 
Gain deeper level knowedge, finaize roadmap towards ensuring IRIS gains significant competitive advantage through DynaForm · including implementaiton of Drag &amp; Drop feature for quick design and able to realize many use cases
Contribute/Extend support for other product components developments and integration within the platform- RISE, QUEST, TMS/CMS
Ensure team members are continuosly getting opportunities to excel and able to contribute at a higher level productivity
2. Qater GTA project implementation
Complete project implementation as per time, scope and cost
Gain deeper level knowledge of how Tax Authorities operate and how to bring efficiency with digital transformation
3. Pre-sales, process adherence, team building, &amp; strategic contributions
Contribute to business expansion through active participation in pre-sales, solutioning, and proposal development support · especially Dynaform, Tax Mgmt System, Case Mgmt System 
Ensure adoption of digital way of working across the various product modules
Ensure SCRUM rituals are followed effectively
Participate in pre-sales activities
4. TOGAF and AI
Complete TOGAF training and get certification
Gain deeper level of AI training and explore possibilities of leverage AI
Leverage AI in day to day working - PM activities, prepration/reuse of requirement artefacts, test cases writing and automaiton etc.</t>
        </is>
      </c>
      <c r="EG296" s="53" t="inlineStr">
        <is>
          <t>DynaForm product release
Process improvements
Initiate TOGAF Certification and AI training
Complete GTA implementation Phase 1
Digital way of working and measurement of metrics through the tools</t>
        </is>
      </c>
      <c r="EH296" s="53" t="inlineStr">
        <is>
          <t>Outstanding</t>
        </is>
      </c>
      <c r="EI296" s="54" t="n">
        <v>45931</v>
      </c>
      <c r="EJ296" s="53" t="inlineStr">
        <is>
          <t>Program Manager</t>
        </is>
      </c>
      <c r="EK296" s="53" t="n"/>
      <c r="EL296" s="53" t="n">
        <v>4</v>
      </c>
      <c r="EM296" s="53" t="inlineStr">
        <is>
          <t>High</t>
        </is>
      </c>
      <c r="EN296" s="53" t="inlineStr">
        <is>
          <t>High Impact / Growth Talent</t>
        </is>
      </c>
      <c r="EO296" s="53" t="n"/>
      <c r="EP296" s="53" t="inlineStr">
        <is>
          <t>Y</t>
        </is>
      </c>
      <c r="EQ296" s="53" t="inlineStr">
        <is>
          <t>Y</t>
        </is>
      </c>
      <c r="ER296" s="53" t="n"/>
      <c r="ES296" s="53" t="inlineStr">
        <is>
          <t>TOGAF, Tax Domain</t>
        </is>
      </c>
      <c r="ET296" s="53" t="n"/>
      <c r="EU296" s="53" t="inlineStr">
        <is>
          <t>IRIS Instant - MBRS</t>
        </is>
      </c>
      <c r="EV296" s="53" t="n"/>
      <c r="EW296" s="52" t="n"/>
      <c r="EX296" s="53" t="n"/>
      <c r="EY296" s="53" t="n"/>
      <c r="EZ296" s="53" t="n"/>
      <c r="FA296" s="53" t="n"/>
      <c r="FB296" s="53" t="n"/>
      <c r="FC296" s="53" t="n"/>
      <c r="FD296" s="53" t="n"/>
      <c r="FE296" s="57" t="inlineStr">
        <is>
          <t>1. Product Management
Provide leadership for iFile Platform product components, especially DynaForm. 
Gain deeper level knowedge, finaize roadmap towards ensuring IRIS gains significant competitive advantage through DynaForm · including implementaiton of Drag &amp; Drop feature for quick design and able to realize many use cases
Contribute/Extend support for other product components developments and integration within the platform- RISE, QUEST, TMS/CMS
Ensure team members are continuosly getting opportunities to excel and able to contribute at a higher level productivity
2. Qater GTA project implementation
Complete project implementation as per time, scope and cost
Gain deeper level knowledge of how Tax Authorities operate and how to bring efficiency with digital transformation
3. Pre-sales, process adherence, team building, &amp; strategic contributions
Contribute to business expansion through active participation in pre-sales, solutioning, and proposal development support · especially Dynaform, Tax Mgmt System, Case Mgmt System  
Ensure adoption of digital way of working across the various product modules
Ensure SCRUM rituals are followed effectively
Participate in pre-sales activities
4. TOGAF and AI
Complete TOGAF training and get certification
Gain deeper level of AI training and explore possibilities of leverage AI
Leverage AI in day to day working - PM activities, prepration/reuse of requirement artefacts, test cases writing and automaiton etc.</t>
        </is>
      </c>
      <c r="FF296" s="56" t="inlineStr">
        <is>
          <t>DynaForm product release
Process improvements
Initiate TOGAF Certification and AI training
Complete GTA implementation Phase 1
Digital way of working and measurement of metrics through the tools</t>
        </is>
      </c>
      <c r="FG296" s="56" t="n"/>
      <c r="FH296" s="56" t="inlineStr">
        <is>
          <t>Outstanding</t>
        </is>
      </c>
      <c r="FI296" s="56" t="n"/>
      <c r="FJ296" s="56" t="inlineStr">
        <is>
          <t>Received · manager annual, quarterly</t>
        </is>
      </c>
      <c r="FK296" s="56" t="inlineStr">
        <is>
          <t>Talent Mapping · iFile collated</t>
        </is>
      </c>
      <c r="FL296" s="56" t="n">
        <v>20</v>
      </c>
      <c r="FM296" s="32" t="inlineStr">
        <is>
          <t>Full survey answers not in the files received · How We Grow export needed · HR</t>
        </is>
      </c>
      <c r="FN296" s="56" t="inlineStr">
        <is>
          <t>—</t>
        </is>
      </c>
      <c r="FO296" s="56" t="inlineStr">
        <is>
          <t>—</t>
        </is>
      </c>
      <c r="FP296" s="56" t="inlineStr">
        <is>
          <t>—</t>
        </is>
      </c>
      <c r="FQ296" s="56" t="inlineStr">
        <is>
          <t>—</t>
        </is>
      </c>
      <c r="FR296" s="56" t="inlineStr">
        <is>
          <t>Complexity: Evidence reads like B1: Defines product requirements, backlog priorities and solution from business needs; uses software architecture knowledge → moved down 0.5
Autonomy: Evidence reads like B2: Decides product expectations and backlog priorities; accepts delivery → moved down 0.5
Accountability: Evidence reads like B2: Solution meeting business requirements; manager note adds DynaForm roadmap and Qatar GTA project → moved down 0.5
Leadership: Evidence reads like B1: 5 direct reports; survey itself describes no people leadership → moved down 0.5
Business Impact: Moved +0.5: the survey / manager mapping marks it business-critical.</t>
        </is>
      </c>
      <c r="FS296" s="56" t="inlineStr">
        <is>
          <t>Common themes in sub-family holders, all levels' answers: project · business · client · manager · management · bridge
Common themes in sub-family holders, all levels' answers: management · project · delivery · client · define · priorities
Common themes in sub-family holders, all levels' answers: project · delivery · product · client · transformation · timely
Common themes in sub-family holders, all levels' answers: delivery · project · accountable · timelines · quality · management
Common themes in sub-family holders, all levels' answers: client · project · issue · product · allocation · delivery
If the work is missed · role-holders' themes: client · delivery · delays · project.</t>
        </is>
      </c>
      <c r="FT296" s="56" t="inlineStr">
        <is>
          <t>Self-identified: Strategy &amp; business acumen
For the next role: Strategy &amp; business acumen</t>
        </is>
      </c>
      <c r="FU296" s="32" t="inlineStr">
        <is>
          <t>Full survey answers not in the files received · How We Grow export needed · HR</t>
        </is>
      </c>
    </row>
    <row r="297" ht="90" customHeight="1">
      <c r="A297" s="51" t="inlineStr">
        <is>
          <t>◂ Back</t>
        </is>
      </c>
      <c r="B297" s="29" t="inlineStr">
        <is>
          <t>Mapped</t>
        </is>
      </c>
      <c r="C297" s="28" t="inlineStr">
        <is>
          <t>iFile</t>
        </is>
      </c>
      <c r="D297" s="29" t="inlineStr">
        <is>
          <t>IRIS2118</t>
        </is>
      </c>
      <c r="E297" s="29" t="inlineStr">
        <is>
          <t>Kimaya Mundlye</t>
        </is>
      </c>
      <c r="F297" s="29" t="inlineStr">
        <is>
          <t>Technology</t>
        </is>
      </c>
      <c r="G297" s="29" t="inlineStr">
        <is>
          <t>Project Lead</t>
        </is>
      </c>
      <c r="H297" s="29" t="inlineStr">
        <is>
          <t>Delivery Manager</t>
        </is>
      </c>
      <c r="I297" s="29" t="inlineStr">
        <is>
          <t>L5 – Lead · IC</t>
        </is>
      </c>
      <c r="J297" s="29" t="inlineStr">
        <is>
          <t>B2</t>
        </is>
      </c>
      <c r="K297" s="29" t="inlineStr">
        <is>
          <t>• Same level</t>
        </is>
      </c>
      <c r="L297" s="29" t="inlineStr">
        <is>
          <t>Project &amp; Program Management</t>
        </is>
      </c>
      <c r="M297" s="29" t="inlineStr">
        <is>
          <t>Project &amp; Program Delivery</t>
        </is>
      </c>
      <c r="N297" s="29" t="inlineStr">
        <is>
          <t>• Confirm the reporting line — Manager</t>
        </is>
      </c>
      <c r="O297" s="29" t="n">
        <v>19</v>
      </c>
      <c r="P297" s="28" t="inlineStr">
        <is>
          <t>P4 / M3</t>
        </is>
      </c>
      <c r="Q297" s="29" t="inlineStr">
        <is>
          <t>Senior / Manager</t>
        </is>
      </c>
      <c r="R297" s="29" t="inlineStr">
        <is>
          <t>4–5</t>
        </is>
      </c>
      <c r="S297" s="29" t="inlineStr">
        <is>
          <t>6–9 yrs</t>
        </is>
      </c>
      <c r="T297" s="29" t="inlineStr">
        <is>
          <t>7–10 · 6–11</t>
        </is>
      </c>
      <c r="U297" s="29" t="inlineStr">
        <is>
          <t>Senior Manager</t>
        </is>
      </c>
      <c r="V297" s="29" t="inlineStr">
        <is>
          <t>IRIS Vs Competitor Benchmark — PMI pathway + SaaS delivery ladder: Senior PM</t>
        </is>
      </c>
      <c r="W297" s="29" t="inlineStr">
        <is>
          <t>PMI PMBOK and Talent Triangle; CAPM · entry → PMP → PgMP; Scrum / SAFe</t>
        </is>
      </c>
      <c r="X297" s="29" t="inlineStr">
        <is>
          <t>Core 3 · Future 3 · Functional 4 · Leadership 3</t>
        </is>
      </c>
      <c r="Y297" s="52" t="n">
        <v>269</v>
      </c>
      <c r="Z297" s="53" t="inlineStr">
        <is>
          <t>IRIS2118</t>
        </is>
      </c>
      <c r="AA297" s="53" t="inlineStr">
        <is>
          <t>Employee</t>
        </is>
      </c>
      <c r="AB297" s="53" t="inlineStr">
        <is>
          <t>Active</t>
        </is>
      </c>
      <c r="AC297" s="53" t="inlineStr">
        <is>
          <t>Kimaya Mundlye</t>
        </is>
      </c>
      <c r="AD297" s="54" t="n">
        <v>45033</v>
      </c>
      <c r="AE297" s="53" t="inlineStr">
        <is>
          <t>Project Lead</t>
        </is>
      </c>
      <c r="AF297" s="53" t="inlineStr">
        <is>
          <t>BA</t>
        </is>
      </c>
      <c r="AG297" s="53" t="inlineStr">
        <is>
          <t>Izharuddin Shaikh</t>
        </is>
      </c>
      <c r="AH297" s="53" t="inlineStr">
        <is>
          <t>N-4</t>
        </is>
      </c>
      <c r="AI297" s="53" t="inlineStr">
        <is>
          <t>Manager</t>
        </is>
      </c>
      <c r="AJ297" s="53" t="inlineStr">
        <is>
          <t>14 years, 9 months, 0 days</t>
        </is>
      </c>
      <c r="AK297" s="53" t="inlineStr">
        <is>
          <t>3 years, 4 months, 8 days</t>
        </is>
      </c>
      <c r="AL297" s="53" t="inlineStr">
        <is>
          <t>Suptech</t>
        </is>
      </c>
      <c r="AM297" s="53" t="inlineStr">
        <is>
          <t>iFile</t>
        </is>
      </c>
      <c r="AN297" s="53" t="inlineStr">
        <is>
          <t>Technology</t>
        </is>
      </c>
      <c r="AO297" s="53" t="inlineStr">
        <is>
          <t>Project Management</t>
        </is>
      </c>
      <c r="AP297" s="53" t="inlineStr">
        <is>
          <t>No</t>
        </is>
      </c>
      <c r="AQ297" s="53" t="inlineStr">
        <is>
          <t>Product/Project</t>
        </is>
      </c>
      <c r="AR297" s="53" t="inlineStr">
        <is>
          <t>Project Management</t>
        </is>
      </c>
      <c r="AS297" s="53" t="inlineStr">
        <is>
          <t>Technical · BA, PM and QA</t>
        </is>
      </c>
      <c r="AT297" s="53" t="n">
        <v>20</v>
      </c>
      <c r="AU297" s="53" t="inlineStr">
        <is>
          <t>Covered</t>
        </is>
      </c>
      <c r="AV297" s="53" t="n"/>
      <c r="AW297" s="53" t="n"/>
      <c r="AX297" s="53" t="n"/>
      <c r="AY297" s="53" t="n"/>
      <c r="AZ297" s="53" t="n"/>
      <c r="BA297" s="53" t="n"/>
      <c r="BB297" s="53" t="n"/>
      <c r="BC297" s="53" t="n"/>
      <c r="BD297" s="53" t="n"/>
      <c r="BE297" s="53" t="n"/>
      <c r="BF297" s="53" t="n"/>
      <c r="BG297" s="53" t="n"/>
      <c r="BH297" s="53" t="n"/>
      <c r="BI297" s="53" t="n"/>
      <c r="BJ297" s="53" t="n"/>
      <c r="BK297" s="53" t="n"/>
      <c r="BL297" s="53" t="n"/>
      <c r="BM297" s="53" t="n"/>
      <c r="BN297" s="53" t="n"/>
      <c r="BO297" s="53" t="n"/>
      <c r="BP297" s="53" t="n"/>
      <c r="BQ297" s="53" t="n"/>
      <c r="BR297" s="53" t="n"/>
      <c r="BS297" s="53" t="n"/>
      <c r="BT297" s="53" t="n"/>
      <c r="BU297" s="53" t="n"/>
      <c r="BV297" s="53" t="n"/>
      <c r="BW297" s="53" t="n"/>
      <c r="BX297" s="53" t="n"/>
      <c r="BY297" s="53" t="n"/>
      <c r="BZ297" s="53" t="n"/>
      <c r="CA297" s="53" t="n"/>
      <c r="CB297" s="53" t="n"/>
      <c r="CC297" s="53" t="n"/>
      <c r="CD297" s="53" t="n"/>
      <c r="CE297" s="53" t="n"/>
      <c r="CF297" s="53" t="n"/>
      <c r="CG297" s="53" t="n"/>
      <c r="CH297" s="53" t="n"/>
      <c r="CI297" s="53" t="n"/>
      <c r="CJ297" s="53" t="n"/>
      <c r="CK297" s="53" t="n"/>
      <c r="CL297" s="53" t="n"/>
      <c r="CM297" s="53" t="n"/>
      <c r="CN297" s="53" t="n"/>
      <c r="CO297" s="53" t="n"/>
      <c r="CP297" s="53" t="n"/>
      <c r="CQ297" s="53" t="n"/>
      <c r="CR297" s="53" t="n"/>
      <c r="CS297" s="53" t="n"/>
      <c r="CT297" s="53" t="n"/>
      <c r="CU297" s="53" t="n"/>
      <c r="CV297" s="53" t="n"/>
      <c r="CW297" s="53" t="n"/>
      <c r="CX297" s="53" t="n"/>
      <c r="CY297" s="53" t="n"/>
      <c r="CZ297" s="53" t="n"/>
      <c r="DA297" s="53" t="n"/>
      <c r="DB297" s="53" t="n"/>
      <c r="DC297" s="53" t="n"/>
      <c r="DD297" s="53" t="inlineStr">
        <is>
          <t>IRIS2118</t>
        </is>
      </c>
      <c r="DE297" s="53" t="inlineStr">
        <is>
          <t>Employee</t>
        </is>
      </c>
      <c r="DF297" s="53" t="inlineStr">
        <is>
          <t>Active</t>
        </is>
      </c>
      <c r="DG297" s="53" t="inlineStr">
        <is>
          <t>Kimaya Mundlye</t>
        </is>
      </c>
      <c r="DH297" s="54" t="n">
        <v>45033</v>
      </c>
      <c r="DI297" s="53" t="inlineStr">
        <is>
          <t>Project Lead</t>
        </is>
      </c>
      <c r="DJ297" s="53" t="inlineStr">
        <is>
          <t>Project &amp; Program Management</t>
        </is>
      </c>
      <c r="DK297" s="53" t="inlineStr">
        <is>
          <t>Project Management</t>
        </is>
      </c>
      <c r="DL297" s="53" t="inlineStr">
        <is>
          <t>Project Lead</t>
        </is>
      </c>
      <c r="DM297" s="53" t="inlineStr">
        <is>
          <t>L5 – Lead · IC</t>
        </is>
      </c>
      <c r="DN297" s="53" t="inlineStr">
        <is>
          <t>BA</t>
        </is>
      </c>
      <c r="DO297" s="53" t="inlineStr">
        <is>
          <t>Izharuddin Shaikh</t>
        </is>
      </c>
      <c r="DP297" s="53" t="inlineStr">
        <is>
          <t>N-3</t>
        </is>
      </c>
      <c r="DQ297" s="53" t="inlineStr">
        <is>
          <t>Manager</t>
        </is>
      </c>
      <c r="DR297" s="53" t="inlineStr">
        <is>
          <t>14 years, 9 months, 0 days</t>
        </is>
      </c>
      <c r="DS297" s="53" t="inlineStr">
        <is>
          <t>3 years, 2 months, 3 days</t>
        </is>
      </c>
      <c r="DT297" s="53" t="inlineStr">
        <is>
          <t>17 years, 11 months, 3 days</t>
        </is>
      </c>
      <c r="DU297" s="53" t="n">
        <v>3.17488584474886</v>
      </c>
      <c r="DV297" s="53" t="inlineStr">
        <is>
          <t>Suptech</t>
        </is>
      </c>
      <c r="DW297" s="53" t="inlineStr">
        <is>
          <t>iFile</t>
        </is>
      </c>
      <c r="DX297" s="53" t="inlineStr">
        <is>
          <t>Technology</t>
        </is>
      </c>
      <c r="DY297" s="53" t="inlineStr">
        <is>
          <t>Project Management</t>
        </is>
      </c>
      <c r="DZ297" s="53" t="inlineStr">
        <is>
          <t>No</t>
        </is>
      </c>
      <c r="EA297" s="53" t="inlineStr">
        <is>
          <t>Product/Project</t>
        </is>
      </c>
      <c r="EB297" s="53" t="inlineStr">
        <is>
          <t>Project Management</t>
        </is>
      </c>
      <c r="EC297" s="53" t="inlineStr">
        <is>
          <t>Technical · BA, PM and QA</t>
        </is>
      </c>
      <c r="ED297" s="53" t="inlineStr">
        <is>
          <t>Hybrid</t>
        </is>
      </c>
      <c r="EE297" s="53" t="n"/>
      <c r="EF297" s="53" t="inlineStr">
        <is>
          <t>1. Deliver &gt;=90% of project milestones on schedule and within agreed scope
2. Keep project budget / effort variance within +/-10% of plan
3. Maintain risk &amp; issue log with 100% items tracked to closure
4. Achieve client/stakeholder satisfaction · CSAT of &gt;=4 / 5 on delivered projects
5. Publish accurate weekly status reports with 100% on-time cadence
6. Keep resource utilisation on managed projects within target band · 75-85%
7. Ensure 100% of project closures have documented lessons learned</t>
        </is>
      </c>
      <c r="EG297" s="53" t="inlineStr">
        <is>
          <t>Q1: Deliver &gt;=90% of project milestones on schedule and within agreed scope
RBI is a dynamic client, we meet the expectation and they come up with some new ideas.
She along with team tries to meet the requirements. Most of the time, we meet the scheduled timeline.
Q1: Keep project budget / effort variance within +/-10% of plan
As mentioned RBI is dynamic client, however, she is raising the concerns with TCS for additional work being done.
Q1: Maintain risk &amp; issue log with 100% items tracked to closure
Yes, we tracked it. With quick scrum and IMT tool.
Q1: Achieve client/stakeholder satisfaction · CSAT of &gt;=4 / 5 on delivered projects
Yes, but as mentioned, RBI always come up with some new idea or requirements.</t>
        </is>
      </c>
      <c r="EH297" s="53" t="n">
        <v>5</v>
      </c>
      <c r="EI297" s="53" t="n"/>
      <c r="EJ297" s="53" t="inlineStr">
        <is>
          <t>Project Manager</t>
        </is>
      </c>
      <c r="EK297" s="53" t="n"/>
      <c r="EL297" s="53" t="n">
        <v>5</v>
      </c>
      <c r="EM297" s="53" t="inlineStr">
        <is>
          <t>High</t>
        </is>
      </c>
      <c r="EN297" s="53" t="inlineStr">
        <is>
          <t>Future Leader</t>
        </is>
      </c>
      <c r="EO297" s="53" t="n"/>
      <c r="EP297" s="53" t="n"/>
      <c r="EQ297" s="53" t="n"/>
      <c r="ER297" s="53" t="n"/>
      <c r="ES297" s="53" t="inlineStr">
        <is>
          <t>Agile/Scrum &amp; PMP fundamentals; risk &amp; stakeholder management; estimation; reporting/governance tools | People management: goal-setting &amp; feedback, 1:1 coaching, performance conversations</t>
        </is>
      </c>
      <c r="ET297" s="53" t="inlineStr">
        <is>
          <t>Leadership development: strategic thinking, cross-functional influence, financial/business acumen, succession &amp; talent development, change management, executive communication</t>
        </is>
      </c>
      <c r="EU297" s="53" t="n"/>
      <c r="EV297" s="53" t="n"/>
      <c r="EW297" s="52" t="n"/>
      <c r="EX297" s="53" t="n"/>
      <c r="EY297" s="53" t="n"/>
      <c r="EZ297" s="53" t="n"/>
      <c r="FA297" s="53" t="n"/>
      <c r="FB297" s="53" t="n"/>
      <c r="FC297" s="53" t="inlineStr">
        <is>
          <t>Annual KRAs · objective Measurable Minimum 5 - set by Manager</t>
        </is>
      </c>
      <c r="FD297" s="53" t="n"/>
      <c r="FE297" s="57" t="inlineStr">
        <is>
          <t>1. Deliver &gt;=90% of project milestones on schedule and within agreed scope
2. Keep project budget / effort variance within +/-10% of plan
3. Maintain risk &amp; issue log with 100% items tracked to closure
4. Achieve client/stakeholder satisfaction · CSAT of &gt;=4 / 5 on delivered projects
5. Publish accurate weekly status reports with 100% on-time cadence
6. Keep resource utilisation on managed projects within target band · 75-85%
7. Ensure 100% of project closures have documented lessons learned</t>
        </is>
      </c>
      <c r="FF297" s="56" t="inlineStr">
        <is>
          <t>Q1: Deliver &gt;=90% of project milestones on schedule and within agreed scope
RBI is a dynamic client, we meet the expectation and they come up with some new ideas.
She along with team tries to meet the requirements. Most of the time, we meet the scheduled timeline.
Q1: Keep project budget / effort variance within +/-10% of plan
As mentioned RBI is dynamic client, however, she is raising the concerns with TCS for additional work being done.
Q1: Maintain risk &amp; issue log with 100% items tracked to closure
Yes, we tracked it. With quick scrum and IMT tool.
Q1: Achieve client/stakeholder satisfaction · CSAT of &gt;=4 / 5 on delivered projects
Yes, but as mentioned, RBI always come up with some new idea or requirements.</t>
        </is>
      </c>
      <c r="FG297" s="56" t="n"/>
      <c r="FH297" s="56" t="inlineStr">
        <is>
          <t>5</t>
        </is>
      </c>
      <c r="FI297" s="56" t="n"/>
      <c r="FJ297" s="56" t="inlineStr">
        <is>
          <t>Received · manager annual, quarterly</t>
        </is>
      </c>
      <c r="FK297" s="56" t="inlineStr">
        <is>
          <t>Talent Mapping · iFile collated</t>
        </is>
      </c>
      <c r="FL297" s="56" t="n">
        <v>19</v>
      </c>
      <c r="FM297" s="32" t="inlineStr">
        <is>
          <t>Full survey answers not in the files received · How We Grow export needed · HR</t>
        </is>
      </c>
      <c r="FN297" s="56" t="inlineStr">
        <is>
          <t>—</t>
        </is>
      </c>
      <c r="FO297" s="56" t="inlineStr">
        <is>
          <t>—</t>
        </is>
      </c>
      <c r="FP297" s="56" t="inlineStr">
        <is>
          <t>—</t>
        </is>
      </c>
      <c r="FQ297" s="56" t="inlineStr">
        <is>
          <t>—</t>
        </is>
      </c>
      <c r="FR297" s="56" t="inlineStr">
        <is>
          <t>Complexity: Evidence reads like B1: End-to-end project management of SDMX product for high-risk client; requirement and product analysis → matches the start
Autonomy: Evidence reads like B2: Decides resource allocation for the project → matches the start
Accountability: Evidence reads like B2: Accountable for all project activities, including requirement approval → moved down 0.5
Leadership: Evidence reads like B2: 6 direct reports; allocates resources and manages the project team → moved down 0.5
Business Impact: No survey or manager-mapping signal on criticality: kept at the start point.</t>
        </is>
      </c>
      <c r="FS297" s="56" t="inlineStr">
        <is>
          <t>Common themes in role-holders' answers: project · management · support · business · stakeholder · client
Common themes in role-holders' answers: client · management · project · delivery · documentation
Common themes in role-holders' answers: project
Common themes in role-holders' answers: project · delivery · accountable · deliverables · timelines · scope quality
Common themes in role-holders' answers: project · issue
If the work is missed · role-holders' themes: client · rework · deliverables · delays.
Measured on · manager-set KRA themes: project · management · level · support · scope · client.</t>
        </is>
      </c>
      <c r="FT297" s="56" t="inlineStr">
        <is>
          <t>Self-identified: Domain, regulatory &amp; XBRL · Product &amp; tool knowledge
For the next role: Domain, regulatory &amp; XBRL · Product &amp; tool knowledge</t>
        </is>
      </c>
      <c r="FU297" s="32" t="inlineStr">
        <is>
          <t>Full survey answers not in the files received · How We Grow export needed · HR</t>
        </is>
      </c>
    </row>
    <row r="298" ht="90" customHeight="1">
      <c r="A298" s="51" t="inlineStr">
        <is>
          <t>◂ Back</t>
        </is>
      </c>
      <c r="B298" s="29" t="inlineStr">
        <is>
          <t>Mapped</t>
        </is>
      </c>
      <c r="C298" s="28" t="inlineStr">
        <is>
          <t>iFile</t>
        </is>
      </c>
      <c r="D298" s="29" t="inlineStr">
        <is>
          <t>IRIS1817</t>
        </is>
      </c>
      <c r="E298" s="29" t="inlineStr">
        <is>
          <t>Arpit Pagaria</t>
        </is>
      </c>
      <c r="F298" s="29" t="inlineStr">
        <is>
          <t>Technology</t>
        </is>
      </c>
      <c r="G298" s="29" t="inlineStr">
        <is>
          <t>Tech Lead</t>
        </is>
      </c>
      <c r="H298" s="29" t="inlineStr">
        <is>
          <t>Senior Technical Specialist – POD Lead</t>
        </is>
      </c>
      <c r="I298" s="29" t="inlineStr">
        <is>
          <t>L5 – Lead · IC</t>
        </is>
      </c>
      <c r="J298" s="29" t="inlineStr">
        <is>
          <t>B2</t>
        </is>
      </c>
      <c r="K298" s="29" t="inlineStr">
        <is>
          <t>▼ Down · protected</t>
        </is>
      </c>
      <c r="L298" s="29" t="inlineStr">
        <is>
          <t>Engineering &amp; Development</t>
        </is>
      </c>
      <c r="M298" s="29" t="inlineStr">
        <is>
          <t>Backend Development</t>
        </is>
      </c>
      <c r="N298" s="29" t="n"/>
      <c r="O298" s="29" t="n">
        <v>20</v>
      </c>
      <c r="P298" s="28" t="inlineStr">
        <is>
          <t>P4 / M3</t>
        </is>
      </c>
      <c r="Q298" s="29" t="inlineStr">
        <is>
          <t>Senior / Manager</t>
        </is>
      </c>
      <c r="R298" s="29" t="inlineStr">
        <is>
          <t>4–5</t>
        </is>
      </c>
      <c r="S298" s="29" t="inlineStr">
        <is>
          <t>6–9 yrs</t>
        </is>
      </c>
      <c r="T298" s="29" t="inlineStr">
        <is>
          <t>7–10 · 6–11</t>
        </is>
      </c>
      <c r="U298" s="29" t="inlineStr">
        <is>
          <t>Lead / Staff Engineer</t>
        </is>
      </c>
      <c r="V298" s="29" t="inlineStr">
        <is>
          <t>Workiva: Senior SE · Broadridge India: Lead SE · Nasdaq / AxiomSL: Senior SE · Salesforce: SMTS · Atlassian: P50 Senior · 6–12 yrs · Freshworks: Lead SE</t>
        </is>
      </c>
      <c r="W298" s="29" t="inlineStr">
        <is>
          <t>SFIA 9 · software development, programming; OWASP secure coding; cloud vendor certifications</t>
        </is>
      </c>
      <c r="X298" s="29" t="inlineStr">
        <is>
          <t>Core 3 · Future 3 · Functional 4 · Leadership 3</t>
        </is>
      </c>
      <c r="Y298" s="52" t="n">
        <v>161</v>
      </c>
      <c r="Z298" s="53" t="inlineStr">
        <is>
          <t>IRIS1817</t>
        </is>
      </c>
      <c r="AA298" s="53" t="inlineStr">
        <is>
          <t>Employee</t>
        </is>
      </c>
      <c r="AB298" s="53" t="inlineStr">
        <is>
          <t>Active</t>
        </is>
      </c>
      <c r="AC298" s="53" t="inlineStr">
        <is>
          <t>Arpit Pagaria</t>
        </is>
      </c>
      <c r="AD298" s="54" t="n">
        <v>43773</v>
      </c>
      <c r="AE298" s="53" t="inlineStr">
        <is>
          <t>Tech Lead</t>
        </is>
      </c>
      <c r="AF298" s="53" t="inlineStr">
        <is>
          <t>B.Tech</t>
        </is>
      </c>
      <c r="AG298" s="53" t="inlineStr">
        <is>
          <t>Kimaya Mundlye</t>
        </is>
      </c>
      <c r="AH298" s="53" t="inlineStr">
        <is>
          <t>N-5</t>
        </is>
      </c>
      <c r="AI298" s="53" t="inlineStr">
        <is>
          <t>Manager</t>
        </is>
      </c>
      <c r="AJ298" s="53" t="inlineStr">
        <is>
          <t>8 years, 4 months, 0 days</t>
        </is>
      </c>
      <c r="AK298" s="53" t="inlineStr">
        <is>
          <t>6 years, 9 months, 21 days</t>
        </is>
      </c>
      <c r="AL298" s="53" t="inlineStr">
        <is>
          <t>Suptech</t>
        </is>
      </c>
      <c r="AM298" s="53" t="inlineStr">
        <is>
          <t>iFile</t>
        </is>
      </c>
      <c r="AN298" s="53" t="inlineStr">
        <is>
          <t>Technology</t>
        </is>
      </c>
      <c r="AO298" s="53" t="inlineStr">
        <is>
          <t>Development</t>
        </is>
      </c>
      <c r="AP298" s="53" t="inlineStr">
        <is>
          <t>Yes</t>
        </is>
      </c>
      <c r="AQ298" s="53" t="inlineStr">
        <is>
          <t>Product/Project</t>
        </is>
      </c>
      <c r="AR298" s="53" t="inlineStr">
        <is>
          <t>Java</t>
        </is>
      </c>
      <c r="AS298" s="53" t="inlineStr">
        <is>
          <t>Technical - Developer</t>
        </is>
      </c>
      <c r="AT298" s="53" t="n">
        <v>20</v>
      </c>
      <c r="AU298" s="53" t="inlineStr">
        <is>
          <t>Covered</t>
        </is>
      </c>
      <c r="AV298" s="53" t="n"/>
      <c r="AW298" s="53" t="n"/>
      <c r="AX298" s="53" t="n"/>
      <c r="AY298" s="53" t="n"/>
      <c r="AZ298" s="53" t="n"/>
      <c r="BA298" s="53" t="n"/>
      <c r="BB298" s="53" t="n"/>
      <c r="BC298" s="53" t="n"/>
      <c r="BD298" s="53" t="n"/>
      <c r="BE298" s="53" t="n"/>
      <c r="BF298" s="53" t="n"/>
      <c r="BG298" s="53" t="n"/>
      <c r="BH298" s="53" t="n"/>
      <c r="BI298" s="53" t="n"/>
      <c r="BJ298" s="53" t="n"/>
      <c r="BK298" s="53" t="n"/>
      <c r="BL298" s="53" t="n"/>
      <c r="BM298" s="53" t="n"/>
      <c r="BN298" s="53" t="n"/>
      <c r="BO298" s="53" t="n"/>
      <c r="BP298" s="53" t="n"/>
      <c r="BQ298" s="53" t="n"/>
      <c r="BR298" s="53" t="n"/>
      <c r="BS298" s="53" t="n"/>
      <c r="BT298" s="53" t="n"/>
      <c r="BU298" s="53" t="n"/>
      <c r="BV298" s="53" t="n"/>
      <c r="BW298" s="53" t="n"/>
      <c r="BX298" s="53" t="n"/>
      <c r="BY298" s="53" t="n"/>
      <c r="BZ298" s="53" t="n"/>
      <c r="CA298" s="53" t="n"/>
      <c r="CB298" s="53" t="n"/>
      <c r="CC298" s="53" t="n"/>
      <c r="CD298" s="53" t="n"/>
      <c r="CE298" s="53" t="n"/>
      <c r="CF298" s="53" t="n"/>
      <c r="CG298" s="53" t="n"/>
      <c r="CH298" s="53" t="n"/>
      <c r="CI298" s="53" t="n"/>
      <c r="CJ298" s="53" t="n"/>
      <c r="CK298" s="53" t="n"/>
      <c r="CL298" s="53" t="n"/>
      <c r="CM298" s="53" t="n"/>
      <c r="CN298" s="53" t="n"/>
      <c r="CO298" s="53" t="n"/>
      <c r="CP298" s="53" t="n"/>
      <c r="CQ298" s="53" t="n"/>
      <c r="CR298" s="53" t="n"/>
      <c r="CS298" s="53" t="n"/>
      <c r="CT298" s="53" t="n"/>
      <c r="CU298" s="53" t="n"/>
      <c r="CV298" s="53" t="n"/>
      <c r="CW298" s="53" t="n"/>
      <c r="CX298" s="53" t="n"/>
      <c r="CY298" s="53" t="n"/>
      <c r="CZ298" s="53" t="n"/>
      <c r="DA298" s="53" t="n"/>
      <c r="DB298" s="53" t="n"/>
      <c r="DC298" s="53" t="n"/>
      <c r="DD298" s="53" t="inlineStr">
        <is>
          <t>IRIS1817</t>
        </is>
      </c>
      <c r="DE298" s="53" t="inlineStr">
        <is>
          <t>Employee</t>
        </is>
      </c>
      <c r="DF298" s="53" t="inlineStr">
        <is>
          <t>Active</t>
        </is>
      </c>
      <c r="DG298" s="53" t="inlineStr">
        <is>
          <t>Arpit Pagaria</t>
        </is>
      </c>
      <c r="DH298" s="54" t="n">
        <v>43773</v>
      </c>
      <c r="DI298" s="53" t="inlineStr">
        <is>
          <t>Tech Lead</t>
        </is>
      </c>
      <c r="DJ298" s="53" t="inlineStr">
        <is>
          <t>Engineering &amp; Development</t>
        </is>
      </c>
      <c r="DK298" s="53" t="inlineStr">
        <is>
          <t>Backend Engineering · Java</t>
        </is>
      </c>
      <c r="DL298" s="53" t="inlineStr">
        <is>
          <t>Tech Lead</t>
        </is>
      </c>
      <c r="DM298" s="53" t="inlineStr">
        <is>
          <t>L5 – Lead · IC</t>
        </is>
      </c>
      <c r="DN298" s="53" t="inlineStr">
        <is>
          <t>B.Tech</t>
        </is>
      </c>
      <c r="DO298" s="53" t="inlineStr">
        <is>
          <t>Kimaya Mundlye</t>
        </is>
      </c>
      <c r="DP298" s="53" t="inlineStr">
        <is>
          <t>N-4</t>
        </is>
      </c>
      <c r="DQ298" s="53" t="inlineStr">
        <is>
          <t>Manager</t>
        </is>
      </c>
      <c r="DR298" s="53" t="inlineStr">
        <is>
          <t>8 years, 4 months, 0 days</t>
        </is>
      </c>
      <c r="DS298" s="53" t="inlineStr">
        <is>
          <t>6 years, 7 months, 16 days</t>
        </is>
      </c>
      <c r="DT298" s="53" t="inlineStr">
        <is>
          <t>14 years, 11 months, 16 days</t>
        </is>
      </c>
      <c r="DU298" s="53" t="n">
        <v>6.62716894977169</v>
      </c>
      <c r="DV298" s="53" t="inlineStr">
        <is>
          <t>Suptech</t>
        </is>
      </c>
      <c r="DW298" s="53" t="inlineStr">
        <is>
          <t>iFile</t>
        </is>
      </c>
      <c r="DX298" s="53" t="inlineStr">
        <is>
          <t>Technology</t>
        </is>
      </c>
      <c r="DY298" s="53" t="inlineStr">
        <is>
          <t>Development</t>
        </is>
      </c>
      <c r="DZ298" s="53" t="inlineStr">
        <is>
          <t>Yes</t>
        </is>
      </c>
      <c r="EA298" s="53" t="inlineStr">
        <is>
          <t>Product/Project</t>
        </is>
      </c>
      <c r="EB298" s="53" t="inlineStr">
        <is>
          <t>Java</t>
        </is>
      </c>
      <c r="EC298" s="53" t="inlineStr">
        <is>
          <t>Technical - Developer</t>
        </is>
      </c>
      <c r="ED298" s="53" t="inlineStr">
        <is>
          <t>Remote- Outside Mumbai</t>
        </is>
      </c>
      <c r="EE298" s="53" t="n"/>
      <c r="EF298" s="53" t="inlineStr">
        <is>
          <t>1. Deliver team release roadmap on schedule: &gt;=90% of committed releases on time
2. Keep team sprint velocity stable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EG298" s="53" t="inlineStr">
        <is>
          <t>Q1: Deliver team release roadmap on schedule: &gt;=90% of committed releases on time - Yes Mostly
Q1: Keep team sprint velocity stable and defect leakage &lt;=5% - Not always because of lack of developer basic testing. 
Q1: Drive production stability: critical incidents resolved within SLA &gt;=95% -When Arpit takes of yes, critical incidenets resovled within SLA
Q1: Reduce module-level tech debt by &gt;=15% via refactoring / reusable components- Yes implemented generic solution in many scenarios such as custom validations, return/element validation etc</t>
        </is>
      </c>
      <c r="EH298" s="53" t="n">
        <v>5</v>
      </c>
      <c r="EI298" s="53" t="n"/>
      <c r="EJ298" s="53" t="inlineStr">
        <is>
          <t>Tech Lead</t>
        </is>
      </c>
      <c r="EK298" s="53" t="inlineStr">
        <is>
          <t>Potential to work as solution architect</t>
        </is>
      </c>
      <c r="EL298" s="53" t="n">
        <v>5</v>
      </c>
      <c r="EM298" s="53" t="inlineStr">
        <is>
          <t>High</t>
        </is>
      </c>
      <c r="EN298" s="53" t="inlineStr">
        <is>
          <t>Future Leader</t>
        </is>
      </c>
      <c r="EO298" s="53" t="n"/>
      <c r="EP298" s="53" t="n"/>
      <c r="EQ298" s="53" t="n"/>
      <c r="ER298" s="53" t="inlineStr">
        <is>
          <t>Sidhharth</t>
        </is>
      </c>
      <c r="ES298" s="53" t="inlineStr">
        <is>
          <t>Advanced Java; secure coding &amp; code-quality practices; unit/automated testing; system design fundamentals | People management: goal-setting &amp; feedback, 1:1 coaching, performance conversations</t>
        </is>
      </c>
      <c r="ET298" s="53" t="inlineStr">
        <is>
          <t>Leadership development: strategic thinking, cross-functional influence, financial/business acumen, succession &amp; talent development, change management, executive communication</t>
        </is>
      </c>
      <c r="EU298" s="53" t="n"/>
      <c r="EV298" s="53" t="n"/>
      <c r="EW298" s="52" t="n"/>
      <c r="EX298" s="53" t="n"/>
      <c r="EY298" s="53" t="n"/>
      <c r="EZ298" s="53" t="n"/>
      <c r="FA298" s="53" t="n"/>
      <c r="FB298" s="53" t="n"/>
      <c r="FC298" s="53" t="n"/>
      <c r="FD298" s="53" t="n"/>
      <c r="FE298" s="57" t="inlineStr">
        <is>
          <t>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FF298" s="56" t="inlineStr">
        <is>
          <t>Q1: Deliver team release roadmap on schedule: &gt;=90% of committed releases on time - Yes Mostly
Q1: Keep team sprint velocity stable · +/-10% and defect leakage &lt;=5% - Not always because of lack of developer basic testing. 
Q1: Drive production stability: critical incidents resolved within SLA &gt;=95% -When Arpit takes of yes, critical incidenets resovled within SLA
Q1: Reduce module-level tech debt by &gt;=15% via refactoring / reusable components- Yes implemented generic solution in many scenarios such as custom validations, return/element validation etc</t>
        </is>
      </c>
      <c r="FG298" s="56" t="n"/>
      <c r="FH298" s="56" t="inlineStr">
        <is>
          <t>5</t>
        </is>
      </c>
      <c r="FI298" s="56" t="n"/>
      <c r="FJ298" s="56" t="inlineStr">
        <is>
          <t>Received · manager annual, quarterly</t>
        </is>
      </c>
      <c r="FK298" s="56" t="inlineStr">
        <is>
          <t>Talent Mapping · iFile collated</t>
        </is>
      </c>
      <c r="FL298" s="56" t="n">
        <v>20</v>
      </c>
      <c r="FM298" s="32" t="inlineStr">
        <is>
          <t>Full survey answers not in the files received · How We Grow export needed · HR</t>
        </is>
      </c>
      <c r="FN298" s="56" t="inlineStr">
        <is>
          <t>—</t>
        </is>
      </c>
      <c r="FO298" s="56" t="inlineStr">
        <is>
          <t>—</t>
        </is>
      </c>
      <c r="FP298" s="56" t="inlineStr">
        <is>
          <t>—</t>
        </is>
      </c>
      <c r="FQ298" s="56" t="inlineStr">
        <is>
          <t>—</t>
        </is>
      </c>
      <c r="FR298" s="56" t="inlineStr">
        <is>
          <t>Complexity: Evidence reads like B1: Solution design, system architecture and code review listed generically; no specific system or problem named → moved down 0.5
Autonomy: Evidence reads like B1: Prioritises tasks, reviews code and resolves issues for the team → moved down 0.5
Accountability: Evidence reads like B1: Accountable for on-time software delivery and outcomes of a three-person team → moved down 0.5
Leadership: Evidence reads like B1: Hands-on lead of three direct reports: team guidance and code review → matches the start
Business Impact: No survey or manager-mapping signal on criticality: kept at the start point.</t>
        </is>
      </c>
      <c r="FS298" s="56" t="inlineStr">
        <is>
          <t>Common themes in role-holders' answers: solutions · technical · reliable · scalable · software · business
Common themes in role-holders' answers: delivery · technical · code · solution design · ownership · leadership
Common themes in role-holders' answers: documentation · features · software · produce · deliver
Common themes in role-holders' answers: design · am · accountable · solution · technical · delivery
Common themes in role-holders' answers: technical · approach · design · implementation · ai · code
If the work is missed · role-holders' themes: rework · client · impact · production · issues.
Measured on · manager-set KRA themes: modules · coverage · complete · components · committed · sprint.</t>
        </is>
      </c>
      <c r="FT298" s="56" t="inlineStr">
        <is>
          <t>Self-identified: AI / automation · Leadership &amp; people management · Technical depth &amp; architecture · Product &amp; tool knowledge · Strategy &amp; business acumen · Broader exposure &amp; ownership
For the next role: AI / automation · Leadership &amp; people management · Technical depth &amp; architecture · Product &amp; tool knowledge · Strategy &amp; business acumen · Broader exposure &amp; ownership</t>
        </is>
      </c>
      <c r="FU298" s="32" t="inlineStr">
        <is>
          <t>Full survey answers not in the files received · How We Grow export needed · HR</t>
        </is>
      </c>
    </row>
    <row r="299" ht="90" customHeight="1">
      <c r="A299" s="51" t="inlineStr">
        <is>
          <t>◂ Back</t>
        </is>
      </c>
      <c r="B299" s="29" t="inlineStr">
        <is>
          <t>Mapped</t>
        </is>
      </c>
      <c r="C299" s="28" t="inlineStr">
        <is>
          <t>iFile</t>
        </is>
      </c>
      <c r="D299" s="29" t="inlineStr">
        <is>
          <t>IRIS2501</t>
        </is>
      </c>
      <c r="E299" s="29" t="inlineStr">
        <is>
          <t>Abhishek Kadam</t>
        </is>
      </c>
      <c r="F299" s="29" t="inlineStr">
        <is>
          <t>Technology</t>
        </is>
      </c>
      <c r="G299" s="29" t="inlineStr">
        <is>
          <t>Software Engineer</t>
        </is>
      </c>
      <c r="H299" s="29" t="inlineStr">
        <is>
          <t>Senior Software Engineer</t>
        </is>
      </c>
      <c r="I299" s="29" t="inlineStr">
        <is>
          <t>L3 – Professional / Associate</t>
        </is>
      </c>
      <c r="J299" s="29" t="inlineStr">
        <is>
          <t>A3</t>
        </is>
      </c>
      <c r="K299" s="29" t="inlineStr">
        <is>
          <t>▲ Up</t>
        </is>
      </c>
      <c r="L299" s="29" t="inlineStr">
        <is>
          <t>Engineering &amp; Development</t>
        </is>
      </c>
      <c r="M299" s="29" t="inlineStr">
        <is>
          <t>Backend Development</t>
        </is>
      </c>
      <c r="N299" s="29" t="n"/>
      <c r="O299" s="29" t="n">
        <v>20</v>
      </c>
      <c r="P299" s="28" t="inlineStr">
        <is>
          <t>P2</t>
        </is>
      </c>
      <c r="Q299" s="29" t="inlineStr">
        <is>
          <t>Developing</t>
        </is>
      </c>
      <c r="R299" s="29" t="inlineStr">
        <is>
          <t>3 Apply</t>
        </is>
      </c>
      <c r="S299" s="29" t="inlineStr">
        <is>
          <t>2–4 yrs</t>
        </is>
      </c>
      <c r="T299" s="29" t="inlineStr">
        <is>
          <t>3–5 · 2–5</t>
        </is>
      </c>
      <c r="U299" s="29" t="inlineStr">
        <is>
          <t>Software Engineer</t>
        </is>
      </c>
      <c r="V299" s="29" t="inlineStr">
        <is>
          <t>Workiva: SE · Broadridge India: SE · Nasdaq / AxiomSL: SE · Salesforce: MTS · Atlassian: P40 · 3–7 yrs · Freshworks: Senior SE</t>
        </is>
      </c>
      <c r="W299" s="29" t="inlineStr">
        <is>
          <t>SFIA 9 · software development, programming; OWASP secure coding; cloud vendor certifications</t>
        </is>
      </c>
      <c r="X299" s="29" t="inlineStr">
        <is>
          <t>Core 2 · Future 2 · Functional 3 · Leadership not scored</t>
        </is>
      </c>
      <c r="Y299" s="52" t="n">
        <v>472</v>
      </c>
      <c r="Z299" s="53" t="inlineStr">
        <is>
          <t>IRIS2501</t>
        </is>
      </c>
      <c r="AA299" s="53" t="inlineStr">
        <is>
          <t>Employee</t>
        </is>
      </c>
      <c r="AB299" s="53" t="inlineStr">
        <is>
          <t>Active</t>
        </is>
      </c>
      <c r="AC299" s="53" t="inlineStr">
        <is>
          <t>Abhishek Kadam</t>
        </is>
      </c>
      <c r="AD299" s="54" t="n">
        <v>46104</v>
      </c>
      <c r="AE299" s="53" t="inlineStr">
        <is>
          <t>Software Engineer</t>
        </is>
      </c>
      <c r="AF299" s="53" t="inlineStr">
        <is>
          <t>B.Tech</t>
        </is>
      </c>
      <c r="AG299" s="53" t="inlineStr">
        <is>
          <t>Arpit Pagaria</t>
        </is>
      </c>
      <c r="AH299" s="53" t="inlineStr">
        <is>
          <t>N-6</t>
        </is>
      </c>
      <c r="AI299" s="53" t="inlineStr">
        <is>
          <t>Individual Contributor</t>
        </is>
      </c>
      <c r="AJ299" s="53" t="inlineStr">
        <is>
          <t>2 years, 0 months, 0 days</t>
        </is>
      </c>
      <c r="AK299" s="53" t="inlineStr">
        <is>
          <t>0 years, 5 months, 2 days</t>
        </is>
      </c>
      <c r="AL299" s="53" t="inlineStr">
        <is>
          <t>Suptech</t>
        </is>
      </c>
      <c r="AM299" s="53" t="inlineStr">
        <is>
          <t>iFile</t>
        </is>
      </c>
      <c r="AN299" s="53" t="inlineStr">
        <is>
          <t>Technology</t>
        </is>
      </c>
      <c r="AO299" s="53" t="inlineStr">
        <is>
          <t>Development</t>
        </is>
      </c>
      <c r="AP299" s="53" t="inlineStr">
        <is>
          <t>Yes</t>
        </is>
      </c>
      <c r="AQ299" s="53" t="inlineStr">
        <is>
          <t>Product/Project</t>
        </is>
      </c>
      <c r="AR299" s="53" t="inlineStr">
        <is>
          <t>Java</t>
        </is>
      </c>
      <c r="AS299" s="53" t="inlineStr">
        <is>
          <t>Technical - Developer</t>
        </is>
      </c>
      <c r="AT299" s="53" t="n">
        <v>20</v>
      </c>
      <c r="AU299" s="53" t="inlineStr">
        <is>
          <t>Covered</t>
        </is>
      </c>
      <c r="AV299" s="53" t="n"/>
      <c r="AW299" s="53" t="n"/>
      <c r="AX299" s="53" t="n"/>
      <c r="AY299" s="53" t="n"/>
      <c r="AZ299" s="53" t="n"/>
      <c r="BA299" s="53" t="n"/>
      <c r="BB299" s="53" t="n"/>
      <c r="BC299" s="53" t="n"/>
      <c r="BD299" s="53" t="n"/>
      <c r="BE299" s="53" t="n"/>
      <c r="BF299" s="53" t="n"/>
      <c r="BG299" s="53" t="n"/>
      <c r="BH299" s="53" t="n"/>
      <c r="BI299" s="53" t="n"/>
      <c r="BJ299" s="53" t="n"/>
      <c r="BK299" s="53" t="n"/>
      <c r="BL299" s="53" t="n"/>
      <c r="BM299" s="53" t="n"/>
      <c r="BN299" s="53" t="n"/>
      <c r="BO299" s="53" t="n"/>
      <c r="BP299" s="53" t="n"/>
      <c r="BQ299" s="53" t="n"/>
      <c r="BR299" s="53" t="n"/>
      <c r="BS299" s="53" t="n"/>
      <c r="BT299" s="53" t="n"/>
      <c r="BU299" s="53" t="n"/>
      <c r="BV299" s="53" t="n"/>
      <c r="BW299" s="53" t="n"/>
      <c r="BX299" s="53" t="n"/>
      <c r="BY299" s="53" t="n"/>
      <c r="BZ299" s="53" t="n"/>
      <c r="CA299" s="53" t="n"/>
      <c r="CB299" s="53" t="n"/>
      <c r="CC299" s="53" t="n"/>
      <c r="CD299" s="53" t="n"/>
      <c r="CE299" s="53" t="n"/>
      <c r="CF299" s="53" t="n"/>
      <c r="CG299" s="53" t="n"/>
      <c r="CH299" s="53" t="n"/>
      <c r="CI299" s="53" t="n"/>
      <c r="CJ299" s="53" t="n"/>
      <c r="CK299" s="53" t="n"/>
      <c r="CL299" s="53" t="n"/>
      <c r="CM299" s="53" t="n"/>
      <c r="CN299" s="53" t="n"/>
      <c r="CO299" s="53" t="n"/>
      <c r="CP299" s="53" t="n"/>
      <c r="CQ299" s="53" t="n"/>
      <c r="CR299" s="53" t="n"/>
      <c r="CS299" s="53" t="n"/>
      <c r="CT299" s="53" t="n"/>
      <c r="CU299" s="53" t="n"/>
      <c r="CV299" s="53" t="n"/>
      <c r="CW299" s="53" t="n"/>
      <c r="CX299" s="53" t="n"/>
      <c r="CY299" s="53" t="n"/>
      <c r="CZ299" s="53" t="n"/>
      <c r="DA299" s="53" t="n"/>
      <c r="DB299" s="53" t="n"/>
      <c r="DC299" s="53" t="n"/>
      <c r="DD299" s="53" t="inlineStr">
        <is>
          <t>IRIS2501</t>
        </is>
      </c>
      <c r="DE299" s="53" t="inlineStr">
        <is>
          <t>Employee</t>
        </is>
      </c>
      <c r="DF299" s="53" t="inlineStr">
        <is>
          <t>Active</t>
        </is>
      </c>
      <c r="DG299" s="53" t="inlineStr">
        <is>
          <t>Abhishek Kadam</t>
        </is>
      </c>
      <c r="DH299" s="54" t="n">
        <v>46104</v>
      </c>
      <c r="DI299" s="53" t="inlineStr">
        <is>
          <t>Software Engineer</t>
        </is>
      </c>
      <c r="DJ299" s="53" t="inlineStr">
        <is>
          <t>Engineering &amp; Development</t>
        </is>
      </c>
      <c r="DK299" s="53" t="inlineStr">
        <is>
          <t>Backend Engineering · Java</t>
        </is>
      </c>
      <c r="DL299" s="53" t="inlineStr">
        <is>
          <t>Software Engineer</t>
        </is>
      </c>
      <c r="DM299" s="53" t="inlineStr">
        <is>
          <t>L3 – Professional / Associate</t>
        </is>
      </c>
      <c r="DN299" s="53" t="inlineStr">
        <is>
          <t>B.Tech</t>
        </is>
      </c>
      <c r="DO299" s="53" t="inlineStr">
        <is>
          <t>Arpit Pagaria</t>
        </is>
      </c>
      <c r="DP299" s="53" t="inlineStr">
        <is>
          <t>N-5</t>
        </is>
      </c>
      <c r="DQ299" s="53" t="inlineStr">
        <is>
          <t>Individual Contributor</t>
        </is>
      </c>
      <c r="DR299" s="53" t="inlineStr">
        <is>
          <t>2 years, 0 months, 0 days</t>
        </is>
      </c>
      <c r="DS299" s="53" t="inlineStr">
        <is>
          <t>0 years, 2 months, 28 days</t>
        </is>
      </c>
      <c r="DT299" s="53" t="inlineStr">
        <is>
          <t>2 years, 2 months, 28 days</t>
        </is>
      </c>
      <c r="DU299" s="53" t="n"/>
      <c r="DV299" s="53" t="inlineStr">
        <is>
          <t>Suptech</t>
        </is>
      </c>
      <c r="DW299" s="53" t="inlineStr">
        <is>
          <t>iFile</t>
        </is>
      </c>
      <c r="DX299" s="53" t="inlineStr">
        <is>
          <t>Technology</t>
        </is>
      </c>
      <c r="DY299" s="53" t="inlineStr">
        <is>
          <t>Development</t>
        </is>
      </c>
      <c r="DZ299" s="53" t="inlineStr">
        <is>
          <t>Yes</t>
        </is>
      </c>
      <c r="EA299" s="53" t="inlineStr">
        <is>
          <t>Product/Project</t>
        </is>
      </c>
      <c r="EB299" s="53" t="inlineStr">
        <is>
          <t>Java</t>
        </is>
      </c>
      <c r="EC299" s="53" t="inlineStr">
        <is>
          <t>Technical - Developer</t>
        </is>
      </c>
      <c r="ED299" s="53" t="inlineStr">
        <is>
          <t>Work From Office - Turbhe</t>
        </is>
      </c>
      <c r="EE299" s="53" t="n"/>
      <c r="EF299"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299"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New Joinee. Yet to get hold of application. Learning. Taking responsibilites, ownership. Taking time to solve defects but expected to improve till next querter end.</t>
        </is>
      </c>
      <c r="EH299" s="53" t="n">
        <v>2</v>
      </c>
      <c r="EI299" s="53" t="n"/>
      <c r="EJ299" s="53" t="inlineStr">
        <is>
          <t>Software Engineer</t>
        </is>
      </c>
      <c r="EK299" s="53" t="n"/>
      <c r="EL299" s="53" t="n">
        <v>2</v>
      </c>
      <c r="EM299" s="53" t="inlineStr">
        <is>
          <t>Medium</t>
        </is>
      </c>
      <c r="EN299" s="53" t="inlineStr">
        <is>
          <t>Emerging Talent</t>
        </is>
      </c>
      <c r="EO299" s="53" t="n"/>
      <c r="EP299" s="53" t="n"/>
      <c r="EQ299" s="53" t="n"/>
      <c r="ER299" s="53" t="n"/>
      <c r="ES299" s="53" t="inlineStr">
        <is>
          <t>Advanced Java; secure coding &amp; code-quality practices; unit/automated testing; system design fundamentals</t>
        </is>
      </c>
      <c r="ET299" s="53" t="inlineStr">
        <is>
          <t>Transition to leadership: people management &amp; delegation, mentoring/coaching, project ownership &amp; stakeholder management, prioritisation under ambiguity, presentation &amp; influence skills</t>
        </is>
      </c>
      <c r="EU299" s="53" t="n"/>
      <c r="EV299" s="53" t="n"/>
      <c r="EW299" s="52" t="n"/>
      <c r="EX299" s="53" t="n"/>
      <c r="EY299" s="53" t="n"/>
      <c r="EZ299" s="53" t="n"/>
      <c r="FA299" s="53" t="n"/>
      <c r="FB299" s="53" t="n"/>
      <c r="FC299" s="53" t="n"/>
      <c r="FD299" s="53" t="n"/>
      <c r="FE299"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299"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New Joinee. Yet to get hold of application. Learning. Taking responsibilites, ownership. Taking time to solve defects but expected to improve till next querter end.</t>
        </is>
      </c>
      <c r="FG299" s="56" t="n"/>
      <c r="FH299" s="56" t="inlineStr">
        <is>
          <t>2</t>
        </is>
      </c>
      <c r="FI299" s="56" t="n"/>
      <c r="FJ299" s="56" t="inlineStr">
        <is>
          <t>Received · manager annual, quarterly</t>
        </is>
      </c>
      <c r="FK299" s="56" t="inlineStr">
        <is>
          <t>Talent Mapping · iFile collated</t>
        </is>
      </c>
      <c r="FL299" s="56" t="n">
        <v>20</v>
      </c>
      <c r="FM299" s="32" t="inlineStr">
        <is>
          <t>Full survey answers not in the files received · How We Grow export needed · HR</t>
        </is>
      </c>
      <c r="FN299" s="56" t="inlineStr">
        <is>
          <t>—</t>
        </is>
      </c>
      <c r="FO299" s="56" t="inlineStr">
        <is>
          <t>—</t>
        </is>
      </c>
      <c r="FP299" s="56" t="inlineStr">
        <is>
          <t>—</t>
        </is>
      </c>
      <c r="FQ299" s="56" t="inlineStr">
        <is>
          <t>—</t>
        </is>
      </c>
      <c r="FR299" s="56" t="inlineStr">
        <is>
          <t>Complexity: Evidence reads like A2: Develops and customises Java / Spring Boot backend features; fixes production issues in own modules → matches the start
Autonomy: Evidence reads like A2: Decides routine technical issues only → matches the start
Accountability: Evidence reads like A2: own survey / KRA answers · summarised by the rater; not quoted → matches the start
Leadership: Evidence reads like A1: No guidance of others described → matches the start
Business Impact: No survey or manager-mapping signal on criticality: kept at the start point.</t>
        </is>
      </c>
      <c r="FS299"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299" s="56" t="inlineStr">
        <is>
          <t>Self-identified: Product &amp; tool knowledge
For the next role: Product &amp; tool knowledge</t>
        </is>
      </c>
      <c r="FU299" s="32" t="inlineStr">
        <is>
          <t>Full survey answers not in the files received · How We Grow export needed · HR</t>
        </is>
      </c>
    </row>
    <row r="300" ht="90" customHeight="1">
      <c r="A300" s="51" t="inlineStr">
        <is>
          <t>◂ Back</t>
        </is>
      </c>
      <c r="B300" s="29" t="inlineStr">
        <is>
          <t>Mapped</t>
        </is>
      </c>
      <c r="C300" s="28" t="inlineStr">
        <is>
          <t>iFile</t>
        </is>
      </c>
      <c r="D300" s="29" t="inlineStr">
        <is>
          <t>IRIS2074</t>
        </is>
      </c>
      <c r="E300" s="29" t="inlineStr">
        <is>
          <t>Govind Chidrawar</t>
        </is>
      </c>
      <c r="F300" s="29" t="inlineStr">
        <is>
          <t>Technology</t>
        </is>
      </c>
      <c r="G300" s="29" t="inlineStr">
        <is>
          <t>Senior Software Engineer</t>
        </is>
      </c>
      <c r="H300" s="29" t="inlineStr">
        <is>
          <t>Senior Software Engineer</t>
        </is>
      </c>
      <c r="I300" s="29" t="inlineStr">
        <is>
          <t>L4 – Senior</t>
        </is>
      </c>
      <c r="J300" s="29" t="inlineStr">
        <is>
          <t>A3</t>
        </is>
      </c>
      <c r="K300" s="29" t="inlineStr">
        <is>
          <t>• Same level</t>
        </is>
      </c>
      <c r="L300" s="29" t="inlineStr">
        <is>
          <t>Engineering &amp; Development</t>
        </is>
      </c>
      <c r="M300" s="29" t="inlineStr">
        <is>
          <t>Backend Development</t>
        </is>
      </c>
      <c r="N300" s="29" t="n"/>
      <c r="O300" s="29" t="n">
        <v>20</v>
      </c>
      <c r="P300" s="28" t="inlineStr">
        <is>
          <t>P2</t>
        </is>
      </c>
      <c r="Q300" s="29" t="inlineStr">
        <is>
          <t>Developing</t>
        </is>
      </c>
      <c r="R300" s="29" t="inlineStr">
        <is>
          <t>3 Apply</t>
        </is>
      </c>
      <c r="S300" s="29" t="inlineStr">
        <is>
          <t>2–4 yrs</t>
        </is>
      </c>
      <c r="T300" s="29" t="inlineStr">
        <is>
          <t>3–5 · 2–5</t>
        </is>
      </c>
      <c r="U300" s="29" t="inlineStr">
        <is>
          <t>Software Engineer</t>
        </is>
      </c>
      <c r="V300" s="29" t="inlineStr">
        <is>
          <t>Workiva: SE · Broadridge India: SE · Nasdaq / AxiomSL: SE · Salesforce: MTS · Atlassian: P40 · 3–7 yrs · Freshworks: Senior SE</t>
        </is>
      </c>
      <c r="W300" s="29" t="inlineStr">
        <is>
          <t>SFIA 9 · software development, programming; OWASP secure coding; cloud vendor certifications</t>
        </is>
      </c>
      <c r="X300" s="29" t="inlineStr">
        <is>
          <t>Core 2 · Future 2 · Functional 3 · Leadership not scored</t>
        </is>
      </c>
      <c r="Y300" s="52" t="n">
        <v>249</v>
      </c>
      <c r="Z300" s="53" t="inlineStr">
        <is>
          <t>IRIS2074</t>
        </is>
      </c>
      <c r="AA300" s="53" t="inlineStr">
        <is>
          <t>Employee</t>
        </is>
      </c>
      <c r="AB300" s="53" t="inlineStr">
        <is>
          <t>Active</t>
        </is>
      </c>
      <c r="AC300" s="53" t="inlineStr">
        <is>
          <t>Govind Chidrawar</t>
        </is>
      </c>
      <c r="AD300" s="54" t="n">
        <v>44866</v>
      </c>
      <c r="AE300" s="53" t="inlineStr">
        <is>
          <t>Senior Software Engineer</t>
        </is>
      </c>
      <c r="AF300" s="53" t="inlineStr">
        <is>
          <t>B.E</t>
        </is>
      </c>
      <c r="AG300" s="53" t="inlineStr">
        <is>
          <t>Arpit Pagaria</t>
        </is>
      </c>
      <c r="AH300" s="53" t="inlineStr">
        <is>
          <t>N-6</t>
        </is>
      </c>
      <c r="AI300" s="53" t="inlineStr">
        <is>
          <t>Individual Contributor</t>
        </is>
      </c>
      <c r="AJ300" s="53" t="inlineStr">
        <is>
          <t>2 years, 2 months, 0 days</t>
        </is>
      </c>
      <c r="AK300" s="53" t="inlineStr">
        <is>
          <t>3 years, 9 months, 24 days</t>
        </is>
      </c>
      <c r="AL300" s="53" t="inlineStr">
        <is>
          <t>Suptech</t>
        </is>
      </c>
      <c r="AM300" s="53" t="inlineStr">
        <is>
          <t>iFile</t>
        </is>
      </c>
      <c r="AN300" s="53" t="inlineStr">
        <is>
          <t>Technology</t>
        </is>
      </c>
      <c r="AO300" s="53" t="inlineStr">
        <is>
          <t>Development</t>
        </is>
      </c>
      <c r="AP300" s="53" t="inlineStr">
        <is>
          <t>Yes</t>
        </is>
      </c>
      <c r="AQ300" s="53" t="inlineStr">
        <is>
          <t>Product/Project</t>
        </is>
      </c>
      <c r="AR300" s="53" t="inlineStr">
        <is>
          <t>Java</t>
        </is>
      </c>
      <c r="AS300" s="53" t="inlineStr">
        <is>
          <t>Technical - Developer</t>
        </is>
      </c>
      <c r="AT300" s="53" t="n">
        <v>20</v>
      </c>
      <c r="AU300" s="53" t="inlineStr">
        <is>
          <t>Covered</t>
        </is>
      </c>
      <c r="AV300" s="53" t="n"/>
      <c r="AW300" s="53" t="n"/>
      <c r="AX300" s="53" t="n"/>
      <c r="AY300" s="53" t="n"/>
      <c r="AZ300" s="53" t="n"/>
      <c r="BA300" s="53" t="n"/>
      <c r="BB300" s="53" t="n"/>
      <c r="BC300" s="53" t="n"/>
      <c r="BD300" s="53" t="n"/>
      <c r="BE300" s="53" t="n"/>
      <c r="BF300" s="53" t="n"/>
      <c r="BG300" s="53" t="n"/>
      <c r="BH300" s="53" t="n"/>
      <c r="BI300" s="53" t="n"/>
      <c r="BJ300" s="53" t="n"/>
      <c r="BK300" s="53" t="n"/>
      <c r="BL300" s="53" t="n"/>
      <c r="BM300" s="53" t="n"/>
      <c r="BN300" s="53" t="n"/>
      <c r="BO300" s="53" t="n"/>
      <c r="BP300" s="53" t="n"/>
      <c r="BQ300" s="53" t="n"/>
      <c r="BR300" s="53" t="n"/>
      <c r="BS300" s="53" t="n"/>
      <c r="BT300" s="53" t="n"/>
      <c r="BU300" s="53" t="n"/>
      <c r="BV300" s="53" t="n"/>
      <c r="BW300" s="53" t="n"/>
      <c r="BX300" s="53" t="n"/>
      <c r="BY300" s="53" t="n"/>
      <c r="BZ300" s="53" t="n"/>
      <c r="CA300" s="53" t="n"/>
      <c r="CB300" s="53" t="n"/>
      <c r="CC300" s="53" t="n"/>
      <c r="CD300" s="53" t="n"/>
      <c r="CE300" s="53" t="n"/>
      <c r="CF300" s="53" t="n"/>
      <c r="CG300" s="53" t="n"/>
      <c r="CH300" s="53" t="n"/>
      <c r="CI300" s="53" t="n"/>
      <c r="CJ300" s="53" t="n"/>
      <c r="CK300" s="53" t="n"/>
      <c r="CL300" s="53" t="n"/>
      <c r="CM300" s="53" t="n"/>
      <c r="CN300" s="53" t="n"/>
      <c r="CO300" s="53" t="n"/>
      <c r="CP300" s="53" t="n"/>
      <c r="CQ300" s="53" t="n"/>
      <c r="CR300" s="53" t="n"/>
      <c r="CS300" s="53" t="n"/>
      <c r="CT300" s="53" t="n"/>
      <c r="CU300" s="53" t="n"/>
      <c r="CV300" s="53" t="n"/>
      <c r="CW300" s="53" t="n"/>
      <c r="CX300" s="53" t="n"/>
      <c r="CY300" s="53" t="n"/>
      <c r="CZ300" s="53" t="n"/>
      <c r="DA300" s="53" t="n"/>
      <c r="DB300" s="53" t="n"/>
      <c r="DC300" s="53" t="n"/>
      <c r="DD300" s="53" t="inlineStr">
        <is>
          <t>IRIS2074</t>
        </is>
      </c>
      <c r="DE300" s="53" t="inlineStr">
        <is>
          <t>Employee</t>
        </is>
      </c>
      <c r="DF300" s="53" t="inlineStr">
        <is>
          <t>Active</t>
        </is>
      </c>
      <c r="DG300" s="53" t="inlineStr">
        <is>
          <t>Govind Chidrawar</t>
        </is>
      </c>
      <c r="DH300" s="54" t="n">
        <v>44866</v>
      </c>
      <c r="DI300" s="53" t="inlineStr">
        <is>
          <t>Senior Software Engineer</t>
        </is>
      </c>
      <c r="DJ300" s="53" t="inlineStr">
        <is>
          <t>Engineering &amp; Development</t>
        </is>
      </c>
      <c r="DK300" s="53" t="inlineStr">
        <is>
          <t>Backend Engineering · Java</t>
        </is>
      </c>
      <c r="DL300" s="53" t="inlineStr">
        <is>
          <t>Senior Software Engineer</t>
        </is>
      </c>
      <c r="DM300" s="53" t="inlineStr">
        <is>
          <t>L4 – Senior</t>
        </is>
      </c>
      <c r="DN300" s="53" t="inlineStr">
        <is>
          <t>B.E</t>
        </is>
      </c>
      <c r="DO300" s="53" t="inlineStr">
        <is>
          <t>Arpit Pagaria</t>
        </is>
      </c>
      <c r="DP300" s="53" t="inlineStr">
        <is>
          <t>N-5</t>
        </is>
      </c>
      <c r="DQ300" s="53" t="inlineStr">
        <is>
          <t>Individual Contributor</t>
        </is>
      </c>
      <c r="DR300" s="53" t="inlineStr">
        <is>
          <t>2 years, 2 months, 0 days</t>
        </is>
      </c>
      <c r="DS300" s="53" t="inlineStr">
        <is>
          <t>3 years, 7 months, 19 days</t>
        </is>
      </c>
      <c r="DT300" s="53" t="inlineStr">
        <is>
          <t>5 years, 9 months, 19 days</t>
        </is>
      </c>
      <c r="DU300" s="53" t="n"/>
      <c r="DV300" s="53" t="inlineStr">
        <is>
          <t>Suptech</t>
        </is>
      </c>
      <c r="DW300" s="53" t="inlineStr">
        <is>
          <t>iFile</t>
        </is>
      </c>
      <c r="DX300" s="53" t="inlineStr">
        <is>
          <t>Technology</t>
        </is>
      </c>
      <c r="DY300" s="53" t="inlineStr">
        <is>
          <t>Development</t>
        </is>
      </c>
      <c r="DZ300" s="53" t="inlineStr">
        <is>
          <t>Yes</t>
        </is>
      </c>
      <c r="EA300" s="53" t="inlineStr">
        <is>
          <t>Product/Project</t>
        </is>
      </c>
      <c r="EB300" s="53" t="inlineStr">
        <is>
          <t>Java</t>
        </is>
      </c>
      <c r="EC300" s="53" t="inlineStr">
        <is>
          <t>Technical - Developer</t>
        </is>
      </c>
      <c r="ED300" s="53" t="inlineStr">
        <is>
          <t>Remote - Mumbai</t>
        </is>
      </c>
      <c r="EE300" s="53" t="n"/>
      <c r="EF300"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300" s="53" t="inlineStr">
        <is>
          <t>Q1: Deliver committed sprint stories with &gt;=90% sprint commitment adherence this quarter - Complete task within given time e.g i. ECU Error Display iiNil filing
Q1: Maintain code quality: defect leakage to QA/UAT &lt;=5% of delivered stories Mostly yes
Q1: Resolve assigned production/critical bugs within agreed SLA · &gt;=95% within SLANeed improvement in understanding root casue of an issue and take immediate action. e.g i. Production filing was stuck for long time. Always need senior member help to understand cause.
Q1: Improve unit-test / automated coverage on owned modules by &gt;=15 percentage points-Yes it is but there is lot of scope for improvement.</t>
        </is>
      </c>
      <c r="EH300" s="53" t="n">
        <v>3</v>
      </c>
      <c r="EI300" s="53" t="n"/>
      <c r="EJ300" s="53" t="inlineStr">
        <is>
          <t>Senior Software Engineer</t>
        </is>
      </c>
      <c r="EK300" s="53" t="n"/>
      <c r="EL300" s="53" t="n">
        <v>4</v>
      </c>
      <c r="EM300" s="53" t="inlineStr">
        <is>
          <t>High</t>
        </is>
      </c>
      <c r="EN300" s="53" t="inlineStr">
        <is>
          <t>High Impact / Growth Talent</t>
        </is>
      </c>
      <c r="EO300" s="53" t="n"/>
      <c r="EP300" s="53" t="n"/>
      <c r="EQ300" s="53" t="n"/>
      <c r="ER300" s="53" t="n"/>
      <c r="ES300" s="53" t="inlineStr">
        <is>
          <t>Advanced Java; secure coding &amp; code-quality practices; unit/automated testing; system design fundamentals</t>
        </is>
      </c>
      <c r="ET300" s="53" t="inlineStr">
        <is>
          <t>Transition to leadership: people management &amp; delegation, mentoring/coaching, project ownership &amp; stakeholder management, prioritisation under ambiguity, presentation &amp; influence skills</t>
        </is>
      </c>
      <c r="EU300" s="53" t="n"/>
      <c r="EV300" s="53" t="n"/>
      <c r="EW300" s="52" t="n"/>
      <c r="EX300" s="53" t="n"/>
      <c r="EY300" s="53" t="n"/>
      <c r="EZ300" s="53" t="n"/>
      <c r="FA300" s="53" t="n"/>
      <c r="FB300" s="53" t="n"/>
      <c r="FC300" s="53" t="n"/>
      <c r="FD300" s="53" t="n"/>
      <c r="FE300"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300" s="56" t="inlineStr">
        <is>
          <t>Q1: Deliver committed sprint stories with &gt;=90% sprint commitment adherence this quarter - Complete task within given time e.g i. ECU Error Display iiNil filing
Q1: Maintain code quality: defect leakage to QA/UAT &lt;=5% of delivered stories Mostly yes
Q1: Resolve assigned production/critical bugs within agreed SLA · &gt;=95% within SLANeed improvement in understanding root casue of an issue and take immediate action. e.g i. Production filing was stuck for long time. Always need senior member help to understand cause.
Q1: Improve unit-test / automated coverage on owned modules by &gt;=15 percentage points-Yes it is but there is lot of scope for improvement.</t>
        </is>
      </c>
      <c r="FG300" s="56" t="n"/>
      <c r="FH300" s="56" t="inlineStr">
        <is>
          <t>3</t>
        </is>
      </c>
      <c r="FI300" s="56" t="n"/>
      <c r="FJ300" s="56" t="inlineStr">
        <is>
          <t>Received · manager annual, quarterly</t>
        </is>
      </c>
      <c r="FK300" s="56" t="inlineStr">
        <is>
          <t>Talent Mapping · iFile collated</t>
        </is>
      </c>
      <c r="FL300" s="56" t="n">
        <v>20</v>
      </c>
      <c r="FM300" s="32" t="inlineStr">
        <is>
          <t>Full survey answers not in the files received · How We Grow export needed · HR</t>
        </is>
      </c>
      <c r="FN300" s="56" t="inlineStr">
        <is>
          <t>—</t>
        </is>
      </c>
      <c r="FO300" s="56" t="inlineStr">
        <is>
          <t>—</t>
        </is>
      </c>
      <c r="FP300" s="56" t="inlineStr">
        <is>
          <t>—</t>
        </is>
      </c>
      <c r="FQ300" s="56" t="inlineStr">
        <is>
          <t>—</t>
        </is>
      </c>
      <c r="FR300" s="56" t="inlineStr">
        <is>
          <t>Complexity: Evidence reads like A3: Designs and builds features, investigates technical issues and reviews code within agreed scope → matches the start
Autonomy: Evidence reads like A3: Decides feature design, implementation approach and code structure; resolves implementation issues alone → matches the start
Accountability: Evidence reads like A2: Design, quality and timely delivery of the features personally owned → moved down 0.5
Leadership: Evidence reads like A3: Reviewing code and guiding other developers are listed responsibilities → moved up 0.5
Business Impact: No survey or manager-mapping signal on criticality: kept at the start point.</t>
        </is>
      </c>
      <c r="FS300"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300" s="56" t="inlineStr">
        <is>
          <t>Self-identified: Technical depth &amp; architecture · Broader exposure &amp; ownership
For the next role: Technical depth &amp; architecture · Broader exposure &amp; ownership</t>
        </is>
      </c>
      <c r="FU300" s="32" t="inlineStr">
        <is>
          <t>Full survey answers not in the files received · How We Grow export needed · HR</t>
        </is>
      </c>
    </row>
    <row r="301" ht="90" customHeight="1">
      <c r="A301" s="51" t="inlineStr">
        <is>
          <t>◂ Back</t>
        </is>
      </c>
      <c r="B301" s="29" t="inlineStr">
        <is>
          <t>Mapped</t>
        </is>
      </c>
      <c r="C301" s="28" t="inlineStr">
        <is>
          <t>iFile</t>
        </is>
      </c>
      <c r="D301" s="29" t="inlineStr">
        <is>
          <t>IRIS2058</t>
        </is>
      </c>
      <c r="E301" s="29" t="inlineStr">
        <is>
          <t>Siddharth Dhone</t>
        </is>
      </c>
      <c r="F301" s="29" t="inlineStr">
        <is>
          <t>Technology</t>
        </is>
      </c>
      <c r="G301" s="29" t="inlineStr">
        <is>
          <t>Senior Software Engineer</t>
        </is>
      </c>
      <c r="H301" s="29" t="inlineStr">
        <is>
          <t>Senior Software Engineer</t>
        </is>
      </c>
      <c r="I301" s="29" t="inlineStr">
        <is>
          <t>L4 – Senior</t>
        </is>
      </c>
      <c r="J301" s="29" t="inlineStr">
        <is>
          <t>A3</t>
        </is>
      </c>
      <c r="K301" s="29" t="inlineStr">
        <is>
          <t>• Same level</t>
        </is>
      </c>
      <c r="L301" s="29" t="inlineStr">
        <is>
          <t>Engineering &amp; Development</t>
        </is>
      </c>
      <c r="M301" s="29" t="inlineStr">
        <is>
          <t>Backend Development</t>
        </is>
      </c>
      <c r="N301" s="29" t="n"/>
      <c r="O301" s="29" t="n">
        <v>20</v>
      </c>
      <c r="P301" s="28" t="inlineStr">
        <is>
          <t>P2</t>
        </is>
      </c>
      <c r="Q301" s="29" t="inlineStr">
        <is>
          <t>Developing</t>
        </is>
      </c>
      <c r="R301" s="29" t="inlineStr">
        <is>
          <t>3 Apply</t>
        </is>
      </c>
      <c r="S301" s="29" t="inlineStr">
        <is>
          <t>2–4 yrs</t>
        </is>
      </c>
      <c r="T301" s="29" t="inlineStr">
        <is>
          <t>3–5 · 2–5</t>
        </is>
      </c>
      <c r="U301" s="29" t="inlineStr">
        <is>
          <t>Software Engineer</t>
        </is>
      </c>
      <c r="V301" s="29" t="inlineStr">
        <is>
          <t>Workiva: SE · Broadridge India: SE · Nasdaq / AxiomSL: SE · Salesforce: MTS · Atlassian: P40 · 3–7 yrs · Freshworks: Senior SE</t>
        </is>
      </c>
      <c r="W301" s="29" t="inlineStr">
        <is>
          <t>SFIA 9 · software development, programming; OWASP secure coding; cloud vendor certifications</t>
        </is>
      </c>
      <c r="X301" s="29" t="inlineStr">
        <is>
          <t>Core 2 · Future 2 · Functional 3 · Leadership not scored</t>
        </is>
      </c>
      <c r="Y301" s="52" t="n">
        <v>239</v>
      </c>
      <c r="Z301" s="53" t="inlineStr">
        <is>
          <t>IRIS2058</t>
        </is>
      </c>
      <c r="AA301" s="53" t="inlineStr">
        <is>
          <t>Employee</t>
        </is>
      </c>
      <c r="AB301" s="53" t="inlineStr">
        <is>
          <t>Active</t>
        </is>
      </c>
      <c r="AC301" s="53" t="inlineStr">
        <is>
          <t>Siddharth Dhone</t>
        </is>
      </c>
      <c r="AD301" s="54" t="n">
        <v>44802</v>
      </c>
      <c r="AE301" s="53" t="inlineStr">
        <is>
          <t>Senior Software Engineer</t>
        </is>
      </c>
      <c r="AF301" s="53" t="inlineStr">
        <is>
          <t>B.E</t>
        </is>
      </c>
      <c r="AG301" s="53" t="inlineStr">
        <is>
          <t>Arpit Pagaria</t>
        </is>
      </c>
      <c r="AH301" s="53" t="inlineStr">
        <is>
          <t>N-6</t>
        </is>
      </c>
      <c r="AI301" s="53" t="inlineStr">
        <is>
          <t>Individual Contributor</t>
        </is>
      </c>
      <c r="AJ301" s="53" t="inlineStr">
        <is>
          <t>3 years, 4 months, 0 days</t>
        </is>
      </c>
      <c r="AK301" s="53" t="inlineStr">
        <is>
          <t>3 years, 11 months, 27 days</t>
        </is>
      </c>
      <c r="AL301" s="53" t="inlineStr">
        <is>
          <t>Suptech</t>
        </is>
      </c>
      <c r="AM301" s="53" t="inlineStr">
        <is>
          <t>iFile</t>
        </is>
      </c>
      <c r="AN301" s="53" t="inlineStr">
        <is>
          <t>Technology</t>
        </is>
      </c>
      <c r="AO301" s="53" t="inlineStr">
        <is>
          <t>Development</t>
        </is>
      </c>
      <c r="AP301" s="53" t="inlineStr">
        <is>
          <t>Yes</t>
        </is>
      </c>
      <c r="AQ301" s="53" t="inlineStr">
        <is>
          <t>Product/Project</t>
        </is>
      </c>
      <c r="AR301" s="53" t="inlineStr">
        <is>
          <t>Java</t>
        </is>
      </c>
      <c r="AS301" s="53" t="inlineStr">
        <is>
          <t>Technical - Developer</t>
        </is>
      </c>
      <c r="AT301" s="53" t="n">
        <v>20</v>
      </c>
      <c r="AU301" s="53" t="inlineStr">
        <is>
          <t>Covered</t>
        </is>
      </c>
      <c r="AV301" s="53" t="n"/>
      <c r="AW301" s="53" t="n"/>
      <c r="AX301" s="53" t="n"/>
      <c r="AY301" s="53" t="n"/>
      <c r="AZ301" s="53" t="n"/>
      <c r="BA301" s="53" t="n"/>
      <c r="BB301" s="53" t="n"/>
      <c r="BC301" s="53" t="n"/>
      <c r="BD301" s="53" t="n"/>
      <c r="BE301" s="53" t="n"/>
      <c r="BF301" s="53" t="n"/>
      <c r="BG301" s="53" t="n"/>
      <c r="BH301" s="53" t="n"/>
      <c r="BI301" s="53" t="n"/>
      <c r="BJ301" s="53" t="n"/>
      <c r="BK301" s="53" t="n"/>
      <c r="BL301" s="53" t="n"/>
      <c r="BM301" s="53" t="n"/>
      <c r="BN301" s="53" t="n"/>
      <c r="BO301" s="53" t="n"/>
      <c r="BP301" s="53" t="n"/>
      <c r="BQ301" s="53" t="n"/>
      <c r="BR301" s="53" t="n"/>
      <c r="BS301" s="53" t="n"/>
      <c r="BT301" s="53" t="n"/>
      <c r="BU301" s="53" t="n"/>
      <c r="BV301" s="53" t="n"/>
      <c r="BW301" s="53" t="n"/>
      <c r="BX301" s="53" t="n"/>
      <c r="BY301" s="53" t="n"/>
      <c r="BZ301" s="53" t="n"/>
      <c r="CA301" s="53" t="n"/>
      <c r="CB301" s="53" t="n"/>
      <c r="CC301" s="53" t="n"/>
      <c r="CD301" s="53" t="n"/>
      <c r="CE301" s="53" t="n"/>
      <c r="CF301" s="53" t="n"/>
      <c r="CG301" s="53" t="n"/>
      <c r="CH301" s="53" t="n"/>
      <c r="CI301" s="53" t="n"/>
      <c r="CJ301" s="53" t="n"/>
      <c r="CK301" s="53" t="n"/>
      <c r="CL301" s="53" t="n"/>
      <c r="CM301" s="53" t="n"/>
      <c r="CN301" s="53" t="n"/>
      <c r="CO301" s="53" t="n"/>
      <c r="CP301" s="53" t="n"/>
      <c r="CQ301" s="53" t="n"/>
      <c r="CR301" s="53" t="n"/>
      <c r="CS301" s="53" t="n"/>
      <c r="CT301" s="53" t="n"/>
      <c r="CU301" s="53" t="n"/>
      <c r="CV301" s="53" t="n"/>
      <c r="CW301" s="53" t="n"/>
      <c r="CX301" s="53" t="n"/>
      <c r="CY301" s="53" t="n"/>
      <c r="CZ301" s="53" t="n"/>
      <c r="DA301" s="53" t="n"/>
      <c r="DB301" s="53" t="n"/>
      <c r="DC301" s="53" t="n"/>
      <c r="DD301" s="53" t="inlineStr">
        <is>
          <t>IRIS2058</t>
        </is>
      </c>
      <c r="DE301" s="53" t="inlineStr">
        <is>
          <t>Employee</t>
        </is>
      </c>
      <c r="DF301" s="53" t="inlineStr">
        <is>
          <t>Active</t>
        </is>
      </c>
      <c r="DG301" s="53" t="inlineStr">
        <is>
          <t>Siddharth Dhone</t>
        </is>
      </c>
      <c r="DH301" s="54" t="n">
        <v>44802</v>
      </c>
      <c r="DI301" s="53" t="inlineStr">
        <is>
          <t>Senior Software Engineer</t>
        </is>
      </c>
      <c r="DJ301" s="53" t="inlineStr">
        <is>
          <t>Engineering &amp; Development</t>
        </is>
      </c>
      <c r="DK301" s="53" t="inlineStr">
        <is>
          <t>Backend Engineering · Java</t>
        </is>
      </c>
      <c r="DL301" s="53" t="inlineStr">
        <is>
          <t>Senior Software Engineer</t>
        </is>
      </c>
      <c r="DM301" s="53" t="inlineStr">
        <is>
          <t>L4 – Senior</t>
        </is>
      </c>
      <c r="DN301" s="53" t="inlineStr">
        <is>
          <t>B.E</t>
        </is>
      </c>
      <c r="DO301" s="53" t="inlineStr">
        <is>
          <t>Arpit Pagaria</t>
        </is>
      </c>
      <c r="DP301" s="53" t="inlineStr">
        <is>
          <t>N-5</t>
        </is>
      </c>
      <c r="DQ301" s="53" t="inlineStr">
        <is>
          <t>Individual Contributor</t>
        </is>
      </c>
      <c r="DR301" s="53" t="inlineStr">
        <is>
          <t>3 years, 4 months, 0 days</t>
        </is>
      </c>
      <c r="DS301" s="53" t="inlineStr">
        <is>
          <t>3 years, 9 months, 22 days</t>
        </is>
      </c>
      <c r="DT301" s="53" t="inlineStr">
        <is>
          <t>7 years, 1 months, 22 days</t>
        </is>
      </c>
      <c r="DU301" s="53" t="n"/>
      <c r="DV301" s="53" t="inlineStr">
        <is>
          <t>Suptech</t>
        </is>
      </c>
      <c r="DW301" s="53" t="inlineStr">
        <is>
          <t>iFile</t>
        </is>
      </c>
      <c r="DX301" s="53" t="inlineStr">
        <is>
          <t>Technology</t>
        </is>
      </c>
      <c r="DY301" s="53" t="inlineStr">
        <is>
          <t>Development</t>
        </is>
      </c>
      <c r="DZ301" s="53" t="inlineStr">
        <is>
          <t>Yes</t>
        </is>
      </c>
      <c r="EA301" s="53" t="inlineStr">
        <is>
          <t>Product/Project</t>
        </is>
      </c>
      <c r="EB301" s="53" t="inlineStr">
        <is>
          <t>Java</t>
        </is>
      </c>
      <c r="EC301" s="53" t="inlineStr">
        <is>
          <t>Technical - Developer</t>
        </is>
      </c>
      <c r="ED301" s="53" t="inlineStr">
        <is>
          <t>Remote- Outside Mumbai</t>
        </is>
      </c>
      <c r="EE301" s="53" t="n"/>
      <c r="EF301"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301" s="53" t="inlineStr">
        <is>
          <t>Q1: Deliver committed sprint stories with &gt;=90% sprint commitment adherence this quarter - Complete task within given time e.g i. Custom Validation implementation on VTL iiIRP VAPT points
Q1: Maintain code quality: defect leakage to QA/UAT &lt;=5% of delivered stories Need improvment. Must test few basic scenarios. e.g. i. VTL custom validations tested only ones on VTL playgroud not through portal.
Q1: Resolve assigned production/critical bugs within agreed SLA · &gt;=95% within SLAVery quick in analysing issue and respond to it e.g i. ECU failure because of incorrect api response. ii VTL server issue wsas solved in less time.
Q1: Improve unit-test / automated coverage on owned modules by &gt;=15 percentage points-Yes it is but there is lot of scope for improvement.</t>
        </is>
      </c>
      <c r="EH301" s="53" t="n">
        <v>4</v>
      </c>
      <c r="EI301" s="53" t="n"/>
      <c r="EJ301" s="53" t="inlineStr">
        <is>
          <t>Senior Software Engineer</t>
        </is>
      </c>
      <c r="EK301" s="53" t="inlineStr">
        <is>
          <t>Can take responsibilities of Tech Lead. Strong technical skills</t>
        </is>
      </c>
      <c r="EL301" s="53" t="n">
        <v>4</v>
      </c>
      <c r="EM301" s="53" t="inlineStr">
        <is>
          <t>High</t>
        </is>
      </c>
      <c r="EN301" s="53" t="inlineStr">
        <is>
          <t>High Impact / Growth Talent</t>
        </is>
      </c>
      <c r="EO301" s="53" t="n"/>
      <c r="EP301" s="53" t="n"/>
      <c r="EQ301" s="53" t="n"/>
      <c r="ER301" s="53" t="n"/>
      <c r="ES301" s="53" t="inlineStr">
        <is>
          <t>Advanced Java; secure coding &amp; code-quality practices; unit/automated testing; system design fundamentals</t>
        </is>
      </c>
      <c r="ET301" s="53" t="inlineStr">
        <is>
          <t>Transition to leadership: people management &amp; delegation, mentoring/coaching, project ownership &amp; stakeholder management, prioritisation under ambiguity, presentation &amp; influence skills</t>
        </is>
      </c>
      <c r="EU301" s="53" t="n"/>
      <c r="EV301" s="53" t="n"/>
      <c r="EW301" s="52" t="n"/>
      <c r="EX301" s="53" t="n"/>
      <c r="EY301" s="53" t="n"/>
      <c r="EZ301" s="53" t="n"/>
      <c r="FA301" s="53" t="n"/>
      <c r="FB301" s="53" t="n"/>
      <c r="FC301" s="53" t="n"/>
      <c r="FD301" s="53" t="n"/>
      <c r="FE301"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301" s="56" t="inlineStr">
        <is>
          <t>Q1: Deliver committed sprint stories with &gt;=90% sprint commitment adherence this quarter - Complete task within given time e.g i. Custom Validation implementation on VTL iiIRP VAPT points
Q1: Maintain code quality: defect leakage to QA/UAT &lt;=5% of delivered stories Need improvment. Must test few basic scenarios. e.g. i. VTL custom validations tested only ones on VTL playgroud not through portal.
Q1: Resolve assigned production/critical bugs within agreed SLA · &gt;=95% within SLAVery quick in analysing issue and respond to it e.g i. ECU failure because of incorrect api response. ii VTL  server issue wsas solved in less time.
Q1: Improve unit-test / automated coverage on owned modules by &gt;=15 percentage points-Yes it is but there is lot of scope for improvement.</t>
        </is>
      </c>
      <c r="FG301" s="56" t="n"/>
      <c r="FH301" s="56" t="inlineStr">
        <is>
          <t>4</t>
        </is>
      </c>
      <c r="FI301" s="56" t="n"/>
      <c r="FJ301" s="56" t="inlineStr">
        <is>
          <t>Received · manager annual, quarterly</t>
        </is>
      </c>
      <c r="FK301" s="56" t="inlineStr">
        <is>
          <t>Talent Mapping · iFile collated</t>
        </is>
      </c>
      <c r="FL301" s="56" t="n">
        <v>20</v>
      </c>
      <c r="FM301" s="32" t="inlineStr">
        <is>
          <t>Full survey answers not in the files received · How We Grow export needed · HR</t>
        </is>
      </c>
      <c r="FN301" s="56" t="inlineStr">
        <is>
          <t>—</t>
        </is>
      </c>
      <c r="FO301" s="56" t="inlineStr">
        <is>
          <t>—</t>
        </is>
      </c>
      <c r="FP301" s="56" t="inlineStr">
        <is>
          <t>—</t>
        </is>
      </c>
      <c r="FQ301" s="56" t="inlineStr">
        <is>
          <t>—</t>
        </is>
      </c>
      <c r="FR301" s="56" t="inlineStr">
        <is>
          <t>Complexity: Evidence reads like A3: Develops Java 17 microservices features and builds POCs for product improvements → matches the start
Autonomy: Evidence reads like A2: Only independent decision cited is technical analysis → moved down 0.5
Accountability: Evidence reads like A2: Reliable features; product-decision and prioritisation claims are not tied to anything specific → moved down 0.5
Leadership: Evidence reads like A1: Presents POCs to the team; no guiding or reviewing described → moved down 0.5
Business Impact: No survey or manager-mapping signal on criticality: kept at the start point.</t>
        </is>
      </c>
      <c r="FS301"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301" s="56" t="inlineStr">
        <is>
          <t>Self-identified: Leadership &amp; people management
For the next role: Leadership &amp; people management</t>
        </is>
      </c>
      <c r="FU301" s="32" t="inlineStr">
        <is>
          <t>Full survey answers not in the files received · How We Grow export needed · HR</t>
        </is>
      </c>
    </row>
    <row r="302" ht="90" customHeight="1">
      <c r="A302" s="51" t="inlineStr">
        <is>
          <t>◂ Back</t>
        </is>
      </c>
      <c r="B302" s="29" t="inlineStr">
        <is>
          <t>Mapped</t>
        </is>
      </c>
      <c r="C302" s="28" t="inlineStr">
        <is>
          <t>iFile</t>
        </is>
      </c>
      <c r="D302" s="29" t="inlineStr">
        <is>
          <t>IRIS1833</t>
        </is>
      </c>
      <c r="E302" s="29" t="inlineStr">
        <is>
          <t>Shraddha Gawali</t>
        </is>
      </c>
      <c r="F302" s="29" t="inlineStr">
        <is>
          <t>Support</t>
        </is>
      </c>
      <c r="G302" s="29" t="inlineStr">
        <is>
          <t>Team Lead / Asst Manager</t>
        </is>
      </c>
      <c r="H302" s="29" t="inlineStr">
        <is>
          <t>Support Specialist</t>
        </is>
      </c>
      <c r="I302" s="29" t="inlineStr">
        <is>
          <t>L5 – Lead · IC</t>
        </is>
      </c>
      <c r="J302" s="29" t="inlineStr">
        <is>
          <t>B1</t>
        </is>
      </c>
      <c r="K302" s="29" t="inlineStr">
        <is>
          <t>▼ Down · protected</t>
        </is>
      </c>
      <c r="L302" s="29" t="inlineStr">
        <is>
          <t>Customer Success &amp; Support</t>
        </is>
      </c>
      <c r="M302" s="29" t="inlineStr">
        <is>
          <t>Application &amp; Product Support</t>
        </is>
      </c>
      <c r="N302" s="29" t="n"/>
      <c r="O302" s="29" t="n">
        <v>20</v>
      </c>
      <c r="P302" s="28" t="inlineStr">
        <is>
          <t>P3 / M2</t>
        </is>
      </c>
      <c r="Q302" s="29" t="inlineStr">
        <is>
          <t>Career / · Team Lead</t>
        </is>
      </c>
      <c r="R302" s="29" t="inlineStr">
        <is>
          <t>4 Enable</t>
        </is>
      </c>
      <c r="S302" s="29" t="inlineStr">
        <is>
          <t>4–7 yrs</t>
        </is>
      </c>
      <c r="T302" s="29" t="inlineStr">
        <is>
          <t>5–8 · 4–8</t>
        </is>
      </c>
      <c r="U302" s="29" t="inlineStr">
        <is>
          <t>Senior Executive / CSM</t>
        </is>
      </c>
      <c r="V302" s="29" t="inlineStr">
        <is>
          <t>Workiva: Customer Success Manager · IRIS Vs Competitor Benchmark — SaaS customer-success ladder: CSM · IRIS Vs Competitor Benchmark — support tiers: L3 / Problem Analyst</t>
        </is>
      </c>
      <c r="W302" s="29" t="inlineStr">
        <is>
          <t>TSIA frameworks and benchmarks; ITIL 4 service desk; Gainsight customer-success practice</t>
        </is>
      </c>
      <c r="X302" s="29" t="inlineStr">
        <is>
          <t>Core 3 · Future 3 · Functional 3 · Leadership 1</t>
        </is>
      </c>
      <c r="Y302" s="52" t="n">
        <v>164</v>
      </c>
      <c r="Z302" s="53" t="inlineStr">
        <is>
          <t>IRIS1833</t>
        </is>
      </c>
      <c r="AA302" s="53" t="inlineStr">
        <is>
          <t>Employee</t>
        </is>
      </c>
      <c r="AB302" s="53" t="inlineStr">
        <is>
          <t>Active</t>
        </is>
      </c>
      <c r="AC302" s="53" t="inlineStr">
        <is>
          <t>Shraddha Gawali</t>
        </is>
      </c>
      <c r="AD302" s="54" t="n">
        <v>43837</v>
      </c>
      <c r="AE302" s="53" t="inlineStr">
        <is>
          <t>Team Lead</t>
        </is>
      </c>
      <c r="AF302" s="53" t="inlineStr">
        <is>
          <t>B.Com</t>
        </is>
      </c>
      <c r="AG302" s="53" t="inlineStr">
        <is>
          <t>Kimaya Mundlye</t>
        </is>
      </c>
      <c r="AH302" s="53" t="inlineStr">
        <is>
          <t>N-5</t>
        </is>
      </c>
      <c r="AI302" s="53" t="inlineStr">
        <is>
          <t>Individual Contributor</t>
        </is>
      </c>
      <c r="AJ302" s="53" t="inlineStr">
        <is>
          <t>0 years, 0 months, 0 days</t>
        </is>
      </c>
      <c r="AK302" s="53" t="inlineStr">
        <is>
          <t>6 years, 7 months, 18 days</t>
        </is>
      </c>
      <c r="AL302" s="53" t="inlineStr">
        <is>
          <t>Suptech</t>
        </is>
      </c>
      <c r="AM302" s="53" t="inlineStr">
        <is>
          <t>iFile</t>
        </is>
      </c>
      <c r="AN302" s="53" t="inlineStr">
        <is>
          <t>Support</t>
        </is>
      </c>
      <c r="AO302" s="53" t="inlineStr">
        <is>
          <t>Product Support</t>
        </is>
      </c>
      <c r="AP302" s="53" t="inlineStr">
        <is>
          <t>No</t>
        </is>
      </c>
      <c r="AQ302" s="53" t="inlineStr">
        <is>
          <t>Product/Project</t>
        </is>
      </c>
      <c r="AR302" s="53" t="inlineStr">
        <is>
          <t>Tech Support</t>
        </is>
      </c>
      <c r="AS302" s="53" t="inlineStr">
        <is>
          <t>Non-technical</t>
        </is>
      </c>
      <c r="AT302" s="53" t="n">
        <v>20</v>
      </c>
      <c r="AU302" s="53" t="inlineStr">
        <is>
          <t>Covered</t>
        </is>
      </c>
      <c r="AV302" s="53" t="n"/>
      <c r="AW302" s="53" t="n"/>
      <c r="AX302" s="53" t="n"/>
      <c r="AY302" s="53" t="n"/>
      <c r="AZ302" s="53" t="n"/>
      <c r="BA302" s="53" t="n"/>
      <c r="BB302" s="53" t="n"/>
      <c r="BC302" s="53" t="n"/>
      <c r="BD302" s="53" t="n"/>
      <c r="BE302" s="53" t="n"/>
      <c r="BF302" s="53" t="n"/>
      <c r="BG302" s="53" t="n"/>
      <c r="BH302" s="53" t="n"/>
      <c r="BI302" s="53" t="n"/>
      <c r="BJ302" s="53" t="n"/>
      <c r="BK302" s="53" t="n"/>
      <c r="BL302" s="53" t="n"/>
      <c r="BM302" s="53" t="n"/>
      <c r="BN302" s="53" t="n"/>
      <c r="BO302" s="53" t="n"/>
      <c r="BP302" s="53" t="n"/>
      <c r="BQ302" s="53" t="n"/>
      <c r="BR302" s="53" t="n"/>
      <c r="BS302" s="53" t="n"/>
      <c r="BT302" s="53" t="n"/>
      <c r="BU302" s="53" t="n"/>
      <c r="BV302" s="53" t="n"/>
      <c r="BW302" s="53" t="n"/>
      <c r="BX302" s="53" t="n"/>
      <c r="BY302" s="53" t="n"/>
      <c r="BZ302" s="53" t="n"/>
      <c r="CA302" s="53" t="n"/>
      <c r="CB302" s="53" t="n"/>
      <c r="CC302" s="53" t="n"/>
      <c r="CD302" s="53" t="n"/>
      <c r="CE302" s="53" t="n"/>
      <c r="CF302" s="53" t="n"/>
      <c r="CG302" s="53" t="n"/>
      <c r="CH302" s="53" t="n"/>
      <c r="CI302" s="53" t="n"/>
      <c r="CJ302" s="53" t="n"/>
      <c r="CK302" s="53" t="n"/>
      <c r="CL302" s="53" t="n"/>
      <c r="CM302" s="53" t="n"/>
      <c r="CN302" s="53" t="n"/>
      <c r="CO302" s="53" t="n"/>
      <c r="CP302" s="53" t="n"/>
      <c r="CQ302" s="53" t="n"/>
      <c r="CR302" s="53" t="n"/>
      <c r="CS302" s="53" t="n"/>
      <c r="CT302" s="53" t="n"/>
      <c r="CU302" s="53" t="n"/>
      <c r="CV302" s="53" t="n"/>
      <c r="CW302" s="53" t="n"/>
      <c r="CX302" s="53" t="n"/>
      <c r="CY302" s="53" t="n"/>
      <c r="CZ302" s="53" t="n"/>
      <c r="DA302" s="53" t="n"/>
      <c r="DB302" s="53" t="n"/>
      <c r="DC302" s="53" t="n"/>
      <c r="DD302" s="53" t="inlineStr">
        <is>
          <t>IRIS1833</t>
        </is>
      </c>
      <c r="DE302" s="53" t="inlineStr">
        <is>
          <t>Employee</t>
        </is>
      </c>
      <c r="DF302" s="53" t="inlineStr">
        <is>
          <t>Active</t>
        </is>
      </c>
      <c r="DG302" s="53" t="inlineStr">
        <is>
          <t>Shraddha Gawali</t>
        </is>
      </c>
      <c r="DH302" s="54" t="n">
        <v>43837</v>
      </c>
      <c r="DI302" s="53" t="inlineStr">
        <is>
          <t>Team Lead</t>
        </is>
      </c>
      <c r="DJ302" s="53" t="inlineStr">
        <is>
          <t>Customer Success &amp; Support</t>
        </is>
      </c>
      <c r="DK302" s="53" t="inlineStr">
        <is>
          <t>Technical Support</t>
        </is>
      </c>
      <c r="DL302" s="53" t="inlineStr">
        <is>
          <t>Team Lead</t>
        </is>
      </c>
      <c r="DM302" s="53" t="inlineStr">
        <is>
          <t>L5 – Lead · IC</t>
        </is>
      </c>
      <c r="DN302" s="53" t="inlineStr">
        <is>
          <t>B.Com</t>
        </is>
      </c>
      <c r="DO302" s="53" t="inlineStr">
        <is>
          <t>Nivedita Wagh</t>
        </is>
      </c>
      <c r="DP302" s="53" t="inlineStr">
        <is>
          <t>N-3</t>
        </is>
      </c>
      <c r="DQ302" s="53" t="inlineStr">
        <is>
          <t>Manager</t>
        </is>
      </c>
      <c r="DR302" s="53" t="inlineStr">
        <is>
          <t>0 years, 0 months, 0 days</t>
        </is>
      </c>
      <c r="DS302" s="53" t="inlineStr">
        <is>
          <t>6 years, 5 months, 13 days</t>
        </is>
      </c>
      <c r="DT302" s="53" t="inlineStr">
        <is>
          <t>6 years, 5 months, 13 days</t>
        </is>
      </c>
      <c r="DU302" s="53" t="n">
        <v>6.45228310502283</v>
      </c>
      <c r="DV302" s="53" t="inlineStr">
        <is>
          <t>Suptech</t>
        </is>
      </c>
      <c r="DW302" s="53" t="inlineStr">
        <is>
          <t>iFile</t>
        </is>
      </c>
      <c r="DX302" s="53" t="inlineStr">
        <is>
          <t>Support</t>
        </is>
      </c>
      <c r="DY302" s="53" t="inlineStr">
        <is>
          <t>Product Support</t>
        </is>
      </c>
      <c r="DZ302" s="53" t="inlineStr">
        <is>
          <t>No</t>
        </is>
      </c>
      <c r="EA302" s="53" t="inlineStr">
        <is>
          <t>Product/Project</t>
        </is>
      </c>
      <c r="EB302" s="53" t="inlineStr">
        <is>
          <t>Tech Support</t>
        </is>
      </c>
      <c r="EC302" s="53" t="inlineStr">
        <is>
          <t>Non-technical</t>
        </is>
      </c>
      <c r="ED302" s="53" t="inlineStr">
        <is>
          <t>Hybrid</t>
        </is>
      </c>
      <c r="EE302" s="53" t="inlineStr">
        <is>
          <t>1.To gain Domain Knowledge, 2. To complate Data Analyst Course, 3. To make process degitize, 4. To maximise use of AI, 5. To achive good communication skills.</t>
        </is>
      </c>
      <c r="EF302" s="53" t="inlineStr">
        <is>
          <t>1. Keep team CSAT &gt;=4.2/5 and NPS trending positive
2. Ensure &gt;=95% team SLA adherence on resolution &amp; first response
3. Drive assigned-portfolio renewal/retention to &gt;=90%
4. Reduce repeat/escalated issues across team by &gt;=15%
5. Maintain 100% documentation &amp; knowledge-base currency
6. Cross-train support team for &gt;=80% backup coverage on key accounts</t>
        </is>
      </c>
      <c r="EG302" s="53" t="inlineStr">
        <is>
          <t>Q1: Keep team CSAT &gt;=4.2/5 and NPS trending positive
Q1: Ensure &gt;=95% team SLA adherence on resolution &amp; first response
Q1: Drive assigned-portfolio renewal/retention to &gt;=90%
Q1: Reduce repeat/escalated issues across team by &gt;=15%</t>
        </is>
      </c>
      <c r="EH302" s="53" t="n">
        <v>3</v>
      </c>
      <c r="EI302" s="54" t="n">
        <v>45870</v>
      </c>
      <c r="EJ302" s="53" t="inlineStr">
        <is>
          <t>Technical Support Team Lead.</t>
        </is>
      </c>
      <c r="EK302" s="53" t="inlineStr">
        <is>
          <t>No</t>
        </is>
      </c>
      <c r="EL302" s="53" t="n">
        <v>3</v>
      </c>
      <c r="EM302" s="53" t="inlineStr">
        <is>
          <t>Medium</t>
        </is>
      </c>
      <c r="EN302" s="53" t="inlineStr">
        <is>
          <t>Core Contributor</t>
        </is>
      </c>
      <c r="EO302" s="53" t="inlineStr">
        <is>
          <t>No</t>
        </is>
      </c>
      <c r="EP302" s="53" t="inlineStr">
        <is>
          <t>Yes</t>
        </is>
      </c>
      <c r="EQ302" s="53" t="inlineStr">
        <is>
          <t>No</t>
        </is>
      </c>
      <c r="ER302" s="53" t="inlineStr">
        <is>
          <t>Sayed Ibrahim</t>
        </is>
      </c>
      <c r="ES302" s="53" t="inlineStr">
        <is>
          <t>Customer success methods; communication &amp; de-escalation; product/domain depth; ticketing &amp; SLA tools | People management: goal-setting &amp; feedback, 1:1 coaching, performance conversations</t>
        </is>
      </c>
      <c r="ET302" s="53" t="inlineStr">
        <is>
          <t>Leadership development: strategic thinking, cross-functional influence, financial/business acumen, succession &amp; talent development, change management, executive communication</t>
        </is>
      </c>
      <c r="EU302" s="53" t="n"/>
      <c r="EV302" s="53" t="n"/>
      <c r="EW302" s="52" t="n"/>
      <c r="EX302" s="53" t="n"/>
      <c r="EY302" s="53" t="n"/>
      <c r="EZ302" s="53" t="n"/>
      <c r="FA302" s="53" t="n"/>
      <c r="FB302" s="53" t="n"/>
      <c r="FC302" s="53" t="n"/>
      <c r="FD302" s="53" t="n"/>
      <c r="FE302" s="57" t="inlineStr">
        <is>
          <t>1. Keep team CSAT &gt;=4.2/5 and NPS trending positive
2. Ensure &gt;=95% team SLA adherence on resolution &amp; first response
3. Drive assigned-portfolio renewal/retention to &gt;=90%
4. Reduce repeat/escalated issues across team by &gt;=15%
5. Maintain 100% documentation &amp; knowledge-base currency
6. Cross-train support team for &gt;=80% backup coverage on key accounts</t>
        </is>
      </c>
      <c r="FF302" s="56" t="inlineStr">
        <is>
          <t>Q1: Keep team CSAT &gt;=4.2/5 and NPS trending positive
Q1: Ensure &gt;=95% team SLA adherence on resolution &amp; first response
Q1: Drive assigned-portfolio renewal/retention to &gt;=90%
Q1: Reduce repeat/escalated issues across team by &gt;=15%</t>
        </is>
      </c>
      <c r="FG302" s="56" t="inlineStr">
        <is>
          <t>1.To gain Domain Knowledge, 2. To complate Data Analyst Course, 3. To make process degitize, 4. To maximise use of AI, 5. To achive good communication skills.</t>
        </is>
      </c>
      <c r="FH302" s="56" t="inlineStr">
        <is>
          <t>3</t>
        </is>
      </c>
      <c r="FI302" s="56" t="n"/>
      <c r="FJ302" s="56" t="inlineStr">
        <is>
          <t>Received · manager annual, quarterly, self</t>
        </is>
      </c>
      <c r="FK302" s="56" t="inlineStr">
        <is>
          <t>Talent Mapping · iFile collated</t>
        </is>
      </c>
      <c r="FL302" s="56" t="n">
        <v>20</v>
      </c>
      <c r="FM302" s="32" t="inlineStr">
        <is>
          <t>Full survey answers not in the files received · How We Grow export needed · HR</t>
        </is>
      </c>
      <c r="FN302" s="56" t="inlineStr">
        <is>
          <t>—</t>
        </is>
      </c>
      <c r="FO302" s="56" t="inlineStr">
        <is>
          <t>—</t>
        </is>
      </c>
      <c r="FP302" s="56" t="inlineStr">
        <is>
          <t>—</t>
        </is>
      </c>
      <c r="FQ302" s="56" t="inlineStr">
        <is>
          <t>—</t>
        </is>
      </c>
      <c r="FR302" s="56" t="inlineStr">
        <is>
          <t>Complexity: Evidence reads like A2: Ticket management on the IRP project using Faveo; issue analysis → moved down 0.5
Autonomy: Evidence reads like A2: No concrete decisions stated · 'ownership' only; routine ticket handling → moved down 0.5
Accountability: Evidence reads like A2: Ticket responses, including covering a colleague's tickets → moved down 0.5
Leadership: Evidence reads like A1: No team leadership described; self-describes as client solution executive → moved down 0.5
Business Impact: No move: the survey / manager mapping does not mark it business-critical or unique.</t>
        </is>
      </c>
      <c r="FS302" s="56" t="inlineStr">
        <is>
          <t>Common themes in role-holders' answers: management
Common themes in role-holders' answers: tracking
Common themes in role-holders' answers: client · if
If the work is missed · role-holders' themes: tracking · client · result.
Measured on · manager-set KRA themes: accounts · csat · documentation · reduce · drive · keep.</t>
        </is>
      </c>
      <c r="FT302" s="56" t="inlineStr">
        <is>
          <t>Self-identified: Product &amp; tool knowledge · Client, sales &amp; stakeholders · Broader exposure &amp; ownership
For the next role: Product &amp; tool knowledge · Client, sales &amp; stakeholders · Broader exposure &amp; ownership</t>
        </is>
      </c>
      <c r="FU302" s="32" t="inlineStr">
        <is>
          <t>Full survey answers not in the files received · How We Grow export needed · HR</t>
        </is>
      </c>
    </row>
    <row r="303" ht="90" customHeight="1">
      <c r="A303" s="51" t="inlineStr">
        <is>
          <t>◂ Back</t>
        </is>
      </c>
      <c r="B303" s="29" t="inlineStr">
        <is>
          <t>Mapped</t>
        </is>
      </c>
      <c r="C303" s="28" t="inlineStr">
        <is>
          <t>iFile</t>
        </is>
      </c>
      <c r="D303" s="29" t="inlineStr">
        <is>
          <t>IRIS2046</t>
        </is>
      </c>
      <c r="E303" s="29" t="inlineStr">
        <is>
          <t>Bhagyashree Bauskar</t>
        </is>
      </c>
      <c r="F303" s="29" t="inlineStr">
        <is>
          <t>Support</t>
        </is>
      </c>
      <c r="G303" s="29" t="inlineStr">
        <is>
          <t>Client Solutions Executive</t>
        </is>
      </c>
      <c r="H303" s="29" t="inlineStr">
        <is>
          <t>Senior Support Executive</t>
        </is>
      </c>
      <c r="I303" s="29" t="inlineStr">
        <is>
          <t>L3 – Professional / Associate</t>
        </is>
      </c>
      <c r="J303" s="29" t="inlineStr">
        <is>
          <t>A3</t>
        </is>
      </c>
      <c r="K303" s="29" t="inlineStr">
        <is>
          <t>▲ Up</t>
        </is>
      </c>
      <c r="L303" s="29" t="inlineStr">
        <is>
          <t>Customer Success &amp; Support</t>
        </is>
      </c>
      <c r="M303" s="29" t="inlineStr">
        <is>
          <t>Application &amp; Product Support</t>
        </is>
      </c>
      <c r="N303" s="29" t="n"/>
      <c r="O303" s="29" t="n">
        <v>20</v>
      </c>
      <c r="P303" s="28" t="inlineStr">
        <is>
          <t>P2</t>
        </is>
      </c>
      <c r="Q303" s="29" t="inlineStr">
        <is>
          <t>Developing</t>
        </is>
      </c>
      <c r="R303" s="29" t="inlineStr">
        <is>
          <t>3 Apply</t>
        </is>
      </c>
      <c r="S303" s="29" t="inlineStr">
        <is>
          <t>2–4 yrs</t>
        </is>
      </c>
      <c r="T303" s="29" t="inlineStr">
        <is>
          <t>3–5 · 2–5</t>
        </is>
      </c>
      <c r="U303" s="29" t="inlineStr">
        <is>
          <t>Support / CS Executive</t>
        </is>
      </c>
      <c r="V303" s="29" t="inlineStr">
        <is>
          <t>IRIS Vs Competitor Benchmark — SaaS customer-success ladder: Associate CSM · Regnology: Product Support Specialist · Reg Reporting · IRIS Vs Competitor Benchmark — support tiers: L2 Application Support</t>
        </is>
      </c>
      <c r="W303" s="29" t="inlineStr">
        <is>
          <t>TSIA frameworks and benchmarks; ITIL 4 service desk; Gainsight customer-success practice</t>
        </is>
      </c>
      <c r="X303" s="29" t="inlineStr">
        <is>
          <t>Core 2 · Future 2 · Functional 3 · Leadership not scored</t>
        </is>
      </c>
      <c r="Y303" s="52" t="n">
        <v>232</v>
      </c>
      <c r="Z303" s="53" t="inlineStr">
        <is>
          <t>IRIS2046</t>
        </is>
      </c>
      <c r="AA303" s="53" t="inlineStr">
        <is>
          <t>Employee</t>
        </is>
      </c>
      <c r="AB303" s="53" t="inlineStr">
        <is>
          <t>Active</t>
        </is>
      </c>
      <c r="AC303" s="53" t="inlineStr">
        <is>
          <t>Bhagyashree Bauskar</t>
        </is>
      </c>
      <c r="AD303" s="54" t="n">
        <v>44774</v>
      </c>
      <c r="AE303" s="53" t="inlineStr">
        <is>
          <t>Client Solutions Executive</t>
        </is>
      </c>
      <c r="AF303" s="53" t="inlineStr">
        <is>
          <t>MBA</t>
        </is>
      </c>
      <c r="AG303" s="53" t="inlineStr">
        <is>
          <t>Kimaya Mundlye</t>
        </is>
      </c>
      <c r="AH303" s="53" t="inlineStr">
        <is>
          <t>N-5</t>
        </is>
      </c>
      <c r="AI303" s="53" t="inlineStr">
        <is>
          <t>Individual Contributor</t>
        </is>
      </c>
      <c r="AJ303" s="53" t="inlineStr">
        <is>
          <t>1 years, 12 months, 0 days</t>
        </is>
      </c>
      <c r="AK303" s="53" t="inlineStr">
        <is>
          <t>4 years, 0 months, 24 days</t>
        </is>
      </c>
      <c r="AL303" s="53" t="inlineStr">
        <is>
          <t>Suptech</t>
        </is>
      </c>
      <c r="AM303" s="53" t="inlineStr">
        <is>
          <t>iFile</t>
        </is>
      </c>
      <c r="AN303" s="53" t="inlineStr">
        <is>
          <t>Support</t>
        </is>
      </c>
      <c r="AO303" s="53" t="inlineStr">
        <is>
          <t>Product Support</t>
        </is>
      </c>
      <c r="AP303" s="53" t="inlineStr">
        <is>
          <t>No</t>
        </is>
      </c>
      <c r="AQ303" s="53" t="inlineStr">
        <is>
          <t>Product/Project</t>
        </is>
      </c>
      <c r="AR303" s="53" t="inlineStr">
        <is>
          <t>Tech Support</t>
        </is>
      </c>
      <c r="AS303" s="53" t="inlineStr">
        <is>
          <t>Non-technical</t>
        </is>
      </c>
      <c r="AT303" s="53" t="n">
        <v>20</v>
      </c>
      <c r="AU303" s="53" t="inlineStr">
        <is>
          <t>Covered</t>
        </is>
      </c>
      <c r="AV303" s="53" t="n"/>
      <c r="AW303" s="53" t="n"/>
      <c r="AX303" s="53" t="n"/>
      <c r="AY303" s="53" t="n"/>
      <c r="AZ303" s="53" t="n"/>
      <c r="BA303" s="53" t="n"/>
      <c r="BB303" s="53" t="n"/>
      <c r="BC303" s="53" t="n"/>
      <c r="BD303" s="53" t="n"/>
      <c r="BE303" s="53" t="n"/>
      <c r="BF303" s="53" t="n"/>
      <c r="BG303" s="53" t="n"/>
      <c r="BH303" s="53" t="n"/>
      <c r="BI303" s="53" t="n"/>
      <c r="BJ303" s="53" t="n"/>
      <c r="BK303" s="53" t="n"/>
      <c r="BL303" s="53" t="n"/>
      <c r="BM303" s="53" t="n"/>
      <c r="BN303" s="53" t="n"/>
      <c r="BO303" s="53" t="n"/>
      <c r="BP303" s="53" t="n"/>
      <c r="BQ303" s="53" t="n"/>
      <c r="BR303" s="53" t="n"/>
      <c r="BS303" s="53" t="n"/>
      <c r="BT303" s="53" t="n"/>
      <c r="BU303" s="53" t="n"/>
      <c r="BV303" s="53" t="n"/>
      <c r="BW303" s="53" t="n"/>
      <c r="BX303" s="53" t="n"/>
      <c r="BY303" s="53" t="n"/>
      <c r="BZ303" s="53" t="n"/>
      <c r="CA303" s="53" t="n"/>
      <c r="CB303" s="53" t="n"/>
      <c r="CC303" s="53" t="n"/>
      <c r="CD303" s="53" t="n"/>
      <c r="CE303" s="53" t="n"/>
      <c r="CF303" s="53" t="n"/>
      <c r="CG303" s="53" t="n"/>
      <c r="CH303" s="53" t="n"/>
      <c r="CI303" s="53" t="n"/>
      <c r="CJ303" s="53" t="n"/>
      <c r="CK303" s="53" t="n"/>
      <c r="CL303" s="53" t="n"/>
      <c r="CM303" s="53" t="n"/>
      <c r="CN303" s="53" t="n"/>
      <c r="CO303" s="53" t="n"/>
      <c r="CP303" s="53" t="n"/>
      <c r="CQ303" s="53" t="n"/>
      <c r="CR303" s="53" t="n"/>
      <c r="CS303" s="53" t="n"/>
      <c r="CT303" s="53" t="n"/>
      <c r="CU303" s="53" t="n"/>
      <c r="CV303" s="53" t="n"/>
      <c r="CW303" s="53" t="n"/>
      <c r="CX303" s="53" t="n"/>
      <c r="CY303" s="53" t="n"/>
      <c r="CZ303" s="53" t="n"/>
      <c r="DA303" s="53" t="n"/>
      <c r="DB303" s="53" t="n"/>
      <c r="DC303" s="53" t="n"/>
      <c r="DD303" s="53" t="inlineStr">
        <is>
          <t>IRIS2046</t>
        </is>
      </c>
      <c r="DE303" s="53" t="inlineStr">
        <is>
          <t>Employee</t>
        </is>
      </c>
      <c r="DF303" s="53" t="inlineStr">
        <is>
          <t>Active</t>
        </is>
      </c>
      <c r="DG303" s="53" t="inlineStr">
        <is>
          <t>Bhagyashree Bauskar</t>
        </is>
      </c>
      <c r="DH303" s="54" t="n">
        <v>44774</v>
      </c>
      <c r="DI303" s="53" t="inlineStr">
        <is>
          <t>Client Solutions Executive</t>
        </is>
      </c>
      <c r="DJ303" s="53" t="inlineStr">
        <is>
          <t>Customer Success &amp; Support</t>
        </is>
      </c>
      <c r="DK303" s="53" t="inlineStr">
        <is>
          <t>Technical Support</t>
        </is>
      </c>
      <c r="DL303" s="53" t="inlineStr">
        <is>
          <t>Client Solutions Executive</t>
        </is>
      </c>
      <c r="DM303" s="53" t="inlineStr">
        <is>
          <t>L3 – Professional / Associate</t>
        </is>
      </c>
      <c r="DN303" s="53" t="inlineStr">
        <is>
          <t>MBA</t>
        </is>
      </c>
      <c r="DO303" s="53" t="inlineStr">
        <is>
          <t>Kimaya Mundlye</t>
        </is>
      </c>
      <c r="DP303" s="53" t="inlineStr">
        <is>
          <t>N-4</t>
        </is>
      </c>
      <c r="DQ303" s="53" t="inlineStr">
        <is>
          <t>Individual Contributor</t>
        </is>
      </c>
      <c r="DR303" s="53" t="inlineStr">
        <is>
          <t>1 years, 12 months, 0 days</t>
        </is>
      </c>
      <c r="DS303" s="53" t="inlineStr">
        <is>
          <t>3 years, 10 months, 19 days</t>
        </is>
      </c>
      <c r="DT303" s="53" t="inlineStr">
        <is>
          <t>5 years, 10 months, 19 days</t>
        </is>
      </c>
      <c r="DU303" s="53" t="n"/>
      <c r="DV303" s="53" t="inlineStr">
        <is>
          <t>Suptech</t>
        </is>
      </c>
      <c r="DW303" s="53" t="inlineStr">
        <is>
          <t>iFile</t>
        </is>
      </c>
      <c r="DX303" s="53" t="inlineStr">
        <is>
          <t>Support</t>
        </is>
      </c>
      <c r="DY303" s="53" t="inlineStr">
        <is>
          <t>Product Support</t>
        </is>
      </c>
      <c r="DZ303" s="53" t="inlineStr">
        <is>
          <t>No</t>
        </is>
      </c>
      <c r="EA303" s="53" t="inlineStr">
        <is>
          <t>Product/Project</t>
        </is>
      </c>
      <c r="EB303" s="53" t="inlineStr">
        <is>
          <t>Tech Support</t>
        </is>
      </c>
      <c r="EC303" s="53" t="inlineStr">
        <is>
          <t>Non-technical</t>
        </is>
      </c>
      <c r="ED303" s="53" t="inlineStr">
        <is>
          <t>Hybrid</t>
        </is>
      </c>
      <c r="EE303" s="53" t="n"/>
      <c r="EF303" s="53"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EG303" s="53" t="inlineStr">
        <is>
          <t>Q1: Maintain client/customer satisfaction · CSAT of &gt;=4.2 / 5 - Yes satisfactory feedback from customer
Q1: Resolve &gt;=95% of assigned tickets/queries within SLA
Q1: Keep first-response time within agreed SLA on 100% of cases
Q1: Drive retention/renewal of assigned accounts to &gt;=90%
She work as domain experties for EBR. Good knowledge of domain. Provide quick solutions to domain related queries. Complete tasks within given time</t>
        </is>
      </c>
      <c r="EH303" s="53" t="n">
        <v>5</v>
      </c>
      <c r="EI303" s="53" t="n"/>
      <c r="EJ303" s="53" t="inlineStr">
        <is>
          <t>Client Solutions Executive</t>
        </is>
      </c>
      <c r="EK303" s="53" t="n"/>
      <c r="EL303" s="53" t="n">
        <v>5</v>
      </c>
      <c r="EM303" s="53" t="inlineStr">
        <is>
          <t>High</t>
        </is>
      </c>
      <c r="EN303" s="53" t="inlineStr">
        <is>
          <t>High Impact / Growth Talent</t>
        </is>
      </c>
      <c r="EO303" s="53" t="n"/>
      <c r="EP303" s="53" t="n"/>
      <c r="EQ303" s="53" t="n"/>
      <c r="ER303" s="53" t="n"/>
      <c r="ES303" s="53" t="inlineStr">
        <is>
          <t>Customer success methods; communication &amp; de-escalation; product/domain depth; ticketing &amp; SLA tools</t>
        </is>
      </c>
      <c r="ET303" s="53" t="inlineStr">
        <is>
          <t>Transition to leadership: people management &amp; delegation, mentoring/coaching, project ownership &amp; stakeholder management, prioritisation under ambiguity, presentation &amp; influence skills</t>
        </is>
      </c>
      <c r="EU303" s="53" t="n"/>
      <c r="EV303" s="53" t="n"/>
      <c r="EW303" s="52" t="n"/>
      <c r="EX303" s="53" t="n"/>
      <c r="EY303" s="53" t="n"/>
      <c r="EZ303" s="53" t="n"/>
      <c r="FA303" s="53" t="n"/>
      <c r="FB303" s="53" t="n"/>
      <c r="FC303" s="53" t="n"/>
      <c r="FD303" s="53" t="n"/>
      <c r="FE303" s="57"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FF303" s="56" t="inlineStr">
        <is>
          <t>Q1: Maintain client/customer satisfaction · CSAT of &gt;=4.2 / 5 - Yes satisfactory feedback from customer
Q1: Resolve &gt;=95% of assigned tickets/queries within SLA
Q1: Keep first-response time within agreed SLA on 100% of cases
Q1: Drive retention/renewal of assigned accounts to &gt;=90%
She work as domain experties for EBR. Good knowledge of domain. Provide quick solutions to domain related queries. Complete tasks within given time</t>
        </is>
      </c>
      <c r="FG303" s="56" t="n"/>
      <c r="FH303" s="56" t="inlineStr">
        <is>
          <t>5</t>
        </is>
      </c>
      <c r="FI303" s="56" t="n"/>
      <c r="FJ303" s="56" t="inlineStr">
        <is>
          <t>Received · manager annual, quarterly</t>
        </is>
      </c>
      <c r="FK303" s="56" t="inlineStr">
        <is>
          <t>Talent Mapping · iFile collated</t>
        </is>
      </c>
      <c r="FL303" s="56" t="n">
        <v>20</v>
      </c>
      <c r="FM303" s="32" t="inlineStr">
        <is>
          <t>Full survey answers not in the files received · How We Grow export needed · HR</t>
        </is>
      </c>
      <c r="FN303" s="56" t="inlineStr">
        <is>
          <t>—</t>
        </is>
      </c>
      <c r="FO303" s="56" t="inlineStr">
        <is>
          <t>—</t>
        </is>
      </c>
      <c r="FP303" s="56" t="inlineStr">
        <is>
          <t>—</t>
        </is>
      </c>
      <c r="FQ303" s="56" t="inlineStr">
        <is>
          <t>—</t>
        </is>
      </c>
      <c r="FR303" s="56" t="inlineStr">
        <is>
          <t>Complexity: Evidence reads like A3: Data modelling · CMS and item master creation, root-cause finding; manager cites EBR domain expertise → moved up 0.5
Autonomy: Evidence reads like A2: Decides only on resolving errors → matches the start
Accountability: Evidence reads like A2: CR returns and domain queries; errors mean rework and client delay → matches the start
Leadership: Evidence reads like A2: Lists 'problem solving of team'; no formal guiding role → moved up 0.5
Business Impact: No survey or manager-mapping signal on criticality: kept at the start point.</t>
        </is>
      </c>
      <c r="FS303" s="56"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FT303" s="56" t="inlineStr">
        <is>
          <t>Self-identified: Domain, regulatory &amp; XBRL
For the next role: Domain, regulatory &amp; XBRL</t>
        </is>
      </c>
      <c r="FU303" s="32" t="inlineStr">
        <is>
          <t>Full survey answers not in the files received · How We Grow export needed · HR</t>
        </is>
      </c>
    </row>
    <row r="304" ht="90" customHeight="1">
      <c r="A304" s="51" t="inlineStr">
        <is>
          <t>◂ Back</t>
        </is>
      </c>
      <c r="B304" s="29" t="inlineStr">
        <is>
          <t>Mapped</t>
        </is>
      </c>
      <c r="C304" s="28" t="inlineStr">
        <is>
          <t>iFile</t>
        </is>
      </c>
      <c r="D304" s="29" t="inlineStr">
        <is>
          <t>IRIS2047</t>
        </is>
      </c>
      <c r="E304" s="29" t="inlineStr">
        <is>
          <t>Dipeeka Yewale</t>
        </is>
      </c>
      <c r="F304" s="29" t="inlineStr">
        <is>
          <t>Support</t>
        </is>
      </c>
      <c r="G304" s="29" t="inlineStr">
        <is>
          <t>Client Solutions Executive</t>
        </is>
      </c>
      <c r="H304" s="29" t="inlineStr">
        <is>
          <t>Senior Support Executive</t>
        </is>
      </c>
      <c r="I304" s="29" t="inlineStr">
        <is>
          <t>L3 – Professional / Associate</t>
        </is>
      </c>
      <c r="J304" s="29" t="inlineStr">
        <is>
          <t>A3</t>
        </is>
      </c>
      <c r="K304" s="29" t="inlineStr">
        <is>
          <t>▲ Up</t>
        </is>
      </c>
      <c r="L304" s="29" t="inlineStr">
        <is>
          <t>Customer Success &amp; Support</t>
        </is>
      </c>
      <c r="M304" s="29" t="inlineStr">
        <is>
          <t>Application &amp; Product Support</t>
        </is>
      </c>
      <c r="N304" s="29" t="n"/>
      <c r="O304" s="29" t="n">
        <v>19</v>
      </c>
      <c r="P304" s="28" t="inlineStr">
        <is>
          <t>P2</t>
        </is>
      </c>
      <c r="Q304" s="29" t="inlineStr">
        <is>
          <t>Developing</t>
        </is>
      </c>
      <c r="R304" s="29" t="inlineStr">
        <is>
          <t>3 Apply</t>
        </is>
      </c>
      <c r="S304" s="29" t="inlineStr">
        <is>
          <t>2–4 yrs</t>
        </is>
      </c>
      <c r="T304" s="29" t="inlineStr">
        <is>
          <t>3–5 · 2–5</t>
        </is>
      </c>
      <c r="U304" s="29" t="inlineStr">
        <is>
          <t>Support / CS Executive</t>
        </is>
      </c>
      <c r="V304" s="29" t="inlineStr">
        <is>
          <t>IRIS Vs Competitor Benchmark — SaaS customer-success ladder: Associate CSM · Regnology: Product Support Specialist · Reg Reporting · IRIS Vs Competitor Benchmark — support tiers: L2 Application Support</t>
        </is>
      </c>
      <c r="W304" s="29" t="inlineStr">
        <is>
          <t>TSIA frameworks and benchmarks; ITIL 4 service desk; Gainsight customer-success practice</t>
        </is>
      </c>
      <c r="X304" s="29" t="inlineStr">
        <is>
          <t>Core 2 · Future 2 · Functional 3 · Leadership not scored</t>
        </is>
      </c>
      <c r="Y304" s="52" t="n">
        <v>233</v>
      </c>
      <c r="Z304" s="53" t="inlineStr">
        <is>
          <t>IRIS2047</t>
        </is>
      </c>
      <c r="AA304" s="53" t="inlineStr">
        <is>
          <t>Employee</t>
        </is>
      </c>
      <c r="AB304" s="53" t="inlineStr">
        <is>
          <t>Active</t>
        </is>
      </c>
      <c r="AC304" s="53" t="inlineStr">
        <is>
          <t>Dipeeka Yewale</t>
        </is>
      </c>
      <c r="AD304" s="54" t="n">
        <v>44774</v>
      </c>
      <c r="AE304" s="53" t="inlineStr">
        <is>
          <t>Client Solutions Executive</t>
        </is>
      </c>
      <c r="AF304" s="53" t="inlineStr">
        <is>
          <t>B.Com</t>
        </is>
      </c>
      <c r="AG304" s="53" t="inlineStr">
        <is>
          <t>Kimaya Mundlye</t>
        </is>
      </c>
      <c r="AH304" s="53" t="inlineStr">
        <is>
          <t>N-5</t>
        </is>
      </c>
      <c r="AI304" s="53" t="inlineStr">
        <is>
          <t>Individual Contributor</t>
        </is>
      </c>
      <c r="AJ304" s="53" t="inlineStr">
        <is>
          <t>0 years, 0 months, 0 days</t>
        </is>
      </c>
      <c r="AK304" s="53" t="inlineStr">
        <is>
          <t>4 years, 0 months, 24 days</t>
        </is>
      </c>
      <c r="AL304" s="53" t="inlineStr">
        <is>
          <t>Suptech</t>
        </is>
      </c>
      <c r="AM304" s="53" t="inlineStr">
        <is>
          <t>iFile</t>
        </is>
      </c>
      <c r="AN304" s="53" t="inlineStr">
        <is>
          <t>Support</t>
        </is>
      </c>
      <c r="AO304" s="53" t="inlineStr">
        <is>
          <t>Product Support</t>
        </is>
      </c>
      <c r="AP304" s="53" t="inlineStr">
        <is>
          <t>No</t>
        </is>
      </c>
      <c r="AQ304" s="53" t="inlineStr">
        <is>
          <t>Product/Project</t>
        </is>
      </c>
      <c r="AR304" s="53" t="inlineStr">
        <is>
          <t>Tech Support</t>
        </is>
      </c>
      <c r="AS304" s="53" t="inlineStr">
        <is>
          <t>Non-technical</t>
        </is>
      </c>
      <c r="AT304" s="53" t="n">
        <v>20</v>
      </c>
      <c r="AU304" s="53" t="inlineStr">
        <is>
          <t>Covered</t>
        </is>
      </c>
      <c r="AV304" s="53" t="n"/>
      <c r="AW304" s="53" t="n"/>
      <c r="AX304" s="53" t="n"/>
      <c r="AY304" s="53" t="n"/>
      <c r="AZ304" s="53" t="n"/>
      <c r="BA304" s="53" t="n"/>
      <c r="BB304" s="53" t="n"/>
      <c r="BC304" s="53" t="n"/>
      <c r="BD304" s="53" t="n"/>
      <c r="BE304" s="53" t="n"/>
      <c r="BF304" s="53" t="n"/>
      <c r="BG304" s="53" t="n"/>
      <c r="BH304" s="53" t="n"/>
      <c r="BI304" s="53" t="n"/>
      <c r="BJ304" s="53" t="n"/>
      <c r="BK304" s="53" t="n"/>
      <c r="BL304" s="53" t="n"/>
      <c r="BM304" s="53" t="n"/>
      <c r="BN304" s="53" t="n"/>
      <c r="BO304" s="53" t="n"/>
      <c r="BP304" s="53" t="n"/>
      <c r="BQ304" s="53" t="n"/>
      <c r="BR304" s="53" t="n"/>
      <c r="BS304" s="53" t="n"/>
      <c r="BT304" s="53" t="n"/>
      <c r="BU304" s="53" t="n"/>
      <c r="BV304" s="53" t="n"/>
      <c r="BW304" s="53" t="n"/>
      <c r="BX304" s="53" t="n"/>
      <c r="BY304" s="53" t="n"/>
      <c r="BZ304" s="53" t="n"/>
      <c r="CA304" s="53" t="n"/>
      <c r="CB304" s="53" t="n"/>
      <c r="CC304" s="53" t="n"/>
      <c r="CD304" s="53" t="n"/>
      <c r="CE304" s="53" t="n"/>
      <c r="CF304" s="53" t="n"/>
      <c r="CG304" s="53" t="n"/>
      <c r="CH304" s="53" t="n"/>
      <c r="CI304" s="53" t="n"/>
      <c r="CJ304" s="53" t="n"/>
      <c r="CK304" s="53" t="n"/>
      <c r="CL304" s="53" t="n"/>
      <c r="CM304" s="53" t="n"/>
      <c r="CN304" s="53" t="n"/>
      <c r="CO304" s="53" t="n"/>
      <c r="CP304" s="53" t="n"/>
      <c r="CQ304" s="53" t="n"/>
      <c r="CR304" s="53" t="n"/>
      <c r="CS304" s="53" t="n"/>
      <c r="CT304" s="53" t="n"/>
      <c r="CU304" s="53" t="n"/>
      <c r="CV304" s="53" t="n"/>
      <c r="CW304" s="53" t="n"/>
      <c r="CX304" s="53" t="n"/>
      <c r="CY304" s="53" t="n"/>
      <c r="CZ304" s="53" t="n"/>
      <c r="DA304" s="53" t="n"/>
      <c r="DB304" s="53" t="n"/>
      <c r="DC304" s="53" t="n"/>
      <c r="DD304" s="53" t="inlineStr">
        <is>
          <t>IRIS2047</t>
        </is>
      </c>
      <c r="DE304" s="53" t="inlineStr">
        <is>
          <t>Employee</t>
        </is>
      </c>
      <c r="DF304" s="53" t="inlineStr">
        <is>
          <t>Active</t>
        </is>
      </c>
      <c r="DG304" s="53" t="inlineStr">
        <is>
          <t>Dipeeka Yewale</t>
        </is>
      </c>
      <c r="DH304" s="54" t="n">
        <v>44774</v>
      </c>
      <c r="DI304" s="53" t="inlineStr">
        <is>
          <t>Client Solutions Executive</t>
        </is>
      </c>
      <c r="DJ304" s="53" t="inlineStr">
        <is>
          <t>Customer Success &amp; Support</t>
        </is>
      </c>
      <c r="DK304" s="53" t="inlineStr">
        <is>
          <t>Technical Support</t>
        </is>
      </c>
      <c r="DL304" s="53" t="inlineStr">
        <is>
          <t>Client Solutions Executive</t>
        </is>
      </c>
      <c r="DM304" s="53" t="inlineStr">
        <is>
          <t>L3 – Professional / Associate</t>
        </is>
      </c>
      <c r="DN304" s="53" t="inlineStr">
        <is>
          <t>B.Com</t>
        </is>
      </c>
      <c r="DO304" s="53" t="inlineStr">
        <is>
          <t>Kimaya Mundlye</t>
        </is>
      </c>
      <c r="DP304" s="53" t="inlineStr">
        <is>
          <t>N-4</t>
        </is>
      </c>
      <c r="DQ304" s="53" t="inlineStr">
        <is>
          <t>Individual Contributor</t>
        </is>
      </c>
      <c r="DR304" s="53" t="inlineStr">
        <is>
          <t>0 years, 0 months, 0 days</t>
        </is>
      </c>
      <c r="DS304" s="53" t="inlineStr">
        <is>
          <t>3 years, 10 months, 19 days</t>
        </is>
      </c>
      <c r="DT304" s="53" t="inlineStr">
        <is>
          <t>3 years, 10 months, 19 days</t>
        </is>
      </c>
      <c r="DU304" s="53" t="n"/>
      <c r="DV304" s="53" t="inlineStr">
        <is>
          <t>Suptech</t>
        </is>
      </c>
      <c r="DW304" s="53" t="inlineStr">
        <is>
          <t>iFile</t>
        </is>
      </c>
      <c r="DX304" s="53" t="inlineStr">
        <is>
          <t>Support</t>
        </is>
      </c>
      <c r="DY304" s="53" t="inlineStr">
        <is>
          <t>Product Support</t>
        </is>
      </c>
      <c r="DZ304" s="53" t="inlineStr">
        <is>
          <t>No</t>
        </is>
      </c>
      <c r="EA304" s="53" t="inlineStr">
        <is>
          <t>Product/Project</t>
        </is>
      </c>
      <c r="EB304" s="53" t="inlineStr">
        <is>
          <t>Tech Support</t>
        </is>
      </c>
      <c r="EC304" s="53" t="inlineStr">
        <is>
          <t>Non-technical</t>
        </is>
      </c>
      <c r="ED304" s="53" t="inlineStr">
        <is>
          <t>Remote - Mumbai</t>
        </is>
      </c>
      <c r="EE304" s="53" t="n"/>
      <c r="EF304" s="53"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EG304" s="53" t="inlineStr">
        <is>
          <t>Q1: Maintain client/customer satisfaction · CSAT of &gt;=4.2 / 5
Q1: Resolve &gt;=95% of assigned tickets/queries within SLA
Q1: Keep first-response time within agreed SLA on 100% of cases
Q1: Drive retention/renewal of assigned accounts to &gt;=90%
Good improvment in communication with client. Still need improvements. Sometimes not upto the mark because of lack of confidence. Improving domain knowledge. Closed multiple DQ issues within less time. Now taking new responsibilities also</t>
        </is>
      </c>
      <c r="EH304" s="53" t="n">
        <v>3</v>
      </c>
      <c r="EI304" s="53" t="n"/>
      <c r="EJ304" s="53" t="inlineStr">
        <is>
          <t>Client Solutions Executive</t>
        </is>
      </c>
      <c r="EK304" s="53" t="n"/>
      <c r="EL304" s="53" t="n">
        <v>3</v>
      </c>
      <c r="EM304" s="53" t="inlineStr">
        <is>
          <t>Medium</t>
        </is>
      </c>
      <c r="EN304" s="53" t="inlineStr">
        <is>
          <t>Core Contributor</t>
        </is>
      </c>
      <c r="EO304" s="53" t="n"/>
      <c r="EP304" s="53" t="n"/>
      <c r="EQ304" s="53" t="n"/>
      <c r="ER304" s="53" t="n"/>
      <c r="ES304" s="53" t="inlineStr">
        <is>
          <t>Customer success methods; communication &amp; de-escalation; product/domain depth; ticketing &amp; SLA tools</t>
        </is>
      </c>
      <c r="ET304" s="53" t="inlineStr">
        <is>
          <t>Transition to leadership: people management &amp; delegation, mentoring/coaching, project ownership &amp; stakeholder management, prioritisation under ambiguity, presentation &amp; influence skills</t>
        </is>
      </c>
      <c r="EU304" s="53" t="n"/>
      <c r="EV304" s="53" t="n"/>
      <c r="EW304" s="52" t="n"/>
      <c r="EX304" s="53" t="n"/>
      <c r="EY304" s="53" t="n"/>
      <c r="EZ304" s="53" t="n"/>
      <c r="FA304" s="53" t="n"/>
      <c r="FB304" s="53" t="n"/>
      <c r="FC304" s="53" t="n"/>
      <c r="FD304" s="53" t="n"/>
      <c r="FE304" s="57"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FF304" s="56" t="inlineStr">
        <is>
          <t>Q1: Maintain client/customer satisfaction · CSAT of &gt;=4.2 / 5
Q1: Resolve &gt;=95% of assigned tickets/queries within SLA
Q1: Keep first-response time within agreed SLA on 100% of cases
Q1: Drive retention/renewal of assigned accounts to &gt;=90%
Good improvment in communication with client. Still need improvements. Sometimes not upto the mark because of lack of confidence. Improving domain knowledge. Closed multiple DQ issues within less time. Now taking new responsibilities also</t>
        </is>
      </c>
      <c r="FG304" s="56" t="n"/>
      <c r="FH304" s="56" t="inlineStr">
        <is>
          <t>3</t>
        </is>
      </c>
      <c r="FI304" s="56" t="n"/>
      <c r="FJ304" s="56" t="inlineStr">
        <is>
          <t>Received · manager annual, quarterly</t>
        </is>
      </c>
      <c r="FK304" s="56" t="inlineStr">
        <is>
          <t>Talent Mapping · iFile collated</t>
        </is>
      </c>
      <c r="FL304" s="56" t="n">
        <v>19</v>
      </c>
      <c r="FM304" s="32" t="inlineStr">
        <is>
          <t>Full survey answers not in the files received · How We Grow export needed · HR</t>
        </is>
      </c>
      <c r="FN304" s="56" t="inlineStr">
        <is>
          <t>—</t>
        </is>
      </c>
      <c r="FO304" s="56" t="inlineStr">
        <is>
          <t>—</t>
        </is>
      </c>
      <c r="FP304" s="56" t="inlineStr">
        <is>
          <t>—</t>
        </is>
      </c>
      <c r="FQ304" s="56" t="inlineStr">
        <is>
          <t>—</t>
        </is>
      </c>
      <c r="FR304" s="56" t="inlineStr">
        <is>
          <t>Complexity: Evidence reads like A2: Implements assigned CMS changes for client change requests and verifies DQ issues → matches the start
Autonomy: Evidence reads like A2: Decides only on resolving DQ issues → matches the start
Accountability: Evidence reads like A2: Assigned changes implemented accurately and tested; mistakes create rework → matches the start
Leadership: Evidence reads like A1: Mentions team coordination only; no guidance described → matches the start
Business Impact: No survey or manager-mapping signal on criticality: kept at the start point.</t>
        </is>
      </c>
      <c r="FS304" s="56"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FT304" s="56" t="inlineStr">
        <is>
          <t>Self-identified: Answered · no common topic
For the next role: Answered · no common topic</t>
        </is>
      </c>
      <c r="FU304" s="32" t="inlineStr">
        <is>
          <t>Full survey answers not in the files received · How We Grow export needed · HR</t>
        </is>
      </c>
    </row>
    <row r="305" ht="90" customHeight="1">
      <c r="A305" s="51" t="inlineStr">
        <is>
          <t>◂ Back</t>
        </is>
      </c>
      <c r="B305" s="29" t="inlineStr">
        <is>
          <t>Mapped</t>
        </is>
      </c>
      <c r="C305" s="28" t="inlineStr">
        <is>
          <t>iFile</t>
        </is>
      </c>
      <c r="D305" s="29" t="inlineStr">
        <is>
          <t>IRIS1931</t>
        </is>
      </c>
      <c r="E305" s="29" t="inlineStr">
        <is>
          <t>Manohar Golbane</t>
        </is>
      </c>
      <c r="F305" s="29" t="inlineStr">
        <is>
          <t>Support</t>
        </is>
      </c>
      <c r="G305" s="29" t="inlineStr">
        <is>
          <t>Analyst</t>
        </is>
      </c>
      <c r="H305" s="29" t="inlineStr">
        <is>
          <t>Senior Support Executive</t>
        </is>
      </c>
      <c r="I305" s="29" t="inlineStr">
        <is>
          <t>L3 – Professional / Associate</t>
        </is>
      </c>
      <c r="J305" s="29" t="inlineStr">
        <is>
          <t>A3</t>
        </is>
      </c>
      <c r="K305" s="29" t="inlineStr">
        <is>
          <t>▲ Up</t>
        </is>
      </c>
      <c r="L305" s="29" t="inlineStr">
        <is>
          <t>Customer Success &amp; Support</t>
        </is>
      </c>
      <c r="M305" s="29" t="inlineStr">
        <is>
          <t>Application &amp; Product Support</t>
        </is>
      </c>
      <c r="N305" s="29" t="n"/>
      <c r="O305" s="29" t="n">
        <v>20</v>
      </c>
      <c r="P305" s="28" t="inlineStr">
        <is>
          <t>P2</t>
        </is>
      </c>
      <c r="Q305" s="29" t="inlineStr">
        <is>
          <t>Developing</t>
        </is>
      </c>
      <c r="R305" s="29" t="inlineStr">
        <is>
          <t>3 Apply</t>
        </is>
      </c>
      <c r="S305" s="29" t="inlineStr">
        <is>
          <t>2–4 yrs</t>
        </is>
      </c>
      <c r="T305" s="29" t="inlineStr">
        <is>
          <t>3–5 · 2–5</t>
        </is>
      </c>
      <c r="U305" s="29" t="inlineStr">
        <is>
          <t>Support / CS Executive</t>
        </is>
      </c>
      <c r="V305" s="29" t="inlineStr">
        <is>
          <t>IRIS Vs Competitor Benchmark — SaaS customer-success ladder: Associate CSM · Regnology: Product Support Specialist · Reg Reporting · IRIS Vs Competitor Benchmark — support tiers: L2 Application Support</t>
        </is>
      </c>
      <c r="W305" s="29" t="inlineStr">
        <is>
          <t>TSIA frameworks and benchmarks; ITIL 4 service desk; Gainsight customer-success practice</t>
        </is>
      </c>
      <c r="X305" s="29" t="inlineStr">
        <is>
          <t>Core 2 · Future 2 · Functional 3 · Leadership not scored</t>
        </is>
      </c>
      <c r="Y305" s="52" t="n">
        <v>189</v>
      </c>
      <c r="Z305" s="53" t="inlineStr">
        <is>
          <t>IRIS1931</t>
        </is>
      </c>
      <c r="AA305" s="53" t="inlineStr">
        <is>
          <t>Employee</t>
        </is>
      </c>
      <c r="AB305" s="53" t="inlineStr">
        <is>
          <t>Active</t>
        </is>
      </c>
      <c r="AC305" s="53" t="inlineStr">
        <is>
          <t>Manohar Golbane</t>
        </is>
      </c>
      <c r="AD305" s="54" t="n">
        <v>44393</v>
      </c>
      <c r="AE305" s="53" t="inlineStr">
        <is>
          <t>Analyst</t>
        </is>
      </c>
      <c r="AF305" s="53" t="inlineStr">
        <is>
          <t>B.Com</t>
        </is>
      </c>
      <c r="AG305" s="53" t="inlineStr">
        <is>
          <t>Kimaya Mundlye</t>
        </is>
      </c>
      <c r="AH305" s="53" t="inlineStr">
        <is>
          <t>N-5</t>
        </is>
      </c>
      <c r="AI305" s="53" t="inlineStr">
        <is>
          <t>Individual Contributor</t>
        </is>
      </c>
      <c r="AJ305" s="53" t="inlineStr">
        <is>
          <t>8 years, 5 months, 0 days</t>
        </is>
      </c>
      <c r="AK305" s="53" t="inlineStr">
        <is>
          <t>5 years, 1 months, 9 days</t>
        </is>
      </c>
      <c r="AL305" s="53" t="inlineStr">
        <is>
          <t>Suptech</t>
        </is>
      </c>
      <c r="AM305" s="53" t="inlineStr">
        <is>
          <t>iFile</t>
        </is>
      </c>
      <c r="AN305" s="53" t="inlineStr">
        <is>
          <t>Support</t>
        </is>
      </c>
      <c r="AO305" s="53" t="inlineStr">
        <is>
          <t>Product Support</t>
        </is>
      </c>
      <c r="AP305" s="53" t="inlineStr">
        <is>
          <t>No</t>
        </is>
      </c>
      <c r="AQ305" s="53" t="inlineStr">
        <is>
          <t>Product/Project</t>
        </is>
      </c>
      <c r="AR305" s="53" t="inlineStr">
        <is>
          <t>Tech Support</t>
        </is>
      </c>
      <c r="AS305" s="53" t="inlineStr">
        <is>
          <t>Non-technical</t>
        </is>
      </c>
      <c r="AT305" s="53" t="n">
        <v>20</v>
      </c>
      <c r="AU305" s="53" t="inlineStr">
        <is>
          <t>Covered</t>
        </is>
      </c>
      <c r="AV305" s="53" t="n"/>
      <c r="AW305" s="53" t="n"/>
      <c r="AX305" s="53" t="n"/>
      <c r="AY305" s="53" t="n"/>
      <c r="AZ305" s="53" t="n"/>
      <c r="BA305" s="53" t="n"/>
      <c r="BB305" s="53" t="n"/>
      <c r="BC305" s="53" t="n"/>
      <c r="BD305" s="53" t="n"/>
      <c r="BE305" s="53" t="n"/>
      <c r="BF305" s="53" t="n"/>
      <c r="BG305" s="53" t="n"/>
      <c r="BH305" s="53" t="n"/>
      <c r="BI305" s="53" t="n"/>
      <c r="BJ305" s="53" t="n"/>
      <c r="BK305" s="53" t="n"/>
      <c r="BL305" s="53" t="n"/>
      <c r="BM305" s="53" t="n"/>
      <c r="BN305" s="53" t="n"/>
      <c r="BO305" s="53" t="n"/>
      <c r="BP305" s="53" t="n"/>
      <c r="BQ305" s="53" t="n"/>
      <c r="BR305" s="53" t="n"/>
      <c r="BS305" s="53" t="n"/>
      <c r="BT305" s="53" t="n"/>
      <c r="BU305" s="53" t="n"/>
      <c r="BV305" s="53" t="n"/>
      <c r="BW305" s="53" t="n"/>
      <c r="BX305" s="53" t="n"/>
      <c r="BY305" s="53" t="n"/>
      <c r="BZ305" s="53" t="n"/>
      <c r="CA305" s="53" t="n"/>
      <c r="CB305" s="53" t="n"/>
      <c r="CC305" s="53" t="n"/>
      <c r="CD305" s="53" t="n"/>
      <c r="CE305" s="53" t="n"/>
      <c r="CF305" s="53" t="n"/>
      <c r="CG305" s="53" t="n"/>
      <c r="CH305" s="53" t="n"/>
      <c r="CI305" s="53" t="n"/>
      <c r="CJ305" s="53" t="n"/>
      <c r="CK305" s="53" t="n"/>
      <c r="CL305" s="53" t="n"/>
      <c r="CM305" s="53" t="n"/>
      <c r="CN305" s="53" t="n"/>
      <c r="CO305" s="53" t="n"/>
      <c r="CP305" s="53" t="n"/>
      <c r="CQ305" s="53" t="n"/>
      <c r="CR305" s="53" t="n"/>
      <c r="CS305" s="53" t="n"/>
      <c r="CT305" s="53" t="n"/>
      <c r="CU305" s="53" t="n"/>
      <c r="CV305" s="53" t="n"/>
      <c r="CW305" s="53" t="n"/>
      <c r="CX305" s="53" t="n"/>
      <c r="CY305" s="53" t="n"/>
      <c r="CZ305" s="53" t="n"/>
      <c r="DA305" s="53" t="n"/>
      <c r="DB305" s="53" t="n"/>
      <c r="DC305" s="53" t="n"/>
      <c r="DD305" s="53" t="inlineStr">
        <is>
          <t>IRIS1931</t>
        </is>
      </c>
      <c r="DE305" s="53" t="inlineStr">
        <is>
          <t>Employee</t>
        </is>
      </c>
      <c r="DF305" s="53" t="inlineStr">
        <is>
          <t>Active</t>
        </is>
      </c>
      <c r="DG305" s="53" t="inlineStr">
        <is>
          <t>Manohar Golbane</t>
        </is>
      </c>
      <c r="DH305" s="54" t="n">
        <v>44393</v>
      </c>
      <c r="DI305" s="53" t="inlineStr">
        <is>
          <t>Analyst</t>
        </is>
      </c>
      <c r="DJ305" s="53" t="inlineStr">
        <is>
          <t>Customer Success &amp; Support</t>
        </is>
      </c>
      <c r="DK305" s="53" t="inlineStr">
        <is>
          <t>Technical Support</t>
        </is>
      </c>
      <c r="DL305" s="53" t="inlineStr">
        <is>
          <t>Analyst</t>
        </is>
      </c>
      <c r="DM305" s="53" t="inlineStr">
        <is>
          <t>L3 – Professional / Associate</t>
        </is>
      </c>
      <c r="DN305" s="53" t="inlineStr">
        <is>
          <t>B.Com</t>
        </is>
      </c>
      <c r="DO305" s="53" t="inlineStr">
        <is>
          <t>Kimaya Mundlye</t>
        </is>
      </c>
      <c r="DP305" s="53" t="inlineStr">
        <is>
          <t>N-4</t>
        </is>
      </c>
      <c r="DQ305" s="53" t="inlineStr">
        <is>
          <t>Individual Contributor</t>
        </is>
      </c>
      <c r="DR305" s="53" t="inlineStr">
        <is>
          <t>8 years, 5 months, 0 days</t>
        </is>
      </c>
      <c r="DS305" s="53" t="inlineStr">
        <is>
          <t>4 years, 11 months, 4 days</t>
        </is>
      </c>
      <c r="DT305" s="53" t="inlineStr">
        <is>
          <t>13 years, 4 months, 4 days</t>
        </is>
      </c>
      <c r="DU305" s="53" t="n"/>
      <c r="DV305" s="53" t="inlineStr">
        <is>
          <t>Suptech</t>
        </is>
      </c>
      <c r="DW305" s="53" t="inlineStr">
        <is>
          <t>iFile</t>
        </is>
      </c>
      <c r="DX305" s="53" t="inlineStr">
        <is>
          <t>Support</t>
        </is>
      </c>
      <c r="DY305" s="53" t="inlineStr">
        <is>
          <t>Product Support</t>
        </is>
      </c>
      <c r="DZ305" s="53" t="inlineStr">
        <is>
          <t>No</t>
        </is>
      </c>
      <c r="EA305" s="53" t="inlineStr">
        <is>
          <t>Product/Project</t>
        </is>
      </c>
      <c r="EB305" s="53" t="inlineStr">
        <is>
          <t>Tech Support</t>
        </is>
      </c>
      <c r="EC305" s="53" t="inlineStr">
        <is>
          <t>Non-technical</t>
        </is>
      </c>
      <c r="ED305" s="53" t="inlineStr">
        <is>
          <t>Client Side</t>
        </is>
      </c>
      <c r="EE305" s="53" t="n"/>
      <c r="EF305" s="53"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EG305" s="53" t="inlineStr">
        <is>
          <t>Q1: Maintain client/customer satisfaction · CSAT of &gt;=4.2 / 5 - Work from Client location, attend/understands clients queries. Provide satisfactory solutions. 
Q1: Resolve &gt;=95% of assigned tickets/queries within SLA -Not always because some queries requires developers involvement. Approx 60-70% tickets closed within SLA. 
Q1: Keep first-response time within agreed SLA on 100% of cases - Not always because some queries requires developers involvement. Approx 60-70% tickets closed within SLA. 
Q1: Drive retention/renewal of assigned accounts to &gt;=90%
Manohar is not just looks into Domain related activities but primarily work as QA and CR team member. He got good understanding of DRM portal, still there is scope to deep dive in this portal.</t>
        </is>
      </c>
      <c r="EH305" s="53" t="n">
        <v>4</v>
      </c>
      <c r="EI305" s="53" t="n"/>
      <c r="EJ305" s="53" t="inlineStr">
        <is>
          <t>Analyst</t>
        </is>
      </c>
      <c r="EK305" s="53" t="inlineStr">
        <is>
          <t>Additional reponsiblity of QA Role</t>
        </is>
      </c>
      <c r="EL305" s="53" t="n">
        <v>4</v>
      </c>
      <c r="EM305" s="53" t="inlineStr">
        <is>
          <t>High</t>
        </is>
      </c>
      <c r="EN305" s="53" t="inlineStr">
        <is>
          <t>High Impact / Growth Talent</t>
        </is>
      </c>
      <c r="EO305" s="53" t="n"/>
      <c r="EP305" s="53" t="n"/>
      <c r="EQ305" s="53" t="n"/>
      <c r="ER305" s="53" t="n"/>
      <c r="ES305" s="53" t="inlineStr">
        <is>
          <t>Customer success methods; communication &amp; de-escalation; product/domain depth; ticketing &amp; SLA tools</t>
        </is>
      </c>
      <c r="ET305" s="53" t="inlineStr">
        <is>
          <t>Transition to leadership: people management &amp; delegation, mentoring/coaching, project ownership &amp; stakeholder management, prioritisation under ambiguity, presentation &amp; influence skills</t>
        </is>
      </c>
      <c r="EU305" s="53" t="n"/>
      <c r="EV305" s="53" t="n"/>
      <c r="EW305" s="52" t="n"/>
      <c r="EX305" s="53" t="n"/>
      <c r="EY305" s="53" t="n"/>
      <c r="EZ305" s="53" t="n"/>
      <c r="FA305" s="53" t="n"/>
      <c r="FB305" s="53" t="n"/>
      <c r="FC305" s="53" t="n"/>
      <c r="FD305" s="53" t="n"/>
      <c r="FE305" s="57"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FF305" s="56" t="inlineStr">
        <is>
          <t>Q1: Maintain client/customer satisfaction · CSAT of &gt;=4.2 / 5 - Work  from Client location, attend/understands clients queries. Provide satisfactory solutions. 
Q1: Resolve &gt;=95% of assigned tickets/queries within SLA -Not always because some queries requires developers involvement. Approx 60-70% tickets closed within SLA. 
Q1: Keep first-response time within agreed SLA on 100% of cases - Not always because some queries requires developers involvement. Approx 60-70% tickets closed within SLA. 
Q1: Drive retention/renewal of assigned accounts to &gt;=90%
Manohar is not just looks into Domain related activities but primarily work as QA and CR team member. He got good understanding of DRM portal, still there is scope to deep dive in this portal.</t>
        </is>
      </c>
      <c r="FG305" s="56" t="n"/>
      <c r="FH305" s="56" t="inlineStr">
        <is>
          <t>4</t>
        </is>
      </c>
      <c r="FI305" s="56" t="n"/>
      <c r="FJ305" s="56" t="inlineStr">
        <is>
          <t>Received · manager annual, quarterly</t>
        </is>
      </c>
      <c r="FK305" s="56" t="inlineStr">
        <is>
          <t>Talent Mapping · iFile collated</t>
        </is>
      </c>
      <c r="FL305" s="56" t="n">
        <v>20</v>
      </c>
      <c r="FM305" s="32" t="inlineStr">
        <is>
          <t>Full survey answers not in the files received · How We Grow export needed · HR</t>
        </is>
      </c>
      <c r="FN305" s="56" t="inlineStr">
        <is>
          <t>—</t>
        </is>
      </c>
      <c r="FO305" s="56" t="inlineStr">
        <is>
          <t>—</t>
        </is>
      </c>
      <c r="FP305" s="56" t="inlineStr">
        <is>
          <t>—</t>
        </is>
      </c>
      <c r="FQ305" s="56" t="inlineStr">
        <is>
          <t>—</t>
        </is>
      </c>
      <c r="FR305" s="56" t="inlineStr">
        <is>
          <t>Complexity: Evidence reads like A3: own survey / KRA answers · summarised by the rater; not quoted → moved up 0.5
Autonomy: Evidence reads like A2: Decides only on returns testing; coordinates with TCS and ReBIT teams → matches the start
Accountability: Evidence reads like A3: Tests returns before release; answerable for client-side issues after testing → moved up 0.5
Leadership: Evidence reads like A1: No guidance of others described → matches the start
Business Impact: No survey or manager-mapping signal on criticality: kept at the start point.</t>
        </is>
      </c>
      <c r="FS305" s="56"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FT305" s="56" t="inlineStr">
        <is>
          <t>Self-identified: Data, SQL &amp; analytics
For the next role: Data, SQL &amp; analytics</t>
        </is>
      </c>
      <c r="FU305" s="32" t="inlineStr">
        <is>
          <t>Full survey answers not in the files received · How We Grow export needed · HR</t>
        </is>
      </c>
    </row>
    <row r="306" ht="90" customHeight="1">
      <c r="A306" s="51" t="inlineStr">
        <is>
          <t>◂ Back</t>
        </is>
      </c>
      <c r="B306" s="29" t="inlineStr">
        <is>
          <t>Mapped</t>
        </is>
      </c>
      <c r="C306" s="28" t="inlineStr">
        <is>
          <t>iFile</t>
        </is>
      </c>
      <c r="D306" s="29" t="inlineStr">
        <is>
          <t>IRIS2203</t>
        </is>
      </c>
      <c r="E306" s="29" t="inlineStr">
        <is>
          <t>Prajakta Mandhare</t>
        </is>
      </c>
      <c r="F306" s="29" t="inlineStr">
        <is>
          <t>Support</t>
        </is>
      </c>
      <c r="G306" s="29" t="inlineStr">
        <is>
          <t>Client Solutions Executive</t>
        </is>
      </c>
      <c r="H306" s="29" t="inlineStr">
        <is>
          <t>Senior Support Executive</t>
        </is>
      </c>
      <c r="I306" s="29" t="inlineStr">
        <is>
          <t>L3 – Professional / Associate</t>
        </is>
      </c>
      <c r="J306" s="29" t="inlineStr">
        <is>
          <t>A3</t>
        </is>
      </c>
      <c r="K306" s="29" t="inlineStr">
        <is>
          <t>▲ Up</t>
        </is>
      </c>
      <c r="L306" s="29" t="inlineStr">
        <is>
          <t>Customer Success &amp; Support</t>
        </is>
      </c>
      <c r="M306" s="29" t="inlineStr">
        <is>
          <t>Application &amp; Product Support</t>
        </is>
      </c>
      <c r="N306" s="29" t="n"/>
      <c r="O306" s="29" t="n">
        <v>20</v>
      </c>
      <c r="P306" s="28" t="inlineStr">
        <is>
          <t>P2</t>
        </is>
      </c>
      <c r="Q306" s="29" t="inlineStr">
        <is>
          <t>Developing</t>
        </is>
      </c>
      <c r="R306" s="29" t="inlineStr">
        <is>
          <t>3 Apply</t>
        </is>
      </c>
      <c r="S306" s="29" t="inlineStr">
        <is>
          <t>2–4 yrs</t>
        </is>
      </c>
      <c r="T306" s="29" t="inlineStr">
        <is>
          <t>3–5 · 2–5</t>
        </is>
      </c>
      <c r="U306" s="29" t="inlineStr">
        <is>
          <t>Support / CS Executive</t>
        </is>
      </c>
      <c r="V306" s="29" t="inlineStr">
        <is>
          <t>IRIS Vs Competitor Benchmark — SaaS customer-success ladder: Associate CSM · Regnology: Product Support Specialist · Reg Reporting · IRIS Vs Competitor Benchmark — support tiers: L2 Application Support</t>
        </is>
      </c>
      <c r="W306" s="29" t="inlineStr">
        <is>
          <t>TSIA frameworks and benchmarks; ITIL 4 service desk; Gainsight customer-success practice</t>
        </is>
      </c>
      <c r="X306" s="29" t="inlineStr">
        <is>
          <t>Core 2 · Future 2 · Functional 3 · Leadership not scored</t>
        </is>
      </c>
      <c r="Y306" s="52" t="n">
        <v>299</v>
      </c>
      <c r="Z306" s="53" t="inlineStr">
        <is>
          <t>IRIS2203</t>
        </is>
      </c>
      <c r="AA306" s="53" t="inlineStr">
        <is>
          <t>Employee</t>
        </is>
      </c>
      <c r="AB306" s="53" t="inlineStr">
        <is>
          <t>Active</t>
        </is>
      </c>
      <c r="AC306" s="53" t="inlineStr">
        <is>
          <t>Prajakta Mandhare</t>
        </is>
      </c>
      <c r="AD306" s="54" t="n">
        <v>45231</v>
      </c>
      <c r="AE306" s="53" t="inlineStr">
        <is>
          <t>Client Solutions Executive</t>
        </is>
      </c>
      <c r="AF306" s="53" t="inlineStr">
        <is>
          <t>B.Com</t>
        </is>
      </c>
      <c r="AG306" s="53" t="inlineStr">
        <is>
          <t>Kimaya Mundlye</t>
        </is>
      </c>
      <c r="AH306" s="53" t="inlineStr">
        <is>
          <t>N-5</t>
        </is>
      </c>
      <c r="AI306" s="53" t="inlineStr">
        <is>
          <t>Individual Contributor</t>
        </is>
      </c>
      <c r="AJ306" s="53" t="inlineStr">
        <is>
          <t>4 years, 3 months, 0 days</t>
        </is>
      </c>
      <c r="AK306" s="53" t="inlineStr">
        <is>
          <t>2 years, 9 months, 24 days</t>
        </is>
      </c>
      <c r="AL306" s="53" t="inlineStr">
        <is>
          <t>Suptech</t>
        </is>
      </c>
      <c r="AM306" s="53" t="inlineStr">
        <is>
          <t>iFile</t>
        </is>
      </c>
      <c r="AN306" s="53" t="inlineStr">
        <is>
          <t>Support</t>
        </is>
      </c>
      <c r="AO306" s="53" t="inlineStr">
        <is>
          <t>Product Support</t>
        </is>
      </c>
      <c r="AP306" s="53" t="inlineStr">
        <is>
          <t>No</t>
        </is>
      </c>
      <c r="AQ306" s="53" t="inlineStr">
        <is>
          <t>Product/Project</t>
        </is>
      </c>
      <c r="AR306" s="53" t="inlineStr">
        <is>
          <t>Tech Support</t>
        </is>
      </c>
      <c r="AS306" s="53" t="inlineStr">
        <is>
          <t>Non-technical</t>
        </is>
      </c>
      <c r="AT306" s="53" t="n">
        <v>20</v>
      </c>
      <c r="AU306" s="53" t="inlineStr">
        <is>
          <t>Covered</t>
        </is>
      </c>
      <c r="AV306" s="53" t="n"/>
      <c r="AW306" s="53" t="n"/>
      <c r="AX306" s="53" t="n"/>
      <c r="AY306" s="53" t="n"/>
      <c r="AZ306" s="53" t="n"/>
      <c r="BA306" s="53" t="n"/>
      <c r="BB306" s="53" t="n"/>
      <c r="BC306" s="53" t="n"/>
      <c r="BD306" s="53" t="n"/>
      <c r="BE306" s="53" t="n"/>
      <c r="BF306" s="53" t="n"/>
      <c r="BG306" s="53" t="n"/>
      <c r="BH306" s="53" t="n"/>
      <c r="BI306" s="53" t="n"/>
      <c r="BJ306" s="53" t="n"/>
      <c r="BK306" s="53" t="n"/>
      <c r="BL306" s="53" t="n"/>
      <c r="BM306" s="53" t="n"/>
      <c r="BN306" s="53" t="n"/>
      <c r="BO306" s="53" t="n"/>
      <c r="BP306" s="53" t="n"/>
      <c r="BQ306" s="53" t="n"/>
      <c r="BR306" s="53" t="n"/>
      <c r="BS306" s="53" t="n"/>
      <c r="BT306" s="53" t="n"/>
      <c r="BU306" s="53" t="n"/>
      <c r="BV306" s="53" t="n"/>
      <c r="BW306" s="53" t="n"/>
      <c r="BX306" s="53" t="n"/>
      <c r="BY306" s="53" t="n"/>
      <c r="BZ306" s="53" t="n"/>
      <c r="CA306" s="53" t="n"/>
      <c r="CB306" s="53" t="n"/>
      <c r="CC306" s="53" t="n"/>
      <c r="CD306" s="53" t="n"/>
      <c r="CE306" s="53" t="n"/>
      <c r="CF306" s="53" t="n"/>
      <c r="CG306" s="53" t="n"/>
      <c r="CH306" s="53" t="n"/>
      <c r="CI306" s="53" t="n"/>
      <c r="CJ306" s="53" t="n"/>
      <c r="CK306" s="53" t="n"/>
      <c r="CL306" s="53" t="n"/>
      <c r="CM306" s="53" t="n"/>
      <c r="CN306" s="53" t="n"/>
      <c r="CO306" s="53" t="n"/>
      <c r="CP306" s="53" t="n"/>
      <c r="CQ306" s="53" t="n"/>
      <c r="CR306" s="53" t="n"/>
      <c r="CS306" s="53" t="n"/>
      <c r="CT306" s="53" t="n"/>
      <c r="CU306" s="53" t="n"/>
      <c r="CV306" s="53" t="n"/>
      <c r="CW306" s="53" t="n"/>
      <c r="CX306" s="53" t="n"/>
      <c r="CY306" s="53" t="n"/>
      <c r="CZ306" s="53" t="n"/>
      <c r="DA306" s="53" t="n"/>
      <c r="DB306" s="53" t="n"/>
      <c r="DC306" s="53" t="n"/>
      <c r="DD306" s="53" t="inlineStr">
        <is>
          <t>IRIS2203</t>
        </is>
      </c>
      <c r="DE306" s="53" t="inlineStr">
        <is>
          <t>Employee</t>
        </is>
      </c>
      <c r="DF306" s="53" t="inlineStr">
        <is>
          <t>Active</t>
        </is>
      </c>
      <c r="DG306" s="53" t="inlineStr">
        <is>
          <t>Prajakta Mandhare</t>
        </is>
      </c>
      <c r="DH306" s="54" t="n">
        <v>45231</v>
      </c>
      <c r="DI306" s="53" t="inlineStr">
        <is>
          <t>Client Solutions Executive</t>
        </is>
      </c>
      <c r="DJ306" s="53" t="inlineStr">
        <is>
          <t>Customer Success &amp; Support</t>
        </is>
      </c>
      <c r="DK306" s="53" t="inlineStr">
        <is>
          <t>Technical Support</t>
        </is>
      </c>
      <c r="DL306" s="53" t="inlineStr">
        <is>
          <t>Client Solutions Executive</t>
        </is>
      </c>
      <c r="DM306" s="53" t="inlineStr">
        <is>
          <t>L3 – Professional / Associate</t>
        </is>
      </c>
      <c r="DN306" s="53" t="inlineStr">
        <is>
          <t>B.Com</t>
        </is>
      </c>
      <c r="DO306" s="53" t="inlineStr">
        <is>
          <t>Kimaya Mundlye</t>
        </is>
      </c>
      <c r="DP306" s="53" t="inlineStr">
        <is>
          <t>N-4</t>
        </is>
      </c>
      <c r="DQ306" s="53" t="inlineStr">
        <is>
          <t>Individual Contributor</t>
        </is>
      </c>
      <c r="DR306" s="53" t="inlineStr">
        <is>
          <t>4 years, 3 months, 0 days</t>
        </is>
      </c>
      <c r="DS306" s="53" t="inlineStr">
        <is>
          <t>2 years, 7 months, 19 days</t>
        </is>
      </c>
      <c r="DT306" s="53" t="inlineStr">
        <is>
          <t>6 years, 10 months, 19 days</t>
        </is>
      </c>
      <c r="DU306" s="53" t="n"/>
      <c r="DV306" s="53" t="inlineStr">
        <is>
          <t>Suptech</t>
        </is>
      </c>
      <c r="DW306" s="53" t="inlineStr">
        <is>
          <t>iFile</t>
        </is>
      </c>
      <c r="DX306" s="53" t="inlineStr">
        <is>
          <t>Support</t>
        </is>
      </c>
      <c r="DY306" s="53" t="inlineStr">
        <is>
          <t>Product Support</t>
        </is>
      </c>
      <c r="DZ306" s="53" t="inlineStr">
        <is>
          <t>No</t>
        </is>
      </c>
      <c r="EA306" s="53" t="inlineStr">
        <is>
          <t>Product/Project</t>
        </is>
      </c>
      <c r="EB306" s="53" t="inlineStr">
        <is>
          <t>Tech Support</t>
        </is>
      </c>
      <c r="EC306" s="53" t="inlineStr">
        <is>
          <t>Non-technical</t>
        </is>
      </c>
      <c r="ED306" s="53" t="inlineStr">
        <is>
          <t>Remote- Outside Mumbai</t>
        </is>
      </c>
      <c r="EE306" s="53" t="n"/>
      <c r="EF306" s="53"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EG306" s="53" t="inlineStr">
        <is>
          <t>Q1: Maintain client/customer satisfaction · CSAT of &gt;=4.2 / 5
Q1: Resolve &gt;=95% of assigned tickets/queries within SLA
Q1: Keep first-response time within agreed SLA on 100% of cases
Q1: Drive retention/renewal of assigned accounts to &gt;=90%
She majorly look after data modelling and analyis related tasks which are not client facing. She completes her tasks within time. Whatever communication she has done so far was good. Her grasping and task analysis is good. Put efforts in right way. Involved in IRP customer support and took hold in less time. I could not assigned major task because of her health issues</t>
        </is>
      </c>
      <c r="EH306" s="53" t="n">
        <v>3</v>
      </c>
      <c r="EI306" s="53" t="n"/>
      <c r="EJ306" s="53" t="inlineStr">
        <is>
          <t>Client Solutions Executive</t>
        </is>
      </c>
      <c r="EK306" s="53" t="n"/>
      <c r="EL306" s="53" t="n">
        <v>3</v>
      </c>
      <c r="EM306" s="53" t="inlineStr">
        <is>
          <t>High</t>
        </is>
      </c>
      <c r="EN306" s="53" t="inlineStr">
        <is>
          <t>Emerging Talent</t>
        </is>
      </c>
      <c r="EO306" s="53" t="n"/>
      <c r="EP306" s="53" t="n"/>
      <c r="EQ306" s="53" t="n"/>
      <c r="ER306" s="53" t="n"/>
      <c r="ES306" s="53" t="inlineStr">
        <is>
          <t>Customer success methods; communication &amp; de-escalation; product/domain depth; ticketing &amp; SLA tools</t>
        </is>
      </c>
      <c r="ET306" s="53" t="inlineStr">
        <is>
          <t>Transition to leadership: people management &amp; delegation, mentoring/coaching, project ownership &amp; stakeholder management, prioritisation under ambiguity, presentation &amp; influence skills</t>
        </is>
      </c>
      <c r="EU306" s="53" t="n"/>
      <c r="EV306" s="53" t="n"/>
      <c r="EW306" s="52" t="n"/>
      <c r="EX306" s="53" t="n"/>
      <c r="EY306" s="53" t="n"/>
      <c r="EZ306" s="53" t="n"/>
      <c r="FA306" s="53" t="n"/>
      <c r="FB306" s="53" t="n"/>
      <c r="FC306" s="53" t="n"/>
      <c r="FD306" s="53" t="n"/>
      <c r="FE306" s="57"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FF306" s="56" t="inlineStr">
        <is>
          <t>Q1: Maintain client/customer satisfaction · CSAT of &gt;=4.2 / 5
Q1: Resolve &gt;=95% of assigned tickets/queries within SLA
Q1: Keep first-response time within agreed SLA on 100% of cases
Q1: Drive retention/renewal of assigned accounts to &gt;=90%
She majorly look after data modelling and analyis related tasks which are not client facing. She completes her tasks within time. Whatever communication she has done so far was good. Her grasping and task analysis is good. Put efforts in right way. Involved in IRP customer support and took hold in less time. I could not assigned major task because of her health issues</t>
        </is>
      </c>
      <c r="FG306" s="56" t="n"/>
      <c r="FH306" s="56" t="inlineStr">
        <is>
          <t>3</t>
        </is>
      </c>
      <c r="FI306" s="56" t="n"/>
      <c r="FJ306" s="56" t="inlineStr">
        <is>
          <t>Received · manager annual, quarterly</t>
        </is>
      </c>
      <c r="FK306" s="56" t="inlineStr">
        <is>
          <t>Talent Mapping · iFile collated</t>
        </is>
      </c>
      <c r="FL306" s="56" t="n">
        <v>20</v>
      </c>
      <c r="FM306" s="32" t="inlineStr">
        <is>
          <t>Full survey answers not in the files received · How We Grow export needed · HR</t>
        </is>
      </c>
      <c r="FN306" s="56" t="inlineStr">
        <is>
          <t>—</t>
        </is>
      </c>
      <c r="FO306" s="56" t="inlineStr">
        <is>
          <t>—</t>
        </is>
      </c>
      <c r="FP306" s="56" t="inlineStr">
        <is>
          <t>—</t>
        </is>
      </c>
      <c r="FQ306" s="56" t="inlineStr">
        <is>
          <t>—</t>
        </is>
      </c>
      <c r="FR306" s="56" t="inlineStr">
        <is>
          <t>Complexity: Evidence reads like A2: Creates and executes test cases; handles queries, escalating unresolved technical issues → matches the start
Autonomy: Evidence reads like A2: Resolves validation errors; escalates to technical team when basic checks fail → matches the start
Accountability: Evidence reads like A2: Correctness of own resolutions and test results; wrong resolution leads to escalation → matches the start
Leadership: Evidence reads like A1: No guidance of others described → matches the start
Business Impact: No survey or manager-mapping signal on criticality: kept at the start point.</t>
        </is>
      </c>
      <c r="FS306" s="56"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FT306" s="56" t="inlineStr">
        <is>
          <t>Self-identified: Answered · no common topic
For the next role: Answered · no common topic</t>
        </is>
      </c>
      <c r="FU306" s="32" t="inlineStr">
        <is>
          <t>Full survey answers not in the files received · How We Grow export needed · HR</t>
        </is>
      </c>
    </row>
    <row r="307" ht="90" customHeight="1">
      <c r="A307" s="51" t="inlineStr">
        <is>
          <t>◂ Back</t>
        </is>
      </c>
      <c r="B307" s="29" t="inlineStr">
        <is>
          <t>Mapped</t>
        </is>
      </c>
      <c r="C307" s="28" t="inlineStr">
        <is>
          <t>iFile</t>
        </is>
      </c>
      <c r="D307" s="29" t="inlineStr">
        <is>
          <t>IRIS2521</t>
        </is>
      </c>
      <c r="E307" s="29" t="inlineStr">
        <is>
          <t>Prasad Gavhane</t>
        </is>
      </c>
      <c r="F307" s="29" t="inlineStr">
        <is>
          <t>Technology</t>
        </is>
      </c>
      <c r="G307" s="29" t="inlineStr">
        <is>
          <t>Lead Software Engineer</t>
        </is>
      </c>
      <c r="H307" s="29" t="inlineStr">
        <is>
          <t>Lead Software Engineer</t>
        </is>
      </c>
      <c r="I307" s="29" t="inlineStr">
        <is>
          <t>L5 – Lead · IC</t>
        </is>
      </c>
      <c r="J307" s="29" t="inlineStr">
        <is>
          <t>B2</t>
        </is>
      </c>
      <c r="K307" s="29" t="inlineStr">
        <is>
          <t>• Same level</t>
        </is>
      </c>
      <c r="L307" s="29" t="inlineStr">
        <is>
          <t>Engineering &amp; Development</t>
        </is>
      </c>
      <c r="M307" s="29" t="inlineStr">
        <is>
          <t>Backend Development</t>
        </is>
      </c>
      <c r="N307" s="29" t="inlineStr">
        <is>
          <t>• Confirm the reporting line — Manager</t>
        </is>
      </c>
      <c r="O307" s="29" t="n">
        <v>20</v>
      </c>
      <c r="P307" s="28" t="inlineStr">
        <is>
          <t>P4 / M3</t>
        </is>
      </c>
      <c r="Q307" s="29" t="inlineStr">
        <is>
          <t>Senior / Manager</t>
        </is>
      </c>
      <c r="R307" s="29" t="inlineStr">
        <is>
          <t>4–5</t>
        </is>
      </c>
      <c r="S307" s="29" t="inlineStr">
        <is>
          <t>6–9 yrs</t>
        </is>
      </c>
      <c r="T307" s="29" t="inlineStr">
        <is>
          <t>7–10 · 6–11</t>
        </is>
      </c>
      <c r="U307" s="29" t="inlineStr">
        <is>
          <t>Principal Engineer</t>
        </is>
      </c>
      <c r="V307" s="29" t="inlineStr">
        <is>
          <t>Workiva: Senior SE · Broadridge India: Lead SE · Nasdaq / AxiomSL: Senior SE · Salesforce: SMTS · Atlassian: P50 Senior · 6–12 yrs · Freshworks: Lead SE</t>
        </is>
      </c>
      <c r="W307" s="29" t="inlineStr">
        <is>
          <t>SFIA 9 · software development, programming; OWASP secure coding; cloud vendor certifications</t>
        </is>
      </c>
      <c r="X307" s="29" t="inlineStr">
        <is>
          <t>Core 3 · Future 3 · Functional 4 · Leadership 2</t>
        </is>
      </c>
      <c r="Y307" s="52" t="n">
        <v>491</v>
      </c>
      <c r="Z307" s="53" t="inlineStr">
        <is>
          <t>IRIS2521</t>
        </is>
      </c>
      <c r="AA307" s="53" t="inlineStr">
        <is>
          <t>Employee</t>
        </is>
      </c>
      <c r="AB307" s="53" t="inlineStr">
        <is>
          <t>Active</t>
        </is>
      </c>
      <c r="AC307" s="53" t="inlineStr">
        <is>
          <t>Prasad Gavhane</t>
        </is>
      </c>
      <c r="AD307" s="54" t="n">
        <v>46128</v>
      </c>
      <c r="AE307" s="53" t="inlineStr">
        <is>
          <t>Lead Software Engineer</t>
        </is>
      </c>
      <c r="AF307" s="53" t="inlineStr">
        <is>
          <t>B.E</t>
        </is>
      </c>
      <c r="AG307" s="53" t="inlineStr">
        <is>
          <t>Izharuddin Shaikh</t>
        </is>
      </c>
      <c r="AH307" s="53" t="inlineStr">
        <is>
          <t>N-4</t>
        </is>
      </c>
      <c r="AI307" s="53" t="inlineStr">
        <is>
          <t>Individual Contributor</t>
        </is>
      </c>
      <c r="AJ307" s="53" t="inlineStr">
        <is>
          <t>11 years, 6 months, 0 days</t>
        </is>
      </c>
      <c r="AK307" s="53" t="inlineStr">
        <is>
          <t>0 years, 4 months, 9 days</t>
        </is>
      </c>
      <c r="AL307" s="53" t="inlineStr">
        <is>
          <t>Suptech</t>
        </is>
      </c>
      <c r="AM307" s="53" t="inlineStr">
        <is>
          <t>iFile</t>
        </is>
      </c>
      <c r="AN307" s="53" t="inlineStr">
        <is>
          <t>Technology</t>
        </is>
      </c>
      <c r="AO307" s="53" t="inlineStr">
        <is>
          <t>Development</t>
        </is>
      </c>
      <c r="AP307" s="53" t="inlineStr">
        <is>
          <t>Yes</t>
        </is>
      </c>
      <c r="AQ307" s="53" t="inlineStr">
        <is>
          <t>Product/Project</t>
        </is>
      </c>
      <c r="AR307" s="53" t="inlineStr">
        <is>
          <t>Java</t>
        </is>
      </c>
      <c r="AS307" s="53" t="inlineStr">
        <is>
          <t>Technical - Developer</t>
        </is>
      </c>
      <c r="AT307" s="53" t="n">
        <v>20</v>
      </c>
      <c r="AU307" s="53" t="inlineStr">
        <is>
          <t>Covered</t>
        </is>
      </c>
      <c r="AV307" s="53" t="n"/>
      <c r="AW307" s="53" t="n"/>
      <c r="AX307" s="53" t="n"/>
      <c r="AY307" s="53" t="n"/>
      <c r="AZ307" s="53" t="n"/>
      <c r="BA307" s="53" t="n"/>
      <c r="BB307" s="53" t="n"/>
      <c r="BC307" s="53" t="n"/>
      <c r="BD307" s="53" t="n"/>
      <c r="BE307" s="53" t="n"/>
      <c r="BF307" s="53" t="n"/>
      <c r="BG307" s="53" t="n"/>
      <c r="BH307" s="53" t="n"/>
      <c r="BI307" s="53" t="n"/>
      <c r="BJ307" s="53" t="n"/>
      <c r="BK307" s="53" t="n"/>
      <c r="BL307" s="53" t="n"/>
      <c r="BM307" s="53" t="n"/>
      <c r="BN307" s="53" t="n"/>
      <c r="BO307" s="53" t="n"/>
      <c r="BP307" s="53" t="n"/>
      <c r="BQ307" s="53" t="n"/>
      <c r="BR307" s="53" t="n"/>
      <c r="BS307" s="53" t="n"/>
      <c r="BT307" s="53" t="n"/>
      <c r="BU307" s="53" t="n"/>
      <c r="BV307" s="53" t="n"/>
      <c r="BW307" s="53" t="n"/>
      <c r="BX307" s="53" t="n"/>
      <c r="BY307" s="53" t="n"/>
      <c r="BZ307" s="53" t="n"/>
      <c r="CA307" s="53" t="n"/>
      <c r="CB307" s="53" t="n"/>
      <c r="CC307" s="53" t="n"/>
      <c r="CD307" s="53" t="n"/>
      <c r="CE307" s="53" t="n"/>
      <c r="CF307" s="53" t="n"/>
      <c r="CG307" s="53" t="n"/>
      <c r="CH307" s="53" t="n"/>
      <c r="CI307" s="53" t="n"/>
      <c r="CJ307" s="53" t="n"/>
      <c r="CK307" s="53" t="n"/>
      <c r="CL307" s="53" t="n"/>
      <c r="CM307" s="53" t="n"/>
      <c r="CN307" s="53" t="n"/>
      <c r="CO307" s="53" t="n"/>
      <c r="CP307" s="53" t="n"/>
      <c r="CQ307" s="53" t="n"/>
      <c r="CR307" s="53" t="n"/>
      <c r="CS307" s="53" t="n"/>
      <c r="CT307" s="53" t="n"/>
      <c r="CU307" s="53" t="n"/>
      <c r="CV307" s="53" t="n"/>
      <c r="CW307" s="53" t="n"/>
      <c r="CX307" s="53" t="n"/>
      <c r="CY307" s="53" t="n"/>
      <c r="CZ307" s="53" t="n"/>
      <c r="DA307" s="53" t="n"/>
      <c r="DB307" s="53" t="n"/>
      <c r="DC307" s="53" t="n"/>
      <c r="DD307" s="53" t="inlineStr">
        <is>
          <t>IRIS2521</t>
        </is>
      </c>
      <c r="DE307" s="53" t="inlineStr">
        <is>
          <t>Employee</t>
        </is>
      </c>
      <c r="DF307" s="53" t="inlineStr">
        <is>
          <t>Active</t>
        </is>
      </c>
      <c r="DG307" s="53" t="inlineStr">
        <is>
          <t>Prasad Gavhane</t>
        </is>
      </c>
      <c r="DH307" s="54" t="n">
        <v>46128</v>
      </c>
      <c r="DI307" s="53" t="inlineStr">
        <is>
          <t>Lead Software Engineer</t>
        </is>
      </c>
      <c r="DJ307" s="53" t="inlineStr">
        <is>
          <t>Engineering &amp; Development</t>
        </is>
      </c>
      <c r="DK307" s="53" t="inlineStr">
        <is>
          <t>Backend Engineering · Java</t>
        </is>
      </c>
      <c r="DL307" s="53" t="inlineStr">
        <is>
          <t>Lead Software Engineer</t>
        </is>
      </c>
      <c r="DM307" s="53" t="inlineStr">
        <is>
          <t>L5 – Lead · IC</t>
        </is>
      </c>
      <c r="DN307" s="53" t="inlineStr">
        <is>
          <t>B.E</t>
        </is>
      </c>
      <c r="DO307" s="53" t="inlineStr">
        <is>
          <t>Izharuddin Shaikh</t>
        </is>
      </c>
      <c r="DP307" s="53" t="inlineStr">
        <is>
          <t>N-3</t>
        </is>
      </c>
      <c r="DQ307" s="53" t="inlineStr">
        <is>
          <t>Individual Contributor</t>
        </is>
      </c>
      <c r="DR307" s="53" t="inlineStr">
        <is>
          <t>11 years, 6 months, 0 days</t>
        </is>
      </c>
      <c r="DS307" s="53" t="inlineStr">
        <is>
          <t>0 years, 2 months, 4 days</t>
        </is>
      </c>
      <c r="DT307" s="53" t="inlineStr">
        <is>
          <t>11 years, 8 months, 4 days</t>
        </is>
      </c>
      <c r="DU307" s="53" t="n"/>
      <c r="DV307" s="53" t="inlineStr">
        <is>
          <t>Suptech</t>
        </is>
      </c>
      <c r="DW307" s="53" t="inlineStr">
        <is>
          <t>iFile</t>
        </is>
      </c>
      <c r="DX307" s="53" t="inlineStr">
        <is>
          <t>Technology</t>
        </is>
      </c>
      <c r="DY307" s="53" t="inlineStr">
        <is>
          <t>Development</t>
        </is>
      </c>
      <c r="DZ307" s="53" t="inlineStr">
        <is>
          <t>Yes</t>
        </is>
      </c>
      <c r="EA307" s="53" t="inlineStr">
        <is>
          <t>Product/Project</t>
        </is>
      </c>
      <c r="EB307" s="53" t="inlineStr">
        <is>
          <t>Java</t>
        </is>
      </c>
      <c r="EC307" s="53" t="inlineStr">
        <is>
          <t>Technical - Developer</t>
        </is>
      </c>
      <c r="ED307" s="53" t="inlineStr">
        <is>
          <t>Work From Office - Turbhe</t>
        </is>
      </c>
      <c r="EE307" s="53" t="n"/>
      <c r="EF307"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307"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Prasad has joined the teapot couple of months back. However, he has played critical role in delivering the Risk Base Supervision module. His, past experience and expertize is helping team members to grow. He has delivered the qulaity output.</t>
        </is>
      </c>
      <c r="EH307" s="53" t="n">
        <v>4</v>
      </c>
      <c r="EI307" s="53" t="n"/>
      <c r="EJ307" s="53" t="inlineStr">
        <is>
          <t>Lead Software Engineer</t>
        </is>
      </c>
      <c r="EK307" s="53" t="inlineStr">
        <is>
          <t>Can plan role of Technical Lead</t>
        </is>
      </c>
      <c r="EL307" s="53" t="n">
        <v>4</v>
      </c>
      <c r="EM307" s="53" t="inlineStr">
        <is>
          <t>High</t>
        </is>
      </c>
      <c r="EN307" s="53" t="inlineStr">
        <is>
          <t>Trusted Professional</t>
        </is>
      </c>
      <c r="EO307" s="53" t="inlineStr">
        <is>
          <t>Yes</t>
        </is>
      </c>
      <c r="EP307" s="53" t="inlineStr">
        <is>
          <t>Yes</t>
        </is>
      </c>
      <c r="EQ307" s="53" t="inlineStr">
        <is>
          <t>Yes</t>
        </is>
      </c>
      <c r="ER307" s="53" t="n"/>
      <c r="ES307" s="53" t="inlineStr">
        <is>
          <t>Advanced Java; secure coding &amp; code-quality practices; unit/automated testing; system design fundamentals</t>
        </is>
      </c>
      <c r="ET307" s="53" t="inlineStr">
        <is>
          <t>Transition to leadership: people management &amp; delegation, mentoring/coaching, project ownership &amp; stakeholder management, prioritisation under ambiguity, presentation &amp; influence skills</t>
        </is>
      </c>
      <c r="EU307" s="53" t="n"/>
      <c r="EV307" s="53" t="n"/>
      <c r="EW307" s="52" t="n"/>
      <c r="EX307" s="53" t="n"/>
      <c r="EY307" s="53" t="n"/>
      <c r="EZ307" s="53" t="n"/>
      <c r="FA307" s="53" t="n"/>
      <c r="FB307" s="53" t="n"/>
      <c r="FC307" s="53" t="n"/>
      <c r="FD307" s="53" t="n"/>
      <c r="FE307"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307"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Prasad has joined the teapot couple of months back. However, he has played critical role in delivering the Risk Base Supervision module. His, past experience and expertize is helping team members to grow. He has delivered the qulaity output.</t>
        </is>
      </c>
      <c r="FG307" s="56" t="n"/>
      <c r="FH307" s="56" t="inlineStr">
        <is>
          <t>4</t>
        </is>
      </c>
      <c r="FI307" s="56" t="n"/>
      <c r="FJ307" s="56" t="inlineStr">
        <is>
          <t>Received · manager annual, quarterly</t>
        </is>
      </c>
      <c r="FK307" s="56" t="inlineStr">
        <is>
          <t>Talent Mapping · iFile collated</t>
        </is>
      </c>
      <c r="FL307" s="56" t="n">
        <v>20</v>
      </c>
      <c r="FM307" s="32" t="inlineStr">
        <is>
          <t>Full survey answers not in the files received · How We Grow export needed · HR</t>
        </is>
      </c>
      <c r="FN307" s="56" t="inlineStr">
        <is>
          <t>—</t>
        </is>
      </c>
      <c r="FO307" s="56" t="inlineStr">
        <is>
          <t>—</t>
        </is>
      </c>
      <c r="FP307" s="56" t="inlineStr">
        <is>
          <t>—</t>
        </is>
      </c>
      <c r="FQ307" s="56" t="inlineStr">
        <is>
          <t>—</t>
        </is>
      </c>
      <c r="FR307" s="56" t="inlineStr">
        <is>
          <t>Complexity: Evidence reads like B1: Overall solution design for the Risk-Based Supervision product; regulatory domain plus data and analytics → moved down 1
Autonomy: Evidence reads like B2: Decides solution design, technical approach, and how work is prioritised and assigned within team → moved down 0.5
Accountability: Evidence reads like B2: own survey / KRA answers · summarised by the rater; not quoted → moved down 0.5
Leadership: Evidence reads like B1: Leads the RBS product team; 0 reports and manager KRAs list individual sprint work → moved down 0.5
Business Impact: Moved +0.5: the survey / manager mapping marks it business-critical.</t>
        </is>
      </c>
      <c r="FS307" s="56" t="inlineStr">
        <is>
          <t>Common themes in role-holders' answers: solutions · technical · reliable · scalable · software · business
Common themes in role-holders' answers: delivery · technical · code · solution design · ownership · leadership
Common themes in role-holders' answers: documentation · features · software · produce · deliver
Common themes in role-holders' answers: design · am · accountable · solution · technical · delivery
Common themes in role-holders' answers: technical · approach · design · implementation · ai · code
If the work is missed · role-holders' themes: rework · client · impact · production · issues.
Measured on · manager-set KRA themes: modules · coverage · complete · components · committed · sprint.</t>
        </is>
      </c>
      <c r="FT307" s="56" t="inlineStr">
        <is>
          <t>Self-identified: Project / programme management · Technical depth &amp; architecture · Product &amp; tool knowledge · Certification / formal course
For the next role: Project / programme management · Technical depth &amp; architecture · Product &amp; tool knowledge · Certification / formal course</t>
        </is>
      </c>
      <c r="FU307" s="32" t="inlineStr">
        <is>
          <t>Full survey answers not in the files received · How We Grow export needed · HR</t>
        </is>
      </c>
    </row>
    <row r="308" ht="90" customHeight="1">
      <c r="A308" s="51" t="inlineStr">
        <is>
          <t>◂ Back</t>
        </is>
      </c>
      <c r="B308" s="29" t="inlineStr">
        <is>
          <t>Mapped</t>
        </is>
      </c>
      <c r="C308" s="28" t="inlineStr">
        <is>
          <t>iFile</t>
        </is>
      </c>
      <c r="D308" s="29" t="inlineStr">
        <is>
          <t>IRIS2127</t>
        </is>
      </c>
      <c r="E308" s="29" t="inlineStr">
        <is>
          <t>Yunus Patel</t>
        </is>
      </c>
      <c r="F308" s="29" t="inlineStr">
        <is>
          <t>Technology</t>
        </is>
      </c>
      <c r="G308" s="29" t="inlineStr">
        <is>
          <t>Project Manager</t>
        </is>
      </c>
      <c r="H308" s="29" t="inlineStr">
        <is>
          <t>Delivery Manager</t>
        </is>
      </c>
      <c r="I308" s="29" t="inlineStr">
        <is>
          <t>L5 – Manager</t>
        </is>
      </c>
      <c r="J308" s="29" t="inlineStr">
        <is>
          <t>B2</t>
        </is>
      </c>
      <c r="K308" s="29" t="inlineStr">
        <is>
          <t>▲ Up</t>
        </is>
      </c>
      <c r="L308" s="29" t="inlineStr">
        <is>
          <t>Project &amp; Program Management</t>
        </is>
      </c>
      <c r="M308" s="29" t="inlineStr">
        <is>
          <t>Project &amp; Program Delivery</t>
        </is>
      </c>
      <c r="N308" s="29" t="n"/>
      <c r="O308" s="29" t="n">
        <v>20</v>
      </c>
      <c r="P308" s="28" t="inlineStr">
        <is>
          <t>P4 / M3</t>
        </is>
      </c>
      <c r="Q308" s="29" t="inlineStr">
        <is>
          <t>Senior / Manager</t>
        </is>
      </c>
      <c r="R308" s="29" t="inlineStr">
        <is>
          <t>4–5</t>
        </is>
      </c>
      <c r="S308" s="29" t="inlineStr">
        <is>
          <t>6–9 yrs</t>
        </is>
      </c>
      <c r="T308" s="29" t="inlineStr">
        <is>
          <t>7–10 · 6–11</t>
        </is>
      </c>
      <c r="U308" s="29" t="inlineStr">
        <is>
          <t>Senior Manager</t>
        </is>
      </c>
      <c r="V308" s="29" t="inlineStr">
        <is>
          <t>IRIS Vs Competitor Benchmark — PMI pathway + SaaS delivery ladder: Senior PM</t>
        </is>
      </c>
      <c r="W308" s="29" t="inlineStr">
        <is>
          <t>PMI PMBOK and Talent Triangle; CAPM · entry → PMP → PgMP; Scrum / SAFe</t>
        </is>
      </c>
      <c r="X308" s="29" t="inlineStr">
        <is>
          <t>Core 3 · Future 3 · Functional 4 · Leadership 3</t>
        </is>
      </c>
      <c r="Y308" s="52" t="n">
        <v>272</v>
      </c>
      <c r="Z308" s="53" t="inlineStr">
        <is>
          <t>IRIS2127</t>
        </is>
      </c>
      <c r="AA308" s="53" t="inlineStr">
        <is>
          <t>Employee</t>
        </is>
      </c>
      <c r="AB308" s="53" t="inlineStr">
        <is>
          <t>Active</t>
        </is>
      </c>
      <c r="AC308" s="53" t="inlineStr">
        <is>
          <t>Yunus Patel</t>
        </is>
      </c>
      <c r="AD308" s="54" t="n">
        <v>45050</v>
      </c>
      <c r="AE308" s="53" t="inlineStr">
        <is>
          <t>Project Manager</t>
        </is>
      </c>
      <c r="AF308" s="53" t="inlineStr">
        <is>
          <t>B.Com</t>
        </is>
      </c>
      <c r="AG308" s="53" t="inlineStr">
        <is>
          <t>Izharuddin Shaikh</t>
        </is>
      </c>
      <c r="AH308" s="53" t="inlineStr">
        <is>
          <t>N-4</t>
        </is>
      </c>
      <c r="AI308" s="53" t="inlineStr">
        <is>
          <t>Manager</t>
        </is>
      </c>
      <c r="AJ308" s="53" t="inlineStr">
        <is>
          <t>19 years, 0 months, 0 days</t>
        </is>
      </c>
      <c r="AK308" s="53" t="inlineStr">
        <is>
          <t>3 years, 3 months, 21 days</t>
        </is>
      </c>
      <c r="AL308" s="53" t="inlineStr">
        <is>
          <t>Suptech</t>
        </is>
      </c>
      <c r="AM308" s="53" t="inlineStr">
        <is>
          <t>iFile</t>
        </is>
      </c>
      <c r="AN308" s="53" t="inlineStr">
        <is>
          <t>Technology</t>
        </is>
      </c>
      <c r="AO308" s="53" t="inlineStr">
        <is>
          <t>Project Management</t>
        </is>
      </c>
      <c r="AP308" s="53" t="inlineStr">
        <is>
          <t>No</t>
        </is>
      </c>
      <c r="AQ308" s="53" t="inlineStr">
        <is>
          <t>Product/Project</t>
        </is>
      </c>
      <c r="AR308" s="53" t="inlineStr">
        <is>
          <t>Project Management</t>
        </is>
      </c>
      <c r="AS308" s="53" t="inlineStr">
        <is>
          <t>Technical · BA, PM and QA</t>
        </is>
      </c>
      <c r="AT308" s="53" t="n">
        <v>20</v>
      </c>
      <c r="AU308" s="53" t="inlineStr">
        <is>
          <t>Covered</t>
        </is>
      </c>
      <c r="AV308" s="53" t="n"/>
      <c r="AW308" s="53" t="n"/>
      <c r="AX308" s="53" t="n"/>
      <c r="AY308" s="53" t="n"/>
      <c r="AZ308" s="53" t="n"/>
      <c r="BA308" s="53" t="n"/>
      <c r="BB308" s="53" t="n"/>
      <c r="BC308" s="53" t="n"/>
      <c r="BD308" s="53" t="n"/>
      <c r="BE308" s="53" t="n"/>
      <c r="BF308" s="53" t="n"/>
      <c r="BG308" s="53" t="n"/>
      <c r="BH308" s="53" t="n"/>
      <c r="BI308" s="53" t="n"/>
      <c r="BJ308" s="53" t="n"/>
      <c r="BK308" s="53" t="n"/>
      <c r="BL308" s="53" t="n"/>
      <c r="BM308" s="53" t="n"/>
      <c r="BN308" s="53" t="n"/>
      <c r="BO308" s="53" t="n"/>
      <c r="BP308" s="53" t="n"/>
      <c r="BQ308" s="53" t="n"/>
      <c r="BR308" s="53" t="n"/>
      <c r="BS308" s="53" t="n"/>
      <c r="BT308" s="53" t="n"/>
      <c r="BU308" s="53" t="n"/>
      <c r="BV308" s="53" t="n"/>
      <c r="BW308" s="53" t="n"/>
      <c r="BX308" s="53" t="n"/>
      <c r="BY308" s="53" t="n"/>
      <c r="BZ308" s="53" t="n"/>
      <c r="CA308" s="53" t="n"/>
      <c r="CB308" s="53" t="n"/>
      <c r="CC308" s="53" t="n"/>
      <c r="CD308" s="53" t="n"/>
      <c r="CE308" s="53" t="n"/>
      <c r="CF308" s="53" t="n"/>
      <c r="CG308" s="53" t="n"/>
      <c r="CH308" s="53" t="n"/>
      <c r="CI308" s="53" t="n"/>
      <c r="CJ308" s="53" t="n"/>
      <c r="CK308" s="53" t="n"/>
      <c r="CL308" s="53" t="n"/>
      <c r="CM308" s="53" t="n"/>
      <c r="CN308" s="53" t="n"/>
      <c r="CO308" s="53" t="n"/>
      <c r="CP308" s="53" t="n"/>
      <c r="CQ308" s="53" t="n"/>
      <c r="CR308" s="53" t="n"/>
      <c r="CS308" s="53" t="n"/>
      <c r="CT308" s="53" t="n"/>
      <c r="CU308" s="53" t="n"/>
      <c r="CV308" s="53" t="n"/>
      <c r="CW308" s="53" t="n"/>
      <c r="CX308" s="53" t="n"/>
      <c r="CY308" s="53" t="n"/>
      <c r="CZ308" s="53" t="n"/>
      <c r="DA308" s="53" t="n"/>
      <c r="DB308" s="53" t="n"/>
      <c r="DC308" s="53" t="n"/>
      <c r="DD308" s="53" t="inlineStr">
        <is>
          <t>IRIS2127</t>
        </is>
      </c>
      <c r="DE308" s="53" t="inlineStr">
        <is>
          <t>Employee</t>
        </is>
      </c>
      <c r="DF308" s="53" t="inlineStr">
        <is>
          <t>Active</t>
        </is>
      </c>
      <c r="DG308" s="53" t="inlineStr">
        <is>
          <t>Yunus Patel</t>
        </is>
      </c>
      <c r="DH308" s="54" t="n">
        <v>45050</v>
      </c>
      <c r="DI308" s="53" t="inlineStr">
        <is>
          <t>Project Manager</t>
        </is>
      </c>
      <c r="DJ308" s="53" t="inlineStr">
        <is>
          <t>Project &amp; Program Management</t>
        </is>
      </c>
      <c r="DK308" s="53" t="inlineStr">
        <is>
          <t>Project Management</t>
        </is>
      </c>
      <c r="DL308" s="53" t="inlineStr">
        <is>
          <t>Project Manager</t>
        </is>
      </c>
      <c r="DM308" s="53" t="inlineStr">
        <is>
          <t>L5 – Manager</t>
        </is>
      </c>
      <c r="DN308" s="53" t="inlineStr">
        <is>
          <t>B.Com</t>
        </is>
      </c>
      <c r="DO308" s="53" t="inlineStr">
        <is>
          <t>Izharuddin Shaikh</t>
        </is>
      </c>
      <c r="DP308" s="53" t="inlineStr">
        <is>
          <t>N-3</t>
        </is>
      </c>
      <c r="DQ308" s="53" t="inlineStr">
        <is>
          <t>Manager</t>
        </is>
      </c>
      <c r="DR308" s="53" t="inlineStr">
        <is>
          <t>19 years, 0 months, 0 days</t>
        </is>
      </c>
      <c r="DS308" s="53" t="inlineStr">
        <is>
          <t>3 years, 1 months, 16 days</t>
        </is>
      </c>
      <c r="DT308" s="53" t="inlineStr">
        <is>
          <t>22 years, 1 months, 16 days</t>
        </is>
      </c>
      <c r="DU308" s="53" t="n">
        <v>3.12716894977169</v>
      </c>
      <c r="DV308" s="53" t="inlineStr">
        <is>
          <t>Suptech</t>
        </is>
      </c>
      <c r="DW308" s="53" t="inlineStr">
        <is>
          <t>iFile</t>
        </is>
      </c>
      <c r="DX308" s="53" t="inlineStr">
        <is>
          <t>Technology</t>
        </is>
      </c>
      <c r="DY308" s="53" t="inlineStr">
        <is>
          <t>Project Management</t>
        </is>
      </c>
      <c r="DZ308" s="53" t="inlineStr">
        <is>
          <t>No</t>
        </is>
      </c>
      <c r="EA308" s="53" t="inlineStr">
        <is>
          <t>Product/Project</t>
        </is>
      </c>
      <c r="EB308" s="53" t="inlineStr">
        <is>
          <t>Project Management</t>
        </is>
      </c>
      <c r="EC308" s="53" t="inlineStr">
        <is>
          <t>Technical · BA, PM and QA</t>
        </is>
      </c>
      <c r="ED308" s="53" t="inlineStr">
        <is>
          <t>Client Side</t>
        </is>
      </c>
      <c r="EE308" s="53" t="n"/>
      <c r="EF308" s="53" t="inlineStr">
        <is>
          <t>1. Deliver &gt;=90% of project milestones on schedule and within agreed scope
2. Keep project budget / effort variance within +/-10% of plan
3. Maintain risk &amp; issue log with 100% items tracked to closure
4. Achieve client/stakeholder satisfaction · CSAT of &gt;=4 / 5 on delivered projects
5. Publish accurate weekly status reports with 100% on-time cadence
6. Keep resource utilisation on managed projects within target band · 75-85%
7. Ensure 100% of project closures have documented lessons learned</t>
        </is>
      </c>
      <c r="EG308" s="53" t="inlineStr">
        <is>
          <t>Q1: Deliver &gt;=90% of project milestones on schedule and within agreed scope
Q1: Keep project budget / effort variance within +/-10% of plan
Q1: Maintain risk &amp; issue log with 100% items tracked to closure
Q1: Achieve client/stakeholder satisfaction · CSAT of &gt;=4 / 5 on delivered projects
Yunus is handling the client RBI very well. 
Nowadays, the escalation from client has reduce drastically. No major hiccups in deliverying the Change Request</t>
        </is>
      </c>
      <c r="EH308" s="53" t="n">
        <v>4</v>
      </c>
      <c r="EI308" s="53" t="n"/>
      <c r="EJ308" s="53" t="inlineStr">
        <is>
          <t>Project Manager</t>
        </is>
      </c>
      <c r="EK308" s="53" t="n"/>
      <c r="EL308" s="53" t="n">
        <v>4</v>
      </c>
      <c r="EM308" s="53" t="inlineStr">
        <is>
          <t>High</t>
        </is>
      </c>
      <c r="EN308" s="53" t="inlineStr">
        <is>
          <t>Trusted Professional</t>
        </is>
      </c>
      <c r="EO308" s="53" t="inlineStr">
        <is>
          <t>No</t>
        </is>
      </c>
      <c r="EP308" s="53" t="inlineStr">
        <is>
          <t>No</t>
        </is>
      </c>
      <c r="EQ308" s="53" t="inlineStr">
        <is>
          <t>No</t>
        </is>
      </c>
      <c r="ER308" s="53" t="n"/>
      <c r="ES308" s="53" t="inlineStr">
        <is>
          <t>Agile/Scrum &amp; PMP fundamentals; risk &amp; stakeholder management; estimation; reporting/governance tools | People management: goal-setting &amp; feedback, 1:1 coaching, performance conversations</t>
        </is>
      </c>
      <c r="ET308" s="53" t="inlineStr">
        <is>
          <t>Leadership development: strategic thinking, cross-functional influence, financial/business acumen, succession &amp; talent development, change management, executive communication</t>
        </is>
      </c>
      <c r="EU308" s="53" t="n"/>
      <c r="EV308" s="53" t="n"/>
      <c r="EW308" s="52" t="n"/>
      <c r="EX308" s="53" t="n"/>
      <c r="EY308" s="53" t="n"/>
      <c r="EZ308" s="53" t="n"/>
      <c r="FA308" s="53" t="n"/>
      <c r="FB308" s="53" t="n"/>
      <c r="FC308" s="53" t="inlineStr">
        <is>
          <t>Annual KRAs · objective Measurable Minimum 5 - set by Manager</t>
        </is>
      </c>
      <c r="FD308" s="53" t="n"/>
      <c r="FE308" s="57" t="inlineStr">
        <is>
          <t>1. Deliver &gt;=90% of project milestones on schedule and within agreed scope
2. Keep project budget / effort variance within +/-10% of plan
3. Maintain risk &amp; issue log with 100% items tracked to closure
4. Achieve client/stakeholder satisfaction · CSAT of &gt;=4 / 5 on delivered projects
5. Publish accurate weekly status reports with 100% on-time cadence
6. Keep resource utilisation on managed projects within target band · 75-85%
7. Ensure 100% of project closures have documented lessons learned</t>
        </is>
      </c>
      <c r="FF308" s="56" t="inlineStr">
        <is>
          <t>Q1: Deliver &gt;=90% of project milestones on schedule and within agreed scope
Q1: Keep project budget / effort variance within +/-10% of plan
Q1: Maintain risk &amp; issue log with 100% items tracked to closure
Q1: Achieve client/stakeholder satisfaction · CSAT of &gt;=4 / 5 on delivered projects
Yunus is handling the client RBI very well. 
Nowadays, the escalation from client has reduce drastically. No major hiccups in deliverying the Change Request</t>
        </is>
      </c>
      <c r="FG308" s="56" t="n"/>
      <c r="FH308" s="56" t="inlineStr">
        <is>
          <t>4</t>
        </is>
      </c>
      <c r="FI308" s="56" t="n"/>
      <c r="FJ308" s="56" t="inlineStr">
        <is>
          <t>Received · manager annual, quarterly</t>
        </is>
      </c>
      <c r="FK308" s="56" t="inlineStr">
        <is>
          <t>Talent Mapping · iFile collated</t>
        </is>
      </c>
      <c r="FL308" s="56" t="n">
        <v>20</v>
      </c>
      <c r="FM308" s="32" t="inlineStr">
        <is>
          <t>Full survey answers not in the files received · How We Grow export needed · HR</t>
        </is>
      </c>
      <c r="FN308" s="56" t="inlineStr">
        <is>
          <t>—</t>
        </is>
      </c>
      <c r="FO308" s="56" t="inlineStr">
        <is>
          <t>—</t>
        </is>
      </c>
      <c r="FP308" s="56" t="inlineStr">
        <is>
          <t>—</t>
        </is>
      </c>
      <c r="FQ308" s="56" t="inlineStr">
        <is>
          <t>—</t>
        </is>
      </c>
      <c r="FR308" s="56" t="inlineStr">
        <is>
          <t>Complexity: Evidence reads like B1: Change-request delivery for RBI CIMS; severity assessment, root-cause analysis, client demos → moved down 0.5
Autonomy: Evidence reads like B1: Judges issue severity; decides to release CRs to UAT with open defects → moved down 0.5
Accountability: Evidence reads like B2: CR delivery for the project; client demands RCA for every delay → moved down 0.5
Leadership: Evidence reads like B1: Team management and coordination; 5 direct reports → moved down 1
Business Impact: No survey or manager-mapping signal on criticality: kept at the start point.</t>
        </is>
      </c>
      <c r="FS308" s="56" t="inlineStr">
        <is>
          <t>Common themes in role-holders' answers: project · management · support · business · stakeholder · client
Common themes in role-holders' answers: client · management · project · delivery · documentation
Common themes in role-holders' answers: project
Common themes in role-holders' answers: project · delivery · accountable · deliverables · timelines · scope quality
Common themes in role-holders' answers: project · issue
If the work is missed · role-holders' themes: client · rework · deliverables · delays.
Measured on · manager-set KRA themes: project · management · level · support · scope · client.</t>
        </is>
      </c>
      <c r="FT308" s="56" t="inlineStr">
        <is>
          <t>Self-identified: Project / programme management · Client, sales &amp; stakeholders
For the next role: Leadership &amp; people management · Project / programme management · Client, sales &amp; stakeholders · Strategy &amp; business acumen</t>
        </is>
      </c>
      <c r="FU308" s="32" t="inlineStr">
        <is>
          <t>Full survey answers not in the files received · How We Grow export needed · HR</t>
        </is>
      </c>
    </row>
    <row r="309" ht="90" customHeight="1">
      <c r="A309" s="51" t="inlineStr">
        <is>
          <t>◂ Back</t>
        </is>
      </c>
      <c r="B309" s="29" t="inlineStr">
        <is>
          <t>Mapped</t>
        </is>
      </c>
      <c r="C309" s="28" t="inlineStr">
        <is>
          <t>iFile</t>
        </is>
      </c>
      <c r="D309" s="29" t="inlineStr">
        <is>
          <t>IRIS1474</t>
        </is>
      </c>
      <c r="E309" s="29" t="inlineStr">
        <is>
          <t>Amruta Kadam</t>
        </is>
      </c>
      <c r="F309" s="29" t="inlineStr">
        <is>
          <t>Technology</t>
        </is>
      </c>
      <c r="G309" s="29" t="inlineStr">
        <is>
          <t>Tech Lead</t>
        </is>
      </c>
      <c r="H309" s="29" t="inlineStr">
        <is>
          <t>Engineering Manager</t>
        </is>
      </c>
      <c r="I309" s="29" t="inlineStr">
        <is>
          <t>L5 – Lead · IC</t>
        </is>
      </c>
      <c r="J309" s="29" t="inlineStr">
        <is>
          <t>B2</t>
        </is>
      </c>
      <c r="K309" s="29" t="inlineStr">
        <is>
          <t>▼ Down · protected</t>
        </is>
      </c>
      <c r="L309" s="29" t="inlineStr">
        <is>
          <t>Engineering &amp; Development</t>
        </is>
      </c>
      <c r="M309" s="29" t="inlineStr">
        <is>
          <t>Backend Development</t>
        </is>
      </c>
      <c r="N309" s="29" t="n"/>
      <c r="O309" s="29" t="n">
        <v>20</v>
      </c>
      <c r="P309" s="28" t="inlineStr">
        <is>
          <t>P4 / M3</t>
        </is>
      </c>
      <c r="Q309" s="29" t="inlineStr">
        <is>
          <t>Senior / Manager</t>
        </is>
      </c>
      <c r="R309" s="29" t="inlineStr">
        <is>
          <t>4–5</t>
        </is>
      </c>
      <c r="S309" s="29" t="inlineStr">
        <is>
          <t>6–9 yrs</t>
        </is>
      </c>
      <c r="T309" s="29" t="inlineStr">
        <is>
          <t>7–10 · 6–11</t>
        </is>
      </c>
      <c r="U309" s="29" t="inlineStr">
        <is>
          <t>Manager</t>
        </is>
      </c>
      <c r="V309" s="29" t="inlineStr">
        <is>
          <t>Workiva: Senior SE · Broadridge India: Lead SE · Nasdaq / AxiomSL: Senior SE · Salesforce: SMTS · Atlassian: P50 Senior · 6–12 yrs · Freshworks: Lead SE</t>
        </is>
      </c>
      <c r="W309" s="29" t="inlineStr">
        <is>
          <t>SFIA 9 · software development, programming; OWASP secure coding; cloud vendor certifications</t>
        </is>
      </c>
      <c r="X309" s="29" t="inlineStr">
        <is>
          <t>Core 3 · Future 3 · Functional 4 · Leadership 3</t>
        </is>
      </c>
      <c r="Y309" s="52" t="n">
        <v>121</v>
      </c>
      <c r="Z309" s="53" t="inlineStr">
        <is>
          <t>IRIS1474</t>
        </is>
      </c>
      <c r="AA309" s="53" t="inlineStr">
        <is>
          <t>Employee</t>
        </is>
      </c>
      <c r="AB309" s="53" t="inlineStr">
        <is>
          <t>Active</t>
        </is>
      </c>
      <c r="AC309" s="53" t="inlineStr">
        <is>
          <t>Amruta Kadam</t>
        </is>
      </c>
      <c r="AD309" s="54" t="n">
        <v>41864</v>
      </c>
      <c r="AE309" s="53" t="inlineStr">
        <is>
          <t>Tech Lead</t>
        </is>
      </c>
      <c r="AF309" s="53" t="inlineStr">
        <is>
          <t>B.E</t>
        </is>
      </c>
      <c r="AG309" s="53" t="inlineStr">
        <is>
          <t>Yunus Patel</t>
        </is>
      </c>
      <c r="AH309" s="53" t="inlineStr">
        <is>
          <t>N-5</t>
        </is>
      </c>
      <c r="AI309" s="53" t="inlineStr">
        <is>
          <t>Manager</t>
        </is>
      </c>
      <c r="AJ309" s="53" t="inlineStr">
        <is>
          <t>0 years, 0 months, 0 days</t>
        </is>
      </c>
      <c r="AK309" s="53" t="inlineStr">
        <is>
          <t>12 years, 0 months, 12 days</t>
        </is>
      </c>
      <c r="AL309" s="53" t="inlineStr">
        <is>
          <t>Suptech</t>
        </is>
      </c>
      <c r="AM309" s="53" t="inlineStr">
        <is>
          <t>iFile</t>
        </is>
      </c>
      <c r="AN309" s="53" t="inlineStr">
        <is>
          <t>Technology</t>
        </is>
      </c>
      <c r="AO309" s="53" t="inlineStr">
        <is>
          <t>Development</t>
        </is>
      </c>
      <c r="AP309" s="53" t="inlineStr">
        <is>
          <t>Yes</t>
        </is>
      </c>
      <c r="AQ309" s="53" t="inlineStr">
        <is>
          <t>Product/Project</t>
        </is>
      </c>
      <c r="AR309" s="53" t="inlineStr">
        <is>
          <t>Java</t>
        </is>
      </c>
      <c r="AS309" s="53" t="inlineStr">
        <is>
          <t>Technical - Developer</t>
        </is>
      </c>
      <c r="AT309" s="53" t="n">
        <v>20</v>
      </c>
      <c r="AU309" s="53" t="inlineStr">
        <is>
          <t>Covered</t>
        </is>
      </c>
      <c r="AV309" s="53" t="n"/>
      <c r="AW309" s="53" t="n"/>
      <c r="AX309" s="53" t="n"/>
      <c r="AY309" s="53" t="n"/>
      <c r="AZ309" s="53" t="n"/>
      <c r="BA309" s="53" t="n"/>
      <c r="BB309" s="53" t="n"/>
      <c r="BC309" s="53" t="n"/>
      <c r="BD309" s="53" t="n"/>
      <c r="BE309" s="53" t="n"/>
      <c r="BF309" s="53" t="n"/>
      <c r="BG309" s="53" t="n"/>
      <c r="BH309" s="53" t="n"/>
      <c r="BI309" s="53" t="n"/>
      <c r="BJ309" s="53" t="n"/>
      <c r="BK309" s="53" t="n"/>
      <c r="BL309" s="53" t="n"/>
      <c r="BM309" s="53" t="n"/>
      <c r="BN309" s="53" t="n"/>
      <c r="BO309" s="53" t="n"/>
      <c r="BP309" s="53" t="n"/>
      <c r="BQ309" s="53" t="n"/>
      <c r="BR309" s="53" t="n"/>
      <c r="BS309" s="53" t="n"/>
      <c r="BT309" s="53" t="n"/>
      <c r="BU309" s="53" t="n"/>
      <c r="BV309" s="53" t="n"/>
      <c r="BW309" s="53" t="n"/>
      <c r="BX309" s="53" t="n"/>
      <c r="BY309" s="53" t="n"/>
      <c r="BZ309" s="53" t="n"/>
      <c r="CA309" s="53" t="n"/>
      <c r="CB309" s="53" t="n"/>
      <c r="CC309" s="53" t="n"/>
      <c r="CD309" s="53" t="n"/>
      <c r="CE309" s="53" t="n"/>
      <c r="CF309" s="53" t="n"/>
      <c r="CG309" s="53" t="n"/>
      <c r="CH309" s="53" t="n"/>
      <c r="CI309" s="53" t="n"/>
      <c r="CJ309" s="53" t="n"/>
      <c r="CK309" s="53" t="n"/>
      <c r="CL309" s="53" t="n"/>
      <c r="CM309" s="53" t="n"/>
      <c r="CN309" s="53" t="n"/>
      <c r="CO309" s="53" t="n"/>
      <c r="CP309" s="53" t="n"/>
      <c r="CQ309" s="53" t="n"/>
      <c r="CR309" s="53" t="n"/>
      <c r="CS309" s="53" t="n"/>
      <c r="CT309" s="53" t="n"/>
      <c r="CU309" s="53" t="n"/>
      <c r="CV309" s="53" t="n"/>
      <c r="CW309" s="53" t="n"/>
      <c r="CX309" s="53" t="n"/>
      <c r="CY309" s="53" t="n"/>
      <c r="CZ309" s="53" t="n"/>
      <c r="DA309" s="53" t="n"/>
      <c r="DB309" s="53" t="n"/>
      <c r="DC309" s="53" t="n"/>
      <c r="DD309" s="53" t="inlineStr">
        <is>
          <t>IRIS1474</t>
        </is>
      </c>
      <c r="DE309" s="53" t="inlineStr">
        <is>
          <t>Employee</t>
        </is>
      </c>
      <c r="DF309" s="53" t="inlineStr">
        <is>
          <t>Active</t>
        </is>
      </c>
      <c r="DG309" s="53" t="inlineStr">
        <is>
          <t>Amruta Kadam</t>
        </is>
      </c>
      <c r="DH309" s="54" t="n">
        <v>41864</v>
      </c>
      <c r="DI309" s="53" t="inlineStr">
        <is>
          <t>Tech Lead</t>
        </is>
      </c>
      <c r="DJ309" s="53" t="inlineStr">
        <is>
          <t>Engineering &amp; Development</t>
        </is>
      </c>
      <c r="DK309" s="53" t="inlineStr">
        <is>
          <t>Backend Engineering · Java</t>
        </is>
      </c>
      <c r="DL309" s="53" t="inlineStr">
        <is>
          <t>Tech Lead</t>
        </is>
      </c>
      <c r="DM309" s="53" t="inlineStr">
        <is>
          <t>L5 – Lead · IC</t>
        </is>
      </c>
      <c r="DN309" s="53" t="inlineStr">
        <is>
          <t>B.E</t>
        </is>
      </c>
      <c r="DO309" s="53" t="inlineStr">
        <is>
          <t>Yunus Patel</t>
        </is>
      </c>
      <c r="DP309" s="53" t="inlineStr">
        <is>
          <t>N-4</t>
        </is>
      </c>
      <c r="DQ309" s="53" t="inlineStr">
        <is>
          <t>Manager</t>
        </is>
      </c>
      <c r="DR309" s="53" t="inlineStr">
        <is>
          <t>0 years, 0 months, 0 days</t>
        </is>
      </c>
      <c r="DS309" s="53" t="inlineStr">
        <is>
          <t>11 years, 10 months, 7 days</t>
        </is>
      </c>
      <c r="DT309" s="53" t="inlineStr">
        <is>
          <t>11 years, 10 months, 7 days</t>
        </is>
      </c>
      <c r="DU309" s="53" t="n">
        <v>11.8525114155251</v>
      </c>
      <c r="DV309" s="53" t="inlineStr">
        <is>
          <t>Suptech</t>
        </is>
      </c>
      <c r="DW309" s="53" t="inlineStr">
        <is>
          <t>iFile</t>
        </is>
      </c>
      <c r="DX309" s="53" t="inlineStr">
        <is>
          <t>Technology</t>
        </is>
      </c>
      <c r="DY309" s="53" t="inlineStr">
        <is>
          <t>Development</t>
        </is>
      </c>
      <c r="DZ309" s="53" t="inlineStr">
        <is>
          <t>Yes</t>
        </is>
      </c>
      <c r="EA309" s="53" t="inlineStr">
        <is>
          <t>Product/Project</t>
        </is>
      </c>
      <c r="EB309" s="53" t="inlineStr">
        <is>
          <t>Java</t>
        </is>
      </c>
      <c r="EC309" s="53" t="inlineStr">
        <is>
          <t>Technical - Developer</t>
        </is>
      </c>
      <c r="ED309" s="53" t="inlineStr">
        <is>
          <t>Remote - Mumbai</t>
        </is>
      </c>
      <c r="EE309" s="53" t="n"/>
      <c r="EF309" s="53" t="inlineStr">
        <is>
          <t>1. Deliver team release roadmap on schedule: &gt;=90% of committed releases on time
2. Keep team sprint velocity stable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EG309" s="53" t="inlineStr">
        <is>
          <t>Q1: Deliver team release roadmap on schedule: &gt;=90% of committed releases on time
Q1: Keep team sprint velocity stable and defect leakage &lt;=5%
Q1: Drive production stability: critical incidents resolved within SLA &gt;=95%
Q1: Reduce module-level tech debt by &gt;=15% via refactoring / reusable components
Amruta is handling her team very well related to XBRL, now she need increase her horizon and start understanding of NON XBRL.</t>
        </is>
      </c>
      <c r="EH309" s="53" t="n">
        <v>4</v>
      </c>
      <c r="EI309" s="53" t="n"/>
      <c r="EJ309" s="53" t="inlineStr">
        <is>
          <t>Tech Lead</t>
        </is>
      </c>
      <c r="EK309" s="53" t="n"/>
      <c r="EL309" s="53" t="n">
        <v>4</v>
      </c>
      <c r="EM309" s="53" t="inlineStr">
        <is>
          <t>High</t>
        </is>
      </c>
      <c r="EN309" s="53" t="inlineStr">
        <is>
          <t>Future Leader</t>
        </is>
      </c>
      <c r="EO309" s="53" t="inlineStr">
        <is>
          <t>No</t>
        </is>
      </c>
      <c r="EP309" s="53" t="inlineStr">
        <is>
          <t>No</t>
        </is>
      </c>
      <c r="EQ309" s="53" t="inlineStr">
        <is>
          <t>No</t>
        </is>
      </c>
      <c r="ER309" s="53" t="n"/>
      <c r="ES309" s="53" t="inlineStr">
        <is>
          <t>Advanced Java; secure coding &amp; code-quality practices; unit/automated testing; system design fundamentals | People management: goal-setting &amp; feedback, 1:1 coaching, performance conversations</t>
        </is>
      </c>
      <c r="ET309" s="53" t="inlineStr">
        <is>
          <t>Leadership development: strategic thinking, cross-functional influence, financial/business acumen, succession &amp; talent development, change management, executive communication</t>
        </is>
      </c>
      <c r="EU309" s="53" t="n"/>
      <c r="EV309" s="53" t="n"/>
      <c r="EW309" s="52" t="n"/>
      <c r="EX309" s="53" t="n"/>
      <c r="EY309" s="53" t="n"/>
      <c r="EZ309" s="53" t="n"/>
      <c r="FA309" s="53" t="n"/>
      <c r="FB309" s="53" t="n"/>
      <c r="FC309" s="53" t="n"/>
      <c r="FD309" s="53" t="n"/>
      <c r="FE309" s="57" t="inlineStr">
        <is>
          <t>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FF309" s="56" t="inlineStr">
        <is>
          <t>Q1: Deliver team release roadmap on schedule: &gt;=90% of committed releases on time
Q1: Keep team sprint velocity stable · +/-10% and defect leakage &lt;=5%
Q1: Drive production stability: critical incidents resolved within SLA &gt;=95%
Q1: Reduce module-level tech debt by &gt;=15% via refactoring / reusable components
Amruta is handling her team very well related to XBRL, now she need increase her horizon and start understanding of NON XBRL.</t>
        </is>
      </c>
      <c r="FG309" s="56" t="n"/>
      <c r="FH309" s="56" t="inlineStr">
        <is>
          <t>4</t>
        </is>
      </c>
      <c r="FI309" s="56" t="n"/>
      <c r="FJ309" s="56" t="inlineStr">
        <is>
          <t>Received · manager annual, quarterly</t>
        </is>
      </c>
      <c r="FK309" s="56" t="inlineStr">
        <is>
          <t>Talent Mapping · iFile collated</t>
        </is>
      </c>
      <c r="FL309" s="56" t="n">
        <v>20</v>
      </c>
      <c r="FM309" s="32" t="inlineStr">
        <is>
          <t>Full survey answers not in the files received · How We Grow export needed · HR</t>
        </is>
      </c>
      <c r="FN309" s="56" t="inlineStr">
        <is>
          <t>—</t>
        </is>
      </c>
      <c r="FO309" s="56" t="inlineStr">
        <is>
          <t>—</t>
        </is>
      </c>
      <c r="FP309" s="56" t="inlineStr">
        <is>
          <t>—</t>
        </is>
      </c>
      <c r="FQ309" s="56" t="inlineStr">
        <is>
          <t>—</t>
        </is>
      </c>
      <c r="FR309" s="56" t="inlineStr">
        <is>
          <t>Complexity: Evidence reads like B2: Leads a complex Java migration and analyses and resolves major production issues on critical systems → matches the start
Autonomy: Evidence reads like B1: Makes the technical decisions for the application and team → moved down 0.5
Accountability: Evidence reads like B2: own survey / KRA answers · summarised by the rater; not quoted → matches the start
Leadership: Evidence reads like B2: Technical leadership and guidance for six direct reports; manager notes she handles her team well → matches the start
Business Impact: No survey or manager-mapping signal on criticality: kept at the start point.</t>
        </is>
      </c>
      <c r="FS309" s="56"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FT309" s="56" t="inlineStr">
        <is>
          <t>Self-identified: AI / automation · Leadership &amp; people management · Technical depth &amp; architecture · Product &amp; tool knowledge · Strategy &amp; business acumen
For the next role: AI / automation · Leadership &amp; people management · Technical depth &amp; architecture · Product &amp; tool knowledge · Strategy &amp; business acumen</t>
        </is>
      </c>
      <c r="FU309" s="32" t="inlineStr">
        <is>
          <t>Full survey answers not in the files received · How We Grow export needed · HR</t>
        </is>
      </c>
    </row>
    <row r="310" ht="90" customHeight="1">
      <c r="A310" s="51" t="inlineStr">
        <is>
          <t>◂ Back</t>
        </is>
      </c>
      <c r="B310" s="29" t="inlineStr">
        <is>
          <t>Mapped</t>
        </is>
      </c>
      <c r="C310" s="28" t="inlineStr">
        <is>
          <t>iFile</t>
        </is>
      </c>
      <c r="D310" s="29" t="inlineStr">
        <is>
          <t>IRIS2028</t>
        </is>
      </c>
      <c r="E310" s="29" t="inlineStr">
        <is>
          <t>Akhilesh Gore</t>
        </is>
      </c>
      <c r="F310" s="29" t="inlineStr">
        <is>
          <t>Technology</t>
        </is>
      </c>
      <c r="G310" s="29" t="inlineStr">
        <is>
          <t>Software Engineer</t>
        </is>
      </c>
      <c r="H310" s="29" t="inlineStr">
        <is>
          <t>Senior DevOps Engineer</t>
        </is>
      </c>
      <c r="I310" s="29" t="inlineStr">
        <is>
          <t>L3 – Professional / Associate</t>
        </is>
      </c>
      <c r="J310" s="29" t="inlineStr">
        <is>
          <t>A3</t>
        </is>
      </c>
      <c r="K310" s="29" t="inlineStr">
        <is>
          <t>▲ Up</t>
        </is>
      </c>
      <c r="L310" s="29" t="inlineStr">
        <is>
          <t>Engineering &amp; Development</t>
        </is>
      </c>
      <c r="M310" s="29" t="inlineStr">
        <is>
          <t>DevOps &amp; Release Engineering</t>
        </is>
      </c>
      <c r="N310" s="29" t="n"/>
      <c r="O310" s="29" t="n">
        <v>20</v>
      </c>
      <c r="P310" s="28" t="inlineStr">
        <is>
          <t>P2</t>
        </is>
      </c>
      <c r="Q310" s="29" t="inlineStr">
        <is>
          <t>Developing</t>
        </is>
      </c>
      <c r="R310" s="29" t="inlineStr">
        <is>
          <t>3 Apply</t>
        </is>
      </c>
      <c r="S310" s="29" t="inlineStr">
        <is>
          <t>2–4 yrs</t>
        </is>
      </c>
      <c r="T310" s="29" t="inlineStr">
        <is>
          <t>3–5 · 2–5</t>
        </is>
      </c>
      <c r="U310" s="29" t="inlineStr">
        <is>
          <t>Software Engineer</t>
        </is>
      </c>
      <c r="V310" s="29" t="inlineStr">
        <is>
          <t>Workiva: SE · Broadridge India: SE · Nasdaq / AxiomSL: SE · Salesforce: MTS · Atlassian: P40 · 3–7 yrs · Freshworks: Senior SE</t>
        </is>
      </c>
      <c r="W310" s="29" t="inlineStr">
        <is>
          <t>SFIA 9 · software development, programming; OWASP secure coding; cloud vendor certifications</t>
        </is>
      </c>
      <c r="X310" s="29" t="inlineStr">
        <is>
          <t>Core 2 · Future 2 · Functional 3 · Leadership not scored</t>
        </is>
      </c>
      <c r="Y310" s="52" t="n">
        <v>223</v>
      </c>
      <c r="Z310" s="53" t="inlineStr">
        <is>
          <t>IRIS2028</t>
        </is>
      </c>
      <c r="AA310" s="53" t="inlineStr">
        <is>
          <t>Employee</t>
        </is>
      </c>
      <c r="AB310" s="53" t="inlineStr">
        <is>
          <t>Active</t>
        </is>
      </c>
      <c r="AC310" s="53" t="inlineStr">
        <is>
          <t>Akhilesh Gore</t>
        </is>
      </c>
      <c r="AD310" s="54" t="n">
        <v>44728</v>
      </c>
      <c r="AE310" s="53" t="inlineStr">
        <is>
          <t>Software Engineer</t>
        </is>
      </c>
      <c r="AF310" s="53" t="inlineStr">
        <is>
          <t>B.SC</t>
        </is>
      </c>
      <c r="AG310" s="53" t="inlineStr">
        <is>
          <t>Amruta Kadam</t>
        </is>
      </c>
      <c r="AH310" s="53" t="inlineStr">
        <is>
          <t>N-6</t>
        </is>
      </c>
      <c r="AI310" s="53" t="inlineStr">
        <is>
          <t>Individual Contributor</t>
        </is>
      </c>
      <c r="AJ310" s="53" t="inlineStr">
        <is>
          <t>2 years, 5 months, 0 days</t>
        </is>
      </c>
      <c r="AK310" s="53" t="inlineStr">
        <is>
          <t>4 years, 2 months, 9 days</t>
        </is>
      </c>
      <c r="AL310" s="53" t="inlineStr">
        <is>
          <t>Suptech</t>
        </is>
      </c>
      <c r="AM310" s="53" t="inlineStr">
        <is>
          <t>iFile</t>
        </is>
      </c>
      <c r="AN310" s="53" t="inlineStr">
        <is>
          <t>Technology</t>
        </is>
      </c>
      <c r="AO310" s="53" t="inlineStr">
        <is>
          <t>Development</t>
        </is>
      </c>
      <c r="AP310" s="53" t="inlineStr">
        <is>
          <t>Yes</t>
        </is>
      </c>
      <c r="AQ310" s="53" t="inlineStr">
        <is>
          <t>Product/Project</t>
        </is>
      </c>
      <c r="AR310" s="53" t="inlineStr">
        <is>
          <t>Software Deployment</t>
        </is>
      </c>
      <c r="AS310" s="53" t="inlineStr">
        <is>
          <t>Technical - Developer</t>
        </is>
      </c>
      <c r="AT310" s="53" t="n">
        <v>20</v>
      </c>
      <c r="AU310" s="53" t="inlineStr">
        <is>
          <t>Covered</t>
        </is>
      </c>
      <c r="AV310" s="53" t="n"/>
      <c r="AW310" s="53" t="n"/>
      <c r="AX310" s="53" t="n"/>
      <c r="AY310" s="53" t="n"/>
      <c r="AZ310" s="53" t="n"/>
      <c r="BA310" s="53" t="n"/>
      <c r="BB310" s="53" t="n"/>
      <c r="BC310" s="53" t="n"/>
      <c r="BD310" s="53" t="n"/>
      <c r="BE310" s="53" t="n"/>
      <c r="BF310" s="53" t="n"/>
      <c r="BG310" s="53" t="n"/>
      <c r="BH310" s="53" t="n"/>
      <c r="BI310" s="53" t="n"/>
      <c r="BJ310" s="53" t="n"/>
      <c r="BK310" s="53" t="n"/>
      <c r="BL310" s="53" t="n"/>
      <c r="BM310" s="53" t="n"/>
      <c r="BN310" s="53" t="n"/>
      <c r="BO310" s="53" t="n"/>
      <c r="BP310" s="53" t="n"/>
      <c r="BQ310" s="53" t="n"/>
      <c r="BR310" s="53" t="n"/>
      <c r="BS310" s="53" t="n"/>
      <c r="BT310" s="53" t="n"/>
      <c r="BU310" s="53" t="n"/>
      <c r="BV310" s="53" t="n"/>
      <c r="BW310" s="53" t="n"/>
      <c r="BX310" s="53" t="n"/>
      <c r="BY310" s="53" t="n"/>
      <c r="BZ310" s="53" t="n"/>
      <c r="CA310" s="53" t="n"/>
      <c r="CB310" s="53" t="n"/>
      <c r="CC310" s="53" t="n"/>
      <c r="CD310" s="53" t="n"/>
      <c r="CE310" s="53" t="n"/>
      <c r="CF310" s="53" t="n"/>
      <c r="CG310" s="53" t="n"/>
      <c r="CH310" s="53" t="n"/>
      <c r="CI310" s="53" t="n"/>
      <c r="CJ310" s="53" t="n"/>
      <c r="CK310" s="53" t="n"/>
      <c r="CL310" s="53" t="n"/>
      <c r="CM310" s="53" t="n"/>
      <c r="CN310" s="53" t="n"/>
      <c r="CO310" s="53" t="n"/>
      <c r="CP310" s="53" t="n"/>
      <c r="CQ310" s="53" t="n"/>
      <c r="CR310" s="53" t="n"/>
      <c r="CS310" s="53" t="n"/>
      <c r="CT310" s="53" t="n"/>
      <c r="CU310" s="53" t="n"/>
      <c r="CV310" s="53" t="n"/>
      <c r="CW310" s="53" t="n"/>
      <c r="CX310" s="53" t="n"/>
      <c r="CY310" s="53" t="n"/>
      <c r="CZ310" s="53" t="n"/>
      <c r="DA310" s="53" t="n"/>
      <c r="DB310" s="53" t="n"/>
      <c r="DC310" s="53" t="n"/>
      <c r="DD310" s="53" t="inlineStr">
        <is>
          <t>IRIS2028</t>
        </is>
      </c>
      <c r="DE310" s="53" t="inlineStr">
        <is>
          <t>Employee</t>
        </is>
      </c>
      <c r="DF310" s="53" t="inlineStr">
        <is>
          <t>Active</t>
        </is>
      </c>
      <c r="DG310" s="53" t="inlineStr">
        <is>
          <t>Akhilesh Gore</t>
        </is>
      </c>
      <c r="DH310" s="54" t="n">
        <v>44728</v>
      </c>
      <c r="DI310" s="53" t="inlineStr">
        <is>
          <t>Software Engineer</t>
        </is>
      </c>
      <c r="DJ310" s="53" t="inlineStr">
        <is>
          <t>Engineering &amp; Development</t>
        </is>
      </c>
      <c r="DK310" s="53" t="inlineStr">
        <is>
          <t>Software Engineering</t>
        </is>
      </c>
      <c r="DL310" s="53" t="inlineStr">
        <is>
          <t>Software Engineer</t>
        </is>
      </c>
      <c r="DM310" s="53" t="inlineStr">
        <is>
          <t>L3 – Professional / Associate</t>
        </is>
      </c>
      <c r="DN310" s="53" t="inlineStr">
        <is>
          <t>B.SC</t>
        </is>
      </c>
      <c r="DO310" s="53" t="inlineStr">
        <is>
          <t>Amruta Kadam</t>
        </is>
      </c>
      <c r="DP310" s="53" t="inlineStr">
        <is>
          <t>N-5</t>
        </is>
      </c>
      <c r="DQ310" s="53" t="inlineStr">
        <is>
          <t>Individual Contributor</t>
        </is>
      </c>
      <c r="DR310" s="53" t="inlineStr">
        <is>
          <t>2 years, 5 months, 0 days</t>
        </is>
      </c>
      <c r="DS310" s="53" t="inlineStr">
        <is>
          <t>4 years, 0 months, 4 days</t>
        </is>
      </c>
      <c r="DT310" s="53" t="inlineStr">
        <is>
          <t>6 years, 5 months, 4 days</t>
        </is>
      </c>
      <c r="DU310" s="53" t="n"/>
      <c r="DV310" s="53" t="inlineStr">
        <is>
          <t>Suptech</t>
        </is>
      </c>
      <c r="DW310" s="53" t="inlineStr">
        <is>
          <t>iFile</t>
        </is>
      </c>
      <c r="DX310" s="53" t="inlineStr">
        <is>
          <t>Technology</t>
        </is>
      </c>
      <c r="DY310" s="53" t="inlineStr">
        <is>
          <t>Development</t>
        </is>
      </c>
      <c r="DZ310" s="53" t="inlineStr">
        <is>
          <t>Yes</t>
        </is>
      </c>
      <c r="EA310" s="53" t="inlineStr">
        <is>
          <t>Product/Project</t>
        </is>
      </c>
      <c r="EB310" s="53" t="inlineStr">
        <is>
          <t>Software Deployment</t>
        </is>
      </c>
      <c r="EC310" s="53" t="inlineStr">
        <is>
          <t>Technical - Developer</t>
        </is>
      </c>
      <c r="ED310" s="53" t="inlineStr">
        <is>
          <t>Client Side</t>
        </is>
      </c>
      <c r="EE310" s="53" t="n"/>
      <c r="EF310"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310"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Akhilesh is delivering things on time. he needs to learn new technology so that he can improve from delivery perspective</t>
        </is>
      </c>
      <c r="EH310" s="53" t="n">
        <v>3</v>
      </c>
      <c r="EI310" s="53" t="n"/>
      <c r="EJ310" s="53" t="inlineStr">
        <is>
          <t>Senior Software Engineer · review – experience supports senior band</t>
        </is>
      </c>
      <c r="EK310" s="53" t="n"/>
      <c r="EL310" s="53" t="n">
        <v>3</v>
      </c>
      <c r="EM310" s="53" t="inlineStr">
        <is>
          <t>Low</t>
        </is>
      </c>
      <c r="EN310" s="53" t="inlineStr">
        <is>
          <t>Core Contributor</t>
        </is>
      </c>
      <c r="EO310" s="53" t="inlineStr">
        <is>
          <t>No</t>
        </is>
      </c>
      <c r="EP310" s="53" t="inlineStr">
        <is>
          <t>No</t>
        </is>
      </c>
      <c r="EQ310" s="53" t="inlineStr">
        <is>
          <t>No</t>
        </is>
      </c>
      <c r="ER310" s="53" t="n"/>
      <c r="ES310" s="53" t="inlineStr">
        <is>
          <t>Advanced Software Deployment; secure coding &amp; code-quality practices; unit/automated testing; system design fundamentals</t>
        </is>
      </c>
      <c r="ET310" s="53" t="inlineStr">
        <is>
          <t>Transition to leadership: people management &amp; delegation, mentoring/coaching, project ownership &amp; stakeholder management, prioritisation under ambiguity, presentation &amp; influence skills</t>
        </is>
      </c>
      <c r="EU310" s="53" t="n"/>
      <c r="EV310" s="53" t="n"/>
      <c r="EW310" s="52" t="n"/>
      <c r="EX310" s="53" t="n"/>
      <c r="EY310" s="53" t="n"/>
      <c r="EZ310" s="53" t="n"/>
      <c r="FA310" s="53" t="n"/>
      <c r="FB310" s="53" t="n"/>
      <c r="FC310" s="53" t="n"/>
      <c r="FD310" s="53" t="n"/>
      <c r="FE310"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310"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Akhilesh is delivering  things on time. he needs to learn new technology so that he can improve from delivery perspective</t>
        </is>
      </c>
      <c r="FG310" s="56" t="n"/>
      <c r="FH310" s="56" t="inlineStr">
        <is>
          <t>3</t>
        </is>
      </c>
      <c r="FI310" s="56" t="n"/>
      <c r="FJ310" s="56" t="inlineStr">
        <is>
          <t>Received · manager annual, quarterly</t>
        </is>
      </c>
      <c r="FK310" s="56" t="inlineStr">
        <is>
          <t>Talent Mapping · iFile collated</t>
        </is>
      </c>
      <c r="FL310" s="56" t="n">
        <v>20</v>
      </c>
      <c r="FM310" s="32" t="inlineStr">
        <is>
          <t>Full survey answers not in the files received · How We Grow export needed · HR</t>
        </is>
      </c>
      <c r="FN310" s="56" t="inlineStr">
        <is>
          <t>—</t>
        </is>
      </c>
      <c r="FO310" s="56" t="inlineStr">
        <is>
          <t>—</t>
        </is>
      </c>
      <c r="FP310" s="56" t="inlineStr">
        <is>
          <t>—</t>
        </is>
      </c>
      <c r="FQ310" s="56" t="inlineStr">
        <is>
          <t>—</t>
        </is>
      </c>
      <c r="FR310" s="56" t="inlineStr">
        <is>
          <t>Complexity: Evidence reads like A2: Triages incidents, monitors system health, executes standard runbooks, escalates critical bugs → matches the start
Autonomy: Evidence reads like A2: Applies established runbook steps and known workarounds; escalates for root cause → matches the start
Accountability: Evidence reads like A3: Incident response and downtime on live production; outages breach SLAs → moved up 0.5
Leadership: Evidence reads like A1: No guidance of others described → matches the start
Business Impact: No survey or manager-mapping signal on criticality: kept at the start point.</t>
        </is>
      </c>
      <c r="FS310" s="56" t="inlineStr">
        <is>
          <t>Common themes in sub-family holders, all levels' answers: support · devops activities
Common themes in sub-family holders, all levels' answers: application
If the work is missed · role-holders' themes: level.</t>
        </is>
      </c>
      <c r="FT310" s="56" t="inlineStr">
        <is>
          <t>Self-identified: Technical depth &amp; architecture · Product &amp; tool knowledge
For the next role: Technical depth &amp; architecture · Product &amp; tool knowledge</t>
        </is>
      </c>
      <c r="FU310" s="32" t="inlineStr">
        <is>
          <t>Full survey answers not in the files received · How We Grow export needed · HR</t>
        </is>
      </c>
    </row>
    <row r="311" ht="90" customHeight="1">
      <c r="A311" s="51" t="inlineStr">
        <is>
          <t>◂ Back</t>
        </is>
      </c>
      <c r="B311" s="29" t="inlineStr">
        <is>
          <t>Mapped</t>
        </is>
      </c>
      <c r="C311" s="28" t="inlineStr">
        <is>
          <t>iFile</t>
        </is>
      </c>
      <c r="D311" s="29" t="inlineStr">
        <is>
          <t>IRIS2089</t>
        </is>
      </c>
      <c r="E311" s="29" t="inlineStr">
        <is>
          <t>Nilesh Mohite</t>
        </is>
      </c>
      <c r="F311" s="29" t="inlineStr">
        <is>
          <t>Technology</t>
        </is>
      </c>
      <c r="G311" s="29" t="inlineStr">
        <is>
          <t>Software Engineer</t>
        </is>
      </c>
      <c r="H311" s="29" t="inlineStr">
        <is>
          <t>Senior Software Engineer</t>
        </is>
      </c>
      <c r="I311" s="29" t="inlineStr">
        <is>
          <t>L3 – Professional / Associate</t>
        </is>
      </c>
      <c r="J311" s="29" t="inlineStr">
        <is>
          <t>A3</t>
        </is>
      </c>
      <c r="K311" s="29" t="inlineStr">
        <is>
          <t>▲ Up</t>
        </is>
      </c>
      <c r="L311" s="29" t="inlineStr">
        <is>
          <t>Engineering &amp; Development</t>
        </is>
      </c>
      <c r="M311" s="29" t="inlineStr">
        <is>
          <t>Backend Development</t>
        </is>
      </c>
      <c r="N311" s="29" t="n"/>
      <c r="O311" s="29" t="n">
        <v>20</v>
      </c>
      <c r="P311" s="28" t="inlineStr">
        <is>
          <t>P2</t>
        </is>
      </c>
      <c r="Q311" s="29" t="inlineStr">
        <is>
          <t>Developing</t>
        </is>
      </c>
      <c r="R311" s="29" t="inlineStr">
        <is>
          <t>3 Apply</t>
        </is>
      </c>
      <c r="S311" s="29" t="inlineStr">
        <is>
          <t>2–4 yrs</t>
        </is>
      </c>
      <c r="T311" s="29" t="inlineStr">
        <is>
          <t>3–5 · 2–5</t>
        </is>
      </c>
      <c r="U311" s="29" t="inlineStr">
        <is>
          <t>Software Engineer</t>
        </is>
      </c>
      <c r="V311" s="29" t="inlineStr">
        <is>
          <t>Workiva: SE · Broadridge India: SE · Nasdaq / AxiomSL: SE · Salesforce: MTS · Atlassian: P40 · 3–7 yrs · Freshworks: Senior SE</t>
        </is>
      </c>
      <c r="W311" s="29" t="inlineStr">
        <is>
          <t>SFIA 9 · software development, programming; OWASP secure coding; cloud vendor certifications</t>
        </is>
      </c>
      <c r="X311" s="29" t="inlineStr">
        <is>
          <t>Core 2 · Future 2 · Functional 3 · Leadership not scored</t>
        </is>
      </c>
      <c r="Y311" s="52" t="n">
        <v>258</v>
      </c>
      <c r="Z311" s="53" t="inlineStr">
        <is>
          <t>IRIS2089</t>
        </is>
      </c>
      <c r="AA311" s="53" t="inlineStr">
        <is>
          <t>Employee</t>
        </is>
      </c>
      <c r="AB311" s="53" t="inlineStr">
        <is>
          <t>Active</t>
        </is>
      </c>
      <c r="AC311" s="53" t="inlineStr">
        <is>
          <t>Nilesh Mohite</t>
        </is>
      </c>
      <c r="AD311" s="54" t="n">
        <v>44928</v>
      </c>
      <c r="AE311" s="53" t="inlineStr">
        <is>
          <t>Software Engineer</t>
        </is>
      </c>
      <c r="AF311" s="53" t="inlineStr">
        <is>
          <t>B.E</t>
        </is>
      </c>
      <c r="AG311" s="53" t="inlineStr">
        <is>
          <t>Amruta Kadam</t>
        </is>
      </c>
      <c r="AH311" s="53" t="inlineStr">
        <is>
          <t>N-6</t>
        </is>
      </c>
      <c r="AI311" s="53" t="inlineStr">
        <is>
          <t>Individual Contributor</t>
        </is>
      </c>
      <c r="AJ311" s="53" t="inlineStr">
        <is>
          <t>1 years, 6 months, 12 days</t>
        </is>
      </c>
      <c r="AK311" s="53" t="inlineStr">
        <is>
          <t>3 years, 7 months, 23 days</t>
        </is>
      </c>
      <c r="AL311" s="53" t="inlineStr">
        <is>
          <t>Suptech</t>
        </is>
      </c>
      <c r="AM311" s="53" t="inlineStr">
        <is>
          <t>iFile</t>
        </is>
      </c>
      <c r="AN311" s="53" t="inlineStr">
        <is>
          <t>Technology</t>
        </is>
      </c>
      <c r="AO311" s="53" t="inlineStr">
        <is>
          <t>Development</t>
        </is>
      </c>
      <c r="AP311" s="53" t="inlineStr">
        <is>
          <t>Yes</t>
        </is>
      </c>
      <c r="AQ311" s="53" t="inlineStr">
        <is>
          <t>Product/Project</t>
        </is>
      </c>
      <c r="AR311" s="53" t="inlineStr">
        <is>
          <t>Java</t>
        </is>
      </c>
      <c r="AS311" s="53" t="inlineStr">
        <is>
          <t>Technical - Developer</t>
        </is>
      </c>
      <c r="AT311" s="53" t="n">
        <v>20</v>
      </c>
      <c r="AU311" s="53" t="inlineStr">
        <is>
          <t>Covered</t>
        </is>
      </c>
      <c r="AV311" s="53" t="n"/>
      <c r="AW311" s="53" t="n"/>
      <c r="AX311" s="53" t="n"/>
      <c r="AY311" s="53" t="n"/>
      <c r="AZ311" s="53" t="n"/>
      <c r="BA311" s="53" t="n"/>
      <c r="BB311" s="53" t="n"/>
      <c r="BC311" s="53" t="n"/>
      <c r="BD311" s="53" t="n"/>
      <c r="BE311" s="53" t="n"/>
      <c r="BF311" s="53" t="n"/>
      <c r="BG311" s="53" t="n"/>
      <c r="BH311" s="53" t="n"/>
      <c r="BI311" s="53" t="n"/>
      <c r="BJ311" s="53" t="n"/>
      <c r="BK311" s="53" t="n"/>
      <c r="BL311" s="53" t="n"/>
      <c r="BM311" s="53" t="n"/>
      <c r="BN311" s="53" t="n"/>
      <c r="BO311" s="53" t="n"/>
      <c r="BP311" s="53" t="n"/>
      <c r="BQ311" s="53" t="n"/>
      <c r="BR311" s="53" t="n"/>
      <c r="BS311" s="53" t="n"/>
      <c r="BT311" s="53" t="n"/>
      <c r="BU311" s="53" t="n"/>
      <c r="BV311" s="53" t="n"/>
      <c r="BW311" s="53" t="n"/>
      <c r="BX311" s="53" t="n"/>
      <c r="BY311" s="53" t="n"/>
      <c r="BZ311" s="53" t="n"/>
      <c r="CA311" s="53" t="n"/>
      <c r="CB311" s="53" t="n"/>
      <c r="CC311" s="53" t="n"/>
      <c r="CD311" s="53" t="n"/>
      <c r="CE311" s="53" t="n"/>
      <c r="CF311" s="53" t="n"/>
      <c r="CG311" s="53" t="n"/>
      <c r="CH311" s="53" t="n"/>
      <c r="CI311" s="53" t="n"/>
      <c r="CJ311" s="53" t="n"/>
      <c r="CK311" s="53" t="n"/>
      <c r="CL311" s="53" t="n"/>
      <c r="CM311" s="53" t="n"/>
      <c r="CN311" s="53" t="n"/>
      <c r="CO311" s="53" t="n"/>
      <c r="CP311" s="53" t="n"/>
      <c r="CQ311" s="53" t="n"/>
      <c r="CR311" s="53" t="n"/>
      <c r="CS311" s="53" t="n"/>
      <c r="CT311" s="53" t="n"/>
      <c r="CU311" s="53" t="n"/>
      <c r="CV311" s="53" t="n"/>
      <c r="CW311" s="53" t="n"/>
      <c r="CX311" s="53" t="n"/>
      <c r="CY311" s="53" t="n"/>
      <c r="CZ311" s="53" t="n"/>
      <c r="DA311" s="53" t="n"/>
      <c r="DB311" s="53" t="n"/>
      <c r="DC311" s="53" t="n"/>
      <c r="DD311" s="53" t="inlineStr">
        <is>
          <t>IRIS2089</t>
        </is>
      </c>
      <c r="DE311" s="53" t="inlineStr">
        <is>
          <t>Employee</t>
        </is>
      </c>
      <c r="DF311" s="53" t="inlineStr">
        <is>
          <t>Active</t>
        </is>
      </c>
      <c r="DG311" s="53" t="inlineStr">
        <is>
          <t>Nilesh Mohite</t>
        </is>
      </c>
      <c r="DH311" s="54" t="n">
        <v>44928</v>
      </c>
      <c r="DI311" s="53" t="inlineStr">
        <is>
          <t>Software Engineer</t>
        </is>
      </c>
      <c r="DJ311" s="53" t="inlineStr">
        <is>
          <t>Engineering &amp; Development</t>
        </is>
      </c>
      <c r="DK311" s="53" t="inlineStr">
        <is>
          <t>Backend Engineering · Java</t>
        </is>
      </c>
      <c r="DL311" s="53" t="inlineStr">
        <is>
          <t>Software Engineer</t>
        </is>
      </c>
      <c r="DM311" s="53" t="inlineStr">
        <is>
          <t>L3 – Professional / Associate</t>
        </is>
      </c>
      <c r="DN311" s="53" t="inlineStr">
        <is>
          <t>B.E</t>
        </is>
      </c>
      <c r="DO311" s="53" t="inlineStr">
        <is>
          <t>Amruta Kadam</t>
        </is>
      </c>
      <c r="DP311" s="53" t="inlineStr">
        <is>
          <t>N-5</t>
        </is>
      </c>
      <c r="DQ311" s="53" t="inlineStr">
        <is>
          <t>Individual Contributor</t>
        </is>
      </c>
      <c r="DR311" s="53" t="inlineStr">
        <is>
          <t>1 years, 6 months, 12 days</t>
        </is>
      </c>
      <c r="DS311" s="53" t="inlineStr">
        <is>
          <t>3 years, 5 months, 18 days</t>
        </is>
      </c>
      <c r="DT311" s="53" t="inlineStr">
        <is>
          <t>4 years, 11 months, 30 days</t>
        </is>
      </c>
      <c r="DU311" s="53" t="n"/>
      <c r="DV311" s="53" t="inlineStr">
        <is>
          <t>Suptech</t>
        </is>
      </c>
      <c r="DW311" s="53" t="inlineStr">
        <is>
          <t>iFile</t>
        </is>
      </c>
      <c r="DX311" s="53" t="inlineStr">
        <is>
          <t>Technology</t>
        </is>
      </c>
      <c r="DY311" s="53" t="inlineStr">
        <is>
          <t>Development</t>
        </is>
      </c>
      <c r="DZ311" s="53" t="inlineStr">
        <is>
          <t>Yes</t>
        </is>
      </c>
      <c r="EA311" s="53" t="inlineStr">
        <is>
          <t>Product/Project</t>
        </is>
      </c>
      <c r="EB311" s="53" t="inlineStr">
        <is>
          <t>Java</t>
        </is>
      </c>
      <c r="EC311" s="53" t="inlineStr">
        <is>
          <t>Technical - Developer</t>
        </is>
      </c>
      <c r="ED311" s="53" t="inlineStr">
        <is>
          <t>Remote - Mumbai</t>
        </is>
      </c>
      <c r="EE311" s="53" t="n"/>
      <c r="EF311"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311"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Nilesh is the person who is very important part of our project. He can handle things very well from tech perspective</t>
        </is>
      </c>
      <c r="EH311" s="53" t="n">
        <v>4</v>
      </c>
      <c r="EI311" s="53" t="n"/>
      <c r="EJ311" s="53" t="inlineStr">
        <is>
          <t>Software Engineer</t>
        </is>
      </c>
      <c r="EK311" s="53" t="n"/>
      <c r="EL311" s="53" t="n">
        <v>4</v>
      </c>
      <c r="EM311" s="53" t="inlineStr">
        <is>
          <t>Medium</t>
        </is>
      </c>
      <c r="EN311" s="53" t="inlineStr">
        <is>
          <t>High Impact / Growth Talent</t>
        </is>
      </c>
      <c r="EO311" s="53" t="inlineStr">
        <is>
          <t>No</t>
        </is>
      </c>
      <c r="EP311" s="53" t="inlineStr">
        <is>
          <t>No</t>
        </is>
      </c>
      <c r="EQ311" s="53" t="inlineStr">
        <is>
          <t>No</t>
        </is>
      </c>
      <c r="ER311" s="53" t="n"/>
      <c r="ES311" s="53" t="inlineStr">
        <is>
          <t>Advanced Java; secure coding &amp; code-quality practices; unit/automated testing; system design fundamentals</t>
        </is>
      </c>
      <c r="ET311" s="53" t="inlineStr">
        <is>
          <t>Transition to leadership: people management &amp; delegation, mentoring/coaching, project ownership &amp; stakeholder management, prioritisation under ambiguity, presentation &amp; influence skills</t>
        </is>
      </c>
      <c r="EU311" s="53" t="n"/>
      <c r="EV311" s="53" t="n"/>
      <c r="EW311" s="52" t="n"/>
      <c r="EX311" s="53" t="n"/>
      <c r="EY311" s="53" t="n"/>
      <c r="EZ311" s="53" t="n"/>
      <c r="FA311" s="53" t="n"/>
      <c r="FB311" s="53" t="n"/>
      <c r="FC311" s="53" t="n"/>
      <c r="FD311" s="53" t="n"/>
      <c r="FE311"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311"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Nilesh is the person who is very important part of our project. He can handle things very well from tech perspective</t>
        </is>
      </c>
      <c r="FG311" s="56" t="n"/>
      <c r="FH311" s="56" t="inlineStr">
        <is>
          <t>4</t>
        </is>
      </c>
      <c r="FI311" s="56" t="n"/>
      <c r="FJ311" s="56" t="inlineStr">
        <is>
          <t>Received · manager annual, quarterly</t>
        </is>
      </c>
      <c r="FK311" s="56" t="inlineStr">
        <is>
          <t>Talent Mapping · iFile collated</t>
        </is>
      </c>
      <c r="FL311" s="56" t="n">
        <v>20</v>
      </c>
      <c r="FM311" s="32" t="inlineStr">
        <is>
          <t>Full survey answers not in the files received · How We Grow export needed · HR</t>
        </is>
      </c>
      <c r="FN311" s="56" t="inlineStr">
        <is>
          <t>—</t>
        </is>
      </c>
      <c r="FO311" s="56" t="inlineStr">
        <is>
          <t>—</t>
        </is>
      </c>
      <c r="FP311" s="56" t="inlineStr">
        <is>
          <t>—</t>
        </is>
      </c>
      <c r="FQ311" s="56" t="inlineStr">
        <is>
          <t>—</t>
        </is>
      </c>
      <c r="FR311" s="56" t="inlineStr">
        <is>
          <t>Complexity: Evidence reads like A2: Builds working software; one-line answers name no specific module or problem → matches the start
Autonomy: Evidence reads like A2: Says 'make technical decisions' without any example → matches the start
Accountability: Evidence reads like A2: Responsible for own code working correctly and for fixing own bugs → matches the start
Leadership: Evidence reads like A1: No guiding or leading described → matches the start
Business Impact: No survey or manager-mapping signal on criticality: kept at the start point.</t>
        </is>
      </c>
      <c r="FS311"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311" s="56" t="inlineStr">
        <is>
          <t>Self-identified: AI / automation · Project / programme management · Technical depth &amp; architecture · Broader exposure &amp; ownership
For the next role: AI / automation · Project / programme management · Technical depth &amp; architecture · Broader exposure &amp; ownership</t>
        </is>
      </c>
      <c r="FU311" s="32" t="inlineStr">
        <is>
          <t>Full survey answers not in the files received · How We Grow export needed · HR</t>
        </is>
      </c>
    </row>
    <row r="312" ht="90" customHeight="1">
      <c r="A312" s="51" t="inlineStr">
        <is>
          <t>◂ Back</t>
        </is>
      </c>
      <c r="B312" s="29" t="inlineStr">
        <is>
          <t>Mapped</t>
        </is>
      </c>
      <c r="C312" s="28" t="inlineStr">
        <is>
          <t>iFile</t>
        </is>
      </c>
      <c r="D312" s="29" t="inlineStr">
        <is>
          <t>IRIS2433</t>
        </is>
      </c>
      <c r="E312" s="29" t="inlineStr">
        <is>
          <t>Sadhna Sahu</t>
        </is>
      </c>
      <c r="F312" s="29" t="inlineStr">
        <is>
          <t>Technology</t>
        </is>
      </c>
      <c r="G312" s="29" t="inlineStr">
        <is>
          <t>Software Engineer</t>
        </is>
      </c>
      <c r="H312" s="29" t="inlineStr">
        <is>
          <t>Senior Software Engineer</t>
        </is>
      </c>
      <c r="I312" s="29" t="inlineStr">
        <is>
          <t>Not in current mapping files</t>
        </is>
      </c>
      <c r="J312" s="29" t="inlineStr">
        <is>
          <t>A3</t>
        </is>
      </c>
      <c r="K312" s="29" t="inlineStr">
        <is>
          <t>● Newly mapped</t>
        </is>
      </c>
      <c r="L312" s="29" t="inlineStr">
        <is>
          <t>Engineering &amp; Development</t>
        </is>
      </c>
      <c r="M312" s="29" t="inlineStr">
        <is>
          <t>Backend Development</t>
        </is>
      </c>
      <c r="N312" s="29" t="inlineStr">
        <is>
          <t>• Survey response or KRAs describing the work · nothing on file — Employee + manager</t>
        </is>
      </c>
      <c r="O312" s="29" t="n">
        <v>0</v>
      </c>
      <c r="P312" s="28" t="inlineStr">
        <is>
          <t>P2</t>
        </is>
      </c>
      <c r="Q312" s="29" t="inlineStr">
        <is>
          <t>Developing</t>
        </is>
      </c>
      <c r="R312" s="29" t="inlineStr">
        <is>
          <t>3 Apply</t>
        </is>
      </c>
      <c r="S312" s="29" t="inlineStr">
        <is>
          <t>2–4 yrs</t>
        </is>
      </c>
      <c r="T312" s="29" t="inlineStr">
        <is>
          <t>3–5 · 2–5</t>
        </is>
      </c>
      <c r="U312" s="29" t="inlineStr">
        <is>
          <t>Software Engineer</t>
        </is>
      </c>
      <c r="V312" s="29" t="inlineStr">
        <is>
          <t>Workiva: SE · Broadridge India: SE · Nasdaq / AxiomSL: SE · Salesforce: MTS · Atlassian: P40 · 3–7 yrs · Freshworks: Senior SE</t>
        </is>
      </c>
      <c r="W312" s="29" t="inlineStr">
        <is>
          <t>SFIA 9 · software development, programming; OWASP secure coding; cloud vendor certifications</t>
        </is>
      </c>
      <c r="X312" s="29" t="inlineStr">
        <is>
          <t>Core 2 · Future 2 · Functional 3 · Leadership not scored</t>
        </is>
      </c>
      <c r="Y312" s="52" t="n">
        <v>401</v>
      </c>
      <c r="Z312" s="53" t="inlineStr">
        <is>
          <t>IRIS2433</t>
        </is>
      </c>
      <c r="AA312" s="53" t="inlineStr">
        <is>
          <t>Employee</t>
        </is>
      </c>
      <c r="AB312" s="53" t="inlineStr">
        <is>
          <t>Serving Notice</t>
        </is>
      </c>
      <c r="AC312" s="53" t="inlineStr">
        <is>
          <t>Sadhna Sahu</t>
        </is>
      </c>
      <c r="AD312" s="54" t="n">
        <v>45925</v>
      </c>
      <c r="AE312" s="53" t="inlineStr">
        <is>
          <t>Software Engineer</t>
        </is>
      </c>
      <c r="AF312" s="53" t="inlineStr">
        <is>
          <t>B.Tech</t>
        </is>
      </c>
      <c r="AG312" s="53" t="inlineStr">
        <is>
          <t>Amruta Kadam</t>
        </is>
      </c>
      <c r="AH312" s="53" t="inlineStr">
        <is>
          <t>N-6</t>
        </is>
      </c>
      <c r="AI312" s="53" t="inlineStr">
        <is>
          <t>Individual Contributor</t>
        </is>
      </c>
      <c r="AJ312" s="53" t="inlineStr">
        <is>
          <t>1 years, 6 months, 00 days</t>
        </is>
      </c>
      <c r="AK312" s="53" t="inlineStr">
        <is>
          <t>0 years, 11 months, 0 days</t>
        </is>
      </c>
      <c r="AL312" s="53" t="inlineStr">
        <is>
          <t>Suptech</t>
        </is>
      </c>
      <c r="AM312" s="53" t="inlineStr">
        <is>
          <t>iFile</t>
        </is>
      </c>
      <c r="AN312" s="53" t="inlineStr">
        <is>
          <t>Technology</t>
        </is>
      </c>
      <c r="AO312" s="53" t="inlineStr">
        <is>
          <t>Development</t>
        </is>
      </c>
      <c r="AP312" s="53" t="inlineStr">
        <is>
          <t>Yes</t>
        </is>
      </c>
      <c r="AQ312" s="53" t="inlineStr">
        <is>
          <t>Product/Project</t>
        </is>
      </c>
      <c r="AR312" s="53" t="inlineStr">
        <is>
          <t>Java</t>
        </is>
      </c>
      <c r="AS312" s="53" t="inlineStr">
        <is>
          <t>Technical - Developer</t>
        </is>
      </c>
      <c r="AT312" s="53" t="n">
        <v>0</v>
      </c>
      <c r="AU312" s="53" t="inlineStr">
        <is>
          <t>Excluded</t>
        </is>
      </c>
      <c r="AV312" s="53" t="n"/>
      <c r="AW312" s="53" t="n"/>
      <c r="AX312" s="53" t="n"/>
      <c r="AY312" s="53" t="n"/>
      <c r="AZ312" s="53" t="n"/>
      <c r="BA312" s="53" t="n"/>
      <c r="BB312" s="53" t="n"/>
      <c r="BC312" s="53" t="n"/>
      <c r="BD312" s="53" t="n"/>
      <c r="BE312" s="53" t="n"/>
      <c r="BF312" s="53" t="n"/>
      <c r="BG312" s="53" t="n"/>
      <c r="BH312" s="53" t="n"/>
      <c r="BI312" s="53" t="n"/>
      <c r="BJ312" s="53" t="n"/>
      <c r="BK312" s="53" t="n"/>
      <c r="BL312" s="53" t="n"/>
      <c r="BM312" s="53" t="n"/>
      <c r="BN312" s="53" t="n"/>
      <c r="BO312" s="53" t="n"/>
      <c r="BP312" s="53" t="n"/>
      <c r="BQ312" s="53" t="n"/>
      <c r="BR312" s="53" t="n"/>
      <c r="BS312" s="53" t="n"/>
      <c r="BT312" s="53" t="n"/>
      <c r="BU312" s="53" t="n"/>
      <c r="BV312" s="53" t="n"/>
      <c r="BW312" s="53" t="n"/>
      <c r="BX312" s="53" t="n"/>
      <c r="BY312" s="53" t="n"/>
      <c r="BZ312" s="53" t="n"/>
      <c r="CA312" s="53" t="n"/>
      <c r="CB312" s="53" t="n"/>
      <c r="CC312" s="53" t="n"/>
      <c r="CD312" s="53" t="n"/>
      <c r="CE312" s="53" t="n"/>
      <c r="CF312" s="53" t="n"/>
      <c r="CG312" s="53" t="n"/>
      <c r="CH312" s="53" t="n"/>
      <c r="CI312" s="53" t="n"/>
      <c r="CJ312" s="53" t="n"/>
      <c r="CK312" s="53" t="n"/>
      <c r="CL312" s="53" t="n"/>
      <c r="CM312" s="53" t="n"/>
      <c r="CN312" s="53" t="n"/>
      <c r="CO312" s="53" t="n"/>
      <c r="CP312" s="53" t="n"/>
      <c r="CQ312" s="53" t="n"/>
      <c r="CR312" s="53" t="n"/>
      <c r="CS312" s="53" t="n"/>
      <c r="CT312" s="53" t="n"/>
      <c r="CU312" s="53" t="n"/>
      <c r="CV312" s="53" t="n"/>
      <c r="CW312" s="53" t="n"/>
      <c r="CX312" s="53" t="n"/>
      <c r="CY312" s="53" t="n"/>
      <c r="CZ312" s="53" t="n"/>
      <c r="DA312" s="53" t="n"/>
      <c r="DB312" s="53" t="n"/>
      <c r="DC312" s="53" t="n"/>
      <c r="DD312" s="53" t="n"/>
      <c r="DE312" s="53" t="n"/>
      <c r="DF312" s="53" t="n"/>
      <c r="DG312" s="53" t="n"/>
      <c r="DH312" s="53" t="n"/>
      <c r="DI312" s="53" t="n"/>
      <c r="DJ312" s="53" t="n"/>
      <c r="DK312" s="53" t="n"/>
      <c r="DL312" s="53" t="n"/>
      <c r="DM312" s="53" t="n"/>
      <c r="DN312" s="53" t="n"/>
      <c r="DO312" s="53" t="n"/>
      <c r="DP312" s="53" t="n"/>
      <c r="DQ312" s="53" t="n"/>
      <c r="DR312" s="53" t="n"/>
      <c r="DS312" s="53" t="n"/>
      <c r="DT312" s="53" t="n"/>
      <c r="DU312" s="53" t="n"/>
      <c r="DV312" s="53" t="n"/>
      <c r="DW312" s="53" t="n"/>
      <c r="DX312" s="53" t="n"/>
      <c r="DY312" s="53" t="n"/>
      <c r="DZ312" s="53" t="n"/>
      <c r="EA312" s="53" t="n"/>
      <c r="EB312" s="53" t="n"/>
      <c r="EC312" s="53" t="n"/>
      <c r="ED312" s="53" t="n"/>
      <c r="EE312" s="53" t="n"/>
      <c r="EF312" s="53" t="n"/>
      <c r="EG312" s="53" t="n"/>
      <c r="EH312" s="53" t="n"/>
      <c r="EI312" s="53" t="n"/>
      <c r="EJ312" s="53" t="n"/>
      <c r="EK312" s="53" t="n"/>
      <c r="EL312" s="53" t="n"/>
      <c r="EM312" s="53" t="n"/>
      <c r="EN312" s="53" t="n"/>
      <c r="EO312" s="53" t="n"/>
      <c r="EP312" s="53" t="n"/>
      <c r="EQ312" s="53" t="n"/>
      <c r="ER312" s="53" t="n"/>
      <c r="ES312" s="53" t="n"/>
      <c r="ET312" s="53" t="n"/>
      <c r="EU312" s="53" t="n"/>
      <c r="EV312" s="53" t="n"/>
      <c r="EW312" s="52" t="n"/>
      <c r="EX312" s="53" t="n"/>
      <c r="EY312" s="53" t="n"/>
      <c r="EZ312" s="53" t="n"/>
      <c r="FA312" s="53" t="n"/>
      <c r="FB312" s="53" t="n"/>
      <c r="FC312" s="53" t="n"/>
      <c r="FD312" s="53" t="n"/>
      <c r="FE312" s="55" t="inlineStr">
        <is>
          <t>KRAs not received · manager to supply</t>
        </is>
      </c>
      <c r="FF312" s="56" t="n"/>
      <c r="FG312" s="56" t="n"/>
      <c r="FH312" s="56" t="n"/>
      <c r="FI312" s="56" t="n"/>
      <c r="FJ312" s="32" t="inlineStr">
        <is>
          <t>KRAs not received · manager to supply</t>
        </is>
      </c>
      <c r="FK312" s="56" t="n"/>
      <c r="FL312" s="56" t="n">
        <v>0</v>
      </c>
      <c r="FM312" s="32" t="inlineStr">
        <is>
          <t>No survey response on file</t>
        </is>
      </c>
      <c r="FN312" s="56" t="inlineStr">
        <is>
          <t>—</t>
        </is>
      </c>
      <c r="FO312" s="56" t="inlineStr">
        <is>
          <t>—</t>
        </is>
      </c>
      <c r="FP312" s="56" t="inlineStr">
        <is>
          <t>—</t>
        </is>
      </c>
      <c r="FQ312" s="56" t="inlineStr">
        <is>
          <t>—</t>
        </is>
      </c>
      <c r="FR312" s="56" t="inlineStr">
        <is>
          <t>Business Impact: No survey or manager-mapping signal on criticality: kept at the start point.</t>
        </is>
      </c>
      <c r="FS312"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312" s="56" t="n"/>
      <c r="FU312" s="32" t="inlineStr">
        <is>
          <t>No survey response on file</t>
        </is>
      </c>
    </row>
    <row r="313" ht="90" customHeight="1">
      <c r="A313" s="51" t="inlineStr">
        <is>
          <t>◂ Back</t>
        </is>
      </c>
      <c r="B313" s="29" t="inlineStr">
        <is>
          <t>Mapped</t>
        </is>
      </c>
      <c r="C313" s="28" t="inlineStr">
        <is>
          <t>iFile</t>
        </is>
      </c>
      <c r="D313" s="29" t="inlineStr">
        <is>
          <t>IRIS2476</t>
        </is>
      </c>
      <c r="E313" s="29" t="inlineStr">
        <is>
          <t>Sagar Soni</t>
        </is>
      </c>
      <c r="F313" s="29" t="inlineStr">
        <is>
          <t>Technology</t>
        </is>
      </c>
      <c r="G313" s="29" t="inlineStr">
        <is>
          <t>Software Engineer</t>
        </is>
      </c>
      <c r="H313" s="29" t="inlineStr">
        <is>
          <t>Senior Software Engineer</t>
        </is>
      </c>
      <c r="I313" s="29" t="inlineStr">
        <is>
          <t>L3 – Professional / Associate</t>
        </is>
      </c>
      <c r="J313" s="29" t="inlineStr">
        <is>
          <t>A3</t>
        </is>
      </c>
      <c r="K313" s="29" t="inlineStr">
        <is>
          <t>▲ Up</t>
        </is>
      </c>
      <c r="L313" s="29" t="inlineStr">
        <is>
          <t>Engineering &amp; Development</t>
        </is>
      </c>
      <c r="M313" s="29" t="inlineStr">
        <is>
          <t>Backend Development</t>
        </is>
      </c>
      <c r="N313" s="29" t="n"/>
      <c r="O313" s="29" t="n">
        <v>20</v>
      </c>
      <c r="P313" s="28" t="inlineStr">
        <is>
          <t>P2</t>
        </is>
      </c>
      <c r="Q313" s="29" t="inlineStr">
        <is>
          <t>Developing</t>
        </is>
      </c>
      <c r="R313" s="29" t="inlineStr">
        <is>
          <t>3 Apply</t>
        </is>
      </c>
      <c r="S313" s="29" t="inlineStr">
        <is>
          <t>2–4 yrs</t>
        </is>
      </c>
      <c r="T313" s="29" t="inlineStr">
        <is>
          <t>3–5 · 2–5</t>
        </is>
      </c>
      <c r="U313" s="29" t="inlineStr">
        <is>
          <t>Software Engineer</t>
        </is>
      </c>
      <c r="V313" s="29" t="inlineStr">
        <is>
          <t>Workiva: SE · Broadridge India: SE · Nasdaq / AxiomSL: SE · Salesforce: MTS · Atlassian: P40 · 3–7 yrs · Freshworks: Senior SE</t>
        </is>
      </c>
      <c r="W313" s="29" t="inlineStr">
        <is>
          <t>SFIA 9 · software development, programming; OWASP secure coding; cloud vendor certifications</t>
        </is>
      </c>
      <c r="X313" s="29" t="inlineStr">
        <is>
          <t>Core 2 · Future 2 · Functional 3 · Leadership not scored</t>
        </is>
      </c>
      <c r="Y313" s="52" t="n">
        <v>452</v>
      </c>
      <c r="Z313" s="53" t="inlineStr">
        <is>
          <t>IRIS2476</t>
        </is>
      </c>
      <c r="AA313" s="53" t="inlineStr">
        <is>
          <t>Employee</t>
        </is>
      </c>
      <c r="AB313" s="53" t="inlineStr">
        <is>
          <t>Active</t>
        </is>
      </c>
      <c r="AC313" s="53" t="inlineStr">
        <is>
          <t>Sagar Soni</t>
        </is>
      </c>
      <c r="AD313" s="54" t="n">
        <v>46065</v>
      </c>
      <c r="AE313" s="53" t="inlineStr">
        <is>
          <t>Software Engineer</t>
        </is>
      </c>
      <c r="AF313" s="53" t="inlineStr">
        <is>
          <t>B.E</t>
        </is>
      </c>
      <c r="AG313" s="53" t="inlineStr">
        <is>
          <t>Amruta Kadam</t>
        </is>
      </c>
      <c r="AH313" s="53" t="inlineStr">
        <is>
          <t>N-6</t>
        </is>
      </c>
      <c r="AI313" s="53" t="inlineStr">
        <is>
          <t>Individual Contributor</t>
        </is>
      </c>
      <c r="AJ313" s="53" t="inlineStr">
        <is>
          <t>4 years, 4 months, 0 days</t>
        </is>
      </c>
      <c r="AK313" s="53" t="inlineStr">
        <is>
          <t>0 years, 6 months, 13 days</t>
        </is>
      </c>
      <c r="AL313" s="53" t="inlineStr">
        <is>
          <t>Suptech</t>
        </is>
      </c>
      <c r="AM313" s="53" t="inlineStr">
        <is>
          <t>iFile</t>
        </is>
      </c>
      <c r="AN313" s="53" t="inlineStr">
        <is>
          <t>Technology</t>
        </is>
      </c>
      <c r="AO313" s="53" t="inlineStr">
        <is>
          <t>Development</t>
        </is>
      </c>
      <c r="AP313" s="53" t="inlineStr">
        <is>
          <t>Yes</t>
        </is>
      </c>
      <c r="AQ313" s="53" t="inlineStr">
        <is>
          <t>Product/Project</t>
        </is>
      </c>
      <c r="AR313" s="53" t="inlineStr">
        <is>
          <t>Java</t>
        </is>
      </c>
      <c r="AS313" s="53" t="inlineStr">
        <is>
          <t>Technical - Developer</t>
        </is>
      </c>
      <c r="AT313" s="53" t="n">
        <v>20</v>
      </c>
      <c r="AU313" s="53" t="inlineStr">
        <is>
          <t>Covered</t>
        </is>
      </c>
      <c r="AV313" s="53" t="n"/>
      <c r="AW313" s="53" t="n"/>
      <c r="AX313" s="53" t="n"/>
      <c r="AY313" s="53" t="n"/>
      <c r="AZ313" s="53" t="n"/>
      <c r="BA313" s="53" t="n"/>
      <c r="BB313" s="53" t="n"/>
      <c r="BC313" s="53" t="n"/>
      <c r="BD313" s="53" t="n"/>
      <c r="BE313" s="53" t="n"/>
      <c r="BF313" s="53" t="n"/>
      <c r="BG313" s="53" t="n"/>
      <c r="BH313" s="53" t="n"/>
      <c r="BI313" s="53" t="n"/>
      <c r="BJ313" s="53" t="n"/>
      <c r="BK313" s="53" t="n"/>
      <c r="BL313" s="53" t="n"/>
      <c r="BM313" s="53" t="n"/>
      <c r="BN313" s="53" t="n"/>
      <c r="BO313" s="53" t="n"/>
      <c r="BP313" s="53" t="n"/>
      <c r="BQ313" s="53" t="n"/>
      <c r="BR313" s="53" t="n"/>
      <c r="BS313" s="53" t="n"/>
      <c r="BT313" s="53" t="n"/>
      <c r="BU313" s="53" t="n"/>
      <c r="BV313" s="53" t="n"/>
      <c r="BW313" s="53" t="n"/>
      <c r="BX313" s="53" t="n"/>
      <c r="BY313" s="53" t="n"/>
      <c r="BZ313" s="53" t="n"/>
      <c r="CA313" s="53" t="n"/>
      <c r="CB313" s="53" t="n"/>
      <c r="CC313" s="53" t="n"/>
      <c r="CD313" s="53" t="n"/>
      <c r="CE313" s="53" t="n"/>
      <c r="CF313" s="53" t="n"/>
      <c r="CG313" s="53" t="n"/>
      <c r="CH313" s="53" t="n"/>
      <c r="CI313" s="53" t="n"/>
      <c r="CJ313" s="53" t="n"/>
      <c r="CK313" s="53" t="n"/>
      <c r="CL313" s="53" t="n"/>
      <c r="CM313" s="53" t="n"/>
      <c r="CN313" s="53" t="n"/>
      <c r="CO313" s="53" t="n"/>
      <c r="CP313" s="53" t="n"/>
      <c r="CQ313" s="53" t="n"/>
      <c r="CR313" s="53" t="n"/>
      <c r="CS313" s="53" t="n"/>
      <c r="CT313" s="53" t="n"/>
      <c r="CU313" s="53" t="n"/>
      <c r="CV313" s="53" t="n"/>
      <c r="CW313" s="53" t="n"/>
      <c r="CX313" s="53" t="n"/>
      <c r="CY313" s="53" t="n"/>
      <c r="CZ313" s="53" t="n"/>
      <c r="DA313" s="53" t="n"/>
      <c r="DB313" s="53" t="n"/>
      <c r="DC313" s="53" t="n"/>
      <c r="DD313" s="53" t="inlineStr">
        <is>
          <t>IRIS2476</t>
        </is>
      </c>
      <c r="DE313" s="53" t="inlineStr">
        <is>
          <t>Employee</t>
        </is>
      </c>
      <c r="DF313" s="53" t="inlineStr">
        <is>
          <t>Active</t>
        </is>
      </c>
      <c r="DG313" s="53" t="inlineStr">
        <is>
          <t>Sagar Soni</t>
        </is>
      </c>
      <c r="DH313" s="54" t="n">
        <v>46065</v>
      </c>
      <c r="DI313" s="53" t="inlineStr">
        <is>
          <t>Software Engineer</t>
        </is>
      </c>
      <c r="DJ313" s="53" t="inlineStr">
        <is>
          <t>Engineering &amp; Development</t>
        </is>
      </c>
      <c r="DK313" s="53" t="inlineStr">
        <is>
          <t>Backend Engineering · Java</t>
        </is>
      </c>
      <c r="DL313" s="53" t="inlineStr">
        <is>
          <t>Software Engineer</t>
        </is>
      </c>
      <c r="DM313" s="53" t="inlineStr">
        <is>
          <t>L3 – Professional / Associate</t>
        </is>
      </c>
      <c r="DN313" s="53" t="inlineStr">
        <is>
          <t>B.E</t>
        </is>
      </c>
      <c r="DO313" s="53" t="inlineStr">
        <is>
          <t>Amruta Kadam</t>
        </is>
      </c>
      <c r="DP313" s="53" t="inlineStr">
        <is>
          <t>N-5</t>
        </is>
      </c>
      <c r="DQ313" s="53" t="inlineStr">
        <is>
          <t>Individual Contributor</t>
        </is>
      </c>
      <c r="DR313" s="53" t="inlineStr">
        <is>
          <t>4 years, 4 months, 0 days</t>
        </is>
      </c>
      <c r="DS313" s="53" t="inlineStr">
        <is>
          <t>0 years, 4 months, 8 days</t>
        </is>
      </c>
      <c r="DT313" s="53" t="inlineStr">
        <is>
          <t>4 years, 8 months, 8 days</t>
        </is>
      </c>
      <c r="DU313" s="53" t="n"/>
      <c r="DV313" s="53" t="inlineStr">
        <is>
          <t>Suptech</t>
        </is>
      </c>
      <c r="DW313" s="53" t="inlineStr">
        <is>
          <t>iFile</t>
        </is>
      </c>
      <c r="DX313" s="53" t="inlineStr">
        <is>
          <t>Technology</t>
        </is>
      </c>
      <c r="DY313" s="53" t="inlineStr">
        <is>
          <t>Development</t>
        </is>
      </c>
      <c r="DZ313" s="53" t="inlineStr">
        <is>
          <t>Yes</t>
        </is>
      </c>
      <c r="EA313" s="53" t="inlineStr">
        <is>
          <t>Product/Project</t>
        </is>
      </c>
      <c r="EB313" s="53" t="inlineStr">
        <is>
          <t>Java</t>
        </is>
      </c>
      <c r="EC313" s="53" t="inlineStr">
        <is>
          <t>Technical - Developer</t>
        </is>
      </c>
      <c r="ED313" s="53" t="inlineStr">
        <is>
          <t>Client Side</t>
        </is>
      </c>
      <c r="EE313" s="53" t="n"/>
      <c r="EF313"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313"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Newly joined in team 5 months ago, learning the application but able to deliver things ask for</t>
        </is>
      </c>
      <c r="EH313" s="53" t="n">
        <v>3</v>
      </c>
      <c r="EI313" s="53" t="n"/>
      <c r="EJ313" s="53" t="inlineStr">
        <is>
          <t>Software Engineer</t>
        </is>
      </c>
      <c r="EK313" s="53" t="n"/>
      <c r="EL313" s="53" t="n">
        <v>3</v>
      </c>
      <c r="EM313" s="53" t="inlineStr">
        <is>
          <t>Low</t>
        </is>
      </c>
      <c r="EN313" s="53" t="inlineStr">
        <is>
          <t>Core Contributor</t>
        </is>
      </c>
      <c r="EO313" s="53" t="inlineStr">
        <is>
          <t>No</t>
        </is>
      </c>
      <c r="EP313" s="53" t="inlineStr">
        <is>
          <t>No</t>
        </is>
      </c>
      <c r="EQ313" s="53" t="inlineStr">
        <is>
          <t>No</t>
        </is>
      </c>
      <c r="ER313" s="53" t="n"/>
      <c r="ES313" s="53" t="inlineStr">
        <is>
          <t>Advanced Java; secure coding &amp; code-quality practices; unit/automated testing; system design fundamentals</t>
        </is>
      </c>
      <c r="ET313" s="53" t="inlineStr">
        <is>
          <t>Transition to leadership: people management &amp; delegation, mentoring/coaching, project ownership &amp; stakeholder management, prioritisation under ambiguity, presentation &amp; influence skills</t>
        </is>
      </c>
      <c r="EU313" s="53" t="n"/>
      <c r="EV313" s="53" t="n"/>
      <c r="EW313" s="52" t="n"/>
      <c r="EX313" s="53" t="n"/>
      <c r="EY313" s="53" t="n"/>
      <c r="EZ313" s="53" t="n"/>
      <c r="FA313" s="53" t="n"/>
      <c r="FB313" s="53" t="n"/>
      <c r="FC313" s="53" t="n"/>
      <c r="FD313" s="53" t="n"/>
      <c r="FE313"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313"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Newly joined in team 5 months ago, learning the application but able to deliver things ask for</t>
        </is>
      </c>
      <c r="FG313" s="56" t="n"/>
      <c r="FH313" s="56" t="inlineStr">
        <is>
          <t>3</t>
        </is>
      </c>
      <c r="FI313" s="56" t="n"/>
      <c r="FJ313" s="56" t="inlineStr">
        <is>
          <t>Received · manager annual, quarterly</t>
        </is>
      </c>
      <c r="FK313" s="56" t="inlineStr">
        <is>
          <t>Talent Mapping · iFile collated</t>
        </is>
      </c>
      <c r="FL313" s="56" t="n">
        <v>20</v>
      </c>
      <c r="FM313" s="32" t="inlineStr">
        <is>
          <t>Full survey answers not in the files received · How We Grow export needed · HR</t>
        </is>
      </c>
      <c r="FN313" s="56" t="inlineStr">
        <is>
          <t>—</t>
        </is>
      </c>
      <c r="FO313" s="56" t="inlineStr">
        <is>
          <t>—</t>
        </is>
      </c>
      <c r="FP313" s="56" t="inlineStr">
        <is>
          <t>—</t>
        </is>
      </c>
      <c r="FQ313" s="56" t="inlineStr">
        <is>
          <t>—</t>
        </is>
      </c>
      <c r="FR313" s="56" t="inlineStr">
        <is>
          <t>Complexity: Evidence reads like A3: Security remediation against SAST gates on RBI iFileCIMS; judges fix versus 'Not Exploitable'; maintains CI/CD pipeline → moved up 0.5
Autonomy: Evidence reads like A2: Decides code fixes and bug calls; infrastructure changes go through formal CRs → matches the start
Accountability: Evidence reads like A3: Own code, security fixes and pipeline reliability carry RBI audit and QA/production consequences → moved up 0.5
Leadership: Evidence reads like A1: No guiding or leading described → matches the start
Business Impact: No survey or manager-mapping signal on criticality: kept at the start point.</t>
        </is>
      </c>
      <c r="FS313"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313" s="56" t="inlineStr">
        <is>
          <t>Self-identified: Leadership &amp; people management · Technical depth &amp; architecture
For the next role: Leadership &amp; people management · Technical depth &amp; architecture</t>
        </is>
      </c>
      <c r="FU313" s="32" t="inlineStr">
        <is>
          <t>Full survey answers not in the files received · How We Grow export needed · HR</t>
        </is>
      </c>
    </row>
    <row r="314" ht="90" customHeight="1">
      <c r="A314" s="51" t="inlineStr">
        <is>
          <t>◂ Back</t>
        </is>
      </c>
      <c r="B314" s="29" t="inlineStr">
        <is>
          <t>Mapped</t>
        </is>
      </c>
      <c r="C314" s="28" t="inlineStr">
        <is>
          <t>iFile</t>
        </is>
      </c>
      <c r="D314" s="29" t="inlineStr">
        <is>
          <t>IRIS2068</t>
        </is>
      </c>
      <c r="E314" s="29" t="inlineStr">
        <is>
          <t>Sonal Bagul</t>
        </is>
      </c>
      <c r="F314" s="29" t="inlineStr">
        <is>
          <t>Technology</t>
        </is>
      </c>
      <c r="G314" s="29" t="inlineStr">
        <is>
          <t>Senior Software Engineer</t>
        </is>
      </c>
      <c r="H314" s="29" t="inlineStr">
        <is>
          <t>Senior Software Engineer</t>
        </is>
      </c>
      <c r="I314" s="29" t="inlineStr">
        <is>
          <t>L4 – Senior</t>
        </is>
      </c>
      <c r="J314" s="29" t="inlineStr">
        <is>
          <t>A3</t>
        </is>
      </c>
      <c r="K314" s="29" t="inlineStr">
        <is>
          <t>• Same level</t>
        </is>
      </c>
      <c r="L314" s="29" t="inlineStr">
        <is>
          <t>Engineering &amp; Development</t>
        </is>
      </c>
      <c r="M314" s="29" t="inlineStr">
        <is>
          <t>Backend Development</t>
        </is>
      </c>
      <c r="N314" s="29" t="n"/>
      <c r="O314" s="29" t="n">
        <v>20</v>
      </c>
      <c r="P314" s="28" t="inlineStr">
        <is>
          <t>P2</t>
        </is>
      </c>
      <c r="Q314" s="29" t="inlineStr">
        <is>
          <t>Developing</t>
        </is>
      </c>
      <c r="R314" s="29" t="inlineStr">
        <is>
          <t>3 Apply</t>
        </is>
      </c>
      <c r="S314" s="29" t="inlineStr">
        <is>
          <t>2–4 yrs</t>
        </is>
      </c>
      <c r="T314" s="29" t="inlineStr">
        <is>
          <t>3–5 · 2–5</t>
        </is>
      </c>
      <c r="U314" s="29" t="inlineStr">
        <is>
          <t>Software Engineer</t>
        </is>
      </c>
      <c r="V314" s="29" t="inlineStr">
        <is>
          <t>Workiva: SE · Broadridge India: SE · Nasdaq / AxiomSL: SE · Salesforce: MTS · Atlassian: P40 · 3–7 yrs · Freshworks: Senior SE</t>
        </is>
      </c>
      <c r="W314" s="29" t="inlineStr">
        <is>
          <t>SFIA 9 · software development, programming; OWASP secure coding; cloud vendor certifications</t>
        </is>
      </c>
      <c r="X314" s="29" t="inlineStr">
        <is>
          <t>Core 2 · Future 2 · Functional 3 · Leadership not scored</t>
        </is>
      </c>
      <c r="Y314" s="52" t="n">
        <v>244</v>
      </c>
      <c r="Z314" s="53" t="inlineStr">
        <is>
          <t>IRIS2068</t>
        </is>
      </c>
      <c r="AA314" s="53" t="inlineStr">
        <is>
          <t>Employee</t>
        </is>
      </c>
      <c r="AB314" s="53" t="inlineStr">
        <is>
          <t>Active</t>
        </is>
      </c>
      <c r="AC314" s="53" t="inlineStr">
        <is>
          <t>Sonal Bagul</t>
        </is>
      </c>
      <c r="AD314" s="54" t="n">
        <v>44844</v>
      </c>
      <c r="AE314" s="53" t="inlineStr">
        <is>
          <t>Senior Software Engineer</t>
        </is>
      </c>
      <c r="AF314" s="53" t="inlineStr">
        <is>
          <t>MCA</t>
        </is>
      </c>
      <c r="AG314" s="53" t="inlineStr">
        <is>
          <t>Amruta Kadam</t>
        </is>
      </c>
      <c r="AH314" s="53" t="inlineStr">
        <is>
          <t>N-6</t>
        </is>
      </c>
      <c r="AI314" s="53" t="inlineStr">
        <is>
          <t>Individual Contributor</t>
        </is>
      </c>
      <c r="AJ314" s="53" t="inlineStr">
        <is>
          <t>6 years, 4 months, 0 days</t>
        </is>
      </c>
      <c r="AK314" s="53" t="inlineStr">
        <is>
          <t>3 years, 10 months, 15 days</t>
        </is>
      </c>
      <c r="AL314" s="53" t="inlineStr">
        <is>
          <t>Suptech</t>
        </is>
      </c>
      <c r="AM314" s="53" t="inlineStr">
        <is>
          <t>iFile</t>
        </is>
      </c>
      <c r="AN314" s="53" t="inlineStr">
        <is>
          <t>Technology</t>
        </is>
      </c>
      <c r="AO314" s="53" t="inlineStr">
        <is>
          <t>Development</t>
        </is>
      </c>
      <c r="AP314" s="53" t="inlineStr">
        <is>
          <t>Yes</t>
        </is>
      </c>
      <c r="AQ314" s="53" t="inlineStr">
        <is>
          <t>Product/Project</t>
        </is>
      </c>
      <c r="AR314" s="53" t="inlineStr">
        <is>
          <t>Java</t>
        </is>
      </c>
      <c r="AS314" s="53" t="inlineStr">
        <is>
          <t>Technical - Developer</t>
        </is>
      </c>
      <c r="AT314" s="53" t="n">
        <v>20</v>
      </c>
      <c r="AU314" s="53" t="inlineStr">
        <is>
          <t>Covered</t>
        </is>
      </c>
      <c r="AV314" s="53" t="n"/>
      <c r="AW314" s="53" t="n"/>
      <c r="AX314" s="53" t="n"/>
      <c r="AY314" s="53" t="n"/>
      <c r="AZ314" s="53" t="n"/>
      <c r="BA314" s="53" t="n"/>
      <c r="BB314" s="53" t="n"/>
      <c r="BC314" s="53" t="n"/>
      <c r="BD314" s="53" t="n"/>
      <c r="BE314" s="53" t="n"/>
      <c r="BF314" s="53" t="n"/>
      <c r="BG314" s="53" t="n"/>
      <c r="BH314" s="53" t="n"/>
      <c r="BI314" s="53" t="n"/>
      <c r="BJ314" s="53" t="n"/>
      <c r="BK314" s="53" t="n"/>
      <c r="BL314" s="53" t="n"/>
      <c r="BM314" s="53" t="n"/>
      <c r="BN314" s="53" t="n"/>
      <c r="BO314" s="53" t="n"/>
      <c r="BP314" s="53" t="n"/>
      <c r="BQ314" s="53" t="n"/>
      <c r="BR314" s="53" t="n"/>
      <c r="BS314" s="53" t="n"/>
      <c r="BT314" s="53" t="n"/>
      <c r="BU314" s="53" t="n"/>
      <c r="BV314" s="53" t="n"/>
      <c r="BW314" s="53" t="n"/>
      <c r="BX314" s="53" t="n"/>
      <c r="BY314" s="53" t="n"/>
      <c r="BZ314" s="53" t="n"/>
      <c r="CA314" s="53" t="n"/>
      <c r="CB314" s="53" t="n"/>
      <c r="CC314" s="53" t="n"/>
      <c r="CD314" s="53" t="n"/>
      <c r="CE314" s="53" t="n"/>
      <c r="CF314" s="53" t="n"/>
      <c r="CG314" s="53" t="n"/>
      <c r="CH314" s="53" t="n"/>
      <c r="CI314" s="53" t="n"/>
      <c r="CJ314" s="53" t="n"/>
      <c r="CK314" s="53" t="n"/>
      <c r="CL314" s="53" t="n"/>
      <c r="CM314" s="53" t="n"/>
      <c r="CN314" s="53" t="n"/>
      <c r="CO314" s="53" t="n"/>
      <c r="CP314" s="53" t="n"/>
      <c r="CQ314" s="53" t="n"/>
      <c r="CR314" s="53" t="n"/>
      <c r="CS314" s="53" t="n"/>
      <c r="CT314" s="53" t="n"/>
      <c r="CU314" s="53" t="n"/>
      <c r="CV314" s="53" t="n"/>
      <c r="CW314" s="53" t="n"/>
      <c r="CX314" s="53" t="n"/>
      <c r="CY314" s="53" t="n"/>
      <c r="CZ314" s="53" t="n"/>
      <c r="DA314" s="53" t="n"/>
      <c r="DB314" s="53" t="n"/>
      <c r="DC314" s="53" t="n"/>
      <c r="DD314" s="53" t="inlineStr">
        <is>
          <t>IRIS2068</t>
        </is>
      </c>
      <c r="DE314" s="53" t="inlineStr">
        <is>
          <t>Employee</t>
        </is>
      </c>
      <c r="DF314" s="53" t="inlineStr">
        <is>
          <t>Active</t>
        </is>
      </c>
      <c r="DG314" s="53" t="inlineStr">
        <is>
          <t>Sonal Bagul</t>
        </is>
      </c>
      <c r="DH314" s="54" t="n">
        <v>44844</v>
      </c>
      <c r="DI314" s="53" t="inlineStr">
        <is>
          <t>Senior Software Engineer</t>
        </is>
      </c>
      <c r="DJ314" s="53" t="inlineStr">
        <is>
          <t>Engineering &amp; Development</t>
        </is>
      </c>
      <c r="DK314" s="53" t="inlineStr">
        <is>
          <t>Backend Engineering · Java</t>
        </is>
      </c>
      <c r="DL314" s="53" t="inlineStr">
        <is>
          <t>Senior Software Engineer</t>
        </is>
      </c>
      <c r="DM314" s="53" t="inlineStr">
        <is>
          <t>L4 – Senior</t>
        </is>
      </c>
      <c r="DN314" s="53" t="inlineStr">
        <is>
          <t>MCA</t>
        </is>
      </c>
      <c r="DO314" s="53" t="inlineStr">
        <is>
          <t>Amruta Kadam</t>
        </is>
      </c>
      <c r="DP314" s="53" t="inlineStr">
        <is>
          <t>N-5</t>
        </is>
      </c>
      <c r="DQ314" s="53" t="inlineStr">
        <is>
          <t>Individual Contributor</t>
        </is>
      </c>
      <c r="DR314" s="53" t="inlineStr">
        <is>
          <t>6 years, 4 months, 0 days</t>
        </is>
      </c>
      <c r="DS314" s="53" t="inlineStr">
        <is>
          <t>3 years, 8 months, 10 days</t>
        </is>
      </c>
      <c r="DT314" s="53" t="inlineStr">
        <is>
          <t>10 years, 0 months, 10 days</t>
        </is>
      </c>
      <c r="DU314" s="53" t="n"/>
      <c r="DV314" s="53" t="inlineStr">
        <is>
          <t>Suptech</t>
        </is>
      </c>
      <c r="DW314" s="53" t="inlineStr">
        <is>
          <t>iFile</t>
        </is>
      </c>
      <c r="DX314" s="53" t="inlineStr">
        <is>
          <t>Technology</t>
        </is>
      </c>
      <c r="DY314" s="53" t="inlineStr">
        <is>
          <t>Development</t>
        </is>
      </c>
      <c r="DZ314" s="53" t="inlineStr">
        <is>
          <t>Yes</t>
        </is>
      </c>
      <c r="EA314" s="53" t="inlineStr">
        <is>
          <t>Product/Project</t>
        </is>
      </c>
      <c r="EB314" s="53" t="inlineStr">
        <is>
          <t>Java</t>
        </is>
      </c>
      <c r="EC314" s="53" t="inlineStr">
        <is>
          <t>Technical - Developer</t>
        </is>
      </c>
      <c r="ED314" s="53" t="inlineStr">
        <is>
          <t>Remote- Outside Mumbai</t>
        </is>
      </c>
      <c r="EE314" s="53" t="n"/>
      <c r="EF314"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314"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Sonal need improvement on her skill, she need to see the code herself instead of getting guidance from tech lead.</t>
        </is>
      </c>
      <c r="EH314" s="53" t="n">
        <v>3</v>
      </c>
      <c r="EI314" s="53" t="n"/>
      <c r="EJ314" s="53" t="inlineStr">
        <is>
          <t>Senior Software Engineer</t>
        </is>
      </c>
      <c r="EK314" s="53" t="n"/>
      <c r="EL314" s="53" t="n">
        <v>3</v>
      </c>
      <c r="EM314" s="53" t="inlineStr">
        <is>
          <t>Low</t>
        </is>
      </c>
      <c r="EN314" s="53" t="inlineStr">
        <is>
          <t>Reliable Specialist</t>
        </is>
      </c>
      <c r="EO314" s="53" t="inlineStr">
        <is>
          <t>No</t>
        </is>
      </c>
      <c r="EP314" s="53" t="inlineStr">
        <is>
          <t>No</t>
        </is>
      </c>
      <c r="EQ314" s="53" t="inlineStr">
        <is>
          <t>No</t>
        </is>
      </c>
      <c r="ER314" s="53" t="n"/>
      <c r="ES314" s="53" t="inlineStr">
        <is>
          <t>Advanced Java; secure coding &amp; code-quality practices; unit/automated testing; system design fundamentals</t>
        </is>
      </c>
      <c r="ET314" s="53" t="inlineStr">
        <is>
          <t>Transition to leadership: people management &amp; delegation, mentoring/coaching, project ownership &amp; stakeholder management, prioritisation under ambiguity, presentation &amp; influence skills</t>
        </is>
      </c>
      <c r="EU314" s="53" t="n"/>
      <c r="EV314" s="53" t="n"/>
      <c r="EW314" s="52" t="n"/>
      <c r="EX314" s="53" t="n"/>
      <c r="EY314" s="53" t="n"/>
      <c r="EZ314" s="53" t="n"/>
      <c r="FA314" s="53" t="n"/>
      <c r="FB314" s="53" t="n"/>
      <c r="FC314" s="53" t="n"/>
      <c r="FD314" s="53" t="n"/>
      <c r="FE314"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314"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Sonal need improvement on her skill, she need to see the code herself instead of getting guidance from tech lead.</t>
        </is>
      </c>
      <c r="FG314" s="56" t="n"/>
      <c r="FH314" s="56" t="inlineStr">
        <is>
          <t>3</t>
        </is>
      </c>
      <c r="FI314" s="56" t="n"/>
      <c r="FJ314" s="56" t="inlineStr">
        <is>
          <t>Received · manager annual, quarterly</t>
        </is>
      </c>
      <c r="FK314" s="56" t="inlineStr">
        <is>
          <t>Talent Mapping · iFile collated</t>
        </is>
      </c>
      <c r="FL314" s="56" t="n">
        <v>20</v>
      </c>
      <c r="FM314" s="32" t="inlineStr">
        <is>
          <t>Full survey answers not in the files received · How We Grow export needed · HR</t>
        </is>
      </c>
      <c r="FN314" s="56" t="inlineStr">
        <is>
          <t>—</t>
        </is>
      </c>
      <c r="FO314" s="56" t="inlineStr">
        <is>
          <t>—</t>
        </is>
      </c>
      <c r="FP314" s="56" t="inlineStr">
        <is>
          <t>—</t>
        </is>
      </c>
      <c r="FQ314" s="56" t="inlineStr">
        <is>
          <t>—</t>
        </is>
      </c>
      <c r="FR314" s="56" t="inlineStr">
        <is>
          <t>Complexity: Evidence reads like A2: Fixes client-reported defects, develops change requests and business validations, upgrades technology → moved down 0.5
Autonomy: Evidence reads like A2: Decides only how to analyse and understand an issue → moved down 0.5
Accountability: Evidence reads like A3: Client-reported issues and application support; mistakes escalate and need urgent fixing → matches the start
Leadership: Evidence reads like A3: Training new joiners is a listed responsibility → moved up 0.5
Business Impact: No survey or manager-mapping signal on criticality: kept at the start point.</t>
        </is>
      </c>
      <c r="FS314"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314" s="56" t="inlineStr">
        <is>
          <t>Self-identified: Project / programme management · Technical depth &amp; architecture
For the next role: Project / programme management · Technical depth &amp; architecture</t>
        </is>
      </c>
      <c r="FU314" s="32" t="inlineStr">
        <is>
          <t>Full survey answers not in the files received · How We Grow export needed · HR</t>
        </is>
      </c>
    </row>
    <row r="315" ht="90" customHeight="1">
      <c r="A315" s="51" t="inlineStr">
        <is>
          <t>◂ Back</t>
        </is>
      </c>
      <c r="B315" s="29" t="inlineStr">
        <is>
          <t>Mapped</t>
        </is>
      </c>
      <c r="C315" s="28" t="inlineStr">
        <is>
          <t>iFile</t>
        </is>
      </c>
      <c r="D315" s="29" t="inlineStr">
        <is>
          <t>IRIS2442</t>
        </is>
      </c>
      <c r="E315" s="29" t="inlineStr">
        <is>
          <t>Rushikesh Shrikhande</t>
        </is>
      </c>
      <c r="F315" s="29" t="inlineStr">
        <is>
          <t>Technology</t>
        </is>
      </c>
      <c r="G315" s="29" t="inlineStr">
        <is>
          <t>Trainee Software Engineer</t>
        </is>
      </c>
      <c r="H315" s="29" t="inlineStr">
        <is>
          <t>Trainee Software Engineer</t>
        </is>
      </c>
      <c r="I315" s="29" t="inlineStr">
        <is>
          <t>L2 – Trainee</t>
        </is>
      </c>
      <c r="J315" s="29" t="inlineStr">
        <is>
          <t>A1</t>
        </is>
      </c>
      <c r="K315" s="29" t="inlineStr">
        <is>
          <t>• Same level</t>
        </is>
      </c>
      <c r="L315" s="29" t="inlineStr">
        <is>
          <t>Engineering &amp; Development</t>
        </is>
      </c>
      <c r="M315" s="29" t="inlineStr">
        <is>
          <t>Backend Development</t>
        </is>
      </c>
      <c r="N315" s="29" t="n"/>
      <c r="O315" s="29" t="n">
        <v>20</v>
      </c>
      <c r="P315" s="28" t="inlineStr">
        <is>
          <t>Entry / P1 · intern</t>
        </is>
      </c>
      <c r="Q315" s="29" t="inlineStr">
        <is>
          <t>Entry</t>
        </is>
      </c>
      <c r="R315" s="29" t="inlineStr">
        <is>
          <t>1 Follow</t>
        </is>
      </c>
      <c r="S315" s="29" t="inlineStr">
        <is>
          <t>0 yrs · fresher / intern</t>
        </is>
      </c>
      <c r="T315" s="29" t="inlineStr">
        <is>
          <t>—</t>
        </is>
      </c>
      <c r="U315" s="29" t="inlineStr">
        <is>
          <t>Associate Software Engineer</t>
        </is>
      </c>
      <c r="V315" s="29" t="inlineStr">
        <is>
          <t>—</t>
        </is>
      </c>
      <c r="W315" s="29" t="inlineStr">
        <is>
          <t>SFIA 9 · software development, programming; OWASP secure coding; cloud vendor certifications</t>
        </is>
      </c>
      <c r="X315" s="29" t="inlineStr">
        <is>
          <t>Core 1 · Future 1 · Functional 1 · Leadership not scored</t>
        </is>
      </c>
      <c r="Y315" s="52" t="n">
        <v>409</v>
      </c>
      <c r="Z315" s="53" t="inlineStr">
        <is>
          <t>IRIS2442</t>
        </is>
      </c>
      <c r="AA315" s="53" t="inlineStr">
        <is>
          <t>Employee</t>
        </is>
      </c>
      <c r="AB315" s="53" t="inlineStr">
        <is>
          <t>Active</t>
        </is>
      </c>
      <c r="AC315" s="53" t="inlineStr">
        <is>
          <t>Rushikesh Shrikhande</t>
        </is>
      </c>
      <c r="AD315" s="54" t="n">
        <v>45964</v>
      </c>
      <c r="AE315" s="53" t="inlineStr">
        <is>
          <t>Trainee Software Engineer</t>
        </is>
      </c>
      <c r="AF315" s="53" t="inlineStr">
        <is>
          <t>B.E</t>
        </is>
      </c>
      <c r="AG315" s="53" t="inlineStr">
        <is>
          <t>Amruta Kadam</t>
        </is>
      </c>
      <c r="AH315" s="53" t="inlineStr">
        <is>
          <t>N-6</t>
        </is>
      </c>
      <c r="AI315" s="53" t="inlineStr">
        <is>
          <t>Individual Contributor</t>
        </is>
      </c>
      <c r="AJ315" s="53" t="inlineStr">
        <is>
          <t>0 years, 0 months, 0 days</t>
        </is>
      </c>
      <c r="AK315" s="53" t="inlineStr">
        <is>
          <t>0 years, 9 months, 22 days</t>
        </is>
      </c>
      <c r="AL315" s="53" t="inlineStr">
        <is>
          <t>Suptech</t>
        </is>
      </c>
      <c r="AM315" s="53" t="inlineStr">
        <is>
          <t>iFile</t>
        </is>
      </c>
      <c r="AN315" s="53" t="inlineStr">
        <is>
          <t>Technology</t>
        </is>
      </c>
      <c r="AO315" s="53" t="inlineStr">
        <is>
          <t>Development</t>
        </is>
      </c>
      <c r="AP315" s="53" t="inlineStr">
        <is>
          <t>Yes</t>
        </is>
      </c>
      <c r="AQ315" s="53" t="inlineStr">
        <is>
          <t>Product/Project</t>
        </is>
      </c>
      <c r="AR315" s="53" t="inlineStr">
        <is>
          <t>Java</t>
        </is>
      </c>
      <c r="AS315" s="53" t="inlineStr">
        <is>
          <t>Technical - Developer</t>
        </is>
      </c>
      <c r="AT315" s="53" t="n">
        <v>20</v>
      </c>
      <c r="AU315" s="53" t="inlineStr">
        <is>
          <t>Covered</t>
        </is>
      </c>
      <c r="AV315" s="53" t="n"/>
      <c r="AW315" s="53" t="n"/>
      <c r="AX315" s="53" t="n"/>
      <c r="AY315" s="53" t="n"/>
      <c r="AZ315" s="53" t="n"/>
      <c r="BA315" s="53" t="n"/>
      <c r="BB315" s="53" t="n"/>
      <c r="BC315" s="53" t="n"/>
      <c r="BD315" s="53" t="n"/>
      <c r="BE315" s="53" t="n"/>
      <c r="BF315" s="53" t="n"/>
      <c r="BG315" s="53" t="n"/>
      <c r="BH315" s="53" t="n"/>
      <c r="BI315" s="53" t="n"/>
      <c r="BJ315" s="53" t="n"/>
      <c r="BK315" s="53" t="n"/>
      <c r="BL315" s="53" t="n"/>
      <c r="BM315" s="53" t="n"/>
      <c r="BN315" s="53" t="n"/>
      <c r="BO315" s="53" t="n"/>
      <c r="BP315" s="53" t="n"/>
      <c r="BQ315" s="53" t="n"/>
      <c r="BR315" s="53" t="n"/>
      <c r="BS315" s="53" t="n"/>
      <c r="BT315" s="53" t="n"/>
      <c r="BU315" s="53" t="n"/>
      <c r="BV315" s="53" t="n"/>
      <c r="BW315" s="53" t="n"/>
      <c r="BX315" s="53" t="n"/>
      <c r="BY315" s="53" t="n"/>
      <c r="BZ315" s="53" t="n"/>
      <c r="CA315" s="53" t="n"/>
      <c r="CB315" s="53" t="n"/>
      <c r="CC315" s="53" t="n"/>
      <c r="CD315" s="53" t="n"/>
      <c r="CE315" s="53" t="n"/>
      <c r="CF315" s="53" t="n"/>
      <c r="CG315" s="53" t="n"/>
      <c r="CH315" s="53" t="n"/>
      <c r="CI315" s="53" t="n"/>
      <c r="CJ315" s="53" t="n"/>
      <c r="CK315" s="53" t="n"/>
      <c r="CL315" s="53" t="n"/>
      <c r="CM315" s="53" t="n"/>
      <c r="CN315" s="53" t="n"/>
      <c r="CO315" s="53" t="n"/>
      <c r="CP315" s="53" t="n"/>
      <c r="CQ315" s="53" t="n"/>
      <c r="CR315" s="53" t="n"/>
      <c r="CS315" s="53" t="n"/>
      <c r="CT315" s="53" t="n"/>
      <c r="CU315" s="53" t="n"/>
      <c r="CV315" s="53" t="n"/>
      <c r="CW315" s="53" t="n"/>
      <c r="CX315" s="53" t="n"/>
      <c r="CY315" s="53" t="n"/>
      <c r="CZ315" s="53" t="n"/>
      <c r="DA315" s="53" t="n"/>
      <c r="DB315" s="53" t="n"/>
      <c r="DC315" s="53" t="n"/>
      <c r="DD315" s="53" t="inlineStr">
        <is>
          <t>IRIS2442</t>
        </is>
      </c>
      <c r="DE315" s="53" t="inlineStr">
        <is>
          <t>Employee</t>
        </is>
      </c>
      <c r="DF315" s="53" t="inlineStr">
        <is>
          <t>Active</t>
        </is>
      </c>
      <c r="DG315" s="53" t="inlineStr">
        <is>
          <t>Rushikesh Shrikhande</t>
        </is>
      </c>
      <c r="DH315" s="54" t="n">
        <v>45964</v>
      </c>
      <c r="DI315" s="53" t="inlineStr">
        <is>
          <t>Trainee Software Engineer</t>
        </is>
      </c>
      <c r="DJ315" s="53" t="inlineStr">
        <is>
          <t>Engineering &amp; Development</t>
        </is>
      </c>
      <c r="DK315" s="53" t="inlineStr">
        <is>
          <t>Backend Engineering · Java</t>
        </is>
      </c>
      <c r="DL315" s="53" t="inlineStr">
        <is>
          <t>Trainee Software Engineer</t>
        </is>
      </c>
      <c r="DM315" s="53" t="inlineStr">
        <is>
          <t>L2 – Trainee</t>
        </is>
      </c>
      <c r="DN315" s="53" t="inlineStr">
        <is>
          <t>B.E</t>
        </is>
      </c>
      <c r="DO315" s="53" t="inlineStr">
        <is>
          <t>Amruta Kadam</t>
        </is>
      </c>
      <c r="DP315" s="53" t="inlineStr">
        <is>
          <t>N-5</t>
        </is>
      </c>
      <c r="DQ315" s="53" t="inlineStr">
        <is>
          <t>Individual Contributor</t>
        </is>
      </c>
      <c r="DR315" s="53" t="inlineStr">
        <is>
          <t>0 years, 0 months, 0 days</t>
        </is>
      </c>
      <c r="DS315" s="53" t="inlineStr">
        <is>
          <t>0 years, 7 months, 17 days</t>
        </is>
      </c>
      <c r="DT315" s="53" t="inlineStr">
        <is>
          <t>0 years, 7 months, 17 days</t>
        </is>
      </c>
      <c r="DU315" s="53" t="n"/>
      <c r="DV315" s="53" t="inlineStr">
        <is>
          <t>Suptech</t>
        </is>
      </c>
      <c r="DW315" s="53" t="inlineStr">
        <is>
          <t>iFile</t>
        </is>
      </c>
      <c r="DX315" s="53" t="inlineStr">
        <is>
          <t>Technology</t>
        </is>
      </c>
      <c r="DY315" s="53" t="inlineStr">
        <is>
          <t>Development</t>
        </is>
      </c>
      <c r="DZ315" s="53" t="inlineStr">
        <is>
          <t>Yes</t>
        </is>
      </c>
      <c r="EA315" s="53" t="inlineStr">
        <is>
          <t>Product/Project</t>
        </is>
      </c>
      <c r="EB315" s="53" t="inlineStr">
        <is>
          <t>Java</t>
        </is>
      </c>
      <c r="EC315" s="53" t="inlineStr">
        <is>
          <t>Technical - Developer</t>
        </is>
      </c>
      <c r="ED315" s="53" t="inlineStr">
        <is>
          <t>Client Side</t>
        </is>
      </c>
      <c r="EE315" s="53" t="n"/>
      <c r="EF315"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315"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Rushikesh is putting efforts to understand technicality of application and able to deliver things.</t>
        </is>
      </c>
      <c r="EH315" s="53" t="n">
        <v>3</v>
      </c>
      <c r="EI315" s="53" t="n"/>
      <c r="EJ315" s="53" t="inlineStr">
        <is>
          <t>Trainee Software Engineer</t>
        </is>
      </c>
      <c r="EK315" s="53" t="n"/>
      <c r="EL315" s="53" t="n">
        <v>3</v>
      </c>
      <c r="EM315" s="53" t="inlineStr">
        <is>
          <t>Low</t>
        </is>
      </c>
      <c r="EN315" s="53" t="inlineStr">
        <is>
          <t>Core Contributor</t>
        </is>
      </c>
      <c r="EO315" s="53" t="inlineStr">
        <is>
          <t>No</t>
        </is>
      </c>
      <c r="EP315" s="53" t="inlineStr">
        <is>
          <t>No</t>
        </is>
      </c>
      <c r="EQ315" s="53" t="inlineStr">
        <is>
          <t>No</t>
        </is>
      </c>
      <c r="ER315" s="53" t="n"/>
      <c r="ES315" s="53" t="inlineStr">
        <is>
          <t>Advanced Java; secure coding &amp; code-quality practices; unit/automated testing; system design fundamentals</t>
        </is>
      </c>
      <c r="ET315" s="53" t="inlineStr">
        <is>
          <t>Transition to leadership: people management &amp; delegation, mentoring/coaching, project ownership &amp; stakeholder management, prioritisation under ambiguity, presentation &amp; influence skills</t>
        </is>
      </c>
      <c r="EU315" s="53" t="n"/>
      <c r="EV315" s="53" t="n"/>
      <c r="EW315" s="52" t="n"/>
      <c r="EX315" s="53" t="n"/>
      <c r="EY315" s="53" t="n"/>
      <c r="EZ315" s="53" t="n"/>
      <c r="FA315" s="53" t="n"/>
      <c r="FB315" s="53" t="n"/>
      <c r="FC315" s="53" t="n"/>
      <c r="FD315" s="53" t="n"/>
      <c r="FE315"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315"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Rushikesh is putting efforts to understand technicality of application and able to deliver things.</t>
        </is>
      </c>
      <c r="FG315" s="56" t="n"/>
      <c r="FH315" s="56" t="inlineStr">
        <is>
          <t>3</t>
        </is>
      </c>
      <c r="FI315" s="56" t="n"/>
      <c r="FJ315" s="56" t="inlineStr">
        <is>
          <t>Received · manager annual, quarterly</t>
        </is>
      </c>
      <c r="FK315" s="56" t="inlineStr">
        <is>
          <t>Talent Mapping · iFile collated</t>
        </is>
      </c>
      <c r="FL315" s="56" t="n">
        <v>20</v>
      </c>
      <c r="FM315" s="32" t="inlineStr">
        <is>
          <t>Full survey answers not in the files received · How We Grow export needed · HR</t>
        </is>
      </c>
      <c r="FN315" s="56" t="inlineStr">
        <is>
          <t>—</t>
        </is>
      </c>
      <c r="FO315" s="56" t="inlineStr">
        <is>
          <t>—</t>
        </is>
      </c>
      <c r="FP315" s="56" t="inlineStr">
        <is>
          <t>—</t>
        </is>
      </c>
      <c r="FQ315" s="56" t="inlineStr">
        <is>
          <t>—</t>
        </is>
      </c>
      <c r="FR315" s="56" t="n"/>
      <c r="FS315" s="56" t="inlineStr">
        <is>
          <t>Common themes in role-holders' answers: learn · core · software engineer · develop · purpose · design
Common themes in role-holders' answers: features · software · development · learning
Common themes in role-holders' answers: software · code · features
Common themes in role-holders' answers: quality · accountable · timely · if · data
Common themes in role-holders' answers: decisions · technical
If the work is missed · role-holders' themes: lead · delays · rework.
Measured on · manager-set KRA themes: code · technical · agreed · deliver · application · maintain.</t>
        </is>
      </c>
      <c r="FT315" s="56" t="inlineStr">
        <is>
          <t>Self-identified: Leadership &amp; people management · Technical depth &amp; architecture · Data, SQL &amp; analytics · Domain, regulatory &amp; XBRL · Broader exposure &amp; ownership
For the next role: Leadership &amp; people management · Technical depth &amp; architecture · Data, SQL &amp; analytics · Domain, regulatory &amp; XBRL · Client, sales &amp; stakeholders · Broader exposure &amp; ownership</t>
        </is>
      </c>
      <c r="FU315" s="32" t="inlineStr">
        <is>
          <t>Full survey answers not in the files received · How We Grow export needed · HR</t>
        </is>
      </c>
    </row>
    <row r="316" ht="90" customHeight="1">
      <c r="A316" s="51" t="inlineStr">
        <is>
          <t>◂ Back</t>
        </is>
      </c>
      <c r="B316" s="29" t="inlineStr">
        <is>
          <t>Mapped</t>
        </is>
      </c>
      <c r="C316" s="28" t="inlineStr">
        <is>
          <t>iFile</t>
        </is>
      </c>
      <c r="D316" s="29" t="inlineStr">
        <is>
          <t>IRIS1647</t>
        </is>
      </c>
      <c r="E316" s="29" t="inlineStr">
        <is>
          <t>Bhavana Thakare</t>
        </is>
      </c>
      <c r="F316" s="29" t="inlineStr">
        <is>
          <t>Technology</t>
        </is>
      </c>
      <c r="G316" s="29" t="inlineStr">
        <is>
          <t>Tech Lead</t>
        </is>
      </c>
      <c r="H316" s="29" t="inlineStr">
        <is>
          <t>Senior Technical Specialist – POD Lead</t>
        </is>
      </c>
      <c r="I316" s="29" t="inlineStr">
        <is>
          <t>L5 – Lead · IC</t>
        </is>
      </c>
      <c r="J316" s="29" t="inlineStr">
        <is>
          <t>B1</t>
        </is>
      </c>
      <c r="K316" s="29" t="inlineStr">
        <is>
          <t>▼ Down · protected</t>
        </is>
      </c>
      <c r="L316" s="29" t="inlineStr">
        <is>
          <t>Engineering &amp; Development</t>
        </is>
      </c>
      <c r="M316" s="29" t="inlineStr">
        <is>
          <t>Backend Development</t>
        </is>
      </c>
      <c r="N316" s="29" t="n"/>
      <c r="O316" s="29" t="n">
        <v>19</v>
      </c>
      <c r="P316" s="28" t="inlineStr">
        <is>
          <t>P3 / M2</t>
        </is>
      </c>
      <c r="Q316" s="29" t="inlineStr">
        <is>
          <t>Career / · Team Lead</t>
        </is>
      </c>
      <c r="R316" s="29" t="inlineStr">
        <is>
          <t>4 Enable</t>
        </is>
      </c>
      <c r="S316" s="29" t="inlineStr">
        <is>
          <t>4–7 yrs</t>
        </is>
      </c>
      <c r="T316" s="29" t="inlineStr">
        <is>
          <t>5–8 · 4–8</t>
        </is>
      </c>
      <c r="U316" s="29" t="inlineStr">
        <is>
          <t>Lead / Staff Engineer</t>
        </is>
      </c>
      <c r="V316" s="29" t="inlineStr">
        <is>
          <t>Workiva: SE / Senior SE · Broadridge India: Senior SE · Nasdaq / AxiomSL: Senior SE · Salesforce: MTS · Atlassian: P40 · Freshworks: Senior SE</t>
        </is>
      </c>
      <c r="W316" s="29" t="inlineStr">
        <is>
          <t>SFIA 9 · software development, programming; OWASP secure coding; cloud vendor certifications</t>
        </is>
      </c>
      <c r="X316" s="29" t="inlineStr">
        <is>
          <t>Core 3 · Future 3 · Functional 3 · Leadership 2</t>
        </is>
      </c>
      <c r="Y316" s="52" t="n">
        <v>135</v>
      </c>
      <c r="Z316" s="53" t="inlineStr">
        <is>
          <t>IRIS1647</t>
        </is>
      </c>
      <c r="AA316" s="53" t="inlineStr">
        <is>
          <t>Employee</t>
        </is>
      </c>
      <c r="AB316" s="53" t="inlineStr">
        <is>
          <t>Active</t>
        </is>
      </c>
      <c r="AC316" s="53" t="inlineStr">
        <is>
          <t>Bhavana Thakare</t>
        </is>
      </c>
      <c r="AD316" s="54" t="n">
        <v>42895</v>
      </c>
      <c r="AE316" s="53" t="inlineStr">
        <is>
          <t>Tech Lead</t>
        </is>
      </c>
      <c r="AF316" s="53" t="inlineStr">
        <is>
          <t>MSc</t>
        </is>
      </c>
      <c r="AG316" s="53" t="inlineStr">
        <is>
          <t>Yunus Patel</t>
        </is>
      </c>
      <c r="AH316" s="53" t="inlineStr">
        <is>
          <t>N-5</t>
        </is>
      </c>
      <c r="AI316" s="53" t="inlineStr">
        <is>
          <t>Manager</t>
        </is>
      </c>
      <c r="AJ316" s="53" t="inlineStr">
        <is>
          <t>4 years, 0 months, 0 days</t>
        </is>
      </c>
      <c r="AK316" s="53" t="inlineStr">
        <is>
          <t>9 years, 2 months, 16 days</t>
        </is>
      </c>
      <c r="AL316" s="53" t="inlineStr">
        <is>
          <t>Suptech</t>
        </is>
      </c>
      <c r="AM316" s="53" t="inlineStr">
        <is>
          <t>iFile</t>
        </is>
      </c>
      <c r="AN316" s="53" t="inlineStr">
        <is>
          <t>Technology</t>
        </is>
      </c>
      <c r="AO316" s="53" t="inlineStr">
        <is>
          <t>Development</t>
        </is>
      </c>
      <c r="AP316" s="53" t="inlineStr">
        <is>
          <t>Yes</t>
        </is>
      </c>
      <c r="AQ316" s="53" t="inlineStr">
        <is>
          <t>Product/Project</t>
        </is>
      </c>
      <c r="AR316" s="53" t="inlineStr">
        <is>
          <t>Java</t>
        </is>
      </c>
      <c r="AS316" s="53" t="inlineStr">
        <is>
          <t>Technical - Developer</t>
        </is>
      </c>
      <c r="AT316" s="53" t="n">
        <v>20</v>
      </c>
      <c r="AU316" s="53" t="inlineStr">
        <is>
          <t>Covered</t>
        </is>
      </c>
      <c r="AV316" s="53" t="n"/>
      <c r="AW316" s="53" t="n"/>
      <c r="AX316" s="53" t="n"/>
      <c r="AY316" s="53" t="n"/>
      <c r="AZ316" s="53" t="n"/>
      <c r="BA316" s="53" t="n"/>
      <c r="BB316" s="53" t="n"/>
      <c r="BC316" s="53" t="n"/>
      <c r="BD316" s="53" t="n"/>
      <c r="BE316" s="53" t="n"/>
      <c r="BF316" s="53" t="n"/>
      <c r="BG316" s="53" t="n"/>
      <c r="BH316" s="53" t="n"/>
      <c r="BI316" s="53" t="n"/>
      <c r="BJ316" s="53" t="n"/>
      <c r="BK316" s="53" t="n"/>
      <c r="BL316" s="53" t="n"/>
      <c r="BM316" s="53" t="n"/>
      <c r="BN316" s="53" t="n"/>
      <c r="BO316" s="53" t="n"/>
      <c r="BP316" s="53" t="n"/>
      <c r="BQ316" s="53" t="n"/>
      <c r="BR316" s="53" t="n"/>
      <c r="BS316" s="53" t="n"/>
      <c r="BT316" s="53" t="n"/>
      <c r="BU316" s="53" t="n"/>
      <c r="BV316" s="53" t="n"/>
      <c r="BW316" s="53" t="n"/>
      <c r="BX316" s="53" t="n"/>
      <c r="BY316" s="53" t="n"/>
      <c r="BZ316" s="53" t="n"/>
      <c r="CA316" s="53" t="n"/>
      <c r="CB316" s="53" t="n"/>
      <c r="CC316" s="53" t="n"/>
      <c r="CD316" s="53" t="n"/>
      <c r="CE316" s="53" t="n"/>
      <c r="CF316" s="53" t="n"/>
      <c r="CG316" s="53" t="n"/>
      <c r="CH316" s="53" t="n"/>
      <c r="CI316" s="53" t="n"/>
      <c r="CJ316" s="53" t="n"/>
      <c r="CK316" s="53" t="n"/>
      <c r="CL316" s="53" t="n"/>
      <c r="CM316" s="53" t="n"/>
      <c r="CN316" s="53" t="n"/>
      <c r="CO316" s="53" t="n"/>
      <c r="CP316" s="53" t="n"/>
      <c r="CQ316" s="53" t="n"/>
      <c r="CR316" s="53" t="n"/>
      <c r="CS316" s="53" t="n"/>
      <c r="CT316" s="53" t="n"/>
      <c r="CU316" s="53" t="n"/>
      <c r="CV316" s="53" t="n"/>
      <c r="CW316" s="53" t="n"/>
      <c r="CX316" s="53" t="n"/>
      <c r="CY316" s="53" t="n"/>
      <c r="CZ316" s="53" t="n"/>
      <c r="DA316" s="53" t="n"/>
      <c r="DB316" s="53" t="n"/>
      <c r="DC316" s="53" t="n"/>
      <c r="DD316" s="53" t="inlineStr">
        <is>
          <t>IRIS1647</t>
        </is>
      </c>
      <c r="DE316" s="53" t="inlineStr">
        <is>
          <t>Employee</t>
        </is>
      </c>
      <c r="DF316" s="53" t="inlineStr">
        <is>
          <t>Active</t>
        </is>
      </c>
      <c r="DG316" s="53" t="inlineStr">
        <is>
          <t>Bhavana Thakare</t>
        </is>
      </c>
      <c r="DH316" s="54" t="n">
        <v>42895</v>
      </c>
      <c r="DI316" s="53" t="inlineStr">
        <is>
          <t>Tech Lead</t>
        </is>
      </c>
      <c r="DJ316" s="53" t="inlineStr">
        <is>
          <t>Engineering &amp; Development</t>
        </is>
      </c>
      <c r="DK316" s="53" t="inlineStr">
        <is>
          <t>Backend Engineering · Java</t>
        </is>
      </c>
      <c r="DL316" s="53" t="inlineStr">
        <is>
          <t>Tech Lead</t>
        </is>
      </c>
      <c r="DM316" s="53" t="inlineStr">
        <is>
          <t>L5 – Lead · IC</t>
        </is>
      </c>
      <c r="DN316" s="53" t="inlineStr">
        <is>
          <t>MSc</t>
        </is>
      </c>
      <c r="DO316" s="53" t="inlineStr">
        <is>
          <t>Yunus Patel</t>
        </is>
      </c>
      <c r="DP316" s="53" t="inlineStr">
        <is>
          <t>N-4</t>
        </is>
      </c>
      <c r="DQ316" s="53" t="inlineStr">
        <is>
          <t>Manager</t>
        </is>
      </c>
      <c r="DR316" s="53" t="inlineStr">
        <is>
          <t>4 years, 0 months, 0 days</t>
        </is>
      </c>
      <c r="DS316" s="53" t="inlineStr">
        <is>
          <t>9 years, 0 months, 11 days</t>
        </is>
      </c>
      <c r="DT316" s="53" t="inlineStr">
        <is>
          <t>13 years, 0 months, 11 days</t>
        </is>
      </c>
      <c r="DU316" s="53" t="n">
        <v>9.03013698630137</v>
      </c>
      <c r="DV316" s="53" t="inlineStr">
        <is>
          <t>Suptech</t>
        </is>
      </c>
      <c r="DW316" s="53" t="inlineStr">
        <is>
          <t>iFile</t>
        </is>
      </c>
      <c r="DX316" s="53" t="inlineStr">
        <is>
          <t>Technology</t>
        </is>
      </c>
      <c r="DY316" s="53" t="inlineStr">
        <is>
          <t>Development</t>
        </is>
      </c>
      <c r="DZ316" s="53" t="inlineStr">
        <is>
          <t>Yes</t>
        </is>
      </c>
      <c r="EA316" s="53" t="inlineStr">
        <is>
          <t>Product/Project</t>
        </is>
      </c>
      <c r="EB316" s="53" t="inlineStr">
        <is>
          <t>Java</t>
        </is>
      </c>
      <c r="EC316" s="53" t="inlineStr">
        <is>
          <t>Technical - Developer</t>
        </is>
      </c>
      <c r="ED316" s="53" t="inlineStr">
        <is>
          <t>Remote - Mumbai</t>
        </is>
      </c>
      <c r="EE316" s="53" t="n"/>
      <c r="EF316" s="53" t="inlineStr">
        <is>
          <t>1. Deliver team release roadmap on schedule: &gt;=90% of committed releases on time
2. Keep team sprint velocity stable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EG316" s="53" t="inlineStr">
        <is>
          <t>Q1: Deliver team release roadmap on schedule: &gt;=90% of committed releases on time
Q1: Keep team sprint velocity stable and defect leakage &lt;=5%
Q1: Drive production stability: critical incidents resolved within SLA &gt;=95%
Q1: Reduce module-level tech debt by &gt;=15% via refactoring / reusable components
Having good control over her team, however, her involvement with team is too much she need to focus on improvement in code quality and new way to close change request and Prod defect in minimum time</t>
        </is>
      </c>
      <c r="EH316" s="53" t="n">
        <v>4</v>
      </c>
      <c r="EI316" s="53" t="n"/>
      <c r="EJ316" s="53" t="inlineStr">
        <is>
          <t>Tech Lead</t>
        </is>
      </c>
      <c r="EK316" s="53" t="n"/>
      <c r="EL316" s="53" t="n">
        <v>4</v>
      </c>
      <c r="EM316" s="53" t="inlineStr">
        <is>
          <t>Medium</t>
        </is>
      </c>
      <c r="EN316" s="53" t="inlineStr">
        <is>
          <t>High Impact / Growth Talent</t>
        </is>
      </c>
      <c r="EO316" s="53" t="inlineStr">
        <is>
          <t>No</t>
        </is>
      </c>
      <c r="EP316" s="53" t="inlineStr">
        <is>
          <t>No</t>
        </is>
      </c>
      <c r="EQ316" s="53" t="inlineStr">
        <is>
          <t>No</t>
        </is>
      </c>
      <c r="ER316" s="53" t="n"/>
      <c r="ES316" s="53" t="inlineStr">
        <is>
          <t>Advanced Java; secure coding &amp; code-quality practices; unit/automated testing; system design fundamentals | People management: goal-setting &amp; feedback, 1:1 coaching, performance conversations</t>
        </is>
      </c>
      <c r="ET316" s="53" t="inlineStr">
        <is>
          <t>Leadership development: strategic thinking, cross-functional influence, financial/business acumen, succession &amp; talent development, change management, executive communication</t>
        </is>
      </c>
      <c r="EU316" s="53" t="n"/>
      <c r="EV316" s="53" t="n"/>
      <c r="EW316" s="52" t="n"/>
      <c r="EX316" s="53" t="n"/>
      <c r="EY316" s="53" t="n"/>
      <c r="EZ316" s="53" t="n"/>
      <c r="FA316" s="53" t="n"/>
      <c r="FB316" s="53" t="n"/>
      <c r="FC316" s="53" t="n"/>
      <c r="FD316" s="53" t="n"/>
      <c r="FE316" s="57" t="inlineStr">
        <is>
          <t>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FF316" s="56" t="inlineStr">
        <is>
          <t>Q1: Deliver team release roadmap on schedule: &gt;=90% of committed releases on time
Q1: Keep team sprint velocity stable · +/-10% and defect leakage &lt;=5%
Q1: Drive production stability: critical incidents resolved within SLA &gt;=95%
Q1: Reduce module-level tech debt by &gt;=15% via refactoring / reusable components
Having good control over her team, however, her involvement with team is too much she need to focus on improvement in code quality and new way to close change request and Prod defect in minimum time</t>
        </is>
      </c>
      <c r="FG316" s="56" t="n"/>
      <c r="FH316" s="56" t="inlineStr">
        <is>
          <t>4</t>
        </is>
      </c>
      <c r="FI316" s="56" t="n"/>
      <c r="FJ316" s="56" t="inlineStr">
        <is>
          <t>Received · manager annual, quarterly</t>
        </is>
      </c>
      <c r="FK316" s="56" t="inlineStr">
        <is>
          <t>Talent Mapping · iFile collated</t>
        </is>
      </c>
      <c r="FL316" s="56" t="n">
        <v>19</v>
      </c>
      <c r="FM316" s="32" t="inlineStr">
        <is>
          <t>Full survey answers not in the files received · How We Grow export needed · HR</t>
        </is>
      </c>
      <c r="FN316" s="56" t="inlineStr">
        <is>
          <t>—</t>
        </is>
      </c>
      <c r="FO316" s="56" t="inlineStr">
        <is>
          <t>—</t>
        </is>
      </c>
      <c r="FP316" s="56" t="inlineStr">
        <is>
          <t>—</t>
        </is>
      </c>
      <c r="FQ316" s="56" t="inlineStr">
        <is>
          <t>—</t>
        </is>
      </c>
      <c r="FR316" s="56" t="inlineStr">
        <is>
          <t>Complexity: Evidence reads like A3: Resolves technical issues, enhancements and production support on business-critical Java/J2EE applications → moved down 1
Autonomy: Evidence reads like A3: Decides how to solve technical issues and code-level changes; not major business or production decisions → moved down 1
Accountability: Evidence reads like A3: own survey / KRA answers · summarised by the rater; not quoted → moved down 0.5
Leadership: Evidence reads like A3: Survey describes no leadership; manager note says she controls her team; two reports → moved down 0.5
Business Impact: No survey or manager-mapping signal on criticality: kept at the start point.</t>
        </is>
      </c>
      <c r="FS316" s="56" t="inlineStr">
        <is>
          <t>Common themes in role-holders' answers: technical · members · guide · lead · time · support
Common themes in role-holders' answers: development · requirement · testing · support · software · solution
Common themes in role-holders' answers: features · technical · issue · code · releases
Common themes in role-holders' answers: code · requirement · delivery · changes · am · delivering
Common themes in role-holders' answers: technical · approach · decisions · process · issue · code
If the work is missed · role-holders' themes: timeline · delays · rework.
Measured on · manager-set KRA themes: reduce · production · time · quarterly · incidents resolved · stability critical.</t>
        </is>
      </c>
      <c r="FT316" s="56" t="inlineStr">
        <is>
          <t>Self-identified: Leadership &amp; people management · Technical depth &amp; architecture
For the next role: Leadership &amp; people management · Technical depth &amp; architecture</t>
        </is>
      </c>
      <c r="FU316" s="32" t="inlineStr">
        <is>
          <t>Full survey answers not in the files received · How We Grow export needed · HR</t>
        </is>
      </c>
    </row>
    <row r="317" ht="90" customHeight="1">
      <c r="A317" s="51" t="inlineStr">
        <is>
          <t>◂ Back</t>
        </is>
      </c>
      <c r="B317" s="29" t="inlineStr">
        <is>
          <t>Mapped</t>
        </is>
      </c>
      <c r="C317" s="28" t="inlineStr">
        <is>
          <t>iFile</t>
        </is>
      </c>
      <c r="D317" s="29" t="inlineStr">
        <is>
          <t>IRIS2004</t>
        </is>
      </c>
      <c r="E317" s="29" t="inlineStr">
        <is>
          <t>Swati Patil</t>
        </is>
      </c>
      <c r="F317" s="29" t="inlineStr">
        <is>
          <t>Technology</t>
        </is>
      </c>
      <c r="G317" s="29" t="inlineStr">
        <is>
          <t>Software Engineer</t>
        </is>
      </c>
      <c r="H317" s="29" t="inlineStr">
        <is>
          <t>Senior Software Engineer</t>
        </is>
      </c>
      <c r="I317" s="29" t="inlineStr">
        <is>
          <t>L3 – Professional / Associate</t>
        </is>
      </c>
      <c r="J317" s="29" t="inlineStr">
        <is>
          <t>A3</t>
        </is>
      </c>
      <c r="K317" s="29" t="inlineStr">
        <is>
          <t>▲ Up</t>
        </is>
      </c>
      <c r="L317" s="29" t="inlineStr">
        <is>
          <t>Engineering &amp; Development</t>
        </is>
      </c>
      <c r="M317" s="29" t="inlineStr">
        <is>
          <t>Full-Stack Development</t>
        </is>
      </c>
      <c r="N317" s="29" t="n"/>
      <c r="O317" s="29" t="n">
        <v>20</v>
      </c>
      <c r="P317" s="28" t="inlineStr">
        <is>
          <t>P2</t>
        </is>
      </c>
      <c r="Q317" s="29" t="inlineStr">
        <is>
          <t>Developing</t>
        </is>
      </c>
      <c r="R317" s="29" t="inlineStr">
        <is>
          <t>3 Apply</t>
        </is>
      </c>
      <c r="S317" s="29" t="inlineStr">
        <is>
          <t>2–4 yrs</t>
        </is>
      </c>
      <c r="T317" s="29" t="inlineStr">
        <is>
          <t>3–5 · 2–5</t>
        </is>
      </c>
      <c r="U317" s="29" t="inlineStr">
        <is>
          <t>Software Engineer</t>
        </is>
      </c>
      <c r="V317" s="29" t="inlineStr">
        <is>
          <t>Workiva: SE · Broadridge India: SE · Nasdaq / AxiomSL: SE · Salesforce: MTS · Atlassian: P40 · 3–7 yrs · Freshworks: Senior SE</t>
        </is>
      </c>
      <c r="W317" s="29" t="inlineStr">
        <is>
          <t>SFIA 9 · software development, programming; OWASP secure coding; cloud vendor certifications</t>
        </is>
      </c>
      <c r="X317" s="29" t="inlineStr">
        <is>
          <t>Core 2 · Future 2 · Functional 3 · Leadership not scored</t>
        </is>
      </c>
      <c r="Y317" s="52" t="n">
        <v>214</v>
      </c>
      <c r="Z317" s="53" t="inlineStr">
        <is>
          <t>IRIS2004</t>
        </is>
      </c>
      <c r="AA317" s="53" t="inlineStr">
        <is>
          <t>Employee</t>
        </is>
      </c>
      <c r="AB317" s="53" t="inlineStr">
        <is>
          <t>Active</t>
        </is>
      </c>
      <c r="AC317" s="53" t="inlineStr">
        <is>
          <t>Swati Patil</t>
        </is>
      </c>
      <c r="AD317" s="54" t="n">
        <v>44641</v>
      </c>
      <c r="AE317" s="53" t="inlineStr">
        <is>
          <t>Software Engineer</t>
        </is>
      </c>
      <c r="AF317" s="53" t="inlineStr">
        <is>
          <t>B.E</t>
        </is>
      </c>
      <c r="AG317" s="53" t="inlineStr">
        <is>
          <t>Bhavana Thakare</t>
        </is>
      </c>
      <c r="AH317" s="53" t="inlineStr">
        <is>
          <t>N-6</t>
        </is>
      </c>
      <c r="AI317" s="53" t="inlineStr">
        <is>
          <t>Individual Contributor</t>
        </is>
      </c>
      <c r="AJ317" s="53" t="inlineStr">
        <is>
          <t>0 years, 0 months, 0 days</t>
        </is>
      </c>
      <c r="AK317" s="53" t="inlineStr">
        <is>
          <t>4 years, 5 months, 4 days</t>
        </is>
      </c>
      <c r="AL317" s="53" t="inlineStr">
        <is>
          <t>Suptech</t>
        </is>
      </c>
      <c r="AM317" s="53" t="inlineStr">
        <is>
          <t>iFile</t>
        </is>
      </c>
      <c r="AN317" s="53" t="inlineStr">
        <is>
          <t>Technology</t>
        </is>
      </c>
      <c r="AO317" s="53" t="inlineStr">
        <is>
          <t>Development</t>
        </is>
      </c>
      <c r="AP317" s="53" t="inlineStr">
        <is>
          <t>Yes</t>
        </is>
      </c>
      <c r="AQ317" s="53" t="inlineStr">
        <is>
          <t>Product/Project</t>
        </is>
      </c>
      <c r="AR317" s="53" t="inlineStr">
        <is>
          <t>Java</t>
        </is>
      </c>
      <c r="AS317" s="53" t="inlineStr">
        <is>
          <t>Technical - Developer</t>
        </is>
      </c>
      <c r="AT317" s="53" t="n">
        <v>20</v>
      </c>
      <c r="AU317" s="53" t="inlineStr">
        <is>
          <t>Covered</t>
        </is>
      </c>
      <c r="AV317" s="53" t="n"/>
      <c r="AW317" s="53" t="n"/>
      <c r="AX317" s="53" t="n"/>
      <c r="AY317" s="53" t="n"/>
      <c r="AZ317" s="53" t="n"/>
      <c r="BA317" s="53" t="n"/>
      <c r="BB317" s="53" t="n"/>
      <c r="BC317" s="53" t="n"/>
      <c r="BD317" s="53" t="n"/>
      <c r="BE317" s="53" t="n"/>
      <c r="BF317" s="53" t="n"/>
      <c r="BG317" s="53" t="n"/>
      <c r="BH317" s="53" t="n"/>
      <c r="BI317" s="53" t="n"/>
      <c r="BJ317" s="53" t="n"/>
      <c r="BK317" s="53" t="n"/>
      <c r="BL317" s="53" t="n"/>
      <c r="BM317" s="53" t="n"/>
      <c r="BN317" s="53" t="n"/>
      <c r="BO317" s="53" t="n"/>
      <c r="BP317" s="53" t="n"/>
      <c r="BQ317" s="53" t="n"/>
      <c r="BR317" s="53" t="n"/>
      <c r="BS317" s="53" t="n"/>
      <c r="BT317" s="53" t="n"/>
      <c r="BU317" s="53" t="n"/>
      <c r="BV317" s="53" t="n"/>
      <c r="BW317" s="53" t="n"/>
      <c r="BX317" s="53" t="n"/>
      <c r="BY317" s="53" t="n"/>
      <c r="BZ317" s="53" t="n"/>
      <c r="CA317" s="53" t="n"/>
      <c r="CB317" s="53" t="n"/>
      <c r="CC317" s="53" t="n"/>
      <c r="CD317" s="53" t="n"/>
      <c r="CE317" s="53" t="n"/>
      <c r="CF317" s="53" t="n"/>
      <c r="CG317" s="53" t="n"/>
      <c r="CH317" s="53" t="n"/>
      <c r="CI317" s="53" t="n"/>
      <c r="CJ317" s="53" t="n"/>
      <c r="CK317" s="53" t="n"/>
      <c r="CL317" s="53" t="n"/>
      <c r="CM317" s="53" t="n"/>
      <c r="CN317" s="53" t="n"/>
      <c r="CO317" s="53" t="n"/>
      <c r="CP317" s="53" t="n"/>
      <c r="CQ317" s="53" t="n"/>
      <c r="CR317" s="53" t="n"/>
      <c r="CS317" s="53" t="n"/>
      <c r="CT317" s="53" t="n"/>
      <c r="CU317" s="53" t="n"/>
      <c r="CV317" s="53" t="n"/>
      <c r="CW317" s="53" t="n"/>
      <c r="CX317" s="53" t="n"/>
      <c r="CY317" s="53" t="n"/>
      <c r="CZ317" s="53" t="n"/>
      <c r="DA317" s="53" t="n"/>
      <c r="DB317" s="53" t="n"/>
      <c r="DC317" s="53" t="n"/>
      <c r="DD317" s="53" t="inlineStr">
        <is>
          <t>IRIS2004</t>
        </is>
      </c>
      <c r="DE317" s="53" t="inlineStr">
        <is>
          <t>Employee</t>
        </is>
      </c>
      <c r="DF317" s="53" t="inlineStr">
        <is>
          <t>Active</t>
        </is>
      </c>
      <c r="DG317" s="53" t="inlineStr">
        <is>
          <t>Swati Patil</t>
        </is>
      </c>
      <c r="DH317" s="54" t="n">
        <v>44641</v>
      </c>
      <c r="DI317" s="53" t="inlineStr">
        <is>
          <t>Software Engineer</t>
        </is>
      </c>
      <c r="DJ317" s="53" t="inlineStr">
        <is>
          <t>Engineering &amp; Development</t>
        </is>
      </c>
      <c r="DK317" s="53" t="inlineStr">
        <is>
          <t>Backend Engineering · Java</t>
        </is>
      </c>
      <c r="DL317" s="53" t="inlineStr">
        <is>
          <t>Software Engineer</t>
        </is>
      </c>
      <c r="DM317" s="53" t="inlineStr">
        <is>
          <t>L3 – Professional / Associate</t>
        </is>
      </c>
      <c r="DN317" s="53" t="inlineStr">
        <is>
          <t>B.E</t>
        </is>
      </c>
      <c r="DO317" s="53" t="inlineStr">
        <is>
          <t>Bhavana Thakare</t>
        </is>
      </c>
      <c r="DP317" s="53" t="inlineStr">
        <is>
          <t>N-5</t>
        </is>
      </c>
      <c r="DQ317" s="53" t="inlineStr">
        <is>
          <t>Individual Contributor</t>
        </is>
      </c>
      <c r="DR317" s="53" t="inlineStr">
        <is>
          <t>0 years, 0 months, 0 days</t>
        </is>
      </c>
      <c r="DS317" s="53" t="inlineStr">
        <is>
          <t>4 years, 2 months, 30 days</t>
        </is>
      </c>
      <c r="DT317" s="53" t="inlineStr">
        <is>
          <t>4 years, 2 months, 30 days</t>
        </is>
      </c>
      <c r="DU317" s="53" t="n"/>
      <c r="DV317" s="53" t="inlineStr">
        <is>
          <t>Suptech</t>
        </is>
      </c>
      <c r="DW317" s="53" t="inlineStr">
        <is>
          <t>iFile</t>
        </is>
      </c>
      <c r="DX317" s="53" t="inlineStr">
        <is>
          <t>Technology</t>
        </is>
      </c>
      <c r="DY317" s="53" t="inlineStr">
        <is>
          <t>Development</t>
        </is>
      </c>
      <c r="DZ317" s="53" t="inlineStr">
        <is>
          <t>Yes</t>
        </is>
      </c>
      <c r="EA317" s="53" t="inlineStr">
        <is>
          <t>Product/Project</t>
        </is>
      </c>
      <c r="EB317" s="53" t="inlineStr">
        <is>
          <t>Java</t>
        </is>
      </c>
      <c r="EC317" s="53" t="inlineStr">
        <is>
          <t>Technical - Developer</t>
        </is>
      </c>
      <c r="ED317" s="53" t="inlineStr">
        <is>
          <t>Remote - Mumbai</t>
        </is>
      </c>
      <c r="EE317" s="53" t="n"/>
      <c r="EF317"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317"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She is good in closing the assigned defects, however, there is no improvement on code quality</t>
        </is>
      </c>
      <c r="EH317" s="53" t="n">
        <v>3</v>
      </c>
      <c r="EI317" s="53" t="n"/>
      <c r="EJ317" s="53" t="inlineStr">
        <is>
          <t>Software Engineer</t>
        </is>
      </c>
      <c r="EK317" s="53" t="n"/>
      <c r="EL317" s="53" t="n">
        <v>3</v>
      </c>
      <c r="EM317" s="53" t="inlineStr">
        <is>
          <t>Low</t>
        </is>
      </c>
      <c r="EN317" s="53" t="inlineStr">
        <is>
          <t>Reliable Specialist</t>
        </is>
      </c>
      <c r="EO317" s="53" t="inlineStr">
        <is>
          <t>No</t>
        </is>
      </c>
      <c r="EP317" s="53" t="inlineStr">
        <is>
          <t>No</t>
        </is>
      </c>
      <c r="EQ317" s="53" t="inlineStr">
        <is>
          <t>No</t>
        </is>
      </c>
      <c r="ER317" s="53" t="n"/>
      <c r="ES317" s="53" t="inlineStr">
        <is>
          <t>Advanced Java; secure coding &amp; code-quality practices; unit/automated testing; system design fundamentals</t>
        </is>
      </c>
      <c r="ET317" s="53" t="inlineStr">
        <is>
          <t>Transition to leadership: people management &amp; delegation, mentoring/coaching, project ownership &amp; stakeholder management, prioritisation under ambiguity, presentation &amp; influence skills</t>
        </is>
      </c>
      <c r="EU317" s="53" t="n"/>
      <c r="EV317" s="53" t="n"/>
      <c r="EW317" s="52" t="n"/>
      <c r="EX317" s="53" t="n"/>
      <c r="EY317" s="53" t="n"/>
      <c r="EZ317" s="53" t="n"/>
      <c r="FA317" s="53" t="n"/>
      <c r="FB317" s="53" t="n"/>
      <c r="FC317" s="53" t="n"/>
      <c r="FD317" s="53" t="n"/>
      <c r="FE317"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317"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She is good in closing the assigned defects, however, there is no improvement on code quality</t>
        </is>
      </c>
      <c r="FG317" s="56" t="n"/>
      <c r="FH317" s="56" t="inlineStr">
        <is>
          <t>3</t>
        </is>
      </c>
      <c r="FI317" s="56" t="n"/>
      <c r="FJ317" s="56" t="inlineStr">
        <is>
          <t>Received · manager annual, quarterly</t>
        </is>
      </c>
      <c r="FK317" s="56" t="inlineStr">
        <is>
          <t>Talent Mapping · iFile collated</t>
        </is>
      </c>
      <c r="FL317" s="56" t="n">
        <v>20</v>
      </c>
      <c r="FM317" s="32" t="inlineStr">
        <is>
          <t>Full survey answers not in the files received · How We Grow export needed · HR</t>
        </is>
      </c>
      <c r="FN317" s="56" t="inlineStr">
        <is>
          <t>—</t>
        </is>
      </c>
      <c r="FO317" s="56" t="inlineStr">
        <is>
          <t>—</t>
        </is>
      </c>
      <c r="FP317" s="56" t="inlineStr">
        <is>
          <t>—</t>
        </is>
      </c>
      <c r="FQ317" s="56" t="inlineStr">
        <is>
          <t>—</t>
        </is>
      </c>
      <c r="FR317" s="56" t="inlineStr">
        <is>
          <t>Complexity: Evidence reads like A2: Develops features, fixes issues, tests and supports production in Java/Angular; no specifics → matches the start
Autonomy: Evidence reads like A2: Decides technical implementation → matches the start
Accountability: Evidence reads like A2: Accountable for 'application quality'; manager notes she closes assigned defects → matches the start
Leadership: Evidence reads like A1: No guiding or leading described → matches the start
Business Impact: No survey or manager-mapping signal on criticality: kept at the start point.</t>
        </is>
      </c>
      <c r="FS317" s="56"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FT317" s="56" t="inlineStr">
        <is>
          <t>Self-identified: Answered · no common topic
For the next role: Answered · no common topic</t>
        </is>
      </c>
      <c r="FU317" s="32" t="inlineStr">
        <is>
          <t>Full survey answers not in the files received · How We Grow export needed · HR</t>
        </is>
      </c>
    </row>
    <row r="318" ht="90" customHeight="1">
      <c r="A318" s="51" t="inlineStr">
        <is>
          <t>◂ Back</t>
        </is>
      </c>
      <c r="B318" s="29" t="inlineStr">
        <is>
          <t>Mapped</t>
        </is>
      </c>
      <c r="C318" s="28" t="inlineStr">
        <is>
          <t>iFile</t>
        </is>
      </c>
      <c r="D318" s="29" t="inlineStr">
        <is>
          <t>IRIS2017</t>
        </is>
      </c>
      <c r="E318" s="29" t="inlineStr">
        <is>
          <t>Jerigan Gracias</t>
        </is>
      </c>
      <c r="F318" s="29" t="inlineStr">
        <is>
          <t>Technology</t>
        </is>
      </c>
      <c r="G318" s="29" t="inlineStr">
        <is>
          <t>Project Lead</t>
        </is>
      </c>
      <c r="H318" s="29" t="inlineStr">
        <is>
          <t>Associate Project Manager – POD Lead</t>
        </is>
      </c>
      <c r="I318" s="29" t="inlineStr">
        <is>
          <t>L5 – Lead · IC</t>
        </is>
      </c>
      <c r="J318" s="29" t="inlineStr">
        <is>
          <t>B1</t>
        </is>
      </c>
      <c r="K318" s="29" t="inlineStr">
        <is>
          <t>▼ Down · protected</t>
        </is>
      </c>
      <c r="L318" s="29" t="inlineStr">
        <is>
          <t>Project &amp; Program Management</t>
        </is>
      </c>
      <c r="M318" s="29" t="inlineStr">
        <is>
          <t>Project &amp; Program Delivery</t>
        </is>
      </c>
      <c r="N318" s="29" t="n"/>
      <c r="O318" s="29" t="n">
        <v>20</v>
      </c>
      <c r="P318" s="28" t="inlineStr">
        <is>
          <t>P3 / M2</t>
        </is>
      </c>
      <c r="Q318" s="29" t="inlineStr">
        <is>
          <t>Career / · Team Lead</t>
        </is>
      </c>
      <c r="R318" s="29" t="inlineStr">
        <is>
          <t>4 Enable</t>
        </is>
      </c>
      <c r="S318" s="29" t="inlineStr">
        <is>
          <t>4–7 yrs</t>
        </is>
      </c>
      <c r="T318" s="29" t="inlineStr">
        <is>
          <t>5–8 · 4–8</t>
        </is>
      </c>
      <c r="U318" s="29" t="inlineStr">
        <is>
          <t>Project Manager</t>
        </is>
      </c>
      <c r="V318" s="29" t="inlineStr">
        <is>
          <t>IRIS Vs Competitor Benchmark — PMI pathway + SaaS delivery ladder: Project Manager · PMP</t>
        </is>
      </c>
      <c r="W318" s="29" t="inlineStr">
        <is>
          <t>PMI PMBOK and Talent Triangle; CAPM · entry → PMP → PgMP; Scrum / SAFe</t>
        </is>
      </c>
      <c r="X318" s="29" t="inlineStr">
        <is>
          <t>Core 3 · Future 3 · Functional 3 · Leadership 2</t>
        </is>
      </c>
      <c r="Y318" s="52" t="n">
        <v>217</v>
      </c>
      <c r="Z318" s="53" t="inlineStr">
        <is>
          <t>IRIS2017</t>
        </is>
      </c>
      <c r="AA318" s="53" t="inlineStr">
        <is>
          <t>Employee</t>
        </is>
      </c>
      <c r="AB318" s="53" t="inlineStr">
        <is>
          <t>Active</t>
        </is>
      </c>
      <c r="AC318" s="53" t="inlineStr">
        <is>
          <t>Jerigan Gracias</t>
        </is>
      </c>
      <c r="AD318" s="54" t="n">
        <v>44698</v>
      </c>
      <c r="AE318" s="53" t="inlineStr">
        <is>
          <t>Project Lead</t>
        </is>
      </c>
      <c r="AF318" s="53" t="inlineStr">
        <is>
          <t>B.SC</t>
        </is>
      </c>
      <c r="AG318" s="53" t="inlineStr">
        <is>
          <t>Yunus Patel</t>
        </is>
      </c>
      <c r="AH318" s="53" t="inlineStr">
        <is>
          <t>N-5</t>
        </is>
      </c>
      <c r="AI318" s="53" t="inlineStr">
        <is>
          <t>Manager</t>
        </is>
      </c>
      <c r="AJ318" s="53" t="inlineStr">
        <is>
          <t>0 years, 0 months, 0 days</t>
        </is>
      </c>
      <c r="AK318" s="53" t="inlineStr">
        <is>
          <t>4 years, 3 months, 8 days</t>
        </is>
      </c>
      <c r="AL318" s="53" t="inlineStr">
        <is>
          <t>Suptech</t>
        </is>
      </c>
      <c r="AM318" s="53" t="inlineStr">
        <is>
          <t>iFile</t>
        </is>
      </c>
      <c r="AN318" s="53" t="inlineStr">
        <is>
          <t>Technology</t>
        </is>
      </c>
      <c r="AO318" s="53" t="inlineStr">
        <is>
          <t>Project Management</t>
        </is>
      </c>
      <c r="AP318" s="53" t="inlineStr">
        <is>
          <t>No</t>
        </is>
      </c>
      <c r="AQ318" s="53" t="inlineStr">
        <is>
          <t>Product/Project</t>
        </is>
      </c>
      <c r="AR318" s="53" t="inlineStr">
        <is>
          <t>Project Management</t>
        </is>
      </c>
      <c r="AS318" s="53" t="inlineStr">
        <is>
          <t>Technical · BA, PM and QA</t>
        </is>
      </c>
      <c r="AT318" s="53" t="n">
        <v>20</v>
      </c>
      <c r="AU318" s="53" t="inlineStr">
        <is>
          <t>Covered</t>
        </is>
      </c>
      <c r="AV318" s="53" t="n"/>
      <c r="AW318" s="53" t="n"/>
      <c r="AX318" s="53" t="n"/>
      <c r="AY318" s="53" t="n"/>
      <c r="AZ318" s="53" t="n"/>
      <c r="BA318" s="53" t="n"/>
      <c r="BB318" s="53" t="n"/>
      <c r="BC318" s="53" t="n"/>
      <c r="BD318" s="53" t="n"/>
      <c r="BE318" s="53" t="n"/>
      <c r="BF318" s="53" t="n"/>
      <c r="BG318" s="53" t="n"/>
      <c r="BH318" s="53" t="n"/>
      <c r="BI318" s="53" t="n"/>
      <c r="BJ318" s="53" t="n"/>
      <c r="BK318" s="53" t="n"/>
      <c r="BL318" s="53" t="n"/>
      <c r="BM318" s="53" t="n"/>
      <c r="BN318" s="53" t="n"/>
      <c r="BO318" s="53" t="n"/>
      <c r="BP318" s="53" t="n"/>
      <c r="BQ318" s="53" t="n"/>
      <c r="BR318" s="53" t="n"/>
      <c r="BS318" s="53" t="n"/>
      <c r="BT318" s="53" t="n"/>
      <c r="BU318" s="53" t="n"/>
      <c r="BV318" s="53" t="n"/>
      <c r="BW318" s="53" t="n"/>
      <c r="BX318" s="53" t="n"/>
      <c r="BY318" s="53" t="n"/>
      <c r="BZ318" s="53" t="n"/>
      <c r="CA318" s="53" t="n"/>
      <c r="CB318" s="53" t="n"/>
      <c r="CC318" s="53" t="n"/>
      <c r="CD318" s="53" t="n"/>
      <c r="CE318" s="53" t="n"/>
      <c r="CF318" s="53" t="n"/>
      <c r="CG318" s="53" t="n"/>
      <c r="CH318" s="53" t="n"/>
      <c r="CI318" s="53" t="n"/>
      <c r="CJ318" s="53" t="n"/>
      <c r="CK318" s="53" t="n"/>
      <c r="CL318" s="53" t="n"/>
      <c r="CM318" s="53" t="n"/>
      <c r="CN318" s="53" t="n"/>
      <c r="CO318" s="53" t="n"/>
      <c r="CP318" s="53" t="n"/>
      <c r="CQ318" s="53" t="n"/>
      <c r="CR318" s="53" t="n"/>
      <c r="CS318" s="53" t="n"/>
      <c r="CT318" s="53" t="n"/>
      <c r="CU318" s="53" t="n"/>
      <c r="CV318" s="53" t="n"/>
      <c r="CW318" s="53" t="n"/>
      <c r="CX318" s="53" t="n"/>
      <c r="CY318" s="53" t="n"/>
      <c r="CZ318" s="53" t="n"/>
      <c r="DA318" s="53" t="n"/>
      <c r="DB318" s="53" t="n"/>
      <c r="DC318" s="53" t="n"/>
      <c r="DD318" s="53" t="inlineStr">
        <is>
          <t>IRIS2017</t>
        </is>
      </c>
      <c r="DE318" s="53" t="inlineStr">
        <is>
          <t>Employee</t>
        </is>
      </c>
      <c r="DF318" s="53" t="inlineStr">
        <is>
          <t>Active</t>
        </is>
      </c>
      <c r="DG318" s="53" t="inlineStr">
        <is>
          <t>Jerigan Gracias</t>
        </is>
      </c>
      <c r="DH318" s="54" t="n">
        <v>44698</v>
      </c>
      <c r="DI318" s="53" t="inlineStr">
        <is>
          <t>Project Lead</t>
        </is>
      </c>
      <c r="DJ318" s="53" t="inlineStr">
        <is>
          <t>Project &amp; Program Management</t>
        </is>
      </c>
      <c r="DK318" s="53" t="inlineStr">
        <is>
          <t>Project Management</t>
        </is>
      </c>
      <c r="DL318" s="53" t="inlineStr">
        <is>
          <t>Project Lead</t>
        </is>
      </c>
      <c r="DM318" s="53" t="inlineStr">
        <is>
          <t>L5 – Lead · IC</t>
        </is>
      </c>
      <c r="DN318" s="53" t="inlineStr">
        <is>
          <t>B.SC</t>
        </is>
      </c>
      <c r="DO318" s="53" t="inlineStr">
        <is>
          <t>Yunus Patel</t>
        </is>
      </c>
      <c r="DP318" s="53" t="inlineStr">
        <is>
          <t>N-4</t>
        </is>
      </c>
      <c r="DQ318" s="53" t="inlineStr">
        <is>
          <t>Manager</t>
        </is>
      </c>
      <c r="DR318" s="53" t="inlineStr">
        <is>
          <t>0 years, 0 months, 0 days</t>
        </is>
      </c>
      <c r="DS318" s="53" t="inlineStr">
        <is>
          <t>4 years, 1 months, 3 days</t>
        </is>
      </c>
      <c r="DT318" s="53" t="inlineStr">
        <is>
          <t>4 years, 1 months, 3 days</t>
        </is>
      </c>
      <c r="DU318" s="53" t="n">
        <v>4.09155251141553</v>
      </c>
      <c r="DV318" s="53" t="inlineStr">
        <is>
          <t>Suptech</t>
        </is>
      </c>
      <c r="DW318" s="53" t="inlineStr">
        <is>
          <t>iFile</t>
        </is>
      </c>
      <c r="DX318" s="53" t="inlineStr">
        <is>
          <t>Technology</t>
        </is>
      </c>
      <c r="DY318" s="53" t="inlineStr">
        <is>
          <t>Project Management</t>
        </is>
      </c>
      <c r="DZ318" s="53" t="inlineStr">
        <is>
          <t>No</t>
        </is>
      </c>
      <c r="EA318" s="53" t="inlineStr">
        <is>
          <t>Product/Project</t>
        </is>
      </c>
      <c r="EB318" s="53" t="inlineStr">
        <is>
          <t>Project Management</t>
        </is>
      </c>
      <c r="EC318" s="53" t="inlineStr">
        <is>
          <t>Technical · BA, PM and QA</t>
        </is>
      </c>
      <c r="ED318" s="53" t="inlineStr">
        <is>
          <t>Client Side</t>
        </is>
      </c>
      <c r="EE318" s="53" t="n"/>
      <c r="EF318" s="53" t="inlineStr">
        <is>
          <t>1. Deliver &gt;=90% of project milestones on schedule and within agreed scope
2. Keep project budget / effort variance within +/-10% of plan
3. Maintain risk &amp; issue log with 100% items tracked to closure
4. Achieve client/stakeholder satisfaction · CSAT of &gt;=4 / 5 on delivered projects
5. Publish accurate weekly status reports with 100% on-time cadence
6. Keep resource utilisation on managed projects within target band · 75-85%
7. Ensure 100% of project closures have documented lessons learned</t>
        </is>
      </c>
      <c r="EG318" s="53" t="inlineStr">
        <is>
          <t>Q1: Deliver &gt;=90% of project milestones on schedule and within agreed scope
Q1: Keep project budget / effort variance within +/-10% of plan
Q1: Maintain risk &amp; issue log with 100% items tracked to closure
Q1: Achieve client/stakeholder satisfaction · CSAT of &gt;=4 / 5 on delivered projects
Jerigan is good from BA role perspective. Need to interact more with development team to get work completed on time</t>
        </is>
      </c>
      <c r="EH318" s="53" t="n">
        <v>4</v>
      </c>
      <c r="EI318" s="53" t="n"/>
      <c r="EJ318" s="53" t="inlineStr">
        <is>
          <t>Project Lead</t>
        </is>
      </c>
      <c r="EK318" s="53" t="n"/>
      <c r="EL318" s="53" t="n">
        <v>4</v>
      </c>
      <c r="EM318" s="53" t="inlineStr">
        <is>
          <t>Medium</t>
        </is>
      </c>
      <c r="EN318" s="53" t="inlineStr">
        <is>
          <t>Trusted Professional</t>
        </is>
      </c>
      <c r="EO318" s="53" t="inlineStr">
        <is>
          <t>No</t>
        </is>
      </c>
      <c r="EP318" s="53" t="inlineStr">
        <is>
          <t>No</t>
        </is>
      </c>
      <c r="EQ318" s="53" t="inlineStr">
        <is>
          <t>No</t>
        </is>
      </c>
      <c r="ER318" s="53" t="n"/>
      <c r="ES318" s="53" t="inlineStr">
        <is>
          <t>Agile/Scrum &amp; PMP fundamentals; risk &amp; stakeholder management; estimation; reporting/governance tools | People management: goal-setting &amp; feedback, 1:1 coaching, performance conversations</t>
        </is>
      </c>
      <c r="ET318" s="53" t="inlineStr">
        <is>
          <t>Leadership development: strategic thinking, cross-functional influence, financial/business acumen, succession &amp; talent development, change management, executive communication</t>
        </is>
      </c>
      <c r="EU318" s="53" t="n"/>
      <c r="EV318" s="53" t="n"/>
      <c r="EW318" s="52" t="n"/>
      <c r="EX318" s="53" t="n"/>
      <c r="EY318" s="53" t="n"/>
      <c r="EZ318" s="53" t="n"/>
      <c r="FA318" s="53" t="n"/>
      <c r="FB318" s="53" t="n"/>
      <c r="FC318" s="53" t="inlineStr">
        <is>
          <t>Annual KRAs · objective Measurable Minimum 5 - set by Manager</t>
        </is>
      </c>
      <c r="FD318" s="53" t="n"/>
      <c r="FE318" s="57" t="inlineStr">
        <is>
          <t>1. Deliver &gt;=90% of project milestones on schedule and within agreed scope
2. Keep project budget / effort variance within +/-10% of plan
3. Maintain risk &amp; issue log with 100% items tracked to closure
4. Achieve client/stakeholder satisfaction · CSAT of &gt;=4 / 5 on delivered projects
5. Publish accurate weekly status reports with 100% on-time cadence
6. Keep resource utilisation on managed projects within target band · 75-85%
7. Ensure 100% of project closures have documented lessons learned</t>
        </is>
      </c>
      <c r="FF318" s="56" t="inlineStr">
        <is>
          <t>Q1: Deliver &gt;=90% of project milestones on schedule and within agreed scope
Q1: Keep project budget / effort variance within +/-10% of plan
Q1: Maintain risk &amp; issue log with 100% items tracked to closure
Q1: Achieve client/stakeholder satisfaction · CSAT of &gt;=4 / 5 on delivered projects
Jerigan is good from BA role perspective. Need to interact more with development team to get work completed on time</t>
        </is>
      </c>
      <c r="FG318" s="56" t="n"/>
      <c r="FH318" s="56" t="inlineStr">
        <is>
          <t>4</t>
        </is>
      </c>
      <c r="FI318" s="56" t="n"/>
      <c r="FJ318" s="56" t="inlineStr">
        <is>
          <t>Received · manager annual, quarterly</t>
        </is>
      </c>
      <c r="FK318" s="56" t="inlineStr">
        <is>
          <t>Talent Mapping · iFile collated</t>
        </is>
      </c>
      <c r="FL318" s="56" t="n">
        <v>20</v>
      </c>
      <c r="FM318" s="32" t="inlineStr">
        <is>
          <t>Full survey answers not in the files received · How We Grow export needed · HR</t>
        </is>
      </c>
      <c r="FN318" s="56" t="inlineStr">
        <is>
          <t>—</t>
        </is>
      </c>
      <c r="FO318" s="56" t="inlineStr">
        <is>
          <t>—</t>
        </is>
      </c>
      <c r="FP318" s="56" t="inlineStr">
        <is>
          <t>—</t>
        </is>
      </c>
      <c r="FQ318" s="56" t="inlineStr">
        <is>
          <t>—</t>
        </is>
      </c>
      <c r="FR318" s="56"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FS318" s="56" t="inlineStr">
        <is>
          <t>Common themes in role-holders' answers: business · understood · requirements · project
Common themes in role-holders' answers: management · timelines · delivery · coordination · gathering · requirement
Common themes in role-holders' answers: project · time
Common themes in role-holders' answers: client · timelines
Common themes in role-holders' answers: client · requirement
If the work is missed · role-holders' themes: client · potential.
Measured on · manager-set KRA themes: projects · support · maintain · reporting · on-time.</t>
        </is>
      </c>
      <c r="FT318" s="56" t="inlineStr">
        <is>
          <t>Self-identified: Leadership &amp; people management · Project / programme management · Technical depth &amp; architecture · Strategy &amp; business acumen
For the next role: Leadership &amp; people management · Project / programme management · Technical depth &amp; architecture · Strategy &amp; business acumen</t>
        </is>
      </c>
      <c r="FU318" s="32" t="inlineStr">
        <is>
          <t>Full survey answers not in the files received · How We Grow export needed · HR</t>
        </is>
      </c>
    </row>
    <row r="319" ht="90" customHeight="1">
      <c r="A319" s="51" t="inlineStr">
        <is>
          <t>◂ Back</t>
        </is>
      </c>
      <c r="B319" s="29" t="inlineStr">
        <is>
          <t>Mapped</t>
        </is>
      </c>
      <c r="C319" s="28" t="inlineStr">
        <is>
          <t>iFile</t>
        </is>
      </c>
      <c r="D319" s="29" t="inlineStr">
        <is>
          <t>IRIS2453</t>
        </is>
      </c>
      <c r="E319" s="29" t="inlineStr">
        <is>
          <t>Mahesh Dhokale</t>
        </is>
      </c>
      <c r="F319" s="29" t="inlineStr">
        <is>
          <t>Quality Assurance</t>
        </is>
      </c>
      <c r="G319" s="29" t="inlineStr">
        <is>
          <t>Trainee QA Engineer</t>
        </is>
      </c>
      <c r="H319" s="29" t="inlineStr">
        <is>
          <t>Trainee QA Automation Engineer</t>
        </is>
      </c>
      <c r="I319" s="29" t="inlineStr">
        <is>
          <t>L2 – Trainee</t>
        </is>
      </c>
      <c r="J319" s="29" t="inlineStr">
        <is>
          <t>A1</t>
        </is>
      </c>
      <c r="K319" s="29" t="inlineStr">
        <is>
          <t>• Same level</t>
        </is>
      </c>
      <c r="L319" s="29" t="inlineStr">
        <is>
          <t>Quality Assurance</t>
        </is>
      </c>
      <c r="M319" s="29" t="inlineStr">
        <is>
          <t>Test Automation</t>
        </is>
      </c>
      <c r="N319" s="29" t="n"/>
      <c r="O319" s="29" t="n">
        <v>20</v>
      </c>
      <c r="P319" s="28" t="inlineStr">
        <is>
          <t>Entry / P1 · intern</t>
        </is>
      </c>
      <c r="Q319" s="29" t="inlineStr">
        <is>
          <t>Entry</t>
        </is>
      </c>
      <c r="R319" s="29" t="inlineStr">
        <is>
          <t>1 Follow</t>
        </is>
      </c>
      <c r="S319" s="29" t="inlineStr">
        <is>
          <t>0 yrs · fresher / intern</t>
        </is>
      </c>
      <c r="T319" s="29" t="inlineStr">
        <is>
          <t>—</t>
        </is>
      </c>
      <c r="U319" s="29" t="inlineStr">
        <is>
          <t>Associate QA Engineer</t>
        </is>
      </c>
      <c r="V319" s="29" t="inlineStr">
        <is>
          <t>—</t>
        </is>
      </c>
      <c r="W319" s="29" t="inlineStr">
        <is>
          <t>ISTQB Foundation → Advanced → Expert; SFIA testing</t>
        </is>
      </c>
      <c r="X319" s="29" t="inlineStr">
        <is>
          <t>Core 1 · Future 1 · Functional 1 · Leadership not scored</t>
        </is>
      </c>
      <c r="Y319" s="52" t="n">
        <v>419</v>
      </c>
      <c r="Z319" s="53" t="inlineStr">
        <is>
          <t>IRIS2453</t>
        </is>
      </c>
      <c r="AA319" s="53" t="inlineStr">
        <is>
          <t>Employee</t>
        </is>
      </c>
      <c r="AB319" s="53" t="inlineStr">
        <is>
          <t>Active</t>
        </is>
      </c>
      <c r="AC319" s="53" t="inlineStr">
        <is>
          <t>Mahesh Dhokale</t>
        </is>
      </c>
      <c r="AD319" s="54" t="n">
        <v>45995</v>
      </c>
      <c r="AE319" s="53" t="inlineStr">
        <is>
          <t>Trainee QA Engineer</t>
        </is>
      </c>
      <c r="AF319" s="53" t="inlineStr">
        <is>
          <t>MCA</t>
        </is>
      </c>
      <c r="AG319" s="53" t="inlineStr">
        <is>
          <t>Jerigan Gracias</t>
        </is>
      </c>
      <c r="AH319" s="53" t="inlineStr">
        <is>
          <t>N-6</t>
        </is>
      </c>
      <c r="AI319" s="53" t="inlineStr">
        <is>
          <t>Individual Contributor</t>
        </is>
      </c>
      <c r="AJ319" s="53" t="inlineStr">
        <is>
          <t>0 years, 0 months, 0 days</t>
        </is>
      </c>
      <c r="AK319" s="53" t="inlineStr">
        <is>
          <t>0 years, 8 months, 21 days</t>
        </is>
      </c>
      <c r="AL319" s="53" t="inlineStr">
        <is>
          <t>Suptech</t>
        </is>
      </c>
      <c r="AM319" s="53" t="inlineStr">
        <is>
          <t>iFile</t>
        </is>
      </c>
      <c r="AN319" s="53" t="inlineStr">
        <is>
          <t>Quality Assurance</t>
        </is>
      </c>
      <c r="AO319" s="53" t="inlineStr">
        <is>
          <t>Quality Assurance</t>
        </is>
      </c>
      <c r="AP319" s="53" t="inlineStr">
        <is>
          <t>No</t>
        </is>
      </c>
      <c r="AQ319" s="53" t="inlineStr">
        <is>
          <t>Product/Project</t>
        </is>
      </c>
      <c r="AR319" s="53" t="inlineStr">
        <is>
          <t>Software Testing</t>
        </is>
      </c>
      <c r="AS319" s="53" t="inlineStr">
        <is>
          <t>Technical · BA, PM and QA</t>
        </is>
      </c>
      <c r="AT319" s="53" t="n">
        <v>20</v>
      </c>
      <c r="AU319" s="53" t="inlineStr">
        <is>
          <t>Covered</t>
        </is>
      </c>
      <c r="AV319" s="53" t="n"/>
      <c r="AW319" s="53" t="n"/>
      <c r="AX319" s="53" t="n"/>
      <c r="AY319" s="53" t="n"/>
      <c r="AZ319" s="53" t="n"/>
      <c r="BA319" s="53" t="n"/>
      <c r="BB319" s="53" t="n"/>
      <c r="BC319" s="53" t="n"/>
      <c r="BD319" s="53" t="n"/>
      <c r="BE319" s="53" t="n"/>
      <c r="BF319" s="53" t="n"/>
      <c r="BG319" s="53" t="n"/>
      <c r="BH319" s="53" t="n"/>
      <c r="BI319" s="53" t="n"/>
      <c r="BJ319" s="53" t="n"/>
      <c r="BK319" s="53" t="n"/>
      <c r="BL319" s="53" t="n"/>
      <c r="BM319" s="53" t="n"/>
      <c r="BN319" s="53" t="n"/>
      <c r="BO319" s="53" t="n"/>
      <c r="BP319" s="53" t="n"/>
      <c r="BQ319" s="53" t="n"/>
      <c r="BR319" s="53" t="n"/>
      <c r="BS319" s="53" t="n"/>
      <c r="BT319" s="53" t="n"/>
      <c r="BU319" s="53" t="n"/>
      <c r="BV319" s="53" t="n"/>
      <c r="BW319" s="53" t="n"/>
      <c r="BX319" s="53" t="n"/>
      <c r="BY319" s="53" t="n"/>
      <c r="BZ319" s="53" t="n"/>
      <c r="CA319" s="53" t="n"/>
      <c r="CB319" s="53" t="n"/>
      <c r="CC319" s="53" t="n"/>
      <c r="CD319" s="53" t="n"/>
      <c r="CE319" s="53" t="n"/>
      <c r="CF319" s="53" t="n"/>
      <c r="CG319" s="53" t="n"/>
      <c r="CH319" s="53" t="n"/>
      <c r="CI319" s="53" t="n"/>
      <c r="CJ319" s="53" t="n"/>
      <c r="CK319" s="53" t="n"/>
      <c r="CL319" s="53" t="n"/>
      <c r="CM319" s="53" t="n"/>
      <c r="CN319" s="53" t="n"/>
      <c r="CO319" s="53" t="n"/>
      <c r="CP319" s="53" t="n"/>
      <c r="CQ319" s="53" t="n"/>
      <c r="CR319" s="53" t="n"/>
      <c r="CS319" s="53" t="n"/>
      <c r="CT319" s="53" t="n"/>
      <c r="CU319" s="53" t="n"/>
      <c r="CV319" s="53" t="n"/>
      <c r="CW319" s="53" t="n"/>
      <c r="CX319" s="53" t="n"/>
      <c r="CY319" s="53" t="n"/>
      <c r="CZ319" s="53" t="n"/>
      <c r="DA319" s="53" t="n"/>
      <c r="DB319" s="53" t="n"/>
      <c r="DC319" s="53" t="n"/>
      <c r="DD319" s="53" t="inlineStr">
        <is>
          <t>IRIS2453</t>
        </is>
      </c>
      <c r="DE319" s="53" t="inlineStr">
        <is>
          <t>Employee</t>
        </is>
      </c>
      <c r="DF319" s="53" t="inlineStr">
        <is>
          <t>Active</t>
        </is>
      </c>
      <c r="DG319" s="53" t="inlineStr">
        <is>
          <t>Mahesh Dhokale</t>
        </is>
      </c>
      <c r="DH319" s="54" t="n">
        <v>45995</v>
      </c>
      <c r="DI319" s="53" t="inlineStr">
        <is>
          <t>Trainee QA Engineer</t>
        </is>
      </c>
      <c r="DJ319" s="53" t="inlineStr">
        <is>
          <t>Quality Assurance</t>
        </is>
      </c>
      <c r="DK319" s="53" t="inlineStr">
        <is>
          <t>Quality Engineering</t>
        </is>
      </c>
      <c r="DL319" s="53" t="inlineStr">
        <is>
          <t>Trainee QA Engineer</t>
        </is>
      </c>
      <c r="DM319" s="53" t="inlineStr">
        <is>
          <t>L2 – Trainee</t>
        </is>
      </c>
      <c r="DN319" s="53" t="inlineStr">
        <is>
          <t>MCA</t>
        </is>
      </c>
      <c r="DO319" s="53" t="inlineStr">
        <is>
          <t>Jerigan Gracias</t>
        </is>
      </c>
      <c r="DP319" s="53" t="inlineStr">
        <is>
          <t>N-5</t>
        </is>
      </c>
      <c r="DQ319" s="53" t="inlineStr">
        <is>
          <t>Individual Contributor</t>
        </is>
      </c>
      <c r="DR319" s="53" t="inlineStr">
        <is>
          <t>0 years, 0 months, 0 days</t>
        </is>
      </c>
      <c r="DS319" s="53" t="inlineStr">
        <is>
          <t>0 years, 6 months, 16 days</t>
        </is>
      </c>
      <c r="DT319" s="53" t="inlineStr">
        <is>
          <t>0 years, 6 months, 16 days</t>
        </is>
      </c>
      <c r="DU319" s="53" t="n"/>
      <c r="DV319" s="53" t="inlineStr">
        <is>
          <t>Suptech</t>
        </is>
      </c>
      <c r="DW319" s="53" t="inlineStr">
        <is>
          <t>iFile</t>
        </is>
      </c>
      <c r="DX319" s="53" t="inlineStr">
        <is>
          <t>Quality Assurance</t>
        </is>
      </c>
      <c r="DY319" s="53" t="inlineStr">
        <is>
          <t>Quality Assurance</t>
        </is>
      </c>
      <c r="DZ319" s="53" t="inlineStr">
        <is>
          <t>No</t>
        </is>
      </c>
      <c r="EA319" s="53" t="inlineStr">
        <is>
          <t>Product/Project</t>
        </is>
      </c>
      <c r="EB319" s="53" t="inlineStr">
        <is>
          <t>Software Testing</t>
        </is>
      </c>
      <c r="EC319" s="53" t="inlineStr">
        <is>
          <t>Technical · BA, PM and QA</t>
        </is>
      </c>
      <c r="ED319" s="53" t="inlineStr">
        <is>
          <t>Client Side</t>
        </is>
      </c>
      <c r="EE319" s="53" t="n"/>
      <c r="EF319" s="53" t="inlineStr">
        <is>
          <t>1. Achieve &gt;=95% test case execution coverage for each assigned release
2. Keep defect detection effectiveness &gt;=90% · defects caught pre-production
3. Automate &gt;=20% of repetitive/regression test cases over the year
4. Maintain test documentation &amp; defect logs with 100% traceability to requirements
5. Reduce average defect turnaround · report-to-verify to within agreed SLA
6. Keep production escape defects on owned modules to &lt;=3% of total defects</t>
        </is>
      </c>
      <c r="EG319" s="53" t="inlineStr">
        <is>
          <t>Q1: Achieve &gt;=95% test case execution coverage for each assigned release
Q1: Keep defect detection effectiveness &gt;=90% · defects caught pre-production
Q1: Automate &gt;=20% of repetitive/regression test cases this quarter
Q1: Maintain test documentation &amp; defect logs with 100% traceability to requirements
Mahesh is doing his assigned activities pretty well. He is learning the application.</t>
        </is>
      </c>
      <c r="EH319" s="53" t="n">
        <v>3</v>
      </c>
      <c r="EI319" s="53" t="n"/>
      <c r="EJ319" s="53" t="inlineStr">
        <is>
          <t>Trainee QA Engineer</t>
        </is>
      </c>
      <c r="EK319" s="53" t="n"/>
      <c r="EL319" s="53" t="n">
        <v>3</v>
      </c>
      <c r="EM319" s="53" t="inlineStr">
        <is>
          <t>Medium</t>
        </is>
      </c>
      <c r="EN319" s="53" t="inlineStr">
        <is>
          <t>Core Contributor</t>
        </is>
      </c>
      <c r="EO319" s="53" t="inlineStr">
        <is>
          <t>No</t>
        </is>
      </c>
      <c r="EP319" s="53" t="n"/>
      <c r="EQ319" s="53" t="inlineStr">
        <is>
          <t>No</t>
        </is>
      </c>
      <c r="ER319" s="53" t="n"/>
      <c r="ES319" s="53" t="inlineStr">
        <is>
          <t>Test automation frameworks · Selenium/Playwright; API testing; CI/CD test integration; defect analytics</t>
        </is>
      </c>
      <c r="ET319" s="53" t="inlineStr">
        <is>
          <t>Transition to leadership: people management &amp; delegation, mentoring/coaching, project ownership &amp; stakeholder management, prioritisation under ambiguity, presentation &amp; influence skills</t>
        </is>
      </c>
      <c r="EU319" s="53" t="n"/>
      <c r="EV319" s="53" t="n"/>
      <c r="EW319" s="52" t="n"/>
      <c r="EX319" s="53" t="n"/>
      <c r="EY319" s="53" t="n"/>
      <c r="EZ319" s="53" t="n"/>
      <c r="FA319" s="53" t="n"/>
      <c r="FB319" s="53" t="n"/>
      <c r="FC319" s="53" t="n"/>
      <c r="FD319" s="53" t="n"/>
      <c r="FE319" s="57" t="inlineStr">
        <is>
          <t>1. Achieve &gt;=95% test case execution coverage for each assigned release
2. Keep defect detection effectiveness &gt;=90% · defects caught pre-production
3. Automate &gt;=20% of repetitive/regression test cases over the year
4. Maintain test documentation &amp; defect logs with 100% traceability to requirements
5. Reduce average defect turnaround · report-to-verify to within agreed SLA
6. Keep production escape defects on owned modules to &lt;=3% of total defects</t>
        </is>
      </c>
      <c r="FF319" s="56" t="inlineStr">
        <is>
          <t>Q1: Achieve &gt;=95% test case execution coverage for each assigned release
Q1: Keep defect detection effectiveness &gt;=90% · defects caught pre-production
Q1: Automate &gt;=20% of repetitive/regression test cases this quarter
Q1: Maintain test documentation &amp; defect logs with 100% traceability to requirements
Mahesh is doing his assigned activities pretty well. He is learning the application.</t>
        </is>
      </c>
      <c r="FG319" s="56" t="n"/>
      <c r="FH319" s="56" t="inlineStr">
        <is>
          <t>3</t>
        </is>
      </c>
      <c r="FI319" s="56" t="n"/>
      <c r="FJ319" s="56" t="inlineStr">
        <is>
          <t>Received · manager annual, quarterly</t>
        </is>
      </c>
      <c r="FK319" s="56" t="inlineStr">
        <is>
          <t>Talent Mapping · iFile collated</t>
        </is>
      </c>
      <c r="FL319" s="56" t="n">
        <v>20</v>
      </c>
      <c r="FM319" s="32" t="inlineStr">
        <is>
          <t>Full survey answers not in the files received · How We Grow export needed · HR</t>
        </is>
      </c>
      <c r="FN319" s="56" t="inlineStr">
        <is>
          <t>—</t>
        </is>
      </c>
      <c r="FO319" s="56" t="inlineStr">
        <is>
          <t>—</t>
        </is>
      </c>
      <c r="FP319" s="56" t="inlineStr">
        <is>
          <t>—</t>
        </is>
      </c>
      <c r="FQ319" s="56" t="inlineStr">
        <is>
          <t>—</t>
        </is>
      </c>
      <c r="FR319" s="56" t="n"/>
      <c r="FS319" s="56" t="inlineStr">
        <is>
          <t>Common themes in sub-family holders, all levels' answers: product · quality · early · defects · automation · meets
Common themes in sub-family holders, all levels' answers: testing · scripts · defects · testcase · automation · report
Common themes in sub-family holders, all levels' answers: reports · software · scripts · quality · test
Common themes in sub-family holders, all levels' answers: quality · accountable · test · defect · automation · validation
Common themes in sub-family holders, all levels' answers: testing
If the work is missed · role-holders' themes: defects · production · delays · rework.
Measured on · manager-set KRA themes: learning · defect · test · assigned · execution · resolve.</t>
        </is>
      </c>
      <c r="FT319" s="56" t="inlineStr">
        <is>
          <t>Self-identified: AI / automation · Leadership &amp; people management · Technical depth &amp; architecture · Testing &amp; quality
For the next role: AI / automation · Leadership &amp; people management · Technical depth &amp; architecture · Testing &amp; quality</t>
        </is>
      </c>
      <c r="FU319" s="32" t="inlineStr">
        <is>
          <t>Full survey answers not in the files received · How We Grow export needed · HR</t>
        </is>
      </c>
    </row>
    <row r="320" ht="90" customHeight="1">
      <c r="A320" s="51" t="inlineStr">
        <is>
          <t>◂ Back</t>
        </is>
      </c>
      <c r="B320" s="29" t="inlineStr">
        <is>
          <t>Mapped</t>
        </is>
      </c>
      <c r="C320" s="28" t="inlineStr">
        <is>
          <t>iFile</t>
        </is>
      </c>
      <c r="D320" s="29" t="inlineStr">
        <is>
          <t>IRIS1728</t>
        </is>
      </c>
      <c r="E320" s="29" t="inlineStr">
        <is>
          <t>Vijay Sakpal</t>
        </is>
      </c>
      <c r="F320" s="29" t="inlineStr">
        <is>
          <t>Support</t>
        </is>
      </c>
      <c r="G320" s="29" t="inlineStr">
        <is>
          <t>Team Lead / Asst Manager</t>
        </is>
      </c>
      <c r="H320" s="29" t="inlineStr">
        <is>
          <t>Support Specialist</t>
        </is>
      </c>
      <c r="I320" s="29" t="inlineStr">
        <is>
          <t>L5 – Lead · IC</t>
        </is>
      </c>
      <c r="J320" s="29" t="inlineStr">
        <is>
          <t>B1</t>
        </is>
      </c>
      <c r="K320" s="29" t="inlineStr">
        <is>
          <t>▼ Down · protected</t>
        </is>
      </c>
      <c r="L320" s="29" t="inlineStr">
        <is>
          <t>Customer Success &amp; Support</t>
        </is>
      </c>
      <c r="M320" s="29" t="inlineStr">
        <is>
          <t>Application &amp; Product Support</t>
        </is>
      </c>
      <c r="N320" s="29" t="n"/>
      <c r="O320" s="29" t="n">
        <v>20</v>
      </c>
      <c r="P320" s="28" t="inlineStr">
        <is>
          <t>P3 / M2</t>
        </is>
      </c>
      <c r="Q320" s="29" t="inlineStr">
        <is>
          <t>Career / · Team Lead</t>
        </is>
      </c>
      <c r="R320" s="29" t="inlineStr">
        <is>
          <t>4 Enable</t>
        </is>
      </c>
      <c r="S320" s="29" t="inlineStr">
        <is>
          <t>4–7 yrs</t>
        </is>
      </c>
      <c r="T320" s="29" t="inlineStr">
        <is>
          <t>5–8 · 4–8</t>
        </is>
      </c>
      <c r="U320" s="29" t="inlineStr">
        <is>
          <t>Senior Executive / CSM</t>
        </is>
      </c>
      <c r="V320" s="29" t="inlineStr">
        <is>
          <t>Workiva: Customer Success Manager · IRIS Vs Competitor Benchmark — SaaS customer-success ladder: CSM · IRIS Vs Competitor Benchmark — support tiers: L3 / Problem Analyst</t>
        </is>
      </c>
      <c r="W320" s="29" t="inlineStr">
        <is>
          <t>TSIA frameworks and benchmarks; ITIL 4 service desk; Gainsight customer-success practice</t>
        </is>
      </c>
      <c r="X320" s="29" t="inlineStr">
        <is>
          <t>Core 3 · Future 3 · Functional 3 · Leadership 1</t>
        </is>
      </c>
      <c r="Y320" s="52" t="n">
        <v>149</v>
      </c>
      <c r="Z320" s="53" t="inlineStr">
        <is>
          <t>IRIS1728</t>
        </is>
      </c>
      <c r="AA320" s="53" t="inlineStr">
        <is>
          <t>Employee</t>
        </is>
      </c>
      <c r="AB320" s="53" t="inlineStr">
        <is>
          <t>Active</t>
        </is>
      </c>
      <c r="AC320" s="53" t="inlineStr">
        <is>
          <t>Vijay Sakpal</t>
        </is>
      </c>
      <c r="AD320" s="54" t="n">
        <v>43290</v>
      </c>
      <c r="AE320" s="53" t="inlineStr">
        <is>
          <t>Team Lead</t>
        </is>
      </c>
      <c r="AF320" s="53" t="inlineStr">
        <is>
          <t>B.SC</t>
        </is>
      </c>
      <c r="AG320" s="53" t="inlineStr">
        <is>
          <t>Yunus Patel</t>
        </is>
      </c>
      <c r="AH320" s="53" t="inlineStr">
        <is>
          <t>N-5</t>
        </is>
      </c>
      <c r="AI320" s="53" t="inlineStr">
        <is>
          <t>Individual Contributor</t>
        </is>
      </c>
      <c r="AJ320" s="53" t="inlineStr">
        <is>
          <t>6 years, 7 months, 0 days</t>
        </is>
      </c>
      <c r="AK320" s="53" t="inlineStr">
        <is>
          <t>8 years, 1 months, 16 days</t>
        </is>
      </c>
      <c r="AL320" s="53" t="inlineStr">
        <is>
          <t>Suptech</t>
        </is>
      </c>
      <c r="AM320" s="53" t="inlineStr">
        <is>
          <t>iFile</t>
        </is>
      </c>
      <c r="AN320" s="53" t="inlineStr">
        <is>
          <t>Support</t>
        </is>
      </c>
      <c r="AO320" s="53" t="inlineStr">
        <is>
          <t>Product Support</t>
        </is>
      </c>
      <c r="AP320" s="53" t="inlineStr">
        <is>
          <t>No</t>
        </is>
      </c>
      <c r="AQ320" s="53" t="inlineStr">
        <is>
          <t>Product/Project</t>
        </is>
      </c>
      <c r="AR320" s="53" t="inlineStr">
        <is>
          <t>Tech Support</t>
        </is>
      </c>
      <c r="AS320" s="53" t="inlineStr">
        <is>
          <t>Non-technical</t>
        </is>
      </c>
      <c r="AT320" s="53" t="n">
        <v>20</v>
      </c>
      <c r="AU320" s="53" t="inlineStr">
        <is>
          <t>Covered</t>
        </is>
      </c>
      <c r="AV320" s="53" t="n"/>
      <c r="AW320" s="53" t="n"/>
      <c r="AX320" s="53" t="n"/>
      <c r="AY320" s="53" t="n"/>
      <c r="AZ320" s="53" t="n"/>
      <c r="BA320" s="53" t="n"/>
      <c r="BB320" s="53" t="n"/>
      <c r="BC320" s="53" t="n"/>
      <c r="BD320" s="53" t="n"/>
      <c r="BE320" s="53" t="n"/>
      <c r="BF320" s="53" t="n"/>
      <c r="BG320" s="53" t="n"/>
      <c r="BH320" s="53" t="n"/>
      <c r="BI320" s="53" t="n"/>
      <c r="BJ320" s="53" t="n"/>
      <c r="BK320" s="53" t="n"/>
      <c r="BL320" s="53" t="n"/>
      <c r="BM320" s="53" t="n"/>
      <c r="BN320" s="53" t="n"/>
      <c r="BO320" s="53" t="n"/>
      <c r="BP320" s="53" t="n"/>
      <c r="BQ320" s="53" t="n"/>
      <c r="BR320" s="53" t="n"/>
      <c r="BS320" s="53" t="n"/>
      <c r="BT320" s="53" t="n"/>
      <c r="BU320" s="53" t="n"/>
      <c r="BV320" s="53" t="n"/>
      <c r="BW320" s="53" t="n"/>
      <c r="BX320" s="53" t="n"/>
      <c r="BY320" s="53" t="n"/>
      <c r="BZ320" s="53" t="n"/>
      <c r="CA320" s="53" t="n"/>
      <c r="CB320" s="53" t="n"/>
      <c r="CC320" s="53" t="n"/>
      <c r="CD320" s="53" t="n"/>
      <c r="CE320" s="53" t="n"/>
      <c r="CF320" s="53" t="n"/>
      <c r="CG320" s="53" t="n"/>
      <c r="CH320" s="53" t="n"/>
      <c r="CI320" s="53" t="n"/>
      <c r="CJ320" s="53" t="n"/>
      <c r="CK320" s="53" t="n"/>
      <c r="CL320" s="53" t="n"/>
      <c r="CM320" s="53" t="n"/>
      <c r="CN320" s="53" t="n"/>
      <c r="CO320" s="53" t="n"/>
      <c r="CP320" s="53" t="n"/>
      <c r="CQ320" s="53" t="n"/>
      <c r="CR320" s="53" t="n"/>
      <c r="CS320" s="53" t="n"/>
      <c r="CT320" s="53" t="n"/>
      <c r="CU320" s="53" t="n"/>
      <c r="CV320" s="53" t="n"/>
      <c r="CW320" s="53" t="n"/>
      <c r="CX320" s="53" t="n"/>
      <c r="CY320" s="53" t="n"/>
      <c r="CZ320" s="53" t="n"/>
      <c r="DA320" s="53" t="n"/>
      <c r="DB320" s="53" t="n"/>
      <c r="DC320" s="53" t="n"/>
      <c r="DD320" s="53" t="inlineStr">
        <is>
          <t>IRIS1728</t>
        </is>
      </c>
      <c r="DE320" s="53" t="inlineStr">
        <is>
          <t>Employee</t>
        </is>
      </c>
      <c r="DF320" s="53" t="inlineStr">
        <is>
          <t>Active</t>
        </is>
      </c>
      <c r="DG320" s="53" t="inlineStr">
        <is>
          <t>Vijay Sakpal</t>
        </is>
      </c>
      <c r="DH320" s="54" t="n">
        <v>43290</v>
      </c>
      <c r="DI320" s="53" t="inlineStr">
        <is>
          <t>Team Lead</t>
        </is>
      </c>
      <c r="DJ320" s="53" t="inlineStr">
        <is>
          <t>Customer Success &amp; Support</t>
        </is>
      </c>
      <c r="DK320" s="53" t="inlineStr">
        <is>
          <t>Technical Support</t>
        </is>
      </c>
      <c r="DL320" s="53" t="inlineStr">
        <is>
          <t>Team Lead</t>
        </is>
      </c>
      <c r="DM320" s="53" t="inlineStr">
        <is>
          <t>L5 – Lead · IC</t>
        </is>
      </c>
      <c r="DN320" s="53" t="inlineStr">
        <is>
          <t>B.SC</t>
        </is>
      </c>
      <c r="DO320" s="53" t="inlineStr">
        <is>
          <t>Yunus Patel</t>
        </is>
      </c>
      <c r="DP320" s="53" t="inlineStr">
        <is>
          <t>N-4</t>
        </is>
      </c>
      <c r="DQ320" s="53" t="inlineStr">
        <is>
          <t>Individual Contributor</t>
        </is>
      </c>
      <c r="DR320" s="53" t="inlineStr">
        <is>
          <t>6 years, 7 months, 0 days</t>
        </is>
      </c>
      <c r="DS320" s="53" t="inlineStr">
        <is>
          <t>7 years, 11 months, 11 days</t>
        </is>
      </c>
      <c r="DT320" s="53" t="inlineStr">
        <is>
          <t>14 years, 6 months, 11 days</t>
        </is>
      </c>
      <c r="DU320" s="53" t="n"/>
      <c r="DV320" s="53" t="inlineStr">
        <is>
          <t>Suptech</t>
        </is>
      </c>
      <c r="DW320" s="53" t="inlineStr">
        <is>
          <t>iFile</t>
        </is>
      </c>
      <c r="DX320" s="53" t="inlineStr">
        <is>
          <t>Support</t>
        </is>
      </c>
      <c r="DY320" s="53" t="inlineStr">
        <is>
          <t>Product Support</t>
        </is>
      </c>
      <c r="DZ320" s="53" t="inlineStr">
        <is>
          <t>No</t>
        </is>
      </c>
      <c r="EA320" s="53" t="inlineStr">
        <is>
          <t>Product/Project</t>
        </is>
      </c>
      <c r="EB320" s="53" t="inlineStr">
        <is>
          <t>Tech Support</t>
        </is>
      </c>
      <c r="EC320" s="53" t="inlineStr">
        <is>
          <t>Non-technical</t>
        </is>
      </c>
      <c r="ED320" s="53" t="inlineStr">
        <is>
          <t>Client Side</t>
        </is>
      </c>
      <c r="EE320" s="53" t="n"/>
      <c r="EF320" s="53"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EG320" s="53" t="inlineStr">
        <is>
          <t>Q1: Maintain client/customer satisfaction · CSAT of &gt;=4.2 / 5
Q1: Resolve &gt;=95% of assigned tickets/queries within SLA
Q1: Keep first-response time within agreed SLA on 100% of cases
Q1: Drive retention/renewal of assigned accounts to &gt;=90%
Role required just to manage defect SLA by talking to dev. team if it's going beyond SLA then he need to escalate,have to do analysis and comment on defects, Vijay is playing role very well</t>
        </is>
      </c>
      <c r="EH320" s="53" t="n">
        <v>3</v>
      </c>
      <c r="EI320" s="53" t="inlineStr">
        <is>
          <t>Not Available</t>
        </is>
      </c>
      <c r="EJ320" s="53" t="inlineStr">
        <is>
          <t>Team Lead</t>
        </is>
      </c>
      <c r="EK320" s="53" t="n"/>
      <c r="EL320" s="53" t="n">
        <v>3</v>
      </c>
      <c r="EM320" s="53" t="inlineStr">
        <is>
          <t>Low</t>
        </is>
      </c>
      <c r="EN320" s="53" t="inlineStr">
        <is>
          <t>Reliable Specialist</t>
        </is>
      </c>
      <c r="EO320" s="53" t="inlineStr">
        <is>
          <t>No</t>
        </is>
      </c>
      <c r="EP320" s="53" t="inlineStr">
        <is>
          <t>No</t>
        </is>
      </c>
      <c r="EQ320" s="53" t="inlineStr">
        <is>
          <t>No</t>
        </is>
      </c>
      <c r="ER320" s="53" t="n"/>
      <c r="ES320" s="53" t="inlineStr">
        <is>
          <t>Customer success methods; communication &amp; de-escalation; product/domain depth; ticketing &amp; SLA tools</t>
        </is>
      </c>
      <c r="ET320" s="53" t="inlineStr">
        <is>
          <t>Transition to leadership: people management &amp; delegation, mentoring/coaching, project ownership &amp; stakeholder management, prioritisation under ambiguity, presentation &amp; influence skills</t>
        </is>
      </c>
      <c r="EU320" s="53" t="n"/>
      <c r="EV320" s="53" t="n"/>
      <c r="EW320" s="52" t="n"/>
      <c r="EX320" s="53" t="n"/>
      <c r="EY320" s="53" t="n"/>
      <c r="EZ320" s="53" t="n"/>
      <c r="FA320" s="53" t="n"/>
      <c r="FB320" s="53" t="n"/>
      <c r="FC320" s="53" t="n"/>
      <c r="FD320" s="53" t="n"/>
      <c r="FE320" s="57"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FF320" s="56" t="inlineStr">
        <is>
          <t>Q1: Maintain client/customer satisfaction · CSAT of &gt;=4.2 / 5
Q1: Resolve &gt;=95% of assigned tickets/queries within SLA
Q1: Keep first-response time within agreed SLA on 100% of cases
Q1: Drive retention/renewal of assigned accounts to &gt;=90%
Role required just to manage defect SLA by talking to dev. team if it's going beyond SLA then he need to escalate,have to do analysis and comment on defects, Vijay is playing role very well</t>
        </is>
      </c>
      <c r="FG320" s="56" t="n"/>
      <c r="FH320" s="56" t="inlineStr">
        <is>
          <t>3</t>
        </is>
      </c>
      <c r="FI320" s="56" t="n"/>
      <c r="FJ320" s="56" t="inlineStr">
        <is>
          <t>Received · manager annual, quarterly</t>
        </is>
      </c>
      <c r="FK320" s="56" t="inlineStr">
        <is>
          <t>Talent Mapping · iFile collated</t>
        </is>
      </c>
      <c r="FL320" s="56" t="n">
        <v>20</v>
      </c>
      <c r="FM320" s="32" t="inlineStr">
        <is>
          <t>Full survey answers not in the files received · How We Grow export needed · HR</t>
        </is>
      </c>
      <c r="FN320" s="56" t="inlineStr">
        <is>
          <t>—</t>
        </is>
      </c>
      <c r="FO320" s="56" t="inlineStr">
        <is>
          <t>—</t>
        </is>
      </c>
      <c r="FP320" s="56" t="inlineStr">
        <is>
          <t>—</t>
        </is>
      </c>
      <c r="FQ320" s="56" t="inlineStr">
        <is>
          <t>—</t>
        </is>
      </c>
      <c r="FR320" s="56" t="inlineStr">
        <is>
          <t>Complexity: Evidence reads like A3: Sole owner of defect-SLA tracking between developers and client; analyses and comments on defects → moved down 0.5
Autonomy: Evidence reads like A2: Follows up developers and prioritises SLA risks; escalates when SLA is threatened → moved down 1
Accountability: Evidence reads like A3: Defect SLA tracking and daily client report end to end; breaches bring penalty → moved down 0.5
Leadership: Evidence reads like A1: Coordinates developers but no team guidance described → moved down 1
Business Impact: No survey or manager-mapping signal on criticality: kept at the start point.</t>
        </is>
      </c>
      <c r="FS320" s="56" t="inlineStr">
        <is>
          <t>Common themes in role-holders' answers: management
Common themes in role-holders' answers: tracking
Common themes in role-holders' answers: client · if
If the work is missed · role-holders' themes: tracking · client · result.
Measured on · manager-set KRA themes: accounts · csat · documentation · reduce · drive · keep.</t>
        </is>
      </c>
      <c r="FT320" s="56" t="inlineStr">
        <is>
          <t>Self-identified: AI / automation
For the next role: AI / automation</t>
        </is>
      </c>
      <c r="FU320" s="32" t="inlineStr">
        <is>
          <t>Full survey answers not in the files received · How We Grow export needed · HR</t>
        </is>
      </c>
    </row>
    <row r="321" ht="90" customHeight="1">
      <c r="A321" s="51" t="inlineStr">
        <is>
          <t>◂ Back</t>
        </is>
      </c>
      <c r="B321" s="29" t="inlineStr">
        <is>
          <t>Mapped</t>
        </is>
      </c>
      <c r="C321" s="28" t="inlineStr">
        <is>
          <t>iFile</t>
        </is>
      </c>
      <c r="D321" s="29" t="inlineStr">
        <is>
          <t>IRIS1919</t>
        </is>
      </c>
      <c r="E321" s="29" t="inlineStr">
        <is>
          <t>Jyoti Patil</t>
        </is>
      </c>
      <c r="F321" s="29" t="inlineStr">
        <is>
          <t>Support</t>
        </is>
      </c>
      <c r="G321" s="29" t="inlineStr">
        <is>
          <t>Tech Support Executive</t>
        </is>
      </c>
      <c r="H321" s="29" t="inlineStr">
        <is>
          <t>Senior Support Executive</t>
        </is>
      </c>
      <c r="I321" s="29" t="inlineStr">
        <is>
          <t>L3 – Professional / Associate</t>
        </is>
      </c>
      <c r="J321" s="29" t="inlineStr">
        <is>
          <t>A3</t>
        </is>
      </c>
      <c r="K321" s="29" t="inlineStr">
        <is>
          <t>▲ Up</t>
        </is>
      </c>
      <c r="L321" s="29" t="inlineStr">
        <is>
          <t>Customer Success &amp; Support</t>
        </is>
      </c>
      <c r="M321" s="29" t="inlineStr">
        <is>
          <t>Application &amp; Product Support</t>
        </is>
      </c>
      <c r="N321" s="29" t="n"/>
      <c r="O321" s="29" t="n">
        <v>20</v>
      </c>
      <c r="P321" s="28" t="inlineStr">
        <is>
          <t>P2</t>
        </is>
      </c>
      <c r="Q321" s="29" t="inlineStr">
        <is>
          <t>Developing</t>
        </is>
      </c>
      <c r="R321" s="29" t="inlineStr">
        <is>
          <t>3 Apply</t>
        </is>
      </c>
      <c r="S321" s="29" t="inlineStr">
        <is>
          <t>2–4 yrs</t>
        </is>
      </c>
      <c r="T321" s="29" t="inlineStr">
        <is>
          <t>3–5 · 2–5</t>
        </is>
      </c>
      <c r="U321" s="29" t="inlineStr">
        <is>
          <t>Support / CS Executive</t>
        </is>
      </c>
      <c r="V321" s="29" t="inlineStr">
        <is>
          <t>IRIS Vs Competitor Benchmark — SaaS customer-success ladder: Associate CSM · Regnology: Product Support Specialist · Reg Reporting · IRIS Vs Competitor Benchmark — support tiers: L2 Application Support</t>
        </is>
      </c>
      <c r="W321" s="29" t="inlineStr">
        <is>
          <t>TSIA frameworks and benchmarks; ITIL 4 service desk; Gainsight customer-success practice</t>
        </is>
      </c>
      <c r="X321" s="29" t="inlineStr">
        <is>
          <t>Core 2 · Future 2 · Functional 3 · Leadership not scored</t>
        </is>
      </c>
      <c r="Y321" s="52" t="n">
        <v>183</v>
      </c>
      <c r="Z321" s="53" t="inlineStr">
        <is>
          <t>IRIS1919</t>
        </is>
      </c>
      <c r="AA321" s="53" t="inlineStr">
        <is>
          <t>Employee</t>
        </is>
      </c>
      <c r="AB321" s="53" t="inlineStr">
        <is>
          <t>Active</t>
        </is>
      </c>
      <c r="AC321" s="53" t="inlineStr">
        <is>
          <t>Jyoti Patil</t>
        </is>
      </c>
      <c r="AD321" s="54" t="n">
        <v>44357</v>
      </c>
      <c r="AE321" s="53" t="inlineStr">
        <is>
          <t>Tech Support Executive</t>
        </is>
      </c>
      <c r="AF321" s="53" t="inlineStr">
        <is>
          <t>B.E</t>
        </is>
      </c>
      <c r="AG321" s="53" t="inlineStr">
        <is>
          <t>Yunus Patel</t>
        </is>
      </c>
      <c r="AH321" s="53" t="inlineStr">
        <is>
          <t>N-5</t>
        </is>
      </c>
      <c r="AI321" s="53" t="inlineStr">
        <is>
          <t>Individual Contributor</t>
        </is>
      </c>
      <c r="AJ321" s="53" t="inlineStr">
        <is>
          <t>3 years, 0 months, 0 days</t>
        </is>
      </c>
      <c r="AK321" s="53" t="inlineStr">
        <is>
          <t>5 years, 2 months, 15 days</t>
        </is>
      </c>
      <c r="AL321" s="53" t="inlineStr">
        <is>
          <t>Suptech</t>
        </is>
      </c>
      <c r="AM321" s="53" t="inlineStr">
        <is>
          <t>iFile</t>
        </is>
      </c>
      <c r="AN321" s="53" t="inlineStr">
        <is>
          <t>Support</t>
        </is>
      </c>
      <c r="AO321" s="53" t="inlineStr">
        <is>
          <t>Product Support</t>
        </is>
      </c>
      <c r="AP321" s="53" t="inlineStr">
        <is>
          <t>No</t>
        </is>
      </c>
      <c r="AQ321" s="53" t="inlineStr">
        <is>
          <t>Product/Project</t>
        </is>
      </c>
      <c r="AR321" s="53" t="inlineStr">
        <is>
          <t>Tech Support</t>
        </is>
      </c>
      <c r="AS321" s="53" t="inlineStr">
        <is>
          <t>Non-technical</t>
        </is>
      </c>
      <c r="AT321" s="53" t="n">
        <v>20</v>
      </c>
      <c r="AU321" s="53" t="inlineStr">
        <is>
          <t>Covered</t>
        </is>
      </c>
      <c r="AV321" s="53" t="n"/>
      <c r="AW321" s="53" t="n"/>
      <c r="AX321" s="53" t="n"/>
      <c r="AY321" s="53" t="n"/>
      <c r="AZ321" s="53" t="n"/>
      <c r="BA321" s="53" t="n"/>
      <c r="BB321" s="53" t="n"/>
      <c r="BC321" s="53" t="n"/>
      <c r="BD321" s="53" t="n"/>
      <c r="BE321" s="53" t="n"/>
      <c r="BF321" s="53" t="n"/>
      <c r="BG321" s="53" t="n"/>
      <c r="BH321" s="53" t="n"/>
      <c r="BI321" s="53" t="n"/>
      <c r="BJ321" s="53" t="n"/>
      <c r="BK321" s="53" t="n"/>
      <c r="BL321" s="53" t="n"/>
      <c r="BM321" s="53" t="n"/>
      <c r="BN321" s="53" t="n"/>
      <c r="BO321" s="53" t="n"/>
      <c r="BP321" s="53" t="n"/>
      <c r="BQ321" s="53" t="n"/>
      <c r="BR321" s="53" t="n"/>
      <c r="BS321" s="53" t="n"/>
      <c r="BT321" s="53" t="n"/>
      <c r="BU321" s="53" t="n"/>
      <c r="BV321" s="53" t="n"/>
      <c r="BW321" s="53" t="n"/>
      <c r="BX321" s="53" t="n"/>
      <c r="BY321" s="53" t="n"/>
      <c r="BZ321" s="53" t="n"/>
      <c r="CA321" s="53" t="n"/>
      <c r="CB321" s="53" t="n"/>
      <c r="CC321" s="53" t="n"/>
      <c r="CD321" s="53" t="n"/>
      <c r="CE321" s="53" t="n"/>
      <c r="CF321" s="53" t="n"/>
      <c r="CG321" s="53" t="n"/>
      <c r="CH321" s="53" t="n"/>
      <c r="CI321" s="53" t="n"/>
      <c r="CJ321" s="53" t="n"/>
      <c r="CK321" s="53" t="n"/>
      <c r="CL321" s="53" t="n"/>
      <c r="CM321" s="53" t="n"/>
      <c r="CN321" s="53" t="n"/>
      <c r="CO321" s="53" t="n"/>
      <c r="CP321" s="53" t="n"/>
      <c r="CQ321" s="53" t="n"/>
      <c r="CR321" s="53" t="n"/>
      <c r="CS321" s="53" t="n"/>
      <c r="CT321" s="53" t="n"/>
      <c r="CU321" s="53" t="n"/>
      <c r="CV321" s="53" t="n"/>
      <c r="CW321" s="53" t="n"/>
      <c r="CX321" s="53" t="n"/>
      <c r="CY321" s="53" t="n"/>
      <c r="CZ321" s="53" t="n"/>
      <c r="DA321" s="53" t="n"/>
      <c r="DB321" s="53" t="n"/>
      <c r="DC321" s="53" t="n"/>
      <c r="DD321" s="53" t="inlineStr">
        <is>
          <t>IRIS1919</t>
        </is>
      </c>
      <c r="DE321" s="53" t="inlineStr">
        <is>
          <t>Employee</t>
        </is>
      </c>
      <c r="DF321" s="53" t="inlineStr">
        <is>
          <t>Active</t>
        </is>
      </c>
      <c r="DG321" s="53" t="inlineStr">
        <is>
          <t>Jyoti Patil</t>
        </is>
      </c>
      <c r="DH321" s="54" t="n">
        <v>44357</v>
      </c>
      <c r="DI321" s="53" t="inlineStr">
        <is>
          <t>Tech Support Executive</t>
        </is>
      </c>
      <c r="DJ321" s="53" t="inlineStr">
        <is>
          <t>Customer Success &amp; Support</t>
        </is>
      </c>
      <c r="DK321" s="53" t="inlineStr">
        <is>
          <t>Technical Support</t>
        </is>
      </c>
      <c r="DL321" s="53" t="inlineStr">
        <is>
          <t>Tech Support Executive</t>
        </is>
      </c>
      <c r="DM321" s="53" t="inlineStr">
        <is>
          <t>L3 – Professional / Associate</t>
        </is>
      </c>
      <c r="DN321" s="53" t="inlineStr">
        <is>
          <t>B.E</t>
        </is>
      </c>
      <c r="DO321" s="53" t="inlineStr">
        <is>
          <t>Yunus Patel</t>
        </is>
      </c>
      <c r="DP321" s="53" t="inlineStr">
        <is>
          <t>N-4</t>
        </is>
      </c>
      <c r="DQ321" s="53" t="inlineStr">
        <is>
          <t>Individual Contributor</t>
        </is>
      </c>
      <c r="DR321" s="53" t="inlineStr">
        <is>
          <t>3 years, 0 months, 0 days</t>
        </is>
      </c>
      <c r="DS321" s="53" t="inlineStr">
        <is>
          <t>5 years, 0 months, 10 days</t>
        </is>
      </c>
      <c r="DT321" s="53" t="inlineStr">
        <is>
          <t>8 years, 0 months, 10 days</t>
        </is>
      </c>
      <c r="DU321" s="53" t="n"/>
      <c r="DV321" s="53" t="inlineStr">
        <is>
          <t>Suptech</t>
        </is>
      </c>
      <c r="DW321" s="53" t="inlineStr">
        <is>
          <t>iFile</t>
        </is>
      </c>
      <c r="DX321" s="53" t="inlineStr">
        <is>
          <t>Support</t>
        </is>
      </c>
      <c r="DY321" s="53" t="inlineStr">
        <is>
          <t>Product Support</t>
        </is>
      </c>
      <c r="DZ321" s="53" t="inlineStr">
        <is>
          <t>No</t>
        </is>
      </c>
      <c r="EA321" s="53" t="inlineStr">
        <is>
          <t>Product/Project</t>
        </is>
      </c>
      <c r="EB321" s="53" t="inlineStr">
        <is>
          <t>Tech Support</t>
        </is>
      </c>
      <c r="EC321" s="53" t="inlineStr">
        <is>
          <t>Non-technical</t>
        </is>
      </c>
      <c r="ED321" s="53" t="inlineStr">
        <is>
          <t>Remote - Mumbai</t>
        </is>
      </c>
      <c r="EE321" s="53" t="n"/>
      <c r="EF321" s="53"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EG321" s="53" t="inlineStr">
        <is>
          <t>Q1: Maintain client/customer satisfaction · CSAT of &gt;=4.2 / 5
Q1: Resolve &gt;=95% of assigned tickets/queries within SLA
Q1: Keep first-response time within agreed SLA on 100% of cases
Q1: Drive retention/renewal of assigned accounts to &gt;=90%
Jyoti is responsible for requirement gathering and then creating webform. She performed her activity quite well. Need to improve on written and verbal communication skill</t>
        </is>
      </c>
      <c r="EH321" s="53" t="n">
        <v>4</v>
      </c>
      <c r="EI321" s="53" t="n"/>
      <c r="EJ321" s="53" t="inlineStr">
        <is>
          <t>Tech Support Executive</t>
        </is>
      </c>
      <c r="EK321" s="53" t="n"/>
      <c r="EL321" s="53" t="n">
        <v>3</v>
      </c>
      <c r="EM321" s="53" t="inlineStr">
        <is>
          <t>Medium</t>
        </is>
      </c>
      <c r="EN321" s="53" t="inlineStr">
        <is>
          <t>Core Contributor</t>
        </is>
      </c>
      <c r="EO321" s="53" t="inlineStr">
        <is>
          <t>No</t>
        </is>
      </c>
      <c r="EP321" s="53" t="inlineStr">
        <is>
          <t>No</t>
        </is>
      </c>
      <c r="EQ321" s="53" t="inlineStr">
        <is>
          <t>No</t>
        </is>
      </c>
      <c r="ER321" s="53" t="n"/>
      <c r="ES321" s="53" t="inlineStr">
        <is>
          <t>Customer success methods; communication &amp; de-escalation; product/domain depth; ticketing &amp; SLA tools</t>
        </is>
      </c>
      <c r="ET321" s="53" t="inlineStr">
        <is>
          <t>Transition to leadership: people management &amp; delegation, mentoring/coaching, project ownership &amp; stakeholder management, prioritisation under ambiguity, presentation &amp; influence skills</t>
        </is>
      </c>
      <c r="EU321" s="53" t="n"/>
      <c r="EV321" s="53" t="n"/>
      <c r="EW321" s="52" t="n"/>
      <c r="EX321" s="53" t="n"/>
      <c r="EY321" s="53" t="n"/>
      <c r="EZ321" s="53" t="n"/>
      <c r="FA321" s="53" t="n"/>
      <c r="FB321" s="53" t="n"/>
      <c r="FC321" s="53" t="n"/>
      <c r="FD321" s="53" t="n"/>
      <c r="FE321" s="57"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FF321" s="56" t="inlineStr">
        <is>
          <t>Q1: Maintain client/customer satisfaction · CSAT of &gt;=4.2 / 5
Q1: Resolve &gt;=95% of assigned tickets/queries within SLA
Q1: Keep first-response time within agreed SLA on 100% of cases
Q1: Drive retention/renewal of assigned accounts to &gt;=90%
Jyoti is responsible for requirement gathering and then creating webform. She performed her activity quite well. Need to improve on written and verbal communication skill</t>
        </is>
      </c>
      <c r="FG321" s="56" t="n"/>
      <c r="FH321" s="56" t="inlineStr">
        <is>
          <t>4</t>
        </is>
      </c>
      <c r="FI321" s="56" t="n"/>
      <c r="FJ321" s="56" t="inlineStr">
        <is>
          <t>Received · manager annual, quarterly</t>
        </is>
      </c>
      <c r="FK321" s="56" t="inlineStr">
        <is>
          <t>Talent Mapping · iFile collated</t>
        </is>
      </c>
      <c r="FL321" s="56" t="n">
        <v>20</v>
      </c>
      <c r="FM321" s="32" t="inlineStr">
        <is>
          <t>Full survey answers not in the files received · How We Grow export needed · HR</t>
        </is>
      </c>
      <c r="FN321" s="56" t="inlineStr">
        <is>
          <t>—</t>
        </is>
      </c>
      <c r="FO321" s="56" t="inlineStr">
        <is>
          <t>—</t>
        </is>
      </c>
      <c r="FP321" s="56" t="inlineStr">
        <is>
          <t>—</t>
        </is>
      </c>
      <c r="FQ321" s="56" t="inlineStr">
        <is>
          <t>—</t>
        </is>
      </c>
      <c r="FR321" s="56" t="inlineStr">
        <is>
          <t>Complexity: Evidence reads like A3: Designs web forms and validations for demos, gathers requirements, tests portal, writes documentation → moved up 0.5
Autonomy: Evidence reads like A2: Decides form design and layouts only → matches the start
Accountability: Evidence reads like A2: Catching validation or design defects in own forms before deployment to higher environments → matches the start
Leadership: Evidence reads like A1: Mentions team coordination; no guidance of others described → matches the start
Business Impact: No survey or manager-mapping signal on criticality: kept at the start point.</t>
        </is>
      </c>
      <c r="FS321" s="56"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FT321" s="56" t="inlineStr">
        <is>
          <t>Self-identified: Answered · no common topic
For the next role: Answered · no common topic</t>
        </is>
      </c>
      <c r="FU321" s="32" t="inlineStr">
        <is>
          <t>Full survey answers not in the files received · How We Grow export needed · HR</t>
        </is>
      </c>
    </row>
    <row r="322" ht="90" customHeight="1">
      <c r="A322" s="51" t="inlineStr">
        <is>
          <t>◂ Back</t>
        </is>
      </c>
      <c r="B322" s="29" t="inlineStr">
        <is>
          <t>Mapped</t>
        </is>
      </c>
      <c r="C322" s="28" t="inlineStr">
        <is>
          <t>iFile</t>
        </is>
      </c>
      <c r="D322" s="29" t="inlineStr">
        <is>
          <t>IRIS2363</t>
        </is>
      </c>
      <c r="E322" s="29" t="inlineStr">
        <is>
          <t>Aayushi Sharma</t>
        </is>
      </c>
      <c r="F322" s="29" t="inlineStr">
        <is>
          <t>Technology</t>
        </is>
      </c>
      <c r="G322" s="29" t="inlineStr">
        <is>
          <t>Project Manager</t>
        </is>
      </c>
      <c r="H322" s="29" t="inlineStr">
        <is>
          <t>Associate Project Manager</t>
        </is>
      </c>
      <c r="I322" s="29" t="inlineStr">
        <is>
          <t>L5 – Manager</t>
        </is>
      </c>
      <c r="J322" s="29" t="inlineStr">
        <is>
          <t>B1</t>
        </is>
      </c>
      <c r="K322" s="29" t="inlineStr">
        <is>
          <t>▼ Down · protected</t>
        </is>
      </c>
      <c r="L322" s="29" t="inlineStr">
        <is>
          <t>Project &amp; Program Management</t>
        </is>
      </c>
      <c r="M322" s="29" t="inlineStr">
        <is>
          <t>Project &amp; Program Delivery</t>
        </is>
      </c>
      <c r="N322" s="29" t="n"/>
      <c r="O322" s="29" t="n">
        <v>20</v>
      </c>
      <c r="P322" s="28" t="inlineStr">
        <is>
          <t>P3 / M2</t>
        </is>
      </c>
      <c r="Q322" s="29" t="inlineStr">
        <is>
          <t>Career / · Team Lead</t>
        </is>
      </c>
      <c r="R322" s="29" t="inlineStr">
        <is>
          <t>4 Enable</t>
        </is>
      </c>
      <c r="S322" s="29" t="inlineStr">
        <is>
          <t>4–7 yrs</t>
        </is>
      </c>
      <c r="T322" s="29" t="inlineStr">
        <is>
          <t>5–8 · 4–8</t>
        </is>
      </c>
      <c r="U322" s="29" t="inlineStr">
        <is>
          <t>Project Manager</t>
        </is>
      </c>
      <c r="V322" s="29" t="inlineStr">
        <is>
          <t>IRIS Vs Competitor Benchmark — PMI pathway + SaaS delivery ladder: Project Manager · PMP</t>
        </is>
      </c>
      <c r="W322" s="29" t="inlineStr">
        <is>
          <t>PMI PMBOK and Talent Triangle; CAPM · entry → PMP → PgMP; Scrum / SAFe</t>
        </is>
      </c>
      <c r="X322" s="29" t="inlineStr">
        <is>
          <t>Core 3 · Future 3 · Functional 3 · Leadership 1</t>
        </is>
      </c>
      <c r="Y322" s="52" t="n">
        <v>366</v>
      </c>
      <c r="Z322" s="53" t="inlineStr">
        <is>
          <t>IRIS2363</t>
        </is>
      </c>
      <c r="AA322" s="53" t="inlineStr">
        <is>
          <t>Employee</t>
        </is>
      </c>
      <c r="AB322" s="53" t="inlineStr">
        <is>
          <t>Active</t>
        </is>
      </c>
      <c r="AC322" s="53" t="inlineStr">
        <is>
          <t>Aayushi Sharma</t>
        </is>
      </c>
      <c r="AD322" s="54" t="n">
        <v>45754</v>
      </c>
      <c r="AE322" s="53" t="inlineStr">
        <is>
          <t>Project Manager</t>
        </is>
      </c>
      <c r="AF322" s="53" t="inlineStr">
        <is>
          <t>MBA</t>
        </is>
      </c>
      <c r="AG322" s="53" t="inlineStr">
        <is>
          <t>Izharuddin Shaikh</t>
        </is>
      </c>
      <c r="AH322" s="53" t="inlineStr">
        <is>
          <t>N-4</t>
        </is>
      </c>
      <c r="AI322" s="53" t="inlineStr">
        <is>
          <t>Individual Contributor</t>
        </is>
      </c>
      <c r="AJ322" s="53" t="inlineStr">
        <is>
          <t>2 years, 7 months, 0 days</t>
        </is>
      </c>
      <c r="AK322" s="53" t="inlineStr">
        <is>
          <t>1 years, 4 months, 18 days</t>
        </is>
      </c>
      <c r="AL322" s="53" t="inlineStr">
        <is>
          <t>Suptech</t>
        </is>
      </c>
      <c r="AM322" s="53" t="inlineStr">
        <is>
          <t>iFile</t>
        </is>
      </c>
      <c r="AN322" s="53" t="inlineStr">
        <is>
          <t>Technology</t>
        </is>
      </c>
      <c r="AO322" s="53" t="inlineStr">
        <is>
          <t>Project Management</t>
        </is>
      </c>
      <c r="AP322" s="53" t="inlineStr">
        <is>
          <t>No</t>
        </is>
      </c>
      <c r="AQ322" s="53" t="inlineStr">
        <is>
          <t>Product/Project</t>
        </is>
      </c>
      <c r="AR322" s="53" t="inlineStr">
        <is>
          <t>Project Management</t>
        </is>
      </c>
      <c r="AS322" s="53" t="inlineStr">
        <is>
          <t>Technical · BA, PM and QA</t>
        </is>
      </c>
      <c r="AT322" s="53" t="n">
        <v>20</v>
      </c>
      <c r="AU322" s="53" t="inlineStr">
        <is>
          <t>Covered</t>
        </is>
      </c>
      <c r="AV322" s="53" t="n"/>
      <c r="AW322" s="53" t="n"/>
      <c r="AX322" s="53" t="n"/>
      <c r="AY322" s="53" t="n"/>
      <c r="AZ322" s="53" t="n"/>
      <c r="BA322" s="53" t="n"/>
      <c r="BB322" s="53" t="n"/>
      <c r="BC322" s="53" t="n"/>
      <c r="BD322" s="53" t="n"/>
      <c r="BE322" s="53" t="n"/>
      <c r="BF322" s="53" t="n"/>
      <c r="BG322" s="53" t="n"/>
      <c r="BH322" s="53" t="n"/>
      <c r="BI322" s="53" t="n"/>
      <c r="BJ322" s="53" t="n"/>
      <c r="BK322" s="53" t="n"/>
      <c r="BL322" s="53" t="n"/>
      <c r="BM322" s="53" t="n"/>
      <c r="BN322" s="53" t="n"/>
      <c r="BO322" s="53" t="n"/>
      <c r="BP322" s="53" t="n"/>
      <c r="BQ322" s="53" t="n"/>
      <c r="BR322" s="53" t="n"/>
      <c r="BS322" s="53" t="n"/>
      <c r="BT322" s="53" t="n"/>
      <c r="BU322" s="53" t="n"/>
      <c r="BV322" s="53" t="n"/>
      <c r="BW322" s="53" t="n"/>
      <c r="BX322" s="53" t="n"/>
      <c r="BY322" s="53" t="n"/>
      <c r="BZ322" s="53" t="n"/>
      <c r="CA322" s="53" t="n"/>
      <c r="CB322" s="53" t="n"/>
      <c r="CC322" s="53" t="n"/>
      <c r="CD322" s="53" t="n"/>
      <c r="CE322" s="53" t="n"/>
      <c r="CF322" s="53" t="n"/>
      <c r="CG322" s="53" t="n"/>
      <c r="CH322" s="53" t="n"/>
      <c r="CI322" s="53" t="n"/>
      <c r="CJ322" s="53" t="n"/>
      <c r="CK322" s="53" t="n"/>
      <c r="CL322" s="53" t="n"/>
      <c r="CM322" s="53" t="n"/>
      <c r="CN322" s="53" t="n"/>
      <c r="CO322" s="53" t="n"/>
      <c r="CP322" s="53" t="n"/>
      <c r="CQ322" s="53" t="n"/>
      <c r="CR322" s="53" t="n"/>
      <c r="CS322" s="53" t="n"/>
      <c r="CT322" s="53" t="n"/>
      <c r="CU322" s="53" t="n"/>
      <c r="CV322" s="53" t="n"/>
      <c r="CW322" s="53" t="n"/>
      <c r="CX322" s="53" t="n"/>
      <c r="CY322" s="53" t="n"/>
      <c r="CZ322" s="53" t="n"/>
      <c r="DA322" s="53" t="n"/>
      <c r="DB322" s="53" t="n"/>
      <c r="DC322" s="53" t="n"/>
      <c r="DD322" s="53" t="inlineStr">
        <is>
          <t>IRIS2363</t>
        </is>
      </c>
      <c r="DE322" s="53" t="inlineStr">
        <is>
          <t>Employee</t>
        </is>
      </c>
      <c r="DF322" s="53" t="inlineStr">
        <is>
          <t>Active</t>
        </is>
      </c>
      <c r="DG322" s="53" t="inlineStr">
        <is>
          <t>Aayushi Sharma</t>
        </is>
      </c>
      <c r="DH322" s="54" t="n">
        <v>45754</v>
      </c>
      <c r="DI322" s="53" t="inlineStr">
        <is>
          <t>Project Manager</t>
        </is>
      </c>
      <c r="DJ322" s="53" t="inlineStr">
        <is>
          <t>Project &amp; Program Management</t>
        </is>
      </c>
      <c r="DK322" s="53" t="inlineStr">
        <is>
          <t>Project Management</t>
        </is>
      </c>
      <c r="DL322" s="53" t="inlineStr">
        <is>
          <t>Project Manager</t>
        </is>
      </c>
      <c r="DM322" s="53" t="inlineStr">
        <is>
          <t>L5 – Manager</t>
        </is>
      </c>
      <c r="DN322" s="53" t="inlineStr">
        <is>
          <t>MBA</t>
        </is>
      </c>
      <c r="DO322" s="53" t="inlineStr">
        <is>
          <t>Jailesh Bhadra</t>
        </is>
      </c>
      <c r="DP322" s="53" t="inlineStr">
        <is>
          <t>N-3</t>
        </is>
      </c>
      <c r="DQ322" s="53" t="inlineStr">
        <is>
          <t>Individual Contributor</t>
        </is>
      </c>
      <c r="DR322" s="53" t="inlineStr">
        <is>
          <t>2 years, 7 months, 0 days</t>
        </is>
      </c>
      <c r="DS322" s="53" t="inlineStr">
        <is>
          <t>1 years, 2 months, 13 days</t>
        </is>
      </c>
      <c r="DT322" s="53" t="inlineStr">
        <is>
          <t>3 years, 9 months, 13 days</t>
        </is>
      </c>
      <c r="DU322" s="53" t="n"/>
      <c r="DV322" s="53" t="inlineStr">
        <is>
          <t>Suptech</t>
        </is>
      </c>
      <c r="DW322" s="53" t="inlineStr">
        <is>
          <t>iFile</t>
        </is>
      </c>
      <c r="DX322" s="53" t="inlineStr">
        <is>
          <t>Technology</t>
        </is>
      </c>
      <c r="DY322" s="53" t="inlineStr">
        <is>
          <t>Project Management</t>
        </is>
      </c>
      <c r="DZ322" s="53" t="inlineStr">
        <is>
          <t>No</t>
        </is>
      </c>
      <c r="EA322" s="53" t="inlineStr">
        <is>
          <t>Product/Project</t>
        </is>
      </c>
      <c r="EB322" s="53" t="inlineStr">
        <is>
          <t>Project Management</t>
        </is>
      </c>
      <c r="EC322" s="53" t="inlineStr">
        <is>
          <t>Technical · BA, PM and QA</t>
        </is>
      </c>
      <c r="ED322" s="53" t="inlineStr">
        <is>
          <t>Hybrid</t>
        </is>
      </c>
      <c r="EE322" s="53" t="inlineStr">
        <is>
          <t>1. Achieve functional proficiency in DynaForms, License Management, and Fit &amp; Proper by independently managing at least 3 end-to-end demos for these products.
2. Deliver ≥95% of assigned GTA project deliverables on time with minimal rework, while maintaining accurate tracking and timely stakeholder communication.
3. Complete at least one professional certification relevant to Business Analysis/Product Management
4. Increase my knowledge of Taxonomy and Data Standards
5. Develop functional expertise in the Tax Management System · TMS and GTA Prefill Module and contributing to the design of a robust, scalable solution.</t>
        </is>
      </c>
      <c r="EF322" s="53" t="inlineStr">
        <is>
          <t>1. Deliver &gt;=90% of assigned projects on time and within budget
2. Maintain project RAID log accuracy with 100% of high risks actioned within SLA
3. Achieve &gt;=4.2/5 stakeholder satisfaction on project governance &amp; communication
4. Ensure &gt;=95% on-time, accurate milestone reporting to leadership
5. Implement at least 1 PM process/governance improvement this year
6. Support resource/capacity planning visibility for her assigned pod</t>
        </is>
      </c>
      <c r="EG322" s="53" t="inlineStr">
        <is>
          <t>Q1: Deliver assigned projects on time and within budget
Q1: Maintain RAID log accuracy with high risks actioned within SLA
Q1: Achieve &gt;=4.2/5 stakeholder satisfaction on governance &amp; communication
Q1: Deliver on-time, accurate milestone reporting</t>
        </is>
      </c>
      <c r="EH322" s="53" t="n">
        <v>3</v>
      </c>
      <c r="EI322" s="54" t="n">
        <v>45931</v>
      </c>
      <c r="EJ322" s="53" t="inlineStr">
        <is>
          <t>Project Manager</t>
        </is>
      </c>
      <c r="EK322" s="53" t="inlineStr">
        <is>
          <t>Yes - Her current scope needs a review.</t>
        </is>
      </c>
      <c r="EL322" s="53" t="n">
        <v>3</v>
      </c>
      <c r="EM322" s="53" t="inlineStr">
        <is>
          <t>Medium</t>
        </is>
      </c>
      <c r="EN322" s="53" t="inlineStr">
        <is>
          <t>Core Contributor</t>
        </is>
      </c>
      <c r="EO322" s="53" t="inlineStr">
        <is>
          <t>N</t>
        </is>
      </c>
      <c r="EP322" s="53" t="inlineStr">
        <is>
          <t>N</t>
        </is>
      </c>
      <c r="EQ322" s="53" t="inlineStr">
        <is>
          <t>N</t>
        </is>
      </c>
      <c r="ER322" s="53" t="inlineStr">
        <is>
          <t>No successor needed currently.</t>
        </is>
      </c>
      <c r="ES322" s="53" t="inlineStr">
        <is>
          <t>Agile/Scrum &amp; PMP fundamentals; risk &amp; stakeholder management; estimation; reporting/governance tools; Product visualization</t>
        </is>
      </c>
      <c r="ET322" s="53" t="inlineStr">
        <is>
          <t>-</t>
        </is>
      </c>
      <c r="EU322" s="53" t="inlineStr">
        <is>
          <t>Project Management vs Business Analysis scope needs evaluation.</t>
        </is>
      </c>
      <c r="EV322" s="53" t="n"/>
      <c r="EW322" s="52" t="n"/>
      <c r="EX322" s="53" t="n"/>
      <c r="EY322" s="53" t="n"/>
      <c r="EZ322" s="53" t="n"/>
      <c r="FA322" s="53" t="n"/>
      <c r="FB322" s="53" t="n"/>
      <c r="FC322" s="53" t="n"/>
      <c r="FD322" s="53" t="n"/>
      <c r="FE322" s="57" t="inlineStr">
        <is>
          <t>1. Deliver &gt;=90% of assigned projects on time and within budget
2. Maintain project RAID log accuracy with 100% of high risks actioned within SLA
3. Achieve &gt;=4.2/5 stakeholder satisfaction on project governance &amp; communication
4. Ensure &gt;=95% on-time, accurate milestone reporting to leadership
5. Implement at least 1 PM process/governance improvement this year
6. Support resource/capacity planning visibility for her assigned pod</t>
        </is>
      </c>
      <c r="FF322" s="56" t="inlineStr">
        <is>
          <t>Q1: Deliver assigned projects on time and within budget
Q1: Maintain RAID log accuracy with high risks actioned within SLA
Q1: Achieve &gt;=4.2/5 stakeholder satisfaction on governance &amp; communication
Q1: Deliver on-time, accurate milestone reporting</t>
        </is>
      </c>
      <c r="FG322" s="56" t="inlineStr">
        <is>
          <t>1. Achieve functional proficiency in DynaForms, License Management, and Fit &amp; Proper by independently managing at least 3 end-to-end demos for these products.
2. Deliver ≥95% of assigned GTA project deliverables on time with minimal rework, while maintaining accurate tracking and timely stakeholder communication.
3. Complete at least one professional certification relevant to Business Analysis/Product Management
4. Increase my knowledge of Taxonomy and Data Standards
5. Develop functional expertise in the Tax Management System · TMS and GTA Prefill Module and contributing to the design of a robust, scalable solution.</t>
        </is>
      </c>
      <c r="FH322" s="56" t="inlineStr">
        <is>
          <t>3</t>
        </is>
      </c>
      <c r="FI322" s="56" t="n"/>
      <c r="FJ322" s="56" t="inlineStr">
        <is>
          <t>Received · manager annual, quarterly, self</t>
        </is>
      </c>
      <c r="FK322" s="56" t="inlineStr">
        <is>
          <t>Talent Mapping · iFile collated</t>
        </is>
      </c>
      <c r="FL322" s="56" t="n">
        <v>20</v>
      </c>
      <c r="FM322" s="32" t="inlineStr">
        <is>
          <t>Full survey answers not in the files received · How We Grow export needed · HR</t>
        </is>
      </c>
      <c r="FN322" s="56" t="inlineStr">
        <is>
          <t>—</t>
        </is>
      </c>
      <c r="FO322" s="56" t="inlineStr">
        <is>
          <t>—</t>
        </is>
      </c>
      <c r="FP322" s="56" t="inlineStr">
        <is>
          <t>—</t>
        </is>
      </c>
      <c r="FQ322" s="56" t="inlineStr">
        <is>
          <t>—</t>
        </is>
      </c>
      <c r="FR322" s="56" t="inlineStr">
        <is>
          <t>Complexity: Evidence reads like B1: Requirement analysis, effort estimation, product feasibility, demos and POCs; DynaForms product knowledge → moved down 0.5
Autonomy: Evidence reads like B1: Confirms standard-product scope and feasibility to clients without input → moved down 0.5
Accountability: Evidence reads like B1: Project deliverables within scope and cost; unaccepted billed effort; DynaForms product duties → moved down 0.5
Leadership: Evidence reads like A2: Mentions resource management and team morale; no reports or guidance described → moved down 1
Business Impact: No move: the survey / manager mapping does not mark it business-critical or unique.</t>
        </is>
      </c>
      <c r="FS322" s="56" t="inlineStr">
        <is>
          <t>Common themes in role-holders' answers: business · understood · requirements · project
Common themes in role-holders' answers: management · timelines · delivery · coordination · gathering · requirement
Common themes in role-holders' answers: project · time
Common themes in role-holders' answers: client · timelines
Common themes in role-holders' answers: client · requirement
If the work is missed · role-holders' themes: client · potential.
Measured on · manager-set KRA themes: projects · support · maintain · reporting · on-time.</t>
        </is>
      </c>
      <c r="FT322" s="56" t="inlineStr">
        <is>
          <t>Self-identified: Certification / formal course
For the next role: AI / automation · Certification / formal course</t>
        </is>
      </c>
      <c r="FU322" s="32" t="inlineStr">
        <is>
          <t>Full survey answers not in the files received · How We Grow export needed · HR</t>
        </is>
      </c>
    </row>
    <row r="323" ht="90" customHeight="1">
      <c r="A323" s="51" t="inlineStr">
        <is>
          <t>◂ Back</t>
        </is>
      </c>
      <c r="B323" s="29" t="inlineStr">
        <is>
          <t>Mapped</t>
        </is>
      </c>
      <c r="C323" s="28" t="inlineStr">
        <is>
          <t>iFile</t>
        </is>
      </c>
      <c r="D323" s="29" t="inlineStr">
        <is>
          <t>IRIS2529</t>
        </is>
      </c>
      <c r="E323" s="29" t="inlineStr">
        <is>
          <t>Yash Raj</t>
        </is>
      </c>
      <c r="F323" s="29" t="inlineStr">
        <is>
          <t>Technology</t>
        </is>
      </c>
      <c r="G323" s="29" t="inlineStr">
        <is>
          <t>Software Engineer</t>
        </is>
      </c>
      <c r="H323" s="29" t="inlineStr">
        <is>
          <t>Senior Database Engineer</t>
        </is>
      </c>
      <c r="I323" s="29" t="inlineStr">
        <is>
          <t>L3 – Professional / Associate</t>
        </is>
      </c>
      <c r="J323" s="29" t="inlineStr">
        <is>
          <t>A3</t>
        </is>
      </c>
      <c r="K323" s="29" t="inlineStr">
        <is>
          <t>▲ Up</t>
        </is>
      </c>
      <c r="L323" s="29" t="inlineStr">
        <is>
          <t>Engineering &amp; Development</t>
        </is>
      </c>
      <c r="M323" s="29" t="inlineStr">
        <is>
          <t>Data Engineering &amp; Database Development</t>
        </is>
      </c>
      <c r="N323" s="29" t="n"/>
      <c r="O323" s="29" t="n">
        <v>19</v>
      </c>
      <c r="P323" s="28" t="inlineStr">
        <is>
          <t>P2</t>
        </is>
      </c>
      <c r="Q323" s="29" t="inlineStr">
        <is>
          <t>Developing</t>
        </is>
      </c>
      <c r="R323" s="29" t="inlineStr">
        <is>
          <t>3 Apply</t>
        </is>
      </c>
      <c r="S323" s="29" t="inlineStr">
        <is>
          <t>2–4 yrs</t>
        </is>
      </c>
      <c r="T323" s="29" t="inlineStr">
        <is>
          <t>3–5 · 2–5</t>
        </is>
      </c>
      <c r="U323" s="29" t="inlineStr">
        <is>
          <t>Software Engineer</t>
        </is>
      </c>
      <c r="V323" s="29" t="inlineStr">
        <is>
          <t>Workiva: SE · Broadridge India: SE · Nasdaq / AxiomSL: SE · Salesforce: MTS · Atlassian: P40 · 3–7 yrs · Freshworks: Senior SE</t>
        </is>
      </c>
      <c r="W323" s="29" t="inlineStr">
        <is>
          <t>SFIA 9 · software development, programming; OWASP secure coding; cloud vendor certifications</t>
        </is>
      </c>
      <c r="X323" s="29" t="inlineStr">
        <is>
          <t>Core 2 · Future 2 · Functional 3 · Leadership not scored</t>
        </is>
      </c>
      <c r="Y323" s="52" t="n">
        <v>501</v>
      </c>
      <c r="Z323" s="53" t="inlineStr">
        <is>
          <t>IRIS2529</t>
        </is>
      </c>
      <c r="AA323" s="53" t="inlineStr">
        <is>
          <t>Employee</t>
        </is>
      </c>
      <c r="AB323" s="53" t="inlineStr">
        <is>
          <t>Active</t>
        </is>
      </c>
      <c r="AC323" s="53" t="inlineStr">
        <is>
          <t>Yash Raj</t>
        </is>
      </c>
      <c r="AD323" s="54" t="n">
        <v>46149</v>
      </c>
      <c r="AE323" s="53" t="inlineStr">
        <is>
          <t>Software Engineer</t>
        </is>
      </c>
      <c r="AF323" s="53" t="inlineStr">
        <is>
          <t>B.Tech</t>
        </is>
      </c>
      <c r="AG323" s="53" t="inlineStr">
        <is>
          <t>Izharuddin Shaikh</t>
        </is>
      </c>
      <c r="AH323" s="53" t="inlineStr">
        <is>
          <t>N-4</t>
        </is>
      </c>
      <c r="AI323" s="53" t="inlineStr">
        <is>
          <t>Individual Contributor</t>
        </is>
      </c>
      <c r="AJ323" s="53" t="inlineStr">
        <is>
          <t>2 years, 4 months, 0 days</t>
        </is>
      </c>
      <c r="AK323" s="53" t="inlineStr">
        <is>
          <t>0 years, 3 months, 18 days</t>
        </is>
      </c>
      <c r="AL323" s="53" t="inlineStr">
        <is>
          <t>Suptech</t>
        </is>
      </c>
      <c r="AM323" s="53" t="inlineStr">
        <is>
          <t>iFile</t>
        </is>
      </c>
      <c r="AN323" s="53" t="inlineStr">
        <is>
          <t>Technology</t>
        </is>
      </c>
      <c r="AO323" s="53" t="inlineStr">
        <is>
          <t>Development</t>
        </is>
      </c>
      <c r="AP323" s="53" t="inlineStr">
        <is>
          <t>Yes</t>
        </is>
      </c>
      <c r="AQ323" s="53" t="inlineStr">
        <is>
          <t>Product/Project</t>
        </is>
      </c>
      <c r="AR323" s="53" t="inlineStr">
        <is>
          <t>ETL</t>
        </is>
      </c>
      <c r="AS323" s="53" t="inlineStr">
        <is>
          <t>Technical - Developer</t>
        </is>
      </c>
      <c r="AT323" s="53" t="n">
        <v>20</v>
      </c>
      <c r="AU323" s="53" t="inlineStr">
        <is>
          <t>Covered</t>
        </is>
      </c>
      <c r="AV323" s="53" t="n"/>
      <c r="AW323" s="53" t="n"/>
      <c r="AX323" s="53" t="n"/>
      <c r="AY323" s="53" t="n"/>
      <c r="AZ323" s="53" t="n"/>
      <c r="BA323" s="53" t="n"/>
      <c r="BB323" s="53" t="n"/>
      <c r="BC323" s="53" t="n"/>
      <c r="BD323" s="53" t="n"/>
      <c r="BE323" s="53" t="n"/>
      <c r="BF323" s="53" t="n"/>
      <c r="BG323" s="53" t="n"/>
      <c r="BH323" s="53" t="n"/>
      <c r="BI323" s="53" t="n"/>
      <c r="BJ323" s="53" t="n"/>
      <c r="BK323" s="53" t="n"/>
      <c r="BL323" s="53" t="n"/>
      <c r="BM323" s="53" t="n"/>
      <c r="BN323" s="53" t="n"/>
      <c r="BO323" s="53" t="n"/>
      <c r="BP323" s="53" t="n"/>
      <c r="BQ323" s="53" t="n"/>
      <c r="BR323" s="53" t="n"/>
      <c r="BS323" s="53" t="n"/>
      <c r="BT323" s="53" t="n"/>
      <c r="BU323" s="53" t="n"/>
      <c r="BV323" s="53" t="n"/>
      <c r="BW323" s="53" t="n"/>
      <c r="BX323" s="53" t="n"/>
      <c r="BY323" s="53" t="n"/>
      <c r="BZ323" s="53" t="n"/>
      <c r="CA323" s="53" t="n"/>
      <c r="CB323" s="53" t="n"/>
      <c r="CC323" s="53" t="n"/>
      <c r="CD323" s="53" t="n"/>
      <c r="CE323" s="53" t="n"/>
      <c r="CF323" s="53" t="n"/>
      <c r="CG323" s="53" t="n"/>
      <c r="CH323" s="53" t="n"/>
      <c r="CI323" s="53" t="n"/>
      <c r="CJ323" s="53" t="n"/>
      <c r="CK323" s="53" t="n"/>
      <c r="CL323" s="53" t="n"/>
      <c r="CM323" s="53" t="n"/>
      <c r="CN323" s="53" t="n"/>
      <c r="CO323" s="53" t="n"/>
      <c r="CP323" s="53" t="n"/>
      <c r="CQ323" s="53" t="n"/>
      <c r="CR323" s="53" t="n"/>
      <c r="CS323" s="53" t="n"/>
      <c r="CT323" s="53" t="n"/>
      <c r="CU323" s="53" t="n"/>
      <c r="CV323" s="53" t="n"/>
      <c r="CW323" s="53" t="n"/>
      <c r="CX323" s="53" t="n"/>
      <c r="CY323" s="53" t="n"/>
      <c r="CZ323" s="53" t="n"/>
      <c r="DA323" s="53" t="n"/>
      <c r="DB323" s="53" t="n"/>
      <c r="DC323" s="53" t="n"/>
      <c r="DD323" s="53" t="inlineStr">
        <is>
          <t>IRIS2529</t>
        </is>
      </c>
      <c r="DE323" s="53" t="inlineStr">
        <is>
          <t>Employee</t>
        </is>
      </c>
      <c r="DF323" s="53" t="inlineStr">
        <is>
          <t>Active</t>
        </is>
      </c>
      <c r="DG323" s="53" t="inlineStr">
        <is>
          <t>Yash Raj</t>
        </is>
      </c>
      <c r="DH323" s="54" t="n">
        <v>46149</v>
      </c>
      <c r="DI323" s="53" t="inlineStr">
        <is>
          <t>Software Engineer</t>
        </is>
      </c>
      <c r="DJ323" s="53" t="inlineStr">
        <is>
          <t>Engineering &amp; Development</t>
        </is>
      </c>
      <c r="DK323" s="53" t="inlineStr">
        <is>
          <t>Software Engineering</t>
        </is>
      </c>
      <c r="DL323" s="53" t="inlineStr">
        <is>
          <t>Software Engineer</t>
        </is>
      </c>
      <c r="DM323" s="53" t="inlineStr">
        <is>
          <t>L3 – Professional / Associate</t>
        </is>
      </c>
      <c r="DN323" s="53" t="inlineStr">
        <is>
          <t>B.Tech</t>
        </is>
      </c>
      <c r="DO323" s="53" t="inlineStr">
        <is>
          <t>Izharuddin Shaikh</t>
        </is>
      </c>
      <c r="DP323" s="53" t="inlineStr">
        <is>
          <t>N-3</t>
        </is>
      </c>
      <c r="DQ323" s="53" t="inlineStr">
        <is>
          <t>Individual Contributor</t>
        </is>
      </c>
      <c r="DR323" s="53" t="inlineStr">
        <is>
          <t>2 years, 4 months, 0 days</t>
        </is>
      </c>
      <c r="DS323" s="53" t="inlineStr">
        <is>
          <t>0 years, 1 months, 13 days</t>
        </is>
      </c>
      <c r="DT323" s="53" t="inlineStr">
        <is>
          <t>2 years, 5 months, 13 days</t>
        </is>
      </c>
      <c r="DU323" s="53" t="n"/>
      <c r="DV323" s="53" t="inlineStr">
        <is>
          <t>Suptech</t>
        </is>
      </c>
      <c r="DW323" s="53" t="inlineStr">
        <is>
          <t>iFile</t>
        </is>
      </c>
      <c r="DX323" s="53" t="inlineStr">
        <is>
          <t>Technology</t>
        </is>
      </c>
      <c r="DY323" s="53" t="inlineStr">
        <is>
          <t>Development</t>
        </is>
      </c>
      <c r="DZ323" s="53" t="inlineStr">
        <is>
          <t>Yes</t>
        </is>
      </c>
      <c r="EA323" s="53" t="inlineStr">
        <is>
          <t>Product/Project</t>
        </is>
      </c>
      <c r="EB323" s="53" t="n"/>
      <c r="EC323" s="53" t="inlineStr">
        <is>
          <t>Technical - Developer</t>
        </is>
      </c>
      <c r="ED323" s="53" t="inlineStr">
        <is>
          <t>Work From Office - Turbhe</t>
        </is>
      </c>
      <c r="EE323" s="53" t="n"/>
      <c r="EF323"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323"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Yash has joined IRIS 3 months ago; we have given him many tasks in different areas. He has delievered the result very well. He is growing but speed is bit slow but he will take up soon.</t>
        </is>
      </c>
      <c r="EH323" s="53" t="n">
        <v>3</v>
      </c>
      <c r="EI323" s="53" t="n"/>
      <c r="EJ323" s="53" t="inlineStr">
        <is>
          <t>Software Engineer</t>
        </is>
      </c>
      <c r="EK323" s="53" t="n"/>
      <c r="EL323" s="53" t="n">
        <v>3</v>
      </c>
      <c r="EM323" s="53" t="inlineStr">
        <is>
          <t>Medium</t>
        </is>
      </c>
      <c r="EN323" s="53" t="inlineStr">
        <is>
          <t>Reliable Specialist</t>
        </is>
      </c>
      <c r="EO323" s="53" t="n"/>
      <c r="EP323" s="53" t="n"/>
      <c r="EQ323" s="53" t="n"/>
      <c r="ER323" s="53" t="n"/>
      <c r="ES323" s="53" t="inlineStr">
        <is>
          <t>Advanced technology stack; secure coding &amp; code-quality practices; unit/automated testing; system design fundamentals</t>
        </is>
      </c>
      <c r="ET323" s="53" t="inlineStr">
        <is>
          <t>Transition to leadership: people management &amp; delegation, mentoring/coaching, project ownership &amp; stakeholder management, prioritisation under ambiguity, presentation &amp; influence skills</t>
        </is>
      </c>
      <c r="EU323" s="53" t="n"/>
      <c r="EV323" s="53" t="n"/>
      <c r="EW323" s="52" t="n"/>
      <c r="EX323" s="53" t="n"/>
      <c r="EY323" s="53" t="n"/>
      <c r="EZ323" s="53" t="n"/>
      <c r="FA323" s="53" t="n"/>
      <c r="FB323" s="53" t="n"/>
      <c r="FC323" s="53" t="n"/>
      <c r="FD323" s="53" t="n"/>
      <c r="FE323"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323"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Yash has joined IRIS 3 months ago; we have given him many tasks in different areas. He has delievered the result very well. He is growing but speed is bit slow but he will take up soon.</t>
        </is>
      </c>
      <c r="FG323" s="56" t="n"/>
      <c r="FH323" s="56" t="inlineStr">
        <is>
          <t>3</t>
        </is>
      </c>
      <c r="FI323" s="56" t="n"/>
      <c r="FJ323" s="56" t="inlineStr">
        <is>
          <t>Received · manager annual, quarterly</t>
        </is>
      </c>
      <c r="FK323" s="56" t="inlineStr">
        <is>
          <t>Talent Mapping · iFile collated</t>
        </is>
      </c>
      <c r="FL323" s="56" t="n">
        <v>19</v>
      </c>
      <c r="FM323" s="32" t="inlineStr">
        <is>
          <t>Full survey answers not in the files received · How We Grow export needed · HR</t>
        </is>
      </c>
      <c r="FN323" s="56" t="inlineStr">
        <is>
          <t>—</t>
        </is>
      </c>
      <c r="FO323" s="56" t="inlineStr">
        <is>
          <t>—</t>
        </is>
      </c>
      <c r="FP323" s="56" t="inlineStr">
        <is>
          <t>—</t>
        </is>
      </c>
      <c r="FQ323" s="56" t="inlineStr">
        <is>
          <t>—</t>
        </is>
      </c>
      <c r="FR323" s="56" t="inlineStr">
        <is>
          <t>Complexity: Evidence reads like A3: Builds end-to-end ETL pipelines, data models and dashboards in Python, Apache Hop, Airflow and Superset → moved up 0.5
Autonomy: Evidence reads like A3: Independently troubleshoots pipeline failures, optimises jobs and handles data-quality issues → moved up 0.5
Accountability: Evidence reads like A3: Pipelines end to end; failures hit downstream reporting and analytics teams → moved up 0.5
Leadership: Evidence reads like A1: No guiding or leading described → matches the start
Business Impact: No survey or manager-mapping signal on criticality: kept at the start point.</t>
        </is>
      </c>
      <c r="FS323" s="56" t="inlineStr">
        <is>
          <t>Common themes in role-holders' answers: business · support · data · solutions · build · reliable
Common themes in role-holders' answers: issue · support · development · data · resolution · deployment
Common themes in role-holders' answers: deliver · enhancements · solutions · product · data · models
Common themes in role-holders' answers: accountable · assigned · quality · solutions · personally · delivery
Common themes in role-holders' answers: issues · troubleshoot · independently · client · implement · technical
If the work is missed · role-holders' themes: issues · lead · incorrect · data.
Measured on · manager-set KRA themes: quality · deliver · project · timely · development · code.</t>
        </is>
      </c>
      <c r="FT323" s="56" t="inlineStr">
        <is>
          <t>Self-identified: Technical depth &amp; architecture · Data, SQL &amp; analytics · Certification / formal course
For the next role: Technical depth &amp; architecture · Data, SQL &amp; analytics · Certification / formal course</t>
        </is>
      </c>
      <c r="FU323" s="32" t="inlineStr">
        <is>
          <t>Full survey answers not in the files received · How We Grow export needed · HR</t>
        </is>
      </c>
    </row>
    <row r="324" ht="90" customHeight="1">
      <c r="A324" s="51" t="inlineStr">
        <is>
          <t>◂ Back</t>
        </is>
      </c>
      <c r="B324" s="29" t="inlineStr">
        <is>
          <t>Mapped</t>
        </is>
      </c>
      <c r="C324" s="28" t="inlineStr">
        <is>
          <t>iFile</t>
        </is>
      </c>
      <c r="D324" s="29" t="inlineStr">
        <is>
          <t>IRIS2133</t>
        </is>
      </c>
      <c r="E324" s="29" t="inlineStr">
        <is>
          <t>Pushpendra Singh</t>
        </is>
      </c>
      <c r="F324" s="29" t="inlineStr">
        <is>
          <t>Technology</t>
        </is>
      </c>
      <c r="G324" s="29" t="inlineStr">
        <is>
          <t>Technical Architect</t>
        </is>
      </c>
      <c r="H324" s="29" t="inlineStr">
        <is>
          <t>Practice Lead – Solution &amp; Technical Architecture · Player-Coach</t>
        </is>
      </c>
      <c r="I324" s="29" t="inlineStr">
        <is>
          <t>L3 – Professional / Associate</t>
        </is>
      </c>
      <c r="J324" s="29" t="inlineStr">
        <is>
          <t>B+</t>
        </is>
      </c>
      <c r="K324" s="29" t="inlineStr">
        <is>
          <t>▲ Up</t>
        </is>
      </c>
      <c r="L324" s="29" t="inlineStr">
        <is>
          <t>Engineering &amp; Architecture</t>
        </is>
      </c>
      <c r="M324" s="29" t="inlineStr">
        <is>
          <t>Solution &amp; Technical Architecture</t>
        </is>
      </c>
      <c r="N324" s="29" t="n"/>
      <c r="O324" s="29" t="n">
        <v>20</v>
      </c>
      <c r="P324" s="28" t="inlineStr">
        <is>
          <t>P5–P6 / M4–M5</t>
        </is>
      </c>
      <c r="Q324" s="29" t="inlineStr">
        <is>
          <t>Expert / Senior Manager · player-coach</t>
        </is>
      </c>
      <c r="R324" s="29" t="inlineStr">
        <is>
          <t>5 Ensure, advise</t>
        </is>
      </c>
      <c r="S324" s="29" t="inlineStr">
        <is>
          <t>9–14 yrs</t>
        </is>
      </c>
      <c r="T324" s="29" t="inlineStr">
        <is>
          <t>9–13 · 9–14</t>
        </is>
      </c>
      <c r="U324" s="29" t="inlineStr">
        <is>
          <t>Tech Lead Manager / Practice Lead · player-coach</t>
        </is>
      </c>
      <c r="V324" s="29" t="inlineStr">
        <is>
          <t>Google: Tech Lead Manager · TLM · McKinsey player/coach · 3–5 reports · SaaS: player-coach team lead carrying own work</t>
        </is>
      </c>
      <c r="W324" s="29" t="inlineStr">
        <is>
          <t>SFIA 9 · solution architecture; TOGAF; AWS / Azure architect certifications</t>
        </is>
      </c>
      <c r="X324" s="29" t="inlineStr">
        <is>
          <t>Core 4 · Future 4 · Functional 4 · Leadership 4</t>
        </is>
      </c>
      <c r="Y324" s="52" t="n">
        <v>274</v>
      </c>
      <c r="Z324" s="53" t="inlineStr">
        <is>
          <t>IRIS2133</t>
        </is>
      </c>
      <c r="AA324" s="53" t="inlineStr">
        <is>
          <t>Employee</t>
        </is>
      </c>
      <c r="AB324" s="53" t="inlineStr">
        <is>
          <t>Active</t>
        </is>
      </c>
      <c r="AC324" s="53" t="inlineStr">
        <is>
          <t>Pushpendra Singh</t>
        </is>
      </c>
      <c r="AD324" s="54" t="n">
        <v>45071</v>
      </c>
      <c r="AE324" s="53" t="inlineStr">
        <is>
          <t>Technical Architect</t>
        </is>
      </c>
      <c r="AF324" s="53" t="inlineStr">
        <is>
          <t>MBA</t>
        </is>
      </c>
      <c r="AG324" s="53" t="inlineStr">
        <is>
          <t>Pradip Dey</t>
        </is>
      </c>
      <c r="AH324" s="53" t="inlineStr">
        <is>
          <t>N-3</t>
        </is>
      </c>
      <c r="AI324" s="53" t="inlineStr">
        <is>
          <t>Manager</t>
        </is>
      </c>
      <c r="AJ324" s="53" t="inlineStr">
        <is>
          <t>14 years, 0 months, 0 days</t>
        </is>
      </c>
      <c r="AK324" s="53" t="inlineStr">
        <is>
          <t>3 years, 3 months, 0 days</t>
        </is>
      </c>
      <c r="AL324" s="53" t="inlineStr">
        <is>
          <t>Suptech</t>
        </is>
      </c>
      <c r="AM324" s="53" t="inlineStr">
        <is>
          <t>iFile</t>
        </is>
      </c>
      <c r="AN324" s="53" t="inlineStr">
        <is>
          <t>Technology</t>
        </is>
      </c>
      <c r="AO324" s="53" t="inlineStr">
        <is>
          <t>Development</t>
        </is>
      </c>
      <c r="AP324" s="53" t="inlineStr">
        <is>
          <t>Yes</t>
        </is>
      </c>
      <c r="AQ324" s="53" t="inlineStr">
        <is>
          <t>Product/Project</t>
        </is>
      </c>
      <c r="AR324" s="53" t="inlineStr">
        <is>
          <t>Java</t>
        </is>
      </c>
      <c r="AS324" s="53" t="inlineStr">
        <is>
          <t>Technical - Developer</t>
        </is>
      </c>
      <c r="AT324" s="53" t="n">
        <v>20</v>
      </c>
      <c r="AU324" s="53" t="inlineStr">
        <is>
          <t>Covered</t>
        </is>
      </c>
      <c r="AV324" s="53" t="n"/>
      <c r="AW324" s="53" t="n"/>
      <c r="AX324" s="53" t="n"/>
      <c r="AY324" s="53" t="n"/>
      <c r="AZ324" s="53" t="n"/>
      <c r="BA324" s="53" t="n"/>
      <c r="BB324" s="53" t="n"/>
      <c r="BC324" s="53" t="n"/>
      <c r="BD324" s="53" t="n"/>
      <c r="BE324" s="53" t="n"/>
      <c r="BF324" s="53" t="n"/>
      <c r="BG324" s="53" t="n"/>
      <c r="BH324" s="53" t="n"/>
      <c r="BI324" s="53" t="n"/>
      <c r="BJ324" s="53" t="n"/>
      <c r="BK324" s="53" t="n"/>
      <c r="BL324" s="53" t="n"/>
      <c r="BM324" s="53" t="n"/>
      <c r="BN324" s="53" t="n"/>
      <c r="BO324" s="53" t="n"/>
      <c r="BP324" s="53" t="n"/>
      <c r="BQ324" s="53" t="n"/>
      <c r="BR324" s="53" t="n"/>
      <c r="BS324" s="53" t="n"/>
      <c r="BT324" s="53" t="n"/>
      <c r="BU324" s="53" t="n"/>
      <c r="BV324" s="53" t="n"/>
      <c r="BW324" s="53" t="n"/>
      <c r="BX324" s="53" t="n"/>
      <c r="BY324" s="53" t="n"/>
      <c r="BZ324" s="53" t="n"/>
      <c r="CA324" s="53" t="n"/>
      <c r="CB324" s="53" t="n"/>
      <c r="CC324" s="53" t="n"/>
      <c r="CD324" s="53" t="n"/>
      <c r="CE324" s="53" t="n"/>
      <c r="CF324" s="53" t="n"/>
      <c r="CG324" s="53" t="n"/>
      <c r="CH324" s="53" t="n"/>
      <c r="CI324" s="53" t="n"/>
      <c r="CJ324" s="53" t="n"/>
      <c r="CK324" s="53" t="n"/>
      <c r="CL324" s="53" t="n"/>
      <c r="CM324" s="53" t="n"/>
      <c r="CN324" s="53" t="n"/>
      <c r="CO324" s="53" t="n"/>
      <c r="CP324" s="53" t="n"/>
      <c r="CQ324" s="53" t="n"/>
      <c r="CR324" s="53" t="n"/>
      <c r="CS324" s="53" t="n"/>
      <c r="CT324" s="53" t="n"/>
      <c r="CU324" s="53" t="n"/>
      <c r="CV324" s="53" t="n"/>
      <c r="CW324" s="53" t="n"/>
      <c r="CX324" s="53" t="n"/>
      <c r="CY324" s="53" t="n"/>
      <c r="CZ324" s="53" t="n"/>
      <c r="DA324" s="53" t="n"/>
      <c r="DB324" s="53" t="n"/>
      <c r="DC324" s="53" t="n"/>
      <c r="DD324" s="53" t="inlineStr">
        <is>
          <t>IRIS2133</t>
        </is>
      </c>
      <c r="DE324" s="53" t="inlineStr">
        <is>
          <t>Employee</t>
        </is>
      </c>
      <c r="DF324" s="53" t="inlineStr">
        <is>
          <t>Active</t>
        </is>
      </c>
      <c r="DG324" s="53" t="inlineStr">
        <is>
          <t>Pushpendra Singh</t>
        </is>
      </c>
      <c r="DH324" s="54" t="n">
        <v>45071</v>
      </c>
      <c r="DI324" s="53" t="inlineStr">
        <is>
          <t>Technical Architect</t>
        </is>
      </c>
      <c r="DJ324" s="53" t="inlineStr">
        <is>
          <t>Engineering &amp; Architecture</t>
        </is>
      </c>
      <c r="DK324" s="53" t="inlineStr">
        <is>
          <t>Solution / Software Architecture</t>
        </is>
      </c>
      <c r="DL324" s="53" t="inlineStr">
        <is>
          <t>Technical Architect</t>
        </is>
      </c>
      <c r="DM324" s="53" t="inlineStr">
        <is>
          <t>L3 – Professional / Associate</t>
        </is>
      </c>
      <c r="DN324" s="53" t="inlineStr">
        <is>
          <t>MBA</t>
        </is>
      </c>
      <c r="DO324" s="53" t="inlineStr">
        <is>
          <t>Pradip Dey</t>
        </is>
      </c>
      <c r="DP324" s="53" t="inlineStr">
        <is>
          <t>N-2</t>
        </is>
      </c>
      <c r="DQ324" s="53" t="inlineStr">
        <is>
          <t>Manager</t>
        </is>
      </c>
      <c r="DR324" s="53" t="inlineStr">
        <is>
          <t>14 years, 0 months, 0 days</t>
        </is>
      </c>
      <c r="DS324" s="53" t="inlineStr">
        <is>
          <t>3 years, 0 months, 26 days</t>
        </is>
      </c>
      <c r="DT324" s="53" t="inlineStr">
        <is>
          <t>17 years, 0 months, 26 days</t>
        </is>
      </c>
      <c r="DU324" s="53" t="n">
        <v>3.07123287671233</v>
      </c>
      <c r="DV324" s="53" t="inlineStr">
        <is>
          <t>Suptech</t>
        </is>
      </c>
      <c r="DW324" s="53" t="inlineStr">
        <is>
          <t>iFile</t>
        </is>
      </c>
      <c r="DX324" s="53" t="inlineStr">
        <is>
          <t>Technology</t>
        </is>
      </c>
      <c r="DY324" s="53" t="inlineStr">
        <is>
          <t>Development</t>
        </is>
      </c>
      <c r="DZ324" s="53" t="inlineStr">
        <is>
          <t>Yes</t>
        </is>
      </c>
      <c r="EA324" s="53" t="inlineStr">
        <is>
          <t>Product/Project</t>
        </is>
      </c>
      <c r="EB324" s="53" t="inlineStr">
        <is>
          <t>Java</t>
        </is>
      </c>
      <c r="EC324" s="53" t="inlineStr">
        <is>
          <t>Technical - Developer</t>
        </is>
      </c>
      <c r="ED324" s="53" t="inlineStr">
        <is>
          <t>Remote - Mumbai</t>
        </is>
      </c>
      <c r="EE324" s="53" t="n"/>
      <c r="EF324" s="53" t="inlineStr">
        <is>
          <t>1. Validator
Work towards improving performance of validator product and coverage. Set target and present metrics
Ensure Validator product is ready for entry in the Europe market at the minimum
Provide ongoing support for various implementations as per defined SLA
Other ongoing activities - XII certifications, XULE processing engine, processing of large instances etc. 
Prepare and facilitate review of SLA reports for overall ideas
2. Product Roadmap and team
Develop roadmap for validator product 
Present roadmap to the senior leadership along with relevant metrics for deciding on the next steps by Q1
Ensure team members are mentored/coached effectively and they are able to operate at a higher level of efficiency
3. Next Steps 
TBD based on #2</t>
        </is>
      </c>
      <c r="EG324" s="53" t="inlineStr">
        <is>
          <t>Completion of improvements needed for Europe market readiness
Roadmap completion for Validator product for the next year</t>
        </is>
      </c>
      <c r="EH324" s="53" t="inlineStr">
        <is>
          <t>Meets Expectations</t>
        </is>
      </c>
      <c r="EI324" s="54" t="n">
        <v>45931</v>
      </c>
      <c r="EJ324" s="53" t="inlineStr">
        <is>
          <t>Technical Architect</t>
        </is>
      </c>
      <c r="EK324" s="53" t="n"/>
      <c r="EL324" s="53" t="n">
        <v>4</v>
      </c>
      <c r="EM324" s="53" t="inlineStr">
        <is>
          <t>Medium</t>
        </is>
      </c>
      <c r="EN324" s="53" t="inlineStr">
        <is>
          <t>Core Contributor</t>
        </is>
      </c>
      <c r="EO324" s="53" t="n"/>
      <c r="EP324" s="53" t="inlineStr">
        <is>
          <t>N</t>
        </is>
      </c>
      <c r="EQ324" s="53" t="inlineStr">
        <is>
          <t>Y</t>
        </is>
      </c>
      <c r="ER324" s="53" t="n"/>
      <c r="ES324" s="53" t="inlineStr">
        <is>
          <t>TOGAF</t>
        </is>
      </c>
      <c r="ET324" s="53" t="n"/>
      <c r="EU324" s="53" t="inlineStr">
        <is>
          <t>IFSCA</t>
        </is>
      </c>
      <c r="EV324" s="53" t="n"/>
      <c r="EW324" s="52" t="n"/>
      <c r="EX324" s="53" t="n"/>
      <c r="EY324" s="53" t="n"/>
      <c r="EZ324" s="53" t="n"/>
      <c r="FA324" s="53" t="n"/>
      <c r="FB324" s="53" t="n"/>
      <c r="FC324" s="53" t="n"/>
      <c r="FD324" s="53" t="n"/>
      <c r="FE324" s="57" t="inlineStr">
        <is>
          <t>1. Validator
Work towards improving performance of validator product and coverage. Set target and present metrics
Ensure Validator product is ready for entry in the Europe market at the minimum
Provide ongoing support for various implementations as per defined SLA
Other ongoing activities - XII certifications, XULE processing engine, processing of large instances etc. 
Prepare and facilitate review of SLA reports for overall ideas
2. Product Roadmap and team
Develop roadmap for validator product 
Present roadmap to the senior leadership along with relevant metrics for deciding on the next steps by Q1
Ensure team members are mentored/coached effectively and they are able to operate at a higher level of efficiency
3. Next Steps 
TBD based on #2</t>
        </is>
      </c>
      <c r="FF324" s="56" t="inlineStr">
        <is>
          <t>Completion of improvements needed for Europe market readiness
Roadmap completion for Validator product for the next year</t>
        </is>
      </c>
      <c r="FG324" s="56" t="n"/>
      <c r="FH324" s="56" t="inlineStr">
        <is>
          <t>Meets Expectations</t>
        </is>
      </c>
      <c r="FI324" s="56" t="n"/>
      <c r="FJ324" s="56" t="inlineStr">
        <is>
          <t>Received · manager annual, quarterly</t>
        </is>
      </c>
      <c r="FK324" s="56" t="inlineStr">
        <is>
          <t>Talent Mapping · iFile collated</t>
        </is>
      </c>
      <c r="FL324" s="56" t="n">
        <v>20</v>
      </c>
      <c r="FM324" s="32" t="inlineStr">
        <is>
          <t>Full survey answers not in the files received · How We Grow export needed · HR</t>
        </is>
      </c>
      <c r="FN324" s="56" t="inlineStr">
        <is>
          <t>—</t>
        </is>
      </c>
      <c r="FO324" s="56" t="inlineStr">
        <is>
          <t>—</t>
        </is>
      </c>
      <c r="FP324" s="56" t="inlineStr">
        <is>
          <t>—</t>
        </is>
      </c>
      <c r="FQ324" s="56" t="inlineStr">
        <is>
          <t>—</t>
        </is>
      </c>
      <c r="FR324" s="56" t="inlineStr">
        <is>
          <t>Complexity: Evidence reads like B2: Application and core component design, security, performance tuning, evaluating new libraries for the validator product → moved down 0.5
Autonomy: Evidence reads like B1: Decides on build failures, feature breaks and adding automation for the product → moved down 0.5
Accountability: Evidence reads like B1: own survey / KRA answers · summarised by the rater; not quoted → moved down 0.5
Leadership: Evidence reads like A3: No leadership described; 3 direct reports and KRA expects mentoring of team members → moved down 0.5
Business Impact: Moved +0.5: the survey / manager mapping marks it business-critical.</t>
        </is>
      </c>
      <c r="FS324" s="56" t="inlineStr">
        <is>
          <t>Common themes in role-holders' answers: technical · client · design · understanding · solution · application
Common themes in role-holders' answers: client · documentation · technical · solution · requirement · meeting
Common themes in role-holders' answers: solution · architecture · design
Common themes in role-holders' answers: client · if · solution · architecture · design · technical
Common themes in role-holders' answers: approach
If the work is missed · role-holders' themes: client · time.
Measured on · manager-set KRA themes: support · technical · project · completion · develop · year.</t>
        </is>
      </c>
      <c r="FT324" s="56" t="inlineStr">
        <is>
          <t>Self-identified: AI / automation · Technical depth &amp; architecture · Product &amp; tool knowledge
For the next role: AI / automation · Technical depth &amp; architecture · Product &amp; tool knowledge</t>
        </is>
      </c>
      <c r="FU324" s="32" t="inlineStr">
        <is>
          <t>Full survey answers not in the files received · How We Grow export needed · HR</t>
        </is>
      </c>
    </row>
    <row r="325" ht="90" customHeight="1">
      <c r="A325" s="51" t="inlineStr">
        <is>
          <t>◂ Back</t>
        </is>
      </c>
      <c r="B325" s="29" t="inlineStr">
        <is>
          <t>Mapped</t>
        </is>
      </c>
      <c r="C325" s="28" t="inlineStr">
        <is>
          <t>iFile</t>
        </is>
      </c>
      <c r="D325" s="29" t="inlineStr">
        <is>
          <t>IRIS2257</t>
        </is>
      </c>
      <c r="E325" s="29" t="inlineStr">
        <is>
          <t>Rudransh Nemade</t>
        </is>
      </c>
      <c r="F325" s="29" t="inlineStr">
        <is>
          <t>Technology</t>
        </is>
      </c>
      <c r="G325" s="29" t="inlineStr">
        <is>
          <t>Trainee Software Engineer</t>
        </is>
      </c>
      <c r="H325" s="29" t="inlineStr">
        <is>
          <t>Senior Software Engineer</t>
        </is>
      </c>
      <c r="I325" s="29" t="inlineStr">
        <is>
          <t>L2 – Trainee</t>
        </is>
      </c>
      <c r="J325" s="29" t="inlineStr">
        <is>
          <t>A3</t>
        </is>
      </c>
      <c r="K325" s="29" t="inlineStr">
        <is>
          <t>▲ Up</t>
        </is>
      </c>
      <c r="L325" s="29" t="inlineStr">
        <is>
          <t>Engineering &amp; Development</t>
        </is>
      </c>
      <c r="M325" s="29" t="inlineStr">
        <is>
          <t>Full-Stack Development</t>
        </is>
      </c>
      <c r="N325" s="29" t="n"/>
      <c r="O325" s="29" t="n">
        <v>20</v>
      </c>
      <c r="P325" s="28" t="inlineStr">
        <is>
          <t>P2</t>
        </is>
      </c>
      <c r="Q325" s="29" t="inlineStr">
        <is>
          <t>Developing</t>
        </is>
      </c>
      <c r="R325" s="29" t="inlineStr">
        <is>
          <t>3 Apply</t>
        </is>
      </c>
      <c r="S325" s="29" t="inlineStr">
        <is>
          <t>2–4 yrs</t>
        </is>
      </c>
      <c r="T325" s="29" t="inlineStr">
        <is>
          <t>3–5 · 2–5</t>
        </is>
      </c>
      <c r="U325" s="29" t="inlineStr">
        <is>
          <t>Software Engineer</t>
        </is>
      </c>
      <c r="V325" s="29" t="inlineStr">
        <is>
          <t>Workiva: SE · Broadridge India: SE · Nasdaq / AxiomSL: SE · Salesforce: MTS · Atlassian: P40 · 3–7 yrs · Freshworks: Senior SE</t>
        </is>
      </c>
      <c r="W325" s="29" t="inlineStr">
        <is>
          <t>SFIA 9 · software development, programming; OWASP secure coding; cloud vendor certifications</t>
        </is>
      </c>
      <c r="X325" s="29" t="inlineStr">
        <is>
          <t>Core 2 · Future 2 · Functional 3 · Leadership not scored</t>
        </is>
      </c>
      <c r="Y325" s="52" t="n">
        <v>320</v>
      </c>
      <c r="Z325" s="53" t="inlineStr">
        <is>
          <t>IRIS2257</t>
        </is>
      </c>
      <c r="AA325" s="53" t="inlineStr">
        <is>
          <t>Employee</t>
        </is>
      </c>
      <c r="AB325" s="53" t="inlineStr">
        <is>
          <t>Active</t>
        </is>
      </c>
      <c r="AC325" s="53" t="inlineStr">
        <is>
          <t>Rudransh Nemade</t>
        </is>
      </c>
      <c r="AD325" s="54" t="n">
        <v>45446</v>
      </c>
      <c r="AE325" s="53" t="inlineStr">
        <is>
          <t>Trainee Software Engineer</t>
        </is>
      </c>
      <c r="AF325" s="53" t="inlineStr">
        <is>
          <t>B.E</t>
        </is>
      </c>
      <c r="AG325" s="53" t="inlineStr">
        <is>
          <t>Pushpendra Singh</t>
        </is>
      </c>
      <c r="AH325" s="53" t="inlineStr">
        <is>
          <t>N-4</t>
        </is>
      </c>
      <c r="AI325" s="53" t="inlineStr">
        <is>
          <t>Individual Contributor</t>
        </is>
      </c>
      <c r="AJ325" s="53" t="inlineStr">
        <is>
          <t>0 years, 0 months, 0 days</t>
        </is>
      </c>
      <c r="AK325" s="53" t="inlineStr">
        <is>
          <t>2 years, 2 months, 22 days</t>
        </is>
      </c>
      <c r="AL325" s="53" t="inlineStr">
        <is>
          <t>Suptech</t>
        </is>
      </c>
      <c r="AM325" s="53" t="inlineStr">
        <is>
          <t>iFile</t>
        </is>
      </c>
      <c r="AN325" s="53" t="inlineStr">
        <is>
          <t>Technology</t>
        </is>
      </c>
      <c r="AO325" s="53" t="inlineStr">
        <is>
          <t>Development</t>
        </is>
      </c>
      <c r="AP325" s="53" t="inlineStr">
        <is>
          <t>Yes</t>
        </is>
      </c>
      <c r="AQ325" s="53" t="inlineStr">
        <is>
          <t>Product/Project</t>
        </is>
      </c>
      <c r="AR325" s="53" t="inlineStr">
        <is>
          <t>Java + Angular</t>
        </is>
      </c>
      <c r="AS325" s="53" t="inlineStr">
        <is>
          <t>Technical - Developer</t>
        </is>
      </c>
      <c r="AT325" s="53" t="n">
        <v>20</v>
      </c>
      <c r="AU325" s="53" t="inlineStr">
        <is>
          <t>Covered</t>
        </is>
      </c>
      <c r="AV325" s="53" t="n"/>
      <c r="AW325" s="53" t="n"/>
      <c r="AX325" s="53" t="n"/>
      <c r="AY325" s="53" t="n"/>
      <c r="AZ325" s="53" t="n"/>
      <c r="BA325" s="53" t="n"/>
      <c r="BB325" s="53" t="n"/>
      <c r="BC325" s="53" t="n"/>
      <c r="BD325" s="53" t="n"/>
      <c r="BE325" s="53" t="n"/>
      <c r="BF325" s="53" t="n"/>
      <c r="BG325" s="53" t="n"/>
      <c r="BH325" s="53" t="n"/>
      <c r="BI325" s="53" t="n"/>
      <c r="BJ325" s="53" t="n"/>
      <c r="BK325" s="53" t="n"/>
      <c r="BL325" s="53" t="n"/>
      <c r="BM325" s="53" t="n"/>
      <c r="BN325" s="53" t="n"/>
      <c r="BO325" s="53" t="n"/>
      <c r="BP325" s="53" t="n"/>
      <c r="BQ325" s="53" t="n"/>
      <c r="BR325" s="53" t="n"/>
      <c r="BS325" s="53" t="n"/>
      <c r="BT325" s="53" t="n"/>
      <c r="BU325" s="53" t="n"/>
      <c r="BV325" s="53" t="n"/>
      <c r="BW325" s="53" t="n"/>
      <c r="BX325" s="53" t="n"/>
      <c r="BY325" s="53" t="n"/>
      <c r="BZ325" s="53" t="n"/>
      <c r="CA325" s="53" t="n"/>
      <c r="CB325" s="53" t="n"/>
      <c r="CC325" s="53" t="n"/>
      <c r="CD325" s="53" t="n"/>
      <c r="CE325" s="53" t="n"/>
      <c r="CF325" s="53" t="n"/>
      <c r="CG325" s="53" t="n"/>
      <c r="CH325" s="53" t="n"/>
      <c r="CI325" s="53" t="n"/>
      <c r="CJ325" s="53" t="n"/>
      <c r="CK325" s="53" t="n"/>
      <c r="CL325" s="53" t="n"/>
      <c r="CM325" s="53" t="n"/>
      <c r="CN325" s="53" t="n"/>
      <c r="CO325" s="53" t="n"/>
      <c r="CP325" s="53" t="n"/>
      <c r="CQ325" s="53" t="n"/>
      <c r="CR325" s="53" t="n"/>
      <c r="CS325" s="53" t="n"/>
      <c r="CT325" s="53" t="n"/>
      <c r="CU325" s="53" t="n"/>
      <c r="CV325" s="53" t="n"/>
      <c r="CW325" s="53" t="n"/>
      <c r="CX325" s="53" t="n"/>
      <c r="CY325" s="53" t="n"/>
      <c r="CZ325" s="53" t="n"/>
      <c r="DA325" s="53" t="n"/>
      <c r="DB325" s="53" t="n"/>
      <c r="DC325" s="53" t="n"/>
      <c r="DD325" s="53" t="inlineStr">
        <is>
          <t>IRIS2257</t>
        </is>
      </c>
      <c r="DE325" s="53" t="inlineStr">
        <is>
          <t>Employee</t>
        </is>
      </c>
      <c r="DF325" s="53" t="inlineStr">
        <is>
          <t>Active</t>
        </is>
      </c>
      <c r="DG325" s="53" t="inlineStr">
        <is>
          <t>Rudransh Nemade</t>
        </is>
      </c>
      <c r="DH325" s="54" t="n">
        <v>45446</v>
      </c>
      <c r="DI325" s="53" t="inlineStr">
        <is>
          <t>Trainee Software Engineer</t>
        </is>
      </c>
      <c r="DJ325" s="53" t="inlineStr">
        <is>
          <t>Engineering &amp; Development</t>
        </is>
      </c>
      <c r="DK325" s="53" t="inlineStr">
        <is>
          <t>Backend Engineering · Java</t>
        </is>
      </c>
      <c r="DL325" s="53" t="inlineStr">
        <is>
          <t>Trainee Software Engineer</t>
        </is>
      </c>
      <c r="DM325" s="53" t="inlineStr">
        <is>
          <t>L2 – Trainee</t>
        </is>
      </c>
      <c r="DN325" s="53" t="inlineStr">
        <is>
          <t>B.E</t>
        </is>
      </c>
      <c r="DO325" s="53" t="inlineStr">
        <is>
          <t>Pushpendra Singh</t>
        </is>
      </c>
      <c r="DP325" s="53" t="inlineStr">
        <is>
          <t>N-3</t>
        </is>
      </c>
      <c r="DQ325" s="53" t="inlineStr">
        <is>
          <t>Individual Contributor</t>
        </is>
      </c>
      <c r="DR325" s="53" t="inlineStr">
        <is>
          <t>0 years, 0 months, 0 days</t>
        </is>
      </c>
      <c r="DS325" s="53" t="inlineStr">
        <is>
          <t>2 years, 0 months, 17 days</t>
        </is>
      </c>
      <c r="DT325" s="53" t="inlineStr">
        <is>
          <t>2 years, 0 months, 17 days</t>
        </is>
      </c>
      <c r="DU325" s="53" t="n"/>
      <c r="DV325" s="53" t="inlineStr">
        <is>
          <t>Suptech</t>
        </is>
      </c>
      <c r="DW325" s="53" t="inlineStr">
        <is>
          <t>iFile</t>
        </is>
      </c>
      <c r="DX325" s="53" t="inlineStr">
        <is>
          <t>Technology</t>
        </is>
      </c>
      <c r="DY325" s="53" t="inlineStr">
        <is>
          <t>Development</t>
        </is>
      </c>
      <c r="DZ325" s="53" t="inlineStr">
        <is>
          <t>Yes</t>
        </is>
      </c>
      <c r="EA325" s="53" t="inlineStr">
        <is>
          <t>Product/Project</t>
        </is>
      </c>
      <c r="EB325" s="53" t="inlineStr">
        <is>
          <t>Java + Angular</t>
        </is>
      </c>
      <c r="EC325" s="53" t="inlineStr">
        <is>
          <t>Technical - Developer</t>
        </is>
      </c>
      <c r="ED325" s="53" t="inlineStr">
        <is>
          <t>Work From Office - Turbhe</t>
        </is>
      </c>
      <c r="EE325" s="53" t="n"/>
      <c r="EF325"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325"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H325" s="53" t="n">
        <v>3</v>
      </c>
      <c r="EI325" s="54" t="n">
        <v>45918</v>
      </c>
      <c r="EJ325" s="53" t="inlineStr">
        <is>
          <t>Trainee Software Engineer</t>
        </is>
      </c>
      <c r="EK325" s="53" t="n"/>
      <c r="EL325" s="53" t="n">
        <v>4</v>
      </c>
      <c r="EM325" s="53" t="inlineStr">
        <is>
          <t>Medium</t>
        </is>
      </c>
      <c r="EN325" s="53" t="inlineStr">
        <is>
          <t>Emerging Talent</t>
        </is>
      </c>
      <c r="EO325" s="53" t="inlineStr">
        <is>
          <t>No</t>
        </is>
      </c>
      <c r="EP325" s="53" t="inlineStr">
        <is>
          <t>No</t>
        </is>
      </c>
      <c r="EQ325" s="53" t="inlineStr">
        <is>
          <t>No</t>
        </is>
      </c>
      <c r="ER325" s="53" t="n"/>
      <c r="ES325" s="53" t="inlineStr">
        <is>
          <t>Advanced Java ;secure coding &amp; code-quality practices; unit/automated testing; system design fundamentals</t>
        </is>
      </c>
      <c r="ET325" s="53" t="inlineStr">
        <is>
          <t>Transition to leadership: people management &amp; delegation, mentoring/coaching, project ownership &amp; stakeholder management, prioritisation under ambiguity, presentation &amp; influence skills</t>
        </is>
      </c>
      <c r="EU325" s="53" t="n"/>
      <c r="EV325" s="53" t="n"/>
      <c r="EW325" s="52" t="n"/>
      <c r="EX325" s="53" t="n"/>
      <c r="EY325" s="53" t="n"/>
      <c r="EZ325" s="53" t="n"/>
      <c r="FA325" s="53" t="n"/>
      <c r="FB325" s="53" t="n"/>
      <c r="FC325" s="53" t="n"/>
      <c r="FD325" s="53" t="n"/>
      <c r="FE325"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325"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FG325" s="56" t="n"/>
      <c r="FH325" s="56" t="inlineStr">
        <is>
          <t>3</t>
        </is>
      </c>
      <c r="FI325" s="56" t="n"/>
      <c r="FJ325" s="56" t="inlineStr">
        <is>
          <t>Received · manager annual, quarterly</t>
        </is>
      </c>
      <c r="FK325" s="56" t="inlineStr">
        <is>
          <t>Talent Mapping · iFile collated</t>
        </is>
      </c>
      <c r="FL325" s="56" t="n">
        <v>20</v>
      </c>
      <c r="FM325" s="32" t="inlineStr">
        <is>
          <t>Full survey answers not in the files received · How We Grow export needed · HR</t>
        </is>
      </c>
      <c r="FN325" s="56" t="inlineStr">
        <is>
          <t>—</t>
        </is>
      </c>
      <c r="FO325" s="56" t="inlineStr">
        <is>
          <t>—</t>
        </is>
      </c>
      <c r="FP325" s="56" t="inlineStr">
        <is>
          <t>—</t>
        </is>
      </c>
      <c r="FQ325" s="56" t="inlineStr">
        <is>
          <t>—</t>
        </is>
      </c>
      <c r="FR325" s="56" t="inlineStr">
        <is>
          <t>Complexity: Evidence reads like B1: Sole developer of CSV validator; builds engines for XBRL conformance suites, table constraints, XULE → moved up 1
Autonomy: Evidence reads like A2: Only test cases and documentation named as independent decisions → moved up 0.5
Accountability: Evidence reads like A3: own survey / KRA answers · summarised by the rater; not quoted → moved up 1
Leadership: Evidence reads like A1: None described → matches the start
Business Impact: No survey or manager-mapping signal on criticality: kept at the start point.</t>
        </is>
      </c>
      <c r="FS325" s="56"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FT325" s="56" t="inlineStr">
        <is>
          <t>Self-identified: Answered · no common topic
For the next role: Answered · no common topic</t>
        </is>
      </c>
      <c r="FU325" s="32" t="inlineStr">
        <is>
          <t>Full survey answers not in the files received · How We Grow export needed · HR</t>
        </is>
      </c>
    </row>
    <row r="326" ht="90" customHeight="1">
      <c r="A326" s="51" t="inlineStr">
        <is>
          <t>◂ Back</t>
        </is>
      </c>
      <c r="B326" s="29" t="inlineStr">
        <is>
          <t>Mapped</t>
        </is>
      </c>
      <c r="C326" s="28" t="inlineStr">
        <is>
          <t>iFile</t>
        </is>
      </c>
      <c r="D326" s="29" t="inlineStr">
        <is>
          <t>IRIS2183</t>
        </is>
      </c>
      <c r="E326" s="29" t="inlineStr">
        <is>
          <t>Saikiran Rowlo</t>
        </is>
      </c>
      <c r="F326" s="29" t="inlineStr">
        <is>
          <t>Technology</t>
        </is>
      </c>
      <c r="G326" s="29" t="inlineStr">
        <is>
          <t>Junior Software Engineer</t>
        </is>
      </c>
      <c r="H326" s="29" t="inlineStr">
        <is>
          <t>Senior Software Engineer</t>
        </is>
      </c>
      <c r="I326" s="29" t="inlineStr">
        <is>
          <t>L3 – Professional / Associate</t>
        </is>
      </c>
      <c r="J326" s="29" t="inlineStr">
        <is>
          <t>A3</t>
        </is>
      </c>
      <c r="K326" s="29" t="inlineStr">
        <is>
          <t>▲ Up</t>
        </is>
      </c>
      <c r="L326" s="29" t="inlineStr">
        <is>
          <t>Engineering &amp; Development</t>
        </is>
      </c>
      <c r="M326" s="29" t="inlineStr">
        <is>
          <t>Backend Development</t>
        </is>
      </c>
      <c r="N326" s="29" t="n"/>
      <c r="O326" s="29" t="n">
        <v>17</v>
      </c>
      <c r="P326" s="28" t="inlineStr">
        <is>
          <t>P2</t>
        </is>
      </c>
      <c r="Q326" s="29" t="inlineStr">
        <is>
          <t>Developing</t>
        </is>
      </c>
      <c r="R326" s="29" t="inlineStr">
        <is>
          <t>3 Apply</t>
        </is>
      </c>
      <c r="S326" s="29" t="inlineStr">
        <is>
          <t>2–4 yrs</t>
        </is>
      </c>
      <c r="T326" s="29" t="inlineStr">
        <is>
          <t>3–5 · 2–5</t>
        </is>
      </c>
      <c r="U326" s="29" t="inlineStr">
        <is>
          <t>Software Engineer</t>
        </is>
      </c>
      <c r="V326" s="29" t="inlineStr">
        <is>
          <t>Workiva: SE · Broadridge India: SE · Nasdaq / AxiomSL: SE · Salesforce: MTS · Atlassian: P40 · 3–7 yrs · Freshworks: Senior SE</t>
        </is>
      </c>
      <c r="W326" s="29" t="inlineStr">
        <is>
          <t>SFIA 9 · software development, programming; OWASP secure coding; cloud vendor certifications</t>
        </is>
      </c>
      <c r="X326" s="29" t="inlineStr">
        <is>
          <t>Core 2 · Future 2 · Functional 3 · Leadership not scored</t>
        </is>
      </c>
      <c r="Y326" s="52" t="n">
        <v>292</v>
      </c>
      <c r="Z326" s="53" t="inlineStr">
        <is>
          <t>IRIS2183</t>
        </is>
      </c>
      <c r="AA326" s="53" t="inlineStr">
        <is>
          <t>Employee</t>
        </is>
      </c>
      <c r="AB326" s="53" t="inlineStr">
        <is>
          <t>Active</t>
        </is>
      </c>
      <c r="AC326" s="53" t="inlineStr">
        <is>
          <t>Saikiran Rowlo</t>
        </is>
      </c>
      <c r="AD326" s="54" t="n">
        <v>45180</v>
      </c>
      <c r="AE326" s="53" t="inlineStr">
        <is>
          <t>Junior Software Engineer</t>
        </is>
      </c>
      <c r="AF326" s="53" t="inlineStr">
        <is>
          <t>B.E</t>
        </is>
      </c>
      <c r="AG326" s="53" t="inlineStr">
        <is>
          <t>Pushpendra Singh</t>
        </is>
      </c>
      <c r="AH326" s="53" t="inlineStr">
        <is>
          <t>N-4</t>
        </is>
      </c>
      <c r="AI326" s="53" t="inlineStr">
        <is>
          <t>Individual Contributor</t>
        </is>
      </c>
      <c r="AJ326" s="53" t="inlineStr">
        <is>
          <t>0 years, 0 months, 0 days</t>
        </is>
      </c>
      <c r="AK326" s="53" t="inlineStr">
        <is>
          <t>2 years, 11 months, 14 days</t>
        </is>
      </c>
      <c r="AL326" s="53" t="inlineStr">
        <is>
          <t>Suptech</t>
        </is>
      </c>
      <c r="AM326" s="53" t="inlineStr">
        <is>
          <t>iFile</t>
        </is>
      </c>
      <c r="AN326" s="53" t="inlineStr">
        <is>
          <t>Technology</t>
        </is>
      </c>
      <c r="AO326" s="53" t="inlineStr">
        <is>
          <t>Development</t>
        </is>
      </c>
      <c r="AP326" s="53" t="inlineStr">
        <is>
          <t>Yes</t>
        </is>
      </c>
      <c r="AQ326" s="53" t="inlineStr">
        <is>
          <t>Product/Project</t>
        </is>
      </c>
      <c r="AR326" s="53" t="inlineStr">
        <is>
          <t>Java</t>
        </is>
      </c>
      <c r="AS326" s="53" t="inlineStr">
        <is>
          <t>Technical - Developer</t>
        </is>
      </c>
      <c r="AT326" s="53" t="n">
        <v>20</v>
      </c>
      <c r="AU326" s="53" t="inlineStr">
        <is>
          <t>Covered</t>
        </is>
      </c>
      <c r="AV326" s="53" t="n"/>
      <c r="AW326" s="53" t="n"/>
      <c r="AX326" s="53" t="n"/>
      <c r="AY326" s="53" t="n"/>
      <c r="AZ326" s="53" t="n"/>
      <c r="BA326" s="53" t="n"/>
      <c r="BB326" s="53" t="n"/>
      <c r="BC326" s="53" t="n"/>
      <c r="BD326" s="53" t="n"/>
      <c r="BE326" s="53" t="n"/>
      <c r="BF326" s="53" t="n"/>
      <c r="BG326" s="53" t="n"/>
      <c r="BH326" s="53" t="n"/>
      <c r="BI326" s="53" t="n"/>
      <c r="BJ326" s="53" t="n"/>
      <c r="BK326" s="53" t="n"/>
      <c r="BL326" s="53" t="n"/>
      <c r="BM326" s="53" t="n"/>
      <c r="BN326" s="53" t="n"/>
      <c r="BO326" s="53" t="n"/>
      <c r="BP326" s="53" t="n"/>
      <c r="BQ326" s="53" t="n"/>
      <c r="BR326" s="53" t="n"/>
      <c r="BS326" s="53" t="n"/>
      <c r="BT326" s="53" t="n"/>
      <c r="BU326" s="53" t="n"/>
      <c r="BV326" s="53" t="n"/>
      <c r="BW326" s="53" t="n"/>
      <c r="BX326" s="53" t="n"/>
      <c r="BY326" s="53" t="n"/>
      <c r="BZ326" s="53" t="n"/>
      <c r="CA326" s="53" t="n"/>
      <c r="CB326" s="53" t="n"/>
      <c r="CC326" s="53" t="n"/>
      <c r="CD326" s="53" t="n"/>
      <c r="CE326" s="53" t="n"/>
      <c r="CF326" s="53" t="n"/>
      <c r="CG326" s="53" t="n"/>
      <c r="CH326" s="53" t="n"/>
      <c r="CI326" s="53" t="n"/>
      <c r="CJ326" s="53" t="n"/>
      <c r="CK326" s="53" t="n"/>
      <c r="CL326" s="53" t="n"/>
      <c r="CM326" s="53" t="n"/>
      <c r="CN326" s="53" t="n"/>
      <c r="CO326" s="53" t="n"/>
      <c r="CP326" s="53" t="n"/>
      <c r="CQ326" s="53" t="n"/>
      <c r="CR326" s="53" t="n"/>
      <c r="CS326" s="53" t="n"/>
      <c r="CT326" s="53" t="n"/>
      <c r="CU326" s="53" t="n"/>
      <c r="CV326" s="53" t="n"/>
      <c r="CW326" s="53" t="n"/>
      <c r="CX326" s="53" t="n"/>
      <c r="CY326" s="53" t="n"/>
      <c r="CZ326" s="53" t="n"/>
      <c r="DA326" s="53" t="n"/>
      <c r="DB326" s="53" t="n"/>
      <c r="DC326" s="53" t="n"/>
      <c r="DD326" s="53" t="inlineStr">
        <is>
          <t>IRIS2183</t>
        </is>
      </c>
      <c r="DE326" s="53" t="inlineStr">
        <is>
          <t>Employee</t>
        </is>
      </c>
      <c r="DF326" s="53" t="inlineStr">
        <is>
          <t>Active</t>
        </is>
      </c>
      <c r="DG326" s="53" t="inlineStr">
        <is>
          <t>Saikiran Rowlo</t>
        </is>
      </c>
      <c r="DH326" s="54" t="n">
        <v>45180</v>
      </c>
      <c r="DI326" s="53" t="inlineStr">
        <is>
          <t>Junior Software Engineer</t>
        </is>
      </c>
      <c r="DJ326" s="53" t="inlineStr">
        <is>
          <t>Engineering &amp; Development</t>
        </is>
      </c>
      <c r="DK326" s="53" t="inlineStr">
        <is>
          <t>Backend Engineering · Java</t>
        </is>
      </c>
      <c r="DL326" s="53" t="inlineStr">
        <is>
          <t>Junior Software Engineer</t>
        </is>
      </c>
      <c r="DM326" s="53" t="inlineStr">
        <is>
          <t>L3 – Professional / Associate</t>
        </is>
      </c>
      <c r="DN326" s="53" t="inlineStr">
        <is>
          <t>B.E</t>
        </is>
      </c>
      <c r="DO326" s="53" t="inlineStr">
        <is>
          <t>Pushpendra Singh</t>
        </is>
      </c>
      <c r="DP326" s="53" t="inlineStr">
        <is>
          <t>N-3</t>
        </is>
      </c>
      <c r="DQ326" s="53" t="inlineStr">
        <is>
          <t>Individual Contributor</t>
        </is>
      </c>
      <c r="DR326" s="53" t="inlineStr">
        <is>
          <t>0 years, 0 months, 0 days</t>
        </is>
      </c>
      <c r="DS326" s="53" t="inlineStr">
        <is>
          <t>2 years, 9 months, 9 days</t>
        </is>
      </c>
      <c r="DT326" s="53" t="inlineStr">
        <is>
          <t>2 years, 9 months, 9 days</t>
        </is>
      </c>
      <c r="DU326" s="53" t="n"/>
      <c r="DV326" s="53" t="inlineStr">
        <is>
          <t>Suptech</t>
        </is>
      </c>
      <c r="DW326" s="53" t="inlineStr">
        <is>
          <t>iFile</t>
        </is>
      </c>
      <c r="DX326" s="53" t="inlineStr">
        <is>
          <t>Technology</t>
        </is>
      </c>
      <c r="DY326" s="53" t="inlineStr">
        <is>
          <t>Development</t>
        </is>
      </c>
      <c r="DZ326" s="53" t="inlineStr">
        <is>
          <t>Yes</t>
        </is>
      </c>
      <c r="EA326" s="53" t="inlineStr">
        <is>
          <t>Product/Project</t>
        </is>
      </c>
      <c r="EB326" s="53" t="inlineStr">
        <is>
          <t>Java</t>
        </is>
      </c>
      <c r="EC326" s="53" t="inlineStr">
        <is>
          <t>Technical - Developer</t>
        </is>
      </c>
      <c r="ED326" s="53" t="inlineStr">
        <is>
          <t>Work From Office - Turbhe</t>
        </is>
      </c>
      <c r="EE326" s="53" t="n"/>
      <c r="EF326"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326"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H326" s="53" t="n">
        <v>3</v>
      </c>
      <c r="EI326" s="54" t="n">
        <v>45917</v>
      </c>
      <c r="EJ326" s="53" t="inlineStr">
        <is>
          <t>Junior Software Engineer</t>
        </is>
      </c>
      <c r="EK326" s="53" t="n"/>
      <c r="EL326" s="53" t="n">
        <v>4</v>
      </c>
      <c r="EM326" s="53" t="inlineStr">
        <is>
          <t>Medium</t>
        </is>
      </c>
      <c r="EN326" s="53" t="inlineStr">
        <is>
          <t>Emerging Talent</t>
        </is>
      </c>
      <c r="EO326" s="53" t="inlineStr">
        <is>
          <t>No</t>
        </is>
      </c>
      <c r="EP326" s="53" t="inlineStr">
        <is>
          <t>No</t>
        </is>
      </c>
      <c r="EQ326" s="53" t="inlineStr">
        <is>
          <t>No</t>
        </is>
      </c>
      <c r="ER326" s="53" t="n"/>
      <c r="ES326" s="53" t="inlineStr">
        <is>
          <t>Advanced Java; secure coding &amp; code-quality practices; unit/automated testing; system design fundamentals</t>
        </is>
      </c>
      <c r="ET326" s="53" t="inlineStr">
        <is>
          <t>Transition to leadership: people management &amp; delegation, mentoring/coaching, project ownership &amp; stakeholder management, prioritisation under ambiguity, presentation &amp; influence skills</t>
        </is>
      </c>
      <c r="EU326" s="53" t="n"/>
      <c r="EV326" s="53" t="n"/>
      <c r="EW326" s="52" t="n"/>
      <c r="EX326" s="53" t="n"/>
      <c r="EY326" s="53" t="n"/>
      <c r="EZ326" s="53" t="n"/>
      <c r="FA326" s="53" t="n"/>
      <c r="FB326" s="53" t="n"/>
      <c r="FC326" s="53" t="n"/>
      <c r="FD326" s="53" t="n"/>
      <c r="FE326"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326"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FG326" s="56" t="n"/>
      <c r="FH326" s="56" t="inlineStr">
        <is>
          <t>3</t>
        </is>
      </c>
      <c r="FI326" s="56" t="n"/>
      <c r="FJ326" s="56" t="inlineStr">
        <is>
          <t>Received · manager annual, quarterly</t>
        </is>
      </c>
      <c r="FK326" s="56" t="inlineStr">
        <is>
          <t>Talent Mapping · iFile collated</t>
        </is>
      </c>
      <c r="FL326" s="56" t="n">
        <v>17</v>
      </c>
      <c r="FM326" s="32" t="inlineStr">
        <is>
          <t>Full survey answers not in the files received · How We Grow export needed · HR</t>
        </is>
      </c>
      <c r="FN326" s="56" t="inlineStr">
        <is>
          <t>—</t>
        </is>
      </c>
      <c r="FO326" s="56" t="inlineStr">
        <is>
          <t>—</t>
        </is>
      </c>
      <c r="FP326" s="56" t="inlineStr">
        <is>
          <t>—</t>
        </is>
      </c>
      <c r="FQ326" s="56" t="inlineStr">
        <is>
          <t>—</t>
        </is>
      </c>
      <c r="FR326" s="56" t="inlineStr">
        <is>
          <t>Complexity: Evidence reads like A2: Develops and maintains one application, handles support issues, applies XBRL specification updates → matches the start
Autonomy: Evidence reads like A2: Decides on support issues only → matches the start
Accountability: Evidence reads like A3: Maintains the application's codebase and its support; must fix and redeliver quickly → moved up 0.5
Leadership: Evidence reads like A1: No guidance of others described → matches the start
Business Impact: No move: the survey / manager mapping does not mark it business-critical or unique.</t>
        </is>
      </c>
      <c r="FS326"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326" s="56" t="inlineStr">
        <is>
          <t>Self-identified: AI / automation
For the next role: AI / automation</t>
        </is>
      </c>
      <c r="FU326" s="32" t="inlineStr">
        <is>
          <t>Full survey answers not in the files received · How We Grow export needed · HR</t>
        </is>
      </c>
    </row>
    <row r="327" ht="90" customHeight="1">
      <c r="A327" s="51" t="inlineStr">
        <is>
          <t>◂ Back</t>
        </is>
      </c>
      <c r="B327" s="29" t="inlineStr">
        <is>
          <t>Mapped</t>
        </is>
      </c>
      <c r="C327" s="28" t="inlineStr">
        <is>
          <t>iFile</t>
        </is>
      </c>
      <c r="D327" s="29" t="inlineStr">
        <is>
          <t>IRIS1871</t>
        </is>
      </c>
      <c r="E327" s="29" t="inlineStr">
        <is>
          <t>Sandeep Mehta</t>
        </is>
      </c>
      <c r="F327" s="29" t="inlineStr">
        <is>
          <t>Technology</t>
        </is>
      </c>
      <c r="G327" s="29" t="inlineStr">
        <is>
          <t>Software Engineer</t>
        </is>
      </c>
      <c r="H327" s="29" t="inlineStr">
        <is>
          <t>Senior Software Engineer</t>
        </is>
      </c>
      <c r="I327" s="29" t="inlineStr">
        <is>
          <t>L3 – Professional / Associate</t>
        </is>
      </c>
      <c r="J327" s="29" t="inlineStr">
        <is>
          <t>A3</t>
        </is>
      </c>
      <c r="K327" s="29" t="inlineStr">
        <is>
          <t>▲ Up</t>
        </is>
      </c>
      <c r="L327" s="29" t="inlineStr">
        <is>
          <t>Engineering &amp; Development</t>
        </is>
      </c>
      <c r="M327" s="29" t="inlineStr">
        <is>
          <t>Backend Development</t>
        </is>
      </c>
      <c r="N327" s="29" t="n"/>
      <c r="O327" s="29" t="n">
        <v>20</v>
      </c>
      <c r="P327" s="28" t="inlineStr">
        <is>
          <t>P2</t>
        </is>
      </c>
      <c r="Q327" s="29" t="inlineStr">
        <is>
          <t>Developing</t>
        </is>
      </c>
      <c r="R327" s="29" t="inlineStr">
        <is>
          <t>3 Apply</t>
        </is>
      </c>
      <c r="S327" s="29" t="inlineStr">
        <is>
          <t>2–4 yrs</t>
        </is>
      </c>
      <c r="T327" s="29" t="inlineStr">
        <is>
          <t>3–5 · 2–5</t>
        </is>
      </c>
      <c r="U327" s="29" t="inlineStr">
        <is>
          <t>Software Engineer</t>
        </is>
      </c>
      <c r="V327" s="29" t="inlineStr">
        <is>
          <t>Workiva: SE · Broadridge India: SE · Nasdaq / AxiomSL: SE · Salesforce: MTS · Atlassian: P40 · 3–7 yrs · Freshworks: Senior SE</t>
        </is>
      </c>
      <c r="W327" s="29" t="inlineStr">
        <is>
          <t>SFIA 9 · software development, programming; OWASP secure coding; cloud vendor certifications</t>
        </is>
      </c>
      <c r="X327" s="29" t="inlineStr">
        <is>
          <t>Core 2 · Future 2 · Functional 3 · Leadership not scored</t>
        </is>
      </c>
      <c r="Y327" s="52" t="n">
        <v>169</v>
      </c>
      <c r="Z327" s="53" t="inlineStr">
        <is>
          <t>IRIS1871</t>
        </is>
      </c>
      <c r="AA327" s="53" t="inlineStr">
        <is>
          <t>Employee</t>
        </is>
      </c>
      <c r="AB327" s="53" t="inlineStr">
        <is>
          <t>Active</t>
        </is>
      </c>
      <c r="AC327" s="53" t="inlineStr">
        <is>
          <t>Sandeep Mehta</t>
        </is>
      </c>
      <c r="AD327" s="54" t="n">
        <v>44081</v>
      </c>
      <c r="AE327" s="53" t="inlineStr">
        <is>
          <t>Software Engineer</t>
        </is>
      </c>
      <c r="AF327" s="53" t="inlineStr">
        <is>
          <t>B.Tech</t>
        </is>
      </c>
      <c r="AG327" s="53" t="inlineStr">
        <is>
          <t>Pushpendra Singh</t>
        </is>
      </c>
      <c r="AH327" s="53" t="inlineStr">
        <is>
          <t>N-4</t>
        </is>
      </c>
      <c r="AI327" s="53" t="inlineStr">
        <is>
          <t>Individual Contributor</t>
        </is>
      </c>
      <c r="AJ327" s="53" t="inlineStr">
        <is>
          <t>0 years, 0 months, 0 days</t>
        </is>
      </c>
      <c r="AK327" s="53" t="inlineStr">
        <is>
          <t>5 years, 11 months, 18 days</t>
        </is>
      </c>
      <c r="AL327" s="53" t="inlineStr">
        <is>
          <t>Suptech</t>
        </is>
      </c>
      <c r="AM327" s="53" t="inlineStr">
        <is>
          <t>iFile</t>
        </is>
      </c>
      <c r="AN327" s="53" t="inlineStr">
        <is>
          <t>Technology</t>
        </is>
      </c>
      <c r="AO327" s="53" t="inlineStr">
        <is>
          <t>Development</t>
        </is>
      </c>
      <c r="AP327" s="53" t="inlineStr">
        <is>
          <t>Yes</t>
        </is>
      </c>
      <c r="AQ327" s="53" t="inlineStr">
        <is>
          <t>Product/Project</t>
        </is>
      </c>
      <c r="AR327" s="53" t="inlineStr">
        <is>
          <t>Java</t>
        </is>
      </c>
      <c r="AS327" s="53" t="inlineStr">
        <is>
          <t>Technical - Developer</t>
        </is>
      </c>
      <c r="AT327" s="53" t="n">
        <v>20</v>
      </c>
      <c r="AU327" s="53" t="inlineStr">
        <is>
          <t>Covered</t>
        </is>
      </c>
      <c r="AV327" s="53" t="n"/>
      <c r="AW327" s="53" t="n"/>
      <c r="AX327" s="53" t="n"/>
      <c r="AY327" s="53" t="n"/>
      <c r="AZ327" s="53" t="n"/>
      <c r="BA327" s="53" t="n"/>
      <c r="BB327" s="53" t="n"/>
      <c r="BC327" s="53" t="n"/>
      <c r="BD327" s="53" t="n"/>
      <c r="BE327" s="53" t="n"/>
      <c r="BF327" s="53" t="n"/>
      <c r="BG327" s="53" t="n"/>
      <c r="BH327" s="53" t="n"/>
      <c r="BI327" s="53" t="n"/>
      <c r="BJ327" s="53" t="n"/>
      <c r="BK327" s="53" t="n"/>
      <c r="BL327" s="53" t="n"/>
      <c r="BM327" s="53" t="n"/>
      <c r="BN327" s="53" t="n"/>
      <c r="BO327" s="53" t="n"/>
      <c r="BP327" s="53" t="n"/>
      <c r="BQ327" s="53" t="n"/>
      <c r="BR327" s="53" t="n"/>
      <c r="BS327" s="53" t="n"/>
      <c r="BT327" s="53" t="n"/>
      <c r="BU327" s="53" t="n"/>
      <c r="BV327" s="53" t="n"/>
      <c r="BW327" s="53" t="n"/>
      <c r="BX327" s="53" t="n"/>
      <c r="BY327" s="53" t="n"/>
      <c r="BZ327" s="53" t="n"/>
      <c r="CA327" s="53" t="n"/>
      <c r="CB327" s="53" t="n"/>
      <c r="CC327" s="53" t="n"/>
      <c r="CD327" s="53" t="n"/>
      <c r="CE327" s="53" t="n"/>
      <c r="CF327" s="53" t="n"/>
      <c r="CG327" s="53" t="n"/>
      <c r="CH327" s="53" t="n"/>
      <c r="CI327" s="53" t="n"/>
      <c r="CJ327" s="53" t="n"/>
      <c r="CK327" s="53" t="n"/>
      <c r="CL327" s="53" t="n"/>
      <c r="CM327" s="53" t="n"/>
      <c r="CN327" s="53" t="n"/>
      <c r="CO327" s="53" t="n"/>
      <c r="CP327" s="53" t="n"/>
      <c r="CQ327" s="53" t="n"/>
      <c r="CR327" s="53" t="n"/>
      <c r="CS327" s="53" t="n"/>
      <c r="CT327" s="53" t="n"/>
      <c r="CU327" s="53" t="n"/>
      <c r="CV327" s="53" t="n"/>
      <c r="CW327" s="53" t="n"/>
      <c r="CX327" s="53" t="n"/>
      <c r="CY327" s="53" t="n"/>
      <c r="CZ327" s="53" t="n"/>
      <c r="DA327" s="53" t="n"/>
      <c r="DB327" s="53" t="n"/>
      <c r="DC327" s="53" t="n"/>
      <c r="DD327" s="53" t="inlineStr">
        <is>
          <t>IRIS1871</t>
        </is>
      </c>
      <c r="DE327" s="53" t="inlineStr">
        <is>
          <t>Employee</t>
        </is>
      </c>
      <c r="DF327" s="53" t="inlineStr">
        <is>
          <t>Active</t>
        </is>
      </c>
      <c r="DG327" s="53" t="inlineStr">
        <is>
          <t>Sandeep Mehta</t>
        </is>
      </c>
      <c r="DH327" s="54" t="n">
        <v>44081</v>
      </c>
      <c r="DI327" s="53" t="inlineStr">
        <is>
          <t>Software Engineer</t>
        </is>
      </c>
      <c r="DJ327" s="53" t="inlineStr">
        <is>
          <t>Engineering &amp; Development</t>
        </is>
      </c>
      <c r="DK327" s="53" t="inlineStr">
        <is>
          <t>Backend Engineering · Java</t>
        </is>
      </c>
      <c r="DL327" s="53" t="inlineStr">
        <is>
          <t>Software Engineer</t>
        </is>
      </c>
      <c r="DM327" s="53" t="inlineStr">
        <is>
          <t>L3 – Professional / Associate</t>
        </is>
      </c>
      <c r="DN327" s="53" t="inlineStr">
        <is>
          <t>B.Tech</t>
        </is>
      </c>
      <c r="DO327" s="53" t="inlineStr">
        <is>
          <t>Pushpendra Singh</t>
        </is>
      </c>
      <c r="DP327" s="53" t="inlineStr">
        <is>
          <t>N-3</t>
        </is>
      </c>
      <c r="DQ327" s="53" t="inlineStr">
        <is>
          <t>Individual Contributor</t>
        </is>
      </c>
      <c r="DR327" s="53" t="inlineStr">
        <is>
          <t>0 years, 0 months, 0 days</t>
        </is>
      </c>
      <c r="DS327" s="53" t="inlineStr">
        <is>
          <t>5 years, 9 months, 13 days</t>
        </is>
      </c>
      <c r="DT327" s="53" t="inlineStr">
        <is>
          <t>5 years, 9 months, 13 days</t>
        </is>
      </c>
      <c r="DU327" s="53" t="n"/>
      <c r="DV327" s="53" t="inlineStr">
        <is>
          <t>Suptech</t>
        </is>
      </c>
      <c r="DW327" s="53" t="inlineStr">
        <is>
          <t>iFile</t>
        </is>
      </c>
      <c r="DX327" s="53" t="inlineStr">
        <is>
          <t>Technology</t>
        </is>
      </c>
      <c r="DY327" s="53" t="inlineStr">
        <is>
          <t>Development</t>
        </is>
      </c>
      <c r="DZ327" s="53" t="inlineStr">
        <is>
          <t>Yes</t>
        </is>
      </c>
      <c r="EA327" s="53" t="inlineStr">
        <is>
          <t>Product/Project</t>
        </is>
      </c>
      <c r="EB327" s="53" t="inlineStr">
        <is>
          <t>Java</t>
        </is>
      </c>
      <c r="EC327" s="53" t="inlineStr">
        <is>
          <t>Technical - Developer</t>
        </is>
      </c>
      <c r="ED327" s="53" t="inlineStr">
        <is>
          <t>Remote- Outside Mumbai</t>
        </is>
      </c>
      <c r="EE327" s="53" t="n"/>
      <c r="EF327"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327"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H327" s="53" t="n">
        <v>3</v>
      </c>
      <c r="EI327" s="54" t="n">
        <v>45919</v>
      </c>
      <c r="EJ327" s="53" t="inlineStr">
        <is>
          <t>Software Engineer</t>
        </is>
      </c>
      <c r="EK327" s="53" t="n"/>
      <c r="EL327" s="53" t="n">
        <v>4</v>
      </c>
      <c r="EM327" s="53" t="inlineStr">
        <is>
          <t>Medium</t>
        </is>
      </c>
      <c r="EN327" s="53" t="inlineStr">
        <is>
          <t>Trusted Professional</t>
        </is>
      </c>
      <c r="EO327" s="53" t="n"/>
      <c r="EP327" s="53" t="inlineStr">
        <is>
          <t>No</t>
        </is>
      </c>
      <c r="EQ327" s="53" t="inlineStr">
        <is>
          <t>Yes</t>
        </is>
      </c>
      <c r="ER327" s="53" t="n"/>
      <c r="ES327" s="53" t="inlineStr">
        <is>
          <t>Advanced Java; secure coding &amp; code-quality practices; unit/automated testing; system design fundamentals</t>
        </is>
      </c>
      <c r="ET327" s="53" t="inlineStr">
        <is>
          <t>Transition to leadership: people management &amp; delegation, mentoring/coaching, project ownership &amp; stakeholder management, prioritisation under ambiguity, presentation &amp; influence skills</t>
        </is>
      </c>
      <c r="EU327" s="53" t="n"/>
      <c r="EV327" s="53" t="n"/>
      <c r="EW327" s="52" t="n"/>
      <c r="EX327" s="53" t="n"/>
      <c r="EY327" s="53" t="n"/>
      <c r="EZ327" s="53" t="n"/>
      <c r="FA327" s="53" t="n"/>
      <c r="FB327" s="53" t="n"/>
      <c r="FC327" s="53" t="n"/>
      <c r="FD327" s="53" t="n"/>
      <c r="FE327"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327"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FG327" s="56" t="n"/>
      <c r="FH327" s="56" t="inlineStr">
        <is>
          <t>3</t>
        </is>
      </c>
      <c r="FI327" s="56" t="n"/>
      <c r="FJ327" s="56" t="inlineStr">
        <is>
          <t>Received · manager annual, quarterly</t>
        </is>
      </c>
      <c r="FK327" s="56" t="inlineStr">
        <is>
          <t>Talent Mapping · iFile collated</t>
        </is>
      </c>
      <c r="FL327" s="56" t="n">
        <v>20</v>
      </c>
      <c r="FM327" s="32" t="inlineStr">
        <is>
          <t>Full survey answers not in the files received · How We Grow export needed · HR</t>
        </is>
      </c>
      <c r="FN327" s="56" t="inlineStr">
        <is>
          <t>—</t>
        </is>
      </c>
      <c r="FO327" s="56" t="inlineStr">
        <is>
          <t>—</t>
        </is>
      </c>
      <c r="FP327" s="56" t="inlineStr">
        <is>
          <t>—</t>
        </is>
      </c>
      <c r="FQ327" s="56" t="inlineStr">
        <is>
          <t>—</t>
        </is>
      </c>
      <c r="FR327" s="56" t="inlineStr">
        <is>
          <t>Complexity: Evidence reads like A3: Builds XBRL validation tool features: analyses the specification, plans design, tests and optimises performance → moved up 0.5
Autonomy: Evidence reads like A2: Decides the method for adding a feature → matches the start
Accountability: Evidence reads like A2: Accountable for accuracy, performance and on-time delivery of own new features → matches the start
Leadership: Evidence reads like A1: No guiding or leading described → matches the start
Business Impact: Moved +0.5: the survey / manager mapping marks it business-critical.</t>
        </is>
      </c>
      <c r="FS327"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327" s="56" t="inlineStr">
        <is>
          <t>Self-identified: Leadership &amp; people management · Technical depth &amp; architecture
For the next role: Leadership &amp; people management · Technical depth &amp; architecture</t>
        </is>
      </c>
      <c r="FU327" s="32" t="inlineStr">
        <is>
          <t>Full survey answers not in the files received · How We Grow export needed · HR</t>
        </is>
      </c>
    </row>
    <row r="328" ht="90" customHeight="1">
      <c r="A328" s="51" t="inlineStr">
        <is>
          <t>◂ Back</t>
        </is>
      </c>
      <c r="B328" s="29" t="inlineStr">
        <is>
          <t>Mapped</t>
        </is>
      </c>
      <c r="C328" s="28" t="inlineStr">
        <is>
          <t>iFile</t>
        </is>
      </c>
      <c r="D328" s="29" t="inlineStr">
        <is>
          <t>IRIS2560</t>
        </is>
      </c>
      <c r="E328" s="29" t="inlineStr">
        <is>
          <t>Sumit Jain</t>
        </is>
      </c>
      <c r="F328" s="29" t="inlineStr">
        <is>
          <t>Product Management</t>
        </is>
      </c>
      <c r="G328" s="29" t="inlineStr">
        <is>
          <t>Senior Product Manager</t>
        </is>
      </c>
      <c r="H328" s="29" t="inlineStr">
        <is>
          <t>Senior Product Manager</t>
        </is>
      </c>
      <c r="I328" s="29" t="inlineStr">
        <is>
          <t>Not in current mapping files</t>
        </is>
      </c>
      <c r="J328" s="29" t="inlineStr">
        <is>
          <t>B3</t>
        </is>
      </c>
      <c r="K328" s="29" t="inlineStr">
        <is>
          <t>● Newly mapped</t>
        </is>
      </c>
      <c r="L328" s="29" t="inlineStr">
        <is>
          <t>Product Management</t>
        </is>
      </c>
      <c r="M328" s="29" t="inlineStr">
        <is>
          <t>Product Management</t>
        </is>
      </c>
      <c r="N328" s="29" t="inlineStr">
        <is>
          <t>• Total experience · outside + at IRIS — HR — HRIS
• Confirm prior experience · provisional placement — HR</t>
        </is>
      </c>
      <c r="O328" s="29" t="n">
        <v>20</v>
      </c>
      <c r="P328" s="28" t="inlineStr">
        <is>
          <t>P5 / M4</t>
        </is>
      </c>
      <c r="Q328" s="29" t="inlineStr">
        <is>
          <t>Expert / Senior Manager</t>
        </is>
      </c>
      <c r="R328" s="29" t="inlineStr">
        <is>
          <t>5 Ensure, advise</t>
        </is>
      </c>
      <c r="S328" s="29" t="inlineStr">
        <is>
          <t>8–12 yrs</t>
        </is>
      </c>
      <c r="T328" s="29" t="inlineStr">
        <is>
          <t>9–13 · 9–14</t>
        </is>
      </c>
      <c r="U328" s="29" t="inlineStr">
        <is>
          <t>Principal / Group Product Manager</t>
        </is>
      </c>
      <c r="V328" s="29" t="inlineStr">
        <is>
          <t>IRIS Vs Competitor Benchmark — SaaS product ladder: Principal / Group PM</t>
        </is>
      </c>
      <c r="W328" s="29" t="inlineStr">
        <is>
          <t>Pragmatic Institute Framework · 37 activities, 7 categories; AIPMM</t>
        </is>
      </c>
      <c r="X328" s="29" t="inlineStr">
        <is>
          <t>Core 4 · Future 3 · Functional 4 · Leadership 3</t>
        </is>
      </c>
      <c r="Y328" s="52" t="n">
        <v>533</v>
      </c>
      <c r="Z328" s="53" t="inlineStr">
        <is>
          <t>IRIS2560</t>
        </is>
      </c>
      <c r="AA328" s="53" t="inlineStr">
        <is>
          <t>Employee</t>
        </is>
      </c>
      <c r="AB328" s="53" t="inlineStr">
        <is>
          <t>Active</t>
        </is>
      </c>
      <c r="AC328" s="53" t="inlineStr">
        <is>
          <t>Sumit Jain</t>
        </is>
      </c>
      <c r="AD328" s="54" t="n">
        <v>46268</v>
      </c>
      <c r="AE328" s="53" t="inlineStr">
        <is>
          <t>Senior Product Manager</t>
        </is>
      </c>
      <c r="AF328" s="53" t="inlineStr">
        <is>
          <t>B.E</t>
        </is>
      </c>
      <c r="AG328" s="53" t="inlineStr">
        <is>
          <t>Pradip Dey</t>
        </is>
      </c>
      <c r="AH328" s="53" t="inlineStr">
        <is>
          <t>N-3</t>
        </is>
      </c>
      <c r="AI328" s="53" t="inlineStr">
        <is>
          <t>Individual Contributor</t>
        </is>
      </c>
      <c r="AJ328" s="53" t="n"/>
      <c r="AK328" s="53" t="n"/>
      <c r="AL328" s="53" t="inlineStr">
        <is>
          <t>Suptech</t>
        </is>
      </c>
      <c r="AM328" s="53" t="inlineStr">
        <is>
          <t>iFile</t>
        </is>
      </c>
      <c r="AN328" s="53" t="inlineStr">
        <is>
          <t>Product Management</t>
        </is>
      </c>
      <c r="AO328" s="53" t="inlineStr">
        <is>
          <t>Client Engagement</t>
        </is>
      </c>
      <c r="AP328" s="53" t="inlineStr">
        <is>
          <t>Yes</t>
        </is>
      </c>
      <c r="AQ328" s="53" t="inlineStr">
        <is>
          <t>Client Engagement</t>
        </is>
      </c>
      <c r="AR328" s="53" t="inlineStr">
        <is>
          <t>Product Management</t>
        </is>
      </c>
      <c r="AS328" s="53" t="inlineStr">
        <is>
          <t>Technical · BA, PM and QA</t>
        </is>
      </c>
      <c r="AT328" s="53" t="n">
        <v>20</v>
      </c>
      <c r="AU328" s="53" t="inlineStr">
        <is>
          <t>Covered</t>
        </is>
      </c>
      <c r="AV328" s="53" t="n"/>
      <c r="AW328" s="53" t="n"/>
      <c r="AX328" s="53" t="n"/>
      <c r="AY328" s="53" t="n"/>
      <c r="AZ328" s="53" t="n"/>
      <c r="BA328" s="53" t="n"/>
      <c r="BB328" s="53" t="n"/>
      <c r="BC328" s="53" t="n"/>
      <c r="BD328" s="53" t="n"/>
      <c r="BE328" s="53" t="n"/>
      <c r="BF328" s="53" t="n"/>
      <c r="BG328" s="53" t="n"/>
      <c r="BH328" s="53" t="n"/>
      <c r="BI328" s="53" t="n"/>
      <c r="BJ328" s="53" t="n"/>
      <c r="BK328" s="53" t="n"/>
      <c r="BL328" s="53" t="n"/>
      <c r="BM328" s="53" t="n"/>
      <c r="BN328" s="53" t="n"/>
      <c r="BO328" s="53" t="n"/>
      <c r="BP328" s="53" t="n"/>
      <c r="BQ328" s="53" t="n"/>
      <c r="BR328" s="53" t="n"/>
      <c r="BS328" s="53" t="n"/>
      <c r="BT328" s="53" t="n"/>
      <c r="BU328" s="53" t="n"/>
      <c r="BV328" s="53" t="n"/>
      <c r="BW328" s="53" t="n"/>
      <c r="BX328" s="53" t="n"/>
      <c r="BY328" s="53" t="n"/>
      <c r="BZ328" s="53" t="n"/>
      <c r="CA328" s="53" t="n"/>
      <c r="CB328" s="53" t="n"/>
      <c r="CC328" s="53" t="n"/>
      <c r="CD328" s="53" t="n"/>
      <c r="CE328" s="53" t="n"/>
      <c r="CF328" s="53" t="n"/>
      <c r="CG328" s="53" t="n"/>
      <c r="CH328" s="53" t="n"/>
      <c r="CI328" s="53" t="n"/>
      <c r="CJ328" s="53" t="n"/>
      <c r="CK328" s="53" t="n"/>
      <c r="CL328" s="53" t="n"/>
      <c r="CM328" s="53" t="n"/>
      <c r="CN328" s="53" t="n"/>
      <c r="CO328" s="53" t="n"/>
      <c r="CP328" s="53" t="n"/>
      <c r="CQ328" s="53" t="n"/>
      <c r="CR328" s="53" t="n"/>
      <c r="CS328" s="53" t="n"/>
      <c r="CT328" s="53" t="n"/>
      <c r="CU328" s="53" t="n"/>
      <c r="CV328" s="53" t="n"/>
      <c r="CW328" s="53" t="n"/>
      <c r="CX328" s="53" t="n"/>
      <c r="CY328" s="53" t="n"/>
      <c r="CZ328" s="53" t="n"/>
      <c r="DA328" s="53" t="n"/>
      <c r="DB328" s="53" t="n"/>
      <c r="DC328" s="53" t="n"/>
      <c r="DD328" s="53" t="n"/>
      <c r="DE328" s="53" t="n"/>
      <c r="DF328" s="53" t="n"/>
      <c r="DG328" s="53" t="n"/>
      <c r="DH328" s="53" t="n"/>
      <c r="DI328" s="53" t="n"/>
      <c r="DJ328" s="53" t="n"/>
      <c r="DK328" s="53" t="n"/>
      <c r="DL328" s="53" t="n"/>
      <c r="DM328" s="53" t="n"/>
      <c r="DN328" s="53" t="n"/>
      <c r="DO328" s="53" t="n"/>
      <c r="DP328" s="53" t="n"/>
      <c r="DQ328" s="53" t="n"/>
      <c r="DR328" s="53" t="n"/>
      <c r="DS328" s="53" t="n"/>
      <c r="DT328" s="53" t="n"/>
      <c r="DU328" s="53" t="n"/>
      <c r="DV328" s="53" t="n"/>
      <c r="DW328" s="53" t="n"/>
      <c r="DX328" s="53" t="n"/>
      <c r="DY328" s="53" t="n"/>
      <c r="DZ328" s="53" t="n"/>
      <c r="EA328" s="53" t="n"/>
      <c r="EB328" s="53" t="n"/>
      <c r="EC328" s="53" t="n"/>
      <c r="ED328" s="53" t="n"/>
      <c r="EE328" s="53" t="n"/>
      <c r="EF328" s="53" t="n"/>
      <c r="EG328" s="53" t="n"/>
      <c r="EH328" s="53" t="n"/>
      <c r="EI328" s="53" t="n"/>
      <c r="EJ328" s="53" t="n"/>
      <c r="EK328" s="53" t="n"/>
      <c r="EL328" s="53" t="n"/>
      <c r="EM328" s="53" t="n"/>
      <c r="EN328" s="53" t="n"/>
      <c r="EO328" s="53" t="n"/>
      <c r="EP328" s="53" t="n"/>
      <c r="EQ328" s="53" t="n"/>
      <c r="ER328" s="53" t="n"/>
      <c r="ES328" s="53" t="n"/>
      <c r="ET328" s="53" t="n"/>
      <c r="EU328" s="53" t="n"/>
      <c r="EV328" s="53" t="n"/>
      <c r="EW328" s="52" t="n"/>
      <c r="EX328" s="53" t="n"/>
      <c r="EY328" s="53" t="n"/>
      <c r="EZ328" s="53" t="n"/>
      <c r="FA328" s="53" t="n"/>
      <c r="FB328" s="53" t="n"/>
      <c r="FC328" s="53" t="n"/>
      <c r="FD328" s="53" t="n"/>
      <c r="FE328" s="55" t="inlineStr">
        <is>
          <t>KRAs not received · manager to supply</t>
        </is>
      </c>
      <c r="FF328" s="56" t="n"/>
      <c r="FG328" s="56" t="n"/>
      <c r="FH328" s="56" t="n"/>
      <c r="FI328" s="56" t="n"/>
      <c r="FJ328" s="32" t="inlineStr">
        <is>
          <t>KRAs not received · manager to supply</t>
        </is>
      </c>
      <c r="FK328" s="56" t="n"/>
      <c r="FL328" s="56" t="n">
        <v>20</v>
      </c>
      <c r="FM328" s="32" t="inlineStr">
        <is>
          <t>Full survey answers not in the files received · How We Grow export needed · HR</t>
        </is>
      </c>
      <c r="FN328" s="56" t="inlineStr">
        <is>
          <t>—</t>
        </is>
      </c>
      <c r="FO328" s="56" t="inlineStr">
        <is>
          <t>—</t>
        </is>
      </c>
      <c r="FP328" s="56" t="inlineStr">
        <is>
          <t>—</t>
        </is>
      </c>
      <c r="FQ328" s="56" t="inlineStr">
        <is>
          <t>—</t>
        </is>
      </c>
      <c r="FR328" s="56"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FS328" s="56" t="inlineStr">
        <is>
          <t>Common themes in sub-family holders, all levels' answers: product · market · business · customers · management · revenue
Common themes in sub-family holders, all levels' answers: product · roadmap · management · customer · research · implementation
Common themes in sub-family holders, all levels' answers: product · customer · client · feature · business · revenue
Common themes in sub-family holders, all levels' answers: product · if · delivery · customer · requirements · client
Common themes in sub-family holders, all levels' answers: research · priorities · approach · roadmap · product · stakeholders
If the work is missed · role-holders' themes: delays · customer · delayed · revenue.</t>
        </is>
      </c>
      <c r="FT328" s="56" t="inlineStr">
        <is>
          <t>Self-identified: Product &amp; tool knowledge · Strategy &amp; business acumen · Broader exposure &amp; ownership
For the next role: Product &amp; tool knowledge · Strategy &amp; business acumen · Broader exposure &amp; ownership</t>
        </is>
      </c>
      <c r="FU328" s="32" t="inlineStr">
        <is>
          <t>Full survey answers not in the files received · How We Grow export needed · HR</t>
        </is>
      </c>
    </row>
    <row r="329" ht="90" customHeight="1">
      <c r="A329" s="51" t="inlineStr">
        <is>
          <t>◂ Back</t>
        </is>
      </c>
      <c r="B329" s="29" t="inlineStr">
        <is>
          <t>Mapped</t>
        </is>
      </c>
      <c r="C329" s="28" t="inlineStr">
        <is>
          <t>iFile</t>
        </is>
      </c>
      <c r="D329" s="29" t="inlineStr">
        <is>
          <t>IRIS2497</t>
        </is>
      </c>
      <c r="E329" s="29" t="inlineStr">
        <is>
          <t>Tarun Kumar Mittal</t>
        </is>
      </c>
      <c r="F329" s="29" t="inlineStr">
        <is>
          <t>Technology</t>
        </is>
      </c>
      <c r="G329" s="29" t="inlineStr">
        <is>
          <t>Senior Project Manager</t>
        </is>
      </c>
      <c r="H329" s="29" t="inlineStr">
        <is>
          <t>Program Manager</t>
        </is>
      </c>
      <c r="I329" s="29" t="inlineStr">
        <is>
          <t>L5 – Manager</t>
        </is>
      </c>
      <c r="J329" s="29" t="inlineStr">
        <is>
          <t>B3</t>
        </is>
      </c>
      <c r="K329" s="29" t="inlineStr">
        <is>
          <t>▲ Up</t>
        </is>
      </c>
      <c r="L329" s="29" t="inlineStr">
        <is>
          <t>Project &amp; Program Management</t>
        </is>
      </c>
      <c r="M329" s="29" t="inlineStr">
        <is>
          <t>Project &amp; Program Delivery</t>
        </is>
      </c>
      <c r="N329" s="29" t="inlineStr">
        <is>
          <t>• Confirm the reporting line — Manager</t>
        </is>
      </c>
      <c r="O329" s="29" t="n">
        <v>0</v>
      </c>
      <c r="P329" s="28" t="inlineStr">
        <is>
          <t>P5 / M4</t>
        </is>
      </c>
      <c r="Q329" s="29" t="inlineStr">
        <is>
          <t>Expert / Senior Manager</t>
        </is>
      </c>
      <c r="R329" s="29" t="inlineStr">
        <is>
          <t>5 Ensure, advise</t>
        </is>
      </c>
      <c r="S329" s="29" t="inlineStr">
        <is>
          <t>8–12 yrs</t>
        </is>
      </c>
      <c r="T329" s="29" t="inlineStr">
        <is>
          <t>9–13 · 9–14</t>
        </is>
      </c>
      <c r="U329" s="29" t="inlineStr">
        <is>
          <t>Senior Program Manager</t>
        </is>
      </c>
      <c r="V329" s="29" t="inlineStr">
        <is>
          <t>IRIS Vs Competitor Benchmark — PMI pathway + SaaS delivery ladder: Program Manager · PgMP · Infosys / Accenture: JL6B Project Manager · L7 Manager</t>
        </is>
      </c>
      <c r="W329" s="29" t="inlineStr">
        <is>
          <t>PMI PMBOK and Talent Triangle; CAPM · entry → PMP → PgMP; Scrum / SAFe</t>
        </is>
      </c>
      <c r="X329" s="29" t="inlineStr">
        <is>
          <t>Core 4 · Future 3 · Functional 4 · Leadership 3</t>
        </is>
      </c>
      <c r="Y329" s="52" t="n">
        <v>470</v>
      </c>
      <c r="Z329" s="53" t="inlineStr">
        <is>
          <t>IRIS2497</t>
        </is>
      </c>
      <c r="AA329" s="53" t="inlineStr">
        <is>
          <t>Employee</t>
        </is>
      </c>
      <c r="AB329" s="53" t="inlineStr">
        <is>
          <t>Active</t>
        </is>
      </c>
      <c r="AC329" s="53" t="inlineStr">
        <is>
          <t>Tarun Kumar Mittal</t>
        </is>
      </c>
      <c r="AD329" s="54" t="n">
        <v>46097</v>
      </c>
      <c r="AE329" s="53" t="inlineStr">
        <is>
          <t>Senior Project Manager</t>
        </is>
      </c>
      <c r="AF329" s="53" t="inlineStr">
        <is>
          <t>B.Tech</t>
        </is>
      </c>
      <c r="AG329" s="53" t="inlineStr">
        <is>
          <t>Pradip Dey</t>
        </is>
      </c>
      <c r="AH329" s="53" t="inlineStr">
        <is>
          <t>N-3</t>
        </is>
      </c>
      <c r="AI329" s="53" t="inlineStr">
        <is>
          <t>Individual Contributor</t>
        </is>
      </c>
      <c r="AJ329" s="53" t="inlineStr">
        <is>
          <t>18 years, 0 months, 0 days</t>
        </is>
      </c>
      <c r="AK329" s="53" t="inlineStr">
        <is>
          <t>0 years, 5 months, 9 days</t>
        </is>
      </c>
      <c r="AL329" s="53" t="inlineStr">
        <is>
          <t>Suptech</t>
        </is>
      </c>
      <c r="AM329" s="53" t="inlineStr">
        <is>
          <t>iFile</t>
        </is>
      </c>
      <c r="AN329" s="53" t="inlineStr">
        <is>
          <t>Technology</t>
        </is>
      </c>
      <c r="AO329" s="53" t="inlineStr">
        <is>
          <t>Project Management</t>
        </is>
      </c>
      <c r="AP329" s="53" t="inlineStr">
        <is>
          <t>No</t>
        </is>
      </c>
      <c r="AQ329" s="53" t="inlineStr">
        <is>
          <t>Product/Project</t>
        </is>
      </c>
      <c r="AR329" s="53" t="inlineStr">
        <is>
          <t>Project Management</t>
        </is>
      </c>
      <c r="AS329" s="53" t="inlineStr">
        <is>
          <t>Technical · BA, PM and QA</t>
        </is>
      </c>
      <c r="AT329" s="53" t="n">
        <v>0</v>
      </c>
      <c r="AU329" s="53" t="inlineStr">
        <is>
          <t>Excluded</t>
        </is>
      </c>
      <c r="AV329" s="53" t="n"/>
      <c r="AW329" s="53" t="n"/>
      <c r="AX329" s="53" t="n"/>
      <c r="AY329" s="53" t="n"/>
      <c r="AZ329" s="53" t="n"/>
      <c r="BA329" s="53" t="n"/>
      <c r="BB329" s="53" t="n"/>
      <c r="BC329" s="53" t="n"/>
      <c r="BD329" s="53" t="n"/>
      <c r="BE329" s="53" t="n"/>
      <c r="BF329" s="53" t="n"/>
      <c r="BG329" s="53" t="n"/>
      <c r="BH329" s="53" t="n"/>
      <c r="BI329" s="53" t="n"/>
      <c r="BJ329" s="53" t="n"/>
      <c r="BK329" s="53" t="n"/>
      <c r="BL329" s="53" t="n"/>
      <c r="BM329" s="53" t="n"/>
      <c r="BN329" s="53" t="n"/>
      <c r="BO329" s="53" t="n"/>
      <c r="BP329" s="53" t="n"/>
      <c r="BQ329" s="53" t="n"/>
      <c r="BR329" s="53" t="n"/>
      <c r="BS329" s="53" t="n"/>
      <c r="BT329" s="53" t="n"/>
      <c r="BU329" s="53" t="n"/>
      <c r="BV329" s="53" t="n"/>
      <c r="BW329" s="53" t="n"/>
      <c r="BX329" s="53" t="n"/>
      <c r="BY329" s="53" t="n"/>
      <c r="BZ329" s="53" t="n"/>
      <c r="CA329" s="53" t="n"/>
      <c r="CB329" s="53" t="n"/>
      <c r="CC329" s="53" t="n"/>
      <c r="CD329" s="53" t="n"/>
      <c r="CE329" s="53" t="n"/>
      <c r="CF329" s="53" t="n"/>
      <c r="CG329" s="53" t="n"/>
      <c r="CH329" s="53" t="n"/>
      <c r="CI329" s="53" t="n"/>
      <c r="CJ329" s="53" t="n"/>
      <c r="CK329" s="53" t="n"/>
      <c r="CL329" s="53" t="n"/>
      <c r="CM329" s="53" t="n"/>
      <c r="CN329" s="53" t="n"/>
      <c r="CO329" s="53" t="n"/>
      <c r="CP329" s="53" t="n"/>
      <c r="CQ329" s="53" t="n"/>
      <c r="CR329" s="53" t="n"/>
      <c r="CS329" s="53" t="n"/>
      <c r="CT329" s="53" t="n"/>
      <c r="CU329" s="53" t="n"/>
      <c r="CV329" s="53" t="n"/>
      <c r="CW329" s="53" t="n"/>
      <c r="CX329" s="53" t="n"/>
      <c r="CY329" s="53" t="n"/>
      <c r="CZ329" s="53" t="n"/>
      <c r="DA329" s="53" t="n"/>
      <c r="DB329" s="53" t="n"/>
      <c r="DC329" s="53" t="inlineStr">
        <is>
          <t>Pradip Dey</t>
        </is>
      </c>
      <c r="DD329" s="53" t="inlineStr">
        <is>
          <t>IRIS2497</t>
        </is>
      </c>
      <c r="DE329" s="53" t="inlineStr">
        <is>
          <t>Employee</t>
        </is>
      </c>
      <c r="DF329" s="53" t="inlineStr">
        <is>
          <t>Active</t>
        </is>
      </c>
      <c r="DG329" s="53" t="inlineStr">
        <is>
          <t>Tarun Kumar Mittal</t>
        </is>
      </c>
      <c r="DH329" s="54" t="n">
        <v>46097</v>
      </c>
      <c r="DI329" s="53" t="inlineStr">
        <is>
          <t>Senior Project Manager</t>
        </is>
      </c>
      <c r="DJ329" s="53" t="inlineStr">
        <is>
          <t>Project &amp; Program Management</t>
        </is>
      </c>
      <c r="DK329" s="53" t="inlineStr">
        <is>
          <t>Project Management</t>
        </is>
      </c>
      <c r="DL329" s="53" t="inlineStr">
        <is>
          <t>Senior Project Manager</t>
        </is>
      </c>
      <c r="DM329" s="53" t="inlineStr">
        <is>
          <t>L5 – Manager</t>
        </is>
      </c>
      <c r="DN329" s="53" t="inlineStr">
        <is>
          <t>B.Tech</t>
        </is>
      </c>
      <c r="DO329" s="53" t="inlineStr">
        <is>
          <t>Pradip Dey</t>
        </is>
      </c>
      <c r="DP329" s="53" t="inlineStr">
        <is>
          <t>N-2</t>
        </is>
      </c>
      <c r="DQ329" s="53" t="inlineStr">
        <is>
          <t>Individual Contributor</t>
        </is>
      </c>
      <c r="DR329" s="53" t="inlineStr">
        <is>
          <t>18 years, 0 months, 0 days</t>
        </is>
      </c>
      <c r="DS329" s="53" t="inlineStr">
        <is>
          <t>0 years, 3 months, 4 days</t>
        </is>
      </c>
      <c r="DT329" s="53" t="inlineStr">
        <is>
          <t>18 years, 3 months, 4 days</t>
        </is>
      </c>
      <c r="DU329" s="53" t="n"/>
      <c r="DV329" s="53" t="inlineStr">
        <is>
          <t>Suptech</t>
        </is>
      </c>
      <c r="DW329" s="53" t="inlineStr">
        <is>
          <t>iFile</t>
        </is>
      </c>
      <c r="DX329" s="53" t="inlineStr">
        <is>
          <t>Technology</t>
        </is>
      </c>
      <c r="DY329" s="53" t="inlineStr">
        <is>
          <t>Project Management</t>
        </is>
      </c>
      <c r="DZ329" s="53" t="inlineStr">
        <is>
          <t>No</t>
        </is>
      </c>
      <c r="EA329" s="53" t="inlineStr">
        <is>
          <t>Product/Project</t>
        </is>
      </c>
      <c r="EB329" s="53" t="inlineStr">
        <is>
          <t>Project Management</t>
        </is>
      </c>
      <c r="EC329" s="53" t="inlineStr">
        <is>
          <t>Technical · BA, PM and QA</t>
        </is>
      </c>
      <c r="ED329" s="53" t="inlineStr">
        <is>
          <t>Work From Office - Turbhe</t>
        </is>
      </c>
      <c r="EE329" s="53" t="n"/>
      <c r="EF329" s="53" t="inlineStr">
        <is>
          <t>1. Product Management
Gain thorough understanding of all the iFile product components and SupTech/RegTech domain
Gain expert level understanding of Tax domain, case mgmt system 
Make the iFile Platform ready in all aspects to be able to demonstrate to the prospects/existing clients · especially TMS/CMS
Manage product team members and development activities along with Izhar and Nikhil
Ensure plan for TMS/CMS prepared properly based on which product release to be worked out
2. Process adherence &amp; strategic contributions
Contribute to business expansion through active participation in pre-sales, solutioning, and proposal development support 
Ensure adoption of digital way of working across the various product modules
Ensure SCRUM rituals are followed effectively
3. AI
Leverage AI in day to day working - Requirementsdevelopment, vibe coding, prepration/reuse of technical artefacts, unit/funcitonal test cases writing and automaiton etc.
4. TBD</t>
        </is>
      </c>
      <c r="EG329" s="53" t="inlineStr">
        <is>
          <t>TMS/CMS domain research completion
TMS/CMS project plan, user stories development
Initiation of TMS/CMS implementation</t>
        </is>
      </c>
      <c r="EH329" s="53" t="inlineStr">
        <is>
          <t>Meets Expectations</t>
        </is>
      </c>
      <c r="EI329" s="53" t="n"/>
      <c r="EJ329" s="53" t="inlineStr">
        <is>
          <t>Senior Project Manager</t>
        </is>
      </c>
      <c r="EK329" s="53" t="n"/>
      <c r="EL329" s="53" t="n">
        <v>3</v>
      </c>
      <c r="EM329" s="53" t="inlineStr">
        <is>
          <t>Medium</t>
        </is>
      </c>
      <c r="EN329" s="53" t="inlineStr">
        <is>
          <t>Core Contributor</t>
        </is>
      </c>
      <c r="EO329" s="53" t="n"/>
      <c r="EP329" s="53" t="inlineStr">
        <is>
          <t>N</t>
        </is>
      </c>
      <c r="EQ329" s="53" t="inlineStr">
        <is>
          <t>Yes</t>
        </is>
      </c>
      <c r="ER329" s="53" t="n"/>
      <c r="ES329" s="53" t="inlineStr">
        <is>
          <t>SupTech Domain, Tax Domain</t>
        </is>
      </c>
      <c r="ET329" s="53" t="n"/>
      <c r="EU329" s="53" t="inlineStr">
        <is>
          <t>RMA,GTA,PFRDA,IFSCA,NRB,BOM,IRIS Noah,IRIS Bushchat</t>
        </is>
      </c>
      <c r="EV329" s="53" t="n"/>
      <c r="EW329" s="52" t="n"/>
      <c r="EX329" s="53" t="n"/>
      <c r="EY329" s="53" t="n"/>
      <c r="EZ329" s="53" t="n"/>
      <c r="FA329" s="53" t="n"/>
      <c r="FB329" s="53" t="n"/>
      <c r="FC329" s="53" t="n"/>
      <c r="FD329" s="53" t="n"/>
      <c r="FE329" s="57" t="inlineStr">
        <is>
          <t>1. Product Management
Gain thorough understanding of all the iFile product components and SupTech/RegTech domain
Gain expert level understanding of Tax domain, case mgmt system 
Make the iFile Platform ready in all aspects to be able to demonstrate to the prospects/existing clients · especially TMS/CMS
Manage product team members and development activities along with Izhar and Nikhil
Ensure plan for TMS/CMS prepared properly based on which product release to be worked out
2. Process adherence &amp; strategic contributions
Contribute to business expansion through active participation in  pre-sales, solutioning, and proposal development support 
Ensure adoption of digital way of working across the various product modules
Ensure SCRUM rituals are followed effectively
3. AI
Leverage AI in day to day working - Requirementsdevelopment, vibe coding, prepration/reuse of technical artefacts, unit/funcitonal test cases writing and automaiton etc.
4. TBD</t>
        </is>
      </c>
      <c r="FF329" s="56" t="inlineStr">
        <is>
          <t>TMS/CMS domain research completion
TMS/CMS project plan, user stories development
Initiation of TMS/CMS implementation</t>
        </is>
      </c>
      <c r="FG329" s="56" t="n"/>
      <c r="FH329" s="56" t="inlineStr">
        <is>
          <t>Meets Expectations</t>
        </is>
      </c>
      <c r="FI329" s="56" t="n"/>
      <c r="FJ329" s="56" t="inlineStr">
        <is>
          <t>Received · manager annual, quarterly</t>
        </is>
      </c>
      <c r="FK329" s="56" t="inlineStr">
        <is>
          <t>Talent Mapping · iFile collated</t>
        </is>
      </c>
      <c r="FL329" s="56" t="n">
        <v>0</v>
      </c>
      <c r="FM329" s="32" t="inlineStr">
        <is>
          <t>No survey response on file</t>
        </is>
      </c>
      <c r="FN329" s="56" t="inlineStr">
        <is>
          <t>—</t>
        </is>
      </c>
      <c r="FO329" s="56" t="inlineStr">
        <is>
          <t>—</t>
        </is>
      </c>
      <c r="FP329" s="56" t="inlineStr">
        <is>
          <t>—</t>
        </is>
      </c>
      <c r="FQ329" s="56" t="inlineStr">
        <is>
          <t>—</t>
        </is>
      </c>
      <c r="FR329" s="56" t="inlineStr">
        <is>
          <t>Complexity: Evidence reads like B1: Manager note only: product management of iFile TMS/CMS; still gaining tax-domain understanding → moved down 0.5
Autonomy: Evidence: no survey answers or KRAs on file → rating stays at the start
Accountability: Evidence reads like B1: Manager note: platform demo readiness and TMS/CMS release plan, shared with two colleagues → moved down 0.5
Leadership: Evidence reads like A3: Manager note: manages product team members jointly with two others; 0 reports → moved down 0.5
Business Impact: Moved +0.5: the survey / manager mapping marks it business-critical.</t>
        </is>
      </c>
      <c r="FS329" s="56" t="inlineStr">
        <is>
          <t>Common themes in sub-family holders, all levels' answers: project · business · client · manager · management · bridge
Common themes in sub-family holders, all levels' answers: management · project · delivery · client · define · priorities
Common themes in sub-family holders, all levels' answers: project · delivery · product · client · transformation · timely
Common themes in sub-family holders, all levels' answers: delivery · project · accountable · timelines · quality · management
Common themes in sub-family holders, all levels' answers: client · project · issue · product · allocation · delivery
If the work is missed · role-holders' themes: client · delivery · delays · project.</t>
        </is>
      </c>
      <c r="FT329" s="56" t="n"/>
      <c r="FU329" s="32" t="inlineStr">
        <is>
          <t>No survey response on file</t>
        </is>
      </c>
    </row>
    <row r="330" ht="90" customHeight="1">
      <c r="A330" s="51" t="inlineStr">
        <is>
          <t>◂ Back</t>
        </is>
      </c>
      <c r="B330" s="29" t="inlineStr">
        <is>
          <t>Mapped</t>
        </is>
      </c>
      <c r="C330" s="28" t="inlineStr">
        <is>
          <t>Corporate</t>
        </is>
      </c>
      <c r="D330" s="29" t="inlineStr">
        <is>
          <t>IRISC344</t>
        </is>
      </c>
      <c r="E330" s="29" t="inlineStr">
        <is>
          <t>Vikas Thakur</t>
        </is>
      </c>
      <c r="F330" s="29" t="inlineStr">
        <is>
          <t>Technology</t>
        </is>
      </c>
      <c r="G330" s="29" t="inlineStr">
        <is>
          <t>Agile Coach</t>
        </is>
      </c>
      <c r="H330" s="29" t="inlineStr">
        <is>
          <t>Agile Coach</t>
        </is>
      </c>
      <c r="I330" s="29" t="inlineStr">
        <is>
          <t>Not in current mapping files</t>
        </is>
      </c>
      <c r="J330" s="29" t="inlineStr">
        <is>
          <t>B3</t>
        </is>
      </c>
      <c r="K330" s="29" t="inlineStr">
        <is>
          <t>● Newly mapped</t>
        </is>
      </c>
      <c r="L330" s="29" t="inlineStr">
        <is>
          <t>Project &amp; Program Management</t>
        </is>
      </c>
      <c r="M330" s="29" t="inlineStr">
        <is>
          <t>PMO &amp; Delivery Excellence</t>
        </is>
      </c>
      <c r="N330" s="29" t="inlineStr">
        <is>
          <t>• Survey response or KRAs describing the work · nothing on file — Employee + manager</t>
        </is>
      </c>
      <c r="O330" s="29" t="n">
        <v>0</v>
      </c>
      <c r="P330" s="28" t="inlineStr">
        <is>
          <t>P5 / M4</t>
        </is>
      </c>
      <c r="Q330" s="29" t="inlineStr">
        <is>
          <t>Expert / Senior Manager</t>
        </is>
      </c>
      <c r="R330" s="29" t="inlineStr">
        <is>
          <t>5 Ensure, advise</t>
        </is>
      </c>
      <c r="S330" s="29" t="inlineStr">
        <is>
          <t>8–12 yrs</t>
        </is>
      </c>
      <c r="T330" s="29" t="inlineStr">
        <is>
          <t>9–13 · 9–14</t>
        </is>
      </c>
      <c r="U330" s="29" t="inlineStr">
        <is>
          <t>Senior Program Manager</t>
        </is>
      </c>
      <c r="V330" s="29" t="inlineStr">
        <is>
          <t>IRIS Vs Competitor Benchmark — PMI pathway + SaaS delivery ladder: Program Manager · PgMP · Infosys / Accenture: JL6B Project Manager · L7 Manager</t>
        </is>
      </c>
      <c r="W330" s="29" t="inlineStr">
        <is>
          <t>PMI PMBOK and Talent Triangle; CAPM · entry → PMP → PgMP; Scrum / SAFe</t>
        </is>
      </c>
      <c r="X330" s="29" t="inlineStr">
        <is>
          <t>Core 4 · Future 3 · Functional 4 · Leadership 3</t>
        </is>
      </c>
      <c r="Y330" s="52" t="n">
        <v>474</v>
      </c>
      <c r="Z330" s="53" t="inlineStr">
        <is>
          <t>IRISC344</t>
        </is>
      </c>
      <c r="AA330" s="53" t="inlineStr">
        <is>
          <t>On Contract</t>
        </is>
      </c>
      <c r="AB330" s="53" t="inlineStr">
        <is>
          <t>Active</t>
        </is>
      </c>
      <c r="AC330" s="53" t="inlineStr">
        <is>
          <t>Vikas Thakur</t>
        </is>
      </c>
      <c r="AD330" s="54" t="n">
        <v>46104</v>
      </c>
      <c r="AE330" s="53" t="inlineStr">
        <is>
          <t>Agile Coach</t>
        </is>
      </c>
      <c r="AF330" s="53" t="inlineStr">
        <is>
          <t>B.Tech</t>
        </is>
      </c>
      <c r="AG330" s="53" t="inlineStr">
        <is>
          <t>Pradip Dey</t>
        </is>
      </c>
      <c r="AH330" s="53" t="inlineStr">
        <is>
          <t>N-3</t>
        </is>
      </c>
      <c r="AI330" s="53" t="inlineStr">
        <is>
          <t>Individual Contributor</t>
        </is>
      </c>
      <c r="AJ330" s="53" t="inlineStr">
        <is>
          <t>10 years, 11 months, 0 days</t>
        </is>
      </c>
      <c r="AK330" s="53" t="inlineStr">
        <is>
          <t>0 years, 5 months, 2 days</t>
        </is>
      </c>
      <c r="AL330" s="53" t="inlineStr">
        <is>
          <t>Corporate</t>
        </is>
      </c>
      <c r="AM330" s="53" t="inlineStr">
        <is>
          <t>Corporate</t>
        </is>
      </c>
      <c r="AN330" s="53" t="inlineStr">
        <is>
          <t>Technology</t>
        </is>
      </c>
      <c r="AO330" s="53" t="inlineStr">
        <is>
          <t>Development</t>
        </is>
      </c>
      <c r="AP330" s="53" t="inlineStr">
        <is>
          <t>Yes</t>
        </is>
      </c>
      <c r="AQ330" s="53" t="inlineStr">
        <is>
          <t>Product/Project</t>
        </is>
      </c>
      <c r="AR330" s="53" t="inlineStr">
        <is>
          <t>Agile</t>
        </is>
      </c>
      <c r="AS330" s="53" t="inlineStr">
        <is>
          <t>Technical - Developer</t>
        </is>
      </c>
      <c r="AT330" s="53" t="n">
        <v>0</v>
      </c>
      <c r="AU330" s="53" t="inlineStr">
        <is>
          <t>Excluded</t>
        </is>
      </c>
      <c r="AV330" s="53" t="n"/>
      <c r="AW330" s="53" t="n"/>
      <c r="AX330" s="53" t="n"/>
      <c r="AY330" s="53" t="n"/>
      <c r="AZ330" s="53" t="n"/>
      <c r="BA330" s="53" t="n"/>
      <c r="BB330" s="53" t="n"/>
      <c r="BC330" s="53" t="n"/>
      <c r="BD330" s="53" t="n"/>
      <c r="BE330" s="53" t="n"/>
      <c r="BF330" s="53" t="n"/>
      <c r="BG330" s="53" t="n"/>
      <c r="BH330" s="53" t="n"/>
      <c r="BI330" s="53" t="n"/>
      <c r="BJ330" s="53" t="n"/>
      <c r="BK330" s="53" t="n"/>
      <c r="BL330" s="53" t="n"/>
      <c r="BM330" s="53" t="n"/>
      <c r="BN330" s="53" t="n"/>
      <c r="BO330" s="53" t="n"/>
      <c r="BP330" s="53" t="n"/>
      <c r="BQ330" s="53" t="n"/>
      <c r="BR330" s="53" t="n"/>
      <c r="BS330" s="53" t="n"/>
      <c r="BT330" s="53" t="n"/>
      <c r="BU330" s="53" t="n"/>
      <c r="BV330" s="53" t="n"/>
      <c r="BW330" s="53" t="n"/>
      <c r="BX330" s="53" t="n"/>
      <c r="BY330" s="53" t="n"/>
      <c r="BZ330" s="53" t="n"/>
      <c r="CA330" s="53" t="n"/>
      <c r="CB330" s="53" t="n"/>
      <c r="CC330" s="53" t="n"/>
      <c r="CD330" s="53" t="n"/>
      <c r="CE330" s="53" t="n"/>
      <c r="CF330" s="53" t="n"/>
      <c r="CG330" s="53" t="n"/>
      <c r="CH330" s="53" t="n"/>
      <c r="CI330" s="53" t="n"/>
      <c r="CJ330" s="53" t="n"/>
      <c r="CK330" s="53" t="n"/>
      <c r="CL330" s="53" t="n"/>
      <c r="CM330" s="53" t="n"/>
      <c r="CN330" s="53" t="n"/>
      <c r="CO330" s="53" t="n"/>
      <c r="CP330" s="53" t="n"/>
      <c r="CQ330" s="53" t="n"/>
      <c r="CR330" s="53" t="n"/>
      <c r="CS330" s="53" t="n"/>
      <c r="CT330" s="53" t="n"/>
      <c r="CU330" s="53" t="n"/>
      <c r="CV330" s="53" t="n"/>
      <c r="CW330" s="53" t="n"/>
      <c r="CX330" s="53" t="n"/>
      <c r="CY330" s="53" t="n"/>
      <c r="CZ330" s="53" t="n"/>
      <c r="DA330" s="53" t="n"/>
      <c r="DB330" s="53" t="n"/>
      <c r="DC330" s="53" t="n"/>
      <c r="DD330" s="53" t="n"/>
      <c r="DE330" s="53" t="n"/>
      <c r="DF330" s="53" t="n"/>
      <c r="DG330" s="53" t="n"/>
      <c r="DH330" s="53" t="n"/>
      <c r="DI330" s="53" t="n"/>
      <c r="DJ330" s="53" t="n"/>
      <c r="DK330" s="53" t="n"/>
      <c r="DL330" s="53" t="n"/>
      <c r="DM330" s="53" t="n"/>
      <c r="DN330" s="53" t="n"/>
      <c r="DO330" s="53" t="n"/>
      <c r="DP330" s="53" t="n"/>
      <c r="DQ330" s="53" t="n"/>
      <c r="DR330" s="53" t="n"/>
      <c r="DS330" s="53" t="n"/>
      <c r="DT330" s="53" t="n"/>
      <c r="DU330" s="53" t="n"/>
      <c r="DV330" s="53" t="n"/>
      <c r="DW330" s="53" t="n"/>
      <c r="DX330" s="53" t="n"/>
      <c r="DY330" s="53" t="n"/>
      <c r="DZ330" s="53" t="n"/>
      <c r="EA330" s="53" t="n"/>
      <c r="EB330" s="53" t="n"/>
      <c r="EC330" s="53" t="n"/>
      <c r="ED330" s="53" t="n"/>
      <c r="EE330" s="53" t="n"/>
      <c r="EF330" s="53" t="n"/>
      <c r="EG330" s="53" t="n"/>
      <c r="EH330" s="53" t="n"/>
      <c r="EI330" s="53" t="n"/>
      <c r="EJ330" s="53" t="n"/>
      <c r="EK330" s="53" t="n"/>
      <c r="EL330" s="53" t="n"/>
      <c r="EM330" s="53" t="n"/>
      <c r="EN330" s="53" t="n"/>
      <c r="EO330" s="53" t="n"/>
      <c r="EP330" s="53" t="n"/>
      <c r="EQ330" s="53" t="n"/>
      <c r="ER330" s="53" t="n"/>
      <c r="ES330" s="53" t="n"/>
      <c r="ET330" s="53" t="n"/>
      <c r="EU330" s="53" t="n"/>
      <c r="EV330" s="53" t="n"/>
      <c r="EW330" s="52" t="n"/>
      <c r="EX330" s="53" t="n"/>
      <c r="EY330" s="53" t="n"/>
      <c r="EZ330" s="53" t="n"/>
      <c r="FA330" s="53" t="n"/>
      <c r="FB330" s="53" t="n"/>
      <c r="FC330" s="53" t="n"/>
      <c r="FD330" s="53" t="n"/>
      <c r="FE330" s="55" t="inlineStr">
        <is>
          <t>KRAs not received · manager to supply</t>
        </is>
      </c>
      <c r="FF330" s="56" t="n"/>
      <c r="FG330" s="56" t="n"/>
      <c r="FH330" s="56" t="n"/>
      <c r="FI330" s="56" t="n"/>
      <c r="FJ330" s="32" t="inlineStr">
        <is>
          <t>KRAs not received · manager to supply</t>
        </is>
      </c>
      <c r="FK330" s="56" t="n"/>
      <c r="FL330" s="56" t="n">
        <v>0</v>
      </c>
      <c r="FM330" s="32" t="inlineStr">
        <is>
          <t>No survey response on file</t>
        </is>
      </c>
      <c r="FN330" s="56" t="inlineStr">
        <is>
          <t>—</t>
        </is>
      </c>
      <c r="FO330" s="56" t="inlineStr">
        <is>
          <t>—</t>
        </is>
      </c>
      <c r="FP330" s="56" t="inlineStr">
        <is>
          <t>—</t>
        </is>
      </c>
      <c r="FQ330" s="56" t="inlineStr">
        <is>
          <t>—</t>
        </is>
      </c>
      <c r="FR330" s="56"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FS330" s="56" t="n"/>
      <c r="FT330" s="56" t="n"/>
      <c r="FU330" s="32" t="inlineStr">
        <is>
          <t>No survey response on file</t>
        </is>
      </c>
    </row>
    <row r="331" ht="90" customHeight="1">
      <c r="A331" s="51" t="inlineStr">
        <is>
          <t>◂ Back</t>
        </is>
      </c>
      <c r="B331" s="29" t="inlineStr">
        <is>
          <t>Mapped</t>
        </is>
      </c>
      <c r="C331" s="28" t="inlineStr">
        <is>
          <t>iFile</t>
        </is>
      </c>
      <c r="D331" s="29" t="inlineStr">
        <is>
          <t>IRIS1773</t>
        </is>
      </c>
      <c r="E331" s="29" t="inlineStr">
        <is>
          <t>Virendra Kumar Ray</t>
        </is>
      </c>
      <c r="F331" s="29" t="inlineStr">
        <is>
          <t>Technology</t>
        </is>
      </c>
      <c r="G331" s="29" t="inlineStr">
        <is>
          <t>Technical Architect</t>
        </is>
      </c>
      <c r="H331" s="29" t="inlineStr">
        <is>
          <t>Associate Technical Architect</t>
        </is>
      </c>
      <c r="I331" s="29" t="inlineStr">
        <is>
          <t>Not in current mapping files</t>
        </is>
      </c>
      <c r="J331" s="29" t="inlineStr">
        <is>
          <t>B3</t>
        </is>
      </c>
      <c r="K331" s="29" t="inlineStr">
        <is>
          <t>● Newly mapped</t>
        </is>
      </c>
      <c r="L331" s="29" t="inlineStr">
        <is>
          <t>Engineering &amp; Architecture</t>
        </is>
      </c>
      <c r="M331" s="29" t="inlineStr">
        <is>
          <t>Solution &amp; Technical Architecture</t>
        </is>
      </c>
      <c r="N331" s="29" t="inlineStr">
        <is>
          <t>• Confirm the reporting line — Manager</t>
        </is>
      </c>
      <c r="O331" s="29" t="n">
        <v>20</v>
      </c>
      <c r="P331" s="28" t="inlineStr">
        <is>
          <t>P5 / M4</t>
        </is>
      </c>
      <c r="Q331" s="29" t="inlineStr">
        <is>
          <t>Expert / Senior Manager</t>
        </is>
      </c>
      <c r="R331" s="29" t="inlineStr">
        <is>
          <t>5 Ensure, advise</t>
        </is>
      </c>
      <c r="S331" s="29" t="inlineStr">
        <is>
          <t>8–12 yrs</t>
        </is>
      </c>
      <c r="T331" s="29" t="inlineStr">
        <is>
          <t>9–13 · 9–14</t>
        </is>
      </c>
      <c r="U331" s="29" t="inlineStr">
        <is>
          <t>Principal Architect</t>
        </is>
      </c>
      <c r="V331" s="29" t="inlineStr">
        <is>
          <t>Workiva: Staff SE · Broadridge India: Senior Lead SE · Nasdaq / AxiomSL: Lead SE · Salesforce: LMTS · Atlassian: P50 Senior · Freshworks: Staff SE</t>
        </is>
      </c>
      <c r="W331" s="29" t="inlineStr">
        <is>
          <t>SFIA 9 · solution architecture; TOGAF; AWS / Azure architect certifications</t>
        </is>
      </c>
      <c r="X331" s="29" t="inlineStr">
        <is>
          <t>Core 4 · Future 3 · Functional 4 · Leadership 3</t>
        </is>
      </c>
      <c r="Y331" s="52" t="n">
        <v>566</v>
      </c>
      <c r="Z331" s="53" t="inlineStr">
        <is>
          <t>IRIS1773</t>
        </is>
      </c>
      <c r="AA331" s="53" t="inlineStr">
        <is>
          <t>IRIS Singapore</t>
        </is>
      </c>
      <c r="AB331" s="53" t="inlineStr">
        <is>
          <t>Active</t>
        </is>
      </c>
      <c r="AC331" s="53" t="inlineStr">
        <is>
          <t>Virendra Kumar Ray</t>
        </is>
      </c>
      <c r="AD331" s="54" t="n">
        <v>43556</v>
      </c>
      <c r="AE331" s="53" t="inlineStr">
        <is>
          <t>Technical Architect</t>
        </is>
      </c>
      <c r="AF331" s="53" t="inlineStr">
        <is>
          <t>B.E</t>
        </is>
      </c>
      <c r="AG331" s="53" t="inlineStr">
        <is>
          <t>Pradip Dey</t>
        </is>
      </c>
      <c r="AH331" s="53" t="inlineStr">
        <is>
          <t>N-2</t>
        </is>
      </c>
      <c r="AI331" s="53" t="inlineStr">
        <is>
          <t>Manager</t>
        </is>
      </c>
      <c r="AJ331" s="53" t="inlineStr">
        <is>
          <t>11 years, 0 months, 23 days</t>
        </is>
      </c>
      <c r="AK331" s="53" t="inlineStr">
        <is>
          <t>7 years, 5 months, 22 days</t>
        </is>
      </c>
      <c r="AL331" s="53" t="inlineStr">
        <is>
          <t>Suptech</t>
        </is>
      </c>
      <c r="AM331" s="53" t="inlineStr">
        <is>
          <t>iFile</t>
        </is>
      </c>
      <c r="AN331" s="53" t="inlineStr">
        <is>
          <t>Technology</t>
        </is>
      </c>
      <c r="AO331" s="53" t="inlineStr">
        <is>
          <t>Development</t>
        </is>
      </c>
      <c r="AP331" s="53" t="inlineStr">
        <is>
          <t>Yes</t>
        </is>
      </c>
      <c r="AQ331" s="53" t="inlineStr">
        <is>
          <t>Product/Project</t>
        </is>
      </c>
      <c r="AR331" s="53" t="inlineStr">
        <is>
          <t>.NET MVC, Project Management</t>
        </is>
      </c>
      <c r="AS331" s="53" t="inlineStr">
        <is>
          <t>Technical - Developer</t>
        </is>
      </c>
      <c r="AT331" s="53" t="n">
        <v>20</v>
      </c>
      <c r="AU331" s="53" t="inlineStr">
        <is>
          <t>Covered</t>
        </is>
      </c>
      <c r="AV331" s="53" t="n"/>
      <c r="AW331" s="53" t="n"/>
      <c r="AX331" s="53" t="n"/>
      <c r="AY331" s="53" t="n"/>
      <c r="AZ331" s="53" t="n"/>
      <c r="BA331" s="53" t="n"/>
      <c r="BB331" s="53" t="n"/>
      <c r="BC331" s="53" t="n"/>
      <c r="BD331" s="53" t="n"/>
      <c r="BE331" s="53" t="n"/>
      <c r="BF331" s="53" t="n"/>
      <c r="BG331" s="53" t="n"/>
      <c r="BH331" s="53" t="n"/>
      <c r="BI331" s="53" t="n"/>
      <c r="BJ331" s="53" t="n"/>
      <c r="BK331" s="53" t="n"/>
      <c r="BL331" s="53" t="n"/>
      <c r="BM331" s="53" t="n"/>
      <c r="BN331" s="53" t="n"/>
      <c r="BO331" s="53" t="n"/>
      <c r="BP331" s="53" t="n"/>
      <c r="BQ331" s="53" t="n"/>
      <c r="BR331" s="53" t="n"/>
      <c r="BS331" s="53" t="n"/>
      <c r="BT331" s="53" t="n"/>
      <c r="BU331" s="53" t="n"/>
      <c r="BV331" s="53" t="n"/>
      <c r="BW331" s="53" t="n"/>
      <c r="BX331" s="53" t="n"/>
      <c r="BY331" s="53" t="n"/>
      <c r="BZ331" s="53" t="n"/>
      <c r="CA331" s="53" t="n"/>
      <c r="CB331" s="53" t="n"/>
      <c r="CC331" s="53" t="n"/>
      <c r="CD331" s="53" t="n"/>
      <c r="CE331" s="53" t="n"/>
      <c r="CF331" s="53" t="n"/>
      <c r="CG331" s="53" t="n"/>
      <c r="CH331" s="53" t="n"/>
      <c r="CI331" s="53" t="n"/>
      <c r="CJ331" s="53" t="n"/>
      <c r="CK331" s="53" t="n"/>
      <c r="CL331" s="53" t="n"/>
      <c r="CM331" s="53" t="n"/>
      <c r="CN331" s="53" t="n"/>
      <c r="CO331" s="53" t="n"/>
      <c r="CP331" s="53" t="n"/>
      <c r="CQ331" s="53" t="n"/>
      <c r="CR331" s="53" t="n"/>
      <c r="CS331" s="53" t="n"/>
      <c r="CT331" s="53" t="n"/>
      <c r="CU331" s="53" t="n"/>
      <c r="CV331" s="53" t="n"/>
      <c r="CW331" s="53" t="n"/>
      <c r="CX331" s="53" t="n"/>
      <c r="CY331" s="53" t="n"/>
      <c r="CZ331" s="53" t="n"/>
      <c r="DA331" s="53" t="n"/>
      <c r="DB331" s="53" t="n"/>
      <c r="DC331" s="53" t="n"/>
      <c r="DD331" s="53" t="n"/>
      <c r="DE331" s="53" t="n"/>
      <c r="DF331" s="53" t="n"/>
      <c r="DG331" s="53" t="n"/>
      <c r="DH331" s="53" t="n"/>
      <c r="DI331" s="53" t="n"/>
      <c r="DJ331" s="53" t="n"/>
      <c r="DK331" s="53" t="n"/>
      <c r="DL331" s="53" t="n"/>
      <c r="DM331" s="53" t="n"/>
      <c r="DN331" s="53" t="n"/>
      <c r="DO331" s="53" t="n"/>
      <c r="DP331" s="53" t="n"/>
      <c r="DQ331" s="53" t="n"/>
      <c r="DR331" s="53" t="n"/>
      <c r="DS331" s="53" t="n"/>
      <c r="DT331" s="53" t="n"/>
      <c r="DU331" s="53" t="n"/>
      <c r="DV331" s="53" t="n"/>
      <c r="DW331" s="53" t="n"/>
      <c r="DX331" s="53" t="n"/>
      <c r="DY331" s="53" t="n"/>
      <c r="DZ331" s="53" t="n"/>
      <c r="EA331" s="53" t="n"/>
      <c r="EB331" s="53" t="n"/>
      <c r="EC331" s="53" t="n"/>
      <c r="ED331" s="53" t="n"/>
      <c r="EE331" s="53" t="n"/>
      <c r="EF331" s="53" t="n"/>
      <c r="EG331" s="53" t="n"/>
      <c r="EH331" s="53" t="n"/>
      <c r="EI331" s="53" t="n"/>
      <c r="EJ331" s="53" t="n"/>
      <c r="EK331" s="53" t="n"/>
      <c r="EL331" s="53" t="n"/>
      <c r="EM331" s="53" t="n"/>
      <c r="EN331" s="53" t="n"/>
      <c r="EO331" s="53" t="n"/>
      <c r="EP331" s="53" t="n"/>
      <c r="EQ331" s="53" t="n"/>
      <c r="ER331" s="53" t="n"/>
      <c r="ES331" s="53" t="n"/>
      <c r="ET331" s="53" t="n"/>
      <c r="EU331" s="53" t="n"/>
      <c r="EV331" s="53" t="n"/>
      <c r="EW331" s="52" t="n"/>
      <c r="EX331" s="53" t="n"/>
      <c r="EY331" s="53" t="n"/>
      <c r="EZ331" s="53" t="n"/>
      <c r="FA331" s="53" t="n"/>
      <c r="FB331" s="53" t="n"/>
      <c r="FC331" s="53" t="n"/>
      <c r="FD331" s="53" t="n"/>
      <c r="FE331" s="55" t="inlineStr">
        <is>
          <t>KRAs not received · manager to supply</t>
        </is>
      </c>
      <c r="FF331" s="56" t="n"/>
      <c r="FG331" s="56" t="n"/>
      <c r="FH331" s="56" t="n"/>
      <c r="FI331" s="56" t="n"/>
      <c r="FJ331" s="32" t="inlineStr">
        <is>
          <t>KRAs not received · manager to supply</t>
        </is>
      </c>
      <c r="FK331" s="56" t="n"/>
      <c r="FL331" s="56" t="n">
        <v>20</v>
      </c>
      <c r="FM331" s="32" t="inlineStr">
        <is>
          <t>Full survey answers not in the files received · How We Grow export needed · HR</t>
        </is>
      </c>
      <c r="FN331" s="56" t="inlineStr">
        <is>
          <t>—</t>
        </is>
      </c>
      <c r="FO331" s="56" t="inlineStr">
        <is>
          <t>—</t>
        </is>
      </c>
      <c r="FP331" s="56" t="inlineStr">
        <is>
          <t>—</t>
        </is>
      </c>
      <c r="FQ331" s="56" t="inlineStr">
        <is>
          <t>—</t>
        </is>
      </c>
      <c r="FR331" s="56" t="inlineStr">
        <is>
          <t>Complexity: Evidence reads like B2: Combines project management, project architecture and design documents, business analysis, SIT integration planning and deployment → moved down 1
Autonomy: Evidence reads like B2: Accepts or rejects changes, plans change requests, approves leave, makes the deployment plan → moved down 1
Accountability: Evidence reads like B2: own survey / KRA answers · summarised by the rater; not quoted → moved down 1
Leadership: Evidence reads like B1: Approves team leave and manages resource utilisation, though HR shows 0 reports; team size unstated → moved down 1
Business Impact: No survey or manager-mapping signal on criticality: kept at the start point.</t>
        </is>
      </c>
      <c r="FS331" s="56" t="inlineStr">
        <is>
          <t>Common themes in role-holders' answers: technical · project
Common themes in role-holders' answers: technical
Common themes in role-holders' answers: architecture · design
Common themes in role-holders' answers: technical · approach
If the work is missed · role-holders' themes: impact · cause · delivery.
Measured on · manager-set KRA themes: code · leakage qa/uat · defect · technical · quality · agreed.</t>
        </is>
      </c>
      <c r="FT331" s="56" t="inlineStr">
        <is>
          <t>Self-identified: Project / programme management · Certification / formal course
For the next role: Project / programme management · Certification / formal course</t>
        </is>
      </c>
      <c r="FU331" s="32" t="inlineStr">
        <is>
          <t>Full survey answers not in the files received · How We Grow export needed · HR</t>
        </is>
      </c>
    </row>
    <row r="332" ht="90" customHeight="1">
      <c r="A332" s="51" t="inlineStr">
        <is>
          <t>◂ Back</t>
        </is>
      </c>
      <c r="B332" s="29" t="inlineStr">
        <is>
          <t>Mapped</t>
        </is>
      </c>
      <c r="C332" s="28" t="inlineStr">
        <is>
          <t>iFile</t>
        </is>
      </c>
      <c r="D332" s="29" t="inlineStr">
        <is>
          <t>IRIS0728</t>
        </is>
      </c>
      <c r="E332" s="29" t="inlineStr">
        <is>
          <t>Davinder Pal Singh</t>
        </is>
      </c>
      <c r="F332" s="29" t="inlineStr">
        <is>
          <t>Quality Assurance</t>
        </is>
      </c>
      <c r="G332" s="29" t="inlineStr">
        <is>
          <t>QA Manager</t>
        </is>
      </c>
      <c r="H332" s="29" t="inlineStr">
        <is>
          <t>Senior QA Manager</t>
        </is>
      </c>
      <c r="I332" s="29" t="inlineStr">
        <is>
          <t>L5 – Manager</t>
        </is>
      </c>
      <c r="J332" s="29" t="inlineStr">
        <is>
          <t>B2</t>
        </is>
      </c>
      <c r="K332" s="29" t="inlineStr">
        <is>
          <t>▲ Up</t>
        </is>
      </c>
      <c r="L332" s="29" t="inlineStr">
        <is>
          <t>Quality Assurance</t>
        </is>
      </c>
      <c r="M332" s="29" t="inlineStr">
        <is>
          <t>Test Management &amp; QA Leadership</t>
        </is>
      </c>
      <c r="N332" s="29" t="n"/>
      <c r="O332" s="29" t="n">
        <v>20</v>
      </c>
      <c r="P332" s="28" t="inlineStr">
        <is>
          <t>P4 / M3</t>
        </is>
      </c>
      <c r="Q332" s="29" t="inlineStr">
        <is>
          <t>Senior / Manager</t>
        </is>
      </c>
      <c r="R332" s="29" t="inlineStr">
        <is>
          <t>4–5</t>
        </is>
      </c>
      <c r="S332" s="29" t="inlineStr">
        <is>
          <t>6–9 yrs</t>
        </is>
      </c>
      <c r="T332" s="29" t="inlineStr">
        <is>
          <t>7–10 · 6–11</t>
        </is>
      </c>
      <c r="U332" s="29" t="inlineStr">
        <is>
          <t>Senior Manager</t>
        </is>
      </c>
      <c r="V332" s="29" t="inlineStr">
        <is>
          <t>Workiva: Senior SE · Broadridge India: Lead SE · Nasdaq / AxiomSL: Senior SE · IRIS Vs Market Benchmark — ISTQB certification pathway: Advanced · Test Manager / TAE · IRIS Vs Competitor Benchmark — testing managers: QA Manager</t>
        </is>
      </c>
      <c r="W332" s="29" t="inlineStr">
        <is>
          <t>ISTQB Foundation → Advanced → Expert; SFIA testing</t>
        </is>
      </c>
      <c r="X332" s="29" t="inlineStr">
        <is>
          <t>Core 3 · Future 3 · Functional 4 · Leadership 3</t>
        </is>
      </c>
      <c r="Y332" s="52" t="n">
        <v>89</v>
      </c>
      <c r="Z332" s="53" t="inlineStr">
        <is>
          <t>IRIS0728</t>
        </is>
      </c>
      <c r="AA332" s="53" t="inlineStr">
        <is>
          <t>Employee</t>
        </is>
      </c>
      <c r="AB332" s="53" t="inlineStr">
        <is>
          <t>Active</t>
        </is>
      </c>
      <c r="AC332" s="53" t="inlineStr">
        <is>
          <t>Davinder Pal Singh</t>
        </is>
      </c>
      <c r="AD332" s="54" t="n">
        <v>40695</v>
      </c>
      <c r="AE332" s="53" t="inlineStr">
        <is>
          <t>QA Manager</t>
        </is>
      </c>
      <c r="AF332" s="53" t="inlineStr">
        <is>
          <t>B.Tech</t>
        </is>
      </c>
      <c r="AG332" s="53" t="inlineStr">
        <is>
          <t>Pradip Dey</t>
        </is>
      </c>
      <c r="AH332" s="53" t="inlineStr">
        <is>
          <t>N-3</t>
        </is>
      </c>
      <c r="AI332" s="53" t="inlineStr">
        <is>
          <t>Manager</t>
        </is>
      </c>
      <c r="AJ332" s="53" t="inlineStr">
        <is>
          <t>1 years, 5 months, 0 days</t>
        </is>
      </c>
      <c r="AK332" s="53" t="inlineStr">
        <is>
          <t>15 years, 2 months, 24 days</t>
        </is>
      </c>
      <c r="AL332" s="53" t="inlineStr">
        <is>
          <t>Suptech</t>
        </is>
      </c>
      <c r="AM332" s="53" t="inlineStr">
        <is>
          <t>iFile</t>
        </is>
      </c>
      <c r="AN332" s="53" t="inlineStr">
        <is>
          <t>Quality Assurance</t>
        </is>
      </c>
      <c r="AO332" s="53" t="inlineStr">
        <is>
          <t>Quality Assurance</t>
        </is>
      </c>
      <c r="AP332" s="53" t="inlineStr">
        <is>
          <t>No</t>
        </is>
      </c>
      <c r="AQ332" s="53" t="inlineStr">
        <is>
          <t>Product/Project</t>
        </is>
      </c>
      <c r="AR332" s="53" t="inlineStr">
        <is>
          <t>Software Testing</t>
        </is>
      </c>
      <c r="AS332" s="53" t="inlineStr">
        <is>
          <t>Technical · BA, PM and QA</t>
        </is>
      </c>
      <c r="AT332" s="53" t="n">
        <v>20</v>
      </c>
      <c r="AU332" s="53" t="inlineStr">
        <is>
          <t>Covered</t>
        </is>
      </c>
      <c r="AV332" s="53" t="n"/>
      <c r="AW332" s="53" t="n"/>
      <c r="AX332" s="53" t="n"/>
      <c r="AY332" s="53" t="n"/>
      <c r="AZ332" s="53" t="n"/>
      <c r="BA332" s="53" t="n"/>
      <c r="BB332" s="53" t="n"/>
      <c r="BC332" s="53" t="n"/>
      <c r="BD332" s="53" t="n"/>
      <c r="BE332" s="53" t="n"/>
      <c r="BF332" s="53" t="n"/>
      <c r="BG332" s="53" t="n"/>
      <c r="BH332" s="53" t="n"/>
      <c r="BI332" s="53" t="n"/>
      <c r="BJ332" s="53" t="n"/>
      <c r="BK332" s="53" t="n"/>
      <c r="BL332" s="53" t="n"/>
      <c r="BM332" s="53" t="n"/>
      <c r="BN332" s="53" t="n"/>
      <c r="BO332" s="53" t="n"/>
      <c r="BP332" s="53" t="n"/>
      <c r="BQ332" s="53" t="n"/>
      <c r="BR332" s="53" t="n"/>
      <c r="BS332" s="53" t="n"/>
      <c r="BT332" s="53" t="n"/>
      <c r="BU332" s="53" t="n"/>
      <c r="BV332" s="53" t="n"/>
      <c r="BW332" s="53" t="n"/>
      <c r="BX332" s="53" t="n"/>
      <c r="BY332" s="53" t="n"/>
      <c r="BZ332" s="53" t="n"/>
      <c r="CA332" s="53" t="n"/>
      <c r="CB332" s="53" t="n"/>
      <c r="CC332" s="53" t="n"/>
      <c r="CD332" s="53" t="n"/>
      <c r="CE332" s="53" t="n"/>
      <c r="CF332" s="53" t="n"/>
      <c r="CG332" s="53" t="n"/>
      <c r="CH332" s="53" t="n"/>
      <c r="CI332" s="53" t="n"/>
      <c r="CJ332" s="53" t="n"/>
      <c r="CK332" s="53" t="n"/>
      <c r="CL332" s="53" t="n"/>
      <c r="CM332" s="53" t="n"/>
      <c r="CN332" s="53" t="n"/>
      <c r="CO332" s="53" t="n"/>
      <c r="CP332" s="53" t="n"/>
      <c r="CQ332" s="53" t="n"/>
      <c r="CR332" s="53" t="n"/>
      <c r="CS332" s="53" t="n"/>
      <c r="CT332" s="53" t="n"/>
      <c r="CU332" s="53" t="n"/>
      <c r="CV332" s="53" t="n"/>
      <c r="CW332" s="53" t="n"/>
      <c r="CX332" s="53" t="n"/>
      <c r="CY332" s="53" t="n"/>
      <c r="CZ332" s="53" t="n"/>
      <c r="DA332" s="53" t="n"/>
      <c r="DB332" s="53" t="n"/>
      <c r="DC332" s="53" t="n"/>
      <c r="DD332" s="53" t="inlineStr">
        <is>
          <t>IRIS0728</t>
        </is>
      </c>
      <c r="DE332" s="53" t="inlineStr">
        <is>
          <t>Employee</t>
        </is>
      </c>
      <c r="DF332" s="53" t="inlineStr">
        <is>
          <t>Active</t>
        </is>
      </c>
      <c r="DG332" s="53" t="inlineStr">
        <is>
          <t>Davinder Pal Singh</t>
        </is>
      </c>
      <c r="DH332" s="54" t="n">
        <v>40695</v>
      </c>
      <c r="DI332" s="53" t="inlineStr">
        <is>
          <t>QA Manager</t>
        </is>
      </c>
      <c r="DJ332" s="53" t="inlineStr">
        <is>
          <t>Quality Assurance</t>
        </is>
      </c>
      <c r="DK332" s="53" t="inlineStr">
        <is>
          <t>Quality Engineering</t>
        </is>
      </c>
      <c r="DL332" s="53" t="inlineStr">
        <is>
          <t>QA Manager</t>
        </is>
      </c>
      <c r="DM332" s="53" t="inlineStr">
        <is>
          <t>L5 – Manager</t>
        </is>
      </c>
      <c r="DN332" s="53" t="inlineStr">
        <is>
          <t>B.Tech</t>
        </is>
      </c>
      <c r="DO332" s="53" t="inlineStr">
        <is>
          <t>Pradip Dey</t>
        </is>
      </c>
      <c r="DP332" s="53" t="inlineStr">
        <is>
          <t>N-2</t>
        </is>
      </c>
      <c r="DQ332" s="53" t="inlineStr">
        <is>
          <t>Manager</t>
        </is>
      </c>
      <c r="DR332" s="53" t="inlineStr">
        <is>
          <t>1 years, 5 months, 0 days</t>
        </is>
      </c>
      <c r="DS332" s="53" t="inlineStr">
        <is>
          <t>15 years, 0 months, 19 days</t>
        </is>
      </c>
      <c r="DT332" s="53" t="inlineStr">
        <is>
          <t>16 years, 5 months, 19 days</t>
        </is>
      </c>
      <c r="DU332" s="53" t="n">
        <v>15.0520547945206</v>
      </c>
      <c r="DV332" s="53" t="inlineStr">
        <is>
          <t>Suptech</t>
        </is>
      </c>
      <c r="DW332" s="53" t="inlineStr">
        <is>
          <t>iFile</t>
        </is>
      </c>
      <c r="DX332" s="53" t="inlineStr">
        <is>
          <t>Quality Assurance</t>
        </is>
      </c>
      <c r="DY332" s="53" t="inlineStr">
        <is>
          <t>Quality Assurance</t>
        </is>
      </c>
      <c r="DZ332" s="53" t="inlineStr">
        <is>
          <t>No</t>
        </is>
      </c>
      <c r="EA332" s="53" t="inlineStr">
        <is>
          <t>Product/Project</t>
        </is>
      </c>
      <c r="EB332" s="53" t="inlineStr">
        <is>
          <t>Software Testing</t>
        </is>
      </c>
      <c r="EC332" s="53" t="inlineStr">
        <is>
          <t>Technical · BA, PM and QA</t>
        </is>
      </c>
      <c r="ED332" s="53" t="inlineStr">
        <is>
          <t>Hybrid</t>
        </is>
      </c>
      <c r="EE332" s="53" t="n"/>
      <c r="EF332" s="53" t="inlineStr">
        <is>
          <t>1. QA Management
Ensure product functional/integration testing automated fully. Approx 80-90 % of product testing to be carried out automatically
Prepare Test Plan for the entire iFile platrom
Conduct periodic review of test cases and execution reports. Ensure we have a proper summary for QA activities in the team and we are planning as per roadmap
At least 1-2 new implemenations should have 0 defects during UAT and PROD
2. SBC Project Management
Complete SBC project implementation as per time, scope and cost
Prepare project management artefacts, weekly status reports and communicate with clarity
Conduct RCA for critical issues and initiate resolution activities proactively
3. Team bulding, process adherence, &amp; strategic contributions
Develop future leaders. Ensure at least couple of team members are able to operate at a higher level independently by next year
Ensure adoption of digital way of working across product components and projects
Ensure SCRUM rituals are followed effectively
Contribute/support towards getting 1-2 new clients this financial year
4. PMP/PRINCE and AI
Complete PMP/PRINCE training and get certification
Leverage AI in day to day working - test plan, test cases and integration/funcitonal test cases writing and automaiton etc. 
Conduct frequent reviews and demos to leadership on the improvements</t>
        </is>
      </c>
      <c r="EG332" s="53" t="inlineStr">
        <is>
          <t>SBC project milestones completion and invoicing
Process improvements
Initiate PMP/PRINCE Certification
Digital way of working and measurement of metrics through the tools</t>
        </is>
      </c>
      <c r="EH332" s="53" t="inlineStr">
        <is>
          <t>Meets Expectations</t>
        </is>
      </c>
      <c r="EI332" s="54" t="n">
        <v>45931</v>
      </c>
      <c r="EJ332" s="53" t="inlineStr">
        <is>
          <t>QA Manager</t>
        </is>
      </c>
      <c r="EK332" s="53" t="n"/>
      <c r="EL332" s="53" t="n">
        <v>4</v>
      </c>
      <c r="EM332" s="53" t="inlineStr">
        <is>
          <t>High</t>
        </is>
      </c>
      <c r="EN332" s="53" t="inlineStr">
        <is>
          <t>Trusted Professional</t>
        </is>
      </c>
      <c r="EO332" s="53" t="n"/>
      <c r="EP332" s="53" t="inlineStr">
        <is>
          <t>Y</t>
        </is>
      </c>
      <c r="EQ332" s="53" t="inlineStr">
        <is>
          <t>N</t>
        </is>
      </c>
      <c r="ER332" s="53" t="n"/>
      <c r="ES332" s="53" t="inlineStr">
        <is>
          <t>Communications and Soft Skills</t>
        </is>
      </c>
      <c r="ET332" s="53" t="n"/>
      <c r="EU332" s="53" t="inlineStr">
        <is>
          <t>IFSCA,CMA-Oman,CMA-Kuwait,ACRA,SBC,ADX/DFM</t>
        </is>
      </c>
      <c r="EV332" s="53" t="n"/>
      <c r="EW332" s="52" t="n"/>
      <c r="EX332" s="53" t="n"/>
      <c r="EY332" s="53" t="n"/>
      <c r="EZ332" s="53" t="n"/>
      <c r="FA332" s="53" t="n"/>
      <c r="FB332" s="53" t="n"/>
      <c r="FC332" s="53" t="n"/>
      <c r="FD332" s="53" t="n"/>
      <c r="FE332" s="57" t="inlineStr">
        <is>
          <t>1. QA Management
Ensure product functional/integration testing automated fully. Approx 80-90 % of product testing to be carried out automatically
Prepare Test Plan for the entire iFile platrom
Conduct periodic review of test cases and execution reports. Ensure we have a proper summary for QA activities in the team and we are planning as per roadmap
At least 1-2 new implemenations should have 0 defects during UAT and PROD
2. SBC Project Management
Complete SBC project implementation as per time, scope and cost
Prepare project management artefacts, weekly status reports and communicate with clarity
Conduct RCA for critical issues and initiate resolution activities proactively
3. Team bulding, process adherence, &amp; strategic contributions
Develop future leaders. Ensure at least couple of team members are able to operate at a higher level independently by next year
Ensure adoption of digital way of working across product components and projects
Ensure SCRUM rituals are followed effectively
Contribute/support towards getting 1-2 new clients this financial year
4. PMP/PRINCE and AI
Complete PMP/PRINCE training and get certification
Leverage AI in day to day working - test plan, test cases and integration/funcitonal test cases writing and automaiton etc. 
Conduct frequent reviews and demos to leadership on the improvements</t>
        </is>
      </c>
      <c r="FF332" s="56" t="inlineStr">
        <is>
          <t>SBC project milestones completion and invoicing
Process improvements
Initiate PMP/PRINCE Certification
Digital way of working and measurement of metrics through the tools</t>
        </is>
      </c>
      <c r="FG332" s="56" t="n"/>
      <c r="FH332" s="56" t="inlineStr">
        <is>
          <t>Meets Expectations</t>
        </is>
      </c>
      <c r="FI332" s="56" t="n"/>
      <c r="FJ332" s="56" t="inlineStr">
        <is>
          <t>Received · manager annual, quarterly</t>
        </is>
      </c>
      <c r="FK332" s="56" t="inlineStr">
        <is>
          <t>Talent Mapping · iFile collated</t>
        </is>
      </c>
      <c r="FL332" s="56" t="n">
        <v>20</v>
      </c>
      <c r="FM332" s="32" t="inlineStr">
        <is>
          <t>Full survey answers not in the files received · How We Grow export needed · HR</t>
        </is>
      </c>
      <c r="FN332" s="56" t="inlineStr">
        <is>
          <t>—</t>
        </is>
      </c>
      <c r="FO332" s="56" t="inlineStr">
        <is>
          <t>—</t>
        </is>
      </c>
      <c r="FP332" s="56" t="inlineStr">
        <is>
          <t>—</t>
        </is>
      </c>
      <c r="FQ332" s="56" t="inlineStr">
        <is>
          <t>—</t>
        </is>
      </c>
      <c r="FR332" s="56" t="inlineStr">
        <is>
          <t>Complexity: Evidence reads like B2: KRA: test plan for entire iFile platform, automation drive, SBC project management, RCA of critical issues → matches the start
Autonomy: Evidence reads like B1: Survey names only 'approach for task completion'; project and test management implies team-level calls → moved down 0.5
Accountability: Evidence reads like B2: SBC project delivery on time, scope and cost; QA outcomes of the iFile team → moved down 0.5
Leadership: Evidence reads like B2: Ten direct reports; KRA covers team building and developing future leaders → moved down 0.5
Business Impact: No move: the survey / manager mapping does not mark it business-critical or unique.</t>
        </is>
      </c>
      <c r="FS332" s="56" t="inlineStr">
        <is>
          <t>Common themes in sub-family holders, all levels' answers: testing · lead
Common themes in sub-family holders, all levels' answers: test · quality · planning
Common themes in sub-family holders, all levels' answers: test results · software
If the work is missed · role-holders' themes: delays · rework.</t>
        </is>
      </c>
      <c r="FT332" s="56" t="inlineStr">
        <is>
          <t>Self-identified: AI / automation · Domain, regulatory &amp; XBRL · Client, sales &amp; stakeholders · Communication &amp; presentation · Certification / formal course
For the next role: AI / automation · Domain, regulatory &amp; XBRL · Client, sales &amp; stakeholders · Communication &amp; presentation · Certification / formal course</t>
        </is>
      </c>
      <c r="FU332" s="32" t="inlineStr">
        <is>
          <t>Full survey answers not in the files received · How We Grow export needed · HR</t>
        </is>
      </c>
    </row>
    <row r="333" ht="90" customHeight="1">
      <c r="A333" s="51" t="inlineStr">
        <is>
          <t>◂ Back</t>
        </is>
      </c>
      <c r="B333" s="29" t="inlineStr">
        <is>
          <t>Mapped</t>
        </is>
      </c>
      <c r="C333" s="28" t="inlineStr">
        <is>
          <t>iFile</t>
        </is>
      </c>
      <c r="D333" s="29" t="inlineStr">
        <is>
          <t>IRIS2115</t>
        </is>
      </c>
      <c r="E333" s="29" t="inlineStr">
        <is>
          <t>Sameer Joshi</t>
        </is>
      </c>
      <c r="F333" s="29" t="inlineStr">
        <is>
          <t>Quality Assurance</t>
        </is>
      </c>
      <c r="G333" s="29" t="inlineStr">
        <is>
          <t>QA-Lead</t>
        </is>
      </c>
      <c r="H333" s="29" t="inlineStr">
        <is>
          <t>Senior QA Specialist – POD Lead</t>
        </is>
      </c>
      <c r="I333" s="29" t="inlineStr">
        <is>
          <t>L5 – Lead · IC</t>
        </is>
      </c>
      <c r="J333" s="29" t="inlineStr">
        <is>
          <t>B2</t>
        </is>
      </c>
      <c r="K333" s="29" t="inlineStr">
        <is>
          <t>▼ Down · protected</t>
        </is>
      </c>
      <c r="L333" s="29" t="inlineStr">
        <is>
          <t>Quality Assurance</t>
        </is>
      </c>
      <c r="M333" s="29" t="inlineStr">
        <is>
          <t>Test Management &amp; QA Leadership</t>
        </is>
      </c>
      <c r="N333" s="29" t="n"/>
      <c r="O333" s="29" t="n">
        <v>20</v>
      </c>
      <c r="P333" s="28" t="inlineStr">
        <is>
          <t>P4 / M3</t>
        </is>
      </c>
      <c r="Q333" s="29" t="inlineStr">
        <is>
          <t>Senior / Manager</t>
        </is>
      </c>
      <c r="R333" s="29" t="inlineStr">
        <is>
          <t>4–5</t>
        </is>
      </c>
      <c r="S333" s="29" t="inlineStr">
        <is>
          <t>6–9 yrs</t>
        </is>
      </c>
      <c r="T333" s="29" t="inlineStr">
        <is>
          <t>7–10 · 6–11</t>
        </is>
      </c>
      <c r="U333" s="29" t="inlineStr">
        <is>
          <t>QA Lead / Senior SDET</t>
        </is>
      </c>
      <c r="V333" s="29" t="inlineStr">
        <is>
          <t>Workiva: Senior SE · Broadridge India: Lead SE · Nasdaq / AxiomSL: Senior SE · IRIS Vs Market Benchmark — ISTQB certification pathway: Advanced · Test Manager / TAE · IRIS Vs Competitor Benchmark — testing managers: QA Manager</t>
        </is>
      </c>
      <c r="W333" s="29" t="inlineStr">
        <is>
          <t>ISTQB Foundation → Advanced → Expert; SFIA testing</t>
        </is>
      </c>
      <c r="X333" s="29" t="inlineStr">
        <is>
          <t>Core 3 · Future 3 · Functional 4 · Leadership 3</t>
        </is>
      </c>
      <c r="Y333" s="52" t="n">
        <v>268</v>
      </c>
      <c r="Z333" s="53" t="inlineStr">
        <is>
          <t>IRIS2115</t>
        </is>
      </c>
      <c r="AA333" s="53" t="inlineStr">
        <is>
          <t>Employee</t>
        </is>
      </c>
      <c r="AB333" s="53" t="inlineStr">
        <is>
          <t>Active</t>
        </is>
      </c>
      <c r="AC333" s="53" t="inlineStr">
        <is>
          <t>Sameer Joshi</t>
        </is>
      </c>
      <c r="AD333" s="54" t="n">
        <v>45033</v>
      </c>
      <c r="AE333" s="53" t="inlineStr">
        <is>
          <t>QA-Lead</t>
        </is>
      </c>
      <c r="AF333" s="53" t="inlineStr">
        <is>
          <t>B.SC</t>
        </is>
      </c>
      <c r="AG333" s="53" t="inlineStr">
        <is>
          <t>Davinder Pal Singh</t>
        </is>
      </c>
      <c r="AH333" s="53" t="inlineStr">
        <is>
          <t>N-4</t>
        </is>
      </c>
      <c r="AI333" s="53" t="inlineStr">
        <is>
          <t>Manager</t>
        </is>
      </c>
      <c r="AJ333" s="53" t="inlineStr">
        <is>
          <t>16 years, 0 months, 15 days</t>
        </is>
      </c>
      <c r="AK333" s="53" t="inlineStr">
        <is>
          <t>3 years, 4 months, 8 days</t>
        </is>
      </c>
      <c r="AL333" s="53" t="inlineStr">
        <is>
          <t>Suptech</t>
        </is>
      </c>
      <c r="AM333" s="53" t="inlineStr">
        <is>
          <t>iFile</t>
        </is>
      </c>
      <c r="AN333" s="53" t="inlineStr">
        <is>
          <t>Quality Assurance</t>
        </is>
      </c>
      <c r="AO333" s="53" t="inlineStr">
        <is>
          <t>Quality Assurance</t>
        </is>
      </c>
      <c r="AP333" s="53" t="inlineStr">
        <is>
          <t>No</t>
        </is>
      </c>
      <c r="AQ333" s="53" t="inlineStr">
        <is>
          <t>Product/Project</t>
        </is>
      </c>
      <c r="AR333" s="53" t="inlineStr">
        <is>
          <t>Software Testing</t>
        </is>
      </c>
      <c r="AS333" s="53" t="inlineStr">
        <is>
          <t>Technical · BA, PM and QA</t>
        </is>
      </c>
      <c r="AT333" s="53" t="n">
        <v>20</v>
      </c>
      <c r="AU333" s="53" t="inlineStr">
        <is>
          <t>Covered</t>
        </is>
      </c>
      <c r="AV333" s="53" t="n"/>
      <c r="AW333" s="53" t="n"/>
      <c r="AX333" s="53" t="n"/>
      <c r="AY333" s="53" t="n"/>
      <c r="AZ333" s="53" t="n"/>
      <c r="BA333" s="53" t="n"/>
      <c r="BB333" s="53" t="n"/>
      <c r="BC333" s="53" t="n"/>
      <c r="BD333" s="53" t="n"/>
      <c r="BE333" s="53" t="n"/>
      <c r="BF333" s="53" t="n"/>
      <c r="BG333" s="53" t="n"/>
      <c r="BH333" s="53" t="n"/>
      <c r="BI333" s="53" t="n"/>
      <c r="BJ333" s="53" t="n"/>
      <c r="BK333" s="53" t="n"/>
      <c r="BL333" s="53" t="n"/>
      <c r="BM333" s="53" t="n"/>
      <c r="BN333" s="53" t="n"/>
      <c r="BO333" s="53" t="n"/>
      <c r="BP333" s="53" t="n"/>
      <c r="BQ333" s="53" t="n"/>
      <c r="BR333" s="53" t="n"/>
      <c r="BS333" s="53" t="n"/>
      <c r="BT333" s="53" t="n"/>
      <c r="BU333" s="53" t="n"/>
      <c r="BV333" s="53" t="n"/>
      <c r="BW333" s="53" t="n"/>
      <c r="BX333" s="53" t="n"/>
      <c r="BY333" s="53" t="n"/>
      <c r="BZ333" s="53" t="n"/>
      <c r="CA333" s="53" t="n"/>
      <c r="CB333" s="53" t="n"/>
      <c r="CC333" s="53" t="n"/>
      <c r="CD333" s="53" t="n"/>
      <c r="CE333" s="53" t="n"/>
      <c r="CF333" s="53" t="n"/>
      <c r="CG333" s="53" t="n"/>
      <c r="CH333" s="53" t="n"/>
      <c r="CI333" s="53" t="n"/>
      <c r="CJ333" s="53" t="n"/>
      <c r="CK333" s="53" t="n"/>
      <c r="CL333" s="53" t="n"/>
      <c r="CM333" s="53" t="n"/>
      <c r="CN333" s="53" t="n"/>
      <c r="CO333" s="53" t="n"/>
      <c r="CP333" s="53" t="n"/>
      <c r="CQ333" s="53" t="n"/>
      <c r="CR333" s="53" t="n"/>
      <c r="CS333" s="53" t="n"/>
      <c r="CT333" s="53" t="n"/>
      <c r="CU333" s="53" t="n"/>
      <c r="CV333" s="53" t="n"/>
      <c r="CW333" s="53" t="n"/>
      <c r="CX333" s="53" t="n"/>
      <c r="CY333" s="53" t="n"/>
      <c r="CZ333" s="53" t="n"/>
      <c r="DA333" s="53" t="n"/>
      <c r="DB333" s="53" t="n"/>
      <c r="DC333" s="53" t="n"/>
      <c r="DD333" s="53" t="inlineStr">
        <is>
          <t>IRIS2115</t>
        </is>
      </c>
      <c r="DE333" s="53" t="inlineStr">
        <is>
          <t>Employee</t>
        </is>
      </c>
      <c r="DF333" s="53" t="inlineStr">
        <is>
          <t>Active</t>
        </is>
      </c>
      <c r="DG333" s="53" t="inlineStr">
        <is>
          <t>Sameer Joshi</t>
        </is>
      </c>
      <c r="DH333" s="54" t="n">
        <v>45033</v>
      </c>
      <c r="DI333" s="53" t="inlineStr">
        <is>
          <t>QA-Lead</t>
        </is>
      </c>
      <c r="DJ333" s="53" t="inlineStr">
        <is>
          <t>Quality Assurance</t>
        </is>
      </c>
      <c r="DK333" s="53" t="inlineStr">
        <is>
          <t>Quality Engineering</t>
        </is>
      </c>
      <c r="DL333" s="53" t="inlineStr">
        <is>
          <t>QA-Lead</t>
        </is>
      </c>
      <c r="DM333" s="53" t="inlineStr">
        <is>
          <t>L5 – Lead · IC</t>
        </is>
      </c>
      <c r="DN333" s="53" t="inlineStr">
        <is>
          <t>B.SC</t>
        </is>
      </c>
      <c r="DO333" s="53" t="inlineStr">
        <is>
          <t>Davinder Pal Singh</t>
        </is>
      </c>
      <c r="DP333" s="53" t="inlineStr">
        <is>
          <t>N-3</t>
        </is>
      </c>
      <c r="DQ333" s="53" t="inlineStr">
        <is>
          <t>Manager</t>
        </is>
      </c>
      <c r="DR333" s="53" t="inlineStr">
        <is>
          <t>16 years, 0 months, 15 days</t>
        </is>
      </c>
      <c r="DS333" s="53" t="inlineStr">
        <is>
          <t>3 years, 2 months, 3 days</t>
        </is>
      </c>
      <c r="DT333" s="53" t="inlineStr">
        <is>
          <t>19 years, 2 months, 18 days</t>
        </is>
      </c>
      <c r="DU333" s="53" t="n">
        <v>3.17488584474886</v>
      </c>
      <c r="DV333" s="53" t="inlineStr">
        <is>
          <t>Suptech</t>
        </is>
      </c>
      <c r="DW333" s="53" t="inlineStr">
        <is>
          <t>iFile</t>
        </is>
      </c>
      <c r="DX333" s="53" t="inlineStr">
        <is>
          <t>Quality Assurance</t>
        </is>
      </c>
      <c r="DY333" s="53" t="inlineStr">
        <is>
          <t>Quality Assurance</t>
        </is>
      </c>
      <c r="DZ333" s="53" t="inlineStr">
        <is>
          <t>No</t>
        </is>
      </c>
      <c r="EA333" s="53" t="inlineStr">
        <is>
          <t>Product/Project</t>
        </is>
      </c>
      <c r="EB333" s="53" t="inlineStr">
        <is>
          <t>Software Testing</t>
        </is>
      </c>
      <c r="EC333" s="53" t="inlineStr">
        <is>
          <t>Technical · BA, PM and QA</t>
        </is>
      </c>
      <c r="ED333" s="53" t="inlineStr">
        <is>
          <t>Hybrid</t>
        </is>
      </c>
      <c r="EE333" s="53" t="inlineStr">
        <is>
          <t>1. Test Automation for Teapot Regression Suite 
 -Achieve 80% regression test automation coverage for Teapot, reducing manual regression cycle time by 50-70%.
2. Test Automation for Stable Features in SARB Project 
 -Automate 80-100% of identified stable features in SARB, with tests integrated into CI/CD pipeline.`
3. Learn and Implement Usage of AI in Test Activities 
 - Learn to maximum usage of AI in day-to-day test activities. so it will reduce manual efforts by 30-40%.
4. Assist and Mentor in Functional QA Activities in SARB Project
 - Mentor QA engineers in SARB on functional testing and backlog grooming, with monthly knowledge-sharing sessions and 20% reduction in defect leakage.
5. Contribute to and Oversee Non-Functional Testing Activities - iFile · if need arises 
 `Define NFR test strategy for iFile and execute performance test cycles</t>
        </is>
      </c>
      <c r="EF333" s="53" t="inlineStr">
        <is>
          <t>1. Successfully led the Automation team and managed the SARB project, ensuring all project phases were completed on schedule while meeting quality and delivery expectations.
2. Effectively coordinated production support alongside the planning and execution of new SARB project phases, ensuring seamless support and minimal impact on project timelines.
3. Continued to drive the Teapot automation initiative by expanding automation coverage, improving regression efficiency, and reducing manual testing effort.
4. Demonstrated strong leadership, planning, and execution skills by managing multiple priorities, coordinating cross-functional teams, and ensuring timely delivery of project milestones.
5. Maintained high standards of ownership and accountability while mentoring the Automation team, promoting best practices, and contributing to the team's overall productivity and successful project delivery.</t>
        </is>
      </c>
      <c r="EG333" s="53" t="inlineStr">
        <is>
          <t>Tea pot Automation for First Phase</t>
        </is>
      </c>
      <c r="EH333" s="53" t="n">
        <v>4</v>
      </c>
      <c r="EI333" s="53" t="inlineStr">
        <is>
          <t>15-06-2026</t>
        </is>
      </c>
      <c r="EJ333" s="53" t="inlineStr">
        <is>
          <t>QA Lead</t>
        </is>
      </c>
      <c r="EK333" s="53" t="inlineStr">
        <is>
          <t>No</t>
        </is>
      </c>
      <c r="EL333" s="53" t="n">
        <v>4</v>
      </c>
      <c r="EM333" s="53" t="inlineStr">
        <is>
          <t>High</t>
        </is>
      </c>
      <c r="EN333" s="53" t="inlineStr">
        <is>
          <t>Reliable Specialist</t>
        </is>
      </c>
      <c r="EO333" s="53" t="inlineStr">
        <is>
          <t>No</t>
        </is>
      </c>
      <c r="EP333" s="53" t="inlineStr">
        <is>
          <t>No</t>
        </is>
      </c>
      <c r="EQ333" s="53" t="n"/>
      <c r="ER333" s="53" t="inlineStr">
        <is>
          <t>yet to identify</t>
        </is>
      </c>
      <c r="ES333" s="53" t="n"/>
      <c r="ET333" s="53" t="inlineStr">
        <is>
          <t>AI Knowledge, Ai trainee</t>
        </is>
      </c>
      <c r="EU333" s="53" t="n"/>
      <c r="EV333" s="53" t="n"/>
      <c r="EW333" s="52" t="n"/>
      <c r="EX333" s="53" t="n"/>
      <c r="EY333" s="53" t="n"/>
      <c r="EZ333" s="53" t="n"/>
      <c r="FA333" s="53" t="n"/>
      <c r="FB333" s="53" t="n"/>
      <c r="FC333" s="53" t="n"/>
      <c r="FD333" s="53" t="n"/>
      <c r="FE333" s="57" t="inlineStr">
        <is>
          <t>1. Successfully led the Automation team and managed the SARB project, ensuring all project phases were completed on schedule while meeting quality and delivery expectations.
2. Effectively coordinated production support alongside the planning and execution of new SARB project phases, ensuring seamless support and minimal impact on project timelines.
3. Continued to drive the Teapot automation initiative by expanding automation coverage, improving regression efficiency, and reducing manual testing effort.
4. Demonstrated strong leadership, planning, and execution skills by managing multiple priorities, coordinating cross-functional teams, and ensuring timely delivery of project milestones.
5. Maintained high standards of ownership and accountability while mentoring the Automation team, promoting best practices, and contributing to the team's overall productivity and successful project delivery.</t>
        </is>
      </c>
      <c r="FF333" s="56" t="inlineStr">
        <is>
          <t>Tea pot Automation for First Phase</t>
        </is>
      </c>
      <c r="FG333" s="56" t="inlineStr">
        <is>
          <t>1. Test Automation for Teapot Regression Suite  
   -Achieve 80% regression test automation coverage for Teapot, reducing manual regression cycle time by 50-70%.
2. Test Automation for Stable Features in SARB Project  
   -Automate 80-100% of identified stable features in SARB, with tests integrated into CI/CD pipeline.`
3. Learn and Implement Usage of AI in Test Activities  
   - Learn to maximum usage of AI in day-to-day test activities. so it will reduce manual efforts by 30-40%.
4. Assist and Mentor in Functional QA Activities in SARB Project
    - Mentor QA engineers in SARB on functional testing and backlog grooming, with monthly knowledge-sharing sessions and 20% reduction in defect leakage.
5. Contribute to and Oversee Non-Functional Testing Activities - iFile · if need arises  
   `Define NFR test strategy for iFile and execute performance test cycles</t>
        </is>
      </c>
      <c r="FH333" s="56" t="inlineStr">
        <is>
          <t>4</t>
        </is>
      </c>
      <c r="FI333" s="56" t="n"/>
      <c r="FJ333" s="56" t="inlineStr">
        <is>
          <t>Received · manager annual, quarterly, self</t>
        </is>
      </c>
      <c r="FK333" s="56" t="inlineStr">
        <is>
          <t>Talent Mapping · iFile collated</t>
        </is>
      </c>
      <c r="FL333" s="56" t="n">
        <v>20</v>
      </c>
      <c r="FM333" s="32" t="inlineStr">
        <is>
          <t>Full survey answers not in the files received · How We Grow export needed · HR</t>
        </is>
      </c>
      <c r="FN333" s="56" t="inlineStr">
        <is>
          <t>—</t>
        </is>
      </c>
      <c r="FO333" s="56" t="inlineStr">
        <is>
          <t>—</t>
        </is>
      </c>
      <c r="FP333" s="56" t="inlineStr">
        <is>
          <t>—</t>
        </is>
      </c>
      <c r="FQ333" s="56" t="inlineStr">
        <is>
          <t>—</t>
        </is>
      </c>
      <c r="FR333" s="56" t="inlineStr">
        <is>
          <t>Complexity: Evidence reads like B1: Chooses and builds automation frameworks; test strategy; JMeter; NFR test strategy for iFile · KRA → matches the start
Autonomy: Evidence reads like B1: Decides automation frameworks independently; plans test strategy for projects → matches the start
Accountability: Evidence reads like B1: Owns automation framework, scripts and result reliability; regression automation targets for Teapot and SARB → matches the start
Leadership: Evidence reads like B1: Leads the automation team; mentors SARB QA engineers with monthly sessions · KRA → matches the start
Business Impact: No survey or manager-mapping signal on criticality: kept at the start point.</t>
        </is>
      </c>
      <c r="FS333" s="56" t="inlineStr">
        <is>
          <t>Common themes in sub-family holders, all levels' answers: testing · lead
Common themes in sub-family holders, all levels' answers: test · quality · planning
Common themes in sub-family holders, all levels' answers: test results · software
If the work is missed · role-holders' themes: delays · rework.</t>
        </is>
      </c>
      <c r="FT333" s="56" t="inlineStr">
        <is>
          <t>Self-identified: Technical depth &amp; architecture · Testing &amp; quality · Client, sales &amp; stakeholders · Strategy &amp; business acumen
For the next role: Technical depth &amp; architecture · Testing &amp; quality · Client, sales &amp; stakeholders · Strategy &amp; business acumen</t>
        </is>
      </c>
      <c r="FU333" s="32" t="inlineStr">
        <is>
          <t>Full survey answers not in the files received · How We Grow export needed · HR</t>
        </is>
      </c>
    </row>
    <row r="334" ht="90" customHeight="1">
      <c r="A334" s="51" t="inlineStr">
        <is>
          <t>◂ Back</t>
        </is>
      </c>
      <c r="B334" s="29" t="inlineStr">
        <is>
          <t>Mapped</t>
        </is>
      </c>
      <c r="C334" s="28" t="inlineStr">
        <is>
          <t>iFile</t>
        </is>
      </c>
      <c r="D334" s="29" t="inlineStr">
        <is>
          <t>IRIS2040</t>
        </is>
      </c>
      <c r="E334" s="29" t="inlineStr">
        <is>
          <t>Sandeep Padhi</t>
        </is>
      </c>
      <c r="F334" s="29" t="inlineStr">
        <is>
          <t>Quality Assurance</t>
        </is>
      </c>
      <c r="G334" s="29" t="inlineStr">
        <is>
          <t>QA Engineer</t>
        </is>
      </c>
      <c r="H334" s="29" t="inlineStr">
        <is>
          <t>Senior QA Engineer</t>
        </is>
      </c>
      <c r="I334" s="29" t="inlineStr">
        <is>
          <t>L3 – Professional / Associate</t>
        </is>
      </c>
      <c r="J334" s="29" t="inlineStr">
        <is>
          <t>A3</t>
        </is>
      </c>
      <c r="K334" s="29" t="inlineStr">
        <is>
          <t>▲ Up</t>
        </is>
      </c>
      <c r="L334" s="29" t="inlineStr">
        <is>
          <t>Quality Assurance</t>
        </is>
      </c>
      <c r="M334" s="29" t="inlineStr">
        <is>
          <t>Functional &amp; Domain Testing</t>
        </is>
      </c>
      <c r="N334" s="29" t="n"/>
      <c r="O334" s="29" t="n">
        <v>20</v>
      </c>
      <c r="P334" s="28" t="inlineStr">
        <is>
          <t>P2</t>
        </is>
      </c>
      <c r="Q334" s="29" t="inlineStr">
        <is>
          <t>Developing</t>
        </is>
      </c>
      <c r="R334" s="29" t="inlineStr">
        <is>
          <t>3 Apply</t>
        </is>
      </c>
      <c r="S334" s="29" t="inlineStr">
        <is>
          <t>2–4 yrs</t>
        </is>
      </c>
      <c r="T334" s="29" t="inlineStr">
        <is>
          <t>3–5 · 2–5</t>
        </is>
      </c>
      <c r="U334" s="29" t="inlineStr">
        <is>
          <t>QA Engineer</t>
        </is>
      </c>
      <c r="V334" s="29" t="inlineStr">
        <is>
          <t>Workiva: SE · Broadridge India: SE · Nasdaq / AxiomSL: SE · IRIS Vs Market Benchmark — ISTQB certification pathway: Foundation</t>
        </is>
      </c>
      <c r="W334" s="29" t="inlineStr">
        <is>
          <t>ISTQB Foundation → Advanced → Expert; SFIA testing</t>
        </is>
      </c>
      <c r="X334" s="29" t="inlineStr">
        <is>
          <t>Core 2 · Future 2 · Functional 3 · Leadership not scored</t>
        </is>
      </c>
      <c r="Y334" s="52" t="n">
        <v>229</v>
      </c>
      <c r="Z334" s="53" t="inlineStr">
        <is>
          <t>IRIS2040</t>
        </is>
      </c>
      <c r="AA334" s="53" t="inlineStr">
        <is>
          <t>Employee</t>
        </is>
      </c>
      <c r="AB334" s="53" t="inlineStr">
        <is>
          <t>Active</t>
        </is>
      </c>
      <c r="AC334" s="53" t="inlineStr">
        <is>
          <t>Sandeep Padhi</t>
        </is>
      </c>
      <c r="AD334" s="54" t="n">
        <v>44755</v>
      </c>
      <c r="AE334" s="53" t="inlineStr">
        <is>
          <t>QA Engineer</t>
        </is>
      </c>
      <c r="AF334" s="53" t="inlineStr">
        <is>
          <t>B.Tech</t>
        </is>
      </c>
      <c r="AG334" s="53" t="inlineStr">
        <is>
          <t>Sameer Joshi</t>
        </is>
      </c>
      <c r="AH334" s="53" t="inlineStr">
        <is>
          <t>N-5</t>
        </is>
      </c>
      <c r="AI334" s="53" t="inlineStr">
        <is>
          <t>Individual Contributor</t>
        </is>
      </c>
      <c r="AJ334" s="53" t="inlineStr">
        <is>
          <t>0 years, 9 months, 0 days</t>
        </is>
      </c>
      <c r="AK334" s="53" t="inlineStr">
        <is>
          <t>4 years, 1 months, 12 days</t>
        </is>
      </c>
      <c r="AL334" s="53" t="inlineStr">
        <is>
          <t>Suptech</t>
        </is>
      </c>
      <c r="AM334" s="53" t="inlineStr">
        <is>
          <t>iFile</t>
        </is>
      </c>
      <c r="AN334" s="53" t="inlineStr">
        <is>
          <t>Quality Assurance</t>
        </is>
      </c>
      <c r="AO334" s="53" t="inlineStr">
        <is>
          <t>Quality Assurance</t>
        </is>
      </c>
      <c r="AP334" s="53" t="inlineStr">
        <is>
          <t>No</t>
        </is>
      </c>
      <c r="AQ334" s="53" t="inlineStr">
        <is>
          <t>Product/Project</t>
        </is>
      </c>
      <c r="AR334" s="53" t="inlineStr">
        <is>
          <t>Software Testing</t>
        </is>
      </c>
      <c r="AS334" s="53" t="inlineStr">
        <is>
          <t>Technical · BA, PM and QA</t>
        </is>
      </c>
      <c r="AT334" s="53" t="n">
        <v>20</v>
      </c>
      <c r="AU334" s="53" t="inlineStr">
        <is>
          <t>Covered</t>
        </is>
      </c>
      <c r="AV334" s="53" t="n"/>
      <c r="AW334" s="53" t="n"/>
      <c r="AX334" s="53" t="n"/>
      <c r="AY334" s="53" t="n"/>
      <c r="AZ334" s="53" t="n"/>
      <c r="BA334" s="53" t="n"/>
      <c r="BB334" s="53" t="n"/>
      <c r="BC334" s="53" t="n"/>
      <c r="BD334" s="53" t="n"/>
      <c r="BE334" s="53" t="n"/>
      <c r="BF334" s="53" t="n"/>
      <c r="BG334" s="53" t="n"/>
      <c r="BH334" s="53" t="n"/>
      <c r="BI334" s="53" t="n"/>
      <c r="BJ334" s="53" t="n"/>
      <c r="BK334" s="53" t="n"/>
      <c r="BL334" s="53" t="n"/>
      <c r="BM334" s="53" t="n"/>
      <c r="BN334" s="53" t="n"/>
      <c r="BO334" s="53" t="n"/>
      <c r="BP334" s="53" t="n"/>
      <c r="BQ334" s="53" t="n"/>
      <c r="BR334" s="53" t="n"/>
      <c r="BS334" s="53" t="n"/>
      <c r="BT334" s="53" t="n"/>
      <c r="BU334" s="53" t="n"/>
      <c r="BV334" s="53" t="n"/>
      <c r="BW334" s="53" t="n"/>
      <c r="BX334" s="53" t="n"/>
      <c r="BY334" s="53" t="n"/>
      <c r="BZ334" s="53" t="n"/>
      <c r="CA334" s="53" t="n"/>
      <c r="CB334" s="53" t="n"/>
      <c r="CC334" s="53" t="n"/>
      <c r="CD334" s="53" t="n"/>
      <c r="CE334" s="53" t="n"/>
      <c r="CF334" s="53" t="n"/>
      <c r="CG334" s="53" t="n"/>
      <c r="CH334" s="53" t="n"/>
      <c r="CI334" s="53" t="n"/>
      <c r="CJ334" s="53" t="n"/>
      <c r="CK334" s="53" t="n"/>
      <c r="CL334" s="53" t="n"/>
      <c r="CM334" s="53" t="n"/>
      <c r="CN334" s="53" t="n"/>
      <c r="CO334" s="53" t="n"/>
      <c r="CP334" s="53" t="n"/>
      <c r="CQ334" s="53" t="n"/>
      <c r="CR334" s="53" t="n"/>
      <c r="CS334" s="53" t="n"/>
      <c r="CT334" s="53" t="n"/>
      <c r="CU334" s="53" t="n"/>
      <c r="CV334" s="53" t="n"/>
      <c r="CW334" s="53" t="n"/>
      <c r="CX334" s="53" t="n"/>
      <c r="CY334" s="53" t="n"/>
      <c r="CZ334" s="53" t="n"/>
      <c r="DA334" s="53" t="n"/>
      <c r="DB334" s="53" t="n"/>
      <c r="DC334" s="53" t="n"/>
      <c r="DD334" s="53" t="inlineStr">
        <is>
          <t>IRIS2040</t>
        </is>
      </c>
      <c r="DE334" s="53" t="inlineStr">
        <is>
          <t>Employee</t>
        </is>
      </c>
      <c r="DF334" s="53" t="inlineStr">
        <is>
          <t>Active</t>
        </is>
      </c>
      <c r="DG334" s="53" t="inlineStr">
        <is>
          <t>Sandeep Padhi</t>
        </is>
      </c>
      <c r="DH334" s="54" t="n">
        <v>44755</v>
      </c>
      <c r="DI334" s="53" t="inlineStr">
        <is>
          <t>QA Engineer</t>
        </is>
      </c>
      <c r="DJ334" s="53" t="inlineStr">
        <is>
          <t>Quality Assurance</t>
        </is>
      </c>
      <c r="DK334" s="53" t="inlineStr">
        <is>
          <t>Quality Engineering</t>
        </is>
      </c>
      <c r="DL334" s="53" t="inlineStr">
        <is>
          <t>QA Engineer</t>
        </is>
      </c>
      <c r="DM334" s="53" t="inlineStr">
        <is>
          <t>L3 – Professional / Associate</t>
        </is>
      </c>
      <c r="DN334" s="53" t="inlineStr">
        <is>
          <t>B.Tech</t>
        </is>
      </c>
      <c r="DO334" s="53" t="inlineStr">
        <is>
          <t>Sameer Joshi</t>
        </is>
      </c>
      <c r="DP334" s="53" t="inlineStr">
        <is>
          <t>N-4</t>
        </is>
      </c>
      <c r="DQ334" s="53" t="inlineStr">
        <is>
          <t>Individual Contributor</t>
        </is>
      </c>
      <c r="DR334" s="53" t="inlineStr">
        <is>
          <t>0 years, 9 months, 0 days</t>
        </is>
      </c>
      <c r="DS334" s="53" t="inlineStr">
        <is>
          <t>3 years, 11 months, 7 days</t>
        </is>
      </c>
      <c r="DT334" s="53" t="inlineStr">
        <is>
          <t>4 years, 8 months, 7 days</t>
        </is>
      </c>
      <c r="DU334" s="53" t="n"/>
      <c r="DV334" s="53" t="inlineStr">
        <is>
          <t>Suptech</t>
        </is>
      </c>
      <c r="DW334" s="53" t="inlineStr">
        <is>
          <t>iFile</t>
        </is>
      </c>
      <c r="DX334" s="53" t="inlineStr">
        <is>
          <t>Quality Assurance</t>
        </is>
      </c>
      <c r="DY334" s="53" t="inlineStr">
        <is>
          <t>Quality Assurance</t>
        </is>
      </c>
      <c r="DZ334" s="53" t="inlineStr">
        <is>
          <t>No</t>
        </is>
      </c>
      <c r="EA334" s="53" t="inlineStr">
        <is>
          <t>Product/Project</t>
        </is>
      </c>
      <c r="EB334" s="53" t="inlineStr">
        <is>
          <t>Software Testing</t>
        </is>
      </c>
      <c r="EC334" s="53" t="inlineStr">
        <is>
          <t>Technical · BA, PM and QA</t>
        </is>
      </c>
      <c r="ED334" s="53" t="inlineStr">
        <is>
          <t>Remote- Outside Mumbai</t>
        </is>
      </c>
      <c r="EE334" s="53" t="inlineStr">
        <is>
          <t>1. End-to-End Testing of SBC API Functionality
Led the QA activities for the newly developed SBC API by defining the testing approach and strategy.
Designed and executed comprehensive API test cases covering functional, integration, and end-to-end testing scenarios.
Validated business rules, taxonomy mappings, business formulas, and business calculations to ensure accurate financial data processing.
Performed defect identification, reporting, retesting, and regression testing to ensure high-quality API releases.
Developed JavaScript automation scripts in Postman to dynamically generate date values for API requests · Using AI.
Automated multiple filing submissions at predefined time intervals, reducing manual effort and improving execution efficiency.
Improved the API testing process through reusable automation scripts and optimized test execution.
2. Knowledge Sharing and Client Demonstrations
Conducted multiple functional demonstrations of the SBC API for internal stakeholders and clients.
Explained API workflows, business validations, and testing outcomes to improve product understanding and support successful feature adoption.
3. PDF Validation Testing
Performed end-to-end testing of the newly developed Python-based PDF validation solution.
Validated 15 business rules across multiple environments to ensure accuracy, consistency, and compliance with business requirements.
Collaborated with the development team to verify fixes and maintain product quality.
4. SBC Upgrade Program Testing
Contributed to the testing activities for the SBC Upgrade Program.
Executed functional, regression, and validation testing to ensure smooth implementation of upgrade-related enhancements with minimal impact on existing functionality.
5. Support for SARB MVP 4 Testing
Supported QA activities for SARB MVP 4 backlog items and newly developed features.
Performed test execution, defect validation, regression testing, and coordinated with developers to ensure timely delivery of quality releases.
6. Continuous Learning and Skill Development
Successfully learned MySQL to strengthen database validation and data analysis capabilities.
Currently learning Python to enhance automation testing skills and improve testing efficiency through scripting and automation.
7. Innovation and Process Improvement
Initiated the development of an AI-powered "Defect Writing" project aimed at improving the quality, consistency, and efficiency of defect reporting.
Exploring the use of AI to standardize defect descriptions, generate structured defect reports, and reduce manual effort in the testing process.</t>
        </is>
      </c>
      <c r="EF334" s="53" t="inlineStr">
        <is>
          <t>1. Lead end-to-end testing of the SBC API by designing, executing, and validating comprehensive functional, integration, and regression test scenarios to ensure high-quality and reliable API releases.
2. Improve API testing efficiency by developing reusable Postman automation scripts and AI-assisted solutions to reduce manual effort, automate repetitive tasks, and optimize the overall testing process.
3. Validate business rules, taxonomy mappings, business formulas, financial calculations, and PDF validation across multiple environments to ensure compliance with business requirements and product quality.
4. Successfully support testing activities for the SBC Upgrade Program and SARB MVP releases by executing functional, regression, and validation testing, ensuring timely delivery with minimal production issues.
5. Continuously enhance technical capabilities by learning MySQL, Python, AI-assisted testing techniques, and developing innovative QA solutions such as the AI-powered Defect Writing tool to improve testing productivity and defect quality.</t>
        </is>
      </c>
      <c r="EG334" s="53" t="inlineStr">
        <is>
          <t>1.  Conduct functional demonstrations, collaborate effectively with clients, developers, and internal stakeholders, and share product knowledge to improve feature understanding, user adoption, and project success.</t>
        </is>
      </c>
      <c r="EH334" s="53" t="n">
        <v>4</v>
      </c>
      <c r="EI334" s="54" t="n">
        <v>46149</v>
      </c>
      <c r="EJ334" s="53" t="inlineStr">
        <is>
          <t>QA Engineer</t>
        </is>
      </c>
      <c r="EK334" s="53" t="inlineStr">
        <is>
          <t>no</t>
        </is>
      </c>
      <c r="EL334" s="53" t="n">
        <v>4</v>
      </c>
      <c r="EM334" s="53" t="inlineStr">
        <is>
          <t>Medium</t>
        </is>
      </c>
      <c r="EN334" s="53" t="inlineStr">
        <is>
          <t>High Impact / Growth Talent</t>
        </is>
      </c>
      <c r="EO334" s="53" t="inlineStr">
        <is>
          <t>No</t>
        </is>
      </c>
      <c r="EP334" s="53" t="inlineStr">
        <is>
          <t>No</t>
        </is>
      </c>
      <c r="EQ334" s="53" t="inlineStr">
        <is>
          <t>No</t>
        </is>
      </c>
      <c r="ER334" s="53" t="inlineStr">
        <is>
          <t>yet to identify</t>
        </is>
      </c>
      <c r="ES334" s="53" t="inlineStr">
        <is>
          <t>Automation training</t>
        </is>
      </c>
      <c r="ET334" s="53" t="inlineStr">
        <is>
          <t>Transition to leadership: people management &amp; delegation, mentoring/coaching, project ownership &amp; stakeholder management, prioritisation under ambiguity, presentation &amp; influence skills</t>
        </is>
      </c>
      <c r="EU334" s="53" t="n"/>
      <c r="EV334" s="53" t="n"/>
      <c r="EW334" s="52" t="n"/>
      <c r="EX334" s="53" t="n"/>
      <c r="EY334" s="53" t="n"/>
      <c r="EZ334" s="53" t="n"/>
      <c r="FA334" s="53" t="n"/>
      <c r="FB334" s="53" t="n"/>
      <c r="FC334" s="53" t="n"/>
      <c r="FD334" s="53" t="n"/>
      <c r="FE334" s="57" t="inlineStr">
        <is>
          <t>1. Lead end-to-end testing of the SBC API by designing, executing, and validating comprehensive functional, integration, and regression test scenarios to ensure high-quality and reliable API releases.
2. Improve API testing efficiency by developing reusable Postman automation scripts and AI-assisted solutions to reduce manual effort, automate repetitive tasks, and optimize the overall testing process.
3. Validate business rules, taxonomy mappings, business formulas, financial calculations, and PDF validation across multiple environments to ensure compliance with business requirements and product quality.
4. Successfully support testing activities for the SBC Upgrade Program and SARB MVP releases by executing functional, regression, and validation testing, ensuring timely delivery with minimal production issues.
5. Continuously enhance technical capabilities by learning MySQL, Python, AI-assisted testing techniques, and developing innovative QA solutions such as the AI-powered Defect Writing tool to improve testing productivity and defect quality.</t>
        </is>
      </c>
      <c r="FF334" s="56" t="inlineStr">
        <is>
          <t>1.  Conduct functional demonstrations, collaborate effectively with clients, developers, and internal stakeholders, and share product knowledge to improve feature understanding, user adoption, and project success.</t>
        </is>
      </c>
      <c r="FG334" s="56" t="inlineStr">
        <is>
          <t>1. End-to-End Testing of SBC API Functionality
Led the QA activities for the newly developed SBC API by defining the testing approach and strategy.
Designed and executed comprehensive API test cases covering functional, integration, and end-to-end testing scenarios.
Validated business rules, taxonomy mappings, business formulas, and business calculations to ensure accurate financial data processing.
Performed defect identification, reporting, retesting, and regression testing to ensure high-quality API releases.
Developed JavaScript automation scripts in Postman to dynamically generate date values for API requests · Using AI.
Automated multiple filing submissions at predefined time intervals, reducing manual effort and improving execution efficiency.
Improved the API testing process through reusable automation scripts and optimized test execution.
2. Knowledge Sharing and Client Demonstrations
Conducted multiple functional demonstrations of the SBC API for internal stakeholders and clients.
Explained API workflows, business validations, and testing outcomes to improve product understanding and support successful feature adoption.
3. PDF Validation Testing
Performed end-to-end testing of the newly developed Python-based PDF validation solution.
Validated 15 business rules across multiple environments to ensure accuracy, consistency, and compliance with business requirements.
Collaborated with the development team to verify fixes and maintain product quality.
4. SBC Upgrade Program Testing
Contributed to the testing activities for the SBC Upgrade Program.
Executed functional, regression, and validation testing to ensure smooth implementation of upgrade-related enhancements with minimal impact on existing functionality.
5. Support for SARB MVP 4 Testing
Supported QA activities for SARB MVP 4 backlog items and newly developed features.
Performed test execution, defect validation, regression testing, and coordinated with developers to ensure timely delivery of quality releases.
6. Continuous Learning and Skill Development
Successfully learned MySQL to strengthen database validation and data analysis capabilities.
Currently learning Python to enhance automation testing skills and improve testing efficiency through scripting and automation.
7. Innovation and Process Improvement
Initiated the development of an AI-powered "Defect Writing" project aimed at improving the quality, consistency, and efficiency of defect reporting.
Exploring the use of AI to standardize defect descriptions, generate structured defect reports, and reduce manual effort in the testing process.</t>
        </is>
      </c>
      <c r="FH334" s="56" t="inlineStr">
        <is>
          <t>4</t>
        </is>
      </c>
      <c r="FI334" s="56" t="n"/>
      <c r="FJ334" s="56" t="inlineStr">
        <is>
          <t>Received · manager annual, quarterly, self</t>
        </is>
      </c>
      <c r="FK334" s="56" t="inlineStr">
        <is>
          <t>Talent Mapping · iFile collated</t>
        </is>
      </c>
      <c r="FL334" s="56" t="n">
        <v>20</v>
      </c>
      <c r="FM334" s="32" t="inlineStr">
        <is>
          <t>Full survey answers not in the files received · How We Grow export needed · HR</t>
        </is>
      </c>
      <c r="FN334" s="56" t="inlineStr">
        <is>
          <t>—</t>
        </is>
      </c>
      <c r="FO334" s="56" t="inlineStr">
        <is>
          <t>—</t>
        </is>
      </c>
      <c r="FP334" s="56" t="inlineStr">
        <is>
          <t>—</t>
        </is>
      </c>
      <c r="FQ334" s="56" t="inlineStr">
        <is>
          <t>—</t>
        </is>
      </c>
      <c r="FR334" s="56" t="inlineStr">
        <is>
          <t>Complexity: Evidence reads like A3: Defined SBC API test approach; validates business rules and taxonomy mappings; Postman scripts, MySQL, Power BI → moved up 0.5
Autonomy: Evidence reads like A3: Defined the SBC API testing approach and built own Postman automation · KRA → moved up 0.5
Accountability: Evidence reads like A3: QA of the SBC API end to end; client demonstrations; missed bugs hit production → moved up 0.5
Leadership: Evidence reads like A2: Knowledge-sharing noted in KRA; no team led → moved up 0.5
Business Impact: No survey or manager-mapping signal on criticality: kept at the start point.</t>
        </is>
      </c>
      <c r="FS334" s="56"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FT334" s="56" t="inlineStr">
        <is>
          <t>Self-identified: AI / automation · Testing &amp; quality · Data, SQL &amp; analytics · Product &amp; tool knowledge
For the next role: AI / automation · Testing &amp; quality · Data, SQL &amp; analytics · Product &amp; tool knowledge · Strategy &amp; business acumen · Broader exposure &amp; ownership</t>
        </is>
      </c>
      <c r="FU334" s="32" t="inlineStr">
        <is>
          <t>Full survey answers not in the files received · How We Grow export needed · HR</t>
        </is>
      </c>
    </row>
    <row r="335" ht="90" customHeight="1">
      <c r="A335" s="51" t="inlineStr">
        <is>
          <t>◂ Back</t>
        </is>
      </c>
      <c r="B335" s="29" t="inlineStr">
        <is>
          <t>Mapped</t>
        </is>
      </c>
      <c r="C335" s="28" t="inlineStr">
        <is>
          <t>iFile</t>
        </is>
      </c>
      <c r="D335" s="29" t="inlineStr">
        <is>
          <t>IRIS2227</t>
        </is>
      </c>
      <c r="E335" s="29" t="inlineStr">
        <is>
          <t>Suraj Govind Walhekar</t>
        </is>
      </c>
      <c r="F335" s="29" t="inlineStr">
        <is>
          <t>Quality Assurance</t>
        </is>
      </c>
      <c r="G335" s="29" t="inlineStr">
        <is>
          <t>QA Engineer</t>
        </is>
      </c>
      <c r="H335" s="29" t="inlineStr">
        <is>
          <t>Senior QA Engineer</t>
        </is>
      </c>
      <c r="I335" s="29" t="inlineStr">
        <is>
          <t>L3 – Professional / Associate</t>
        </is>
      </c>
      <c r="J335" s="29" t="inlineStr">
        <is>
          <t>A3</t>
        </is>
      </c>
      <c r="K335" s="29" t="inlineStr">
        <is>
          <t>▲ Up</t>
        </is>
      </c>
      <c r="L335" s="29" t="inlineStr">
        <is>
          <t>Quality Assurance</t>
        </is>
      </c>
      <c r="M335" s="29" t="inlineStr">
        <is>
          <t>Functional &amp; Domain Testing</t>
        </is>
      </c>
      <c r="N335" s="29" t="n"/>
      <c r="O335" s="29" t="n">
        <v>20</v>
      </c>
      <c r="P335" s="28" t="inlineStr">
        <is>
          <t>P2</t>
        </is>
      </c>
      <c r="Q335" s="29" t="inlineStr">
        <is>
          <t>Developing</t>
        </is>
      </c>
      <c r="R335" s="29" t="inlineStr">
        <is>
          <t>3 Apply</t>
        </is>
      </c>
      <c r="S335" s="29" t="inlineStr">
        <is>
          <t>2–4 yrs</t>
        </is>
      </c>
      <c r="T335" s="29" t="inlineStr">
        <is>
          <t>3–5 · 2–5</t>
        </is>
      </c>
      <c r="U335" s="29" t="inlineStr">
        <is>
          <t>QA Engineer</t>
        </is>
      </c>
      <c r="V335" s="29" t="inlineStr">
        <is>
          <t>Workiva: SE · Broadridge India: SE · Nasdaq / AxiomSL: SE · IRIS Vs Market Benchmark — ISTQB certification pathway: Foundation</t>
        </is>
      </c>
      <c r="W335" s="29" t="inlineStr">
        <is>
          <t>ISTQB Foundation → Advanced → Expert; SFIA testing</t>
        </is>
      </c>
      <c r="X335" s="29" t="inlineStr">
        <is>
          <t>Core 2 · Future 2 · Functional 3 · Leadership not scored</t>
        </is>
      </c>
      <c r="Y335" s="52" t="n">
        <v>307</v>
      </c>
      <c r="Z335" s="53" t="inlineStr">
        <is>
          <t>IRIS2227</t>
        </is>
      </c>
      <c r="AA335" s="53" t="inlineStr">
        <is>
          <t>Employee</t>
        </is>
      </c>
      <c r="AB335" s="53" t="inlineStr">
        <is>
          <t>Active</t>
        </is>
      </c>
      <c r="AC335" s="53" t="inlineStr">
        <is>
          <t>Suraj Govind Walhekar</t>
        </is>
      </c>
      <c r="AD335" s="54" t="n">
        <v>45343</v>
      </c>
      <c r="AE335" s="53" t="inlineStr">
        <is>
          <t>QA Engineer</t>
        </is>
      </c>
      <c r="AF335" s="53" t="inlineStr">
        <is>
          <t>B.E</t>
        </is>
      </c>
      <c r="AG335" s="53" t="inlineStr">
        <is>
          <t>Sameer Joshi</t>
        </is>
      </c>
      <c r="AH335" s="53" t="inlineStr">
        <is>
          <t>N-5</t>
        </is>
      </c>
      <c r="AI335" s="53" t="inlineStr">
        <is>
          <t>Individual Contributor</t>
        </is>
      </c>
      <c r="AJ335" s="53" t="inlineStr">
        <is>
          <t>2 years, 9 months, 0 days</t>
        </is>
      </c>
      <c r="AK335" s="53" t="inlineStr">
        <is>
          <t>2 years, 6 months, 4 days</t>
        </is>
      </c>
      <c r="AL335" s="53" t="inlineStr">
        <is>
          <t>Suptech</t>
        </is>
      </c>
      <c r="AM335" s="53" t="inlineStr">
        <is>
          <t>iFile</t>
        </is>
      </c>
      <c r="AN335" s="53" t="inlineStr">
        <is>
          <t>Quality Assurance</t>
        </is>
      </c>
      <c r="AO335" s="53" t="inlineStr">
        <is>
          <t>Quality Assurance</t>
        </is>
      </c>
      <c r="AP335" s="53" t="inlineStr">
        <is>
          <t>No</t>
        </is>
      </c>
      <c r="AQ335" s="53" t="inlineStr">
        <is>
          <t>Product/Project</t>
        </is>
      </c>
      <c r="AR335" s="53" t="inlineStr">
        <is>
          <t>Software Testing</t>
        </is>
      </c>
      <c r="AS335" s="53" t="inlineStr">
        <is>
          <t>Technical · BA, PM and QA</t>
        </is>
      </c>
      <c r="AT335" s="53" t="n">
        <v>20</v>
      </c>
      <c r="AU335" s="53" t="inlineStr">
        <is>
          <t>Covered</t>
        </is>
      </c>
      <c r="AV335" s="53" t="n"/>
      <c r="AW335" s="53" t="n"/>
      <c r="AX335" s="53" t="n"/>
      <c r="AY335" s="53" t="n"/>
      <c r="AZ335" s="53" t="n"/>
      <c r="BA335" s="53" t="n"/>
      <c r="BB335" s="53" t="n"/>
      <c r="BC335" s="53" t="n"/>
      <c r="BD335" s="53" t="n"/>
      <c r="BE335" s="53" t="n"/>
      <c r="BF335" s="53" t="n"/>
      <c r="BG335" s="53" t="n"/>
      <c r="BH335" s="53" t="n"/>
      <c r="BI335" s="53" t="n"/>
      <c r="BJ335" s="53" t="n"/>
      <c r="BK335" s="53" t="n"/>
      <c r="BL335" s="53" t="n"/>
      <c r="BM335" s="53" t="n"/>
      <c r="BN335" s="53" t="n"/>
      <c r="BO335" s="53" t="n"/>
      <c r="BP335" s="53" t="n"/>
      <c r="BQ335" s="53" t="n"/>
      <c r="BR335" s="53" t="n"/>
      <c r="BS335" s="53" t="n"/>
      <c r="BT335" s="53" t="n"/>
      <c r="BU335" s="53" t="n"/>
      <c r="BV335" s="53" t="n"/>
      <c r="BW335" s="53" t="n"/>
      <c r="BX335" s="53" t="n"/>
      <c r="BY335" s="53" t="n"/>
      <c r="BZ335" s="53" t="n"/>
      <c r="CA335" s="53" t="n"/>
      <c r="CB335" s="53" t="n"/>
      <c r="CC335" s="53" t="n"/>
      <c r="CD335" s="53" t="n"/>
      <c r="CE335" s="53" t="n"/>
      <c r="CF335" s="53" t="n"/>
      <c r="CG335" s="53" t="n"/>
      <c r="CH335" s="53" t="n"/>
      <c r="CI335" s="53" t="n"/>
      <c r="CJ335" s="53" t="n"/>
      <c r="CK335" s="53" t="n"/>
      <c r="CL335" s="53" t="n"/>
      <c r="CM335" s="53" t="n"/>
      <c r="CN335" s="53" t="n"/>
      <c r="CO335" s="53" t="n"/>
      <c r="CP335" s="53" t="n"/>
      <c r="CQ335" s="53" t="n"/>
      <c r="CR335" s="53" t="n"/>
      <c r="CS335" s="53" t="n"/>
      <c r="CT335" s="53" t="n"/>
      <c r="CU335" s="53" t="n"/>
      <c r="CV335" s="53" t="n"/>
      <c r="CW335" s="53" t="n"/>
      <c r="CX335" s="53" t="n"/>
      <c r="CY335" s="53" t="n"/>
      <c r="CZ335" s="53" t="n"/>
      <c r="DA335" s="53" t="n"/>
      <c r="DB335" s="53" t="n"/>
      <c r="DC335" s="53" t="n"/>
      <c r="DD335" s="53" t="inlineStr">
        <is>
          <t>IRIS2227</t>
        </is>
      </c>
      <c r="DE335" s="53" t="inlineStr">
        <is>
          <t>Employee</t>
        </is>
      </c>
      <c r="DF335" s="53" t="inlineStr">
        <is>
          <t>Active</t>
        </is>
      </c>
      <c r="DG335" s="53" t="inlineStr">
        <is>
          <t>Suraj Govind Walhekar</t>
        </is>
      </c>
      <c r="DH335" s="54" t="n">
        <v>45343</v>
      </c>
      <c r="DI335" s="53" t="inlineStr">
        <is>
          <t>QA Engineer</t>
        </is>
      </c>
      <c r="DJ335" s="53" t="inlineStr">
        <is>
          <t>Quality Assurance</t>
        </is>
      </c>
      <c r="DK335" s="53" t="inlineStr">
        <is>
          <t>Quality Engineering</t>
        </is>
      </c>
      <c r="DL335" s="53" t="inlineStr">
        <is>
          <t>QA Engineer</t>
        </is>
      </c>
      <c r="DM335" s="53" t="inlineStr">
        <is>
          <t>L3 – Professional / Associate</t>
        </is>
      </c>
      <c r="DN335" s="53" t="inlineStr">
        <is>
          <t>B.E</t>
        </is>
      </c>
      <c r="DO335" s="53" t="inlineStr">
        <is>
          <t>Sameer Joshi</t>
        </is>
      </c>
      <c r="DP335" s="53" t="inlineStr">
        <is>
          <t>N-4</t>
        </is>
      </c>
      <c r="DQ335" s="53" t="inlineStr">
        <is>
          <t>Individual Contributor</t>
        </is>
      </c>
      <c r="DR335" s="53" t="inlineStr">
        <is>
          <t>2 years, 9 months, 0 days</t>
        </is>
      </c>
      <c r="DS335" s="53" t="inlineStr">
        <is>
          <t>2 years, 3 months, 30 days</t>
        </is>
      </c>
      <c r="DT335" s="53" t="inlineStr">
        <is>
          <t>5 years, 0 months, 30 days</t>
        </is>
      </c>
      <c r="DU335" s="53" t="n"/>
      <c r="DV335" s="53" t="inlineStr">
        <is>
          <t>Suptech</t>
        </is>
      </c>
      <c r="DW335" s="53" t="inlineStr">
        <is>
          <t>iFile</t>
        </is>
      </c>
      <c r="DX335" s="53" t="inlineStr">
        <is>
          <t>Quality Assurance</t>
        </is>
      </c>
      <c r="DY335" s="53" t="inlineStr">
        <is>
          <t>Quality Assurance</t>
        </is>
      </c>
      <c r="DZ335" s="53" t="inlineStr">
        <is>
          <t>No</t>
        </is>
      </c>
      <c r="EA335" s="53" t="inlineStr">
        <is>
          <t>Product/Project</t>
        </is>
      </c>
      <c r="EB335" s="53" t="inlineStr">
        <is>
          <t>Software Testing</t>
        </is>
      </c>
      <c r="EC335" s="53" t="inlineStr">
        <is>
          <t>Technical · BA, PM and QA</t>
        </is>
      </c>
      <c r="ED335" s="53" t="inlineStr">
        <is>
          <t>Hybrid</t>
        </is>
      </c>
      <c r="EE335" s="53" t="inlineStr">
        <is>
          <t>1. SARB Phase 4 Testing
Perform functional and regression testing for all assigned SARB Phase 4 development activities and provide timely QA sign-off.
2. High Priority Support
Test and validate high-priority support tickets, verify fixes, and ensure timely completion of QA activities.
3. AI in QA
Adopt AI tools in day-to-day QA activities to improve test case creation, defect analysis, and overall productivity.
4. Learning – Playwright with TypeScript
Learn Playwright with TypeScript and build automation skills by creating scripts for key test scenarios.
5. MSME: Business Loan &amp; Invoicing Testing
Perform end-to-end testing of the Business Loan and Invoicing modules to ensure quality before release.</t>
        </is>
      </c>
      <c r="EF335" s="53" t="inlineStr">
        <is>
          <t>1. Successfully execute functional, integration, regression, and UAT testing for all assigned SARB Phase 4 development activities. Ensure complete requirement validation, timely defect reporting, and provide QA sign-off within the planned release schedule.
2. Validate high-priority production support tickets by thoroughly testing implemented fixes, performing regression testing, and coordinating with developers to ensure timely resolution and minimal business impact.
3. Increase QA productivity by effectively using AI tools for test case generation, requirement analysis, defect writing, test data preparation, and documentation, reducing manual effort while improving the quality and consistency of QA deliverables.
4.Develop proficiency in Playwright with TypeScript by creating and maintaining automation scripts for critical business scenarios, following project coding standards, and contributing to the team's automation framework.
5. Perform comprehensive end-to-end testing of the MSME Business Loan and Invoicing modules, ensuring complete business requirement coverage, accurate validation, and high-quality releases with minimal production defects.</t>
        </is>
      </c>
      <c r="EG335" s="53" t="inlineStr">
        <is>
          <t>1. Collaborate proactively with Business Analysts, Developers, and stakeholders throughout the testing lifecycle, participate in requirement discussions, support defect resolution, and contribute to continuous improvements in QA processes, automation, and overall product quality.</t>
        </is>
      </c>
      <c r="EH335" s="53" t="n">
        <v>4</v>
      </c>
      <c r="EI335" s="54" t="n">
        <v>46149</v>
      </c>
      <c r="EJ335" s="53" t="inlineStr">
        <is>
          <t>QA Engineer</t>
        </is>
      </c>
      <c r="EK335" s="53" t="inlineStr">
        <is>
          <t>NO</t>
        </is>
      </c>
      <c r="EL335" s="53" t="n">
        <v>4</v>
      </c>
      <c r="EM335" s="53" t="inlineStr">
        <is>
          <t>Medium</t>
        </is>
      </c>
      <c r="EN335" s="53" t="inlineStr">
        <is>
          <t>High Impact / Growth Talent</t>
        </is>
      </c>
      <c r="EO335" s="53" t="inlineStr">
        <is>
          <t>No</t>
        </is>
      </c>
      <c r="EP335" s="53" t="inlineStr">
        <is>
          <t>No</t>
        </is>
      </c>
      <c r="EQ335" s="53" t="inlineStr">
        <is>
          <t>No</t>
        </is>
      </c>
      <c r="ER335" s="53" t="inlineStr">
        <is>
          <t>yet to identify</t>
        </is>
      </c>
      <c r="ES335" s="53" t="inlineStr">
        <is>
          <t>Automation training</t>
        </is>
      </c>
      <c r="ET335" s="53" t="n"/>
      <c r="EU335" s="53" t="n"/>
      <c r="EV335" s="53" t="n"/>
      <c r="EW335" s="52" t="n"/>
      <c r="EX335" s="53" t="n"/>
      <c r="EY335" s="53" t="n"/>
      <c r="EZ335" s="53" t="n"/>
      <c r="FA335" s="53" t="n"/>
      <c r="FB335" s="53" t="n"/>
      <c r="FC335" s="53" t="n"/>
      <c r="FD335" s="53" t="n"/>
      <c r="FE335" s="57" t="inlineStr">
        <is>
          <t>1. Successfully execute functional, integration, regression, and UAT testing for all assigned SARB Phase 4 development activities. Ensure complete requirement validation, timely defect reporting, and provide QA sign-off within the planned release schedule.
2. Validate high-priority production support tickets by thoroughly testing implemented fixes, performing regression testing, and coordinating with developers to ensure timely resolution and minimal business impact.
3. Increase QA productivity by effectively using AI tools for test case generation, requirement analysis, defect writing, test data preparation, and documentation, reducing manual effort while improving the quality and consistency of QA deliverables.
4.Develop proficiency in Playwright with TypeScript by creating and maintaining automation scripts for critical business scenarios, following project coding standards, and contributing to the team's automation framework.
5. Perform comprehensive end-to-end testing of the MSME Business Loan and Invoicing modules, ensuring complete business requirement coverage, accurate validation, and high-quality releases with minimal production defects.</t>
        </is>
      </c>
      <c r="FF335" s="56" t="inlineStr">
        <is>
          <t>1. Collaborate proactively with Business Analysts, Developers, and stakeholders throughout the testing lifecycle, participate in requirement discussions, support defect resolution, and contribute to continuous improvements in QA processes, automation, and overall product quality.</t>
        </is>
      </c>
      <c r="FG335" s="56" t="inlineStr">
        <is>
          <t>1. SARB Phase 4 Testing
Perform functional and regression testing for all assigned SARB Phase 4 development activities and provide timely QA sign-off.
2. High Priority Support
Test and validate high-priority support tickets, verify fixes, and ensure timely completion of QA activities.
3. AI in QA
Adopt AI tools in day-to-day QA activities to improve test case creation, defect analysis, and overall productivity.
4. Learning – Playwright with TypeScript
Learn Playwright with TypeScript and build automation skills by creating scripts for key test scenarios.
5. MSME: Business Loan &amp; Invoicing Testing
Perform end-to-end testing of the Business Loan and Invoicing modules to ensure quality before release.</t>
        </is>
      </c>
      <c r="FH335" s="56" t="inlineStr">
        <is>
          <t>4</t>
        </is>
      </c>
      <c r="FI335" s="56" t="n"/>
      <c r="FJ335" s="56" t="inlineStr">
        <is>
          <t>Received · manager annual, quarterly, self</t>
        </is>
      </c>
      <c r="FK335" s="56" t="inlineStr">
        <is>
          <t>Talent Mapping · iFile collated</t>
        </is>
      </c>
      <c r="FL335" s="56" t="n">
        <v>20</v>
      </c>
      <c r="FM335" s="32" t="inlineStr">
        <is>
          <t>Full survey answers not in the files received · How We Grow export needed · HR</t>
        </is>
      </c>
      <c r="FN335" s="56" t="inlineStr">
        <is>
          <t>—</t>
        </is>
      </c>
      <c r="FO335" s="56" t="inlineStr">
        <is>
          <t>—</t>
        </is>
      </c>
      <c r="FP335" s="56" t="inlineStr">
        <is>
          <t>—</t>
        </is>
      </c>
      <c r="FQ335" s="56" t="inlineStr">
        <is>
          <t>—</t>
        </is>
      </c>
      <c r="FR335" s="56" t="inlineStr">
        <is>
          <t>Complexity: Evidence reads like A2: Writes test cases, verifies fixes, regression and exploratory testing on SARB Phase 4 and MSME modules → matches the start
Autonomy: Evidence reads like A2: Names only managing daily schedule and routine emails → matches the start
Accountability: Evidence reads like A3: Verifies releases meet acceptance criteria; KRA expects QA sign-off on SARB Phase 4 → moved up 0.5
Leadership: Evidence reads like A1: No guiding or leading of others described → matches the start
Business Impact: No survey or manager-mapping signal on criticality: kept at the start point.</t>
        </is>
      </c>
      <c r="FS335" s="56"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FT335" s="56" t="inlineStr">
        <is>
          <t>Self-identified: AI / automation · Technical depth &amp; architecture · Testing &amp; quality
For the next role: AI / automation · Technical depth &amp; architecture · Testing &amp; quality</t>
        </is>
      </c>
      <c r="FU335" s="32" t="inlineStr">
        <is>
          <t>Full survey answers not in the files received · How We Grow export needed · HR</t>
        </is>
      </c>
    </row>
    <row r="336" ht="90" customHeight="1">
      <c r="A336" s="51" t="inlineStr">
        <is>
          <t>◂ Back</t>
        </is>
      </c>
      <c r="B336" s="29" t="inlineStr">
        <is>
          <t>Mapped</t>
        </is>
      </c>
      <c r="C336" s="28" t="inlineStr">
        <is>
          <t>iFile</t>
        </is>
      </c>
      <c r="D336" s="29" t="inlineStr">
        <is>
          <t>IRIS1654</t>
        </is>
      </c>
      <c r="E336" s="29" t="inlineStr">
        <is>
          <t>Pallavi Suryavanshi</t>
        </is>
      </c>
      <c r="F336" s="29" t="inlineStr">
        <is>
          <t>Quality Assurance</t>
        </is>
      </c>
      <c r="G336" s="29" t="inlineStr">
        <is>
          <t>Senior QA - Engineer</t>
        </is>
      </c>
      <c r="H336" s="29" t="inlineStr">
        <is>
          <t>QA Specialist – POD Lead</t>
        </is>
      </c>
      <c r="I336" s="29" t="inlineStr">
        <is>
          <t>L4 – Senior</t>
        </is>
      </c>
      <c r="J336" s="29" t="inlineStr">
        <is>
          <t>B1</t>
        </is>
      </c>
      <c r="K336" s="29" t="inlineStr">
        <is>
          <t>▲ Up</t>
        </is>
      </c>
      <c r="L336" s="29" t="inlineStr">
        <is>
          <t>Quality Assurance</t>
        </is>
      </c>
      <c r="M336" s="29" t="inlineStr">
        <is>
          <t>Functional &amp; Domain Testing</t>
        </is>
      </c>
      <c r="N336" s="29" t="n"/>
      <c r="O336" s="29" t="n">
        <v>20</v>
      </c>
      <c r="P336" s="28" t="inlineStr">
        <is>
          <t>P3 / M2</t>
        </is>
      </c>
      <c r="Q336" s="29" t="inlineStr">
        <is>
          <t>Career / · Team Lead</t>
        </is>
      </c>
      <c r="R336" s="29" t="inlineStr">
        <is>
          <t>4 Enable</t>
        </is>
      </c>
      <c r="S336" s="29" t="inlineStr">
        <is>
          <t>4–7 yrs</t>
        </is>
      </c>
      <c r="T336" s="29" t="inlineStr">
        <is>
          <t>5–8 · 4–8</t>
        </is>
      </c>
      <c r="U336" s="29" t="inlineStr">
        <is>
          <t>Senior QA Engineer</t>
        </is>
      </c>
      <c r="V336" s="29" t="inlineStr">
        <is>
          <t>Workiva: SE / Senior SE · Broadridge India: Senior SE · Nasdaq / AxiomSL: Senior SE · IRIS Vs Market Benchmark — ISTQB certification pathway: Advanced · Test Analyst</t>
        </is>
      </c>
      <c r="W336" s="29" t="inlineStr">
        <is>
          <t>ISTQB Foundation → Advanced → Expert; SFIA testing</t>
        </is>
      </c>
      <c r="X336" s="29" t="inlineStr">
        <is>
          <t>Core 3 · Future 3 · Functional 3 · Leadership 2</t>
        </is>
      </c>
      <c r="Y336" s="52" t="n">
        <v>136</v>
      </c>
      <c r="Z336" s="53" t="inlineStr">
        <is>
          <t>IRIS1654</t>
        </is>
      </c>
      <c r="AA336" s="53" t="inlineStr">
        <is>
          <t>Employee</t>
        </is>
      </c>
      <c r="AB336" s="53" t="inlineStr">
        <is>
          <t>Active</t>
        </is>
      </c>
      <c r="AC336" s="53" t="inlineStr">
        <is>
          <t>Pallavi Suryavanshi</t>
        </is>
      </c>
      <c r="AD336" s="54" t="n">
        <v>42919</v>
      </c>
      <c r="AE336" s="53" t="inlineStr">
        <is>
          <t>Senior QA - Engineer</t>
        </is>
      </c>
      <c r="AF336" s="53" t="inlineStr">
        <is>
          <t>MCA</t>
        </is>
      </c>
      <c r="AG336" s="53" t="inlineStr">
        <is>
          <t>Davinder Pal Singh</t>
        </is>
      </c>
      <c r="AH336" s="53" t="inlineStr">
        <is>
          <t>N-4</t>
        </is>
      </c>
      <c r="AI336" s="53" t="inlineStr">
        <is>
          <t>Manager</t>
        </is>
      </c>
      <c r="AJ336" s="53" t="inlineStr">
        <is>
          <t>2 years, 0 months, 0 days</t>
        </is>
      </c>
      <c r="AK336" s="53" t="inlineStr">
        <is>
          <t>9 years, 1 months, 22 days</t>
        </is>
      </c>
      <c r="AL336" s="53" t="inlineStr">
        <is>
          <t>Suptech</t>
        </is>
      </c>
      <c r="AM336" s="53" t="inlineStr">
        <is>
          <t>iFile</t>
        </is>
      </c>
      <c r="AN336" s="53" t="inlineStr">
        <is>
          <t>Quality Assurance</t>
        </is>
      </c>
      <c r="AO336" s="53" t="inlineStr">
        <is>
          <t>Quality Assurance</t>
        </is>
      </c>
      <c r="AP336" s="53" t="inlineStr">
        <is>
          <t>No</t>
        </is>
      </c>
      <c r="AQ336" s="53" t="inlineStr">
        <is>
          <t>Product/Project</t>
        </is>
      </c>
      <c r="AR336" s="53" t="inlineStr">
        <is>
          <t>Software Testing</t>
        </is>
      </c>
      <c r="AS336" s="53" t="inlineStr">
        <is>
          <t>Technical · BA, PM and QA</t>
        </is>
      </c>
      <c r="AT336" s="53" t="n">
        <v>20</v>
      </c>
      <c r="AU336" s="53" t="inlineStr">
        <is>
          <t>Covered</t>
        </is>
      </c>
      <c r="AV336" s="53" t="n"/>
      <c r="AW336" s="53" t="n"/>
      <c r="AX336" s="53" t="n"/>
      <c r="AY336" s="53" t="n"/>
      <c r="AZ336" s="53" t="n"/>
      <c r="BA336" s="53" t="n"/>
      <c r="BB336" s="53" t="n"/>
      <c r="BC336" s="53" t="n"/>
      <c r="BD336" s="53" t="n"/>
      <c r="BE336" s="53" t="n"/>
      <c r="BF336" s="53" t="n"/>
      <c r="BG336" s="53" t="n"/>
      <c r="BH336" s="53" t="n"/>
      <c r="BI336" s="53" t="n"/>
      <c r="BJ336" s="53" t="n"/>
      <c r="BK336" s="53" t="n"/>
      <c r="BL336" s="53" t="n"/>
      <c r="BM336" s="53" t="n"/>
      <c r="BN336" s="53" t="n"/>
      <c r="BO336" s="53" t="n"/>
      <c r="BP336" s="53" t="n"/>
      <c r="BQ336" s="53" t="n"/>
      <c r="BR336" s="53" t="n"/>
      <c r="BS336" s="53" t="n"/>
      <c r="BT336" s="53" t="n"/>
      <c r="BU336" s="53" t="n"/>
      <c r="BV336" s="53" t="n"/>
      <c r="BW336" s="53" t="n"/>
      <c r="BX336" s="53" t="n"/>
      <c r="BY336" s="53" t="n"/>
      <c r="BZ336" s="53" t="n"/>
      <c r="CA336" s="53" t="n"/>
      <c r="CB336" s="53" t="n"/>
      <c r="CC336" s="53" t="n"/>
      <c r="CD336" s="53" t="n"/>
      <c r="CE336" s="53" t="n"/>
      <c r="CF336" s="53" t="n"/>
      <c r="CG336" s="53" t="n"/>
      <c r="CH336" s="53" t="n"/>
      <c r="CI336" s="53" t="n"/>
      <c r="CJ336" s="53" t="n"/>
      <c r="CK336" s="53" t="n"/>
      <c r="CL336" s="53" t="n"/>
      <c r="CM336" s="53" t="n"/>
      <c r="CN336" s="53" t="n"/>
      <c r="CO336" s="53" t="n"/>
      <c r="CP336" s="53" t="n"/>
      <c r="CQ336" s="53" t="n"/>
      <c r="CR336" s="53" t="n"/>
      <c r="CS336" s="53" t="n"/>
      <c r="CT336" s="53" t="n"/>
      <c r="CU336" s="53" t="n"/>
      <c r="CV336" s="53" t="n"/>
      <c r="CW336" s="53" t="n"/>
      <c r="CX336" s="53" t="n"/>
      <c r="CY336" s="53" t="n"/>
      <c r="CZ336" s="53" t="n"/>
      <c r="DA336" s="53" t="n"/>
      <c r="DB336" s="53" t="n"/>
      <c r="DC336" s="53" t="n"/>
      <c r="DD336" s="53" t="inlineStr">
        <is>
          <t>IRIS1654</t>
        </is>
      </c>
      <c r="DE336" s="53" t="inlineStr">
        <is>
          <t>Employee</t>
        </is>
      </c>
      <c r="DF336" s="53" t="inlineStr">
        <is>
          <t>Active</t>
        </is>
      </c>
      <c r="DG336" s="53" t="inlineStr">
        <is>
          <t>Pallavi Suryavanshi</t>
        </is>
      </c>
      <c r="DH336" s="54" t="n">
        <v>42919</v>
      </c>
      <c r="DI336" s="53" t="inlineStr">
        <is>
          <t>Senior QA - Engineer</t>
        </is>
      </c>
      <c r="DJ336" s="53" t="inlineStr">
        <is>
          <t>Quality Assurance</t>
        </is>
      </c>
      <c r="DK336" s="53" t="inlineStr">
        <is>
          <t>Quality Engineering</t>
        </is>
      </c>
      <c r="DL336" s="53" t="inlineStr">
        <is>
          <t>Senior QA - Engineer</t>
        </is>
      </c>
      <c r="DM336" s="53" t="inlineStr">
        <is>
          <t>L4 – Senior</t>
        </is>
      </c>
      <c r="DN336" s="53" t="inlineStr">
        <is>
          <t>MCA</t>
        </is>
      </c>
      <c r="DO336" s="53" t="inlineStr">
        <is>
          <t>Davinder Pal Singh</t>
        </is>
      </c>
      <c r="DP336" s="53" t="inlineStr">
        <is>
          <t>N-3</t>
        </is>
      </c>
      <c r="DQ336" s="53" t="inlineStr">
        <is>
          <t>Manager</t>
        </is>
      </c>
      <c r="DR336" s="53" t="inlineStr">
        <is>
          <t>2 years, 0 months, 0 days</t>
        </is>
      </c>
      <c r="DS336" s="53" t="inlineStr">
        <is>
          <t>8 years, 11 months, 17 days</t>
        </is>
      </c>
      <c r="DT336" s="53" t="inlineStr">
        <is>
          <t>10 years, 11 months, 17 days</t>
        </is>
      </c>
      <c r="DU336" s="53" t="n">
        <v>8.96324200913242</v>
      </c>
      <c r="DV336" s="53" t="inlineStr">
        <is>
          <t>Suptech</t>
        </is>
      </c>
      <c r="DW336" s="53" t="inlineStr">
        <is>
          <t>iFile</t>
        </is>
      </c>
      <c r="DX336" s="53" t="inlineStr">
        <is>
          <t>Quality Assurance</t>
        </is>
      </c>
      <c r="DY336" s="53" t="inlineStr">
        <is>
          <t>Quality Assurance</t>
        </is>
      </c>
      <c r="DZ336" s="53" t="inlineStr">
        <is>
          <t>No</t>
        </is>
      </c>
      <c r="EA336" s="53" t="inlineStr">
        <is>
          <t>Product/Project</t>
        </is>
      </c>
      <c r="EB336" s="53" t="inlineStr">
        <is>
          <t>Software Testing</t>
        </is>
      </c>
      <c r="EC336" s="53" t="inlineStr">
        <is>
          <t>Technical · BA, PM and QA</t>
        </is>
      </c>
      <c r="ED336" s="53" t="inlineStr">
        <is>
          <t>Hybrid</t>
        </is>
      </c>
      <c r="EE336" s="53" t="inlineStr">
        <is>
          <t>1. Delivered QFCRA Tech Refresh UAT and Production testing for ESS, FIRM, and iFile modules within the planned timeline. Coordinated with the client to resolve DevOps-related issues.
2. Prepared test scenarios for Banking, Insurance · Legacy &amp; New, and Product Return modules to ensure complete test coverage.
3. Conducted regular knowledge-sharing sessions to improve team collaboration and domain knowledge.
4. Provided QA sign-off for all QFCRA modules releases with minimal rollback incidents.
5. Used Claude AI to generate negative test data for IFRS 17 portal business rules, improving test coverage and efficiency.
6. Learned API testing using Postman to enhance testing capabilities.
7. Maintained QA documentation, including test plans, test cases, RTM, and execution reports for QFCRA project.</t>
        </is>
      </c>
      <c r="EF336" s="53" t="inlineStr">
        <is>
          <t>1. Successfully managed the manual testing activities for both the CBJ and QFCRA projects, which are critical strategic projects for IRIS, consistently delivering high-quality testing within the required timelines.
2. Demonstrated strong commitment by delivering portal testing on schedule, effectively supporting project managers and ensuring timely releases whenever requested.
3. Successfully managed the RMA project and provided comprehensive knowledge transfer · KT to the Services team. Continued to support the team whenever required, ensuring a smooth transition and prompt resolution of project-related queries.
4. Maintained strong collaboration with project stakeholders, developers, and cross-functional teams, contributing to successful project delivery and ensuring business requirements were thoroughly validated.</t>
        </is>
      </c>
      <c r="EG336" s="53" t="inlineStr">
        <is>
          <t>Has proactively started working on automation for the iFILE tool by leveraging AI-assisted techniques. This initiative reflects a strong commitment to expanding automation capabilities and adopting modern AI-driven testing practices to improve efficiency and quality.</t>
        </is>
      </c>
      <c r="EH336" s="53" t="n">
        <v>4</v>
      </c>
      <c r="EI336" s="53" t="inlineStr">
        <is>
          <t>15-06-2026</t>
        </is>
      </c>
      <c r="EJ336" s="53" t="inlineStr">
        <is>
          <t>Senior QA - Engineer</t>
        </is>
      </c>
      <c r="EK336" s="53" t="inlineStr">
        <is>
          <t>no</t>
        </is>
      </c>
      <c r="EL336" s="53" t="n">
        <v>4</v>
      </c>
      <c r="EM336" s="53" t="inlineStr">
        <is>
          <t>Medium</t>
        </is>
      </c>
      <c r="EN336" s="53" t="inlineStr">
        <is>
          <t>Trusted Professional</t>
        </is>
      </c>
      <c r="EO336" s="53" t="inlineStr">
        <is>
          <t>No</t>
        </is>
      </c>
      <c r="EP336" s="53" t="inlineStr">
        <is>
          <t>No</t>
        </is>
      </c>
      <c r="EQ336" s="53" t="inlineStr">
        <is>
          <t>No</t>
        </is>
      </c>
      <c r="ER336" s="53" t="inlineStr">
        <is>
          <t>yet to identify</t>
        </is>
      </c>
      <c r="ES336" s="53" t="inlineStr">
        <is>
          <t>Training of Automation,API, load testing</t>
        </is>
      </c>
      <c r="ET336" s="53" t="n"/>
      <c r="EU336" s="53" t="n"/>
      <c r="EV336" s="53" t="n"/>
      <c r="EW336" s="52" t="n"/>
      <c r="EX336" s="53" t="n"/>
      <c r="EY336" s="53" t="n"/>
      <c r="EZ336" s="53" t="n"/>
      <c r="FA336" s="53" t="n"/>
      <c r="FB336" s="53" t="n"/>
      <c r="FC336" s="53" t="n"/>
      <c r="FD336" s="53" t="n"/>
      <c r="FE336" s="57" t="inlineStr">
        <is>
          <t>1. Successfully managed the manual testing activities for both the CBJ and QFCRA projects, which are critical strategic projects for IRIS, consistently delivering high-quality testing within the required timelines.
2. Demonstrated strong commitment by delivering portal testing on schedule, effectively supporting project managers and ensuring timely releases whenever requested.
3. Successfully managed the RMA project and provided comprehensive knowledge transfer · KT to the Services team. Continued to support the team whenever required, ensuring a smooth transition and prompt resolution of project-related queries.
4. Maintained strong collaboration with project stakeholders, developers, and cross-functional teams, contributing to successful project delivery and ensuring business requirements were thoroughly validated.</t>
        </is>
      </c>
      <c r="FF336" s="56" t="inlineStr">
        <is>
          <t>Has proactively started working on automation for the iFILE tool by leveraging AI-assisted techniques. This initiative reflects a strong commitment to expanding automation capabilities and adopting modern AI-driven testing practices to improve efficiency and quality.</t>
        </is>
      </c>
      <c r="FG336" s="56" t="inlineStr">
        <is>
          <t>1. Delivered QFCRA Tech Refresh UAT and Production testing for ESS, FIRM, and iFile modules within the planned timeline. Coordinated with the client to resolve DevOps-related issues.
2. Prepared test scenarios for Banking, Insurance · Legacy &amp; New, and Product Return modules to ensure complete test coverage.
3. Conducted regular knowledge-sharing sessions to improve team collaboration and domain knowledge.
4. Provided QA sign-off for all QFCRA modules releases with minimal rollback incidents.
5. Used Claude AI to generate negative test data for IFRS 17 portal business rules, improving test coverage and efficiency.
6. Learned API testing using Postman to enhance testing capabilities.
7. Maintained QA documentation, including test plans, test cases, RTM, and execution reports for QFCRA project.</t>
        </is>
      </c>
      <c r="FH336" s="56" t="inlineStr">
        <is>
          <t>4</t>
        </is>
      </c>
      <c r="FI336" s="56" t="n"/>
      <c r="FJ336" s="56" t="inlineStr">
        <is>
          <t>Received · manager annual, quarterly, self</t>
        </is>
      </c>
      <c r="FK336" s="56" t="inlineStr">
        <is>
          <t>Talent Mapping · iFile collated</t>
        </is>
      </c>
      <c r="FL336" s="56" t="n">
        <v>20</v>
      </c>
      <c r="FM336" s="32" t="inlineStr">
        <is>
          <t>Full survey answers not in the files received · How We Grow export needed · HR</t>
        </is>
      </c>
      <c r="FN336" s="56" t="inlineStr">
        <is>
          <t>—</t>
        </is>
      </c>
      <c r="FO336" s="56" t="inlineStr">
        <is>
          <t>—</t>
        </is>
      </c>
      <c r="FP336" s="56" t="inlineStr">
        <is>
          <t>—</t>
        </is>
      </c>
      <c r="FQ336" s="56" t="inlineStr">
        <is>
          <t>—</t>
        </is>
      </c>
      <c r="FR336" s="56" t="inlineStr">
        <is>
          <t>Complexity: Evidence reads like B1: FlaUI automation of Excel-based iFile app; test scenarios across QFCRA modules; manages CBJ/QFCRA testing → moved up 0.5
Autonomy: Evidence reads like A3: Decides test scenario and case approach; coordinates directly with the client on issues → matches the start
Accountability: Evidence reads like B1: own survey / KRA answers · summarised by the rater; not quoted → matches the start
Leadership: Evidence reads like A3: Runs regular knowledge-sharing sessions; two reports; no team direction described → moved down 0.5
Business Impact: No survey or manager-mapping signal on criticality: kept at the start point.</t>
        </is>
      </c>
      <c r="FS336" s="56" t="inlineStr">
        <is>
          <t>Common themes in role-holders' answers: quality · testing · software
Common themes in role-holders' answers: automation testing · review · preparation · defect
Common themes in role-holders' answers: report
Common themes in role-holders' answers: deliverables · testing
If the work is missed · role-holders' themes: rework · additional.
Measured on · manager-set KRA themes: business · portal · testing · maintained · resolution · automation.</t>
        </is>
      </c>
      <c r="FT336" s="56" t="inlineStr">
        <is>
          <t>Self-identified: AI / automation · Leadership &amp; people management · Testing &amp; quality · Client, sales &amp; stakeholders · Strategy &amp; business acumen · Broader exposure &amp; ownership
For the next role: AI / automation · Leadership &amp; people management · Testing &amp; quality · Client, sales &amp; stakeholders · Strategy &amp; business acumen · Broader exposure &amp; ownership</t>
        </is>
      </c>
      <c r="FU336" s="32" t="inlineStr">
        <is>
          <t>Full survey answers not in the files received · How We Grow export needed · HR</t>
        </is>
      </c>
    </row>
    <row r="337" ht="90" customHeight="1">
      <c r="A337" s="51" t="inlineStr">
        <is>
          <t>◂ Back</t>
        </is>
      </c>
      <c r="B337" s="29" t="inlineStr">
        <is>
          <t>Mapped</t>
        </is>
      </c>
      <c r="C337" s="28" t="inlineStr">
        <is>
          <t>iFile</t>
        </is>
      </c>
      <c r="D337" s="29" t="inlineStr">
        <is>
          <t>IRIS2075</t>
        </is>
      </c>
      <c r="E337" s="29" t="inlineStr">
        <is>
          <t>Deepika Bartwal</t>
        </is>
      </c>
      <c r="F337" s="29" t="inlineStr">
        <is>
          <t>Quality Assurance</t>
        </is>
      </c>
      <c r="G337" s="29" t="inlineStr">
        <is>
          <t>QA Engineer</t>
        </is>
      </c>
      <c r="H337" s="29" t="inlineStr">
        <is>
          <t>Senior QA Engineer</t>
        </is>
      </c>
      <c r="I337" s="29" t="inlineStr">
        <is>
          <t>L3 – Professional / Associate</t>
        </is>
      </c>
      <c r="J337" s="29" t="inlineStr">
        <is>
          <t>A3</t>
        </is>
      </c>
      <c r="K337" s="29" t="inlineStr">
        <is>
          <t>▲ Up</t>
        </is>
      </c>
      <c r="L337" s="29" t="inlineStr">
        <is>
          <t>Quality Assurance</t>
        </is>
      </c>
      <c r="M337" s="29" t="inlineStr">
        <is>
          <t>Functional &amp; Domain Testing</t>
        </is>
      </c>
      <c r="N337" s="29" t="n"/>
      <c r="O337" s="29" t="n">
        <v>20</v>
      </c>
      <c r="P337" s="28" t="inlineStr">
        <is>
          <t>P2</t>
        </is>
      </c>
      <c r="Q337" s="29" t="inlineStr">
        <is>
          <t>Developing</t>
        </is>
      </c>
      <c r="R337" s="29" t="inlineStr">
        <is>
          <t>3 Apply</t>
        </is>
      </c>
      <c r="S337" s="29" t="inlineStr">
        <is>
          <t>2–4 yrs</t>
        </is>
      </c>
      <c r="T337" s="29" t="inlineStr">
        <is>
          <t>3–5 · 2–5</t>
        </is>
      </c>
      <c r="U337" s="29" t="inlineStr">
        <is>
          <t>QA Engineer</t>
        </is>
      </c>
      <c r="V337" s="29" t="inlineStr">
        <is>
          <t>Workiva: SE · Broadridge India: SE · Nasdaq / AxiomSL: SE · IRIS Vs Market Benchmark — ISTQB certification pathway: Foundation</t>
        </is>
      </c>
      <c r="W337" s="29" t="inlineStr">
        <is>
          <t>ISTQB Foundation → Advanced → Expert; SFIA testing</t>
        </is>
      </c>
      <c r="X337" s="29" t="inlineStr">
        <is>
          <t>Core 2 · Future 2 · Functional 3 · Leadership not scored</t>
        </is>
      </c>
      <c r="Y337" s="52" t="n">
        <v>250</v>
      </c>
      <c r="Z337" s="53" t="inlineStr">
        <is>
          <t>IRIS2075</t>
        </is>
      </c>
      <c r="AA337" s="53" t="inlineStr">
        <is>
          <t>Employee</t>
        </is>
      </c>
      <c r="AB337" s="53" t="inlineStr">
        <is>
          <t>Active</t>
        </is>
      </c>
      <c r="AC337" s="53" t="inlineStr">
        <is>
          <t>Deepika Bartwal</t>
        </is>
      </c>
      <c r="AD337" s="54" t="n">
        <v>44866</v>
      </c>
      <c r="AE337" s="53" t="inlineStr">
        <is>
          <t>QA Engineer</t>
        </is>
      </c>
      <c r="AF337" s="53" t="inlineStr">
        <is>
          <t>B.Com</t>
        </is>
      </c>
      <c r="AG337" s="53" t="inlineStr">
        <is>
          <t>Pallavi Suryavanshi</t>
        </is>
      </c>
      <c r="AH337" s="53" t="inlineStr">
        <is>
          <t>N-5</t>
        </is>
      </c>
      <c r="AI337" s="53" t="inlineStr">
        <is>
          <t>Individual Contributor</t>
        </is>
      </c>
      <c r="AJ337" s="53" t="inlineStr">
        <is>
          <t>0 years, 0 months, 0 days</t>
        </is>
      </c>
      <c r="AK337" s="53" t="inlineStr">
        <is>
          <t>3 years, 9 months, 24 days</t>
        </is>
      </c>
      <c r="AL337" s="53" t="inlineStr">
        <is>
          <t>Suptech</t>
        </is>
      </c>
      <c r="AM337" s="53" t="inlineStr">
        <is>
          <t>iFile</t>
        </is>
      </c>
      <c r="AN337" s="53" t="inlineStr">
        <is>
          <t>Quality Assurance</t>
        </is>
      </c>
      <c r="AO337" s="53" t="inlineStr">
        <is>
          <t>Quality Assurance</t>
        </is>
      </c>
      <c r="AP337" s="53" t="inlineStr">
        <is>
          <t>No</t>
        </is>
      </c>
      <c r="AQ337" s="53" t="inlineStr">
        <is>
          <t>Product/Project</t>
        </is>
      </c>
      <c r="AR337" s="53" t="inlineStr">
        <is>
          <t>Software Testing</t>
        </is>
      </c>
      <c r="AS337" s="53" t="inlineStr">
        <is>
          <t>Technical · BA, PM and QA</t>
        </is>
      </c>
      <c r="AT337" s="53" t="n">
        <v>20</v>
      </c>
      <c r="AU337" s="53" t="inlineStr">
        <is>
          <t>Covered</t>
        </is>
      </c>
      <c r="AV337" s="53" t="n"/>
      <c r="AW337" s="53" t="n"/>
      <c r="AX337" s="53" t="n"/>
      <c r="AY337" s="53" t="n"/>
      <c r="AZ337" s="53" t="n"/>
      <c r="BA337" s="53" t="n"/>
      <c r="BB337" s="53" t="n"/>
      <c r="BC337" s="53" t="n"/>
      <c r="BD337" s="53" t="n"/>
      <c r="BE337" s="53" t="n"/>
      <c r="BF337" s="53" t="n"/>
      <c r="BG337" s="53" t="n"/>
      <c r="BH337" s="53" t="n"/>
      <c r="BI337" s="53" t="n"/>
      <c r="BJ337" s="53" t="n"/>
      <c r="BK337" s="53" t="n"/>
      <c r="BL337" s="53" t="n"/>
      <c r="BM337" s="53" t="n"/>
      <c r="BN337" s="53" t="n"/>
      <c r="BO337" s="53" t="n"/>
      <c r="BP337" s="53" t="n"/>
      <c r="BQ337" s="53" t="n"/>
      <c r="BR337" s="53" t="n"/>
      <c r="BS337" s="53" t="n"/>
      <c r="BT337" s="53" t="n"/>
      <c r="BU337" s="53" t="n"/>
      <c r="BV337" s="53" t="n"/>
      <c r="BW337" s="53" t="n"/>
      <c r="BX337" s="53" t="n"/>
      <c r="BY337" s="53" t="n"/>
      <c r="BZ337" s="53" t="n"/>
      <c r="CA337" s="53" t="n"/>
      <c r="CB337" s="53" t="n"/>
      <c r="CC337" s="53" t="n"/>
      <c r="CD337" s="53" t="n"/>
      <c r="CE337" s="53" t="n"/>
      <c r="CF337" s="53" t="n"/>
      <c r="CG337" s="53" t="n"/>
      <c r="CH337" s="53" t="n"/>
      <c r="CI337" s="53" t="n"/>
      <c r="CJ337" s="53" t="n"/>
      <c r="CK337" s="53" t="n"/>
      <c r="CL337" s="53" t="n"/>
      <c r="CM337" s="53" t="n"/>
      <c r="CN337" s="53" t="n"/>
      <c r="CO337" s="53" t="n"/>
      <c r="CP337" s="53" t="n"/>
      <c r="CQ337" s="53" t="n"/>
      <c r="CR337" s="53" t="n"/>
      <c r="CS337" s="53" t="n"/>
      <c r="CT337" s="53" t="n"/>
      <c r="CU337" s="53" t="n"/>
      <c r="CV337" s="53" t="n"/>
      <c r="CW337" s="53" t="n"/>
      <c r="CX337" s="53" t="n"/>
      <c r="CY337" s="53" t="n"/>
      <c r="CZ337" s="53" t="n"/>
      <c r="DA337" s="53" t="n"/>
      <c r="DB337" s="53" t="n"/>
      <c r="DC337" s="53" t="n"/>
      <c r="DD337" s="53" t="inlineStr">
        <is>
          <t>IRIS2075</t>
        </is>
      </c>
      <c r="DE337" s="53" t="inlineStr">
        <is>
          <t>Employee</t>
        </is>
      </c>
      <c r="DF337" s="53" t="inlineStr">
        <is>
          <t>Active</t>
        </is>
      </c>
      <c r="DG337" s="53" t="inlineStr">
        <is>
          <t>Deepika Bartwal</t>
        </is>
      </c>
      <c r="DH337" s="54" t="n">
        <v>44866</v>
      </c>
      <c r="DI337" s="53" t="inlineStr">
        <is>
          <t>QA Engineer</t>
        </is>
      </c>
      <c r="DJ337" s="53" t="inlineStr">
        <is>
          <t>Quality Assurance</t>
        </is>
      </c>
      <c r="DK337" s="53" t="inlineStr">
        <is>
          <t>Quality Engineering</t>
        </is>
      </c>
      <c r="DL337" s="53" t="inlineStr">
        <is>
          <t>QA Engineer</t>
        </is>
      </c>
      <c r="DM337" s="53" t="inlineStr">
        <is>
          <t>L3 – Professional / Associate</t>
        </is>
      </c>
      <c r="DN337" s="53" t="inlineStr">
        <is>
          <t>B.Com</t>
        </is>
      </c>
      <c r="DO337" s="53" t="inlineStr">
        <is>
          <t>Pallavi Suryavanshi</t>
        </is>
      </c>
      <c r="DP337" s="53" t="inlineStr">
        <is>
          <t>N-4</t>
        </is>
      </c>
      <c r="DQ337" s="53" t="inlineStr">
        <is>
          <t>Individual Contributor</t>
        </is>
      </c>
      <c r="DR337" s="53" t="inlineStr">
        <is>
          <t>0 years, 0 months, 0 days</t>
        </is>
      </c>
      <c r="DS337" s="53" t="inlineStr">
        <is>
          <t>3 years, 7 months, 19 days</t>
        </is>
      </c>
      <c r="DT337" s="53" t="inlineStr">
        <is>
          <t>3 years, 7 months, 19 days</t>
        </is>
      </c>
      <c r="DU337" s="53" t="n"/>
      <c r="DV337" s="53" t="inlineStr">
        <is>
          <t>Suptech</t>
        </is>
      </c>
      <c r="DW337" s="53" t="inlineStr">
        <is>
          <t>iFile</t>
        </is>
      </c>
      <c r="DX337" s="53" t="inlineStr">
        <is>
          <t>Quality Assurance</t>
        </is>
      </c>
      <c r="DY337" s="53" t="inlineStr">
        <is>
          <t>Quality Assurance</t>
        </is>
      </c>
      <c r="DZ337" s="53" t="inlineStr">
        <is>
          <t>No</t>
        </is>
      </c>
      <c r="EA337" s="53" t="inlineStr">
        <is>
          <t>Product/Project</t>
        </is>
      </c>
      <c r="EB337" s="53" t="inlineStr">
        <is>
          <t>Software Testing</t>
        </is>
      </c>
      <c r="EC337" s="53" t="inlineStr">
        <is>
          <t>Technical · BA, PM and QA</t>
        </is>
      </c>
      <c r="ED337" s="53" t="inlineStr">
        <is>
          <t>Remote- Outside Mumbai</t>
        </is>
      </c>
      <c r="EE337" s="53" t="inlineStr">
        <is>
          <t>1. On the QFCRA project, new testing requirements are anticipated for the IFRS17 enhancement and Banking change requests.
2. Delivered consistent, high-quality installer and portal testing across two major projects — QFCRA · Non-Captive, IFRS17, Banking Return, Insurance Return, and Product Return – Tech Refresh modules and RBI CIMS.
3. Proactively invested in self-development by completing a JMeter certification course and pursuing further learning in AI-based test design and automation scripting, as well as Generative AI for Software Testing · Manual to Auto, to stay aligned with evolving QA practices.</t>
        </is>
      </c>
      <c r="EF337" s="53" t="inlineStr">
        <is>
          <t>1. Successfully delivered high-quality testing across the QFCRA and RBI CIMS projects, ensuring thorough validation of multiple modules including Non-Captive, IFRS17, Banking Return, Insurance Return, Product Return · Tech Refresh, and installer and portal functionalities. The consistent quality of testing contributed to stable and timely project deliveries.
2. Demonstrated strong adaptability by supporting evolving business requirements and preparing for upcoming testing activities related to IFRS17 enhancements and Banking change requests. Maintained effective collaboration with stakeholders to ensure readiness for future project demands.
3. Showed a commendable commitment to continuous learning by successfully completing the JMeter certification and actively expanding knowledge in AI-driven test design, automation scripting, and Generative AI for Software Testing. This proactive approach will help strengthen future automation capabilities and improve overall testing efficiency.</t>
        </is>
      </c>
      <c r="EG337" s="53" t="inlineStr">
        <is>
          <t>Going forward, continued focus on applying the newly acquired automation and AI skills in live projects will further enhance productivity, increase automation coverage, and support the team's quality engineering initiatives.</t>
        </is>
      </c>
      <c r="EH337" s="53" t="n">
        <v>3</v>
      </c>
      <c r="EI337" s="53" t="inlineStr">
        <is>
          <t>15-06-2026</t>
        </is>
      </c>
      <c r="EJ337" s="53" t="inlineStr">
        <is>
          <t>QA Engineer</t>
        </is>
      </c>
      <c r="EK337" s="53" t="inlineStr">
        <is>
          <t>No</t>
        </is>
      </c>
      <c r="EL337" s="53" t="n">
        <v>3</v>
      </c>
      <c r="EM337" s="53" t="inlineStr">
        <is>
          <t>Medium</t>
        </is>
      </c>
      <c r="EN337" s="53" t="inlineStr">
        <is>
          <t>Trusted Professional</t>
        </is>
      </c>
      <c r="EO337" s="53" t="inlineStr">
        <is>
          <t>No</t>
        </is>
      </c>
      <c r="EP337" s="53" t="inlineStr">
        <is>
          <t>No</t>
        </is>
      </c>
      <c r="EQ337" s="53" t="inlineStr">
        <is>
          <t>No</t>
        </is>
      </c>
      <c r="ER337" s="53" t="inlineStr">
        <is>
          <t>yet to identify</t>
        </is>
      </c>
      <c r="ES337" s="53" t="inlineStr">
        <is>
          <t>Test automation frameworks · Selenium/Playwright; API testing; CI/CD test integration; defect analytics</t>
        </is>
      </c>
      <c r="ET337" s="53" t="inlineStr">
        <is>
          <t>Transition to leadership: people management &amp; delegation, mentoring/coaching, project ownership &amp; stakeholder management, prioritisation under ambiguity, presentation &amp; influence skills</t>
        </is>
      </c>
      <c r="EU337" s="53" t="n"/>
      <c r="EV337" s="53" t="n"/>
      <c r="EW337" s="52" t="n"/>
      <c r="EX337" s="53" t="n"/>
      <c r="EY337" s="53" t="n"/>
      <c r="EZ337" s="53" t="n"/>
      <c r="FA337" s="53" t="n"/>
      <c r="FB337" s="53" t="n"/>
      <c r="FC337" s="53" t="n"/>
      <c r="FD337" s="53" t="n"/>
      <c r="FE337" s="57" t="inlineStr">
        <is>
          <t>1. Successfully delivered high-quality testing across the QFCRA and RBI CIMS projects, ensuring thorough validation of multiple modules including Non-Captive, IFRS17, Banking Return, Insurance Return, Product Return · Tech Refresh, and installer and portal functionalities. The consistent quality of testing contributed to stable and timely project deliveries.
2. Demonstrated strong adaptability by supporting evolving business requirements and preparing for upcoming testing activities related to IFRS17 enhancements and Banking change requests. Maintained effective collaboration with stakeholders to ensure readiness for future project demands.
3. Showed a commendable commitment to continuous learning by successfully completing the JMeter certification and actively expanding knowledge in AI-driven test design, automation scripting, and Generative AI for Software Testing. This proactive approach will help strengthen future automation capabilities and improve overall testing efficiency.</t>
        </is>
      </c>
      <c r="FF337" s="56" t="inlineStr">
        <is>
          <t>Going forward, continued focus on applying the newly acquired automation and AI skills in live projects will further enhance productivity, increase automation coverage, and support the team's quality engineering initiatives.</t>
        </is>
      </c>
      <c r="FG337" s="56" t="inlineStr">
        <is>
          <t>1. On the QFCRA project, new testing requirements are anticipated for the IFRS17 enhancement and Banking change requests.
2. Delivered consistent, high-quality installer and portal testing across two major projects — QFCRA · Non-Captive, IFRS17, Banking Return, Insurance Return, and Product Return – Tech Refresh modules and RBI CIMS.
3. Proactively invested in self-development by completing a JMeter certification course and pursuing further learning in AI-based test design and automation scripting, as well as Generative AI for Software Testing · Manual to Auto, to stay aligned with evolving QA practices.</t>
        </is>
      </c>
      <c r="FH337" s="56" t="inlineStr">
        <is>
          <t>3</t>
        </is>
      </c>
      <c r="FI337" s="56" t="n"/>
      <c r="FJ337" s="56" t="inlineStr">
        <is>
          <t>Received · manager annual, quarterly, self</t>
        </is>
      </c>
      <c r="FK337" s="56" t="inlineStr">
        <is>
          <t>Talent Mapping · iFile collated</t>
        </is>
      </c>
      <c r="FL337" s="56" t="n">
        <v>20</v>
      </c>
      <c r="FM337" s="32" t="inlineStr">
        <is>
          <t>Full survey answers not in the files received · How We Grow export needed · HR</t>
        </is>
      </c>
      <c r="FN337" s="56" t="inlineStr">
        <is>
          <t>—</t>
        </is>
      </c>
      <c r="FO337" s="56" t="inlineStr">
        <is>
          <t>—</t>
        </is>
      </c>
      <c r="FP337" s="56" t="inlineStr">
        <is>
          <t>—</t>
        </is>
      </c>
      <c r="FQ337" s="56" t="inlineStr">
        <is>
          <t>—</t>
        </is>
      </c>
      <c r="FR337" s="56" t="inlineStr">
        <is>
          <t>Complexity: Evidence reads like A2: Test case execution; installer and portal testing on QFCRA modules and RBI CIMS · KRA → matches the start
Autonomy: Evidence reads like A1: Names only 'checking mail' as an independent decision → moved down 0.5
Accountability: Evidence reads like A2: Own testing; not missing major bugs before go-live → matches the start
Leadership: Evidence reads like A1: No guiding or leading of others described → matches the start
Business Impact: No survey or manager-mapping signal on criticality: kept at the start point.</t>
        </is>
      </c>
      <c r="FS337" s="56"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FT337" s="56" t="inlineStr">
        <is>
          <t>Self-identified: AI / automation
For the next role: AI / automation</t>
        </is>
      </c>
      <c r="FU337" s="32" t="inlineStr">
        <is>
          <t>Full survey answers not in the files received · How We Grow export needed · HR</t>
        </is>
      </c>
    </row>
    <row r="338" ht="90" customHeight="1">
      <c r="A338" s="51" t="inlineStr">
        <is>
          <t>◂ Back</t>
        </is>
      </c>
      <c r="B338" s="29" t="inlineStr">
        <is>
          <t>Mapped</t>
        </is>
      </c>
      <c r="C338" s="28" t="inlineStr">
        <is>
          <t>iFile</t>
        </is>
      </c>
      <c r="D338" s="29" t="inlineStr">
        <is>
          <t>IRIS2041</t>
        </is>
      </c>
      <c r="E338" s="29" t="inlineStr">
        <is>
          <t>Sandip Potkule</t>
        </is>
      </c>
      <c r="F338" s="29" t="inlineStr">
        <is>
          <t>Quality Assurance</t>
        </is>
      </c>
      <c r="G338" s="29" t="inlineStr">
        <is>
          <t>QA Engineer</t>
        </is>
      </c>
      <c r="H338" s="29" t="inlineStr">
        <is>
          <t>Senior QA Engineer</t>
        </is>
      </c>
      <c r="I338" s="29" t="inlineStr">
        <is>
          <t>L3 – Professional / Associate</t>
        </is>
      </c>
      <c r="J338" s="29" t="inlineStr">
        <is>
          <t>A3</t>
        </is>
      </c>
      <c r="K338" s="29" t="inlineStr">
        <is>
          <t>▲ Up</t>
        </is>
      </c>
      <c r="L338" s="29" t="inlineStr">
        <is>
          <t>Quality Assurance</t>
        </is>
      </c>
      <c r="M338" s="29" t="inlineStr">
        <is>
          <t>Functional &amp; Domain Testing</t>
        </is>
      </c>
      <c r="N338" s="29" t="n"/>
      <c r="O338" s="29" t="n">
        <v>0</v>
      </c>
      <c r="P338" s="28" t="inlineStr">
        <is>
          <t>P2</t>
        </is>
      </c>
      <c r="Q338" s="29" t="inlineStr">
        <is>
          <t>Developing</t>
        </is>
      </c>
      <c r="R338" s="29" t="inlineStr">
        <is>
          <t>3 Apply</t>
        </is>
      </c>
      <c r="S338" s="29" t="inlineStr">
        <is>
          <t>2–4 yrs</t>
        </is>
      </c>
      <c r="T338" s="29" t="inlineStr">
        <is>
          <t>3–5 · 2–5</t>
        </is>
      </c>
      <c r="U338" s="29" t="inlineStr">
        <is>
          <t>QA Engineer</t>
        </is>
      </c>
      <c r="V338" s="29" t="inlineStr">
        <is>
          <t>Workiva: SE · Broadridge India: SE · Nasdaq / AxiomSL: SE · IRIS Vs Market Benchmark — ISTQB certification pathway: Foundation</t>
        </is>
      </c>
      <c r="W338" s="29" t="inlineStr">
        <is>
          <t>ISTQB Foundation → Advanced → Expert; SFIA testing</t>
        </is>
      </c>
      <c r="X338" s="29" t="inlineStr">
        <is>
          <t>Core 2 · Future 2 · Functional 3 · Leadership not scored</t>
        </is>
      </c>
      <c r="Y338" s="52" t="n">
        <v>230</v>
      </c>
      <c r="Z338" s="53" t="inlineStr">
        <is>
          <t>IRIS2041</t>
        </is>
      </c>
      <c r="AA338" s="53" t="inlineStr">
        <is>
          <t>Employee</t>
        </is>
      </c>
      <c r="AB338" s="53" t="inlineStr">
        <is>
          <t>Serving Notice</t>
        </is>
      </c>
      <c r="AC338" s="53" t="inlineStr">
        <is>
          <t>Sandip Potkule</t>
        </is>
      </c>
      <c r="AD338" s="54" t="n">
        <v>44755</v>
      </c>
      <c r="AE338" s="53" t="inlineStr">
        <is>
          <t>QA Engineer</t>
        </is>
      </c>
      <c r="AF338" s="53" t="inlineStr">
        <is>
          <t>B.E</t>
        </is>
      </c>
      <c r="AG338" s="53" t="inlineStr">
        <is>
          <t>Pallavi Suryavanshi</t>
        </is>
      </c>
      <c r="AH338" s="53" t="inlineStr">
        <is>
          <t>N-5</t>
        </is>
      </c>
      <c r="AI338" s="53" t="inlineStr">
        <is>
          <t>Individual Contributor</t>
        </is>
      </c>
      <c r="AJ338" s="53" t="inlineStr">
        <is>
          <t>0 years, 0 months, 0 days</t>
        </is>
      </c>
      <c r="AK338" s="53" t="inlineStr">
        <is>
          <t>4 years, 1 months, 12 days</t>
        </is>
      </c>
      <c r="AL338" s="53" t="inlineStr">
        <is>
          <t>Suptech</t>
        </is>
      </c>
      <c r="AM338" s="53" t="inlineStr">
        <is>
          <t>iFile</t>
        </is>
      </c>
      <c r="AN338" s="53" t="inlineStr">
        <is>
          <t>Quality Assurance</t>
        </is>
      </c>
      <c r="AO338" s="53" t="inlineStr">
        <is>
          <t>Quality Assurance</t>
        </is>
      </c>
      <c r="AP338" s="53" t="inlineStr">
        <is>
          <t>No</t>
        </is>
      </c>
      <c r="AQ338" s="53" t="inlineStr">
        <is>
          <t>Product/Project</t>
        </is>
      </c>
      <c r="AR338" s="53" t="inlineStr">
        <is>
          <t>Software Testing</t>
        </is>
      </c>
      <c r="AS338" s="53" t="inlineStr">
        <is>
          <t>Technical · BA, PM and QA</t>
        </is>
      </c>
      <c r="AT338" s="53" t="n">
        <v>0</v>
      </c>
      <c r="AU338" s="53" t="inlineStr">
        <is>
          <t>Excluded</t>
        </is>
      </c>
      <c r="AV338" s="53" t="n"/>
      <c r="AW338" s="53" t="n"/>
      <c r="AX338" s="53" t="n"/>
      <c r="AY338" s="53" t="n"/>
      <c r="AZ338" s="53" t="n"/>
      <c r="BA338" s="53" t="n"/>
      <c r="BB338" s="53" t="n"/>
      <c r="BC338" s="53" t="n"/>
      <c r="BD338" s="53" t="n"/>
      <c r="BE338" s="53" t="n"/>
      <c r="BF338" s="53" t="n"/>
      <c r="BG338" s="53" t="n"/>
      <c r="BH338" s="53" t="n"/>
      <c r="BI338" s="53" t="n"/>
      <c r="BJ338" s="53" t="n"/>
      <c r="BK338" s="53" t="n"/>
      <c r="BL338" s="53" t="n"/>
      <c r="BM338" s="53" t="n"/>
      <c r="BN338" s="53" t="n"/>
      <c r="BO338" s="53" t="n"/>
      <c r="BP338" s="53" t="n"/>
      <c r="BQ338" s="53" t="n"/>
      <c r="BR338" s="53" t="n"/>
      <c r="BS338" s="53" t="n"/>
      <c r="BT338" s="53" t="n"/>
      <c r="BU338" s="53" t="n"/>
      <c r="BV338" s="53" t="n"/>
      <c r="BW338" s="53" t="n"/>
      <c r="BX338" s="53" t="n"/>
      <c r="BY338" s="53" t="n"/>
      <c r="BZ338" s="53" t="n"/>
      <c r="CA338" s="53" t="n"/>
      <c r="CB338" s="53" t="n"/>
      <c r="CC338" s="53" t="n"/>
      <c r="CD338" s="53" t="n"/>
      <c r="CE338" s="53" t="n"/>
      <c r="CF338" s="53" t="n"/>
      <c r="CG338" s="53" t="n"/>
      <c r="CH338" s="53" t="n"/>
      <c r="CI338" s="53" t="n"/>
      <c r="CJ338" s="53" t="n"/>
      <c r="CK338" s="53" t="n"/>
      <c r="CL338" s="53" t="n"/>
      <c r="CM338" s="53" t="n"/>
      <c r="CN338" s="53" t="n"/>
      <c r="CO338" s="53" t="n"/>
      <c r="CP338" s="53" t="n"/>
      <c r="CQ338" s="53" t="n"/>
      <c r="CR338" s="53" t="n"/>
      <c r="CS338" s="53" t="n"/>
      <c r="CT338" s="53" t="n"/>
      <c r="CU338" s="53" t="n"/>
      <c r="CV338" s="53" t="n"/>
      <c r="CW338" s="53" t="n"/>
      <c r="CX338" s="53" t="n"/>
      <c r="CY338" s="53" t="n"/>
      <c r="CZ338" s="53" t="n"/>
      <c r="DA338" s="53" t="n"/>
      <c r="DB338" s="53" t="n"/>
      <c r="DC338" s="53" t="n"/>
      <c r="DD338" s="53" t="inlineStr">
        <is>
          <t>IRIS2041</t>
        </is>
      </c>
      <c r="DE338" s="53" t="inlineStr">
        <is>
          <t>Employee</t>
        </is>
      </c>
      <c r="DF338" s="53" t="inlineStr">
        <is>
          <t>Active</t>
        </is>
      </c>
      <c r="DG338" s="53" t="inlineStr">
        <is>
          <t>Sandip Potkule</t>
        </is>
      </c>
      <c r="DH338" s="54" t="n">
        <v>44755</v>
      </c>
      <c r="DI338" s="53" t="inlineStr">
        <is>
          <t>QA Engineer</t>
        </is>
      </c>
      <c r="DJ338" s="53" t="inlineStr">
        <is>
          <t>Quality Assurance</t>
        </is>
      </c>
      <c r="DK338" s="53" t="inlineStr">
        <is>
          <t>Quality Engineering</t>
        </is>
      </c>
      <c r="DL338" s="53" t="inlineStr">
        <is>
          <t>QA Engineer</t>
        </is>
      </c>
      <c r="DM338" s="53" t="inlineStr">
        <is>
          <t>L3 – Professional / Associate</t>
        </is>
      </c>
      <c r="DN338" s="53" t="inlineStr">
        <is>
          <t>B.E</t>
        </is>
      </c>
      <c r="DO338" s="53" t="inlineStr">
        <is>
          <t>Pallavi Suryavanshi</t>
        </is>
      </c>
      <c r="DP338" s="53" t="inlineStr">
        <is>
          <t>N-4</t>
        </is>
      </c>
      <c r="DQ338" s="53" t="inlineStr">
        <is>
          <t>Individual Contributor</t>
        </is>
      </c>
      <c r="DR338" s="53" t="inlineStr">
        <is>
          <t>0 years, 0 months, 0 days</t>
        </is>
      </c>
      <c r="DS338" s="53" t="inlineStr">
        <is>
          <t>3 years, 11 months, 7 days</t>
        </is>
      </c>
      <c r="DT338" s="53" t="inlineStr">
        <is>
          <t>3 years, 11 months, 7 days</t>
        </is>
      </c>
      <c r="DU338" s="53" t="n"/>
      <c r="DV338" s="53" t="inlineStr">
        <is>
          <t>Suptech</t>
        </is>
      </c>
      <c r="DW338" s="53" t="inlineStr">
        <is>
          <t>iFile</t>
        </is>
      </c>
      <c r="DX338" s="53" t="inlineStr">
        <is>
          <t>Quality Assurance</t>
        </is>
      </c>
      <c r="DY338" s="53" t="inlineStr">
        <is>
          <t>Quality Assurance</t>
        </is>
      </c>
      <c r="DZ338" s="53" t="inlineStr">
        <is>
          <t>No</t>
        </is>
      </c>
      <c r="EA338" s="53" t="inlineStr">
        <is>
          <t>Product/Project</t>
        </is>
      </c>
      <c r="EB338" s="53" t="inlineStr">
        <is>
          <t>Software Testing</t>
        </is>
      </c>
      <c r="EC338" s="53" t="inlineStr">
        <is>
          <t>Technical · BA, PM and QA</t>
        </is>
      </c>
      <c r="ED338" s="53" t="inlineStr">
        <is>
          <t>Remote- Outside Mumbai</t>
        </is>
      </c>
      <c r="EE338" s="53" t="inlineStr">
        <is>
          <t>1.QA environment Testing · SBC
2. Test cases writing · SBC
3. Test case execution · SBC
4. API testing · SBC
5. Production issues retesting · SBC</t>
        </is>
      </c>
      <c r="EF338" s="53" t="inlineStr">
        <is>
          <t>1. Manage end-to-end testing activities for the assigned projects, including planning, execution, and coordination with stakeholders.
2. Prepare, maintain, and execute comprehensive test cases and test data to ensure complete business requirement coverage.
3. Coordinate with development, business, and client teams to track defects, validate fixes, and ensure successful project delivery.
4. Review testing outcomes, ensure all quality criteria are met, and provide formal QA sign-off to the client for production deployment.</t>
        </is>
      </c>
      <c r="EG338" s="53" t="inlineStr">
        <is>
          <t>SBC Project Completeion till dec</t>
        </is>
      </c>
      <c r="EH338" s="53" t="n">
        <v>4</v>
      </c>
      <c r="EI338" s="53" t="inlineStr">
        <is>
          <t>25-06-2026</t>
        </is>
      </c>
      <c r="EJ338" s="53" t="inlineStr">
        <is>
          <t>QA Engineer</t>
        </is>
      </c>
      <c r="EK338" s="53" t="inlineStr">
        <is>
          <t>No</t>
        </is>
      </c>
      <c r="EL338" s="53" t="n">
        <v>4</v>
      </c>
      <c r="EM338" s="53" t="inlineStr">
        <is>
          <t>Medium</t>
        </is>
      </c>
      <c r="EN338" s="53" t="inlineStr">
        <is>
          <t>Trusted Professional</t>
        </is>
      </c>
      <c r="EO338" s="53" t="inlineStr">
        <is>
          <t>No</t>
        </is>
      </c>
      <c r="EP338" s="53" t="inlineStr">
        <is>
          <t>No</t>
        </is>
      </c>
      <c r="EQ338" s="53" t="inlineStr">
        <is>
          <t>No</t>
        </is>
      </c>
      <c r="ER338" s="53" t="inlineStr">
        <is>
          <t>Adnan</t>
        </is>
      </c>
      <c r="ES338" s="53" t="inlineStr">
        <is>
          <t>Test automation frameworks · Selenium/Playwright; API testing; CI/CD test integration; defect analytics</t>
        </is>
      </c>
      <c r="ET338" s="53" t="inlineStr">
        <is>
          <t>Transition to leadership: people management &amp; delegation, mentoring/coaching, project ownership &amp; stakeholder management, prioritisation under ambiguity, presentation &amp; influence skills</t>
        </is>
      </c>
      <c r="EU338" s="53" t="n"/>
      <c r="EV338" s="53" t="n"/>
      <c r="EW338" s="52" t="n"/>
      <c r="EX338" s="53" t="n"/>
      <c r="EY338" s="53" t="n"/>
      <c r="EZ338" s="53" t="n"/>
      <c r="FA338" s="53" t="n"/>
      <c r="FB338" s="53" t="n"/>
      <c r="FC338" s="53" t="n"/>
      <c r="FD338" s="53" t="n"/>
      <c r="FE338" s="57" t="inlineStr">
        <is>
          <t>1. Manage end-to-end testing activities for the assigned projects, including planning, execution, and coordination with stakeholders.
2. Prepare, maintain, and execute comprehensive test cases and test data to ensure complete business requirement coverage.
3. Coordinate with development, business, and client teams to track defects, validate fixes, and ensure successful project delivery.
4. Review testing outcomes, ensure all quality criteria are met, and provide formal QA sign-off to the client for production deployment.</t>
        </is>
      </c>
      <c r="FF338" s="56" t="inlineStr">
        <is>
          <t>SBC Project Completeion till dec</t>
        </is>
      </c>
      <c r="FG338" s="56" t="inlineStr">
        <is>
          <t>1.QA environment Testing · SBC
2. Test cases writing · SBC
3. Test case execution · SBC
4. API testing · SBC
5. Production issues retesting · SBC</t>
        </is>
      </c>
      <c r="FH338" s="56" t="inlineStr">
        <is>
          <t>4</t>
        </is>
      </c>
      <c r="FI338" s="56" t="n"/>
      <c r="FJ338" s="56" t="inlineStr">
        <is>
          <t>Received · manager annual, quarterly, self</t>
        </is>
      </c>
      <c r="FK338" s="56" t="inlineStr">
        <is>
          <t>Talent Mapping · iFile collated</t>
        </is>
      </c>
      <c r="FL338" s="56" t="n">
        <v>0</v>
      </c>
      <c r="FM338" s="32" t="inlineStr">
        <is>
          <t>No survey response on file</t>
        </is>
      </c>
      <c r="FN338" s="56" t="inlineStr">
        <is>
          <t>—</t>
        </is>
      </c>
      <c r="FO338" s="56" t="inlineStr">
        <is>
          <t>—</t>
        </is>
      </c>
      <c r="FP338" s="56" t="inlineStr">
        <is>
          <t>—</t>
        </is>
      </c>
      <c r="FQ338" s="56" t="inlineStr">
        <is>
          <t>—</t>
        </is>
      </c>
      <c r="FR338" s="56" t="inlineStr">
        <is>
          <t>Complexity: Evidence reads like A2: KRA only: test case writing, execution, API testing and production-issue retesting for SBC → matches the start
Autonomy: Evidence reads like A2: No survey; KRA implies planning own testing and giving QA sign-off → matches the start
Accountability: Evidence reads like A3: KRA: formal QA sign-off to the client for production deployment on SBC → moved up 0.5
Leadership: Evidence reads like A1: No survey text; KRA describes no people leadership → matches the start
Business Impact: No survey or manager-mapping signal on criticality: kept at the start point.</t>
        </is>
      </c>
      <c r="FS338" s="56"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FT338" s="56" t="n"/>
      <c r="FU338" s="32" t="inlineStr">
        <is>
          <t>No survey response on file</t>
        </is>
      </c>
    </row>
    <row r="339" ht="90" customHeight="1">
      <c r="A339" s="51" t="inlineStr">
        <is>
          <t>◂ Back</t>
        </is>
      </c>
      <c r="B339" s="29" t="inlineStr">
        <is>
          <t>Mapped</t>
        </is>
      </c>
      <c r="C339" s="28" t="inlineStr">
        <is>
          <t>iFile</t>
        </is>
      </c>
      <c r="D339" s="29" t="inlineStr">
        <is>
          <t>IRIS1923</t>
        </is>
      </c>
      <c r="E339" s="29" t="inlineStr">
        <is>
          <t>Ruturaj Kadam</t>
        </is>
      </c>
      <c r="F339" s="29" t="inlineStr">
        <is>
          <t>Quality Assurance</t>
        </is>
      </c>
      <c r="G339" s="29" t="inlineStr">
        <is>
          <t>Senior QA - Engineer</t>
        </is>
      </c>
      <c r="H339" s="29" t="inlineStr">
        <is>
          <t>QA Specialist – POD Lead</t>
        </is>
      </c>
      <c r="I339" s="29" t="inlineStr">
        <is>
          <t>L4 – Senior</t>
        </is>
      </c>
      <c r="J339" s="29" t="inlineStr">
        <is>
          <t>B1</t>
        </is>
      </c>
      <c r="K339" s="29" t="inlineStr">
        <is>
          <t>▲ Up</t>
        </is>
      </c>
      <c r="L339" s="29" t="inlineStr">
        <is>
          <t>Quality Assurance</t>
        </is>
      </c>
      <c r="M339" s="29" t="inlineStr">
        <is>
          <t>Functional &amp; Domain Testing</t>
        </is>
      </c>
      <c r="N339" s="29" t="n"/>
      <c r="O339" s="29" t="n">
        <v>20</v>
      </c>
      <c r="P339" s="28" t="inlineStr">
        <is>
          <t>P3 / M2</t>
        </is>
      </c>
      <c r="Q339" s="29" t="inlineStr">
        <is>
          <t>Career / · Team Lead</t>
        </is>
      </c>
      <c r="R339" s="29" t="inlineStr">
        <is>
          <t>4 Enable</t>
        </is>
      </c>
      <c r="S339" s="29" t="inlineStr">
        <is>
          <t>4–7 yrs</t>
        </is>
      </c>
      <c r="T339" s="29" t="inlineStr">
        <is>
          <t>5–8 · 4–8</t>
        </is>
      </c>
      <c r="U339" s="29" t="inlineStr">
        <is>
          <t>Senior QA Engineer</t>
        </is>
      </c>
      <c r="V339" s="29" t="inlineStr">
        <is>
          <t>Workiva: SE / Senior SE · Broadridge India: Senior SE · Nasdaq / AxiomSL: Senior SE · IRIS Vs Market Benchmark — ISTQB certification pathway: Advanced · Test Analyst</t>
        </is>
      </c>
      <c r="W339" s="29" t="inlineStr">
        <is>
          <t>ISTQB Foundation → Advanced → Expert; SFIA testing</t>
        </is>
      </c>
      <c r="X339" s="29" t="inlineStr">
        <is>
          <t>Core 3 · Future 3 · Functional 3 · Leadership 2</t>
        </is>
      </c>
      <c r="Y339" s="52" t="n">
        <v>186</v>
      </c>
      <c r="Z339" s="53" t="inlineStr">
        <is>
          <t>IRIS1923</t>
        </is>
      </c>
      <c r="AA339" s="53" t="inlineStr">
        <is>
          <t>Employee</t>
        </is>
      </c>
      <c r="AB339" s="53" t="inlineStr">
        <is>
          <t>Active</t>
        </is>
      </c>
      <c r="AC339" s="53" t="inlineStr">
        <is>
          <t>Ruturaj Kadam</t>
        </is>
      </c>
      <c r="AD339" s="54" t="n">
        <v>44375</v>
      </c>
      <c r="AE339" s="53" t="inlineStr">
        <is>
          <t>Senior QA - Engineer</t>
        </is>
      </c>
      <c r="AF339" s="53" t="inlineStr">
        <is>
          <t>B.E</t>
        </is>
      </c>
      <c r="AG339" s="53" t="inlineStr">
        <is>
          <t>Davinder Pal Singh</t>
        </is>
      </c>
      <c r="AH339" s="53" t="inlineStr">
        <is>
          <t>N-4</t>
        </is>
      </c>
      <c r="AI339" s="53" t="inlineStr">
        <is>
          <t>Manager</t>
        </is>
      </c>
      <c r="AJ339" s="53" t="inlineStr">
        <is>
          <t>3 years, 2 months, 0 days</t>
        </is>
      </c>
      <c r="AK339" s="53" t="inlineStr">
        <is>
          <t>5 years, 1 months, 28 days</t>
        </is>
      </c>
      <c r="AL339" s="53" t="inlineStr">
        <is>
          <t>Suptech</t>
        </is>
      </c>
      <c r="AM339" s="53" t="inlineStr">
        <is>
          <t>iFile</t>
        </is>
      </c>
      <c r="AN339" s="53" t="inlineStr">
        <is>
          <t>Quality Assurance</t>
        </is>
      </c>
      <c r="AO339" s="53" t="inlineStr">
        <is>
          <t>Quality Assurance</t>
        </is>
      </c>
      <c r="AP339" s="53" t="inlineStr">
        <is>
          <t>No</t>
        </is>
      </c>
      <c r="AQ339" s="53" t="inlineStr">
        <is>
          <t>Product/Project</t>
        </is>
      </c>
      <c r="AR339" s="53" t="inlineStr">
        <is>
          <t>Software Testing</t>
        </is>
      </c>
      <c r="AS339" s="53" t="inlineStr">
        <is>
          <t>Technical · BA, PM and QA</t>
        </is>
      </c>
      <c r="AT339" s="53" t="n">
        <v>20</v>
      </c>
      <c r="AU339" s="53" t="inlineStr">
        <is>
          <t>Covered</t>
        </is>
      </c>
      <c r="AV339" s="53" t="n"/>
      <c r="AW339" s="53" t="n"/>
      <c r="AX339" s="53" t="n"/>
      <c r="AY339" s="53" t="n"/>
      <c r="AZ339" s="53" t="n"/>
      <c r="BA339" s="53" t="n"/>
      <c r="BB339" s="53" t="n"/>
      <c r="BC339" s="53" t="n"/>
      <c r="BD339" s="53" t="n"/>
      <c r="BE339" s="53" t="n"/>
      <c r="BF339" s="53" t="n"/>
      <c r="BG339" s="53" t="n"/>
      <c r="BH339" s="53" t="n"/>
      <c r="BI339" s="53" t="n"/>
      <c r="BJ339" s="53" t="n"/>
      <c r="BK339" s="53" t="n"/>
      <c r="BL339" s="53" t="n"/>
      <c r="BM339" s="53" t="n"/>
      <c r="BN339" s="53" t="n"/>
      <c r="BO339" s="53" t="n"/>
      <c r="BP339" s="53" t="n"/>
      <c r="BQ339" s="53" t="n"/>
      <c r="BR339" s="53" t="n"/>
      <c r="BS339" s="53" t="n"/>
      <c r="BT339" s="53" t="n"/>
      <c r="BU339" s="53" t="n"/>
      <c r="BV339" s="53" t="n"/>
      <c r="BW339" s="53" t="n"/>
      <c r="BX339" s="53" t="n"/>
      <c r="BY339" s="53" t="n"/>
      <c r="BZ339" s="53" t="n"/>
      <c r="CA339" s="53" t="n"/>
      <c r="CB339" s="53" t="n"/>
      <c r="CC339" s="53" t="n"/>
      <c r="CD339" s="53" t="n"/>
      <c r="CE339" s="53" t="n"/>
      <c r="CF339" s="53" t="n"/>
      <c r="CG339" s="53" t="n"/>
      <c r="CH339" s="53" t="n"/>
      <c r="CI339" s="53" t="n"/>
      <c r="CJ339" s="53" t="n"/>
      <c r="CK339" s="53" t="n"/>
      <c r="CL339" s="53" t="n"/>
      <c r="CM339" s="53" t="n"/>
      <c r="CN339" s="53" t="n"/>
      <c r="CO339" s="53" t="n"/>
      <c r="CP339" s="53" t="n"/>
      <c r="CQ339" s="53" t="n"/>
      <c r="CR339" s="53" t="n"/>
      <c r="CS339" s="53" t="n"/>
      <c r="CT339" s="53" t="n"/>
      <c r="CU339" s="53" t="n"/>
      <c r="CV339" s="53" t="n"/>
      <c r="CW339" s="53" t="n"/>
      <c r="CX339" s="53" t="n"/>
      <c r="CY339" s="53" t="n"/>
      <c r="CZ339" s="53" t="n"/>
      <c r="DA339" s="53" t="n"/>
      <c r="DB339" s="53" t="n"/>
      <c r="DC339" s="53" t="n"/>
      <c r="DD339" s="53" t="inlineStr">
        <is>
          <t>IRIS1923</t>
        </is>
      </c>
      <c r="DE339" s="53" t="inlineStr">
        <is>
          <t>Employee</t>
        </is>
      </c>
      <c r="DF339" s="53" t="inlineStr">
        <is>
          <t>Active</t>
        </is>
      </c>
      <c r="DG339" s="53" t="inlineStr">
        <is>
          <t>Ruturaj Kadam</t>
        </is>
      </c>
      <c r="DH339" s="54" t="n">
        <v>44375</v>
      </c>
      <c r="DI339" s="53" t="inlineStr">
        <is>
          <t>Senior QA - Engineer</t>
        </is>
      </c>
      <c r="DJ339" s="53" t="inlineStr">
        <is>
          <t>Quality Assurance</t>
        </is>
      </c>
      <c r="DK339" s="53" t="inlineStr">
        <is>
          <t>Quality Engineering</t>
        </is>
      </c>
      <c r="DL339" s="53" t="inlineStr">
        <is>
          <t>Senior QA - Engineer</t>
        </is>
      </c>
      <c r="DM339" s="53" t="inlineStr">
        <is>
          <t>L4 – Senior</t>
        </is>
      </c>
      <c r="DN339" s="53" t="inlineStr">
        <is>
          <t>B.E</t>
        </is>
      </c>
      <c r="DO339" s="53" t="inlineStr">
        <is>
          <t>Davinder Pal Singh</t>
        </is>
      </c>
      <c r="DP339" s="53" t="inlineStr">
        <is>
          <t>N-3</t>
        </is>
      </c>
      <c r="DQ339" s="53" t="inlineStr">
        <is>
          <t>Manager</t>
        </is>
      </c>
      <c r="DR339" s="53" t="inlineStr">
        <is>
          <t>3 years, 2 months, 0 days</t>
        </is>
      </c>
      <c r="DS339" s="53" t="inlineStr">
        <is>
          <t>4 years, 11 months, 23 days</t>
        </is>
      </c>
      <c r="DT339" s="53" t="inlineStr">
        <is>
          <t>8 years, 1 months, 23 days</t>
        </is>
      </c>
      <c r="DU339" s="53" t="n">
        <v>4.9796803652968</v>
      </c>
      <c r="DV339" s="53" t="inlineStr">
        <is>
          <t>Suptech</t>
        </is>
      </c>
      <c r="DW339" s="53" t="inlineStr">
        <is>
          <t>iFile</t>
        </is>
      </c>
      <c r="DX339" s="53" t="inlineStr">
        <is>
          <t>Quality Assurance</t>
        </is>
      </c>
      <c r="DY339" s="53" t="inlineStr">
        <is>
          <t>Quality Assurance</t>
        </is>
      </c>
      <c r="DZ339" s="53" t="inlineStr">
        <is>
          <t>No</t>
        </is>
      </c>
      <c r="EA339" s="53" t="inlineStr">
        <is>
          <t>Product/Project</t>
        </is>
      </c>
      <c r="EB339" s="53" t="inlineStr">
        <is>
          <t>Software Testing</t>
        </is>
      </c>
      <c r="EC339" s="53" t="inlineStr">
        <is>
          <t>Technical · BA, PM and QA</t>
        </is>
      </c>
      <c r="ED339" s="53" t="inlineStr">
        <is>
          <t>Hybrid</t>
        </is>
      </c>
      <c r="EE339" s="53" t="inlineStr">
        <is>
          <t>1.Project Delivery &amp; QA Leadership Successfully deliver all planned releases with 95%+ test execution completion and zero critical defects escaping to production 30 July 2026 _ Phase 1 release portal + F010,F012,F013,F014,F015 Returns 
2.Lead QA activities for assigned projects and mentor team members. Led QA activities for the QCB Project UAT · Release 1, coordinating test planning, execution, defect tracking, and stakeholder communication. Managed end-to-end testing activities while leading a QA team member to ensure timely delivery.
3.Test Planning &amp; Execution Create, review, and execute 500+ functional, integration, regression, and UAT test cases annually with complete requirement coverage. Planned and executed comprehensive test scenarios for QCB UAT Release 1, ensuring complete business requirement coverage and maintaining high-quality test documentation.
4. QCB/LFIs User manual Creation for client- reviewed by BAs and Dev team.
5.Defect Management &amp; Quality Assurance Maintain defect rejection rate below 5%, ensure high-quality defect reporting using AI, and support timely defect closure. Improved defect quality by providing detailed reproduction steps, screenshots, logs, expected vs. actual results, and effective coordination with development teams, resulting in faster defect resolution.
6.API Testing &amp; Integration Validation Validate 100+ API scenarios using Postman. Successfully learned API testing and applied API validation during project execution, improving end-to-end quality and backend verification.
7.AI Adoption for QA Productivity Improve QA productivity by 30–40% through effective use of AI tools for documentation, test design, analysis, and reporting.
Leveraged ChatGPT,Claude Code, and AI-assisted workflows to generate test cases, bug reports, requirement summaries,
8.Team Leadership &amp; Knowledge Sharing Mentor team members, conduct regular knowledge-sharing sessions, and improve overall team capability. Guided reporting QA resources, shared testing knowledge, reviewed deliverables, and ensured consistent QA practices throughout project execution.</t>
        </is>
      </c>
      <c r="EF339" s="53" t="inlineStr">
        <is>
          <t>1. Project Delivery &amp; QA Execution
Successfully delivered the QCB Project UAT · Release 1 and Phase 1 Portal release, including F010, F012, F013, F014, and F015 returns, within the planned timeline. Effectively managed test planning, execution, defect tracking, and stakeholder communication, ensuring high-quality deliverables and timely project completion.
2. Test Planning, Documentation &amp; Quality Assurance
Planned, reviewed, and executed comprehensive functional, integration, regression, and UAT test scenarios with complete business requirement coverage. Prepared and maintained detailed QCB/LFIs user manuals that were successfully reviewed and approved by the Business Analyst and Development teams, contributing to improved user adoption and documentation quality.
3. Defect Management &amp; API Testing
Produced high-quality defect reports with detailed reproduction steps, logs, screenshots, and expected versus actual results, enabling faster defect resolution. Successfully learned and applied API testing using Postman to validate backend integrations and improve end-to-end application quality.
4. AI Adoption &amp; Process Improvement
Effectively leveraged AI tools such as ChatGPT and Claude Code to accelerate test case creation, requirement analysis, documentation, bug reporting, and QA reporting. Improved productivity and reduced manual effort by incorporating AI-assisted testing practices into daily QA activities.
5. Team Collaboration &amp; Knowledge Sharing
Led QA activities for assigned projects while mentoring team members and promoting consistent QA practices. Shared testing knowledge, reviewed team deliverables, provided guidance throughout project execution, and collaborated effectively with cross-functional teams to ensure successful project delivery.</t>
        </is>
      </c>
      <c r="EG339" s="53" t="inlineStr">
        <is>
          <t>Managed the end-to-end testing of the QCB Returns module, completing all QA deliverables on schedule. The client sign-off is currently pending, and continued support is being provided to address client queries and facilitate final approval.</t>
        </is>
      </c>
      <c r="EH339" s="53" t="n">
        <v>4</v>
      </c>
      <c r="EI339" s="53" t="inlineStr">
        <is>
          <t>20-06-2026</t>
        </is>
      </c>
      <c r="EJ339" s="53" t="inlineStr">
        <is>
          <t>Senior QA - Engineer</t>
        </is>
      </c>
      <c r="EK339" s="53" t="inlineStr">
        <is>
          <t>no</t>
        </is>
      </c>
      <c r="EL339" s="53" t="n">
        <v>4</v>
      </c>
      <c r="EM339" s="53" t="inlineStr">
        <is>
          <t>Medium</t>
        </is>
      </c>
      <c r="EN339" s="53" t="inlineStr">
        <is>
          <t>Emerging Talent</t>
        </is>
      </c>
      <c r="EO339" s="53" t="inlineStr">
        <is>
          <t>No</t>
        </is>
      </c>
      <c r="EP339" s="53" t="inlineStr">
        <is>
          <t>No</t>
        </is>
      </c>
      <c r="EQ339" s="53" t="inlineStr">
        <is>
          <t>No</t>
        </is>
      </c>
      <c r="ER339" s="53" t="inlineStr">
        <is>
          <t>yet to identify</t>
        </is>
      </c>
      <c r="ES339" s="53" t="inlineStr">
        <is>
          <t>AI training</t>
        </is>
      </c>
      <c r="ET339" s="53" t="inlineStr">
        <is>
          <t>Leadership development: strategic thinking, cross-functional influence, financial/business acumen, succession &amp; talent development, change management, executive communication</t>
        </is>
      </c>
      <c r="EU339" s="53" t="n"/>
      <c r="EV339" s="53" t="n"/>
      <c r="EW339" s="52" t="n"/>
      <c r="EX339" s="53" t="n"/>
      <c r="EY339" s="53" t="n"/>
      <c r="EZ339" s="53" t="n"/>
      <c r="FA339" s="53" t="n"/>
      <c r="FB339" s="53" t="n"/>
      <c r="FC339" s="53" t="n"/>
      <c r="FD339" s="53" t="n"/>
      <c r="FE339" s="57" t="inlineStr">
        <is>
          <t>1. Project Delivery &amp; QA Execution
Successfully delivered the QCB Project UAT · Release 1. and Phase 1 Portal release, including F010, F012, F013, F014, and F015 returns, within the planned timeline. Effectively managed test planning, execution, defect tracking, and stakeholder communication, ensuring high-quality deliverables and timely project completion.
2. Test Planning, Documentation &amp; Quality Assurance
Planned, reviewed, and executed comprehensive functional, integration, regression, and UAT test scenarios with complete business requirement coverage. Prepared and maintained detailed QCB/LFIs user manuals that were successfully reviewed and approved by the Business Analyst and Development teams, contributing to improved user adoption and documentation quality.
3. Defect Management &amp; API Testing
Produced high-quality defect reports with detailed reproduction steps, logs, screenshots, and expected versus actual results, enabling faster defect resolution. Successfully learned and applied API testing using Postman to validate backend integrations and improve end-to-end application quality.
4. AI Adoption &amp; Process Improvement
Effectively leveraged AI tools such as ChatGPT and Claude Code to accelerate test case creation, requirement analysis, documentation, bug reporting, and QA reporting. Improved productivity and reduced manual effort by incorporating AI-assisted testing practices into daily QA activities.
5. Team Collaboration &amp; Knowledge Sharing
Led QA activities for assigned projects while mentoring team members and promoting consistent QA practices. Shared testing knowledge, reviewed team deliverables, provided guidance throughout project execution, and collaborated effectively with cross-functional teams to ensure successful project delivery.</t>
        </is>
      </c>
      <c r="FF339" s="56" t="inlineStr">
        <is>
          <t>Managed the end-to-end testing of the QCB Returns module, completing all QA deliverables on schedule. The client sign-off is currently pending, and continued support is being provided to address client queries and facilitate final approval.</t>
        </is>
      </c>
      <c r="FG339" s="56" t="inlineStr">
        <is>
          <t>1.Project Delivery &amp; QA Leadership Successfully deliver all planned releases with 95%+ test execution completion and zero critical defects escaping to production 30 July 2026 _ Phase 1 release portal + F010,F012,F013,F014,F015 Returns 
2.Lead QA activities for assigned projects and mentor team members. Led QA activities for the QCB Project UAT · Release 1, coordinating test planning, execution, defect tracking, and stakeholder communication. Managed end-to-end testing activities while leading a QA team member to ensure timely delivery.
3.Test Planning &amp; Execution Create, review, and execute 500+ functional, integration, regression, and UAT test cases annually with complete requirement coverage. Planned and executed comprehensive test scenarios for QCB UAT Release 1, ensuring complete business requirement coverage and maintaining high-quality test documentation.
4. QCB/LFIs User manual Creation for client- reviewed by BAs and Dev team.
5.Defect Management &amp; Quality Assurance Maintain defect rejection rate below 5%, ensure high-quality defect reporting using AI, and support timely defect closure. Improved defect quality by providing detailed reproduction steps, screenshots, logs, expected vs. actual results, and effective coordination with development teams, resulting in faster defect resolution.
6.API Testing &amp; Integration Validation Validate 100+ API scenarios using Postman. Successfully learned API testing and applied API validation during project execution, improving end-to-end quality and backend verification.
7.AI Adoption for QA Productivity Improve QA productivity by 30–40% through effective use of AI tools for documentation, test design, analysis, and reporting.
Leveraged ChatGPT,Claude Code, and AI-assisted workflows to generate test cases, bug reports, requirement summaries,
8.Team Leadership &amp; Knowledge Sharing Mentor team members, conduct regular knowledge-sharing sessions, and improve overall team capability. Guided reporting QA resources, shared testing knowledge, reviewed deliverables, and ensured consistent QA practices throughout project execution.</t>
        </is>
      </c>
      <c r="FH339" s="56" t="inlineStr">
        <is>
          <t>4</t>
        </is>
      </c>
      <c r="FI339" s="56" t="n"/>
      <c r="FJ339" s="56" t="inlineStr">
        <is>
          <t>Received · manager annual, quarterly, self</t>
        </is>
      </c>
      <c r="FK339" s="56" t="inlineStr">
        <is>
          <t>Talent Mapping · iFile collated</t>
        </is>
      </c>
      <c r="FL339" s="56" t="n">
        <v>20</v>
      </c>
      <c r="FM339" s="32" t="inlineStr">
        <is>
          <t>Full survey answers not in the files received · How We Grow export needed · HR</t>
        </is>
      </c>
      <c r="FN339" s="56" t="inlineStr">
        <is>
          <t>—</t>
        </is>
      </c>
      <c r="FO339" s="56" t="inlineStr">
        <is>
          <t>—</t>
        </is>
      </c>
      <c r="FP339" s="56" t="inlineStr">
        <is>
          <t>—</t>
        </is>
      </c>
      <c r="FQ339" s="56" t="inlineStr">
        <is>
          <t>—</t>
        </is>
      </c>
      <c r="FR339" s="56" t="inlineStr">
        <is>
          <t>Complexity: Evidence reads like A3: Test strategy and planning for QCB UAT release; resolves client queries end to end across teams → matches the start
Autonomy: Evidence reads like A3: Decides test execution coverage; handles client queries through to resolution → matches the start
Accountability: Evidence reads like B1: Led QA for QCB UAT Release 1 with one team member; release quality ownership → moved up 0.5
Leadership: Evidence reads like A3: Mentors and leads one QA team member; explains impact areas to the team → moved down 0.5
Business Impact: No survey or manager-mapping signal on criticality: kept at the start point.</t>
        </is>
      </c>
      <c r="FS339" s="56" t="inlineStr">
        <is>
          <t>Common themes in role-holders' answers: quality · testing · software
Common themes in role-holders' answers: automation testing · review · preparation · defect
Common themes in role-holders' answers: report
Common themes in role-holders' answers: deliverables · testing
If the work is missed · role-holders' themes: rework · additional.
Measured on · manager-set KRA themes: business · portal · testing · maintained · resolution · automation.</t>
        </is>
      </c>
      <c r="FT339" s="56" t="inlineStr">
        <is>
          <t>Self-identified: Testing &amp; quality · Strategy &amp; business acumen
For the next role: AI / automation · Testing &amp; quality · Strategy &amp; business acumen</t>
        </is>
      </c>
      <c r="FU339" s="32" t="inlineStr">
        <is>
          <t>Full survey answers not in the files received · How We Grow export needed · HR</t>
        </is>
      </c>
    </row>
    <row r="340" ht="90" customHeight="1">
      <c r="A340" s="51" t="inlineStr">
        <is>
          <t>◂ Back</t>
        </is>
      </c>
      <c r="B340" s="29" t="inlineStr">
        <is>
          <t>Mapped</t>
        </is>
      </c>
      <c r="C340" s="28" t="inlineStr">
        <is>
          <t>iFile</t>
        </is>
      </c>
      <c r="D340" s="29" t="inlineStr">
        <is>
          <t>IRIS2452</t>
        </is>
      </c>
      <c r="E340" s="29" t="inlineStr">
        <is>
          <t>Chinmay Dambe</t>
        </is>
      </c>
      <c r="F340" s="29" t="inlineStr">
        <is>
          <t>Quality Assurance</t>
        </is>
      </c>
      <c r="G340" s="29" t="inlineStr">
        <is>
          <t>Trainee QA Engineer</t>
        </is>
      </c>
      <c r="H340" s="29" t="inlineStr">
        <is>
          <t>Trainee QA Automation Engineer</t>
        </is>
      </c>
      <c r="I340" s="29" t="inlineStr">
        <is>
          <t>L2 – Trainee</t>
        </is>
      </c>
      <c r="J340" s="29" t="inlineStr">
        <is>
          <t>A1</t>
        </is>
      </c>
      <c r="K340" s="29" t="inlineStr">
        <is>
          <t>• Same level</t>
        </is>
      </c>
      <c r="L340" s="29" t="inlineStr">
        <is>
          <t>Quality Assurance</t>
        </is>
      </c>
      <c r="M340" s="29" t="inlineStr">
        <is>
          <t>Test Automation</t>
        </is>
      </c>
      <c r="N340" s="29" t="n"/>
      <c r="O340" s="29" t="n">
        <v>19</v>
      </c>
      <c r="P340" s="28" t="inlineStr">
        <is>
          <t>Entry / P1 · intern</t>
        </is>
      </c>
      <c r="Q340" s="29" t="inlineStr">
        <is>
          <t>Entry</t>
        </is>
      </c>
      <c r="R340" s="29" t="inlineStr">
        <is>
          <t>1 Follow</t>
        </is>
      </c>
      <c r="S340" s="29" t="inlineStr">
        <is>
          <t>0 yrs · fresher / intern</t>
        </is>
      </c>
      <c r="T340" s="29" t="inlineStr">
        <is>
          <t>—</t>
        </is>
      </c>
      <c r="U340" s="29" t="inlineStr">
        <is>
          <t>Associate QA Engineer</t>
        </is>
      </c>
      <c r="V340" s="29" t="inlineStr">
        <is>
          <t>—</t>
        </is>
      </c>
      <c r="W340" s="29" t="inlineStr">
        <is>
          <t>ISTQB Foundation → Advanced → Expert; SFIA testing</t>
        </is>
      </c>
      <c r="X340" s="29" t="inlineStr">
        <is>
          <t>Core 1 · Future 1 · Functional 1 · Leadership not scored</t>
        </is>
      </c>
      <c r="Y340" s="52" t="n">
        <v>418</v>
      </c>
      <c r="Z340" s="53" t="inlineStr">
        <is>
          <t>IRIS2452</t>
        </is>
      </c>
      <c r="AA340" s="53" t="inlineStr">
        <is>
          <t>Employee</t>
        </is>
      </c>
      <c r="AB340" s="53" t="inlineStr">
        <is>
          <t>Active</t>
        </is>
      </c>
      <c r="AC340" s="53" t="inlineStr">
        <is>
          <t>Chinmay Dambe</t>
        </is>
      </c>
      <c r="AD340" s="54" t="n">
        <v>45995</v>
      </c>
      <c r="AE340" s="53" t="inlineStr">
        <is>
          <t>Trainee QA Engineer</t>
        </is>
      </c>
      <c r="AF340" s="53" t="inlineStr">
        <is>
          <t>B.E</t>
        </is>
      </c>
      <c r="AG340" s="53" t="inlineStr">
        <is>
          <t>Ruturaj Kadam</t>
        </is>
      </c>
      <c r="AH340" s="53" t="inlineStr">
        <is>
          <t>N-5</t>
        </is>
      </c>
      <c r="AI340" s="53" t="inlineStr">
        <is>
          <t>Individual Contributor</t>
        </is>
      </c>
      <c r="AJ340" s="53" t="inlineStr">
        <is>
          <t>0 years, 0 months, 0 days</t>
        </is>
      </c>
      <c r="AK340" s="53" t="inlineStr">
        <is>
          <t>0 years, 8 months, 21 days</t>
        </is>
      </c>
      <c r="AL340" s="53" t="inlineStr">
        <is>
          <t>Suptech</t>
        </is>
      </c>
      <c r="AM340" s="53" t="inlineStr">
        <is>
          <t>iFile</t>
        </is>
      </c>
      <c r="AN340" s="53" t="inlineStr">
        <is>
          <t>Quality Assurance</t>
        </is>
      </c>
      <c r="AO340" s="53" t="inlineStr">
        <is>
          <t>Quality Assurance</t>
        </is>
      </c>
      <c r="AP340" s="53" t="inlineStr">
        <is>
          <t>No</t>
        </is>
      </c>
      <c r="AQ340" s="53" t="inlineStr">
        <is>
          <t>Product/Project</t>
        </is>
      </c>
      <c r="AR340" s="53" t="inlineStr">
        <is>
          <t>Software Testing</t>
        </is>
      </c>
      <c r="AS340" s="53" t="inlineStr">
        <is>
          <t>Technical · BA, PM and QA</t>
        </is>
      </c>
      <c r="AT340" s="53" t="n">
        <v>20</v>
      </c>
      <c r="AU340" s="53" t="inlineStr">
        <is>
          <t>Covered</t>
        </is>
      </c>
      <c r="AV340" s="53" t="n"/>
      <c r="AW340" s="53" t="n"/>
      <c r="AX340" s="53" t="n"/>
      <c r="AY340" s="53" t="n"/>
      <c r="AZ340" s="53" t="n"/>
      <c r="BA340" s="53" t="n"/>
      <c r="BB340" s="53" t="n"/>
      <c r="BC340" s="53" t="n"/>
      <c r="BD340" s="53" t="n"/>
      <c r="BE340" s="53" t="n"/>
      <c r="BF340" s="53" t="n"/>
      <c r="BG340" s="53" t="n"/>
      <c r="BH340" s="53" t="n"/>
      <c r="BI340" s="53" t="n"/>
      <c r="BJ340" s="53" t="n"/>
      <c r="BK340" s="53" t="n"/>
      <c r="BL340" s="53" t="n"/>
      <c r="BM340" s="53" t="n"/>
      <c r="BN340" s="53" t="n"/>
      <c r="BO340" s="53" t="n"/>
      <c r="BP340" s="53" t="n"/>
      <c r="BQ340" s="53" t="n"/>
      <c r="BR340" s="53" t="n"/>
      <c r="BS340" s="53" t="n"/>
      <c r="BT340" s="53" t="n"/>
      <c r="BU340" s="53" t="n"/>
      <c r="BV340" s="53" t="n"/>
      <c r="BW340" s="53" t="n"/>
      <c r="BX340" s="53" t="n"/>
      <c r="BY340" s="53" t="n"/>
      <c r="BZ340" s="53" t="n"/>
      <c r="CA340" s="53" t="n"/>
      <c r="CB340" s="53" t="n"/>
      <c r="CC340" s="53" t="n"/>
      <c r="CD340" s="53" t="n"/>
      <c r="CE340" s="53" t="n"/>
      <c r="CF340" s="53" t="n"/>
      <c r="CG340" s="53" t="n"/>
      <c r="CH340" s="53" t="n"/>
      <c r="CI340" s="53" t="n"/>
      <c r="CJ340" s="53" t="n"/>
      <c r="CK340" s="53" t="n"/>
      <c r="CL340" s="53" t="n"/>
      <c r="CM340" s="53" t="n"/>
      <c r="CN340" s="53" t="n"/>
      <c r="CO340" s="53" t="n"/>
      <c r="CP340" s="53" t="n"/>
      <c r="CQ340" s="53" t="n"/>
      <c r="CR340" s="53" t="n"/>
      <c r="CS340" s="53" t="n"/>
      <c r="CT340" s="53" t="n"/>
      <c r="CU340" s="53" t="n"/>
      <c r="CV340" s="53" t="n"/>
      <c r="CW340" s="53" t="n"/>
      <c r="CX340" s="53" t="n"/>
      <c r="CY340" s="53" t="n"/>
      <c r="CZ340" s="53" t="n"/>
      <c r="DA340" s="53" t="n"/>
      <c r="DB340" s="53" t="n"/>
      <c r="DC340" s="53" t="n"/>
      <c r="DD340" s="53" t="inlineStr">
        <is>
          <t>IRIS2452</t>
        </is>
      </c>
      <c r="DE340" s="53" t="inlineStr">
        <is>
          <t>Employee</t>
        </is>
      </c>
      <c r="DF340" s="53" t="inlineStr">
        <is>
          <t>Active</t>
        </is>
      </c>
      <c r="DG340" s="53" t="inlineStr">
        <is>
          <t>Chinmay Dambe</t>
        </is>
      </c>
      <c r="DH340" s="54" t="n">
        <v>45995</v>
      </c>
      <c r="DI340" s="53" t="inlineStr">
        <is>
          <t>Trainee QA Engineer</t>
        </is>
      </c>
      <c r="DJ340" s="53" t="inlineStr">
        <is>
          <t>Quality Assurance</t>
        </is>
      </c>
      <c r="DK340" s="53" t="inlineStr">
        <is>
          <t>Quality Engineering</t>
        </is>
      </c>
      <c r="DL340" s="53" t="inlineStr">
        <is>
          <t>Trainee QA Engineer</t>
        </is>
      </c>
      <c r="DM340" s="53" t="inlineStr">
        <is>
          <t>L2 – Trainee</t>
        </is>
      </c>
      <c r="DN340" s="53" t="inlineStr">
        <is>
          <t>B.E</t>
        </is>
      </c>
      <c r="DO340" s="53" t="inlineStr">
        <is>
          <t>Ruturaj Kadam</t>
        </is>
      </c>
      <c r="DP340" s="53" t="inlineStr">
        <is>
          <t>N-4</t>
        </is>
      </c>
      <c r="DQ340" s="53" t="inlineStr">
        <is>
          <t>Individual Contributor</t>
        </is>
      </c>
      <c r="DR340" s="53" t="inlineStr">
        <is>
          <t>0 years, 0 months, 0 days</t>
        </is>
      </c>
      <c r="DS340" s="53" t="inlineStr">
        <is>
          <t>0 years, 6 months, 16 days</t>
        </is>
      </c>
      <c r="DT340" s="53" t="inlineStr">
        <is>
          <t>0 years, 6 months, 16 days</t>
        </is>
      </c>
      <c r="DU340" s="53" t="n"/>
      <c r="DV340" s="53" t="inlineStr">
        <is>
          <t>Suptech</t>
        </is>
      </c>
      <c r="DW340" s="53" t="inlineStr">
        <is>
          <t>iFile</t>
        </is>
      </c>
      <c r="DX340" s="53" t="inlineStr">
        <is>
          <t>Quality Assurance</t>
        </is>
      </c>
      <c r="DY340" s="53" t="inlineStr">
        <is>
          <t>Quality Assurance</t>
        </is>
      </c>
      <c r="DZ340" s="53" t="inlineStr">
        <is>
          <t>No</t>
        </is>
      </c>
      <c r="EA340" s="53" t="inlineStr">
        <is>
          <t>Product/Project</t>
        </is>
      </c>
      <c r="EB340" s="53" t="inlineStr">
        <is>
          <t>Software Testing</t>
        </is>
      </c>
      <c r="EC340" s="53" t="inlineStr">
        <is>
          <t>Technical · BA, PM and QA</t>
        </is>
      </c>
      <c r="ED340" s="53" t="inlineStr">
        <is>
          <t>Work From Office - Turbhe</t>
        </is>
      </c>
      <c r="EE340" s="53" t="inlineStr">
        <is>
          <t>1. Teapot Automation repo try to convert and implementation on project QCB for some modules automate the manual testing process contribution with Automation team.
2. API Testing Skill Enhancement Learn and execute API testing for assigned modules; validate at least 100+ API test scenarios using Postman/Swagger. Successfully learned API testing and applied it to validate APIs, improving end-to-end test coverage.
3. AI Adoption for QA Productivity Use AI tools Claude chatgpt cursor AI to reduce manual effort in QA documentation and communication by 30–40%. Leveraged AI to generate bug reports, test cases, email drafts, and requirement summaries, significantly reducing manual effort and improving productivity.
4. Certificate completed:
1. ISTQB Foundation level certificate
2. ISTQB Agile tester certificate
3. Manual &amp; Playwright Automation Testing certificate Qspider
4. Devops Qspider certificate
5. Test Case Design &amp; Using the AI Claude helpfully to time Maintenance Create/update 300+ test cases annually with complete requirement coverage.
6. Used AI-assisted drafting while ensuring manual validation, improving documentation quality and reducing preparation time.
7. Defect Management Maintain &lt;5% defect rejection rate and ensure high-quality bug reporting. Improved defect reports with clear reproduction steps, expected vs. actual results, screenshots, and logs using AI-assisted formatting.
Continuous Learning &amp; Process Improvement
8. Complete 2–3 technical learning initiatives and implement 3 process improvements annually. Completed API testing learning and explored AI-based QA practices, introducing efficient ways to create test artifacts and improve team productivity.</t>
        </is>
      </c>
      <c r="EF340" s="53" t="inlineStr">
        <is>
          <t>1. Successfully completed the assigned certification, demonstrating commitment to continuous learning and professional development.
2. Should focus on improving execution by completing the pending QCB Portal tasks within the planned timelines and taking greater ownership of assigned deliverables.
3. Needs to proactively collaborate with developers to discuss and resolve issues efficiently, ensuring faster defect resolution and improved team coordination.
4. Should continue to upskill in API testing and test automation to enhance technical capabilities and contribute more effectively to future automation initiatives.</t>
        </is>
      </c>
      <c r="EG340" s="53" t="inlineStr">
        <is>
          <t>QCB testing Completion</t>
        </is>
      </c>
      <c r="EH340" s="53" t="n">
        <v>3</v>
      </c>
      <c r="EI340" s="54" t="n">
        <v>46362</v>
      </c>
      <c r="EJ340" s="53" t="inlineStr">
        <is>
          <t>Trainee QA Engineer</t>
        </is>
      </c>
      <c r="EK340" s="53" t="inlineStr">
        <is>
          <t>No</t>
        </is>
      </c>
      <c r="EL340" s="53" t="n">
        <v>3</v>
      </c>
      <c r="EM340" s="53" t="inlineStr">
        <is>
          <t>Medium</t>
        </is>
      </c>
      <c r="EN340" s="53" t="inlineStr">
        <is>
          <t>High Impact / Growth Talent</t>
        </is>
      </c>
      <c r="EO340" s="53" t="inlineStr">
        <is>
          <t>No</t>
        </is>
      </c>
      <c r="EP340" s="53" t="inlineStr">
        <is>
          <t>No</t>
        </is>
      </c>
      <c r="EQ340" s="53" t="inlineStr">
        <is>
          <t>No</t>
        </is>
      </c>
      <c r="ER340" s="53" t="n"/>
      <c r="ES340" s="53" t="inlineStr">
        <is>
          <t>API training andAutoamtion</t>
        </is>
      </c>
      <c r="ET340" s="53" t="n"/>
      <c r="EU340" s="53" t="n"/>
      <c r="EV340" s="53" t="n"/>
      <c r="EW340" s="52" t="n"/>
      <c r="EX340" s="53" t="n"/>
      <c r="EY340" s="53" t="n"/>
      <c r="EZ340" s="53" t="n"/>
      <c r="FA340" s="53" t="n"/>
      <c r="FB340" s="53" t="n"/>
      <c r="FC340" s="53" t="n"/>
      <c r="FD340" s="53" t="n"/>
      <c r="FE340" s="57" t="inlineStr">
        <is>
          <t>1. Successfully completed the assigned certification, demonstrating commitment to continuous learning and professional development.
2. Should focus on improving execution by completing the pending QCB Portal tasks within the planned timelines and taking greater ownership of assigned deliverables.
3. Needs to proactively collaborate with developers to discuss and resolve issues efficiently, ensuring faster defect resolution and improved team coordination.
4. Should continue to upskill in API testing and test automation to enhance technical capabilities and contribute more effectively to future automation initiatives.</t>
        </is>
      </c>
      <c r="FF340" s="56" t="inlineStr">
        <is>
          <t>QCB testing Completion</t>
        </is>
      </c>
      <c r="FG340" s="56" t="inlineStr">
        <is>
          <t>1. Teapot Automation repo try to convert and implementation on project QCB for some modules automate the manual testing process contribution with Automation team.
2. API Testing Skill Enhancement Learn and execute API testing for assigned modules; validate at least 100+ API test scenarios using Postman/Swagger. Successfully learned API testing and applied it to validate APIs, improving end-to-end test coverage.
3. AI Adoption for QA Productivity Use AI tools Claude chatgpt cursor AI to reduce manual effort in QA documentation and communication by 30–40%. Leveraged AI to generate bug reports, test cases, email drafts, and requirement summaries, significantly reducing manual effort and improving productivity.
4. Certificate completed:
1. ISTQB Foundation level certificate
2. ISTQB Agile tester certificate
3. Manual &amp; Playwright Automation Testing certificate Qspider
4. Devops Qspider certificate
5. Test Case Design &amp; Using the AI Claude helpfully to time Maintenance Create/update 300+ test cases annually with complete requirement coverage.
6. Used AI-assisted drafting while ensuring manual validation, improving documentation quality and reducing preparation time.
7. Defect Management Maintain &lt;5% defect rejection rate and ensure high-quality bug reporting. Improved defect reports with clear reproduction steps, expected vs. actual results, screenshots, and logs using AI-assisted formatting.
Continuous Learning &amp; Process Improvement
8. Complete 2–3 technical learning initiatives and implement 3 process improvements annually. Completed API testing learning and explored AI-based QA practices, introducing efficient ways to create test artifacts and improve team productivity.</t>
        </is>
      </c>
      <c r="FH340" s="56" t="inlineStr">
        <is>
          <t>3</t>
        </is>
      </c>
      <c r="FI340" s="56" t="n"/>
      <c r="FJ340" s="56" t="inlineStr">
        <is>
          <t>Received · manager annual, quarterly, self</t>
        </is>
      </c>
      <c r="FK340" s="56" t="inlineStr">
        <is>
          <t>Talent Mapping · iFile collated</t>
        </is>
      </c>
      <c r="FL340" s="56" t="n">
        <v>19</v>
      </c>
      <c r="FM340" s="32" t="inlineStr">
        <is>
          <t>Full survey answers not in the files received · How We Grow export needed · HR</t>
        </is>
      </c>
      <c r="FN340" s="56" t="inlineStr">
        <is>
          <t>—</t>
        </is>
      </c>
      <c r="FO340" s="56" t="inlineStr">
        <is>
          <t>—</t>
        </is>
      </c>
      <c r="FP340" s="56" t="inlineStr">
        <is>
          <t>—</t>
        </is>
      </c>
      <c r="FQ340" s="56" t="inlineStr">
        <is>
          <t>—</t>
        </is>
      </c>
      <c r="FR340" s="56" t="n"/>
      <c r="FS340" s="56" t="inlineStr">
        <is>
          <t>Common themes in sub-family holders, all levels' answers: product · quality · early · defects · automation · meets
Common themes in sub-family holders, all levels' answers: testing · scripts · defects · testcase · automation · report
Common themes in sub-family holders, all levels' answers: reports · software · scripts · quality · test
Common themes in sub-family holders, all levels' answers: quality · accountable · test · defect · automation · validation
Common themes in sub-family holders, all levels' answers: testing
If the work is missed · role-holders' themes: defects · production · delays · rework.
Measured on · manager-set KRA themes: learning · defect · test · assigned · execution · resolve.</t>
        </is>
      </c>
      <c r="FT340" s="56" t="inlineStr">
        <is>
          <t>Self-identified: AI / automation · Testing &amp; quality
For the next role: AI / automation · Testing &amp; quality</t>
        </is>
      </c>
      <c r="FU340" s="32" t="inlineStr">
        <is>
          <t>Full survey answers not in the files received · How We Grow export needed · HR</t>
        </is>
      </c>
    </row>
    <row r="341" ht="90" customHeight="1">
      <c r="A341" s="51" t="inlineStr">
        <is>
          <t>◂ Back</t>
        </is>
      </c>
      <c r="B341" s="29" t="inlineStr">
        <is>
          <t>Mapped</t>
        </is>
      </c>
      <c r="C341" s="28" t="inlineStr">
        <is>
          <t>iFile</t>
        </is>
      </c>
      <c r="D341" s="29" t="inlineStr">
        <is>
          <t>IRIS1827</t>
        </is>
      </c>
      <c r="E341" s="29" t="inlineStr">
        <is>
          <t>Susan Peter</t>
        </is>
      </c>
      <c r="F341" s="29" t="inlineStr">
        <is>
          <t>Quality Assurance</t>
        </is>
      </c>
      <c r="G341" s="29" t="inlineStr">
        <is>
          <t>Senior QA - Engineer</t>
        </is>
      </c>
      <c r="H341" s="29" t="inlineStr">
        <is>
          <t>QA Specialist – POD Lead</t>
        </is>
      </c>
      <c r="I341" s="29" t="inlineStr">
        <is>
          <t>L4 – Senior</t>
        </is>
      </c>
      <c r="J341" s="29" t="inlineStr">
        <is>
          <t>B1</t>
        </is>
      </c>
      <c r="K341" s="29" t="inlineStr">
        <is>
          <t>▲ Up</t>
        </is>
      </c>
      <c r="L341" s="29" t="inlineStr">
        <is>
          <t>Quality Assurance</t>
        </is>
      </c>
      <c r="M341" s="29" t="inlineStr">
        <is>
          <t>Functional &amp; Domain Testing</t>
        </is>
      </c>
      <c r="N341" s="29" t="n"/>
      <c r="O341" s="29" t="n">
        <v>20</v>
      </c>
      <c r="P341" s="28" t="inlineStr">
        <is>
          <t>P3 / M2</t>
        </is>
      </c>
      <c r="Q341" s="29" t="inlineStr">
        <is>
          <t>Career / · Team Lead</t>
        </is>
      </c>
      <c r="R341" s="29" t="inlineStr">
        <is>
          <t>4 Enable</t>
        </is>
      </c>
      <c r="S341" s="29" t="inlineStr">
        <is>
          <t>4–7 yrs</t>
        </is>
      </c>
      <c r="T341" s="29" t="inlineStr">
        <is>
          <t>5–8 · 4–8</t>
        </is>
      </c>
      <c r="U341" s="29" t="inlineStr">
        <is>
          <t>Senior QA Engineer</t>
        </is>
      </c>
      <c r="V341" s="29" t="inlineStr">
        <is>
          <t>Workiva: SE / Senior SE · Broadridge India: Senior SE · Nasdaq / AxiomSL: Senior SE · IRIS Vs Market Benchmark — ISTQB certification pathway: Advanced · Test Analyst</t>
        </is>
      </c>
      <c r="W341" s="29" t="inlineStr">
        <is>
          <t>ISTQB Foundation → Advanced → Expert; SFIA testing</t>
        </is>
      </c>
      <c r="X341" s="29" t="inlineStr">
        <is>
          <t>Core 3 · Future 3 · Functional 3 · Leadership 2</t>
        </is>
      </c>
      <c r="Y341" s="52" t="n">
        <v>162</v>
      </c>
      <c r="Z341" s="53" t="inlineStr">
        <is>
          <t>IRIS1827</t>
        </is>
      </c>
      <c r="AA341" s="53" t="inlineStr">
        <is>
          <t>Employee</t>
        </is>
      </c>
      <c r="AB341" s="53" t="inlineStr">
        <is>
          <t>Active</t>
        </is>
      </c>
      <c r="AC341" s="53" t="inlineStr">
        <is>
          <t>Susan Peter</t>
        </is>
      </c>
      <c r="AD341" s="54" t="n">
        <v>43809</v>
      </c>
      <c r="AE341" s="53" t="inlineStr">
        <is>
          <t>Senior QA - Engineer</t>
        </is>
      </c>
      <c r="AF341" s="53" t="inlineStr">
        <is>
          <t>B.E</t>
        </is>
      </c>
      <c r="AG341" s="53" t="inlineStr">
        <is>
          <t>Davinder Pal Singh</t>
        </is>
      </c>
      <c r="AH341" s="53" t="inlineStr">
        <is>
          <t>N-4</t>
        </is>
      </c>
      <c r="AI341" s="53" t="inlineStr">
        <is>
          <t>Manager</t>
        </is>
      </c>
      <c r="AJ341" s="53" t="inlineStr">
        <is>
          <t>5 years, 4 months, 0 days</t>
        </is>
      </c>
      <c r="AK341" s="53" t="inlineStr">
        <is>
          <t>6 years, 8 months, 15 days</t>
        </is>
      </c>
      <c r="AL341" s="53" t="inlineStr">
        <is>
          <t>Suptech</t>
        </is>
      </c>
      <c r="AM341" s="53" t="inlineStr">
        <is>
          <t>iFile</t>
        </is>
      </c>
      <c r="AN341" s="53" t="inlineStr">
        <is>
          <t>Quality Assurance</t>
        </is>
      </c>
      <c r="AO341" s="53" t="inlineStr">
        <is>
          <t>Quality Assurance</t>
        </is>
      </c>
      <c r="AP341" s="53" t="inlineStr">
        <is>
          <t>No</t>
        </is>
      </c>
      <c r="AQ341" s="53" t="inlineStr">
        <is>
          <t>Product/Project</t>
        </is>
      </c>
      <c r="AR341" s="53" t="inlineStr">
        <is>
          <t>Software Testing</t>
        </is>
      </c>
      <c r="AS341" s="53" t="inlineStr">
        <is>
          <t>Technical · BA, PM and QA</t>
        </is>
      </c>
      <c r="AT341" s="53" t="n">
        <v>20</v>
      </c>
      <c r="AU341" s="53" t="inlineStr">
        <is>
          <t>Covered</t>
        </is>
      </c>
      <c r="AV341" s="53" t="n"/>
      <c r="AW341" s="53" t="n"/>
      <c r="AX341" s="53" t="n"/>
      <c r="AY341" s="53" t="n"/>
      <c r="AZ341" s="53" t="n"/>
      <c r="BA341" s="53" t="n"/>
      <c r="BB341" s="53" t="n"/>
      <c r="BC341" s="53" t="n"/>
      <c r="BD341" s="53" t="n"/>
      <c r="BE341" s="53" t="n"/>
      <c r="BF341" s="53" t="n"/>
      <c r="BG341" s="53" t="n"/>
      <c r="BH341" s="53" t="n"/>
      <c r="BI341" s="53" t="n"/>
      <c r="BJ341" s="53" t="n"/>
      <c r="BK341" s="53" t="n"/>
      <c r="BL341" s="53" t="n"/>
      <c r="BM341" s="53" t="n"/>
      <c r="BN341" s="53" t="n"/>
      <c r="BO341" s="53" t="n"/>
      <c r="BP341" s="53" t="n"/>
      <c r="BQ341" s="53" t="n"/>
      <c r="BR341" s="53" t="n"/>
      <c r="BS341" s="53" t="n"/>
      <c r="BT341" s="53" t="n"/>
      <c r="BU341" s="53" t="n"/>
      <c r="BV341" s="53" t="n"/>
      <c r="BW341" s="53" t="n"/>
      <c r="BX341" s="53" t="n"/>
      <c r="BY341" s="53" t="n"/>
      <c r="BZ341" s="53" t="n"/>
      <c r="CA341" s="53" t="n"/>
      <c r="CB341" s="53" t="n"/>
      <c r="CC341" s="53" t="n"/>
      <c r="CD341" s="53" t="n"/>
      <c r="CE341" s="53" t="n"/>
      <c r="CF341" s="53" t="n"/>
      <c r="CG341" s="53" t="n"/>
      <c r="CH341" s="53" t="n"/>
      <c r="CI341" s="53" t="n"/>
      <c r="CJ341" s="53" t="n"/>
      <c r="CK341" s="53" t="n"/>
      <c r="CL341" s="53" t="n"/>
      <c r="CM341" s="53" t="n"/>
      <c r="CN341" s="53" t="n"/>
      <c r="CO341" s="53" t="n"/>
      <c r="CP341" s="53" t="n"/>
      <c r="CQ341" s="53" t="n"/>
      <c r="CR341" s="53" t="n"/>
      <c r="CS341" s="53" t="n"/>
      <c r="CT341" s="53" t="n"/>
      <c r="CU341" s="53" t="n"/>
      <c r="CV341" s="53" t="n"/>
      <c r="CW341" s="53" t="n"/>
      <c r="CX341" s="53" t="n"/>
      <c r="CY341" s="53" t="n"/>
      <c r="CZ341" s="53" t="n"/>
      <c r="DA341" s="53" t="n"/>
      <c r="DB341" s="53" t="n"/>
      <c r="DC341" s="53" t="n"/>
      <c r="DD341" s="53" t="inlineStr">
        <is>
          <t>IRIS1827</t>
        </is>
      </c>
      <c r="DE341" s="53" t="inlineStr">
        <is>
          <t>Employee</t>
        </is>
      </c>
      <c r="DF341" s="53" t="inlineStr">
        <is>
          <t>Active</t>
        </is>
      </c>
      <c r="DG341" s="53" t="inlineStr">
        <is>
          <t>Susan Peter</t>
        </is>
      </c>
      <c r="DH341" s="54" t="n">
        <v>43809</v>
      </c>
      <c r="DI341" s="53" t="inlineStr">
        <is>
          <t>Senior QA - Engineer</t>
        </is>
      </c>
      <c r="DJ341" s="53" t="inlineStr">
        <is>
          <t>Quality Assurance</t>
        </is>
      </c>
      <c r="DK341" s="53" t="inlineStr">
        <is>
          <t>Quality Engineering</t>
        </is>
      </c>
      <c r="DL341" s="53" t="inlineStr">
        <is>
          <t>Senior QA - Engineer</t>
        </is>
      </c>
      <c r="DM341" s="53" t="inlineStr">
        <is>
          <t>L4 – Senior</t>
        </is>
      </c>
      <c r="DN341" s="53" t="inlineStr">
        <is>
          <t>B.E</t>
        </is>
      </c>
      <c r="DO341" s="53" t="inlineStr">
        <is>
          <t>Davinder Pal Singh</t>
        </is>
      </c>
      <c r="DP341" s="53" t="inlineStr">
        <is>
          <t>N-3</t>
        </is>
      </c>
      <c r="DQ341" s="53" t="inlineStr">
        <is>
          <t>Manager</t>
        </is>
      </c>
      <c r="DR341" s="53" t="inlineStr">
        <is>
          <t>5 years, 4 months, 0 days</t>
        </is>
      </c>
      <c r="DS341" s="53" t="inlineStr">
        <is>
          <t>6 years, 6 months, 10 days</t>
        </is>
      </c>
      <c r="DT341" s="53" t="inlineStr">
        <is>
          <t>11 years, 10 months, 10 days</t>
        </is>
      </c>
      <c r="DU341" s="53" t="n">
        <v>6.52739726027397</v>
      </c>
      <c r="DV341" s="53" t="inlineStr">
        <is>
          <t>Suptech</t>
        </is>
      </c>
      <c r="DW341" s="53" t="inlineStr">
        <is>
          <t>iFile</t>
        </is>
      </c>
      <c r="DX341" s="53" t="inlineStr">
        <is>
          <t>Quality Assurance</t>
        </is>
      </c>
      <c r="DY341" s="53" t="inlineStr">
        <is>
          <t>Quality Assurance</t>
        </is>
      </c>
      <c r="DZ341" s="53" t="inlineStr">
        <is>
          <t>No</t>
        </is>
      </c>
      <c r="EA341" s="53" t="inlineStr">
        <is>
          <t>Product/Project</t>
        </is>
      </c>
      <c r="EB341" s="53" t="inlineStr">
        <is>
          <t>Software Testing</t>
        </is>
      </c>
      <c r="EC341" s="53" t="inlineStr">
        <is>
          <t>Technical · BA, PM and QA</t>
        </is>
      </c>
      <c r="ED341" s="53" t="inlineStr">
        <is>
          <t>Remote - Mumbai</t>
        </is>
      </c>
      <c r="EE341" s="53" t="inlineStr">
        <is>
          <t>1.Complete at least Playwright training 
2.Maintain test cases and reports with 100% compliance.	
3.Teapot &amp; webform testing in GTA in multiple environments till Production
4. Automation of Smoke testing using playwright with typescript of Teapot portal
5. Complete 100% of planned test execution for assigned releases within timelines.
6. Achieve at least 95% test coverage for critical business flows and reduce production defects</t>
        </is>
      </c>
      <c r="EF341" s="53" t="inlineStr">
        <is>
          <t>1. Complete Playwright with TypeScript training and demonstrate proficiency by developing reusable automation scripts.
2. Maintain test cases, execution reports, defect reports, and supporting evidence with 100% compliance.
3. Complete Teapot Portal and Webform testing across all GTA environments, including Production, within agreed timelines.
4. Automate critical smoke-test scenarios for the Teapot Portal using Playwright with TypeScript.
5. Complete 100% of planned test execution, achieve at least 95% coverage of critical business flows, and reduce production defects through early identification and validation.</t>
        </is>
      </c>
      <c r="EG341" s="53" t="inlineStr">
        <is>
          <t>Tea pot Automation for First Phase</t>
        </is>
      </c>
      <c r="EH341" s="53" t="n">
        <v>4</v>
      </c>
      <c r="EI341" s="54" t="n">
        <v>46149</v>
      </c>
      <c r="EJ341" s="53" t="inlineStr">
        <is>
          <t>Senior QA - Engineer</t>
        </is>
      </c>
      <c r="EK341" s="53" t="inlineStr">
        <is>
          <t>no</t>
        </is>
      </c>
      <c r="EL341" s="53" t="n"/>
      <c r="EM341" s="53" t="n"/>
      <c r="EN341" s="53" t="n"/>
      <c r="EO341" s="53" t="n"/>
      <c r="EP341" s="53" t="n"/>
      <c r="EQ341" s="53" t="n"/>
      <c r="ER341" s="53" t="inlineStr">
        <is>
          <t>yet to identify</t>
        </is>
      </c>
      <c r="ES341" s="53" t="inlineStr">
        <is>
          <t>Automation training</t>
        </is>
      </c>
      <c r="ET341" s="53" t="inlineStr">
        <is>
          <t>Leadership development: strategic thinking, cross-functional influence, financial/business acumen, succession &amp; talent development, change management, executive communication</t>
        </is>
      </c>
      <c r="EU341" s="53" t="n"/>
      <c r="EV341" s="53" t="n"/>
      <c r="EW341" s="52" t="n"/>
      <c r="EX341" s="53" t="n"/>
      <c r="EY341" s="53" t="n"/>
      <c r="EZ341" s="53" t="n"/>
      <c r="FA341" s="53" t="n"/>
      <c r="FB341" s="53" t="n"/>
      <c r="FC341" s="53" t="n"/>
      <c r="FD341" s="53" t="n"/>
      <c r="FE341" s="57" t="inlineStr">
        <is>
          <t>1. Complete Playwright with TypeScript training and demonstrate proficiency by developing reusable automation scripts.
2. Maintain test cases, execution reports, defect reports, and supporting evidence with 100% compliance.
3. Complete Teapot Portal and Webform testing across all GTA environments, including Production, within agreed timelines.
4. Automate critical smoke-test scenarios for the Teapot Portal using Playwright with TypeScript.
5. Complete 100% of planned test execution, achieve at least 95% coverage of critical business flows, and reduce production defects through early identification and validation.</t>
        </is>
      </c>
      <c r="FF341" s="56" t="inlineStr">
        <is>
          <t>Tea pot Automation for First Phase</t>
        </is>
      </c>
      <c r="FG341" s="56" t="inlineStr">
        <is>
          <t>1.Complete at least Playwright training 
2.Maintain test cases and reports with 100% compliance.	
3.Teapot &amp; webform testing in GTA in multiple environments till Production
4. Automation of Smoke testing using playwright with typescript of Teapot portal
5. Complete 100% of planned test execution for assigned releases within timelines.
6. Achieve at least 95% test coverage for critical business flows and reduce production defects</t>
        </is>
      </c>
      <c r="FH341" s="56" t="inlineStr">
        <is>
          <t>4</t>
        </is>
      </c>
      <c r="FI341" s="56" t="n"/>
      <c r="FJ341" s="56" t="inlineStr">
        <is>
          <t>Received · manager annual, quarterly, self</t>
        </is>
      </c>
      <c r="FK341" s="56" t="inlineStr">
        <is>
          <t>Talent Mapping · iFile collated</t>
        </is>
      </c>
      <c r="FL341" s="56" t="n">
        <v>20</v>
      </c>
      <c r="FM341" s="32" t="inlineStr">
        <is>
          <t>Full survey answers not in the files received · How We Grow export needed · HR</t>
        </is>
      </c>
      <c r="FN341" s="56" t="inlineStr">
        <is>
          <t>—</t>
        </is>
      </c>
      <c r="FO341" s="56" t="inlineStr">
        <is>
          <t>—</t>
        </is>
      </c>
      <c r="FP341" s="56" t="inlineStr">
        <is>
          <t>—</t>
        </is>
      </c>
      <c r="FQ341" s="56" t="inlineStr">
        <is>
          <t>—</t>
        </is>
      </c>
      <c r="FR341" s="56" t="inlineStr">
        <is>
          <t>Complexity: Evidence reads like A3: Reviews test case docs, UAT preparation, production configuration, automation, demos and client queries across environments → matches the start
Autonomy: Evidence reads like B1: Handles team task assignment; decides task ownership, readiness and demo effort estimates → moved up 0.5
Accountability: Evidence reads like B1: Test deliverables and sign-off, client query answers, demos, bugs found at UAT → matches the start
Leadership: Evidence reads like B1: Team handling and assignment for two reports; runs KT sessions; reviews test documents → matches the start
Business Impact: No survey or manager-mapping signal on criticality: kept at the start point.</t>
        </is>
      </c>
      <c r="FS341" s="56" t="inlineStr">
        <is>
          <t>Common themes in role-holders' answers: quality · testing · software
Common themes in role-holders' answers: automation testing · review · preparation · defect
Common themes in role-holders' answers: report
Common themes in role-holders' answers: deliverables · testing
If the work is missed · role-holders' themes: rework · additional.
Measured on · manager-set KRA themes: business · portal · testing · maintained · resolution · automation.</t>
        </is>
      </c>
      <c r="FT341" s="56" t="inlineStr">
        <is>
          <t>Self-identified: AI / automation · Technical depth &amp; architecture · Testing &amp; quality · Data, SQL &amp; analytics
For the next role: AI / automation · Technical depth &amp; architecture · Testing &amp; quality · Data, SQL &amp; analytics</t>
        </is>
      </c>
      <c r="FU341" s="32" t="inlineStr">
        <is>
          <t>Full survey answers not in the files received · How We Grow export needed · HR</t>
        </is>
      </c>
    </row>
    <row r="342" ht="90" customHeight="1">
      <c r="A342" s="51" t="inlineStr">
        <is>
          <t>◂ Back</t>
        </is>
      </c>
      <c r="B342" s="29" t="inlineStr">
        <is>
          <t>Mapped</t>
        </is>
      </c>
      <c r="C342" s="28" t="inlineStr">
        <is>
          <t>iFile</t>
        </is>
      </c>
      <c r="D342" s="29" t="inlineStr">
        <is>
          <t>IRIS2304</t>
        </is>
      </c>
      <c r="E342" s="29" t="inlineStr">
        <is>
          <t>Adnan Yakub Majgaonkar</t>
        </is>
      </c>
      <c r="F342" s="29" t="inlineStr">
        <is>
          <t>Quality Assurance</t>
        </is>
      </c>
      <c r="G342" s="29" t="inlineStr">
        <is>
          <t>QA Engineer</t>
        </is>
      </c>
      <c r="H342" s="29" t="inlineStr">
        <is>
          <t>Senior QA Automation Engineer</t>
        </is>
      </c>
      <c r="I342" s="29" t="inlineStr">
        <is>
          <t>L3 – Professional / Associate</t>
        </is>
      </c>
      <c r="J342" s="29" t="inlineStr">
        <is>
          <t>A3</t>
        </is>
      </c>
      <c r="K342" s="29" t="inlineStr">
        <is>
          <t>▲ Up</t>
        </is>
      </c>
      <c r="L342" s="29" t="inlineStr">
        <is>
          <t>Quality Assurance</t>
        </is>
      </c>
      <c r="M342" s="29" t="inlineStr">
        <is>
          <t>Test Automation</t>
        </is>
      </c>
      <c r="N342" s="29" t="n"/>
      <c r="O342" s="29" t="n">
        <v>20</v>
      </c>
      <c r="P342" s="28" t="inlineStr">
        <is>
          <t>P2</t>
        </is>
      </c>
      <c r="Q342" s="29" t="inlineStr">
        <is>
          <t>Developing</t>
        </is>
      </c>
      <c r="R342" s="29" t="inlineStr">
        <is>
          <t>3 Apply</t>
        </is>
      </c>
      <c r="S342" s="29" t="inlineStr">
        <is>
          <t>2–4 yrs</t>
        </is>
      </c>
      <c r="T342" s="29" t="inlineStr">
        <is>
          <t>3–5 · 2–5</t>
        </is>
      </c>
      <c r="U342" s="29" t="inlineStr">
        <is>
          <t>QA Engineer</t>
        </is>
      </c>
      <c r="V342" s="29" t="inlineStr">
        <is>
          <t>Workiva: SE · Broadridge India: SE · Nasdaq / AxiomSL: SE · IRIS Vs Market Benchmark — ISTQB certification pathway: Foundation</t>
        </is>
      </c>
      <c r="W342" s="29" t="inlineStr">
        <is>
          <t>ISTQB Foundation → Advanced → Expert; SFIA testing</t>
        </is>
      </c>
      <c r="X342" s="29" t="inlineStr">
        <is>
          <t>Core 2 · Future 2 · Functional 3 · Leadership not scored</t>
        </is>
      </c>
      <c r="Y342" s="52" t="n">
        <v>340</v>
      </c>
      <c r="Z342" s="53" t="inlineStr">
        <is>
          <t>IRIS2304</t>
        </is>
      </c>
      <c r="AA342" s="53" t="inlineStr">
        <is>
          <t>Employee</t>
        </is>
      </c>
      <c r="AB342" s="53" t="inlineStr">
        <is>
          <t>Active</t>
        </is>
      </c>
      <c r="AC342" s="53" t="inlineStr">
        <is>
          <t>Adnan Yakub Majgaonkar</t>
        </is>
      </c>
      <c r="AD342" s="54" t="n">
        <v>45544</v>
      </c>
      <c r="AE342" s="53" t="inlineStr">
        <is>
          <t>QA Engineer</t>
        </is>
      </c>
      <c r="AF342" s="53" t="inlineStr">
        <is>
          <t>B.Tech</t>
        </is>
      </c>
      <c r="AG342" s="53" t="inlineStr">
        <is>
          <t>Susan Peter</t>
        </is>
      </c>
      <c r="AH342" s="53" t="inlineStr">
        <is>
          <t>N-5</t>
        </is>
      </c>
      <c r="AI342" s="53" t="inlineStr">
        <is>
          <t>Individual Contributor</t>
        </is>
      </c>
      <c r="AJ342" s="53" t="inlineStr">
        <is>
          <t>2 years, 0 months, 0 days</t>
        </is>
      </c>
      <c r="AK342" s="53" t="inlineStr">
        <is>
          <t>1 years, 11 months, 16 days</t>
        </is>
      </c>
      <c r="AL342" s="53" t="inlineStr">
        <is>
          <t>Suptech</t>
        </is>
      </c>
      <c r="AM342" s="53" t="inlineStr">
        <is>
          <t>iFile</t>
        </is>
      </c>
      <c r="AN342" s="53" t="inlineStr">
        <is>
          <t>Quality Assurance</t>
        </is>
      </c>
      <c r="AO342" s="53" t="inlineStr">
        <is>
          <t>Quality Assurance</t>
        </is>
      </c>
      <c r="AP342" s="53" t="inlineStr">
        <is>
          <t>No</t>
        </is>
      </c>
      <c r="AQ342" s="53" t="inlineStr">
        <is>
          <t>Product/Project</t>
        </is>
      </c>
      <c r="AR342" s="53" t="inlineStr">
        <is>
          <t>Software Testing</t>
        </is>
      </c>
      <c r="AS342" s="53" t="inlineStr">
        <is>
          <t>Technical · BA, PM and QA</t>
        </is>
      </c>
      <c r="AT342" s="53" t="n">
        <v>20</v>
      </c>
      <c r="AU342" s="53" t="inlineStr">
        <is>
          <t>Covered</t>
        </is>
      </c>
      <c r="AV342" s="53" t="n"/>
      <c r="AW342" s="53" t="n"/>
      <c r="AX342" s="53" t="n"/>
      <c r="AY342" s="53" t="n"/>
      <c r="AZ342" s="53" t="n"/>
      <c r="BA342" s="53" t="n"/>
      <c r="BB342" s="53" t="n"/>
      <c r="BC342" s="53" t="n"/>
      <c r="BD342" s="53" t="n"/>
      <c r="BE342" s="53" t="n"/>
      <c r="BF342" s="53" t="n"/>
      <c r="BG342" s="53" t="n"/>
      <c r="BH342" s="53" t="n"/>
      <c r="BI342" s="53" t="n"/>
      <c r="BJ342" s="53" t="n"/>
      <c r="BK342" s="53" t="n"/>
      <c r="BL342" s="53" t="n"/>
      <c r="BM342" s="53" t="n"/>
      <c r="BN342" s="53" t="n"/>
      <c r="BO342" s="53" t="n"/>
      <c r="BP342" s="53" t="n"/>
      <c r="BQ342" s="53" t="n"/>
      <c r="BR342" s="53" t="n"/>
      <c r="BS342" s="53" t="n"/>
      <c r="BT342" s="53" t="n"/>
      <c r="BU342" s="53" t="n"/>
      <c r="BV342" s="53" t="n"/>
      <c r="BW342" s="53" t="n"/>
      <c r="BX342" s="53" t="n"/>
      <c r="BY342" s="53" t="n"/>
      <c r="BZ342" s="53" t="n"/>
      <c r="CA342" s="53" t="n"/>
      <c r="CB342" s="53" t="n"/>
      <c r="CC342" s="53" t="n"/>
      <c r="CD342" s="53" t="n"/>
      <c r="CE342" s="53" t="n"/>
      <c r="CF342" s="53" t="n"/>
      <c r="CG342" s="53" t="n"/>
      <c r="CH342" s="53" t="n"/>
      <c r="CI342" s="53" t="n"/>
      <c r="CJ342" s="53" t="n"/>
      <c r="CK342" s="53" t="n"/>
      <c r="CL342" s="53" t="n"/>
      <c r="CM342" s="53" t="n"/>
      <c r="CN342" s="53" t="n"/>
      <c r="CO342" s="53" t="n"/>
      <c r="CP342" s="53" t="n"/>
      <c r="CQ342" s="53" t="n"/>
      <c r="CR342" s="53" t="n"/>
      <c r="CS342" s="53" t="n"/>
      <c r="CT342" s="53" t="n"/>
      <c r="CU342" s="53" t="n"/>
      <c r="CV342" s="53" t="n"/>
      <c r="CW342" s="53" t="n"/>
      <c r="CX342" s="53" t="n"/>
      <c r="CY342" s="53" t="n"/>
      <c r="CZ342" s="53" t="n"/>
      <c r="DA342" s="53" t="n"/>
      <c r="DB342" s="53" t="n"/>
      <c r="DC342" s="53" t="n"/>
      <c r="DD342" s="53" t="inlineStr">
        <is>
          <t>IRIS2304</t>
        </is>
      </c>
      <c r="DE342" s="53" t="inlineStr">
        <is>
          <t>Employee</t>
        </is>
      </c>
      <c r="DF342" s="53" t="inlineStr">
        <is>
          <t>Active</t>
        </is>
      </c>
      <c r="DG342" s="53" t="inlineStr">
        <is>
          <t>Adnan Yakub Majgaonkar</t>
        </is>
      </c>
      <c r="DH342" s="54" t="n">
        <v>45544</v>
      </c>
      <c r="DI342" s="53" t="inlineStr">
        <is>
          <t>QA Engineer</t>
        </is>
      </c>
      <c r="DJ342" s="53" t="inlineStr">
        <is>
          <t>Quality Assurance</t>
        </is>
      </c>
      <c r="DK342" s="53" t="inlineStr">
        <is>
          <t>Quality Engineering</t>
        </is>
      </c>
      <c r="DL342" s="53" t="inlineStr">
        <is>
          <t>QA Engineer</t>
        </is>
      </c>
      <c r="DM342" s="53" t="inlineStr">
        <is>
          <t>L3 – Professional / Associate</t>
        </is>
      </c>
      <c r="DN342" s="53" t="inlineStr">
        <is>
          <t>B.Tech</t>
        </is>
      </c>
      <c r="DO342" s="53" t="inlineStr">
        <is>
          <t>Susan Peter</t>
        </is>
      </c>
      <c r="DP342" s="53" t="inlineStr">
        <is>
          <t>N-4</t>
        </is>
      </c>
      <c r="DQ342" s="53" t="inlineStr">
        <is>
          <t>Individual Contributor</t>
        </is>
      </c>
      <c r="DR342" s="53" t="inlineStr">
        <is>
          <t>2 years, 0 months, 0 days</t>
        </is>
      </c>
      <c r="DS342" s="53" t="inlineStr">
        <is>
          <t>1 years, 9 months, 11 days</t>
        </is>
      </c>
      <c r="DT342" s="53" t="inlineStr">
        <is>
          <t>3 years, 9 months, 11 days</t>
        </is>
      </c>
      <c r="DU342" s="53" t="n"/>
      <c r="DV342" s="53" t="inlineStr">
        <is>
          <t>Suptech</t>
        </is>
      </c>
      <c r="DW342" s="53" t="inlineStr">
        <is>
          <t>iFile</t>
        </is>
      </c>
      <c r="DX342" s="53" t="inlineStr">
        <is>
          <t>Quality Assurance</t>
        </is>
      </c>
      <c r="DY342" s="53" t="inlineStr">
        <is>
          <t>Quality Assurance</t>
        </is>
      </c>
      <c r="DZ342" s="53" t="inlineStr">
        <is>
          <t>No</t>
        </is>
      </c>
      <c r="EA342" s="53" t="inlineStr">
        <is>
          <t>Product/Project</t>
        </is>
      </c>
      <c r="EB342" s="53" t="inlineStr">
        <is>
          <t>Software Testing</t>
        </is>
      </c>
      <c r="EC342" s="53" t="inlineStr">
        <is>
          <t>Technical · BA, PM and QA</t>
        </is>
      </c>
      <c r="ED342" s="53" t="inlineStr">
        <is>
          <t>Remote- Outside Mumbai</t>
        </is>
      </c>
      <c r="EE342" s="53" t="inlineStr">
        <is>
          <t>1. WebForm Testing &amp; Bug Leakage Reduction
Tested the newly developed WebForm module within the SBC portal, ensuring functional accuracy and minimizing production bug leakage through rigorous test design, edge-case coverage, and early defect detection during the development cycle.
2. End-to-End Portal Testing Prior to Release
Conducted comprehensive testing of the existing SBC portal · pre-release across all major workflows to validate stability, functionality, and readiness before go-live, ensuring a smooth transition with minimal post-release issues.
3. UI Upgrade Testing – Large-Scale Test Case Execution
Contributed to the testing of the upgraded SBC portal UI by executing approximately 1,600 test cases covering functional, UI/UX, and regression scenarios, ensuring complete coverage of the revamped portal before release.
4. Defect Management &amp; Retesting
Logged, tracked, and retested defects identified during the UI upgrade testing cycle, working closely with the development team to ensure timely resolution and verification, thereby improving overall product quality and release readiness.
5. Quality Risk Identification &amp; Stakeholder Communication
Proactively raised critical concerns and quality risks identified during testing to relevant stakeholders, enabling informed decision-making and timely corrective action before deployment, contributing to a more stable and reliable release.
6. Test Coverage &amp; Process Improvement
Supported the QA team in improving test coverage for the SBC portal by reviewing and contributing to test case design, helping strengthen the overall testing framework for future release cycles.</t>
        </is>
      </c>
      <c r="EF342" s="53" t="inlineStr">
        <is>
          <t>1. Adnan has consistently demonstrated strong analytical skills and has effectively managed the testing activities for the SBC project, successfully supporting a highly demanding client.
2. He has contributed significantly to manual testing by ensuring comprehensive test coverage, timely defect reporting, and close collaboration with the project team.
3. He has shown the ability to understand complex business requirements and adapt quickly to changing project priorities.
4. Going forward, Adnan should focus on strengthening his automation testing skills, particularly in API automation, as the SARB project's API architecture differs from other projects and requires specialized knowledge.
5. Developing expertise in automation will enable him to contribute more effectively to future releases and improve overall testing efficiency.</t>
        </is>
      </c>
      <c r="EG342" s="53" t="inlineStr">
        <is>
          <t>SBC Project Completeion till dec</t>
        </is>
      </c>
      <c r="EH342" s="53" t="n">
        <v>4</v>
      </c>
      <c r="EI342" s="54" t="n">
        <v>46362</v>
      </c>
      <c r="EJ342" s="53" t="inlineStr">
        <is>
          <t>QA Engineer</t>
        </is>
      </c>
      <c r="EK342" s="53" t="inlineStr">
        <is>
          <t>No</t>
        </is>
      </c>
      <c r="EL342" s="53" t="n">
        <v>4</v>
      </c>
      <c r="EM342" s="53" t="inlineStr">
        <is>
          <t>Medium</t>
        </is>
      </c>
      <c r="EN342" s="53" t="inlineStr">
        <is>
          <t>Trusted Professional</t>
        </is>
      </c>
      <c r="EO342" s="53" t="inlineStr">
        <is>
          <t>No</t>
        </is>
      </c>
      <c r="EP342" s="53" t="inlineStr">
        <is>
          <t>No</t>
        </is>
      </c>
      <c r="EQ342" s="53" t="inlineStr">
        <is>
          <t>No</t>
        </is>
      </c>
      <c r="ER342" s="53" t="inlineStr">
        <is>
          <t>yet to identify</t>
        </is>
      </c>
      <c r="ES342" s="53" t="inlineStr">
        <is>
          <t>Autoation traianing is required</t>
        </is>
      </c>
      <c r="ET342" s="53" t="n"/>
      <c r="EU342" s="53" t="n"/>
      <c r="EV342" s="53" t="n"/>
      <c r="EW342" s="52" t="n"/>
      <c r="EX342" s="53" t="n"/>
      <c r="EY342" s="53" t="n"/>
      <c r="EZ342" s="53" t="n"/>
      <c r="FA342" s="53" t="n"/>
      <c r="FB342" s="53" t="n"/>
      <c r="FC342" s="53" t="n"/>
      <c r="FD342" s="53" t="n"/>
      <c r="FE342" s="57" t="inlineStr">
        <is>
          <t>1. Adnan has consistently demonstrated strong analytical skills and has effectively managed the testing activities for the SBC project, successfully supporting a highly demanding client.
2. He has contributed significantly to manual testing by ensuring comprehensive test coverage, timely defect reporting, and close collaboration with the project team.
3. He has shown the ability to understand complex business requirements and adapt quickly to changing project priorities.
4. Going forward, Adnan should focus on strengthening his automation testing skills, particularly in API automation, as the SARB project's API architecture differs from other projects and requires specialized knowledge.
5. Developing expertise in automation will enable him to contribute more effectively to future releases and improve overall testing efficiency.</t>
        </is>
      </c>
      <c r="FF342" s="56" t="inlineStr">
        <is>
          <t>SBC Project Completeion till dec</t>
        </is>
      </c>
      <c r="FG342" s="56" t="inlineStr">
        <is>
          <t>1. WebForm Testing &amp; Bug Leakage Reduction
Tested the newly developed WebForm module within the SBC portal, ensuring functional accuracy and minimizing production bug leakage through rigorous test design, edge-case coverage, and early defect detection during the development cycle.
2. End-to-End Portal Testing Prior to Release
Conducted comprehensive testing of the existing SBC portal · pre-release across all major workflows to validate stability, functionality, and readiness before go-live, ensuring a smooth transition with minimal post-release issues.
3. UI Upgrade Testing – Large-Scale Test Case Execution
Contributed to the testing of the upgraded SBC portal UI by executing approximately 1,600 test cases covering functional, UI/UX, and regression scenarios, ensuring complete coverage of the revamped portal before release.
4. Defect Management &amp; Retesting
Logged, tracked, and retested defects identified during the UI upgrade testing cycle, working closely with the development team to ensure timely resolution and verification, thereby improving overall product quality and release readiness.
5. Quality Risk Identification &amp; Stakeholder Communication
Proactively raised critical concerns and quality risks identified during testing to relevant stakeholders, enabling informed decision-making and timely corrective action before deployment, contributing to a more stable and reliable release.
6. Test Coverage &amp; Process Improvement
Supported the QA team in improving test coverage for the SBC portal by reviewing and contributing to test case design, helping strengthen the overall testing framework for future release cycles.</t>
        </is>
      </c>
      <c r="FH342" s="56" t="inlineStr">
        <is>
          <t>4</t>
        </is>
      </c>
      <c r="FI342" s="56" t="n"/>
      <c r="FJ342" s="56" t="inlineStr">
        <is>
          <t>Received · manager annual, quarterly, self</t>
        </is>
      </c>
      <c r="FK342" s="56" t="inlineStr">
        <is>
          <t>Talent Mapping · iFile collated</t>
        </is>
      </c>
      <c r="FL342" s="56" t="n">
        <v>20</v>
      </c>
      <c r="FM342" s="32" t="inlineStr">
        <is>
          <t>Full survey answers not in the files received · How We Grow export needed · HR</t>
        </is>
      </c>
      <c r="FN342" s="56" t="inlineStr">
        <is>
          <t>—</t>
        </is>
      </c>
      <c r="FO342" s="56" t="inlineStr">
        <is>
          <t>—</t>
        </is>
      </c>
      <c r="FP342" s="56" t="inlineStr">
        <is>
          <t>—</t>
        </is>
      </c>
      <c r="FQ342" s="56" t="inlineStr">
        <is>
          <t>—</t>
        </is>
      </c>
      <c r="FR342" s="56" t="inlineStr">
        <is>
          <t>Complexity: Evidence reads like A2: Test case execution, regression, defect identification; KRA cites about 1,600 test cases on SBC portal → matches the start
Autonomy: Evidence reads like A2: Prioritises and executes own testing; no further calls described → matches the start
Accountability: Evidence reads like A2: Own test quality, defect identification and validation on assigned SBC portal modules → matches the start
Leadership: Evidence reads like A1: No guiding or leading of others described → matches the start
Business Impact: No survey or manager-mapping signal on criticality: kept at the start point.</t>
        </is>
      </c>
      <c r="FS342" s="56" t="inlineStr">
        <is>
          <t>Common themes in role-holders' answers: early · product · quality · automation · tests · testing
Common themes in role-holders' answers: testing · scripts · defects · testcase · automation · report
Common themes in role-holders' answers: reports · software · scripts · quality · test
Common themes in role-holders' answers: test · automation · quality · accountable · defect · identification
Common themes in role-holders' answers: testing
If the work is missed · role-holders' themes: testing · product · defects.
Measured on · manager-set KRA themes: test coverage · business · automation · knowledge · activities · comprehensive.</t>
        </is>
      </c>
      <c r="FT342" s="56" t="inlineStr">
        <is>
          <t>Self-identified: AI / automation · Leadership &amp; people management · Project / programme management · Testing &amp; quality · Domain, regulatory &amp; XBRL · Broader exposure &amp; ownership
For the next role: AI / automation · Leadership &amp; people management · Project / programme management · Testing &amp; quality · Domain, regulatory &amp; XBRL · Broader exposure &amp; ownership</t>
        </is>
      </c>
      <c r="FU342" s="32" t="inlineStr">
        <is>
          <t>Full survey answers not in the files received · How We Grow export needed · HR</t>
        </is>
      </c>
    </row>
    <row r="343" ht="90" customHeight="1">
      <c r="A343" s="51" t="inlineStr">
        <is>
          <t>◂ Back</t>
        </is>
      </c>
      <c r="B343" s="29" t="inlineStr">
        <is>
          <t>Mapped</t>
        </is>
      </c>
      <c r="C343" s="28" t="inlineStr">
        <is>
          <t>iFile</t>
        </is>
      </c>
      <c r="D343" s="29" t="inlineStr">
        <is>
          <t>INTN0288</t>
        </is>
      </c>
      <c r="E343" s="29" t="inlineStr">
        <is>
          <t>Yugal Kishore Singh</t>
        </is>
      </c>
      <c r="F343" s="29" t="inlineStr">
        <is>
          <t>Quality Assurance</t>
        </is>
      </c>
      <c r="G343" s="29" t="inlineStr">
        <is>
          <t>Intern</t>
        </is>
      </c>
      <c r="H343" s="29" t="inlineStr">
        <is>
          <t>Intern – Functional &amp; Domain Testing</t>
        </is>
      </c>
      <c r="I343" s="29" t="inlineStr">
        <is>
          <t>L1 – Intern</t>
        </is>
      </c>
      <c r="J343" s="29" t="inlineStr">
        <is>
          <t>A1</t>
        </is>
      </c>
      <c r="K343" s="29" t="inlineStr">
        <is>
          <t>• Same level</t>
        </is>
      </c>
      <c r="L343" s="29" t="inlineStr">
        <is>
          <t>Quality Assurance</t>
        </is>
      </c>
      <c r="M343" s="29" t="inlineStr">
        <is>
          <t>Functional &amp; Domain Testing</t>
        </is>
      </c>
      <c r="N343" s="29" t="n"/>
      <c r="O343" s="29" t="n">
        <v>20</v>
      </c>
      <c r="P343" s="28" t="inlineStr">
        <is>
          <t>Entry / P1 · intern</t>
        </is>
      </c>
      <c r="Q343" s="29" t="inlineStr">
        <is>
          <t>Entry</t>
        </is>
      </c>
      <c r="R343" s="29" t="inlineStr">
        <is>
          <t>1 Follow</t>
        </is>
      </c>
      <c r="S343" s="29" t="inlineStr">
        <is>
          <t>0 yrs · fresher / intern</t>
        </is>
      </c>
      <c r="T343" s="29" t="inlineStr">
        <is>
          <t>—</t>
        </is>
      </c>
      <c r="U343" s="29" t="inlineStr">
        <is>
          <t>Associate QA Engineer</t>
        </is>
      </c>
      <c r="V343" s="29" t="inlineStr">
        <is>
          <t>—</t>
        </is>
      </c>
      <c r="W343" s="29" t="inlineStr">
        <is>
          <t>ISTQB Foundation → Advanced → Expert; SFIA testing</t>
        </is>
      </c>
      <c r="X343" s="29" t="inlineStr">
        <is>
          <t>Core 1 · Future 1 · Functional 1 · Leadership not scored</t>
        </is>
      </c>
      <c r="Y343" s="52" t="n">
        <v>434</v>
      </c>
      <c r="Z343" s="53" t="inlineStr">
        <is>
          <t>INTN0288</t>
        </is>
      </c>
      <c r="AA343" s="53" t="inlineStr">
        <is>
          <t>Intern</t>
        </is>
      </c>
      <c r="AB343" s="53" t="inlineStr">
        <is>
          <t>Active</t>
        </is>
      </c>
      <c r="AC343" s="53" t="inlineStr">
        <is>
          <t>Yugal Kishore Singh</t>
        </is>
      </c>
      <c r="AD343" s="54" t="n">
        <v>46027</v>
      </c>
      <c r="AE343" s="53" t="inlineStr">
        <is>
          <t>Intern</t>
        </is>
      </c>
      <c r="AF343" s="53" t="inlineStr">
        <is>
          <t>B.Sc</t>
        </is>
      </c>
      <c r="AG343" s="53" t="inlineStr">
        <is>
          <t>Susan Peter</t>
        </is>
      </c>
      <c r="AH343" s="53" t="inlineStr">
        <is>
          <t>N-5</t>
        </is>
      </c>
      <c r="AI343" s="53" t="inlineStr">
        <is>
          <t>Individual Contributor</t>
        </is>
      </c>
      <c r="AJ343" s="53" t="inlineStr">
        <is>
          <t>3 years, 7 months, 0 days</t>
        </is>
      </c>
      <c r="AK343" s="53" t="inlineStr">
        <is>
          <t>0 years, 7 months, 20 days</t>
        </is>
      </c>
      <c r="AL343" s="53" t="inlineStr">
        <is>
          <t>Suptech</t>
        </is>
      </c>
      <c r="AM343" s="53" t="inlineStr">
        <is>
          <t>iFile</t>
        </is>
      </c>
      <c r="AN343" s="53" t="inlineStr">
        <is>
          <t>Quality Assurance</t>
        </is>
      </c>
      <c r="AO343" s="53" t="inlineStr">
        <is>
          <t>Quality Assurance</t>
        </is>
      </c>
      <c r="AP343" s="53" t="inlineStr">
        <is>
          <t>No</t>
        </is>
      </c>
      <c r="AQ343" s="53" t="inlineStr">
        <is>
          <t>Product/Project</t>
        </is>
      </c>
      <c r="AR343" s="53" t="inlineStr">
        <is>
          <t>Software Testing</t>
        </is>
      </c>
      <c r="AS343" s="53" t="inlineStr">
        <is>
          <t>Technical · BA, PM and QA</t>
        </is>
      </c>
      <c r="AT343" s="53" t="n">
        <v>20</v>
      </c>
      <c r="AU343" s="53" t="inlineStr">
        <is>
          <t>Covered</t>
        </is>
      </c>
      <c r="AV343" s="53" t="n"/>
      <c r="AW343" s="53" t="n"/>
      <c r="AX343" s="53" t="n"/>
      <c r="AY343" s="53" t="n"/>
      <c r="AZ343" s="53" t="n"/>
      <c r="BA343" s="53" t="n"/>
      <c r="BB343" s="53" t="n"/>
      <c r="BC343" s="53" t="n"/>
      <c r="BD343" s="53" t="n"/>
      <c r="BE343" s="53" t="n"/>
      <c r="BF343" s="53" t="n"/>
      <c r="BG343" s="53" t="n"/>
      <c r="BH343" s="53" t="n"/>
      <c r="BI343" s="53" t="n"/>
      <c r="BJ343" s="53" t="n"/>
      <c r="BK343" s="53" t="n"/>
      <c r="BL343" s="53" t="n"/>
      <c r="BM343" s="53" t="n"/>
      <c r="BN343" s="53" t="n"/>
      <c r="BO343" s="53" t="n"/>
      <c r="BP343" s="53" t="n"/>
      <c r="BQ343" s="53" t="n"/>
      <c r="BR343" s="53" t="n"/>
      <c r="BS343" s="53" t="n"/>
      <c r="BT343" s="53" t="n"/>
      <c r="BU343" s="53" t="n"/>
      <c r="BV343" s="53" t="n"/>
      <c r="BW343" s="53" t="n"/>
      <c r="BX343" s="53" t="n"/>
      <c r="BY343" s="53" t="n"/>
      <c r="BZ343" s="53" t="n"/>
      <c r="CA343" s="53" t="n"/>
      <c r="CB343" s="53" t="n"/>
      <c r="CC343" s="53" t="n"/>
      <c r="CD343" s="53" t="n"/>
      <c r="CE343" s="53" t="n"/>
      <c r="CF343" s="53" t="n"/>
      <c r="CG343" s="53" t="n"/>
      <c r="CH343" s="53" t="n"/>
      <c r="CI343" s="53" t="n"/>
      <c r="CJ343" s="53" t="n"/>
      <c r="CK343" s="53" t="n"/>
      <c r="CL343" s="53" t="n"/>
      <c r="CM343" s="53" t="n"/>
      <c r="CN343" s="53" t="n"/>
      <c r="CO343" s="53" t="n"/>
      <c r="CP343" s="53" t="n"/>
      <c r="CQ343" s="53" t="n"/>
      <c r="CR343" s="53" t="n"/>
      <c r="CS343" s="53" t="n"/>
      <c r="CT343" s="53" t="n"/>
      <c r="CU343" s="53" t="n"/>
      <c r="CV343" s="53" t="n"/>
      <c r="CW343" s="53" t="n"/>
      <c r="CX343" s="53" t="n"/>
      <c r="CY343" s="53" t="n"/>
      <c r="CZ343" s="53" t="n"/>
      <c r="DA343" s="53" t="n"/>
      <c r="DB343" s="53" t="n"/>
      <c r="DC343" s="53" t="n"/>
      <c r="DD343" s="53" t="inlineStr">
        <is>
          <t>INTN0288</t>
        </is>
      </c>
      <c r="DE343" s="53" t="inlineStr">
        <is>
          <t>Intern</t>
        </is>
      </c>
      <c r="DF343" s="53" t="inlineStr">
        <is>
          <t>Active</t>
        </is>
      </c>
      <c r="DG343" s="53" t="inlineStr">
        <is>
          <t>Yugal Kishore Singh</t>
        </is>
      </c>
      <c r="DH343" s="54" t="n">
        <v>46027</v>
      </c>
      <c r="DI343" s="53" t="inlineStr">
        <is>
          <t>Intern</t>
        </is>
      </c>
      <c r="DJ343" s="53" t="inlineStr">
        <is>
          <t>Quality Assurance</t>
        </is>
      </c>
      <c r="DK343" s="53" t="inlineStr">
        <is>
          <t>Quality Engineering</t>
        </is>
      </c>
      <c r="DL343" s="53" t="inlineStr">
        <is>
          <t>Intern</t>
        </is>
      </c>
      <c r="DM343" s="53" t="inlineStr">
        <is>
          <t>L1 – Intern</t>
        </is>
      </c>
      <c r="DN343" s="53" t="inlineStr">
        <is>
          <t>B.Sc</t>
        </is>
      </c>
      <c r="DO343" s="53" t="inlineStr">
        <is>
          <t>Susan Peter</t>
        </is>
      </c>
      <c r="DP343" s="53" t="inlineStr">
        <is>
          <t>N-4</t>
        </is>
      </c>
      <c r="DQ343" s="53" t="inlineStr">
        <is>
          <t>Individual Contributor</t>
        </is>
      </c>
      <c r="DR343" s="53" t="inlineStr">
        <is>
          <t>3 years, 7 months, 0 days</t>
        </is>
      </c>
      <c r="DS343" s="53" t="inlineStr">
        <is>
          <t>0 years, 5 months, 15 days</t>
        </is>
      </c>
      <c r="DT343" s="53" t="inlineStr">
        <is>
          <t>4 years, 0 months, 15 days</t>
        </is>
      </c>
      <c r="DU343" s="53" t="n"/>
      <c r="DV343" s="53" t="inlineStr">
        <is>
          <t>Suptech</t>
        </is>
      </c>
      <c r="DW343" s="53" t="inlineStr">
        <is>
          <t>iFile</t>
        </is>
      </c>
      <c r="DX343" s="53" t="inlineStr">
        <is>
          <t>Quality Assurance</t>
        </is>
      </c>
      <c r="DY343" s="53" t="inlineStr">
        <is>
          <t>Quality Assurance</t>
        </is>
      </c>
      <c r="DZ343" s="53" t="inlineStr">
        <is>
          <t>No</t>
        </is>
      </c>
      <c r="EA343" s="53" t="inlineStr">
        <is>
          <t>Product/Project</t>
        </is>
      </c>
      <c r="EB343" s="53" t="inlineStr">
        <is>
          <t>Software Testing</t>
        </is>
      </c>
      <c r="EC343" s="53" t="inlineStr">
        <is>
          <t>Technical · BA, PM and QA</t>
        </is>
      </c>
      <c r="ED343" s="53" t="inlineStr">
        <is>
          <t>Work From Office - Turbhe</t>
        </is>
      </c>
      <c r="EE343" s="53" t="inlineStr">
        <is>
          <t>1. Successfully contributed to the GTA project by performing test case planning, execution, and implementation, ensuring quality deliverables across assigned modules.
2. Executed comprehensive testing activities, including Validation, Regression, Smoke, and Module Testing for Web Forms and Portal modules, maintaining high defect detection and quality standards.
3. Supported the BOJ project by completing filing-related activities accurately and within the required timelines.
4. Continued contributing to the GTA project · Prefill Module by performing Smoke, Regression, Functional, and end-to-end testing to ensure application stability and quality.
5. Focused on continuous skill enhancement by learning API Testing, with planned upskilling in Automation Testing, AI in Testing, and Load/Performance Testing to improve overall testing capabilities.</t>
        </is>
      </c>
      <c r="EF343" s="53" t="inlineStr">
        <is>
          <t>1. Successfully contributed to the GTA project by planning, designing, and executing test cases across assigned modules, ensuring complete requirement coverage and timely delivery of high-quality releases.
2. Performed comprehensive Validation, Smoke, Regression, Module, and Web Portal testing, identifying defects early and ensuring application stability, reliability, and adherence to quality standards.
3. Supported the BOJ project by accurately executing filing-related activities within the committed timelines, contributing to successful project delivery and maintaining high-quality standards.
4. Successfully executed functional, regression, smoke, and end-to-end testing for the GTA Prefill Module, validating business workflows and ensuring stable application performance before release.
5. Demonstrated a commitment to continuous learning by acquiring API Testing skills and actively working toward expanding expertise in Automation Testing, AI-assisted Testing, and Performance/Load Testing to support future project requirements.</t>
        </is>
      </c>
      <c r="EG343" s="53" t="inlineStr">
        <is>
          <t>CTA testing on time for Journal  approach.</t>
        </is>
      </c>
      <c r="EH343" s="53" t="n">
        <v>3</v>
      </c>
      <c r="EI343" s="54" t="n">
        <v>46149</v>
      </c>
      <c r="EJ343" s="53" t="inlineStr">
        <is>
          <t>Intern</t>
        </is>
      </c>
      <c r="EK343" s="53" t="inlineStr">
        <is>
          <t>No</t>
        </is>
      </c>
      <c r="EL343" s="53" t="n">
        <v>3</v>
      </c>
      <c r="EM343" s="53" t="inlineStr">
        <is>
          <t>Medium</t>
        </is>
      </c>
      <c r="EN343" s="53" t="inlineStr">
        <is>
          <t>High Impact / Growth Talent</t>
        </is>
      </c>
      <c r="EO343" s="53" t="inlineStr">
        <is>
          <t>No</t>
        </is>
      </c>
      <c r="EP343" s="53" t="inlineStr">
        <is>
          <t>No</t>
        </is>
      </c>
      <c r="EQ343" s="53" t="inlineStr">
        <is>
          <t>No</t>
        </is>
      </c>
      <c r="ER343" s="53" t="n"/>
      <c r="ES343" s="53" t="inlineStr">
        <is>
          <t>Automation training</t>
        </is>
      </c>
      <c r="ET343" s="53" t="n"/>
      <c r="EU343" s="53" t="n"/>
      <c r="EV343" s="53" t="n"/>
      <c r="EW343" s="52" t="n"/>
      <c r="EX343" s="53" t="n"/>
      <c r="EY343" s="53" t="n"/>
      <c r="EZ343" s="53" t="n"/>
      <c r="FA343" s="53" t="n"/>
      <c r="FB343" s="53" t="n"/>
      <c r="FC343" s="53" t="n"/>
      <c r="FD343" s="53" t="n"/>
      <c r="FE343" s="57" t="inlineStr">
        <is>
          <t>1. Successfully contributed to the GTA project by planning, designing, and executing test cases across assigned modules, ensuring complete requirement coverage and timely delivery of high-quality releases.
2. Performed comprehensive Validation, Smoke, Regression, Module, and Web Portal testing, identifying defects early and ensuring application stability, reliability, and adherence to quality standards.
3. Supported the BOJ project by accurately executing filing-related activities within the committed timelines, contributing to successful project delivery and maintaining high-quality standards.
4. Successfully executed functional, regression, smoke, and end-to-end testing for the GTA Prefill Module, validating business workflows and ensuring stable application performance before release.
5. Demonstrated a commitment to continuous learning by acquiring API Testing skills and actively working toward expanding expertise in Automation Testing, AI-assisted Testing, and Performance/Load Testing to support future project requirements.</t>
        </is>
      </c>
      <c r="FF343" s="56" t="inlineStr">
        <is>
          <t>CTA testing on time for Journal  approach.</t>
        </is>
      </c>
      <c r="FG343" s="56" t="inlineStr">
        <is>
          <t>1. Successfully contributed to the GTA project by performing test case planning, execution, and implementation, ensuring quality deliverables across assigned modules.
2. Executed comprehensive testing activities, including Validation, Regression, Smoke, and Module Testing for Web Forms and Portal modules, maintaining high defect detection and quality standards.
3. Supported the BOJ project by completing filing-related activities accurately and within the required timelines.
4. Continued contributing to the GTA project · Prefill Module by performing Smoke, Regression, Functional, and end-to-end testing to ensure application stability and quality.
5. Focused on continuous skill enhancement by learning API Testing, with planned upskilling in Automation Testing, AI in Testing, and Load/Performance Testing to improve overall testing capabilities.</t>
        </is>
      </c>
      <c r="FH343" s="56" t="inlineStr">
        <is>
          <t>3</t>
        </is>
      </c>
      <c r="FI343" s="56" t="n"/>
      <c r="FJ343" s="56" t="inlineStr">
        <is>
          <t>Received · manager annual, quarterly, self</t>
        </is>
      </c>
      <c r="FK343" s="56" t="inlineStr">
        <is>
          <t>Talent Mapping · iFile collated</t>
        </is>
      </c>
      <c r="FL343" s="56" t="n">
        <v>20</v>
      </c>
      <c r="FM343" s="32" t="inlineStr">
        <is>
          <t>Full survey answers not in the files received · How We Grow export needed · HR</t>
        </is>
      </c>
      <c r="FN343" s="56" t="inlineStr">
        <is>
          <t>—</t>
        </is>
      </c>
      <c r="FO343" s="56" t="inlineStr">
        <is>
          <t>—</t>
        </is>
      </c>
      <c r="FP343" s="56" t="inlineStr">
        <is>
          <t>—</t>
        </is>
      </c>
      <c r="FQ343" s="56" t="inlineStr">
        <is>
          <t>—</t>
        </is>
      </c>
      <c r="FR343" s="56" t="n"/>
      <c r="FS343" s="56" t="inlineStr">
        <is>
          <t>Common themes in sub-family holders, all levels' answers: software · quality · product · requirements · user · before
Common themes in sub-family holders, all levels' answers: test · defect · reporting · regression · case · execution
Common themes in sub-family holders, all levels' answers: test · quality · reports · bug · cases · defect
Common themes in sub-family holders, all levels' answers: quality · test · accountable · am · release · reporting
Common themes in sub-family holders, all levels' answers: test · prioritize · independently · scenarios · identify · issues
If the work is missed · role-holders' themes: rework · production · issues · client.</t>
        </is>
      </c>
      <c r="FT343" s="56" t="inlineStr">
        <is>
          <t>Self-identified: AI / automation · Product &amp; tool knowledge
For the next role: AI / automation · Product &amp; tool knowledge</t>
        </is>
      </c>
      <c r="FU343" s="32" t="inlineStr">
        <is>
          <t>Full survey answers not in the files received · How We Grow export needed · HR</t>
        </is>
      </c>
    </row>
    <row r="344" ht="90" customHeight="1">
      <c r="A344" s="51" t="inlineStr">
        <is>
          <t>◂ Back</t>
        </is>
      </c>
      <c r="B344" s="29" t="inlineStr">
        <is>
          <t>Mapped</t>
        </is>
      </c>
      <c r="C344" s="28" t="inlineStr">
        <is>
          <t>iFile</t>
        </is>
      </c>
      <c r="D344" s="29" t="inlineStr">
        <is>
          <t>IRIS1984</t>
        </is>
      </c>
      <c r="E344" s="29" t="inlineStr">
        <is>
          <t>Bhagyshree Khedkar</t>
        </is>
      </c>
      <c r="F344" s="29" t="inlineStr">
        <is>
          <t>Quality Assurance</t>
        </is>
      </c>
      <c r="G344" s="29" t="inlineStr">
        <is>
          <t>QA Engineer</t>
        </is>
      </c>
      <c r="H344" s="29" t="inlineStr">
        <is>
          <t>Senior QA Engineer</t>
        </is>
      </c>
      <c r="I344" s="29" t="inlineStr">
        <is>
          <t>L3 – Professional / Associate</t>
        </is>
      </c>
      <c r="J344" s="29" t="inlineStr">
        <is>
          <t>A3</t>
        </is>
      </c>
      <c r="K344" s="29" t="inlineStr">
        <is>
          <t>▲ Up</t>
        </is>
      </c>
      <c r="L344" s="29" t="inlineStr">
        <is>
          <t>Quality Assurance</t>
        </is>
      </c>
      <c r="M344" s="29" t="inlineStr">
        <is>
          <t>Functional &amp; Domain Testing</t>
        </is>
      </c>
      <c r="N344" s="29" t="n"/>
      <c r="O344" s="29" t="n">
        <v>20</v>
      </c>
      <c r="P344" s="28" t="inlineStr">
        <is>
          <t>P2</t>
        </is>
      </c>
      <c r="Q344" s="29" t="inlineStr">
        <is>
          <t>Developing</t>
        </is>
      </c>
      <c r="R344" s="29" t="inlineStr">
        <is>
          <t>3 Apply</t>
        </is>
      </c>
      <c r="S344" s="29" t="inlineStr">
        <is>
          <t>2–4 yrs</t>
        </is>
      </c>
      <c r="T344" s="29" t="inlineStr">
        <is>
          <t>3–5 · 2–5</t>
        </is>
      </c>
      <c r="U344" s="29" t="inlineStr">
        <is>
          <t>QA Engineer</t>
        </is>
      </c>
      <c r="V344" s="29" t="inlineStr">
        <is>
          <t>Workiva: SE · Broadridge India: SE · Nasdaq / AxiomSL: SE · IRIS Vs Market Benchmark — ISTQB certification pathway: Foundation</t>
        </is>
      </c>
      <c r="W344" s="29" t="inlineStr">
        <is>
          <t>ISTQB Foundation → Advanced → Expert; SFIA testing</t>
        </is>
      </c>
      <c r="X344" s="29" t="inlineStr">
        <is>
          <t>Core 2 · Future 2 · Functional 3 · Leadership not scored</t>
        </is>
      </c>
      <c r="Y344" s="52" t="n">
        <v>207</v>
      </c>
      <c r="Z344" s="53" t="inlineStr">
        <is>
          <t>IRIS1984</t>
        </is>
      </c>
      <c r="AA344" s="53" t="inlineStr">
        <is>
          <t>Employee</t>
        </is>
      </c>
      <c r="AB344" s="53" t="inlineStr">
        <is>
          <t>Active</t>
        </is>
      </c>
      <c r="AC344" s="53" t="inlineStr">
        <is>
          <t>Bhagyshree Khedkar</t>
        </is>
      </c>
      <c r="AD344" s="54" t="n">
        <v>44585</v>
      </c>
      <c r="AE344" s="53" t="inlineStr">
        <is>
          <t>QA Engineer</t>
        </is>
      </c>
      <c r="AF344" s="53" t="inlineStr">
        <is>
          <t>B.E</t>
        </is>
      </c>
      <c r="AG344" s="53" t="inlineStr">
        <is>
          <t>Davinder Pal Singh</t>
        </is>
      </c>
      <c r="AH344" s="53" t="inlineStr">
        <is>
          <t>N-4</t>
        </is>
      </c>
      <c r="AI344" s="53" t="inlineStr">
        <is>
          <t>Individual Contributor</t>
        </is>
      </c>
      <c r="AJ344" s="53" t="inlineStr">
        <is>
          <t>2 years, 5 months, 0 days</t>
        </is>
      </c>
      <c r="AK344" s="53" t="inlineStr">
        <is>
          <t>4 years, 7 months, 1 days</t>
        </is>
      </c>
      <c r="AL344" s="53" t="inlineStr">
        <is>
          <t>Suptech</t>
        </is>
      </c>
      <c r="AM344" s="53" t="inlineStr">
        <is>
          <t>iFile</t>
        </is>
      </c>
      <c r="AN344" s="53" t="inlineStr">
        <is>
          <t>Quality Assurance</t>
        </is>
      </c>
      <c r="AO344" s="53" t="inlineStr">
        <is>
          <t>Quality Assurance</t>
        </is>
      </c>
      <c r="AP344" s="53" t="inlineStr">
        <is>
          <t>No</t>
        </is>
      </c>
      <c r="AQ344" s="53" t="inlineStr">
        <is>
          <t>Product/Project</t>
        </is>
      </c>
      <c r="AR344" s="53" t="inlineStr">
        <is>
          <t>Software Testing</t>
        </is>
      </c>
      <c r="AS344" s="53" t="inlineStr">
        <is>
          <t>Technical · BA, PM and QA</t>
        </is>
      </c>
      <c r="AT344" s="53" t="n">
        <v>20</v>
      </c>
      <c r="AU344" s="53" t="inlineStr">
        <is>
          <t>Covered</t>
        </is>
      </c>
      <c r="AV344" s="53" t="n"/>
      <c r="AW344" s="53" t="n"/>
      <c r="AX344" s="53" t="n"/>
      <c r="AY344" s="53" t="n"/>
      <c r="AZ344" s="53" t="n"/>
      <c r="BA344" s="53" t="n"/>
      <c r="BB344" s="53" t="n"/>
      <c r="BC344" s="53" t="n"/>
      <c r="BD344" s="53" t="n"/>
      <c r="BE344" s="53" t="n"/>
      <c r="BF344" s="53" t="n"/>
      <c r="BG344" s="53" t="n"/>
      <c r="BH344" s="53" t="n"/>
      <c r="BI344" s="53" t="n"/>
      <c r="BJ344" s="53" t="n"/>
      <c r="BK344" s="53" t="n"/>
      <c r="BL344" s="53" t="n"/>
      <c r="BM344" s="53" t="n"/>
      <c r="BN344" s="53" t="n"/>
      <c r="BO344" s="53" t="n"/>
      <c r="BP344" s="53" t="n"/>
      <c r="BQ344" s="53" t="n"/>
      <c r="BR344" s="53" t="n"/>
      <c r="BS344" s="53" t="n"/>
      <c r="BT344" s="53" t="n"/>
      <c r="BU344" s="53" t="n"/>
      <c r="BV344" s="53" t="n"/>
      <c r="BW344" s="53" t="n"/>
      <c r="BX344" s="53" t="n"/>
      <c r="BY344" s="53" t="n"/>
      <c r="BZ344" s="53" t="n"/>
      <c r="CA344" s="53" t="n"/>
      <c r="CB344" s="53" t="n"/>
      <c r="CC344" s="53" t="n"/>
      <c r="CD344" s="53" t="n"/>
      <c r="CE344" s="53" t="n"/>
      <c r="CF344" s="53" t="n"/>
      <c r="CG344" s="53" t="n"/>
      <c r="CH344" s="53" t="n"/>
      <c r="CI344" s="53" t="n"/>
      <c r="CJ344" s="53" t="n"/>
      <c r="CK344" s="53" t="n"/>
      <c r="CL344" s="53" t="n"/>
      <c r="CM344" s="53" t="n"/>
      <c r="CN344" s="53" t="n"/>
      <c r="CO344" s="53" t="n"/>
      <c r="CP344" s="53" t="n"/>
      <c r="CQ344" s="53" t="n"/>
      <c r="CR344" s="53" t="n"/>
      <c r="CS344" s="53" t="n"/>
      <c r="CT344" s="53" t="n"/>
      <c r="CU344" s="53" t="n"/>
      <c r="CV344" s="53" t="n"/>
      <c r="CW344" s="53" t="n"/>
      <c r="CX344" s="53" t="n"/>
      <c r="CY344" s="53" t="n"/>
      <c r="CZ344" s="53" t="n"/>
      <c r="DA344" s="53" t="n"/>
      <c r="DB344" s="53" t="n"/>
      <c r="DC344" s="53" t="n"/>
      <c r="DD344" s="53" t="inlineStr">
        <is>
          <t>IRIS1984</t>
        </is>
      </c>
      <c r="DE344" s="53" t="inlineStr">
        <is>
          <t>Employee</t>
        </is>
      </c>
      <c r="DF344" s="53" t="inlineStr">
        <is>
          <t>Active</t>
        </is>
      </c>
      <c r="DG344" s="53" t="inlineStr">
        <is>
          <t>Bhagyshree Khedkar</t>
        </is>
      </c>
      <c r="DH344" s="54" t="n">
        <v>44585</v>
      </c>
      <c r="DI344" s="53" t="inlineStr">
        <is>
          <t>QA Engineer</t>
        </is>
      </c>
      <c r="DJ344" s="53" t="inlineStr">
        <is>
          <t>Quality Assurance</t>
        </is>
      </c>
      <c r="DK344" s="53" t="inlineStr">
        <is>
          <t>Quality Engineering</t>
        </is>
      </c>
      <c r="DL344" s="53" t="inlineStr">
        <is>
          <t>QA Engineer</t>
        </is>
      </c>
      <c r="DM344" s="53" t="inlineStr">
        <is>
          <t>L3 – Professional / Associate</t>
        </is>
      </c>
      <c r="DN344" s="53" t="inlineStr">
        <is>
          <t>B.E</t>
        </is>
      </c>
      <c r="DO344" s="53" t="inlineStr">
        <is>
          <t>Davinder Pal Singh</t>
        </is>
      </c>
      <c r="DP344" s="53" t="inlineStr">
        <is>
          <t>N-3</t>
        </is>
      </c>
      <c r="DQ344" s="53" t="inlineStr">
        <is>
          <t>Individual Contributor</t>
        </is>
      </c>
      <c r="DR344" s="53" t="inlineStr">
        <is>
          <t>2 years, 5 months, 0 days</t>
        </is>
      </c>
      <c r="DS344" s="53" t="inlineStr">
        <is>
          <t>4 years, 4 months, 27 days</t>
        </is>
      </c>
      <c r="DT344" s="53" t="inlineStr">
        <is>
          <t>6 years, 9 months, 27 days</t>
        </is>
      </c>
      <c r="DU344" s="53" t="n"/>
      <c r="DV344" s="53" t="inlineStr">
        <is>
          <t>Suptech</t>
        </is>
      </c>
      <c r="DW344" s="53" t="inlineStr">
        <is>
          <t>iFile</t>
        </is>
      </c>
      <c r="DX344" s="53" t="inlineStr">
        <is>
          <t>Quality Assurance</t>
        </is>
      </c>
      <c r="DY344" s="53" t="inlineStr">
        <is>
          <t>Quality Assurance</t>
        </is>
      </c>
      <c r="DZ344" s="53" t="inlineStr">
        <is>
          <t>No</t>
        </is>
      </c>
      <c r="EA344" s="53" t="inlineStr">
        <is>
          <t>Product/Project</t>
        </is>
      </c>
      <c r="EB344" s="53" t="inlineStr">
        <is>
          <t>Software Testing</t>
        </is>
      </c>
      <c r="EC344" s="53" t="inlineStr">
        <is>
          <t>Technical · BA, PM and QA</t>
        </is>
      </c>
      <c r="ED344" s="53" t="inlineStr">
        <is>
          <t>Remote- Outside Mumbai</t>
        </is>
      </c>
      <c r="EE344" s="53" t="inlineStr">
        <is>
          <t>1 Client Support and Communication -
 Attended regular client calls for the Kuwait project to understand requirements and provide timely support.
  Worked closely with the client to resolve queries, clarify issues, and ensure smooth project execution.
2 Client Demonstration - CIP Portal
  Conducted product demonstrations for the client on the CIP Portal.
  Explained module functionalities, workflows, and key features to help users understand the application effectively.
3 CIP Portal Testing and Go-Live Support
 Performed functional and regression testing of the CIP Portal.
 Identified, reported, and verified defects to ensure application quality.
  Successfully supported the completion of testing activities and contributed to the successful Go-Live.
 4 Learning and Skill Development
Will try Enhanced technical skills by learning API Testing.
5 CMA Kuwait Maintenance
 Successfully completed QA activities during the CMA Kuwait maintenance phase.
Validated fixes, performed regression testing, and ensured the stability of the application after maintenance updates.</t>
        </is>
      </c>
      <c r="EF344" s="53" t="inlineStr">
        <is>
          <t>1. Successfully managed the CMA Kuwait project as the sole QA resource, ensuring timely testing and delivery throughout the project lifecycle.
2. During the absence of both Business Analysts on maternity leave, effectively assumed key BA responsibilities by gathering requirements, clarifying business needs, and coordinating directly with the client.
3. Served as the primary bridge between the client and the development team, facilitating clear communication and ensuring business requirements were accurately understood and implemented.
4. Up Skilles on AI used more Ai for testing</t>
        </is>
      </c>
      <c r="EG344" s="53" t="inlineStr">
        <is>
          <t>provide the Support to CMA kuwait and now As IFRS 18 coming in both project shee need to manage the CMA kuwait and CMA oman.</t>
        </is>
      </c>
      <c r="EH344" s="53" t="n">
        <v>4</v>
      </c>
      <c r="EI344" s="53" t="inlineStr">
        <is>
          <t>15-06-2026</t>
        </is>
      </c>
      <c r="EJ344" s="53" t="inlineStr">
        <is>
          <t>QA Engineer</t>
        </is>
      </c>
      <c r="EK344" s="53" t="inlineStr">
        <is>
          <t>Yes</t>
        </is>
      </c>
      <c r="EL344" s="53" t="n">
        <v>5</v>
      </c>
      <c r="EM344" s="53" t="inlineStr">
        <is>
          <t>Medium</t>
        </is>
      </c>
      <c r="EN344" s="53" t="inlineStr">
        <is>
          <t>High Impact / Growth Talent</t>
        </is>
      </c>
      <c r="EO344" s="53" t="inlineStr">
        <is>
          <t>No</t>
        </is>
      </c>
      <c r="EP344" s="53" t="inlineStr">
        <is>
          <t>No</t>
        </is>
      </c>
      <c r="EQ344" s="53" t="inlineStr">
        <is>
          <t>No</t>
        </is>
      </c>
      <c r="ER344" s="53" t="inlineStr">
        <is>
          <t>yet to identify</t>
        </is>
      </c>
      <c r="ES344" s="53" t="inlineStr">
        <is>
          <t>Training of Automation,API, load testing</t>
        </is>
      </c>
      <c r="ET344" s="53" t="n"/>
      <c r="EU344" s="53" t="inlineStr">
        <is>
          <t>Yes option is not displayed on AT she can move to senior tester</t>
        </is>
      </c>
      <c r="EV344" s="53" t="n"/>
      <c r="EW344" s="52" t="n"/>
      <c r="EX344" s="53" t="n"/>
      <c r="EY344" s="53" t="n"/>
      <c r="EZ344" s="53" t="n"/>
      <c r="FA344" s="53" t="n"/>
      <c r="FB344" s="53" t="n"/>
      <c r="FC344" s="53" t="n"/>
      <c r="FD344" s="53" t="n"/>
      <c r="FE344" s="57" t="inlineStr">
        <is>
          <t>1. Successfully managed the CMA Kuwait project as the sole QA resource, ensuring timely testing and delivery throughout the project lifecycle.
2. During the absence of both Business Analysts on maternity leave, effectively assumed key BA responsibilities by gathering requirements, clarifying business needs, and coordinating directly with the client.
3. Served as the primary bridge between the client and the development team, facilitating clear communication and ensuring business requirements were accurately understood and implemented.
4. Up Skilles on AI used more Ai for testing</t>
        </is>
      </c>
      <c r="FF344" s="56" t="inlineStr">
        <is>
          <t>provide the Support to CMA kuwait and now As IFRS 18 coming in both project shee need to manage the CMA kuwait and CMA oman.</t>
        </is>
      </c>
      <c r="FG344" s="56" t="inlineStr">
        <is>
          <t>1 Client Support and Communication -
 Attended regular client calls for the Kuwait project to understand requirements and provide timely support.
  Worked closely with the client to resolve queries, clarify issues, and ensure smooth project execution.
2 Client Demonstration - CIP Portal
  Conducted product demonstrations for the client on the CIP Portal.
  Explained module functionalities, workflows, and key features to help users understand the application effectively.
3 CIP Portal Testing and Go-Live Support
 Performed functional and regression testing of the CIP Portal.
 Identified, reported, and verified defects to ensure application quality.
  Successfully supported the completion of testing activities and contributed to the successful Go-Live.
 4 Learning and Skill Development
Will try Enhanced technical skills by learning API Testing.
5 CMA Kuwait Maintenance
 Successfully completed QA activities during the CMA Kuwait maintenance phase.
Validated fixes, performed regression testing, and ensured the stability of the application after maintenance updates.</t>
        </is>
      </c>
      <c r="FH344" s="56" t="inlineStr">
        <is>
          <t>4</t>
        </is>
      </c>
      <c r="FI344" s="56" t="n"/>
      <c r="FJ344" s="56" t="inlineStr">
        <is>
          <t>Received · manager annual, quarterly, self</t>
        </is>
      </c>
      <c r="FK344" s="56" t="inlineStr">
        <is>
          <t>Talent Mapping · iFile collated</t>
        </is>
      </c>
      <c r="FL344" s="56" t="n">
        <v>20</v>
      </c>
      <c r="FM344" s="32" t="inlineStr">
        <is>
          <t>Full survey answers not in the files received · How We Grow export needed · HR</t>
        </is>
      </c>
      <c r="FN344" s="56" t="inlineStr">
        <is>
          <t>—</t>
        </is>
      </c>
      <c r="FO344" s="56" t="inlineStr">
        <is>
          <t>—</t>
        </is>
      </c>
      <c r="FP344" s="56" t="inlineStr">
        <is>
          <t>—</t>
        </is>
      </c>
      <c r="FQ344" s="56" t="inlineStr">
        <is>
          <t>—</t>
        </is>
      </c>
      <c r="FR344" s="56" t="inlineStr">
        <is>
          <t>Complexity: Evidence reads like A3: Functional and regression testing plus Kuwait client calls, CIP Portal client demos, go-live support · KRA → moved up 0.5
Autonomy: Evidence reads like A2: Only prioritises own testing → matches the start
Accountability: Evidence reads like A3: Testing quality with direct client contact: client calls, demonstrations and go-live support → moved up 0.5
Leadership: Evidence reads like A1: No guiding or leading of others described → matches the start
Business Impact: No survey or manager-mapping signal on criticality: kept at the start point.</t>
        </is>
      </c>
      <c r="FS344" s="56"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FT344" s="56" t="inlineStr">
        <is>
          <t>Self-identified: AI / automation · Leadership &amp; people management · Testing &amp; quality · Strategy &amp; business acumen · Broader exposure &amp; ownership
For the next role: AI / automation · Leadership &amp; people management · Testing &amp; quality · Strategy &amp; business acumen · Broader exposure &amp; ownership</t>
        </is>
      </c>
      <c r="FU344" s="32" t="inlineStr">
        <is>
          <t>Full survey answers not in the files received · How We Grow export needed · HR</t>
        </is>
      </c>
    </row>
    <row r="345" ht="90" customHeight="1">
      <c r="A345" s="51" t="inlineStr">
        <is>
          <t>◂ Back</t>
        </is>
      </c>
      <c r="B345" s="29" t="inlineStr">
        <is>
          <t>Mapped</t>
        </is>
      </c>
      <c r="C345" s="28" t="inlineStr">
        <is>
          <t>iFile</t>
        </is>
      </c>
      <c r="D345" s="29" t="inlineStr">
        <is>
          <t>IRIS1975</t>
        </is>
      </c>
      <c r="E345" s="29" t="inlineStr">
        <is>
          <t>Rahul Devarkonda</t>
        </is>
      </c>
      <c r="F345" s="29" t="inlineStr">
        <is>
          <t>Quality Assurance</t>
        </is>
      </c>
      <c r="G345" s="29" t="inlineStr">
        <is>
          <t>QA Engineer</t>
        </is>
      </c>
      <c r="H345" s="29" t="inlineStr">
        <is>
          <t>Senior QA Engineer</t>
        </is>
      </c>
      <c r="I345" s="29" t="inlineStr">
        <is>
          <t>L3 – Professional / Associate</t>
        </is>
      </c>
      <c r="J345" s="29" t="inlineStr">
        <is>
          <t>A3</t>
        </is>
      </c>
      <c r="K345" s="29" t="inlineStr">
        <is>
          <t>▲ Up</t>
        </is>
      </c>
      <c r="L345" s="29" t="inlineStr">
        <is>
          <t>Quality Assurance</t>
        </is>
      </c>
      <c r="M345" s="29" t="inlineStr">
        <is>
          <t>Functional &amp; Domain Testing</t>
        </is>
      </c>
      <c r="N345" s="29" t="n"/>
      <c r="O345" s="29" t="n">
        <v>20</v>
      </c>
      <c r="P345" s="28" t="inlineStr">
        <is>
          <t>P2</t>
        </is>
      </c>
      <c r="Q345" s="29" t="inlineStr">
        <is>
          <t>Developing</t>
        </is>
      </c>
      <c r="R345" s="29" t="inlineStr">
        <is>
          <t>3 Apply</t>
        </is>
      </c>
      <c r="S345" s="29" t="inlineStr">
        <is>
          <t>2–4 yrs</t>
        </is>
      </c>
      <c r="T345" s="29" t="inlineStr">
        <is>
          <t>3–5 · 2–5</t>
        </is>
      </c>
      <c r="U345" s="29" t="inlineStr">
        <is>
          <t>QA Engineer</t>
        </is>
      </c>
      <c r="V345" s="29" t="inlineStr">
        <is>
          <t>Workiva: SE · Broadridge India: SE · Nasdaq / AxiomSL: SE · IRIS Vs Market Benchmark — ISTQB certification pathway: Foundation</t>
        </is>
      </c>
      <c r="W345" s="29" t="inlineStr">
        <is>
          <t>ISTQB Foundation → Advanced → Expert; SFIA testing</t>
        </is>
      </c>
      <c r="X345" s="29" t="inlineStr">
        <is>
          <t>Core 2 · Future 2 · Functional 3 · Leadership not scored</t>
        </is>
      </c>
      <c r="Y345" s="52" t="n">
        <v>205</v>
      </c>
      <c r="Z345" s="53" t="inlineStr">
        <is>
          <t>IRIS1975</t>
        </is>
      </c>
      <c r="AA345" s="53" t="inlineStr">
        <is>
          <t>Employee</t>
        </is>
      </c>
      <c r="AB345" s="53" t="inlineStr">
        <is>
          <t>Active</t>
        </is>
      </c>
      <c r="AC345" s="53" t="inlineStr">
        <is>
          <t>Rahul Devarkonda</t>
        </is>
      </c>
      <c r="AD345" s="54" t="n">
        <v>44558</v>
      </c>
      <c r="AE345" s="53" t="inlineStr">
        <is>
          <t>QA Engineer</t>
        </is>
      </c>
      <c r="AF345" s="53" t="inlineStr">
        <is>
          <t>B.SC</t>
        </is>
      </c>
      <c r="AG345" s="53" t="inlineStr">
        <is>
          <t>Davinder Pal Singh</t>
        </is>
      </c>
      <c r="AH345" s="53" t="inlineStr">
        <is>
          <t>N-4</t>
        </is>
      </c>
      <c r="AI345" s="53" t="inlineStr">
        <is>
          <t>Individual Contributor</t>
        </is>
      </c>
      <c r="AJ345" s="53" t="inlineStr">
        <is>
          <t>2 years, 3 months, 0 days</t>
        </is>
      </c>
      <c r="AK345" s="53" t="inlineStr">
        <is>
          <t>4 years, 7 months, 28 days</t>
        </is>
      </c>
      <c r="AL345" s="53" t="inlineStr">
        <is>
          <t>Suptech</t>
        </is>
      </c>
      <c r="AM345" s="53" t="inlineStr">
        <is>
          <t>iFile</t>
        </is>
      </c>
      <c r="AN345" s="53" t="inlineStr">
        <is>
          <t>Quality Assurance</t>
        </is>
      </c>
      <c r="AO345" s="53" t="inlineStr">
        <is>
          <t>Quality Assurance</t>
        </is>
      </c>
      <c r="AP345" s="53" t="inlineStr">
        <is>
          <t>No</t>
        </is>
      </c>
      <c r="AQ345" s="53" t="inlineStr">
        <is>
          <t>Product/Project</t>
        </is>
      </c>
      <c r="AR345" s="53" t="inlineStr">
        <is>
          <t>Software Testing</t>
        </is>
      </c>
      <c r="AS345" s="53" t="inlineStr">
        <is>
          <t>Technical · BA, PM and QA</t>
        </is>
      </c>
      <c r="AT345" s="53" t="n">
        <v>20</v>
      </c>
      <c r="AU345" s="53" t="inlineStr">
        <is>
          <t>Covered</t>
        </is>
      </c>
      <c r="AV345" s="53" t="n"/>
      <c r="AW345" s="53" t="n"/>
      <c r="AX345" s="53" t="n"/>
      <c r="AY345" s="53" t="n"/>
      <c r="AZ345" s="53" t="n"/>
      <c r="BA345" s="53" t="n"/>
      <c r="BB345" s="53" t="n"/>
      <c r="BC345" s="53" t="n"/>
      <c r="BD345" s="53" t="n"/>
      <c r="BE345" s="53" t="n"/>
      <c r="BF345" s="53" t="n"/>
      <c r="BG345" s="53" t="n"/>
      <c r="BH345" s="53" t="n"/>
      <c r="BI345" s="53" t="n"/>
      <c r="BJ345" s="53" t="n"/>
      <c r="BK345" s="53" t="n"/>
      <c r="BL345" s="53" t="n"/>
      <c r="BM345" s="53" t="n"/>
      <c r="BN345" s="53" t="n"/>
      <c r="BO345" s="53" t="n"/>
      <c r="BP345" s="53" t="n"/>
      <c r="BQ345" s="53" t="n"/>
      <c r="BR345" s="53" t="n"/>
      <c r="BS345" s="53" t="n"/>
      <c r="BT345" s="53" t="n"/>
      <c r="BU345" s="53" t="n"/>
      <c r="BV345" s="53" t="n"/>
      <c r="BW345" s="53" t="n"/>
      <c r="BX345" s="53" t="n"/>
      <c r="BY345" s="53" t="n"/>
      <c r="BZ345" s="53" t="n"/>
      <c r="CA345" s="53" t="n"/>
      <c r="CB345" s="53" t="n"/>
      <c r="CC345" s="53" t="n"/>
      <c r="CD345" s="53" t="n"/>
      <c r="CE345" s="53" t="n"/>
      <c r="CF345" s="53" t="n"/>
      <c r="CG345" s="53" t="n"/>
      <c r="CH345" s="53" t="n"/>
      <c r="CI345" s="53" t="n"/>
      <c r="CJ345" s="53" t="n"/>
      <c r="CK345" s="53" t="n"/>
      <c r="CL345" s="53" t="n"/>
      <c r="CM345" s="53" t="n"/>
      <c r="CN345" s="53" t="n"/>
      <c r="CO345" s="53" t="n"/>
      <c r="CP345" s="53" t="n"/>
      <c r="CQ345" s="53" t="n"/>
      <c r="CR345" s="53" t="n"/>
      <c r="CS345" s="53" t="n"/>
      <c r="CT345" s="53" t="n"/>
      <c r="CU345" s="53" t="n"/>
      <c r="CV345" s="53" t="n"/>
      <c r="CW345" s="53" t="n"/>
      <c r="CX345" s="53" t="n"/>
      <c r="CY345" s="53" t="n"/>
      <c r="CZ345" s="53" t="n"/>
      <c r="DA345" s="53" t="n"/>
      <c r="DB345" s="53" t="n"/>
      <c r="DC345" s="53" t="n"/>
      <c r="DD345" s="53" t="inlineStr">
        <is>
          <t>IRIS1975</t>
        </is>
      </c>
      <c r="DE345" s="53" t="inlineStr">
        <is>
          <t>Employee</t>
        </is>
      </c>
      <c r="DF345" s="53" t="inlineStr">
        <is>
          <t>Active</t>
        </is>
      </c>
      <c r="DG345" s="53" t="inlineStr">
        <is>
          <t>Rahul Devarkonda</t>
        </is>
      </c>
      <c r="DH345" s="54" t="n">
        <v>44558</v>
      </c>
      <c r="DI345" s="53" t="inlineStr">
        <is>
          <t>QA Engineer</t>
        </is>
      </c>
      <c r="DJ345" s="53" t="inlineStr">
        <is>
          <t>Quality Assurance</t>
        </is>
      </c>
      <c r="DK345" s="53" t="inlineStr">
        <is>
          <t>Quality Engineering</t>
        </is>
      </c>
      <c r="DL345" s="53" t="inlineStr">
        <is>
          <t>QA Engineer</t>
        </is>
      </c>
      <c r="DM345" s="53" t="inlineStr">
        <is>
          <t>L3 – Professional / Associate</t>
        </is>
      </c>
      <c r="DN345" s="53" t="inlineStr">
        <is>
          <t>B.SC</t>
        </is>
      </c>
      <c r="DO345" s="53" t="inlineStr">
        <is>
          <t>Davinder Pal Singh</t>
        </is>
      </c>
      <c r="DP345" s="53" t="inlineStr">
        <is>
          <t>N-3</t>
        </is>
      </c>
      <c r="DQ345" s="53" t="inlineStr">
        <is>
          <t>Individual Contributor</t>
        </is>
      </c>
      <c r="DR345" s="53" t="inlineStr">
        <is>
          <t>2 years, 3 months, 0 days</t>
        </is>
      </c>
      <c r="DS345" s="53" t="inlineStr">
        <is>
          <t>4 years, 5 months, 23 days</t>
        </is>
      </c>
      <c r="DT345" s="53" t="inlineStr">
        <is>
          <t>6 years, 8 months, 23 days</t>
        </is>
      </c>
      <c r="DU345" s="53" t="n"/>
      <c r="DV345" s="53" t="inlineStr">
        <is>
          <t>Suptech</t>
        </is>
      </c>
      <c r="DW345" s="53" t="inlineStr">
        <is>
          <t>iFile</t>
        </is>
      </c>
      <c r="DX345" s="53" t="inlineStr">
        <is>
          <t>Quality Assurance</t>
        </is>
      </c>
      <c r="DY345" s="53" t="inlineStr">
        <is>
          <t>Quality Assurance</t>
        </is>
      </c>
      <c r="DZ345" s="53" t="inlineStr">
        <is>
          <t>No</t>
        </is>
      </c>
      <c r="EA345" s="53" t="inlineStr">
        <is>
          <t>Product/Project</t>
        </is>
      </c>
      <c r="EB345" s="53" t="inlineStr">
        <is>
          <t>Software Testing</t>
        </is>
      </c>
      <c r="EC345" s="53" t="inlineStr">
        <is>
          <t>Technical · BA, PM and QA</t>
        </is>
      </c>
      <c r="ED345" s="53" t="inlineStr">
        <is>
          <t>Client Side</t>
        </is>
      </c>
      <c r="EE345" s="53" t="inlineStr">
        <is>
          <t>1. Test Planning &amp; Scenario Design
Create comprehensive test scenarios, test cases, and test data for all enhancements and new functionalities across environments · UAT, SIT, Production, ensuring full coverage of BRD/FRS requirements and edge cases before release.
2. Functional &amp; End-to-End Testing
Execute functional, integration, and regression testing for the SDMX Manager data collection and dissemination modules, validating that entity and RBI workflows behave as specified and meet acceptance criteria.
3. API Testing
Perform API testing for data collection and dissemination flows · RBI and entities, validating request/response payloads, status codes, data integrity, error handling, and schema conformance.
4. Security &amp; VAPT Testing
Conduct security testing of the portal covering MFA, authentication/authorization, session management, and other VAPT-identified risk areas, and track remediation of vulnerabilities to closure.
5. Defect Management &amp; Root Cause Analysis
Identify, log, and prioritize defects; collaborate with the development team on backend defect analysis and RCA; verify fixes and prevent recurrence through structured re-testing.
6. UAT Support &amp; Stakeholder Demos
Support UAT execution and conduct full functional demos of deployed features to stakeholders, ensuring sign-off readiness and clear communication of test outcomes and coverage.
7. Production Deployment &amp; Go-Live Support
Support successful deployment of SDMX Manager data collection to live entities, including release validation, smoke/sanity testing, and post-deployment verification in production.
8. Production Support &amp; Live Returns Monitoring
Provide ongoing production support for live returns, specifically EBR data collection on the CIMS portal, addressing production issues, triaging incidents, and ensuring data collection continuity for entities.
9. Stakeholder Communication &amp; Query Resolution
Resolve functionality- and BRD-related queries raised by entities and internal teams through Webex sessions and team calls, acting as a QA point of contact for clarifications and issue resolution.
10. Continuous Quality Improvement
Contribute to quality process improvements by strengthening test coverage, refining test scenarios for recurring issues, and sharing feedback with dev/BA teams to improve requirement clarity and reduce defect leakage.</t>
        </is>
      </c>
      <c r="EF345" s="53" t="inlineStr">
        <is>
          <t>1. Rahul has been one of the top performers in the QA team, consistently demonstrating exceptional ownership, accountability, and commitment while supporting the BKC client for over 4.5 years.
2. He serves as the single point of contact · SPOC for the EBR project, effectively managing client communications, addressing production queries, and ensuring smooth coordination across stakeholders.
3. In the absence of a dedicated BKC development team, Rahul has taken ownership of deployment activities, production support, and issue coordination, ensuring uninterrupted service for live return modules and maintaining a high level of client satisfaction.
4. He has continuously expanded his technical expertise by learning API testing and other relevant technologies, enabling him to handle increasingly complex project requirements.
5. Beyond his project responsibilities, Rahul actively supports and mentors other BKC team members by sharing his knowledge and providing guidance whenever needed, contributing significantly to the overall success and capability of the team.</t>
        </is>
      </c>
      <c r="EG345" s="53" t="inlineStr">
        <is>
          <t>next few monthtry to complete EBR form and come out from BKC</t>
        </is>
      </c>
      <c r="EH345" s="53" t="n">
        <v>5</v>
      </c>
      <c r="EI345" s="53" t="inlineStr">
        <is>
          <t>15-06-2026</t>
        </is>
      </c>
      <c r="EJ345" s="53" t="inlineStr">
        <is>
          <t>QA Engineer</t>
        </is>
      </c>
      <c r="EK345" s="53" t="inlineStr">
        <is>
          <t>no</t>
        </is>
      </c>
      <c r="EL345" s="53" t="n">
        <v>5</v>
      </c>
      <c r="EM345" s="53" t="inlineStr">
        <is>
          <t>High</t>
        </is>
      </c>
      <c r="EN345" s="53" t="inlineStr">
        <is>
          <t>High Impact / Growth Talent</t>
        </is>
      </c>
      <c r="EO345" s="53" t="inlineStr">
        <is>
          <t>No</t>
        </is>
      </c>
      <c r="EP345" s="53" t="inlineStr">
        <is>
          <t>No</t>
        </is>
      </c>
      <c r="EQ345" s="53" t="inlineStr">
        <is>
          <t>No</t>
        </is>
      </c>
      <c r="ER345" s="53" t="inlineStr">
        <is>
          <t>yet to identify</t>
        </is>
      </c>
      <c r="ES345" s="53" t="inlineStr">
        <is>
          <t>Automation and load testingtraining is required as Client location manual test is there but he had skill to learn other Up skill thing</t>
        </is>
      </c>
      <c r="ET345" s="53" t="n"/>
      <c r="EU345" s="53" t="n"/>
      <c r="EV345" s="53" t="n"/>
      <c r="EW345" s="52" t="n"/>
      <c r="EX345" s="53" t="n"/>
      <c r="EY345" s="53" t="n"/>
      <c r="EZ345" s="53" t="n"/>
      <c r="FA345" s="53" t="n"/>
      <c r="FB345" s="53" t="n"/>
      <c r="FC345" s="53" t="n"/>
      <c r="FD345" s="53" t="n"/>
      <c r="FE345" s="57" t="inlineStr">
        <is>
          <t>1. Rahul has been one of the top performers in the QA team, consistently demonstrating exceptional ownership, accountability, and commitment while supporting the BKC client for over 4.5 years.
2. He serves as the single point of contact · SPOC for the EBR project, effectively managing client communications, addressing production queries, and ensuring smooth coordination across stakeholders.
3. In the absence of a dedicated BKC development team, Rahul has taken ownership of deployment activities, production support, and issue coordination, ensuring uninterrupted service for live return modules and maintaining a high level of client satisfaction.
4. He has continuously expanded his technical expertise by learning API testing and other relevant technologies, enabling him to handle increasingly complex project requirements.
5. Beyond his project responsibilities, Rahul actively supports and mentors other BKC team members by sharing his knowledge and providing guidance whenever needed, contributing significantly to the overall success and capability of the team.</t>
        </is>
      </c>
      <c r="FF345" s="56" t="inlineStr">
        <is>
          <t>next few monthtry to complete EBR form and come out from BKC</t>
        </is>
      </c>
      <c r="FG345" s="56" t="inlineStr">
        <is>
          <t>1. Test Planning &amp; Scenario Design
Create comprehensive test scenarios, test cases, and test data for all enhancements and new functionalities across environments · UAT, SIT, Production, ensuring full coverage of BRD/FRS requirements and edge cases before release.
2. Functional &amp; End-to-End Testing
Execute functional, integration, and regression testing for the SDMX Manager data collection and dissemination modules, validating that entity and RBI workflows behave as specified and meet acceptance criteria.
3. API Testing
Perform API testing for data collection and dissemination flows · RBI and entities, validating request/response payloads, status codes, data integrity, error handling, and schema conformance.
4. Security &amp; VAPT Testing
Conduct security testing of the portal covering MFA, authentication/authorization, session management, and other VAPT-identified risk areas, and track remediation of vulnerabilities to closure.
5. Defect Management &amp; Root Cause Analysis
Identify, log, and prioritize defects; collaborate with the development team on backend defect analysis and RCA; verify fixes and prevent recurrence through structured re-testing.
6. UAT Support &amp; Stakeholder Demos
Support UAT execution and conduct full functional demos of deployed features to stakeholders, ensuring sign-off readiness and clear communication of test outcomes and coverage.
7. Production Deployment &amp; Go-Live Support
Support successful deployment of SDMX Manager data collection to live entities, including release validation, smoke/sanity testing, and post-deployment verification in production.
8. Production Support &amp; Live Returns Monitoring
Provide ongoing production support for live returns, specifically EBR data collection on the CIMS portal, addressing production issues, triaging incidents, and ensuring data collection continuity for entities.
9. Stakeholder Communication &amp; Query Resolution
Resolve functionality- and BRD-related queries raised by entities and internal teams through Webex sessions and team calls, acting as a QA point of contact for clarifications and issue resolution.
10. Continuous Quality Improvement
Contribute to quality process improvements by strengthening test coverage, refining test scenarios for recurring issues, and sharing feedback with dev/BA teams to improve requirement clarity and reduce defect leakage.</t>
        </is>
      </c>
      <c r="FH345" s="56" t="inlineStr">
        <is>
          <t>5</t>
        </is>
      </c>
      <c r="FI345" s="56" t="n"/>
      <c r="FJ345" s="56" t="inlineStr">
        <is>
          <t>Received · manager annual, quarterly, self</t>
        </is>
      </c>
      <c r="FK345" s="56" t="inlineStr">
        <is>
          <t>Talent Mapping · iFile collated</t>
        </is>
      </c>
      <c r="FL345" s="56" t="n">
        <v>20</v>
      </c>
      <c r="FM345" s="32" t="inlineStr">
        <is>
          <t>Full survey answers not in the files received · How We Grow export needed · HR</t>
        </is>
      </c>
      <c r="FN345" s="56" t="inlineStr">
        <is>
          <t>—</t>
        </is>
      </c>
      <c r="FO345" s="56" t="inlineStr">
        <is>
          <t>—</t>
        </is>
      </c>
      <c r="FP345" s="56" t="inlineStr">
        <is>
          <t>—</t>
        </is>
      </c>
      <c r="FQ345" s="56" t="inlineStr">
        <is>
          <t>—</t>
        </is>
      </c>
      <c r="FR345" s="56" t="inlineStr">
        <is>
          <t>Complexity: Evidence reads like A3: Test planning, UAT, API and security/VAPT testing on SDMX Manager; knows the project's MySQL tables → moved up 0.5
Autonomy: Evidence reads like A2: Names only reading the BRD/FSD; estimates own effort; no wider calls → matches the start
Accountability: Evidence reads like A3: Valid test cases not missed before release; gives stakeholder demos; clients escalate misses → moved up 0.5
Leadership: Evidence reads like A1: No guiding or leading of others described → matches the start
Business Impact: No survey or manager-mapping signal on criticality: kept at the start point.</t>
        </is>
      </c>
      <c r="FS345" s="56"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FT345" s="56" t="inlineStr">
        <is>
          <t>Self-identified: AI / automation · Project / programme management
For the next role: AI / automation · Project / programme management</t>
        </is>
      </c>
      <c r="FU345" s="32" t="inlineStr">
        <is>
          <t>Full survey answers not in the files received · How We Grow export needed · HR</t>
        </is>
      </c>
    </row>
    <row r="346" ht="90" customHeight="1">
      <c r="A346" s="51" t="inlineStr">
        <is>
          <t>◂ Back</t>
        </is>
      </c>
      <c r="B346" s="29" t="inlineStr">
        <is>
          <t>Mapped</t>
        </is>
      </c>
      <c r="C346" s="28" t="inlineStr">
        <is>
          <t>iFile</t>
        </is>
      </c>
      <c r="D346" s="29" t="inlineStr">
        <is>
          <t>IRIS0651</t>
        </is>
      </c>
      <c r="E346" s="29" t="inlineStr">
        <is>
          <t>Sakina Rampurawala</t>
        </is>
      </c>
      <c r="F346" s="29" t="inlineStr">
        <is>
          <t>Quality Assurance</t>
        </is>
      </c>
      <c r="G346" s="29" t="inlineStr">
        <is>
          <t>Senior QA - Engineer</t>
        </is>
      </c>
      <c r="H346" s="29" t="inlineStr">
        <is>
          <t>QA Specialist</t>
        </is>
      </c>
      <c r="I346" s="29" t="inlineStr">
        <is>
          <t>L4 – Senior</t>
        </is>
      </c>
      <c r="J346" s="29" t="inlineStr">
        <is>
          <t>A3</t>
        </is>
      </c>
      <c r="K346" s="29" t="inlineStr">
        <is>
          <t>▲ Up</t>
        </is>
      </c>
      <c r="L346" s="29" t="inlineStr">
        <is>
          <t>Quality Assurance</t>
        </is>
      </c>
      <c r="M346" s="29" t="inlineStr">
        <is>
          <t>Functional &amp; Domain Testing</t>
        </is>
      </c>
      <c r="N346" s="29" t="n"/>
      <c r="O346" s="29" t="n">
        <v>20</v>
      </c>
      <c r="P346" s="28" t="inlineStr">
        <is>
          <t>P2</t>
        </is>
      </c>
      <c r="Q346" s="29" t="inlineStr">
        <is>
          <t>Developing</t>
        </is>
      </c>
      <c r="R346" s="29" t="inlineStr">
        <is>
          <t>3 Apply</t>
        </is>
      </c>
      <c r="S346" s="29" t="inlineStr">
        <is>
          <t>2–4 yrs</t>
        </is>
      </c>
      <c r="T346" s="29" t="inlineStr">
        <is>
          <t>3–5 · 2–5</t>
        </is>
      </c>
      <c r="U346" s="29" t="inlineStr">
        <is>
          <t>Senior QA Engineer</t>
        </is>
      </c>
      <c r="V346" s="29" t="inlineStr">
        <is>
          <t>Workiva: SE · Broadridge India: SE · Nasdaq / AxiomSL: SE · IRIS Vs Market Benchmark — ISTQB certification pathway: Foundation</t>
        </is>
      </c>
      <c r="W346" s="29" t="inlineStr">
        <is>
          <t>ISTQB Foundation → Advanced → Expert; SFIA testing</t>
        </is>
      </c>
      <c r="X346" s="29" t="inlineStr">
        <is>
          <t>Core 2 · Future 2 · Functional 3 · Leadership not scored</t>
        </is>
      </c>
      <c r="Y346" s="52" t="n">
        <v>86</v>
      </c>
      <c r="Z346" s="53" t="inlineStr">
        <is>
          <t>IRIS0651</t>
        </is>
      </c>
      <c r="AA346" s="53" t="inlineStr">
        <is>
          <t>Employee</t>
        </is>
      </c>
      <c r="AB346" s="53" t="inlineStr">
        <is>
          <t>Active</t>
        </is>
      </c>
      <c r="AC346" s="53" t="inlineStr">
        <is>
          <t>Sakina Rampurawala</t>
        </is>
      </c>
      <c r="AD346" s="54" t="n">
        <v>40686</v>
      </c>
      <c r="AE346" s="53" t="inlineStr">
        <is>
          <t>Senior QA - Engineer</t>
        </is>
      </c>
      <c r="AF346" s="53" t="inlineStr">
        <is>
          <t>M.Com</t>
        </is>
      </c>
      <c r="AG346" s="53" t="inlineStr">
        <is>
          <t>Davinder Pal Singh</t>
        </is>
      </c>
      <c r="AH346" s="53" t="inlineStr">
        <is>
          <t>N-4</t>
        </is>
      </c>
      <c r="AI346" s="53" t="inlineStr">
        <is>
          <t>Individual Contributor</t>
        </is>
      </c>
      <c r="AJ346" s="53" t="inlineStr">
        <is>
          <t>0 years, 0 months, 0 days</t>
        </is>
      </c>
      <c r="AK346" s="53" t="inlineStr">
        <is>
          <t>15 years, 3 months, 2 days</t>
        </is>
      </c>
      <c r="AL346" s="53" t="inlineStr">
        <is>
          <t>Suptech</t>
        </is>
      </c>
      <c r="AM346" s="53" t="inlineStr">
        <is>
          <t>iFile</t>
        </is>
      </c>
      <c r="AN346" s="53" t="inlineStr">
        <is>
          <t>Quality Assurance</t>
        </is>
      </c>
      <c r="AO346" s="53" t="inlineStr">
        <is>
          <t>Quality Assurance</t>
        </is>
      </c>
      <c r="AP346" s="53" t="inlineStr">
        <is>
          <t>No</t>
        </is>
      </c>
      <c r="AQ346" s="53" t="inlineStr">
        <is>
          <t>Product/Project</t>
        </is>
      </c>
      <c r="AR346" s="53" t="inlineStr">
        <is>
          <t>Software Testing</t>
        </is>
      </c>
      <c r="AS346" s="53" t="inlineStr">
        <is>
          <t>Technical · BA, PM and QA</t>
        </is>
      </c>
      <c r="AT346" s="53" t="n">
        <v>20</v>
      </c>
      <c r="AU346" s="53" t="inlineStr">
        <is>
          <t>Covered</t>
        </is>
      </c>
      <c r="AV346" s="53" t="n"/>
      <c r="AW346" s="53" t="n"/>
      <c r="AX346" s="53" t="n"/>
      <c r="AY346" s="53" t="n"/>
      <c r="AZ346" s="53" t="n"/>
      <c r="BA346" s="53" t="n"/>
      <c r="BB346" s="53" t="n"/>
      <c r="BC346" s="53" t="n"/>
      <c r="BD346" s="53" t="n"/>
      <c r="BE346" s="53" t="n"/>
      <c r="BF346" s="53" t="n"/>
      <c r="BG346" s="53" t="n"/>
      <c r="BH346" s="53" t="n"/>
      <c r="BI346" s="53" t="n"/>
      <c r="BJ346" s="53" t="n"/>
      <c r="BK346" s="53" t="n"/>
      <c r="BL346" s="53" t="n"/>
      <c r="BM346" s="53" t="n"/>
      <c r="BN346" s="53" t="n"/>
      <c r="BO346" s="53" t="n"/>
      <c r="BP346" s="53" t="n"/>
      <c r="BQ346" s="53" t="n"/>
      <c r="BR346" s="53" t="n"/>
      <c r="BS346" s="53" t="n"/>
      <c r="BT346" s="53" t="n"/>
      <c r="BU346" s="53" t="n"/>
      <c r="BV346" s="53" t="n"/>
      <c r="BW346" s="53" t="n"/>
      <c r="BX346" s="53" t="n"/>
      <c r="BY346" s="53" t="n"/>
      <c r="BZ346" s="53" t="n"/>
      <c r="CA346" s="53" t="n"/>
      <c r="CB346" s="53" t="n"/>
      <c r="CC346" s="53" t="n"/>
      <c r="CD346" s="53" t="n"/>
      <c r="CE346" s="53" t="n"/>
      <c r="CF346" s="53" t="n"/>
      <c r="CG346" s="53" t="n"/>
      <c r="CH346" s="53" t="n"/>
      <c r="CI346" s="53" t="n"/>
      <c r="CJ346" s="53" t="n"/>
      <c r="CK346" s="53" t="n"/>
      <c r="CL346" s="53" t="n"/>
      <c r="CM346" s="53" t="n"/>
      <c r="CN346" s="53" t="n"/>
      <c r="CO346" s="53" t="n"/>
      <c r="CP346" s="53" t="n"/>
      <c r="CQ346" s="53" t="n"/>
      <c r="CR346" s="53" t="n"/>
      <c r="CS346" s="53" t="n"/>
      <c r="CT346" s="53" t="n"/>
      <c r="CU346" s="53" t="n"/>
      <c r="CV346" s="53" t="n"/>
      <c r="CW346" s="53" t="n"/>
      <c r="CX346" s="53" t="n"/>
      <c r="CY346" s="53" t="n"/>
      <c r="CZ346" s="53" t="n"/>
      <c r="DA346" s="53" t="n"/>
      <c r="DB346" s="53" t="n"/>
      <c r="DC346" s="53" t="n"/>
      <c r="DD346" s="53" t="inlineStr">
        <is>
          <t>IRIS0651</t>
        </is>
      </c>
      <c r="DE346" s="53" t="inlineStr">
        <is>
          <t>Employee</t>
        </is>
      </c>
      <c r="DF346" s="53" t="inlineStr">
        <is>
          <t>Active</t>
        </is>
      </c>
      <c r="DG346" s="53" t="inlineStr">
        <is>
          <t>Sakina Sanchawala</t>
        </is>
      </c>
      <c r="DH346" s="54" t="n">
        <v>40686</v>
      </c>
      <c r="DI346" s="53" t="inlineStr">
        <is>
          <t>Senior QA - Engineer</t>
        </is>
      </c>
      <c r="DJ346" s="53" t="inlineStr">
        <is>
          <t>Quality Assurance</t>
        </is>
      </c>
      <c r="DK346" s="53" t="inlineStr">
        <is>
          <t>Quality Engineering</t>
        </is>
      </c>
      <c r="DL346" s="53" t="inlineStr">
        <is>
          <t>Senior QA - Engineer</t>
        </is>
      </c>
      <c r="DM346" s="53" t="inlineStr">
        <is>
          <t>L4 – Senior</t>
        </is>
      </c>
      <c r="DN346" s="53" t="inlineStr">
        <is>
          <t>M.Com</t>
        </is>
      </c>
      <c r="DO346" s="53" t="inlineStr">
        <is>
          <t>Davinder Pal Singh</t>
        </is>
      </c>
      <c r="DP346" s="53" t="inlineStr">
        <is>
          <t>N-3</t>
        </is>
      </c>
      <c r="DQ346" s="53" t="inlineStr">
        <is>
          <t>Individual Contributor</t>
        </is>
      </c>
      <c r="DR346" s="53" t="inlineStr">
        <is>
          <t>0 years, 0 months, 0 days</t>
        </is>
      </c>
      <c r="DS346" s="53" t="inlineStr">
        <is>
          <t>15 years, 0 months, 28 days</t>
        </is>
      </c>
      <c r="DT346" s="53" t="inlineStr">
        <is>
          <t>15 years, 0 months, 28 days</t>
        </is>
      </c>
      <c r="DU346" s="53" t="n"/>
      <c r="DV346" s="53" t="inlineStr">
        <is>
          <t>Suptech</t>
        </is>
      </c>
      <c r="DW346" s="53" t="inlineStr">
        <is>
          <t>iFile</t>
        </is>
      </c>
      <c r="DX346" s="53" t="inlineStr">
        <is>
          <t>Quality Assurance</t>
        </is>
      </c>
      <c r="DY346" s="53" t="inlineStr">
        <is>
          <t>Quality Assurance</t>
        </is>
      </c>
      <c r="DZ346" s="53" t="inlineStr">
        <is>
          <t>No</t>
        </is>
      </c>
      <c r="EA346" s="53" t="inlineStr">
        <is>
          <t>Product/Project</t>
        </is>
      </c>
      <c r="EB346" s="53" t="inlineStr">
        <is>
          <t>Software Testing</t>
        </is>
      </c>
      <c r="EC346" s="53" t="inlineStr">
        <is>
          <t>Technical · BA, PM and QA</t>
        </is>
      </c>
      <c r="ED346" s="53" t="inlineStr">
        <is>
          <t>Remote - Mumbai</t>
        </is>
      </c>
      <c r="EE346" s="53" t="inlineStr">
        <is>
          <t>1. Improve product knowledge through documentation. Created and maintained a comprehensive Webform User Manual covering features and functionalities implemented across multiple Webform projects, enabling easier onboarding and knowledge sharing.
2. Ensure quality delivery of Webform projects across environments.	Successfully tested SBC Webform projects in QA and UAT environments, supporting on-time project delivery.
3. Enhance customer satisfaction through client support and issue resolution.	Collaborated directly with SBC clients to reproduce, analyze, and resolve production and UAT issues · e.g., date formats, validation triggers, redirections, reducing issue turnaround time and improving client confidence.
4. Increase QA efficiency using AI-assisted testing techniques.	Leveraged AI tools · Claude and ChatGPT to prepare test cases, generate test data, and identify testing scenarios, improving test preparation efficiency and coverage.
5. Strengthen cross-functional collaboration.Coordinated with Development, Taxonomy, and Business teams to resolve missing inputs, clarify requirements, and ensure smooth execution of testing activities with minimal blockers.  
6. Knowledge sharing and product demonstrations.Conducted Webform product demonstrations for Tadawul clients, explaining application workflows and features, contributing to successful client understanding and engagement.</t>
        </is>
      </c>
      <c r="EF346" s="53" t="inlineStr">
        <is>
          <t>1. Improve Product Knowledge &amp; Documentation
Create and maintain Webform documentation covering 100% of new features and enhancements.
Update the Webform User Manual within 5 working days of each major release or feature implementation.
2. Ensure Quality Delivery of Webform Projects
Complete 95% of assigned QA and UAT testing activities within project timelines.
3. Enhance Customer Satisfaction Through Issue Resolution
Resolve or support resolution of 95% of assigned UAT and production issues within agreed SLA timelines.
Accurately reproduce and analyze client-reported issues to improve turnaround time.
4. Increase QA Efficiency Using AI-Assisted Testing
Utilize AI tools · ChatGPT, Claude, etc. to prepare 80% of test cases and test data for assigned projects.
Reduce test preparation effort by at least 25% while maintaining testing quality.
Continuously identify opportunities to improve QA processes through AI-assisted testing.
5. Continuously identify opportunities to improve QA processes through AI-assisted testing.
Strengthen Cross-Functional Collaboration &amp; Knowledge Sharing
Collaborate effectively with Development, Business, and Taxonomy teams to resolve project dependencies with minimal delays.
Conduct at least 4 knowledge-sharing sessions or product demonstrations annually.
Ensure timely communication and support to facilitate smooth project execution across teams.</t>
        </is>
      </c>
      <c r="EG346" s="53" t="inlineStr">
        <is>
          <t>Deliver a bug-free application to the client and obtain sign-off for both the SBC and Tadawul projects.</t>
        </is>
      </c>
      <c r="EH346" s="53" t="n">
        <v>4</v>
      </c>
      <c r="EI346" s="54" t="n">
        <v>46362</v>
      </c>
      <c r="EJ346" s="53" t="inlineStr">
        <is>
          <t>Senior QA - Engineer</t>
        </is>
      </c>
      <c r="EK346" s="53" t="inlineStr">
        <is>
          <t>No</t>
        </is>
      </c>
      <c r="EL346" s="53" t="n">
        <v>4</v>
      </c>
      <c r="EM346" s="53" t="inlineStr">
        <is>
          <t>Medium</t>
        </is>
      </c>
      <c r="EN346" s="53" t="inlineStr">
        <is>
          <t>Trusted Professional</t>
        </is>
      </c>
      <c r="EO346" s="53" t="inlineStr">
        <is>
          <t>No</t>
        </is>
      </c>
      <c r="EP346" s="53" t="inlineStr">
        <is>
          <t>No</t>
        </is>
      </c>
      <c r="EQ346" s="53" t="n"/>
      <c r="ER346" s="53" t="inlineStr">
        <is>
          <t>yet to identify</t>
        </is>
      </c>
      <c r="ES346" s="53" t="n"/>
      <c r="ET346" s="53" t="inlineStr">
        <is>
          <t>BA trainee required, she lready create Webform gudie book</t>
        </is>
      </c>
      <c r="EU346" s="53" t="n"/>
      <c r="EV346" s="53" t="n"/>
      <c r="EW346" s="52" t="n"/>
      <c r="EX346" s="53" t="n"/>
      <c r="EY346" s="53" t="n"/>
      <c r="EZ346" s="53" t="n"/>
      <c r="FA346" s="53" t="n"/>
      <c r="FB346" s="53" t="n"/>
      <c r="FC346" s="53" t="inlineStr">
        <is>
          <t>Annual KRAs · objective Measurable Minimum 5 - Self</t>
        </is>
      </c>
      <c r="FD346" s="53" t="n"/>
      <c r="FE346" s="57" t="inlineStr">
        <is>
          <t>1. Improve Product Knowledge &amp; Documentation
Create and maintain Webform documentation covering 100% of new features and enhancements.
Update the Webform User Manual within 5 working days of each major release or feature implementation.
2. Ensure Quality Delivery of Webform Projects
Complete 95% of assigned QA and UAT testing activities within project timelines.
3. Enhance Customer Satisfaction Through Issue Resolution
Resolve or support resolution of 95% of assigned UAT and production issues within agreed SLA timelines.
Accurately reproduce and analyze client-reported issues to improve turnaround time.
4. Increase QA Efficiency Using AI-Assisted Testing
Utilize AI tools · ChatGPT, Claude, etc. to prepare 80% of test cases and test data for assigned projects.
Reduce test preparation effort by at least 25% while maintaining testing quality.
Continuously identify opportunities to improve QA processes through AI-assisted testing.
5. Continuously identify opportunities to improve QA processes through AI-assisted testing.
Strengthen Cross-Functional Collaboration &amp; Knowledge Sharing
Collaborate effectively with Development, Business, and Taxonomy teams to resolve project dependencies with minimal delays.
Conduct at least 4 knowledge-sharing sessions or product demonstrations annually.
Ensure timely communication and support to facilitate smooth project execution across teams.</t>
        </is>
      </c>
      <c r="FF346" s="56" t="inlineStr">
        <is>
          <t>Deliver a bug-free application to the client and obtain sign-off for both the SBC and Tadawul projects.</t>
        </is>
      </c>
      <c r="FG346" s="56" t="inlineStr">
        <is>
          <t>1. Improve product knowledge through documentation. Created and maintained a comprehensive Webform User Manual covering features and functionalities implemented across multiple Webform projects, enabling easier onboarding and knowledge sharing.
2. Ensure quality delivery of Webform projects across environments.	Successfully tested SBC Webform projects in QA and UAT environments, supporting on-time project delivery.
3. Enhance customer satisfaction through client support and issue resolution.	Collaborated directly with SBC clients to reproduce, analyze, and resolve production and UAT issues · e.g., date formats, validation triggers, redirections, reducing issue turnaround time and improving client confidence.
4. Increase QA efficiency using AI-assisted testing techniques.	Leveraged AI tools · Claude and ChatGPT to prepare test cases, generate test data, and identify testing scenarios, improving test preparation efficiency and coverage.
5. Strengthen cross-functional collaboration.Coordinated with Development, Taxonomy, and Business teams to resolve missing inputs, clarify requirements, and ensure smooth execution of testing activities with minimal blockers.  
6. Knowledge sharing and product demonstrations.Conducted Webform product demonstrations for Tadawul clients, explaining application workflows and features, contributing to successful client understanding and engagement.</t>
        </is>
      </c>
      <c r="FH346" s="56" t="inlineStr">
        <is>
          <t>4</t>
        </is>
      </c>
      <c r="FI346" s="56" t="n"/>
      <c r="FJ346" s="56" t="inlineStr">
        <is>
          <t>Received · manager annual, quarterly, self</t>
        </is>
      </c>
      <c r="FK346" s="56" t="inlineStr">
        <is>
          <t>Talent Mapping · iFile collated</t>
        </is>
      </c>
      <c r="FL346" s="56" t="n">
        <v>20</v>
      </c>
      <c r="FM346" s="32" t="inlineStr">
        <is>
          <t>Full survey answers not in the files received · How We Grow export needed · HR</t>
        </is>
      </c>
      <c r="FN346" s="56" t="inlineStr">
        <is>
          <t>—</t>
        </is>
      </c>
      <c r="FO346" s="56" t="inlineStr">
        <is>
          <t>—</t>
        </is>
      </c>
      <c r="FP346" s="56" t="inlineStr">
        <is>
          <t>—</t>
        </is>
      </c>
      <c r="FQ346" s="56" t="inlineStr">
        <is>
          <t>—</t>
        </is>
      </c>
      <c r="FR346" s="56" t="inlineStr">
        <is>
          <t>Complexity: Evidence reads like A3: Webform and portal regression and UAT testing; analyses client production/UAT issues; wrote Webform user manual → matches the start
Autonomy: Evidence reads like A3: Prioritises test scenarios; works directly with SBC clients to resolve issues · KRA → matches the start
Accountability: Evidence reads like A3: own survey / KRA answers · summarised by the rater; not quoted → matches the start
Leadership: Evidence reads like A1: No guiding of others described; user manual only aids onboarding → moved down 0.5
Business Impact: No survey or manager-mapping signal on criticality: kept at the start point.</t>
        </is>
      </c>
      <c r="FS346" s="56"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FT346" s="56" t="inlineStr">
        <is>
          <t>Self-identified: Broader exposure &amp; ownership
For the next role: Broader exposure &amp; ownership</t>
        </is>
      </c>
      <c r="FU346" s="32" t="inlineStr">
        <is>
          <t>Full survey answers not in the files received · How We Grow export needed · HR</t>
        </is>
      </c>
    </row>
    <row r="347" ht="90" customHeight="1">
      <c r="A347" s="51" t="inlineStr">
        <is>
          <t>◂ Back</t>
        </is>
      </c>
      <c r="B347" s="29" t="inlineStr">
        <is>
          <t>Mapped</t>
        </is>
      </c>
      <c r="C347" s="28" t="inlineStr">
        <is>
          <t>iFile</t>
        </is>
      </c>
      <c r="D347" s="29" t="inlineStr">
        <is>
          <t>IRIS1762</t>
        </is>
      </c>
      <c r="E347" s="29" t="inlineStr">
        <is>
          <t>Sanchi Pawaskar</t>
        </is>
      </c>
      <c r="F347" s="29" t="inlineStr">
        <is>
          <t>Quality Assurance</t>
        </is>
      </c>
      <c r="G347" s="29" t="inlineStr">
        <is>
          <t>QA Engineer</t>
        </is>
      </c>
      <c r="H347" s="29" t="inlineStr">
        <is>
          <t>Senior QA Engineer</t>
        </is>
      </c>
      <c r="I347" s="29" t="inlineStr">
        <is>
          <t>L3 – Professional / Associate</t>
        </is>
      </c>
      <c r="J347" s="29" t="inlineStr">
        <is>
          <t>A3</t>
        </is>
      </c>
      <c r="K347" s="29" t="inlineStr">
        <is>
          <t>▲ Up</t>
        </is>
      </c>
      <c r="L347" s="29" t="inlineStr">
        <is>
          <t>Quality Assurance</t>
        </is>
      </c>
      <c r="M347" s="29" t="inlineStr">
        <is>
          <t>Functional &amp; Domain Testing</t>
        </is>
      </c>
      <c r="N347" s="29" t="n"/>
      <c r="O347" s="29" t="n">
        <v>20</v>
      </c>
      <c r="P347" s="28" t="inlineStr">
        <is>
          <t>P2</t>
        </is>
      </c>
      <c r="Q347" s="29" t="inlineStr">
        <is>
          <t>Developing</t>
        </is>
      </c>
      <c r="R347" s="29" t="inlineStr">
        <is>
          <t>3 Apply</t>
        </is>
      </c>
      <c r="S347" s="29" t="inlineStr">
        <is>
          <t>2–4 yrs</t>
        </is>
      </c>
      <c r="T347" s="29" t="inlineStr">
        <is>
          <t>3–5 · 2–5</t>
        </is>
      </c>
      <c r="U347" s="29" t="inlineStr">
        <is>
          <t>QA Engineer</t>
        </is>
      </c>
      <c r="V347" s="29" t="inlineStr">
        <is>
          <t>Workiva: SE · Broadridge India: SE · Nasdaq / AxiomSL: SE · IRIS Vs Market Benchmark — ISTQB certification pathway: Foundation</t>
        </is>
      </c>
      <c r="W347" s="29" t="inlineStr">
        <is>
          <t>ISTQB Foundation → Advanced → Expert; SFIA testing</t>
        </is>
      </c>
      <c r="X347" s="29" t="inlineStr">
        <is>
          <t>Core 2 · Future 2 · Functional 3 · Leadership not scored</t>
        </is>
      </c>
      <c r="Y347" s="52" t="n">
        <v>153</v>
      </c>
      <c r="Z347" s="53" t="inlineStr">
        <is>
          <t>IRIS1762</t>
        </is>
      </c>
      <c r="AA347" s="53" t="inlineStr">
        <is>
          <t>Employee</t>
        </is>
      </c>
      <c r="AB347" s="53" t="inlineStr">
        <is>
          <t>Active</t>
        </is>
      </c>
      <c r="AC347" s="53" t="inlineStr">
        <is>
          <t>Manali Tendulkar</t>
        </is>
      </c>
      <c r="AD347" s="54" t="n">
        <v>43473</v>
      </c>
      <c r="AE347" s="53" t="inlineStr">
        <is>
          <t>QA Engineer</t>
        </is>
      </c>
      <c r="AF347" s="53" t="inlineStr">
        <is>
          <t>B.SC</t>
        </is>
      </c>
      <c r="AG347" s="53" t="inlineStr">
        <is>
          <t>Davinder Pal Singh</t>
        </is>
      </c>
      <c r="AH347" s="53" t="inlineStr">
        <is>
          <t>N-4</t>
        </is>
      </c>
      <c r="AI347" s="53" t="inlineStr">
        <is>
          <t>Individual Contributor</t>
        </is>
      </c>
      <c r="AJ347" s="53" t="inlineStr">
        <is>
          <t>0 years, 6 months, 0 days</t>
        </is>
      </c>
      <c r="AK347" s="53" t="inlineStr">
        <is>
          <t>7 years, 7 months, 17 days</t>
        </is>
      </c>
      <c r="AL347" s="53" t="inlineStr">
        <is>
          <t>Suptech</t>
        </is>
      </c>
      <c r="AM347" s="53" t="inlineStr">
        <is>
          <t>iFile</t>
        </is>
      </c>
      <c r="AN347" s="53" t="inlineStr">
        <is>
          <t>Quality Assurance</t>
        </is>
      </c>
      <c r="AO347" s="53" t="inlineStr">
        <is>
          <t>Quality Assurance</t>
        </is>
      </c>
      <c r="AP347" s="53" t="inlineStr">
        <is>
          <t>No</t>
        </is>
      </c>
      <c r="AQ347" s="53" t="inlineStr">
        <is>
          <t>Product/Project</t>
        </is>
      </c>
      <c r="AR347" s="53" t="inlineStr">
        <is>
          <t>Software Testing</t>
        </is>
      </c>
      <c r="AS347" s="53" t="inlineStr">
        <is>
          <t>Technical · BA, PM and QA</t>
        </is>
      </c>
      <c r="AT347" s="53" t="n">
        <v>20</v>
      </c>
      <c r="AU347" s="53" t="inlineStr">
        <is>
          <t>Covered</t>
        </is>
      </c>
      <c r="AV347" s="53" t="n"/>
      <c r="AW347" s="53" t="n"/>
      <c r="AX347" s="53" t="n"/>
      <c r="AY347" s="53" t="n"/>
      <c r="AZ347" s="53" t="n"/>
      <c r="BA347" s="53" t="n"/>
      <c r="BB347" s="53" t="n"/>
      <c r="BC347" s="53" t="n"/>
      <c r="BD347" s="53" t="n"/>
      <c r="BE347" s="53" t="n"/>
      <c r="BF347" s="53" t="n"/>
      <c r="BG347" s="53" t="n"/>
      <c r="BH347" s="53" t="n"/>
      <c r="BI347" s="53" t="n"/>
      <c r="BJ347" s="53" t="n"/>
      <c r="BK347" s="53" t="n"/>
      <c r="BL347" s="53" t="n"/>
      <c r="BM347" s="53" t="n"/>
      <c r="BN347" s="53" t="n"/>
      <c r="BO347" s="53" t="n"/>
      <c r="BP347" s="53" t="n"/>
      <c r="BQ347" s="53" t="n"/>
      <c r="BR347" s="53" t="n"/>
      <c r="BS347" s="53" t="n"/>
      <c r="BT347" s="53" t="n"/>
      <c r="BU347" s="53" t="n"/>
      <c r="BV347" s="53" t="n"/>
      <c r="BW347" s="53" t="n"/>
      <c r="BX347" s="53" t="n"/>
      <c r="BY347" s="53" t="n"/>
      <c r="BZ347" s="53" t="n"/>
      <c r="CA347" s="53" t="n"/>
      <c r="CB347" s="53" t="n"/>
      <c r="CC347" s="53" t="n"/>
      <c r="CD347" s="53" t="n"/>
      <c r="CE347" s="53" t="n"/>
      <c r="CF347" s="53" t="n"/>
      <c r="CG347" s="53" t="n"/>
      <c r="CH347" s="53" t="n"/>
      <c r="CI347" s="53" t="n"/>
      <c r="CJ347" s="53" t="n"/>
      <c r="CK347" s="53" t="n"/>
      <c r="CL347" s="53" t="n"/>
      <c r="CM347" s="53" t="n"/>
      <c r="CN347" s="53" t="n"/>
      <c r="CO347" s="53" t="n"/>
      <c r="CP347" s="53" t="n"/>
      <c r="CQ347" s="53" t="n"/>
      <c r="CR347" s="53" t="n"/>
      <c r="CS347" s="53" t="n"/>
      <c r="CT347" s="53" t="n"/>
      <c r="CU347" s="53" t="n"/>
      <c r="CV347" s="53" t="n"/>
      <c r="CW347" s="53" t="n"/>
      <c r="CX347" s="53" t="n"/>
      <c r="CY347" s="53" t="n"/>
      <c r="CZ347" s="53" t="n"/>
      <c r="DA347" s="53" t="n"/>
      <c r="DB347" s="53" t="n"/>
      <c r="DC347" s="53" t="n"/>
      <c r="DD347" s="53" t="inlineStr">
        <is>
          <t>IRIS1762</t>
        </is>
      </c>
      <c r="DE347" s="53" t="inlineStr">
        <is>
          <t>Employee</t>
        </is>
      </c>
      <c r="DF347" s="53" t="inlineStr">
        <is>
          <t>Active</t>
        </is>
      </c>
      <c r="DG347" s="53" t="inlineStr">
        <is>
          <t>Sanchi Pawaskar</t>
        </is>
      </c>
      <c r="DH347" s="54" t="n">
        <v>43473</v>
      </c>
      <c r="DI347" s="53" t="inlineStr">
        <is>
          <t>QA Engineer</t>
        </is>
      </c>
      <c r="DJ347" s="53" t="inlineStr">
        <is>
          <t>Quality Assurance</t>
        </is>
      </c>
      <c r="DK347" s="53" t="inlineStr">
        <is>
          <t>Quality Engineering</t>
        </is>
      </c>
      <c r="DL347" s="53" t="inlineStr">
        <is>
          <t>QA Engineer</t>
        </is>
      </c>
      <c r="DM347" s="53" t="inlineStr">
        <is>
          <t>L3 – Professional / Associate</t>
        </is>
      </c>
      <c r="DN347" s="53" t="inlineStr">
        <is>
          <t>B.SC</t>
        </is>
      </c>
      <c r="DO347" s="53" t="inlineStr">
        <is>
          <t>Davinder Pal Singh</t>
        </is>
      </c>
      <c r="DP347" s="53" t="inlineStr">
        <is>
          <t>N-3</t>
        </is>
      </c>
      <c r="DQ347" s="53" t="inlineStr">
        <is>
          <t>Individual Contributor</t>
        </is>
      </c>
      <c r="DR347" s="53" t="inlineStr">
        <is>
          <t>0 years, 6 months, 0 days</t>
        </is>
      </c>
      <c r="DS347" s="53" t="inlineStr">
        <is>
          <t>7 years, 5 months, 12 days</t>
        </is>
      </c>
      <c r="DT347" s="53" t="inlineStr">
        <is>
          <t>7 years, 11 months, 12 days</t>
        </is>
      </c>
      <c r="DU347" s="53" t="n"/>
      <c r="DV347" s="53" t="inlineStr">
        <is>
          <t>Suptech</t>
        </is>
      </c>
      <c r="DW347" s="53" t="inlineStr">
        <is>
          <t>iFile</t>
        </is>
      </c>
      <c r="DX347" s="53" t="inlineStr">
        <is>
          <t>Quality Assurance</t>
        </is>
      </c>
      <c r="DY347" s="53" t="inlineStr">
        <is>
          <t>Quality Assurance</t>
        </is>
      </c>
      <c r="DZ347" s="53" t="inlineStr">
        <is>
          <t>No</t>
        </is>
      </c>
      <c r="EA347" s="53" t="inlineStr">
        <is>
          <t>Product/Project</t>
        </is>
      </c>
      <c r="EB347" s="53" t="inlineStr">
        <is>
          <t>Software Testing</t>
        </is>
      </c>
      <c r="EC347" s="53" t="inlineStr">
        <is>
          <t>Technical · BA, PM and QA</t>
        </is>
      </c>
      <c r="ED347" s="53" t="inlineStr">
        <is>
          <t>Remote- Outside Mumbai</t>
        </is>
      </c>
      <c r="EE347" s="53" t="inlineStr">
        <is>
          <t>1. Enhanced technical preparedness for upcoming testing activities through knowledge building, environment familiarization, and process understanding.
2. Reviewed implementation requirements, testing approaches, and system functionalities to ensure effective test execution readiness.
3. Strengthened understanding of testing tools, workflows, and business processes to support seamless project implementation.
4. Proactively prepared for future testing phases by identifying potential risks, dependencies, and improvement opportunities.</t>
        </is>
      </c>
      <c r="EF347" s="53" t="inlineStr">
        <is>
          <t>1. Enhance Technical Skills · Automation &amp; API Testing
Objective: Develop automation and API testing capabilities by completing structured learning and contributing to at least one automation initiative within the next review cycle.
2. Strengthen Project Ownership
Objective: Continue providing high-quality support for ACRA, QFCRA, CBJ, and other assigned projects while taking greater ownership of planning, execution, and timely delivery of testing activities.
3. Expand Product Knowledge
Objective: Build deeper functional expertise in SSM and other IRIS products to independently handle complex testing scenarios, client queries, and production support with minimal guidance.
4. Improve Cross-Project Efficiency
Objective: Effectively manage multiple concurrent projects by improving task prioritization, communication, and delivery, ensuring all assigned work is completed within agreed timelines.
5. Knowledge Sharing &amp; Team Collaboration
Objective: Share functional knowledge and project learnings with team members, participate in knowledge-sharing sessions, and document key testing scenarios and support processes for legacy projects.</t>
        </is>
      </c>
      <c r="EG347" s="53" t="inlineStr">
        <is>
          <t>Continuously upskill by completing relevant technical certifications or training in QA automation, AI-assisted testing, or API testing, and apply the acquired knowledge to improve testing efficiency and quality across projects.</t>
        </is>
      </c>
      <c r="EH347" s="53" t="n">
        <v>3</v>
      </c>
      <c r="EI347" s="53" t="inlineStr">
        <is>
          <t>20-06-2026</t>
        </is>
      </c>
      <c r="EJ347" s="53" t="inlineStr">
        <is>
          <t>QA Engineer</t>
        </is>
      </c>
      <c r="EK347" s="53" t="inlineStr">
        <is>
          <t>no</t>
        </is>
      </c>
      <c r="EL347" s="53" t="n">
        <v>3</v>
      </c>
      <c r="EM347" s="53" t="n"/>
      <c r="EN347" s="53" t="inlineStr">
        <is>
          <t>Trusted Professional</t>
        </is>
      </c>
      <c r="EO347" s="53" t="inlineStr">
        <is>
          <t>No</t>
        </is>
      </c>
      <c r="EP347" s="53" t="inlineStr">
        <is>
          <t>No</t>
        </is>
      </c>
      <c r="EQ347" s="53" t="inlineStr">
        <is>
          <t>No</t>
        </is>
      </c>
      <c r="ER347" s="53" t="inlineStr">
        <is>
          <t>yet to identify</t>
        </is>
      </c>
      <c r="ES347" s="53" t="inlineStr">
        <is>
          <t>AI training</t>
        </is>
      </c>
      <c r="ET347" s="53" t="inlineStr">
        <is>
          <t>Transition to leadership: people management &amp; delegation, mentoring/coaching, project ownership &amp; stakeholder management, prioritisation under ambiguity, presentation &amp; influence skills</t>
        </is>
      </c>
      <c r="EU347" s="53" t="n"/>
      <c r="EV347" s="53" t="n"/>
      <c r="EW347" s="52" t="n"/>
      <c r="EX347" s="53" t="n"/>
      <c r="EY347" s="53" t="n"/>
      <c r="EZ347" s="53" t="n"/>
      <c r="FA347" s="53" t="n"/>
      <c r="FB347" s="53" t="n"/>
      <c r="FC347" s="53" t="n"/>
      <c r="FD347" s="53" t="n"/>
      <c r="FE347" s="57" t="inlineStr">
        <is>
          <t>1. Enhance Technical Skills · Automation &amp; API Testing
Objective: Develop automation and API testing capabilities by completing structured learning and contributing to at least one automation initiative within the next review cycle.
2. Strengthen Project Ownership
Objective: Continue providing high-quality support for ACRA, QFCRA, CBJ, and other assigned projects while taking greater ownership of planning, execution, and timely delivery of testing activities.
3. Expand Product Knowledge
Objective: Build deeper functional expertise in SSM and other IRIS products to independently handle complex testing scenarios, client queries, and production support with minimal guidance.
4. Improve Cross-Project Efficiency
Objective: Effectively manage multiple concurrent projects by improving task prioritization, communication, and delivery, ensuring all assigned work is completed within agreed timelines.
5. Knowledge Sharing &amp; Team Collaboration
Objective: Share functional knowledge and project learnings with team members, participate in knowledge-sharing sessions, and document key testing scenarios and support processes for legacy projects.</t>
        </is>
      </c>
      <c r="FF347" s="56" t="inlineStr">
        <is>
          <t>Continuously upskill by completing relevant technical certifications or training in QA automation, AI-assisted testing, or API testing, and apply the acquired knowledge to improve testing efficiency and quality across projects.</t>
        </is>
      </c>
      <c r="FG347" s="56" t="inlineStr">
        <is>
          <t>1. Enhanced technical preparedness for upcoming testing activities through knowledge building, environment familiarization, and process understanding.
2. Reviewed implementation requirements, testing approaches, and system functionalities to ensure effective test execution readiness.
3. Strengthened understanding of testing tools, workflows, and business processes to support seamless project implementation.
4. Proactively prepared for future testing phases by identifying potential risks, dependencies, and improvement opportunities.</t>
        </is>
      </c>
      <c r="FH347" s="56" t="inlineStr">
        <is>
          <t>3</t>
        </is>
      </c>
      <c r="FI347" s="56" t="n"/>
      <c r="FJ347" s="56" t="inlineStr">
        <is>
          <t>Received · manager annual, quarterly, self</t>
        </is>
      </c>
      <c r="FK347" s="56" t="inlineStr">
        <is>
          <t>Talent Mapping · iFile collated</t>
        </is>
      </c>
      <c r="FL347" s="56" t="n">
        <v>20</v>
      </c>
      <c r="FM347" s="32" t="inlineStr">
        <is>
          <t>Full survey answers not in the files received · How We Grow export needed · HR</t>
        </is>
      </c>
      <c r="FN347" s="56" t="inlineStr">
        <is>
          <t>—</t>
        </is>
      </c>
      <c r="FO347" s="56" t="inlineStr">
        <is>
          <t>—</t>
        </is>
      </c>
      <c r="FP347" s="56" t="inlineStr">
        <is>
          <t>—</t>
        </is>
      </c>
      <c r="FQ347" s="56" t="inlineStr">
        <is>
          <t>—</t>
        </is>
      </c>
      <c r="FR347" s="56" t="inlineStr">
        <is>
          <t>Business Impact: No survey or manager-mapping signal on criticality: kept at the start point.</t>
        </is>
      </c>
      <c r="FS347" s="56"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FT347" s="56" t="inlineStr">
        <is>
          <t>Self-identified: Leadership &amp; people management · Strategy &amp; business acumen · Broader exposure &amp; ownership
For the next role: Leadership &amp; people management · Client, sales &amp; stakeholders · Strategy &amp; business acumen · Broader exposure &amp; ownership</t>
        </is>
      </c>
      <c r="FU347" s="32" t="inlineStr">
        <is>
          <t>Full survey answers not in the files received · How We Grow export needed · HR</t>
        </is>
      </c>
    </row>
    <row r="348" ht="90" customHeight="1">
      <c r="A348" s="51" t="inlineStr">
        <is>
          <t>◂ Back</t>
        </is>
      </c>
      <c r="B348" s="29" t="inlineStr">
        <is>
          <t>Mapped</t>
        </is>
      </c>
      <c r="C348" s="28" t="inlineStr">
        <is>
          <t>iFile</t>
        </is>
      </c>
      <c r="D348" s="29" t="inlineStr">
        <is>
          <t>IRIS2496</t>
        </is>
      </c>
      <c r="E348" s="29" t="inlineStr">
        <is>
          <t>Tejas Rane</t>
        </is>
      </c>
      <c r="F348" s="29" t="inlineStr">
        <is>
          <t>Quality Assurance</t>
        </is>
      </c>
      <c r="G348" s="29" t="inlineStr">
        <is>
          <t>QA Engineer</t>
        </is>
      </c>
      <c r="H348" s="29" t="inlineStr">
        <is>
          <t>Senior QA Engineer</t>
        </is>
      </c>
      <c r="I348" s="29" t="inlineStr">
        <is>
          <t>L3 – Professional / Associate</t>
        </is>
      </c>
      <c r="J348" s="29" t="inlineStr">
        <is>
          <t>A3</t>
        </is>
      </c>
      <c r="K348" s="29" t="inlineStr">
        <is>
          <t>▲ Up</t>
        </is>
      </c>
      <c r="L348" s="29" t="inlineStr">
        <is>
          <t>Quality Assurance</t>
        </is>
      </c>
      <c r="M348" s="29" t="inlineStr">
        <is>
          <t>Functional &amp; Domain Testing</t>
        </is>
      </c>
      <c r="N348" s="29" t="n"/>
      <c r="O348" s="29" t="n">
        <v>20</v>
      </c>
      <c r="P348" s="28" t="inlineStr">
        <is>
          <t>P2</t>
        </is>
      </c>
      <c r="Q348" s="29" t="inlineStr">
        <is>
          <t>Developing</t>
        </is>
      </c>
      <c r="R348" s="29" t="inlineStr">
        <is>
          <t>3 Apply</t>
        </is>
      </c>
      <c r="S348" s="29" t="inlineStr">
        <is>
          <t>2–4 yrs</t>
        </is>
      </c>
      <c r="T348" s="29" t="inlineStr">
        <is>
          <t>3–5 · 2–5</t>
        </is>
      </c>
      <c r="U348" s="29" t="inlineStr">
        <is>
          <t>QA Engineer</t>
        </is>
      </c>
      <c r="V348" s="29" t="inlineStr">
        <is>
          <t>Workiva: SE · Broadridge India: SE · Nasdaq / AxiomSL: SE · IRIS Vs Market Benchmark — ISTQB certification pathway: Foundation</t>
        </is>
      </c>
      <c r="W348" s="29" t="inlineStr">
        <is>
          <t>ISTQB Foundation → Advanced → Expert; SFIA testing</t>
        </is>
      </c>
      <c r="X348" s="29" t="inlineStr">
        <is>
          <t>Core 2 · Future 2 · Functional 3 · Leadership not scored</t>
        </is>
      </c>
      <c r="Y348" s="52" t="n">
        <v>469</v>
      </c>
      <c r="Z348" s="53" t="inlineStr">
        <is>
          <t>IRIS2496</t>
        </is>
      </c>
      <c r="AA348" s="53" t="inlineStr">
        <is>
          <t>Employee</t>
        </is>
      </c>
      <c r="AB348" s="53" t="inlineStr">
        <is>
          <t>Active</t>
        </is>
      </c>
      <c r="AC348" s="53" t="inlineStr">
        <is>
          <t>Tejas Rane</t>
        </is>
      </c>
      <c r="AD348" s="54" t="n">
        <v>46097</v>
      </c>
      <c r="AE348" s="53" t="inlineStr">
        <is>
          <t>QA Engineer</t>
        </is>
      </c>
      <c r="AF348" s="53" t="inlineStr">
        <is>
          <t>PG-DAC</t>
        </is>
      </c>
      <c r="AG348" s="53" t="inlineStr">
        <is>
          <t>Davinder Pal Singh</t>
        </is>
      </c>
      <c r="AH348" s="53" t="inlineStr">
        <is>
          <t>N-4</t>
        </is>
      </c>
      <c r="AI348" s="53" t="inlineStr">
        <is>
          <t>Individual Contributor</t>
        </is>
      </c>
      <c r="AJ348" s="53" t="inlineStr">
        <is>
          <t>4 years, 5 months, 0 days</t>
        </is>
      </c>
      <c r="AK348" s="53" t="inlineStr">
        <is>
          <t>0 years, 5 months, 9 days</t>
        </is>
      </c>
      <c r="AL348" s="53" t="inlineStr">
        <is>
          <t>Suptech</t>
        </is>
      </c>
      <c r="AM348" s="53" t="inlineStr">
        <is>
          <t>iFile</t>
        </is>
      </c>
      <c r="AN348" s="53" t="inlineStr">
        <is>
          <t>Quality Assurance</t>
        </is>
      </c>
      <c r="AO348" s="53" t="inlineStr">
        <is>
          <t>Quality Assurance</t>
        </is>
      </c>
      <c r="AP348" s="53" t="inlineStr">
        <is>
          <t>No</t>
        </is>
      </c>
      <c r="AQ348" s="53" t="inlineStr">
        <is>
          <t>Product/Project</t>
        </is>
      </c>
      <c r="AR348" s="53" t="inlineStr">
        <is>
          <t>Software Testing</t>
        </is>
      </c>
      <c r="AS348" s="53" t="inlineStr">
        <is>
          <t>Technical · BA, PM and QA</t>
        </is>
      </c>
      <c r="AT348" s="53" t="n">
        <v>20</v>
      </c>
      <c r="AU348" s="53" t="inlineStr">
        <is>
          <t>Covered</t>
        </is>
      </c>
      <c r="AV348" s="53" t="n"/>
      <c r="AW348" s="53" t="n"/>
      <c r="AX348" s="53" t="n"/>
      <c r="AY348" s="53" t="n"/>
      <c r="AZ348" s="53" t="n"/>
      <c r="BA348" s="53" t="n"/>
      <c r="BB348" s="53" t="n"/>
      <c r="BC348" s="53" t="n"/>
      <c r="BD348" s="53" t="n"/>
      <c r="BE348" s="53" t="n"/>
      <c r="BF348" s="53" t="n"/>
      <c r="BG348" s="53" t="n"/>
      <c r="BH348" s="53" t="n"/>
      <c r="BI348" s="53" t="n"/>
      <c r="BJ348" s="53" t="n"/>
      <c r="BK348" s="53" t="n"/>
      <c r="BL348" s="53" t="n"/>
      <c r="BM348" s="53" t="n"/>
      <c r="BN348" s="53" t="n"/>
      <c r="BO348" s="53" t="n"/>
      <c r="BP348" s="53" t="n"/>
      <c r="BQ348" s="53" t="n"/>
      <c r="BR348" s="53" t="n"/>
      <c r="BS348" s="53" t="n"/>
      <c r="BT348" s="53" t="n"/>
      <c r="BU348" s="53" t="n"/>
      <c r="BV348" s="53" t="n"/>
      <c r="BW348" s="53" t="n"/>
      <c r="BX348" s="53" t="n"/>
      <c r="BY348" s="53" t="n"/>
      <c r="BZ348" s="53" t="n"/>
      <c r="CA348" s="53" t="n"/>
      <c r="CB348" s="53" t="n"/>
      <c r="CC348" s="53" t="n"/>
      <c r="CD348" s="53" t="n"/>
      <c r="CE348" s="53" t="n"/>
      <c r="CF348" s="53" t="n"/>
      <c r="CG348" s="53" t="n"/>
      <c r="CH348" s="53" t="n"/>
      <c r="CI348" s="53" t="n"/>
      <c r="CJ348" s="53" t="n"/>
      <c r="CK348" s="53" t="n"/>
      <c r="CL348" s="53" t="n"/>
      <c r="CM348" s="53" t="n"/>
      <c r="CN348" s="53" t="n"/>
      <c r="CO348" s="53" t="n"/>
      <c r="CP348" s="53" t="n"/>
      <c r="CQ348" s="53" t="n"/>
      <c r="CR348" s="53" t="n"/>
      <c r="CS348" s="53" t="n"/>
      <c r="CT348" s="53" t="n"/>
      <c r="CU348" s="53" t="n"/>
      <c r="CV348" s="53" t="n"/>
      <c r="CW348" s="53" t="n"/>
      <c r="CX348" s="53" t="n"/>
      <c r="CY348" s="53" t="n"/>
      <c r="CZ348" s="53" t="n"/>
      <c r="DA348" s="53" t="n"/>
      <c r="DB348" s="53" t="n"/>
      <c r="DC348" s="53" t="n"/>
      <c r="DD348" s="53" t="inlineStr">
        <is>
          <t>IRIS2496</t>
        </is>
      </c>
      <c r="DE348" s="53" t="inlineStr">
        <is>
          <t>Employee</t>
        </is>
      </c>
      <c r="DF348" s="53" t="inlineStr">
        <is>
          <t>Active</t>
        </is>
      </c>
      <c r="DG348" s="53" t="inlineStr">
        <is>
          <t>Tejas Rane</t>
        </is>
      </c>
      <c r="DH348" s="54" t="n">
        <v>46097</v>
      </c>
      <c r="DI348" s="53" t="inlineStr">
        <is>
          <t>QA Engineer</t>
        </is>
      </c>
      <c r="DJ348" s="53" t="inlineStr">
        <is>
          <t>Quality Assurance</t>
        </is>
      </c>
      <c r="DK348" s="53" t="inlineStr">
        <is>
          <t>Quality Engineering</t>
        </is>
      </c>
      <c r="DL348" s="53" t="inlineStr">
        <is>
          <t>QA Engineer</t>
        </is>
      </c>
      <c r="DM348" s="53" t="inlineStr">
        <is>
          <t>L3 – Professional / Associate</t>
        </is>
      </c>
      <c r="DN348" s="53" t="inlineStr">
        <is>
          <t>PG-DAC</t>
        </is>
      </c>
      <c r="DO348" s="53" t="inlineStr">
        <is>
          <t>Davinder Pal Singh</t>
        </is>
      </c>
      <c r="DP348" s="53" t="inlineStr">
        <is>
          <t>N-3</t>
        </is>
      </c>
      <c r="DQ348" s="53" t="inlineStr">
        <is>
          <t>Individual Contributor</t>
        </is>
      </c>
      <c r="DR348" s="53" t="inlineStr">
        <is>
          <t>4 years, 5 months, 0 days</t>
        </is>
      </c>
      <c r="DS348" s="53" t="inlineStr">
        <is>
          <t>0 years, 3 months, 4 days</t>
        </is>
      </c>
      <c r="DT348" s="53" t="inlineStr">
        <is>
          <t>4 years, 8 months, 4 days</t>
        </is>
      </c>
      <c r="DU348" s="53" t="n"/>
      <c r="DV348" s="53" t="inlineStr">
        <is>
          <t>Suptech</t>
        </is>
      </c>
      <c r="DW348" s="53" t="inlineStr">
        <is>
          <t>iFile</t>
        </is>
      </c>
      <c r="DX348" s="53" t="inlineStr">
        <is>
          <t>Quality Assurance</t>
        </is>
      </c>
      <c r="DY348" s="53" t="inlineStr">
        <is>
          <t>Quality Assurance</t>
        </is>
      </c>
      <c r="DZ348" s="53" t="inlineStr">
        <is>
          <t>No</t>
        </is>
      </c>
      <c r="EA348" s="53" t="inlineStr">
        <is>
          <t>Product/Project</t>
        </is>
      </c>
      <c r="EB348" s="53" t="inlineStr">
        <is>
          <t>Software Testing</t>
        </is>
      </c>
      <c r="EC348" s="53" t="inlineStr">
        <is>
          <t>Technical · BA, PM and QA</t>
        </is>
      </c>
      <c r="ED348" s="53" t="inlineStr">
        <is>
          <t>Work From Office - Turbhe</t>
        </is>
      </c>
      <c r="EE348" s="53" t="inlineStr">
        <is>
          <t>Understood the Teapot Portal, DynaForm Builder, and DynaForm feature -&gt; will test all assigned features with documented test cases and logged results
Performed manual testing and created/executed test cases -&gt; will expand coverage across all assigned Teapot and DynaForm features
Identified, reported, and validated defects -&gt; will report all defects with clear steps, severity, and evidence, and retest fixes
Started Playwright TypeScript automation using AI assistance -&gt; will build a growing set of scripts, reviewed, validated, and committed to project standards
Worked on the BOJ Demo project and participated in requirement understanding -&gt; will participate consistently in requirement discussions and feature verification</t>
        </is>
      </c>
      <c r="EF348" s="53" t="inlineStr">
        <is>
          <t>1.Develop in-depth knowledge of the Teapot Portal, DynaForm Builder, and DynaForm features to independently test all assigned functionalities with complete business understanding and documented test cases.
2. Expand functional, integration, and regression test coverage by creating, reviewing, and executing comprehensive test cases and maintaining accurate test data and execution results for all assigned features.
3.Improve defect reporting quality by identifying, documenting, and validating defects with detailed reproduction steps, severity, supporting evidence, and timely verification of fixes to ensure high product quality.
4.Enhance automation skills by developing and maintaining Playwright TypeScript automation scripts, leveraging AI-assisted development while ensuring all scripts follow project coding standards and are integrated into the automation framework.
5.Actively participate in requirement analysis, design discussions, and feature verification sessions to improve functional understanding, provide early QA feedback, and ensure complete validation of business requirements before release.</t>
        </is>
      </c>
      <c r="EG348" s="53" t="inlineStr">
        <is>
          <t>Tea pot Automation for First Phase</t>
        </is>
      </c>
      <c r="EH348" s="53" t="n">
        <v>3</v>
      </c>
      <c r="EI348" s="54" t="n">
        <v>46271</v>
      </c>
      <c r="EJ348" s="53" t="inlineStr">
        <is>
          <t>QA Engineer</t>
        </is>
      </c>
      <c r="EK348" s="53" t="inlineStr">
        <is>
          <t>No</t>
        </is>
      </c>
      <c r="EL348" s="53" t="n">
        <v>3</v>
      </c>
      <c r="EM348" s="53" t="inlineStr">
        <is>
          <t>Medium</t>
        </is>
      </c>
      <c r="EN348" s="53" t="inlineStr">
        <is>
          <t>Trusted Professional</t>
        </is>
      </c>
      <c r="EO348" s="53" t="inlineStr">
        <is>
          <t>No</t>
        </is>
      </c>
      <c r="EP348" s="53" t="inlineStr">
        <is>
          <t>No</t>
        </is>
      </c>
      <c r="EQ348" s="53" t="inlineStr">
        <is>
          <t>No</t>
        </is>
      </c>
      <c r="ER348" s="53" t="n"/>
      <c r="ES348" s="53" t="inlineStr">
        <is>
          <t>Automation training</t>
        </is>
      </c>
      <c r="ET348" s="53" t="n"/>
      <c r="EU348" s="53" t="n"/>
      <c r="EV348" s="53" t="n"/>
      <c r="EW348" s="52" t="n"/>
      <c r="EX348" s="53" t="n"/>
      <c r="EY348" s="53" t="n"/>
      <c r="EZ348" s="53" t="n"/>
      <c r="FA348" s="53" t="n"/>
      <c r="FB348" s="53" t="n"/>
      <c r="FC348" s="53" t="n"/>
      <c r="FD348" s="53" t="n"/>
      <c r="FE348" s="57" t="inlineStr">
        <is>
          <t>1.Develop in-depth knowledge of the Teapot Portal, DynaForm Builder, and DynaForm features to independently test all assigned functionalities with complete business understanding and documented test cases.
2. Expand functional, integration, and regression test coverage by creating, reviewing, and executing comprehensive test cases and maintaining accurate test data and execution results for all assigned features.
3.Improve defect reporting quality by identifying, documenting, and validating defects with detailed reproduction steps, severity, supporting evidence, and timely verification of fixes to ensure high product quality.
4.Enhance automation skills by developing and maintaining Playwright TypeScript automation scripts, leveraging AI-assisted development while ensuring all scripts follow project coding standards and are integrated into the automation framework.
5.Actively participate in requirement analysis, design discussions, and feature verification sessions to improve functional understanding, provide early QA feedback, and ensure complete validation of business requirements before release.</t>
        </is>
      </c>
      <c r="FF348" s="56" t="inlineStr">
        <is>
          <t>Tea pot Automation for First Phase</t>
        </is>
      </c>
      <c r="FG348" s="56" t="inlineStr">
        <is>
          <t>Understood the Teapot Portal, DynaForm Builder, and DynaForm feature -&gt; will test all assigned features with documented test cases and logged results
Performed manual testing and created/executed test cases -&gt; will expand coverage across all assigned Teapot and DynaForm features
Identified, reported, and validated defects -&gt; will report all defects with clear steps, severity, and evidence, and retest fixes
Started Playwright TypeScript automation using AI assistance -&gt; will build a growing set of scripts, reviewed, validated, and committed to project standards
Worked on the BOJ Demo project and participated in requirement understanding -&gt; will participate consistently in requirement discussions and feature verification</t>
        </is>
      </c>
      <c r="FH348" s="56" t="inlineStr">
        <is>
          <t>3</t>
        </is>
      </c>
      <c r="FI348" s="56" t="n"/>
      <c r="FJ348" s="56" t="inlineStr">
        <is>
          <t>Received · manager annual, quarterly, self</t>
        </is>
      </c>
      <c r="FK348" s="56" t="inlineStr">
        <is>
          <t>Talent Mapping · iFile collated</t>
        </is>
      </c>
      <c r="FL348" s="56" t="n">
        <v>20</v>
      </c>
      <c r="FM348" s="32" t="inlineStr">
        <is>
          <t>Full survey answers not in the files received · How We Grow export needed · HR</t>
        </is>
      </c>
      <c r="FN348" s="56" t="inlineStr">
        <is>
          <t>—</t>
        </is>
      </c>
      <c r="FO348" s="56" t="inlineStr">
        <is>
          <t>—</t>
        </is>
      </c>
      <c r="FP348" s="56" t="inlineStr">
        <is>
          <t>—</t>
        </is>
      </c>
      <c r="FQ348" s="56" t="inlineStr">
        <is>
          <t>—</t>
        </is>
      </c>
      <c r="FR348" s="56" t="inlineStr">
        <is>
          <t>Complexity: Evidence reads like A2: Test case design, manual execution, regression and requirement review on Teapot/DynaForm against documented rules → matches the start
Autonomy: Evidence reads like A2: Decides test 'scope' and flags spec gaps; no further authority shown → matches the start
Accountability: Evidence reads like A2: Own coverage, execution and defect reporting → matches the start
Leadership: Evidence reads like A1: No guiding or leading of others described → matches the start
Business Impact: No survey or manager-mapping signal on criticality: kept at the start point.</t>
        </is>
      </c>
      <c r="FS348" s="56"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FT348" s="56" t="inlineStr">
        <is>
          <t>Self-identified: Testing &amp; quality · Product &amp; tool knowledge · Client, sales &amp; stakeholders
For the next role: Testing &amp; quality · Product &amp; tool knowledge · Client, sales &amp; stakeholders</t>
        </is>
      </c>
      <c r="FU348" s="32" t="inlineStr">
        <is>
          <t>Full survey answers not in the files received · How We Grow export needed · HR</t>
        </is>
      </c>
    </row>
    <row r="349" ht="90" customHeight="1">
      <c r="A349" s="51" t="inlineStr">
        <is>
          <t>◂ Back</t>
        </is>
      </c>
      <c r="B349" s="29" t="inlineStr">
        <is>
          <t>Mapped</t>
        </is>
      </c>
      <c r="C349" s="28" t="inlineStr">
        <is>
          <t>iFile</t>
        </is>
      </c>
      <c r="D349" s="29" t="inlineStr">
        <is>
          <t>IRIS2456</t>
        </is>
      </c>
      <c r="E349" s="29" t="inlineStr">
        <is>
          <t>Vishal Khare</t>
        </is>
      </c>
      <c r="F349" s="29" t="inlineStr">
        <is>
          <t>Quality Assurance</t>
        </is>
      </c>
      <c r="G349" s="29" t="inlineStr">
        <is>
          <t>QA Engineer</t>
        </is>
      </c>
      <c r="H349" s="29" t="inlineStr">
        <is>
          <t>Senior QA Engineer</t>
        </is>
      </c>
      <c r="I349" s="29" t="inlineStr">
        <is>
          <t>L3 – Professional / Associate</t>
        </is>
      </c>
      <c r="J349" s="29" t="inlineStr">
        <is>
          <t>A3</t>
        </is>
      </c>
      <c r="K349" s="29" t="inlineStr">
        <is>
          <t>▲ Up</t>
        </is>
      </c>
      <c r="L349" s="29" t="inlineStr">
        <is>
          <t>Quality Assurance</t>
        </is>
      </c>
      <c r="M349" s="29" t="inlineStr">
        <is>
          <t>Functional &amp; Domain Testing</t>
        </is>
      </c>
      <c r="N349" s="29" t="n"/>
      <c r="O349" s="29" t="n">
        <v>20</v>
      </c>
      <c r="P349" s="28" t="inlineStr">
        <is>
          <t>P2</t>
        </is>
      </c>
      <c r="Q349" s="29" t="inlineStr">
        <is>
          <t>Developing</t>
        </is>
      </c>
      <c r="R349" s="29" t="inlineStr">
        <is>
          <t>3 Apply</t>
        </is>
      </c>
      <c r="S349" s="29" t="inlineStr">
        <is>
          <t>2–4 yrs</t>
        </is>
      </c>
      <c r="T349" s="29" t="inlineStr">
        <is>
          <t>3–5 · 2–5</t>
        </is>
      </c>
      <c r="U349" s="29" t="inlineStr">
        <is>
          <t>QA Engineer</t>
        </is>
      </c>
      <c r="V349" s="29" t="inlineStr">
        <is>
          <t>Workiva: SE · Broadridge India: SE · Nasdaq / AxiomSL: SE · IRIS Vs Market Benchmark — ISTQB certification pathway: Foundation</t>
        </is>
      </c>
      <c r="W349" s="29" t="inlineStr">
        <is>
          <t>ISTQB Foundation → Advanced → Expert; SFIA testing</t>
        </is>
      </c>
      <c r="X349" s="29" t="inlineStr">
        <is>
          <t>Core 2 · Future 2 · Functional 3 · Leadership not scored</t>
        </is>
      </c>
      <c r="Y349" s="52" t="n">
        <v>426</v>
      </c>
      <c r="Z349" s="53" t="inlineStr">
        <is>
          <t>IRIS2456</t>
        </is>
      </c>
      <c r="AA349" s="53" t="inlineStr">
        <is>
          <t>Employee</t>
        </is>
      </c>
      <c r="AB349" s="53" t="inlineStr">
        <is>
          <t>Active</t>
        </is>
      </c>
      <c r="AC349" s="53" t="inlineStr">
        <is>
          <t>Vishal Khare</t>
        </is>
      </c>
      <c r="AD349" s="54" t="n">
        <v>46015</v>
      </c>
      <c r="AE349" s="53" t="inlineStr">
        <is>
          <t>QA Engineer</t>
        </is>
      </c>
      <c r="AF349" s="53" t="inlineStr">
        <is>
          <t>B.E</t>
        </is>
      </c>
      <c r="AG349" s="53" t="inlineStr">
        <is>
          <t>Davinder Pal Singh</t>
        </is>
      </c>
      <c r="AH349" s="53" t="inlineStr">
        <is>
          <t>N-4</t>
        </is>
      </c>
      <c r="AI349" s="53" t="inlineStr">
        <is>
          <t>Individual Contributor</t>
        </is>
      </c>
      <c r="AJ349" s="53" t="inlineStr">
        <is>
          <t>3 years, 4 months, 0 days</t>
        </is>
      </c>
      <c r="AK349" s="53" t="inlineStr">
        <is>
          <t>0 years, 8 months, 1 days</t>
        </is>
      </c>
      <c r="AL349" s="53" t="inlineStr">
        <is>
          <t>Suptech</t>
        </is>
      </c>
      <c r="AM349" s="53" t="inlineStr">
        <is>
          <t>iFile</t>
        </is>
      </c>
      <c r="AN349" s="53" t="inlineStr">
        <is>
          <t>Quality Assurance</t>
        </is>
      </c>
      <c r="AO349" s="53" t="inlineStr">
        <is>
          <t>Quality Assurance</t>
        </is>
      </c>
      <c r="AP349" s="53" t="inlineStr">
        <is>
          <t>No</t>
        </is>
      </c>
      <c r="AQ349" s="53" t="inlineStr">
        <is>
          <t>Product/Project</t>
        </is>
      </c>
      <c r="AR349" s="53" t="inlineStr">
        <is>
          <t>Software Testing</t>
        </is>
      </c>
      <c r="AS349" s="53" t="inlineStr">
        <is>
          <t>Technical · BA, PM and QA</t>
        </is>
      </c>
      <c r="AT349" s="53" t="n">
        <v>20</v>
      </c>
      <c r="AU349" s="53" t="inlineStr">
        <is>
          <t>Covered</t>
        </is>
      </c>
      <c r="AV349" s="53" t="n"/>
      <c r="AW349" s="53" t="n"/>
      <c r="AX349" s="53" t="n"/>
      <c r="AY349" s="53" t="n"/>
      <c r="AZ349" s="53" t="n"/>
      <c r="BA349" s="53" t="n"/>
      <c r="BB349" s="53" t="n"/>
      <c r="BC349" s="53" t="n"/>
      <c r="BD349" s="53" t="n"/>
      <c r="BE349" s="53" t="n"/>
      <c r="BF349" s="53" t="n"/>
      <c r="BG349" s="53" t="n"/>
      <c r="BH349" s="53" t="n"/>
      <c r="BI349" s="53" t="n"/>
      <c r="BJ349" s="53" t="n"/>
      <c r="BK349" s="53" t="n"/>
      <c r="BL349" s="53" t="n"/>
      <c r="BM349" s="53" t="n"/>
      <c r="BN349" s="53" t="n"/>
      <c r="BO349" s="53" t="n"/>
      <c r="BP349" s="53" t="n"/>
      <c r="BQ349" s="53" t="n"/>
      <c r="BR349" s="53" t="n"/>
      <c r="BS349" s="53" t="n"/>
      <c r="BT349" s="53" t="n"/>
      <c r="BU349" s="53" t="n"/>
      <c r="BV349" s="53" t="n"/>
      <c r="BW349" s="53" t="n"/>
      <c r="BX349" s="53" t="n"/>
      <c r="BY349" s="53" t="n"/>
      <c r="BZ349" s="53" t="n"/>
      <c r="CA349" s="53" t="n"/>
      <c r="CB349" s="53" t="n"/>
      <c r="CC349" s="53" t="n"/>
      <c r="CD349" s="53" t="n"/>
      <c r="CE349" s="53" t="n"/>
      <c r="CF349" s="53" t="n"/>
      <c r="CG349" s="53" t="n"/>
      <c r="CH349" s="53" t="n"/>
      <c r="CI349" s="53" t="n"/>
      <c r="CJ349" s="53" t="n"/>
      <c r="CK349" s="53" t="n"/>
      <c r="CL349" s="53" t="n"/>
      <c r="CM349" s="53" t="n"/>
      <c r="CN349" s="53" t="n"/>
      <c r="CO349" s="53" t="n"/>
      <c r="CP349" s="53" t="n"/>
      <c r="CQ349" s="53" t="n"/>
      <c r="CR349" s="53" t="n"/>
      <c r="CS349" s="53" t="n"/>
      <c r="CT349" s="53" t="n"/>
      <c r="CU349" s="53" t="n"/>
      <c r="CV349" s="53" t="n"/>
      <c r="CW349" s="53" t="n"/>
      <c r="CX349" s="53" t="n"/>
      <c r="CY349" s="53" t="n"/>
      <c r="CZ349" s="53" t="n"/>
      <c r="DA349" s="53" t="n"/>
      <c r="DB349" s="53" t="n"/>
      <c r="DC349" s="53" t="n"/>
      <c r="DD349" s="53" t="inlineStr">
        <is>
          <t>IRIS2456</t>
        </is>
      </c>
      <c r="DE349" s="53" t="inlineStr">
        <is>
          <t>Employee</t>
        </is>
      </c>
      <c r="DF349" s="53" t="inlineStr">
        <is>
          <t>Active</t>
        </is>
      </c>
      <c r="DG349" s="53" t="inlineStr">
        <is>
          <t>Vishal Khare</t>
        </is>
      </c>
      <c r="DH349" s="54" t="n">
        <v>46015</v>
      </c>
      <c r="DI349" s="53" t="inlineStr">
        <is>
          <t>QA Engineer</t>
        </is>
      </c>
      <c r="DJ349" s="53" t="inlineStr">
        <is>
          <t>Quality Assurance</t>
        </is>
      </c>
      <c r="DK349" s="53" t="inlineStr">
        <is>
          <t>Quality Engineering</t>
        </is>
      </c>
      <c r="DL349" s="53" t="inlineStr">
        <is>
          <t>QA Engineer</t>
        </is>
      </c>
      <c r="DM349" s="53" t="inlineStr">
        <is>
          <t>L3 – Professional / Associate</t>
        </is>
      </c>
      <c r="DN349" s="53" t="inlineStr">
        <is>
          <t>B.E</t>
        </is>
      </c>
      <c r="DO349" s="53" t="inlineStr">
        <is>
          <t>Davinder Pal Singh</t>
        </is>
      </c>
      <c r="DP349" s="53" t="inlineStr">
        <is>
          <t>N-3</t>
        </is>
      </c>
      <c r="DQ349" s="53" t="inlineStr">
        <is>
          <t>Individual Contributor</t>
        </is>
      </c>
      <c r="DR349" s="53" t="inlineStr">
        <is>
          <t>3 years, 4 months, 0 days</t>
        </is>
      </c>
      <c r="DS349" s="53" t="inlineStr">
        <is>
          <t>0 years, 5 months, 27 days</t>
        </is>
      </c>
      <c r="DT349" s="53" t="inlineStr">
        <is>
          <t>3 years, 9 months, 27 days</t>
        </is>
      </c>
      <c r="DU349" s="53" t="n"/>
      <c r="DV349" s="53" t="inlineStr">
        <is>
          <t>Suptech</t>
        </is>
      </c>
      <c r="DW349" s="53" t="inlineStr">
        <is>
          <t>iFile</t>
        </is>
      </c>
      <c r="DX349" s="53" t="inlineStr">
        <is>
          <t>Quality Assurance</t>
        </is>
      </c>
      <c r="DY349" s="53" t="inlineStr">
        <is>
          <t>Quality Assurance</t>
        </is>
      </c>
      <c r="DZ349" s="53" t="inlineStr">
        <is>
          <t>No</t>
        </is>
      </c>
      <c r="EA349" s="53" t="inlineStr">
        <is>
          <t>Product/Project</t>
        </is>
      </c>
      <c r="EB349" s="53" t="inlineStr">
        <is>
          <t>Software Testing</t>
        </is>
      </c>
      <c r="EC349" s="53" t="inlineStr">
        <is>
          <t>Technical · BA, PM and QA</t>
        </is>
      </c>
      <c r="ED349" s="53" t="inlineStr">
        <is>
          <t>Client Side</t>
        </is>
      </c>
      <c r="EE349" s="53" t="inlineStr">
        <is>
          <t>1. Functional, Smoke, Sanity, Regression, Retesting, RBR · XBRL &amp; Non-XBRL Return Testing &amp; Installer Testing: Perform functional, smoke, sanity, regression, retesting, RBR · XBRL &amp; Non-XBRL return testing through Web Form and File Upload channels, along with installer testing, to ensure application quality and stability.
2. Test Case Design &amp; Documentation: Create, review, and maintain test cases and documentation using AI tools to improve efficiency and test coverage.
3. Defect Reporting &amp; Tracking: Identify, log, track, retest, and verify defects until successful closure.
4. Client Support &amp; Issue Resolution: Provide timely client support by analyzing, reproducing, and resolving reported issues.
5. Client Demonstration &amp; Product Walkthrough: Conduct product demonstrations and explain application features and workflows to clients.
6. Quality Assurance &amp; Release Validation: Ensure application quality standards and validate releases before deployment.
7. Team Collaboration &amp; Timely Delivery: Collaborate with cross-functional teams to complete testing activities within project timelines.</t>
        </is>
      </c>
      <c r="EF349" s="53" t="inlineStr">
        <is>
          <t>1. Vishal has shown excellent progress over the past six months by quickly understanding one of the organization's most complex projects and contributing effectively to its successful delivery.
2. He has developed strong client communication skills and is now able to interact with clients independently, respond to queries confidently, and build positive working relationships.
Vishal consistently demonstrates a positive attitude, willingness to learn, and ownership of assigned tasks. His growing technical knowledge and ability to handle project responsibilities make him a valuable member of the QA team.</t>
        </is>
      </c>
      <c r="EG349" s="53" t="inlineStr">
        <is>
          <t>Keep ticket count low and work on CR</t>
        </is>
      </c>
      <c r="EH349" s="53" t="n">
        <v>3</v>
      </c>
      <c r="EI349" s="53" t="inlineStr">
        <is>
          <t>15-06-2026</t>
        </is>
      </c>
      <c r="EJ349" s="53" t="inlineStr">
        <is>
          <t>QA Engineer</t>
        </is>
      </c>
      <c r="EK349" s="53" t="inlineStr">
        <is>
          <t>no</t>
        </is>
      </c>
      <c r="EL349" s="53" t="n">
        <v>3</v>
      </c>
      <c r="EM349" s="53" t="inlineStr">
        <is>
          <t>Medium</t>
        </is>
      </c>
      <c r="EN349" s="53" t="inlineStr">
        <is>
          <t>Emerging Talent</t>
        </is>
      </c>
      <c r="EO349" s="53" t="inlineStr">
        <is>
          <t>No</t>
        </is>
      </c>
      <c r="EP349" s="53" t="inlineStr">
        <is>
          <t>No</t>
        </is>
      </c>
      <c r="EQ349" s="53" t="inlineStr">
        <is>
          <t>No</t>
        </is>
      </c>
      <c r="ER349" s="53" t="n"/>
      <c r="ES349" s="53" t="n"/>
      <c r="ET349" s="53" t="n"/>
      <c r="EU349" s="53" t="n"/>
      <c r="EV349" s="53" t="n"/>
      <c r="EW349" s="52" t="n"/>
      <c r="EX349" s="53" t="n"/>
      <c r="EY349" s="53" t="n"/>
      <c r="EZ349" s="53" t="n"/>
      <c r="FA349" s="53" t="n"/>
      <c r="FB349" s="53" t="n"/>
      <c r="FC349" s="53" t="n"/>
      <c r="FD349" s="53" t="n"/>
      <c r="FE349" s="57" t="inlineStr">
        <is>
          <t>1. Vishal has shown excellent progress over the past six months by quickly understanding one of the organization's most complex projects and contributing effectively to its successful delivery.
2. He has developed strong client communication skills and is now able to interact with clients independently, respond to queries confidently, and build positive working relationships.
Vishal consistently demonstrates a positive attitude, willingness to learn, and ownership of assigned tasks. His growing technical knowledge and ability to handle project responsibilities make him a valuable member of the QA team.</t>
        </is>
      </c>
      <c r="FF349" s="56" t="inlineStr">
        <is>
          <t>Keep ticket count low and work on CR</t>
        </is>
      </c>
      <c r="FG349" s="56" t="inlineStr">
        <is>
          <t>1. Functional, Smoke, Sanity, Regression, Retesting, RBR · XBRL &amp; Non-XBRL Return Testing &amp; Installer Testing : Perform functional, smoke, sanity, regression, retesting, RBR · XBRL &amp; Non-XBRL return testing through Web Form and File Upload channels, along with installer testing, to ensure application quality and stability.
2. Test Case Design &amp; Documentation : Create, review, and maintain test cases and documentation using AI tools to improve efficiency and test coverage.
3. Defect Reporting &amp; Tracking :  Identify, log, track, retest, and verify defects until successful closure.
4. Client Support &amp; Issue Resolution : Provide timely client support by analyzing, reproducing, and resolving reported issues.
5. Client Demonstration &amp; Product Walkthrough : Conduct product demonstrations and explain application features and workflows to clients.
6. Quality Assurance &amp; Release Validation : Ensure application quality standards and validate releases before deployment.
7. Team Collaboration &amp; Timely Delivery : Collaborate with cross-functional teams to complete testing activities within project timelines.</t>
        </is>
      </c>
      <c r="FH349" s="56" t="inlineStr">
        <is>
          <t>3</t>
        </is>
      </c>
      <c r="FI349" s="56" t="n"/>
      <c r="FJ349" s="56" t="inlineStr">
        <is>
          <t>Received · manager annual, quarterly, self</t>
        </is>
      </c>
      <c r="FK349" s="56" t="inlineStr">
        <is>
          <t>Talent Mapping · iFile collated</t>
        </is>
      </c>
      <c r="FL349" s="56" t="n">
        <v>20</v>
      </c>
      <c r="FM349" s="32" t="inlineStr">
        <is>
          <t>Full survey answers not in the files received · How We Grow export needed · HR</t>
        </is>
      </c>
      <c r="FN349" s="56" t="inlineStr">
        <is>
          <t>—</t>
        </is>
      </c>
      <c r="FO349" s="56" t="inlineStr">
        <is>
          <t>—</t>
        </is>
      </c>
      <c r="FP349" s="56" t="inlineStr">
        <is>
          <t>—</t>
        </is>
      </c>
      <c r="FQ349" s="56" t="inlineStr">
        <is>
          <t>—</t>
        </is>
      </c>
      <c r="FR349" s="56" t="inlineStr">
        <is>
          <t>Complexity: Evidence reads like A3: Functional/regression testing plus UAT at client site, installer and XBRL return testing, client issue reproduction → moved up 0.5
Autonomy: Evidence reads like A2: Names only test case writing as own decision → matches the start
Accountability: Evidence reads like A3: Performs UAT on the client's own environment; product demonstrations; client support → moved up 0.5
Leadership: Evidence reads like A1: No guiding or leading of others described → matches the start
Business Impact: No survey or manager-mapping signal on criticality: kept at the start point.</t>
        </is>
      </c>
      <c r="FS349" s="56"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FT349" s="56" t="inlineStr">
        <is>
          <t>Self-identified: AI / automation · Testing &amp; quality · Data, SQL &amp; analytics
For the next role: AI / automation · Testing &amp; quality · Data, SQL &amp; analytics</t>
        </is>
      </c>
      <c r="FU349" s="32" t="inlineStr">
        <is>
          <t>Full survey answers not in the files received · How We Grow export needed · HR</t>
        </is>
      </c>
    </row>
    <row r="350" ht="90" customHeight="1">
      <c r="A350" s="51" t="inlineStr">
        <is>
          <t>◂ Back</t>
        </is>
      </c>
      <c r="B350" s="29" t="inlineStr">
        <is>
          <t>Mapped</t>
        </is>
      </c>
      <c r="C350" s="28" t="inlineStr">
        <is>
          <t>iFile</t>
        </is>
      </c>
      <c r="D350" s="29" t="inlineStr">
        <is>
          <t>IRIS2296</t>
        </is>
      </c>
      <c r="E350" s="29" t="inlineStr">
        <is>
          <t>Deepa Vaman Shinde</t>
        </is>
      </c>
      <c r="F350" s="29" t="inlineStr">
        <is>
          <t>Technology</t>
        </is>
      </c>
      <c r="G350" s="29" t="inlineStr">
        <is>
          <t>Project Manager</t>
        </is>
      </c>
      <c r="H350" s="29" t="inlineStr">
        <is>
          <t>Project Manager</t>
        </is>
      </c>
      <c r="I350" s="29" t="inlineStr">
        <is>
          <t>L5 – Manager</t>
        </is>
      </c>
      <c r="J350" s="29" t="inlineStr">
        <is>
          <t>B2</t>
        </is>
      </c>
      <c r="K350" s="29" t="inlineStr">
        <is>
          <t>• Same level</t>
        </is>
      </c>
      <c r="L350" s="29" t="inlineStr">
        <is>
          <t>Project &amp; Program Management</t>
        </is>
      </c>
      <c r="M350" s="29" t="inlineStr">
        <is>
          <t>Project &amp; Program Delivery</t>
        </is>
      </c>
      <c r="N350" s="29" t="n"/>
      <c r="O350" s="29" t="n">
        <v>20</v>
      </c>
      <c r="P350" s="28" t="inlineStr">
        <is>
          <t>P4 / M3</t>
        </is>
      </c>
      <c r="Q350" s="29" t="inlineStr">
        <is>
          <t>Senior / Manager</t>
        </is>
      </c>
      <c r="R350" s="29" t="inlineStr">
        <is>
          <t>4–5</t>
        </is>
      </c>
      <c r="S350" s="29" t="inlineStr">
        <is>
          <t>6–9 yrs</t>
        </is>
      </c>
      <c r="T350" s="29" t="inlineStr">
        <is>
          <t>7–10 · 6–11</t>
        </is>
      </c>
      <c r="U350" s="29" t="inlineStr">
        <is>
          <t>Senior Project / Program Manager</t>
        </is>
      </c>
      <c r="V350" s="29" t="inlineStr">
        <is>
          <t>IRIS Vs Competitor Benchmark — PMI pathway + SaaS delivery ladder: Senior PM</t>
        </is>
      </c>
      <c r="W350" s="29" t="inlineStr">
        <is>
          <t>PMI PMBOK and Talent Triangle; CAPM · entry → PMP → PgMP; Scrum / SAFe</t>
        </is>
      </c>
      <c r="X350" s="29" t="inlineStr">
        <is>
          <t>Core 3 · Future 3 · Functional 4 · Leadership 2</t>
        </is>
      </c>
      <c r="Y350" s="52" t="n">
        <v>335</v>
      </c>
      <c r="Z350" s="53" t="inlineStr">
        <is>
          <t>IRIS2296</t>
        </is>
      </c>
      <c r="AA350" s="53" t="inlineStr">
        <is>
          <t>Employee</t>
        </is>
      </c>
      <c r="AB350" s="53" t="inlineStr">
        <is>
          <t>Active</t>
        </is>
      </c>
      <c r="AC350" s="53" t="inlineStr">
        <is>
          <t>Deepa Vaman Shinde</t>
        </is>
      </c>
      <c r="AD350" s="54" t="n">
        <v>45495</v>
      </c>
      <c r="AE350" s="53" t="inlineStr">
        <is>
          <t>Project Manager</t>
        </is>
      </c>
      <c r="AF350" s="53" t="inlineStr">
        <is>
          <t>B.E</t>
        </is>
      </c>
      <c r="AG350" s="53" t="inlineStr">
        <is>
          <t>Pradip Dey</t>
        </is>
      </c>
      <c r="AH350" s="53" t="inlineStr">
        <is>
          <t>N-3</t>
        </is>
      </c>
      <c r="AI350" s="53" t="inlineStr">
        <is>
          <t>Individual Contributor</t>
        </is>
      </c>
      <c r="AJ350" s="53" t="inlineStr">
        <is>
          <t>12 years, 6 months, 0 days</t>
        </is>
      </c>
      <c r="AK350" s="53" t="inlineStr">
        <is>
          <t>2 years, 1 months, 3 days</t>
        </is>
      </c>
      <c r="AL350" s="53" t="inlineStr">
        <is>
          <t>Suptech</t>
        </is>
      </c>
      <c r="AM350" s="53" t="inlineStr">
        <is>
          <t>iFile</t>
        </is>
      </c>
      <c r="AN350" s="53" t="inlineStr">
        <is>
          <t>Technology</t>
        </is>
      </c>
      <c r="AO350" s="53" t="inlineStr">
        <is>
          <t>Project Management</t>
        </is>
      </c>
      <c r="AP350" s="53" t="inlineStr">
        <is>
          <t>No</t>
        </is>
      </c>
      <c r="AQ350" s="53" t="inlineStr">
        <is>
          <t>Product/Project</t>
        </is>
      </c>
      <c r="AR350" s="53" t="inlineStr">
        <is>
          <t>Project Management</t>
        </is>
      </c>
      <c r="AS350" s="53" t="inlineStr">
        <is>
          <t>Technical · BA, PM and QA</t>
        </is>
      </c>
      <c r="AT350" s="53" t="n">
        <v>20</v>
      </c>
      <c r="AU350" s="53" t="inlineStr">
        <is>
          <t>Covered</t>
        </is>
      </c>
      <c r="AV350" s="53" t="n"/>
      <c r="AW350" s="53" t="n"/>
      <c r="AX350" s="53" t="n"/>
      <c r="AY350" s="53" t="n"/>
      <c r="AZ350" s="53" t="n"/>
      <c r="BA350" s="53" t="n"/>
      <c r="BB350" s="53" t="n"/>
      <c r="BC350" s="53" t="n"/>
      <c r="BD350" s="53" t="n"/>
      <c r="BE350" s="53" t="n"/>
      <c r="BF350" s="53" t="n"/>
      <c r="BG350" s="53" t="n"/>
      <c r="BH350" s="53" t="n"/>
      <c r="BI350" s="53" t="n"/>
      <c r="BJ350" s="53" t="n"/>
      <c r="BK350" s="53" t="n"/>
      <c r="BL350" s="53" t="n"/>
      <c r="BM350" s="53" t="n"/>
      <c r="BN350" s="53" t="n"/>
      <c r="BO350" s="53" t="n"/>
      <c r="BP350" s="53" t="n"/>
      <c r="BQ350" s="53" t="n"/>
      <c r="BR350" s="53" t="n"/>
      <c r="BS350" s="53" t="n"/>
      <c r="BT350" s="53" t="n"/>
      <c r="BU350" s="53" t="n"/>
      <c r="BV350" s="53" t="n"/>
      <c r="BW350" s="53" t="n"/>
      <c r="BX350" s="53" t="n"/>
      <c r="BY350" s="53" t="n"/>
      <c r="BZ350" s="53" t="n"/>
      <c r="CA350" s="53" t="n"/>
      <c r="CB350" s="53" t="n"/>
      <c r="CC350" s="53" t="n"/>
      <c r="CD350" s="53" t="n"/>
      <c r="CE350" s="53" t="n"/>
      <c r="CF350" s="53" t="n"/>
      <c r="CG350" s="53" t="n"/>
      <c r="CH350" s="53" t="n"/>
      <c r="CI350" s="53" t="n"/>
      <c r="CJ350" s="53" t="n"/>
      <c r="CK350" s="53" t="n"/>
      <c r="CL350" s="53" t="n"/>
      <c r="CM350" s="53" t="n"/>
      <c r="CN350" s="53" t="n"/>
      <c r="CO350" s="53" t="n"/>
      <c r="CP350" s="53" t="n"/>
      <c r="CQ350" s="53" t="n"/>
      <c r="CR350" s="53" t="n"/>
      <c r="CS350" s="53" t="n"/>
      <c r="CT350" s="53" t="n"/>
      <c r="CU350" s="53" t="n"/>
      <c r="CV350" s="53" t="n"/>
      <c r="CW350" s="53" t="n"/>
      <c r="CX350" s="53" t="n"/>
      <c r="CY350" s="53" t="n"/>
      <c r="CZ350" s="53" t="n"/>
      <c r="DA350" s="53" t="n"/>
      <c r="DB350" s="53" t="n"/>
      <c r="DC350" s="53" t="n"/>
      <c r="DD350" s="53" t="inlineStr">
        <is>
          <t>IRIS2296</t>
        </is>
      </c>
      <c r="DE350" s="53" t="inlineStr">
        <is>
          <t>Employee</t>
        </is>
      </c>
      <c r="DF350" s="53" t="inlineStr">
        <is>
          <t>Active</t>
        </is>
      </c>
      <c r="DG350" s="53" t="inlineStr">
        <is>
          <t>Deepa Vaman Shinde</t>
        </is>
      </c>
      <c r="DH350" s="54" t="n">
        <v>45495</v>
      </c>
      <c r="DI350" s="53" t="inlineStr">
        <is>
          <t>Project Manager</t>
        </is>
      </c>
      <c r="DJ350" s="53" t="inlineStr">
        <is>
          <t>Project &amp; Program Management</t>
        </is>
      </c>
      <c r="DK350" s="53" t="inlineStr">
        <is>
          <t>Project Management</t>
        </is>
      </c>
      <c r="DL350" s="53" t="inlineStr">
        <is>
          <t>Project Manager</t>
        </is>
      </c>
      <c r="DM350" s="53" t="inlineStr">
        <is>
          <t>L5 – Manager</t>
        </is>
      </c>
      <c r="DN350" s="53" t="inlineStr">
        <is>
          <t>B.E</t>
        </is>
      </c>
      <c r="DO350" s="53" t="inlineStr">
        <is>
          <t>Pradip Dey</t>
        </is>
      </c>
      <c r="DP350" s="53" t="inlineStr">
        <is>
          <t>N-2</t>
        </is>
      </c>
      <c r="DQ350" s="53" t="inlineStr">
        <is>
          <t>Individual Contributor</t>
        </is>
      </c>
      <c r="DR350" s="53" t="inlineStr">
        <is>
          <t>12 years, 6 months, 0 days</t>
        </is>
      </c>
      <c r="DS350" s="53" t="inlineStr">
        <is>
          <t>1 years, 10 months, 29 days</t>
        </is>
      </c>
      <c r="DT350" s="53" t="inlineStr">
        <is>
          <t>14 years, 4 months, 29 days</t>
        </is>
      </c>
      <c r="DU350" s="53" t="n"/>
      <c r="DV350" s="53" t="inlineStr">
        <is>
          <t>Suptech</t>
        </is>
      </c>
      <c r="DW350" s="53" t="inlineStr">
        <is>
          <t>iFile</t>
        </is>
      </c>
      <c r="DX350" s="53" t="inlineStr">
        <is>
          <t>Technology</t>
        </is>
      </c>
      <c r="DY350" s="53" t="inlineStr">
        <is>
          <t>Project Management</t>
        </is>
      </c>
      <c r="DZ350" s="53" t="inlineStr">
        <is>
          <t>No</t>
        </is>
      </c>
      <c r="EA350" s="53" t="inlineStr">
        <is>
          <t>Product/Project</t>
        </is>
      </c>
      <c r="EB350" s="53" t="inlineStr">
        <is>
          <t>Project Management</t>
        </is>
      </c>
      <c r="EC350" s="53" t="inlineStr">
        <is>
          <t>Technical · BA, PM and QA</t>
        </is>
      </c>
      <c r="ED350" s="53" t="inlineStr">
        <is>
          <t>Hybrid</t>
        </is>
      </c>
      <c r="EE350" s="53" t="n"/>
      <c r="EF350" s="53" t="inlineStr">
        <is>
          <t>1. QFCRA upgrade project
Proactive communicaions and stakeholder management as per projects requirements
Completion of project activities as per schedule, scope and cost
Demonstrable team capability upliftment · reduced dependency/improved delivery speed
Publishing of project peport and incorporation of lessons learned
Gain knowledge of suptech domain · especially Banking, insurance and capital market
2. QSE
Proactive communicaions and stakeholder management 
Ensure operations support is provided as per SLA defined for the program
0 escalations in a year. Also, quick resolutions and RCA for improvements for high impact issues
Publishing of monthly operations report
3. Pre-sales, process adherence, &amp; Strategic Contributions
Projetc Mgmt skill building and initiatives
Ensure adoption of digital way of working across the projects 
Prepare/review of metrics and continuous imporevement measures
Extend support for Other org level activities
4. PMP Certifications/AI
Initiate preparaiton for PMP
Leverage AI in day to day working - PM activities, prepration/reuse of requirement artefacts, test cases writing and automaiton etc.</t>
        </is>
      </c>
      <c r="EG350" s="53" t="inlineStr">
        <is>
          <t>QFCRA project mgmt as per scope, schedule and cost
Operational support for the accounts - QSE
Process improvements
PMP completion
Digital way of working and measurement of metrics through the tools for the entire team</t>
        </is>
      </c>
      <c r="EH350" s="53" t="inlineStr">
        <is>
          <t>Meets Expectations</t>
        </is>
      </c>
      <c r="EI350" s="54" t="n">
        <v>45931</v>
      </c>
      <c r="EJ350" s="53" t="inlineStr">
        <is>
          <t>Project Manager</t>
        </is>
      </c>
      <c r="EK350" s="53" t="n"/>
      <c r="EL350" s="53" t="n">
        <v>3</v>
      </c>
      <c r="EM350" s="53" t="inlineStr">
        <is>
          <t>Medium</t>
        </is>
      </c>
      <c r="EN350" s="53" t="inlineStr">
        <is>
          <t>Reliable Specialist</t>
        </is>
      </c>
      <c r="EO350" s="53" t="n"/>
      <c r="EP350" s="53" t="inlineStr">
        <is>
          <t>N</t>
        </is>
      </c>
      <c r="EQ350" s="53" t="inlineStr">
        <is>
          <t>N</t>
        </is>
      </c>
      <c r="ER350" s="53" t="n"/>
      <c r="ES350" s="53" t="inlineStr">
        <is>
          <t>SupTech Domain, Agile Scrum</t>
        </is>
      </c>
      <c r="ET350" s="53" t="n"/>
      <c r="EU350" s="53" t="inlineStr">
        <is>
          <t>QCB,QFCRA,SSM,ACRA,JCM,ADX/DFM</t>
        </is>
      </c>
      <c r="EV350" s="53" t="n"/>
      <c r="EW350" s="52" t="n"/>
      <c r="EX350" s="53" t="n"/>
      <c r="EY350" s="53" t="n"/>
      <c r="EZ350" s="53" t="n"/>
      <c r="FA350" s="53" t="n"/>
      <c r="FB350" s="53" t="n"/>
      <c r="FC350" s="53" t="n"/>
      <c r="FD350" s="53" t="n"/>
      <c r="FE350" s="57" t="inlineStr">
        <is>
          <t>1. QFCRA upgrade project
Proactive communicaions and stakeholder management as per projects requirements
Completion of project activities as per schedule, scope and cost
Demonstrable team capability upliftment · reduced dependency/improved delivery speed
Publishing of project peport and incorporation of lessons learned
Gain knowledge of suptech domain · especially Banking, insurance and capital market
2. QSE
Proactive communicaions and stakeholder management 
Ensure operations support is provided as per SLA defined for the program
0 escalations in a year. Also, quick resolutions and RCA for improvements for high impact issues
Publishing of monthly operations report
3. Pre-sales, process adherence, &amp; Strategic Contributions
Projetc Mgmt skill building and initiatives
Ensure adoption of digital way of working across the projects 
Prepare/review of metrics and continuous imporevement measures
Extend support for Other org level activities
4. PMP Certifications/AI
Initiate preparaiton for PMP
Leverage AI in day to day working - PM activities, prepration/reuse of requirement artefacts, test cases writing and automaiton etc.</t>
        </is>
      </c>
      <c r="FF350" s="56" t="inlineStr">
        <is>
          <t>QFCRA project mgmt as per scope, schedule and cost
Operational support for the accounts - QSE
Process improvements
PMP completion
Digital way of working and measurement of metrics through the tools for the entire team</t>
        </is>
      </c>
      <c r="FG350" s="56" t="n"/>
      <c r="FH350" s="56" t="inlineStr">
        <is>
          <t>Meets Expectations</t>
        </is>
      </c>
      <c r="FI350" s="56" t="n"/>
      <c r="FJ350" s="56" t="inlineStr">
        <is>
          <t>Received · manager annual, quarterly</t>
        </is>
      </c>
      <c r="FK350" s="56" t="inlineStr">
        <is>
          <t>Talent Mapping · iFile collated</t>
        </is>
      </c>
      <c r="FL350" s="56" t="n">
        <v>20</v>
      </c>
      <c r="FM350" s="32" t="inlineStr">
        <is>
          <t>Full survey answers not in the files received · How We Grow export needed · HR</t>
        </is>
      </c>
      <c r="FN350" s="56" t="inlineStr">
        <is>
          <t>—</t>
        </is>
      </c>
      <c r="FO350" s="56" t="inlineStr">
        <is>
          <t>—</t>
        </is>
      </c>
      <c r="FP350" s="56" t="inlineStr">
        <is>
          <t>—</t>
        </is>
      </c>
      <c r="FQ350" s="56" t="inlineStr">
        <is>
          <t>—</t>
        </is>
      </c>
      <c r="FR350" s="56" t="inlineStr">
        <is>
          <t>Complexity: Evidence reads like A3: Project planning with evolving requirements; almost no detail → moved down 0.5
Autonomy: Evidence reads like B1: Decides on tasks, risks and delivery; nothing more specific → moved down 0.5
Accountability: Evidence reads like B2: On-time delivery, budget, scope and quality of the project → matches the start
Leadership: Evidence reads like A2: No people leadership described; stakeholder management only; 0 reports → moved down 0.5
Business Impact: No move: the survey / manager mapping does not mark it business-critical or unique.</t>
        </is>
      </c>
      <c r="FS350" s="56" t="inlineStr">
        <is>
          <t>Common themes in sub-family holders, all levels' answers: project · business · client · manager · management · bridge
Common themes in sub-family holders, all levels' answers: management · project · delivery · client · define · priorities
Common themes in sub-family holders, all levels' answers: project · delivery · product · client · transformation · timely
Common themes in sub-family holders, all levels' answers: delivery · project · accountable · timelines · quality · management
Common themes in sub-family holders, all levels' answers: client · project · issue · product · allocation · delivery
If the work is missed · role-holders' themes: client · delivery · delays · project.</t>
        </is>
      </c>
      <c r="FT350" s="56" t="inlineStr">
        <is>
          <t>Self-identified: Client, sales &amp; stakeholders · Strategy &amp; business acumen · Broader exposure &amp; ownership
For the next role: Client, sales &amp; stakeholders · Strategy &amp; business acumen · Broader exposure &amp; ownership</t>
        </is>
      </c>
      <c r="FU350" s="32" t="inlineStr">
        <is>
          <t>Full survey answers not in the files received · How We Grow export needed · HR</t>
        </is>
      </c>
    </row>
    <row r="351" ht="90" customHeight="1">
      <c r="A351" s="51" t="inlineStr">
        <is>
          <t>◂ Back</t>
        </is>
      </c>
      <c r="B351" s="29" t="inlineStr">
        <is>
          <t>Mapped</t>
        </is>
      </c>
      <c r="C351" s="28" t="inlineStr">
        <is>
          <t>iFile</t>
        </is>
      </c>
      <c r="D351" s="29" t="inlineStr">
        <is>
          <t>IRIS2366</t>
        </is>
      </c>
      <c r="E351" s="29" t="inlineStr">
        <is>
          <t>Jailesh Bhadra</t>
        </is>
      </c>
      <c r="F351" s="29" t="inlineStr">
        <is>
          <t>Technology</t>
        </is>
      </c>
      <c r="G351" s="29" t="inlineStr">
        <is>
          <t>Project Manager</t>
        </is>
      </c>
      <c r="H351" s="29" t="inlineStr">
        <is>
          <t>Project Manager</t>
        </is>
      </c>
      <c r="I351" s="29" t="inlineStr">
        <is>
          <t>L5 – Manager</t>
        </is>
      </c>
      <c r="J351" s="29" t="inlineStr">
        <is>
          <t>B2</t>
        </is>
      </c>
      <c r="K351" s="29" t="inlineStr">
        <is>
          <t>• Same level</t>
        </is>
      </c>
      <c r="L351" s="29" t="inlineStr">
        <is>
          <t>Project &amp; Program Management</t>
        </is>
      </c>
      <c r="M351" s="29" t="inlineStr">
        <is>
          <t>Project &amp; Program Delivery</t>
        </is>
      </c>
      <c r="N351" s="29" t="n"/>
      <c r="O351" s="29" t="n">
        <v>20</v>
      </c>
      <c r="P351" s="28" t="inlineStr">
        <is>
          <t>P4 / M3</t>
        </is>
      </c>
      <c r="Q351" s="29" t="inlineStr">
        <is>
          <t>Senior / Manager</t>
        </is>
      </c>
      <c r="R351" s="29" t="inlineStr">
        <is>
          <t>4–5</t>
        </is>
      </c>
      <c r="S351" s="29" t="inlineStr">
        <is>
          <t>6–9 yrs</t>
        </is>
      </c>
      <c r="T351" s="29" t="inlineStr">
        <is>
          <t>7–10 · 6–11</t>
        </is>
      </c>
      <c r="U351" s="29" t="inlineStr">
        <is>
          <t>Manager</t>
        </is>
      </c>
      <c r="V351" s="29" t="inlineStr">
        <is>
          <t>IRIS Vs Competitor Benchmark — PMI pathway + SaaS delivery ladder: Senior PM</t>
        </is>
      </c>
      <c r="W351" s="29" t="inlineStr">
        <is>
          <t>PMI PMBOK and Talent Triangle; CAPM · entry → PMP → PgMP; Scrum / SAFe</t>
        </is>
      </c>
      <c r="X351" s="29" t="inlineStr">
        <is>
          <t>Core 3 · Future 3 · Functional 4 · Leadership 3</t>
        </is>
      </c>
      <c r="Y351" s="52" t="n">
        <v>368</v>
      </c>
      <c r="Z351" s="53" t="inlineStr">
        <is>
          <t>IRIS2366</t>
        </is>
      </c>
      <c r="AA351" s="53" t="inlineStr">
        <is>
          <t>Employee</t>
        </is>
      </c>
      <c r="AB351" s="53" t="inlineStr">
        <is>
          <t>Active</t>
        </is>
      </c>
      <c r="AC351" s="53" t="inlineStr">
        <is>
          <t>Jailesh Bhadra</t>
        </is>
      </c>
      <c r="AD351" s="54" t="n">
        <v>45756</v>
      </c>
      <c r="AE351" s="53" t="inlineStr">
        <is>
          <t>Project Manager</t>
        </is>
      </c>
      <c r="AF351" s="53" t="inlineStr">
        <is>
          <t>B.E</t>
        </is>
      </c>
      <c r="AG351" s="53" t="inlineStr">
        <is>
          <t>Pradip Dey</t>
        </is>
      </c>
      <c r="AH351" s="53" t="inlineStr">
        <is>
          <t>N-3</t>
        </is>
      </c>
      <c r="AI351" s="53" t="inlineStr">
        <is>
          <t>Manager</t>
        </is>
      </c>
      <c r="AJ351" s="53" t="inlineStr">
        <is>
          <t>10 years, 0 months, 00 days</t>
        </is>
      </c>
      <c r="AK351" s="53" t="inlineStr">
        <is>
          <t>1 years, 4 months, 16 days</t>
        </is>
      </c>
      <c r="AL351" s="53" t="inlineStr">
        <is>
          <t>Suptech</t>
        </is>
      </c>
      <c r="AM351" s="53" t="inlineStr">
        <is>
          <t>iFile</t>
        </is>
      </c>
      <c r="AN351" s="53" t="inlineStr">
        <is>
          <t>Technology</t>
        </is>
      </c>
      <c r="AO351" s="53" t="inlineStr">
        <is>
          <t>Project Management</t>
        </is>
      </c>
      <c r="AP351" s="53" t="inlineStr">
        <is>
          <t>No</t>
        </is>
      </c>
      <c r="AQ351" s="53" t="inlineStr">
        <is>
          <t>Product/Project</t>
        </is>
      </c>
      <c r="AR351" s="53" t="inlineStr">
        <is>
          <t>Project Management</t>
        </is>
      </c>
      <c r="AS351" s="53" t="inlineStr">
        <is>
          <t>Technical · BA, PM and QA</t>
        </is>
      </c>
      <c r="AT351" s="53" t="n">
        <v>20</v>
      </c>
      <c r="AU351" s="53" t="inlineStr">
        <is>
          <t>Covered</t>
        </is>
      </c>
      <c r="AV351" s="53" t="n"/>
      <c r="AW351" s="53" t="n"/>
      <c r="AX351" s="53" t="n"/>
      <c r="AY351" s="53" t="n"/>
      <c r="AZ351" s="53" t="n"/>
      <c r="BA351" s="53" t="n"/>
      <c r="BB351" s="53" t="n"/>
      <c r="BC351" s="53" t="n"/>
      <c r="BD351" s="53" t="n"/>
      <c r="BE351" s="53" t="n"/>
      <c r="BF351" s="53" t="n"/>
      <c r="BG351" s="53" t="n"/>
      <c r="BH351" s="53" t="n"/>
      <c r="BI351" s="53" t="n"/>
      <c r="BJ351" s="53" t="n"/>
      <c r="BK351" s="53" t="n"/>
      <c r="BL351" s="53" t="n"/>
      <c r="BM351" s="53" t="n"/>
      <c r="BN351" s="53" t="n"/>
      <c r="BO351" s="53" t="n"/>
      <c r="BP351" s="53" t="n"/>
      <c r="BQ351" s="53" t="n"/>
      <c r="BR351" s="53" t="n"/>
      <c r="BS351" s="53" t="n"/>
      <c r="BT351" s="53" t="n"/>
      <c r="BU351" s="53" t="n"/>
      <c r="BV351" s="53" t="n"/>
      <c r="BW351" s="53" t="n"/>
      <c r="BX351" s="53" t="n"/>
      <c r="BY351" s="53" t="n"/>
      <c r="BZ351" s="53" t="n"/>
      <c r="CA351" s="53" t="n"/>
      <c r="CB351" s="53" t="n"/>
      <c r="CC351" s="53" t="n"/>
      <c r="CD351" s="53" t="n"/>
      <c r="CE351" s="53" t="n"/>
      <c r="CF351" s="53" t="n"/>
      <c r="CG351" s="53" t="n"/>
      <c r="CH351" s="53" t="n"/>
      <c r="CI351" s="53" t="n"/>
      <c r="CJ351" s="53" t="n"/>
      <c r="CK351" s="53" t="n"/>
      <c r="CL351" s="53" t="n"/>
      <c r="CM351" s="53" t="n"/>
      <c r="CN351" s="53" t="n"/>
      <c r="CO351" s="53" t="n"/>
      <c r="CP351" s="53" t="n"/>
      <c r="CQ351" s="53" t="n"/>
      <c r="CR351" s="53" t="n"/>
      <c r="CS351" s="53" t="n"/>
      <c r="CT351" s="53" t="n"/>
      <c r="CU351" s="53" t="n"/>
      <c r="CV351" s="53" t="n"/>
      <c r="CW351" s="53" t="n"/>
      <c r="CX351" s="53" t="n"/>
      <c r="CY351" s="53" t="n"/>
      <c r="CZ351" s="53" t="n"/>
      <c r="DA351" s="53" t="n"/>
      <c r="DB351" s="53" t="n"/>
      <c r="DC351" s="53" t="n"/>
      <c r="DD351" s="53" t="inlineStr">
        <is>
          <t>IRIS2366</t>
        </is>
      </c>
      <c r="DE351" s="53" t="inlineStr">
        <is>
          <t>Employee</t>
        </is>
      </c>
      <c r="DF351" s="53" t="inlineStr">
        <is>
          <t>Active</t>
        </is>
      </c>
      <c r="DG351" s="53" t="inlineStr">
        <is>
          <t>Jailesh Bhadra</t>
        </is>
      </c>
      <c r="DH351" s="54" t="n">
        <v>45756</v>
      </c>
      <c r="DI351" s="53" t="inlineStr">
        <is>
          <t>Project Manager</t>
        </is>
      </c>
      <c r="DJ351" s="53" t="inlineStr">
        <is>
          <t>Project &amp; Program Management</t>
        </is>
      </c>
      <c r="DK351" s="53" t="inlineStr">
        <is>
          <t>Project Management</t>
        </is>
      </c>
      <c r="DL351" s="53" t="inlineStr">
        <is>
          <t>Project Manager</t>
        </is>
      </c>
      <c r="DM351" s="53" t="inlineStr">
        <is>
          <t>L5 – Manager</t>
        </is>
      </c>
      <c r="DN351" s="53" t="inlineStr">
        <is>
          <t>B.E</t>
        </is>
      </c>
      <c r="DO351" s="53" t="inlineStr">
        <is>
          <t>Pradip Dey</t>
        </is>
      </c>
      <c r="DP351" s="53" t="inlineStr">
        <is>
          <t>N-2</t>
        </is>
      </c>
      <c r="DQ351" s="53" t="inlineStr">
        <is>
          <t>Manager</t>
        </is>
      </c>
      <c r="DR351" s="53" t="inlineStr">
        <is>
          <t>10 years, 0 months, 00 days</t>
        </is>
      </c>
      <c r="DS351" s="53" t="inlineStr">
        <is>
          <t>1 years, 2 months, 11 days</t>
        </is>
      </c>
      <c r="DT351" s="53" t="inlineStr">
        <is>
          <t>11 years, 2 months, 11 days</t>
        </is>
      </c>
      <c r="DU351" s="53" t="n">
        <v>1.19680365296804</v>
      </c>
      <c r="DV351" s="53" t="inlineStr">
        <is>
          <t>Suptech</t>
        </is>
      </c>
      <c r="DW351" s="53" t="inlineStr">
        <is>
          <t>iFile</t>
        </is>
      </c>
      <c r="DX351" s="53" t="inlineStr">
        <is>
          <t>Technology</t>
        </is>
      </c>
      <c r="DY351" s="53" t="inlineStr">
        <is>
          <t>Project Management</t>
        </is>
      </c>
      <c r="DZ351" s="53" t="inlineStr">
        <is>
          <t>No</t>
        </is>
      </c>
      <c r="EA351" s="53" t="inlineStr">
        <is>
          <t>Product/Project</t>
        </is>
      </c>
      <c r="EB351" s="53" t="inlineStr">
        <is>
          <t>Project Management</t>
        </is>
      </c>
      <c r="EC351" s="53" t="inlineStr">
        <is>
          <t>Technical · BA, PM and QA</t>
        </is>
      </c>
      <c r="ED351" s="53" t="inlineStr">
        <is>
          <t>Work From Office - Turbhe</t>
        </is>
      </c>
      <c r="EE351" s="53" t="n"/>
      <c r="EF351" s="53" t="inlineStr">
        <is>
          <t>1. Consulting/Business Analysis
Gain deeper level knowledge of SupTech Domain. Research on financial domain regulations and various standards
Ensure team members in the BA pool are learning and getting opportunities to excel/contribute at a higher level of productivity
Minimize requirements related defects in projects. Measure and maintain metrics 
2. Project/product management
Complete QCB project implementation along with Nikhil as per time, scope and cost
Contribute for building product roadmap, tracking of implementation and integration with the iFile Platform 
Acquire expert level of knowledge for 1-2 domains and how we can facilitate effective digital transformaiton · e.g. Registration, AML/CFT etc.
3. Sales, Pre-sales, process adherence, team building, &amp; strategic contributions
Contribute to business expansion through active participation in sales, pre-sales, solutioning, and proposal development support · especially with the new products Dynaform, RISE, Registration Management etc.  
Ensure adoption of digital way of working across the various product modules
Ensure SCRUM rituals are followed effectively
Lead and Ensure we are fully ready for the Bank Of Jamaica demo
Contribute/support towards getting 1-2 new clients this financial year
4. AI
Leverage AI in day to day working - PM activities, preparation/reuse of requirement artefacts, test cases writing and automaiton etc.
Leverage AI to create synthetic data and prepare demo ready system for 3-4 regulators for at least 3 countries</t>
        </is>
      </c>
      <c r="EG351" s="53" t="inlineStr">
        <is>
          <t>Bank of Jamaica demo readiness
Process improvements
Initiate QCB UAT
Digital way of working and measurement of metrics through the tools</t>
        </is>
      </c>
      <c r="EH351" s="53" t="inlineStr">
        <is>
          <t>Outstanding</t>
        </is>
      </c>
      <c r="EI351" s="54" t="n">
        <v>45931</v>
      </c>
      <c r="EJ351" s="53" t="inlineStr">
        <is>
          <t>Project Manager</t>
        </is>
      </c>
      <c r="EK351" s="53" t="n"/>
      <c r="EL351" s="53" t="n">
        <v>4</v>
      </c>
      <c r="EM351" s="53" t="inlineStr">
        <is>
          <t>High</t>
        </is>
      </c>
      <c r="EN351" s="53" t="inlineStr">
        <is>
          <t>High Impact / Growth Talent</t>
        </is>
      </c>
      <c r="EO351" s="53" t="n"/>
      <c r="EP351" s="53" t="inlineStr">
        <is>
          <t>Y</t>
        </is>
      </c>
      <c r="EQ351" s="53" t="inlineStr">
        <is>
          <t>Y</t>
        </is>
      </c>
      <c r="ER351" s="53" t="n"/>
      <c r="ES351" s="53" t="inlineStr">
        <is>
          <t>Domian specific · AML, Business Registry etc</t>
        </is>
      </c>
      <c r="ET351" s="53" t="n"/>
      <c r="EU351" s="53" t="inlineStr">
        <is>
          <t>Testing - All iFIle projects,QCB</t>
        </is>
      </c>
      <c r="EV351" s="53" t="n"/>
      <c r="EW351" s="52" t="n"/>
      <c r="EX351" s="53" t="n"/>
      <c r="EY351" s="53" t="n"/>
      <c r="EZ351" s="53" t="n"/>
      <c r="FA351" s="53" t="n"/>
      <c r="FB351" s="53" t="n"/>
      <c r="FC351" s="53" t="inlineStr">
        <is>
          <t>Annual KRAs · objective Measurable Minimum 5 - set by Manager</t>
        </is>
      </c>
      <c r="FD351" s="53" t="n"/>
      <c r="FE351" s="57" t="inlineStr">
        <is>
          <t>1. Consulting/Business Analysis
Gain deeper level knowledge of SupTech Domain. Research on financial domain regulations and various standards
Ensure team members in the BA pool are learning and getting opportunities to excel/contribute at a higher level of productivity
Minimize requirements related defects in projects. Measure and maintain metrics 
2. Project/product management
Complete QCB project implementation along with Nikhil as per time, scope and cost
Contribute for building product roadmap, tracking of implementation and integration with the iFile Platform 
Acquire expert level of knowledge for 1-2 domains and how we can facilitate effective digital transformaiton · e.g. Registration, AML/CFT etc.
3. Sales, Pre-sales, process adherence, team building, &amp; strategic contributions
Contribute to business expansion through active participation in sales, pre-sales, solutioning, and proposal development support · especially with the new products Dynaform, RISE, Registration Management etc.  
Ensure adoption of digital way of working across the various product modules
Ensure SCRUM rituals are followed effectively
Lead and Ensure we are fully ready for the Bank Of Jamaica demo
Contribute/support towards getting 1-2 new clients this financial year
4. AI
Leverage AI in day to day working - PM activities, preparation/reuse of requirement artefacts, test cases writing and automaiton etc.
Leverage AI to create synthetic data and prepare demo ready system for 3-4 regulators for at least 3 countries</t>
        </is>
      </c>
      <c r="FF351" s="56" t="inlineStr">
        <is>
          <t>Bank of Jamaica demo readiness
Process improvements
Initiate QCB UAT
Digital way of working and measurement of metrics through the tools</t>
        </is>
      </c>
      <c r="FG351" s="56" t="n"/>
      <c r="FH351" s="56" t="inlineStr">
        <is>
          <t>Outstanding</t>
        </is>
      </c>
      <c r="FI351" s="56" t="n"/>
      <c r="FJ351" s="56" t="inlineStr">
        <is>
          <t>Received · manager annual, quarterly</t>
        </is>
      </c>
      <c r="FK351" s="56" t="inlineStr">
        <is>
          <t>Talent Mapping · iFile collated</t>
        </is>
      </c>
      <c r="FL351" s="56" t="n">
        <v>20</v>
      </c>
      <c r="FM351" s="32" t="inlineStr">
        <is>
          <t>Full survey answers not in the files received · How We Grow export needed · HR</t>
        </is>
      </c>
      <c r="FN351" s="56" t="inlineStr">
        <is>
          <t>—</t>
        </is>
      </c>
      <c r="FO351" s="56" t="inlineStr">
        <is>
          <t>—</t>
        </is>
      </c>
      <c r="FP351" s="56" t="inlineStr">
        <is>
          <t>—</t>
        </is>
      </c>
      <c r="FQ351" s="56" t="inlineStr">
        <is>
          <t>—</t>
        </is>
      </c>
      <c r="FR351" s="56" t="inlineStr">
        <is>
          <t>Complexity: Evidence reads like A3: Client onboarding on the application, documentation, status reporting, sprint ceremonies → moved down 0.5
Autonomy: Evidence reads like A3: Handles team's tasks; independently decides only status reports → moved down 0.5
Accountability: Evidence reads like B1: UAT closures; team's tasks; documentation and status outputs → moved down 0.5
Leadership: Evidence reads like B2: Team management listed; 7 direct reports → moved down 0.5
Business Impact: Moved +0.5: the survey / manager mapping marks it business-critical.</t>
        </is>
      </c>
      <c r="FS351" s="56" t="inlineStr">
        <is>
          <t>Common themes in role-holders' answers: project · management · support · business · stakeholder · client
Common themes in role-holders' answers: client · management · project · delivery · documentation
Common themes in role-holders' answers: project
Common themes in role-holders' answers: project · delivery · accountable · deliverables · timelines · scope quality
Common themes in role-holders' answers: project · issue
If the work is missed · role-holders' themes: client · rework · deliverables · delays.
Measured on · manager-set KRA themes: project · management · level · support · scope · client.</t>
        </is>
      </c>
      <c r="FT351" s="56" t="inlineStr">
        <is>
          <t>Self-identified: Domain, regulatory &amp; XBRL · Certification / formal course
For the next role: Domain, regulatory &amp; XBRL · Certification / formal course</t>
        </is>
      </c>
      <c r="FU351" s="32" t="inlineStr">
        <is>
          <t>Full survey answers not in the files received · How We Grow export needed · HR</t>
        </is>
      </c>
    </row>
    <row r="352" ht="90" customHeight="1">
      <c r="A352" s="51" t="inlineStr">
        <is>
          <t>◂ Back</t>
        </is>
      </c>
      <c r="B352" s="29" t="inlineStr">
        <is>
          <t>Mapped</t>
        </is>
      </c>
      <c r="C352" s="28" t="inlineStr">
        <is>
          <t>iFile</t>
        </is>
      </c>
      <c r="D352" s="29" t="inlineStr">
        <is>
          <t>IRIS0484</t>
        </is>
      </c>
      <c r="E352" s="29" t="inlineStr">
        <is>
          <t>Deepa Karmarkar</t>
        </is>
      </c>
      <c r="F352" s="29" t="inlineStr">
        <is>
          <t>Technology</t>
        </is>
      </c>
      <c r="G352" s="29" t="inlineStr">
        <is>
          <t>Lead Software Engineer</t>
        </is>
      </c>
      <c r="H352" s="29" t="inlineStr">
        <is>
          <t>Lead Software Engineer</t>
        </is>
      </c>
      <c r="I352" s="29" t="inlineStr">
        <is>
          <t>L5 – Lead · IC</t>
        </is>
      </c>
      <c r="J352" s="29" t="inlineStr">
        <is>
          <t>B2</t>
        </is>
      </c>
      <c r="K352" s="29" t="inlineStr">
        <is>
          <t>• Same level</t>
        </is>
      </c>
      <c r="L352" s="29" t="inlineStr">
        <is>
          <t>Engineering &amp; Development</t>
        </is>
      </c>
      <c r="M352" s="29" t="inlineStr">
        <is>
          <t>Backend Development</t>
        </is>
      </c>
      <c r="N352" s="29" t="n"/>
      <c r="O352" s="29" t="n">
        <v>20</v>
      </c>
      <c r="P352" s="28" t="inlineStr">
        <is>
          <t>P4 / M3</t>
        </is>
      </c>
      <c r="Q352" s="29" t="inlineStr">
        <is>
          <t>Senior / Manager</t>
        </is>
      </c>
      <c r="R352" s="29" t="inlineStr">
        <is>
          <t>4–5</t>
        </is>
      </c>
      <c r="S352" s="29" t="inlineStr">
        <is>
          <t>6–9 yrs</t>
        </is>
      </c>
      <c r="T352" s="29" t="inlineStr">
        <is>
          <t>7–10 · 6–11</t>
        </is>
      </c>
      <c r="U352" s="29" t="inlineStr">
        <is>
          <t>Principal Engineer</t>
        </is>
      </c>
      <c r="V352" s="29" t="inlineStr">
        <is>
          <t>Workiva: Senior SE · Broadridge India: Lead SE · Nasdaq / AxiomSL: Senior SE · Salesforce: SMTS · Atlassian: P50 Senior · 6–12 yrs · Freshworks: Lead SE</t>
        </is>
      </c>
      <c r="W352" s="29" t="inlineStr">
        <is>
          <t>SFIA 9 · software development, programming; OWASP secure coding; cloud vendor certifications</t>
        </is>
      </c>
      <c r="X352" s="29" t="inlineStr">
        <is>
          <t>Core 3 · Future 3 · Functional 4 · Leadership 2</t>
        </is>
      </c>
      <c r="Y352" s="52" t="n">
        <v>65</v>
      </c>
      <c r="Z352" s="53" t="inlineStr">
        <is>
          <t>IRIS0484</t>
        </is>
      </c>
      <c r="AA352" s="53" t="inlineStr">
        <is>
          <t>Employee</t>
        </is>
      </c>
      <c r="AB352" s="53" t="inlineStr">
        <is>
          <t>Active</t>
        </is>
      </c>
      <c r="AC352" s="53" t="inlineStr">
        <is>
          <t>Deepa Karmarkar</t>
        </is>
      </c>
      <c r="AD352" s="54" t="n">
        <v>40532</v>
      </c>
      <c r="AE352" s="53" t="inlineStr">
        <is>
          <t>Lead Software Engineer</t>
        </is>
      </c>
      <c r="AF352" s="53" t="inlineStr">
        <is>
          <t>B.E</t>
        </is>
      </c>
      <c r="AG352" s="53" t="inlineStr">
        <is>
          <t>Jailesh Bhadra</t>
        </is>
      </c>
      <c r="AH352" s="53" t="inlineStr">
        <is>
          <t>N-4</t>
        </is>
      </c>
      <c r="AI352" s="53" t="inlineStr">
        <is>
          <t>Individual Contributor</t>
        </is>
      </c>
      <c r="AJ352" s="53" t="inlineStr">
        <is>
          <t>4 years, 1 months, 0 days</t>
        </is>
      </c>
      <c r="AK352" s="53" t="inlineStr">
        <is>
          <t>15 years, 8 months, 5 days</t>
        </is>
      </c>
      <c r="AL352" s="53" t="inlineStr">
        <is>
          <t>Suptech</t>
        </is>
      </c>
      <c r="AM352" s="53" t="inlineStr">
        <is>
          <t>iFile</t>
        </is>
      </c>
      <c r="AN352" s="53" t="inlineStr">
        <is>
          <t>Technology</t>
        </is>
      </c>
      <c r="AO352" s="53" t="inlineStr">
        <is>
          <t>Development</t>
        </is>
      </c>
      <c r="AP352" s="53" t="inlineStr">
        <is>
          <t>Yes</t>
        </is>
      </c>
      <c r="AQ352" s="53" t="inlineStr">
        <is>
          <t>Product/Project</t>
        </is>
      </c>
      <c r="AR352" s="53" t="inlineStr">
        <is>
          <t>.NET MVC</t>
        </is>
      </c>
      <c r="AS352" s="53" t="inlineStr">
        <is>
          <t>Technical - Developer</t>
        </is>
      </c>
      <c r="AT352" s="53" t="n">
        <v>20</v>
      </c>
      <c r="AU352" s="53" t="inlineStr">
        <is>
          <t>Covered</t>
        </is>
      </c>
      <c r="AV352" s="53" t="n"/>
      <c r="AW352" s="53" t="n"/>
      <c r="AX352" s="53" t="n"/>
      <c r="AY352" s="53" t="n"/>
      <c r="AZ352" s="53" t="n"/>
      <c r="BA352" s="53" t="n"/>
      <c r="BB352" s="53" t="n"/>
      <c r="BC352" s="53" t="n"/>
      <c r="BD352" s="53" t="n"/>
      <c r="BE352" s="53" t="n"/>
      <c r="BF352" s="53" t="n"/>
      <c r="BG352" s="53" t="n"/>
      <c r="BH352" s="53" t="n"/>
      <c r="BI352" s="53" t="n"/>
      <c r="BJ352" s="53" t="n"/>
      <c r="BK352" s="53" t="n"/>
      <c r="BL352" s="53" t="n"/>
      <c r="BM352" s="53" t="n"/>
      <c r="BN352" s="53" t="n"/>
      <c r="BO352" s="53" t="n"/>
      <c r="BP352" s="53" t="n"/>
      <c r="BQ352" s="53" t="n"/>
      <c r="BR352" s="53" t="n"/>
      <c r="BS352" s="53" t="n"/>
      <c r="BT352" s="53" t="n"/>
      <c r="BU352" s="53" t="n"/>
      <c r="BV352" s="53" t="n"/>
      <c r="BW352" s="53" t="n"/>
      <c r="BX352" s="53" t="n"/>
      <c r="BY352" s="53" t="n"/>
      <c r="BZ352" s="53" t="n"/>
      <c r="CA352" s="53" t="n"/>
      <c r="CB352" s="53" t="n"/>
      <c r="CC352" s="53" t="n"/>
      <c r="CD352" s="53" t="n"/>
      <c r="CE352" s="53" t="n"/>
      <c r="CF352" s="53" t="n"/>
      <c r="CG352" s="53" t="n"/>
      <c r="CH352" s="53" t="n"/>
      <c r="CI352" s="53" t="n"/>
      <c r="CJ352" s="53" t="n"/>
      <c r="CK352" s="53" t="n"/>
      <c r="CL352" s="53" t="n"/>
      <c r="CM352" s="53" t="n"/>
      <c r="CN352" s="53" t="n"/>
      <c r="CO352" s="53" t="n"/>
      <c r="CP352" s="53" t="n"/>
      <c r="CQ352" s="53" t="n"/>
      <c r="CR352" s="53" t="n"/>
      <c r="CS352" s="53" t="n"/>
      <c r="CT352" s="53" t="n"/>
      <c r="CU352" s="53" t="n"/>
      <c r="CV352" s="53" t="n"/>
      <c r="CW352" s="53" t="n"/>
      <c r="CX352" s="53" t="n"/>
      <c r="CY352" s="53" t="n"/>
      <c r="CZ352" s="53" t="n"/>
      <c r="DA352" s="53" t="n"/>
      <c r="DB352" s="53" t="n"/>
      <c r="DC352" s="53" t="n"/>
      <c r="DD352" s="53" t="inlineStr">
        <is>
          <t>IRIS0484</t>
        </is>
      </c>
      <c r="DE352" s="53" t="inlineStr">
        <is>
          <t>Employee</t>
        </is>
      </c>
      <c r="DF352" s="53" t="inlineStr">
        <is>
          <t>Active</t>
        </is>
      </c>
      <c r="DG352" s="53" t="inlineStr">
        <is>
          <t>Deepa Karmarkar</t>
        </is>
      </c>
      <c r="DH352" s="54" t="n">
        <v>40532</v>
      </c>
      <c r="DI352" s="53" t="inlineStr">
        <is>
          <t>Lead Software Engineer</t>
        </is>
      </c>
      <c r="DJ352" s="53" t="inlineStr">
        <is>
          <t>Engineering &amp; Development</t>
        </is>
      </c>
      <c r="DK352" s="53" t="inlineStr">
        <is>
          <t>Backend Engineering ·.NET</t>
        </is>
      </c>
      <c r="DL352" s="53" t="inlineStr">
        <is>
          <t>Lead Software Engineer</t>
        </is>
      </c>
      <c r="DM352" s="53" t="inlineStr">
        <is>
          <t>L5 – Lead · IC</t>
        </is>
      </c>
      <c r="DN352" s="53" t="inlineStr">
        <is>
          <t>B.E</t>
        </is>
      </c>
      <c r="DO352" s="53" t="inlineStr">
        <is>
          <t>Jailesh Bhadra</t>
        </is>
      </c>
      <c r="DP352" s="53" t="inlineStr">
        <is>
          <t>N-3</t>
        </is>
      </c>
      <c r="DQ352" s="53" t="inlineStr">
        <is>
          <t>Individual Contributor</t>
        </is>
      </c>
      <c r="DR352" s="53" t="inlineStr">
        <is>
          <t>4 years, 1 months, 0 days</t>
        </is>
      </c>
      <c r="DS352" s="53" t="inlineStr">
        <is>
          <t>15 years, 6 months, 0 days</t>
        </is>
      </c>
      <c r="DT352" s="53" t="inlineStr">
        <is>
          <t>19 years, 7 months, 0 days</t>
        </is>
      </c>
      <c r="DU352" s="53" t="n"/>
      <c r="DV352" s="53" t="inlineStr">
        <is>
          <t>Suptech</t>
        </is>
      </c>
      <c r="DW352" s="53" t="inlineStr">
        <is>
          <t>iFile</t>
        </is>
      </c>
      <c r="DX352" s="53" t="inlineStr">
        <is>
          <t>Technology</t>
        </is>
      </c>
      <c r="DY352" s="53" t="inlineStr">
        <is>
          <t>Development</t>
        </is>
      </c>
      <c r="DZ352" s="53" t="inlineStr">
        <is>
          <t>Yes</t>
        </is>
      </c>
      <c r="EA352" s="53" t="inlineStr">
        <is>
          <t>Product/Project</t>
        </is>
      </c>
      <c r="EB352" s="53" t="inlineStr">
        <is>
          <t>.NET MVC</t>
        </is>
      </c>
      <c r="EC352" s="53" t="inlineStr">
        <is>
          <t>Technical - Developer</t>
        </is>
      </c>
      <c r="ED352" s="53" t="inlineStr">
        <is>
          <t>Hybrid</t>
        </is>
      </c>
      <c r="EE352" s="53" t="inlineStr">
        <is>
          <t>1. Business Analysis &amp; Requirements
Create documents: Deliver clear Business Requirements · BRDs and Functional Specs · FSDs for all assigned projects.
Write precisely: Write detailed requirements with clear data mapping, validation rules, and edge cases to prevent developer confusion.
Manage changes: Handle change requests after the initial sign-off.
2. System Launch &amp; Support
Meet deadlines: Try the assigned system rollouts or software upgrades are happening on time, escalate the deviations from the plan to management to minimize delays.
Check feasibility: Review new requests to ensure they are technically possible before giving them to developers.
Ensure accuracy: Deliver zero system errors caused by missed or misunderstood requirements.
3. Stakeholder &amp; Client Success
Keep clients happy: Earn a satisfaction score from project stakeholders.
Pass testing: Get User Acceptance Testing · UAT approved on the very first try.
4. Documentation &amp; Support
Update manuals: Keep 100% of user and guides accurate before every new launch or reporting period.
Organize records: Maintain an organized, up-to-date documentation for all versions and history logs for easy auditing.
Reply quickly: Answer internal developer and tester questions within 24 hours.
5. Learning &amp; Mentorship
Learn skills: Learning efficient AI tool to improve and speed up documentation.
Help others: Guide and provide good documentation to team members to help them to improve their work efficiency.</t>
        </is>
      </c>
      <c r="EF352" s="53" t="inlineStr">
        <is>
          <t>1. Own end-to-end technical delivery of assigned .NET modules with zero critical production defects
2. Provide architecture/design review &amp; mentoring, with review turnaround &lt;=48 hours
3. Drive at least 1 technical-debt/performance improvement initiative to completion this year
4. Maintain &gt;=95% on-time delivery for owned release commitments
5. Run at least 2 knowledge-transfer sessions/quarter to reduce single-point-of-failure risk on legacy .NET components
6. Support technical assessment/interviews for engineering hires as needed</t>
        </is>
      </c>
      <c r="EG352" s="53" t="inlineStr">
        <is>
          <t>Q1: Own end-to-end delivery of assigned .NET modules with zero critical defects
Q1: Maintain &lt;=48-hour review turnaround for design/code reviews
Q1: Run at least 2 knowledge-transfer sessions on legacy .NET components
Q1: Maintain &gt;=95% on-time delivery for owned commitments</t>
        </is>
      </c>
      <c r="EH352" s="53" t="n">
        <v>4</v>
      </c>
      <c r="EI352" s="53" t="inlineStr">
        <is>
          <t>Pending – to be scheduled</t>
        </is>
      </c>
      <c r="EJ352" s="53" t="inlineStr">
        <is>
          <t>Lead Software Engineer</t>
        </is>
      </c>
      <c r="EK352" s="53" t="inlineStr">
        <is>
          <t>Yes – Lead Software Engineer matches her scope, though her career track is worth discussing given 15+ years of tenure and her shift towards the role of BA.</t>
        </is>
      </c>
      <c r="EL352" s="53" t="n">
        <v>4</v>
      </c>
      <c r="EM352" s="53" t="inlineStr">
        <is>
          <t>Medium</t>
        </is>
      </c>
      <c r="EN352" s="53" t="inlineStr">
        <is>
          <t>High Impact / Growth Talent</t>
        </is>
      </c>
      <c r="EO352" s="53" t="inlineStr">
        <is>
          <t>N</t>
        </is>
      </c>
      <c r="EP352" s="53" t="inlineStr">
        <is>
          <t>N</t>
        </is>
      </c>
      <c r="EQ352" s="53" t="inlineStr">
        <is>
          <t>Y</t>
        </is>
      </c>
      <c r="ER352" s="53" t="inlineStr">
        <is>
          <t>No successor identified — she is the most senior .NET resource with 15+ years of institutional knowledge. .NET area to be discussed within Org</t>
        </is>
      </c>
      <c r="ES352" s="53" t="inlineStr">
        <is>
          <t>Modern .NET / cloud-native architecture upskilling; mentoring &amp; code-review leadership at scale; system design for complex/legacy modules</t>
        </is>
      </c>
      <c r="ET352" s="53" t="inlineStr">
        <is>
          <t>-</t>
        </is>
      </c>
      <c r="EU352" s="53" t="inlineStr">
        <is>
          <t>Converstion with her to decide her next role would help both her as well as organization.</t>
        </is>
      </c>
      <c r="EV352" s="53" t="n"/>
      <c r="EW352" s="52" t="n"/>
      <c r="EX352" s="53" t="n"/>
      <c r="EY352" s="53" t="n"/>
      <c r="EZ352" s="53" t="n"/>
      <c r="FA352" s="53" t="n"/>
      <c r="FB352" s="53" t="n"/>
      <c r="FC352" s="53" t="n"/>
      <c r="FD352" s="53" t="n"/>
      <c r="FE352" s="57" t="inlineStr">
        <is>
          <t>1. Own end-to-end technical delivery of assigned .NET modules with zero critical production defects
2. Provide architecture/design review &amp; mentoring, with review turnaround &lt;=48 hours
3. Drive at least 1 technical-debt/performance improvement initiative to completion this year
4. Maintain &gt;=95% on-time delivery for owned release commitments
5. Run at least 2 knowledge-transfer sessions/quarter to reduce single-point-of-failure risk on legacy .NET components
6. Support technical assessment/interviews for engineering hires as needed</t>
        </is>
      </c>
      <c r="FF352" s="56" t="inlineStr">
        <is>
          <t>Q1: Own end-to-end delivery of assigned .NET modules with zero critical defects
Q1: Maintain &lt;=48-hour review turnaround for design/code reviews
Q1: Run at least 2 knowledge-transfer sessions on legacy .NET components
Q1: Maintain &gt;=95% on-time delivery for owned commitments</t>
        </is>
      </c>
      <c r="FG352" s="56" t="inlineStr">
        <is>
          <t>1. Business Analysis &amp; Requirements
Create documents: Deliver clear Business Requirements · BRDs and Functional Specs · FSDs for all assigned projects.
Write precisely: Write detailed requirements with clear data mapping, validation rules, and edge cases to prevent developer confusion.
Manage changes: Handle change requests after the initial sign-off.
2. System Launch &amp; Support
Meet deadlines: Try the assigned system rollouts or software upgrades are happening on time, escalate the deviations from the plan to management to minimize delays.
Check feasibility: Review new requests to ensure they are technically possible before giving them to developers.
Ensure accuracy: Deliver zero system errors caused by missed or misunderstood requirements.
3. Stakeholder &amp; Client Success
Keep clients happy: Earn a satisfaction score from project stakeholders.
Pass testing: Get User Acceptance Testing · UAT approved on the very first try.
4. Documentation &amp; Support
Update manuals: Keep 100% of user and guides accurate before every new launch or reporting period.
Organize records: Maintain an organized, up-to-date documentation for all versions and history logs for easy auditing.
Reply quickly: Answer internal developer and tester questions within 24 hours.
5. Learning &amp; Mentorship
Learn skills: Learning efficient AI tool to improve and speed up documentation.
Help others: Guide and provide good documentation to team members to help them to improve their work efficiency.</t>
        </is>
      </c>
      <c r="FH352" s="56" t="inlineStr">
        <is>
          <t>4</t>
        </is>
      </c>
      <c r="FI352" s="56" t="n"/>
      <c r="FJ352" s="56" t="inlineStr">
        <is>
          <t>Received · manager annual, quarterly, self</t>
        </is>
      </c>
      <c r="FK352" s="56" t="inlineStr">
        <is>
          <t>Talent Mapping · iFile collated</t>
        </is>
      </c>
      <c r="FL352" s="56" t="n">
        <v>20</v>
      </c>
      <c r="FM352" s="32" t="inlineStr">
        <is>
          <t>Full survey answers not in the files received · How We Grow export needed · HR</t>
        </is>
      </c>
      <c r="FN352" s="56" t="inlineStr">
        <is>
          <t>—</t>
        </is>
      </c>
      <c r="FO352" s="56" t="inlineStr">
        <is>
          <t>—</t>
        </is>
      </c>
      <c r="FP352" s="56" t="inlineStr">
        <is>
          <t>—</t>
        </is>
      </c>
      <c r="FQ352" s="56" t="inlineStr">
        <is>
          <t>—</t>
        </is>
      </c>
      <c r="FR352" s="56" t="inlineStr">
        <is>
          <t>Complexity: Evidence reads like B1: Technical impact analysis of each client change before developers; BRDs, user manuals, requirement gap-filling → moved down 1
Autonomy: Evidence reads like A3: Decides content of user stories and BRDs on own work → moved down 1
Accountability: Evidence reads like A3: Scope maintenance and client acceptance criteria; errors cause wrong implementation and rework → moved down 1
Leadership: Evidence reads like A2: Explains requirements to development and testing teams; no people leadership → moved down 1
Business Impact: Moved +0.5: the survey / manager mapping marks it business-critical.</t>
        </is>
      </c>
      <c r="FS352" s="56" t="inlineStr">
        <is>
          <t>Common themes in role-holders' answers: solutions · technical · reliable · scalable · software · business
Common themes in role-holders' answers: delivery · technical · code · solution design · ownership · leadership
Common themes in role-holders' answers: documentation · features · software · produce · deliver
Common themes in role-holders' answers: design · am · accountable · solution · technical · delivery
Common themes in role-holders' answers: technical · approach · design · implementation · ai · code
If the work is missed · role-holders' themes: rework · client · impact · production · issues.
Measured on · manager-set KRA themes: modules · coverage · complete · components · committed · sprint.</t>
        </is>
      </c>
      <c r="FT352" s="56" t="inlineStr">
        <is>
          <t>Self-identified: Answered · no common topic
For the next role: Answered · no common topic</t>
        </is>
      </c>
      <c r="FU352" s="32" t="inlineStr">
        <is>
          <t>Full survey answers not in the files received · How We Grow export needed · HR</t>
        </is>
      </c>
    </row>
    <row r="353" ht="90" customHeight="1">
      <c r="A353" s="51" t="inlineStr">
        <is>
          <t>◂ Back</t>
        </is>
      </c>
      <c r="B353" s="29" t="inlineStr">
        <is>
          <t>Mapped</t>
        </is>
      </c>
      <c r="C353" s="28" t="inlineStr">
        <is>
          <t>iFile</t>
        </is>
      </c>
      <c r="D353" s="29" t="inlineStr">
        <is>
          <t>IRIS2492</t>
        </is>
      </c>
      <c r="E353" s="29" t="inlineStr">
        <is>
          <t>Abhishek Hegde</t>
        </is>
      </c>
      <c r="F353" s="29" t="inlineStr">
        <is>
          <t>Technology</t>
        </is>
      </c>
      <c r="G353" s="29" t="inlineStr">
        <is>
          <t>Senior Business Analyst</t>
        </is>
      </c>
      <c r="H353" s="29" t="inlineStr">
        <is>
          <t>Business Analysis Specialist</t>
        </is>
      </c>
      <c r="I353" s="29" t="inlineStr">
        <is>
          <t>L4 – Senior</t>
        </is>
      </c>
      <c r="J353" s="29" t="inlineStr">
        <is>
          <t>B1</t>
        </is>
      </c>
      <c r="K353" s="29" t="inlineStr">
        <is>
          <t>▲ Up</t>
        </is>
      </c>
      <c r="L353" s="29" t="inlineStr">
        <is>
          <t>Business Analysis</t>
        </is>
      </c>
      <c r="M353" s="29" t="inlineStr">
        <is>
          <t>Business Analysis</t>
        </is>
      </c>
      <c r="N353" s="29" t="n"/>
      <c r="O353" s="29" t="n">
        <v>20</v>
      </c>
      <c r="P353" s="28" t="inlineStr">
        <is>
          <t>P3 / M2</t>
        </is>
      </c>
      <c r="Q353" s="29" t="inlineStr">
        <is>
          <t>Career / · Team Lead</t>
        </is>
      </c>
      <c r="R353" s="29" t="inlineStr">
        <is>
          <t>4 Enable</t>
        </is>
      </c>
      <c r="S353" s="29" t="inlineStr">
        <is>
          <t>4–7 yrs</t>
        </is>
      </c>
      <c r="T353" s="29" t="inlineStr">
        <is>
          <t>5–8 · 4–8</t>
        </is>
      </c>
      <c r="U353" s="29" t="inlineStr">
        <is>
          <t>Senior Business Analyst</t>
        </is>
      </c>
      <c r="V353" s="29" t="inlineStr">
        <is>
          <t>Regnology — regulatory reporting: BA · Reg Reporting · Big Four consulting: Senior Consultant · IRIS Vs Market Benchmark — IIBA certification pathway: CCBA · Infosys / Accenture: JL4 · L9 Consultant</t>
        </is>
      </c>
      <c r="W353" s="29" t="inlineStr">
        <is>
          <t>IIBA BABOK v3; certifications ECBA · entry → CCBA → CBAP · senior</t>
        </is>
      </c>
      <c r="X353" s="29" t="inlineStr">
        <is>
          <t>Core 3 · Future 3 · Functional 3 · Leadership 1</t>
        </is>
      </c>
      <c r="Y353" s="52" t="n">
        <v>465</v>
      </c>
      <c r="Z353" s="53" t="inlineStr">
        <is>
          <t>IRIS2492</t>
        </is>
      </c>
      <c r="AA353" s="53" t="inlineStr">
        <is>
          <t>Employee</t>
        </is>
      </c>
      <c r="AB353" s="53" t="inlineStr">
        <is>
          <t>Active</t>
        </is>
      </c>
      <c r="AC353" s="53" t="inlineStr">
        <is>
          <t>Abhishek Hegde</t>
        </is>
      </c>
      <c r="AD353" s="54" t="n">
        <v>46090</v>
      </c>
      <c r="AE353" s="53" t="inlineStr">
        <is>
          <t>Senior Business Analyst</t>
        </is>
      </c>
      <c r="AF353" s="53" t="inlineStr">
        <is>
          <t>MBA</t>
        </is>
      </c>
      <c r="AG353" s="53" t="inlineStr">
        <is>
          <t>Jailesh Bhadra</t>
        </is>
      </c>
      <c r="AH353" s="53" t="inlineStr">
        <is>
          <t>N-4</t>
        </is>
      </c>
      <c r="AI353" s="53" t="inlineStr">
        <is>
          <t>Individual Contributor</t>
        </is>
      </c>
      <c r="AJ353" s="53" t="inlineStr">
        <is>
          <t>8 years, 8 months, 0 days</t>
        </is>
      </c>
      <c r="AK353" s="53" t="inlineStr">
        <is>
          <t>0 years, 5 months, 16 days</t>
        </is>
      </c>
      <c r="AL353" s="53" t="inlineStr">
        <is>
          <t>Suptech</t>
        </is>
      </c>
      <c r="AM353" s="53" t="inlineStr">
        <is>
          <t>iFile</t>
        </is>
      </c>
      <c r="AN353" s="53" t="inlineStr">
        <is>
          <t>Technology</t>
        </is>
      </c>
      <c r="AO353" s="53" t="inlineStr">
        <is>
          <t>Business Analysis</t>
        </is>
      </c>
      <c r="AP353" s="53" t="inlineStr">
        <is>
          <t>Yes</t>
        </is>
      </c>
      <c r="AQ353" s="53" t="inlineStr">
        <is>
          <t>Product/Project</t>
        </is>
      </c>
      <c r="AR353" s="53" t="inlineStr">
        <is>
          <t>Business Analysis</t>
        </is>
      </c>
      <c r="AS353" s="53" t="inlineStr">
        <is>
          <t>Technical · BA, PM and QA</t>
        </is>
      </c>
      <c r="AT353" s="53" t="n">
        <v>20</v>
      </c>
      <c r="AU353" s="53" t="inlineStr">
        <is>
          <t>Covered</t>
        </is>
      </c>
      <c r="AV353" s="53" t="n"/>
      <c r="AW353" s="53" t="n"/>
      <c r="AX353" s="53" t="n"/>
      <c r="AY353" s="53" t="n"/>
      <c r="AZ353" s="53" t="n"/>
      <c r="BA353" s="53" t="n"/>
      <c r="BB353" s="53" t="n"/>
      <c r="BC353" s="53" t="n"/>
      <c r="BD353" s="53" t="n"/>
      <c r="BE353" s="53" t="n"/>
      <c r="BF353" s="53" t="n"/>
      <c r="BG353" s="53" t="n"/>
      <c r="BH353" s="53" t="n"/>
      <c r="BI353" s="53" t="n"/>
      <c r="BJ353" s="53" t="n"/>
      <c r="BK353" s="53" t="n"/>
      <c r="BL353" s="53" t="n"/>
      <c r="BM353" s="53" t="n"/>
      <c r="BN353" s="53" t="n"/>
      <c r="BO353" s="53" t="n"/>
      <c r="BP353" s="53" t="n"/>
      <c r="BQ353" s="53" t="n"/>
      <c r="BR353" s="53" t="n"/>
      <c r="BS353" s="53" t="n"/>
      <c r="BT353" s="53" t="n"/>
      <c r="BU353" s="53" t="n"/>
      <c r="BV353" s="53" t="n"/>
      <c r="BW353" s="53" t="n"/>
      <c r="BX353" s="53" t="n"/>
      <c r="BY353" s="53" t="n"/>
      <c r="BZ353" s="53" t="n"/>
      <c r="CA353" s="53" t="n"/>
      <c r="CB353" s="53" t="n"/>
      <c r="CC353" s="53" t="n"/>
      <c r="CD353" s="53" t="n"/>
      <c r="CE353" s="53" t="n"/>
      <c r="CF353" s="53" t="n"/>
      <c r="CG353" s="53" t="n"/>
      <c r="CH353" s="53" t="n"/>
      <c r="CI353" s="53" t="n"/>
      <c r="CJ353" s="53" t="n"/>
      <c r="CK353" s="53" t="n"/>
      <c r="CL353" s="53" t="n"/>
      <c r="CM353" s="53" t="n"/>
      <c r="CN353" s="53" t="n"/>
      <c r="CO353" s="53" t="n"/>
      <c r="CP353" s="53" t="n"/>
      <c r="CQ353" s="53" t="n"/>
      <c r="CR353" s="53" t="n"/>
      <c r="CS353" s="53" t="n"/>
      <c r="CT353" s="53" t="n"/>
      <c r="CU353" s="53" t="n"/>
      <c r="CV353" s="53" t="n"/>
      <c r="CW353" s="53" t="n"/>
      <c r="CX353" s="53" t="n"/>
      <c r="CY353" s="53" t="n"/>
      <c r="CZ353" s="53" t="n"/>
      <c r="DA353" s="53" t="n"/>
      <c r="DB353" s="53" t="n"/>
      <c r="DC353" s="53" t="n"/>
      <c r="DD353" s="53" t="inlineStr">
        <is>
          <t>IRIS2492</t>
        </is>
      </c>
      <c r="DE353" s="53" t="inlineStr">
        <is>
          <t>Employee</t>
        </is>
      </c>
      <c r="DF353" s="53" t="inlineStr">
        <is>
          <t>Active</t>
        </is>
      </c>
      <c r="DG353" s="53" t="inlineStr">
        <is>
          <t>Abhishek Hegde</t>
        </is>
      </c>
      <c r="DH353" s="54" t="n">
        <v>46090</v>
      </c>
      <c r="DI353" s="53" t="inlineStr">
        <is>
          <t>Senior Business Analyst</t>
        </is>
      </c>
      <c r="DJ353" s="53" t="inlineStr">
        <is>
          <t>Business Analysis</t>
        </is>
      </c>
      <c r="DK353" s="53" t="inlineStr">
        <is>
          <t>Business / Functional Analysis</t>
        </is>
      </c>
      <c r="DL353" s="53" t="inlineStr">
        <is>
          <t>Senior Business Analyst</t>
        </is>
      </c>
      <c r="DM353" s="53" t="inlineStr">
        <is>
          <t>L4 – Senior</t>
        </is>
      </c>
      <c r="DN353" s="53" t="inlineStr">
        <is>
          <t>MBA</t>
        </is>
      </c>
      <c r="DO353" s="53" t="inlineStr">
        <is>
          <t>Jailesh Bhadra</t>
        </is>
      </c>
      <c r="DP353" s="53" t="inlineStr">
        <is>
          <t>N-3</t>
        </is>
      </c>
      <c r="DQ353" s="53" t="inlineStr">
        <is>
          <t>Individual Contributor</t>
        </is>
      </c>
      <c r="DR353" s="53" t="inlineStr">
        <is>
          <t>8 years, 8 months, 0 days</t>
        </is>
      </c>
      <c r="DS353" s="53" t="inlineStr">
        <is>
          <t>0 years, 3 months, 11 days</t>
        </is>
      </c>
      <c r="DT353" s="53" t="inlineStr">
        <is>
          <t>8 years, 11 months, 11 days</t>
        </is>
      </c>
      <c r="DU353" s="53" t="n"/>
      <c r="DV353" s="53" t="inlineStr">
        <is>
          <t>Suptech</t>
        </is>
      </c>
      <c r="DW353" s="53" t="inlineStr">
        <is>
          <t>iFile</t>
        </is>
      </c>
      <c r="DX353" s="53" t="inlineStr">
        <is>
          <t>Technology</t>
        </is>
      </c>
      <c r="DY353" s="53" t="inlineStr">
        <is>
          <t>Business Analysis</t>
        </is>
      </c>
      <c r="DZ353" s="53" t="inlineStr">
        <is>
          <t>Yes</t>
        </is>
      </c>
      <c r="EA353" s="53" t="inlineStr">
        <is>
          <t>Product/Project</t>
        </is>
      </c>
      <c r="EB353" s="53" t="inlineStr">
        <is>
          <t>Business Analysis</t>
        </is>
      </c>
      <c r="EC353" s="53" t="inlineStr">
        <is>
          <t>Technical · BA, PM and QA</t>
        </is>
      </c>
      <c r="ED353" s="53" t="inlineStr">
        <is>
          <t>Client Side</t>
        </is>
      </c>
      <c r="EE353" s="53" t="inlineStr">
        <is>
          <t>1. Deliver assigned BA/Analysis workstreams with ≥95% adherence to planned timelines and ≥95% quality acceptance rate.
2. Ensure 100% completion of requirement artifacts · BRD/FRS/SRS/User Stories/Use Cases/RTM/UAT test cases for assigned projects, with &lt;5% review comments requiring major rework.
3. Ensure 95% of assigned escalations, blockers, and requirement-related issues are resolved or actioned within agreed SLA timelines.
4. Provide technical/functional guidance to at least 2 team members, ensuring their deliverables consistently meet quality standards.
5. Improve BA productivity by creating/reusing templates, checklists, and knowledge assets, reducing documentation effort by at least 15%.
6. Manage backlog, work allocation, sprint tracking, and delivery follow-up through Quickscrum/Jira, ensuring ≥90% planned work completion per sprint.</t>
        </is>
      </c>
      <c r="EF353" s="53" t="inlineStr">
        <is>
          <t>1. Deliver &gt;=95% of assigned BRDs/FSDs approved with &lt;=1 revision cycle
2. Ensure &gt;=90% on-time delivery of BA deliverables against plan
3. Achieve &gt;=4.2/5 client-side stakeholder satisfaction on requirement clarity
4. Complete UAT support/sign-off for &gt;=90% of assigned releases within timeline
5. Build strong client-side relationship management — zero escalations attributable to communication gaps
6. Mentor/support onboarding of junior BAs on the account as needed</t>
        </is>
      </c>
      <c r="EG353" s="53" t="inlineStr">
        <is>
          <t>Q1: Complete onboarding to client-side account &amp; processes within first 90 days
Q1: Deliver assigned BRDs/FSDs approved with &lt;=1 revision cycle
Q1: Achieve &gt;=4.2/5 client-side stakeholder satisfaction
Q1: Zero escalations attributable to communication gaps</t>
        </is>
      </c>
      <c r="EH353" s="53" t="n">
        <v>3</v>
      </c>
      <c r="EI353" s="53" t="inlineStr">
        <is>
          <t>Pending – to be scheduled</t>
        </is>
      </c>
      <c r="EJ353" s="53" t="inlineStr">
        <is>
          <t>Senior Business Analyst</t>
        </is>
      </c>
      <c r="EK353" s="53" t="inlineStr">
        <is>
          <t>No – Senior BA designation matches his overall experience and current scope.</t>
        </is>
      </c>
      <c r="EL353" s="53" t="n">
        <v>3</v>
      </c>
      <c r="EM353" s="53" t="inlineStr">
        <is>
          <t>Medium</t>
        </is>
      </c>
      <c r="EN353" s="53" t="inlineStr">
        <is>
          <t>Core Contributor</t>
        </is>
      </c>
      <c r="EO353" s="53" t="inlineStr">
        <is>
          <t>N</t>
        </is>
      </c>
      <c r="EP353" s="53" t="inlineStr">
        <is>
          <t>N</t>
        </is>
      </c>
      <c r="EQ353" s="53" t="inlineStr">
        <is>
          <t>N</t>
        </is>
      </c>
      <c r="ER353" s="53" t="inlineStr">
        <is>
          <t>No successor formally identified - Prajakta covers similar scope</t>
        </is>
      </c>
      <c r="ES353" s="53" t="inlineStr">
        <is>
          <t>Advanced client-side stakeholder management; XBRL/regulatory domain depth; commercial/contract awareness; Product knowledge and visualization</t>
        </is>
      </c>
      <c r="ET353" s="53" t="inlineStr">
        <is>
          <t>-</t>
        </is>
      </c>
      <c r="EU353" s="53" t="inlineStr">
        <is>
          <t>Recent feedback has resulted in need to monitor the performance in future</t>
        </is>
      </c>
      <c r="EV353" s="53" t="n"/>
      <c r="EW353" s="52" t="n"/>
      <c r="EX353" s="53" t="n"/>
      <c r="EY353" s="53" t="n"/>
      <c r="EZ353" s="53" t="n"/>
      <c r="FA353" s="53" t="n"/>
      <c r="FB353" s="53" t="n"/>
      <c r="FC353" s="53" t="n"/>
      <c r="FD353" s="53" t="n"/>
      <c r="FE353" s="57" t="inlineStr">
        <is>
          <t>1. Deliver &gt;=95% of assigned BRDs/FSDs approved with &lt;=1 revision cycle
2. Ensure &gt;=90% on-time delivery of BA deliverables against plan
3. Achieve &gt;=4.2/5 client-side stakeholder satisfaction on requirement clarity
4. Complete UAT support/sign-off for &gt;=90% of assigned releases within timeline
5. Build strong client-side relationship management — zero escalations attributable to communication gaps
6. Mentor/support onboarding of junior BAs on the account as needed</t>
        </is>
      </c>
      <c r="FF353" s="56" t="inlineStr">
        <is>
          <t>Q1: Complete onboarding to client-side account &amp; processes within first 90 days
Q1: Deliver assigned BRDs/FSDs approved with &lt;=1 revision cycle
Q1: Achieve &gt;=4.2/5 client-side stakeholder satisfaction
Q1: Zero escalations attributable to communication gaps</t>
        </is>
      </c>
      <c r="FG353" s="56" t="inlineStr">
        <is>
          <t>1. Deliver assigned BA/Analysis workstreams with ≥95% adherence to planned timelines and ≥95% quality acceptance rate.
2. Ensure 100% completion of requirement artifacts · BRD/FRS/SRS/User Stories/Use Cases/RTM/UAT test cases for assigned projects, with &lt;5% review comments requiring major rework.
3. Ensure 95% of assigned escalations, blockers, and requirement-related issues are resolved or actioned within agreed SLA timelines.
4. Provide technical/functional guidance to at least 2 team members, ensuring their deliverables consistently meet quality standards.
5. Improve BA productivity by creating/reusing templates, checklists, and knowledge assets, reducing documentation effort by at least 15%.
6. Manage backlog, work allocation, sprint tracking, and delivery follow-up through Quickscrum/Jira, ensuring ≥90% planned work completion per sprint.</t>
        </is>
      </c>
      <c r="FH353" s="56" t="inlineStr">
        <is>
          <t>3</t>
        </is>
      </c>
      <c r="FI353" s="56" t="n"/>
      <c r="FJ353" s="56" t="inlineStr">
        <is>
          <t>Received · manager annual, quarterly, self</t>
        </is>
      </c>
      <c r="FK353" s="56" t="inlineStr">
        <is>
          <t>Talent Mapping · iFile collated</t>
        </is>
      </c>
      <c r="FL353" s="56" t="n">
        <v>20</v>
      </c>
      <c r="FM353" s="32" t="inlineStr">
        <is>
          <t>Full survey answers not in the files received · How We Grow export needed · HR</t>
        </is>
      </c>
      <c r="FN353" s="56" t="inlineStr">
        <is>
          <t>—</t>
        </is>
      </c>
      <c r="FO353" s="56" t="inlineStr">
        <is>
          <t>—</t>
        </is>
      </c>
      <c r="FP353" s="56" t="inlineStr">
        <is>
          <t>—</t>
        </is>
      </c>
      <c r="FQ353" s="56" t="inlineStr">
        <is>
          <t>—</t>
        </is>
      </c>
      <c r="FR353" s="56" t="inlineStr">
        <is>
          <t>Complexity: Evidence reads like A3: Requirement gathering, BRD/FRS/SRS, user stories, backlog and sprint planning, defect tracking → moved down 0.5
Autonomy: Evidence reads like A3: Decides documentation structure and task prioritisation → moved down 0.5
Accountability: Evidence reads like A3: Completeness and traceability of client requirements; backlog readiness → moved down 0.5
Leadership: Evidence reads like A3: Team coordination; manager KRA requires guiding at least two team members → matches the start</t>
        </is>
      </c>
      <c r="FS353" s="56" t="inlineStr">
        <is>
          <t>Common themes in role-holders' answers: business · smooth · between · client · am · requirements
Common themes in role-holders' answers: requirement · stakeholder · gathering · client · project · portfolio
Common themes in role-holders' answers: product · regulator
Common themes in role-holders' answers: requirement · client · time · issue · assigned
Common themes in role-holders' answers: documentation
If the work is missed · role-holders' themes: client · delivery · escalation · unresolved · without.
Measured on · manager-set KRA themes: releases · satisfaction · delivery · assigned · requirement.</t>
        </is>
      </c>
      <c r="FT353" s="56" t="inlineStr">
        <is>
          <t>Self-identified: Leadership &amp; people management
For the next role: Leadership &amp; people management</t>
        </is>
      </c>
      <c r="FU353" s="32" t="inlineStr">
        <is>
          <t>Full survey answers not in the files received · How We Grow export needed · HR</t>
        </is>
      </c>
    </row>
    <row r="354" ht="90" customHeight="1">
      <c r="A354" s="51" t="inlineStr">
        <is>
          <t>◂ Back</t>
        </is>
      </c>
      <c r="B354" s="29" t="inlineStr">
        <is>
          <t>Mapped</t>
        </is>
      </c>
      <c r="C354" s="28" t="inlineStr">
        <is>
          <t>iFile</t>
        </is>
      </c>
      <c r="D354" s="29" t="inlineStr">
        <is>
          <t>IRIS2289</t>
        </is>
      </c>
      <c r="E354" s="29" t="inlineStr">
        <is>
          <t>Shruti Patil</t>
        </is>
      </c>
      <c r="F354" s="29" t="inlineStr">
        <is>
          <t>Technology</t>
        </is>
      </c>
      <c r="G354" s="29" t="inlineStr">
        <is>
          <t>Business Analyst</t>
        </is>
      </c>
      <c r="H354" s="29" t="inlineStr">
        <is>
          <t>Team Lead – Business Analysis</t>
        </is>
      </c>
      <c r="I354" s="29" t="inlineStr">
        <is>
          <t>L3 – Professional / Associate</t>
        </is>
      </c>
      <c r="J354" s="29" t="inlineStr">
        <is>
          <t>B1</t>
        </is>
      </c>
      <c r="K354" s="29" t="inlineStr">
        <is>
          <t>▲ Up</t>
        </is>
      </c>
      <c r="L354" s="29" t="inlineStr">
        <is>
          <t>Business Analysis</t>
        </is>
      </c>
      <c r="M354" s="29" t="inlineStr">
        <is>
          <t>Business Analysis</t>
        </is>
      </c>
      <c r="N354" s="29" t="n"/>
      <c r="O354" s="29" t="n">
        <v>20</v>
      </c>
      <c r="P354" s="28" t="inlineStr">
        <is>
          <t>P3 / M2</t>
        </is>
      </c>
      <c r="Q354" s="29" t="inlineStr">
        <is>
          <t>Career / · Team Lead</t>
        </is>
      </c>
      <c r="R354" s="29" t="inlineStr">
        <is>
          <t>4 Enable</t>
        </is>
      </c>
      <c r="S354" s="29" t="inlineStr">
        <is>
          <t>4–7 yrs</t>
        </is>
      </c>
      <c r="T354" s="29" t="inlineStr">
        <is>
          <t>5–8 · 4–8</t>
        </is>
      </c>
      <c r="U354" s="29" t="inlineStr">
        <is>
          <t>Team Lead / Assistant Manager</t>
        </is>
      </c>
      <c r="V354" s="29" t="inlineStr">
        <is>
          <t>Regnology — regulatory reporting: BA · Reg Reporting · Big Four consulting: Senior Consultant · IRIS Vs Market Benchmark — IIBA certification pathway: CCBA · Infosys / Accenture: JL4 · L9 Consultant</t>
        </is>
      </c>
      <c r="W354" s="29" t="inlineStr">
        <is>
          <t>IIBA BABOK v3; certifications ECBA · entry → CCBA → CBAP · senior</t>
        </is>
      </c>
      <c r="X354" s="29" t="inlineStr">
        <is>
          <t>Core 3 · Future 3 · Functional 3 · Leadership 2</t>
        </is>
      </c>
      <c r="Y354" s="52" t="n">
        <v>330</v>
      </c>
      <c r="Z354" s="53" t="inlineStr">
        <is>
          <t>IRIS2289</t>
        </is>
      </c>
      <c r="AA354" s="53" t="inlineStr">
        <is>
          <t>Employee</t>
        </is>
      </c>
      <c r="AB354" s="53" t="inlineStr">
        <is>
          <t>Active</t>
        </is>
      </c>
      <c r="AC354" s="53" t="inlineStr">
        <is>
          <t>Shruti Patil</t>
        </is>
      </c>
      <c r="AD354" s="54" t="n">
        <v>45474</v>
      </c>
      <c r="AE354" s="53" t="inlineStr">
        <is>
          <t>Business Analyst</t>
        </is>
      </c>
      <c r="AF354" s="53" t="inlineStr">
        <is>
          <t>M.E</t>
        </is>
      </c>
      <c r="AG354" s="53" t="inlineStr">
        <is>
          <t>Jailesh Bhadra</t>
        </is>
      </c>
      <c r="AH354" s="53" t="inlineStr">
        <is>
          <t>N-4</t>
        </is>
      </c>
      <c r="AI354" s="53" t="inlineStr">
        <is>
          <t>Manager</t>
        </is>
      </c>
      <c r="AJ354" s="53" t="inlineStr">
        <is>
          <t>2 years, 3 months, 0 days</t>
        </is>
      </c>
      <c r="AK354" s="53" t="inlineStr">
        <is>
          <t>2 years, 1 months, 24 days</t>
        </is>
      </c>
      <c r="AL354" s="53" t="inlineStr">
        <is>
          <t>Suptech</t>
        </is>
      </c>
      <c r="AM354" s="53" t="inlineStr">
        <is>
          <t>iFile</t>
        </is>
      </c>
      <c r="AN354" s="53" t="inlineStr">
        <is>
          <t>Technology</t>
        </is>
      </c>
      <c r="AO354" s="53" t="inlineStr">
        <is>
          <t>Business Analysis</t>
        </is>
      </c>
      <c r="AP354" s="53" t="inlineStr">
        <is>
          <t>No</t>
        </is>
      </c>
      <c r="AQ354" s="53" t="inlineStr">
        <is>
          <t>Product/Project</t>
        </is>
      </c>
      <c r="AR354" s="53" t="inlineStr">
        <is>
          <t>Business Analysis</t>
        </is>
      </c>
      <c r="AS354" s="53" t="inlineStr">
        <is>
          <t>Technical · BA, PM and QA</t>
        </is>
      </c>
      <c r="AT354" s="53" t="n">
        <v>20</v>
      </c>
      <c r="AU354" s="53" t="inlineStr">
        <is>
          <t>Covered</t>
        </is>
      </c>
      <c r="AV354" s="53" t="n"/>
      <c r="AW354" s="53" t="n"/>
      <c r="AX354" s="53" t="n"/>
      <c r="AY354" s="53" t="n"/>
      <c r="AZ354" s="53" t="n"/>
      <c r="BA354" s="53" t="n"/>
      <c r="BB354" s="53" t="n"/>
      <c r="BC354" s="53" t="n"/>
      <c r="BD354" s="53" t="n"/>
      <c r="BE354" s="53" t="n"/>
      <c r="BF354" s="53" t="n"/>
      <c r="BG354" s="53" t="n"/>
      <c r="BH354" s="53" t="n"/>
      <c r="BI354" s="53" t="n"/>
      <c r="BJ354" s="53" t="n"/>
      <c r="BK354" s="53" t="n"/>
      <c r="BL354" s="53" t="n"/>
      <c r="BM354" s="53" t="n"/>
      <c r="BN354" s="53" t="n"/>
      <c r="BO354" s="53" t="n"/>
      <c r="BP354" s="53" t="n"/>
      <c r="BQ354" s="53" t="n"/>
      <c r="BR354" s="53" t="n"/>
      <c r="BS354" s="53" t="n"/>
      <c r="BT354" s="53" t="n"/>
      <c r="BU354" s="53" t="n"/>
      <c r="BV354" s="53" t="n"/>
      <c r="BW354" s="53" t="n"/>
      <c r="BX354" s="53" t="n"/>
      <c r="BY354" s="53" t="n"/>
      <c r="BZ354" s="53" t="n"/>
      <c r="CA354" s="53" t="n"/>
      <c r="CB354" s="53" t="n"/>
      <c r="CC354" s="53" t="n"/>
      <c r="CD354" s="53" t="n"/>
      <c r="CE354" s="53" t="n"/>
      <c r="CF354" s="53" t="n"/>
      <c r="CG354" s="53" t="n"/>
      <c r="CH354" s="53" t="n"/>
      <c r="CI354" s="53" t="n"/>
      <c r="CJ354" s="53" t="n"/>
      <c r="CK354" s="53" t="n"/>
      <c r="CL354" s="53" t="n"/>
      <c r="CM354" s="53" t="n"/>
      <c r="CN354" s="53" t="n"/>
      <c r="CO354" s="53" t="n"/>
      <c r="CP354" s="53" t="n"/>
      <c r="CQ354" s="53" t="n"/>
      <c r="CR354" s="53" t="n"/>
      <c r="CS354" s="53" t="n"/>
      <c r="CT354" s="53" t="n"/>
      <c r="CU354" s="53" t="n"/>
      <c r="CV354" s="53" t="n"/>
      <c r="CW354" s="53" t="n"/>
      <c r="CX354" s="53" t="n"/>
      <c r="CY354" s="53" t="n"/>
      <c r="CZ354" s="53" t="n"/>
      <c r="DA354" s="53" t="n"/>
      <c r="DB354" s="53" t="n"/>
      <c r="DC354" s="53" t="n"/>
      <c r="DD354" s="53" t="inlineStr">
        <is>
          <t>IRIS2289</t>
        </is>
      </c>
      <c r="DE354" s="53" t="inlineStr">
        <is>
          <t>Employee</t>
        </is>
      </c>
      <c r="DF354" s="53" t="inlineStr">
        <is>
          <t>Active</t>
        </is>
      </c>
      <c r="DG354" s="53" t="inlineStr">
        <is>
          <t>Shruti Patil</t>
        </is>
      </c>
      <c r="DH354" s="54" t="n">
        <v>45474</v>
      </c>
      <c r="DI354" s="53" t="inlineStr">
        <is>
          <t>Business Analyst</t>
        </is>
      </c>
      <c r="DJ354" s="53" t="inlineStr">
        <is>
          <t>Business Analysis</t>
        </is>
      </c>
      <c r="DK354" s="53" t="inlineStr">
        <is>
          <t>Business / Functional Analysis</t>
        </is>
      </c>
      <c r="DL354" s="53" t="inlineStr">
        <is>
          <t>Business Analyst</t>
        </is>
      </c>
      <c r="DM354" s="53" t="inlineStr">
        <is>
          <t>L3 – Professional / Associate</t>
        </is>
      </c>
      <c r="DN354" s="53" t="inlineStr">
        <is>
          <t>M.E</t>
        </is>
      </c>
      <c r="DO354" s="53" t="inlineStr">
        <is>
          <t>Jailesh Bhadra</t>
        </is>
      </c>
      <c r="DP354" s="53" t="inlineStr">
        <is>
          <t>N-3</t>
        </is>
      </c>
      <c r="DQ354" s="53" t="inlineStr">
        <is>
          <t>Manager</t>
        </is>
      </c>
      <c r="DR354" s="53" t="inlineStr">
        <is>
          <t>2 years, 3 months, 0 days</t>
        </is>
      </c>
      <c r="DS354" s="53" t="inlineStr">
        <is>
          <t>1 years, 11 months, 19 days</t>
        </is>
      </c>
      <c r="DT354" s="53" t="inlineStr">
        <is>
          <t>4 years, 2 months, 19 days</t>
        </is>
      </c>
      <c r="DU354" s="53" t="n">
        <v>1.96872146118721</v>
      </c>
      <c r="DV354" s="53" t="inlineStr">
        <is>
          <t>Suptech</t>
        </is>
      </c>
      <c r="DW354" s="53" t="inlineStr">
        <is>
          <t>iFile</t>
        </is>
      </c>
      <c r="DX354" s="53" t="inlineStr">
        <is>
          <t>Technology</t>
        </is>
      </c>
      <c r="DY354" s="53" t="inlineStr">
        <is>
          <t>Business Analysis</t>
        </is>
      </c>
      <c r="DZ354" s="53" t="inlineStr">
        <is>
          <t>No</t>
        </is>
      </c>
      <c r="EA354" s="53" t="inlineStr">
        <is>
          <t>Product/Project</t>
        </is>
      </c>
      <c r="EB354" s="53" t="inlineStr">
        <is>
          <t>Business Analysis</t>
        </is>
      </c>
      <c r="EC354" s="53" t="inlineStr">
        <is>
          <t>Technical · BA, PM and QA</t>
        </is>
      </c>
      <c r="ED354" s="53" t="inlineStr">
        <is>
          <t>Remote - Mumbai</t>
        </is>
      </c>
      <c r="EE354" s="53" t="inlineStr">
        <is>
          <t>1- Stakeholder Management &amp; Project Governance
• Conduct weekly project progress meetings with the Project Manager and key stakeholders.
• Achieve 90%+ stakeholder satisfaction through timely communication and proactive issue resolution.
• Facilitate business and technical alignment meetings to minimize scope ambiguity.
• Provide accurate weekly status updates, risks, dependencies, and action items.
2 - Business Analysis Delivery &amp; Quality
• Deliver assigned Business Analysis workstreams with ≥95% quality and on-time completion.
• Produce high-quality BRDs, FRSs, user stories, process flows, RTMs, and other BA deliverables with minimal rework.
• Ensure requirements are complete, traceable, and approved by stakeholders.
3 - UAT, FAT &amp; Go-Live Management
• Prepare standardized UAT and FAT plans, test scenarios, test cases, and Requirement Traceability Matrices · RTMs for all assigned projects.
• Ensure 100% completion and sign-off of UAT and FAT documentation before production deployment.
• Coordinate UAT/FAT execution, defect resolution, production deployment, Go-Live, and post-production validation.
• Reduce defects reaching production through effective requirement validation, comprehensive test coverage, and successful Go-Live support.
4 - Client Training &amp; Knowledge Transfer – SSM MBRS Integration CR
• Prepare a comprehensive training plan, user guides, and training materials.
• Conduct client training sessions as per the project schedule.
• Achieve 90%+ participant satisfaction through effective knowledge transfer.
• Provide post-training support and ensure successful project handover.
5 - Team Mentoring &amp; Capability Development
• Provide day-to-day functional and technical guidance to 2 team members.
• Review deliverables and ensure they meet quality standards.
• Promote knowledge sharing and support team members in resolving functional and business analysis challenges.
6 - Issue &amp; Escalation Management
• Monitor and manage project issues and escalations for the assigned workstream/pod.
• Ensure 100% of critical issues and escalations are resolved within the agreed SLA.
• Proactively identify risks, coordinate with stakeholders, and implement mitigation actions to ensure smooth project delivery.
7 - Professional Development – PMP Certification
• Successfully obtain the Project Management Professional · PMP certification during the appraisal period.
• Apply PMP best practices to project planning, stakeholder management, risk management, and governance.
• Conduct a knowledge-sharing session for the team and incorporate standardized project management practices into project execution.</t>
        </is>
      </c>
      <c r="EF354" s="53" t="inlineStr">
        <is>
          <t>1. Deliver own BA/analysis workstreams to &gt;=95% quality &amp; timeliness
2. Provide day-to-day guidance &amp; escalation support to 2 Client Solutions Executives · Varsha, Shreya
3. Maintain team CSAT of &gt;=4.2/5 across the 2 CSEs she guides
4. Ensure escalations routed to her are resolved within SLA
5. Contribute to support process/documentation improvements
6. Provide Jailesh with visibility on team workload &amp; performance monthly</t>
        </is>
      </c>
      <c r="EG354" s="53" t="inlineStr">
        <is>
          <t>Q1: Deliver own BA workstreams to &gt;=95% quality &amp; timeliness
Q1: Establish a regular guidance cadence with Varsha &amp; Shreya
Q1: Maintain team CSAT &gt;=4.2/5
Q1: Provide first monthly team workload/performance update to Jailesh</t>
        </is>
      </c>
      <c r="EH354" s="53" t="n">
        <v>4</v>
      </c>
      <c r="EI354" s="54" t="n">
        <v>45931</v>
      </c>
      <c r="EJ354" s="53" t="inlineStr">
        <is>
          <t>Business Analyst</t>
        </is>
      </c>
      <c r="EK354" s="53" t="inlineStr">
        <is>
          <t>Yes — designated 'Business Analyst' but is the reporting manager for 2 resources and currently she has been made the Project Manager for IFSCA project.</t>
        </is>
      </c>
      <c r="EL354" s="53" t="n">
        <v>4</v>
      </c>
      <c r="EM354" s="53" t="inlineStr">
        <is>
          <t>High</t>
        </is>
      </c>
      <c r="EN354" s="53" t="inlineStr">
        <is>
          <t>Future Leader</t>
        </is>
      </c>
      <c r="EO354" s="53" t="inlineStr">
        <is>
          <t>Y</t>
        </is>
      </c>
      <c r="EP354" s="53" t="inlineStr">
        <is>
          <t>Y</t>
        </is>
      </c>
      <c r="EQ354" s="53" t="inlineStr">
        <is>
          <t>Y</t>
        </is>
      </c>
      <c r="ER354" s="53" t="inlineStr">
        <is>
          <t>No successor formally identified</t>
        </is>
      </c>
      <c r="ES354" s="53" t="inlineStr">
        <is>
          <t>Support process &amp; escalation management; CSAT/SLA analytics; client relationship management; team workload planning; Project Management</t>
        </is>
      </c>
      <c r="ET354" s="53" t="inlineStr">
        <is>
          <t>People management fundamentals, performance coaching &amp; delegation, formal team-lead onboarding, cross-functional stakeholder management</t>
        </is>
      </c>
      <c r="EU354" s="53" t="inlineStr">
        <is>
          <t>-</t>
        </is>
      </c>
      <c r="EV354" s="53" t="n"/>
      <c r="EW354" s="52" t="n"/>
      <c r="EX354" s="53" t="n"/>
      <c r="EY354" s="53" t="n"/>
      <c r="EZ354" s="53" t="n"/>
      <c r="FA354" s="53" t="n"/>
      <c r="FB354" s="53" t="n"/>
      <c r="FC354" s="53" t="n"/>
      <c r="FD354" s="53" t="n"/>
      <c r="FE354" s="57" t="inlineStr">
        <is>
          <t>1. Deliver own BA/analysis workstreams to &gt;=95% quality &amp; timeliness
2. Provide day-to-day guidance &amp; escalation support to 2 Client Solutions Executives · Varsha, Shreya
3. Maintain team CSAT of &gt;=4.2/5 across the 2 CSEs she guides
4. Ensure escalations routed to her are resolved within SLA
5. Contribute to support process/documentation improvements
6. Provide Jailesh with visibility on team workload &amp; performance monthly</t>
        </is>
      </c>
      <c r="FF354" s="56" t="inlineStr">
        <is>
          <t>Q1: Deliver own BA workstreams to &gt;=95% quality &amp; timeliness
Q1: Establish a regular guidance cadence with Varsha &amp; Shreya
Q1: Maintain team CSAT &gt;=4.2/5
Q1: Provide first monthly team workload/performance update to Jailesh</t>
        </is>
      </c>
      <c r="FG354" s="56" t="inlineStr">
        <is>
          <t>1- Stakeholder Management &amp; Project Governance
• Conduct weekly project progress meetings with the Project Manager and key stakeholders.
• Achieve 90%+ stakeholder satisfaction through timely communication and proactive issue resolution.
• Facilitate business and technical alignment meetings to minimize scope ambiguity.
• Provide accurate weekly status updates, risks, dependencies, and action items.
2 - Business Analysis Delivery &amp; Quality
• Deliver assigned Business Analysis workstreams with ≥95% quality and on-time completion.
• Produce high-quality BRDs, FRSs, user stories, process flows, RTMs, and other BA deliverables with minimal rework.
• Ensure requirements are complete, traceable, and approved by stakeholders.
3 - UAT, FAT &amp; Go-Live Management
• Prepare standardized UAT and FAT plans, test scenarios, test cases, and Requirement Traceability Matrices · RTMs for all assigned projects.
• Ensure 100% completion and sign-off of UAT and FAT documentation before production deployment.
• Coordinate UAT/FAT execution, defect resolution, production deployment, Go-Live, and post-production validation.
• Reduce defects reaching production through effective requirement validation, comprehensive test coverage, and successful Go-Live support.
4 - Client Training &amp; Knowledge Transfer – SSM MBRS Integration CR
• Prepare a comprehensive training plan, user guides, and training materials.
• Conduct client training sessions as per the project schedule.
• Achieve 90%+ participant satisfaction through effective knowledge transfer.
• Provide post-training support and ensure successful project handover.
5 - Team Mentoring &amp; Capability Development
• Provide day-to-day functional and technical guidance to 2 team members.
• Review deliverables and ensure they meet quality standards.
• Promote knowledge sharing and support team members in resolving functional and business analysis challenges.
6 - Issue &amp; Escalation Management
• Monitor and manage project issues and escalations for the assigned workstream/pod.
• Ensure 100% of critical issues and escalations are resolved within the agreed SLA.
• Proactively identify risks, coordinate with stakeholders, and implement mitigation actions to ensure smooth project delivery.
7 - Professional Development – PMP Certification
• Successfully obtain the Project Management Professional · PMP certification during the appraisal period.
• Apply PMP best practices to project planning, stakeholder management, risk management, and governance.
• Conduct a knowledge-sharing session for the team and incorporate standardized project management practices into project execution.</t>
        </is>
      </c>
      <c r="FH354" s="56" t="inlineStr">
        <is>
          <t>4</t>
        </is>
      </c>
      <c r="FI354" s="56" t="n"/>
      <c r="FJ354" s="56" t="inlineStr">
        <is>
          <t>Received · manager annual, quarterly, self</t>
        </is>
      </c>
      <c r="FK354" s="56" t="inlineStr">
        <is>
          <t>Talent Mapping · iFile collated</t>
        </is>
      </c>
      <c r="FL354" s="56" t="n">
        <v>20</v>
      </c>
      <c r="FM354" s="32" t="inlineStr">
        <is>
          <t>Full survey answers not in the files received · How We Grow export needed · HR</t>
        </is>
      </c>
      <c r="FN354" s="56" t="inlineStr">
        <is>
          <t>—</t>
        </is>
      </c>
      <c r="FO354" s="56" t="inlineStr">
        <is>
          <t>—</t>
        </is>
      </c>
      <c r="FP354" s="56" t="inlineStr">
        <is>
          <t>—</t>
        </is>
      </c>
      <c r="FQ354" s="56" t="inlineStr">
        <is>
          <t>—</t>
        </is>
      </c>
      <c r="FR354" s="56" t="inlineStr">
        <is>
          <t>Complexity: Evidence reads like A3: Writes BRS/SRS/SDD, maintains MPP project plan, risk register, weekly status report, CR forms → matches the start
Autonomy: Evidence reads like B1: Assigns scrum tasks to the team; revises plan dates with client; seniors still guide → moved up 0.5
Accountability: Evidence reads like B1: Tracks project timeline, deliverables and invoice claims for a 4-person team; client status reporting → matches the start
Leadership: Evidence reads like B1: Coordinates and assigns scrum tasks to team; 4 direct reports → matches the start
Business Impact: Moved +0.5: the survey / manager mapping marks it business-critical.</t>
        </is>
      </c>
      <c r="FS354" s="56" t="inlineStr">
        <is>
          <t>Common themes in sub-family holders, all levels' answers: business · requirements · bridge · analyst · between · technical
Common themes in sub-family holders, all levels' answers: requirement · documentation · stakeholder · client · gathering · analysis
Common themes in sub-family holders, all levels' answers: product · user stories · requirements · process · client · deliver
Common themes in sub-family holders, all levels' answers: requirements · accountable · documentation · delivery · am · business
Common themes in sub-family holders, all levels' answers: requirements · user · documentation · process · stories · assign
If the work is missed · role-holders' themes: client · rework · delays.
Measured on · manager-set KRA themes: client · first · quality · contribute · update · establish.</t>
        </is>
      </c>
      <c r="FT354" s="56" t="inlineStr">
        <is>
          <t>Self-identified: Project / programme management · Product &amp; tool knowledge · Certification / formal course
For the next role: Project / programme management · Product &amp; tool knowledge · Certification / formal course</t>
        </is>
      </c>
      <c r="FU354" s="32" t="inlineStr">
        <is>
          <t>Full survey answers not in the files received · How We Grow export needed · HR</t>
        </is>
      </c>
    </row>
    <row r="355" ht="90" customHeight="1">
      <c r="A355" s="51" t="inlineStr">
        <is>
          <t>◂ Back</t>
        </is>
      </c>
      <c r="B355" s="29" t="inlineStr">
        <is>
          <t>Mapped</t>
        </is>
      </c>
      <c r="C355" s="28" t="inlineStr">
        <is>
          <t>iFile</t>
        </is>
      </c>
      <c r="D355" s="29" t="inlineStr">
        <is>
          <t>IRIS2202</t>
        </is>
      </c>
      <c r="E355" s="29" t="inlineStr">
        <is>
          <t>Shreya Shinde</t>
        </is>
      </c>
      <c r="F355" s="29" t="inlineStr">
        <is>
          <t>Support</t>
        </is>
      </c>
      <c r="G355" s="29" t="inlineStr">
        <is>
          <t>Client Solutions Executive</t>
        </is>
      </c>
      <c r="H355" s="29" t="inlineStr">
        <is>
          <t>Senior Support Executive</t>
        </is>
      </c>
      <c r="I355" s="29" t="inlineStr">
        <is>
          <t>L3 – Professional / Associate</t>
        </is>
      </c>
      <c r="J355" s="29" t="inlineStr">
        <is>
          <t>A3</t>
        </is>
      </c>
      <c r="K355" s="29" t="inlineStr">
        <is>
          <t>▲ Up</t>
        </is>
      </c>
      <c r="L355" s="29" t="inlineStr">
        <is>
          <t>Customer Success &amp; Support</t>
        </is>
      </c>
      <c r="M355" s="29" t="inlineStr">
        <is>
          <t>Application &amp; Product Support</t>
        </is>
      </c>
      <c r="N355" s="29" t="n"/>
      <c r="O355" s="29" t="n">
        <v>20</v>
      </c>
      <c r="P355" s="28" t="inlineStr">
        <is>
          <t>P2</t>
        </is>
      </c>
      <c r="Q355" s="29" t="inlineStr">
        <is>
          <t>Developing</t>
        </is>
      </c>
      <c r="R355" s="29" t="inlineStr">
        <is>
          <t>3 Apply</t>
        </is>
      </c>
      <c r="S355" s="29" t="inlineStr">
        <is>
          <t>2–4 yrs</t>
        </is>
      </c>
      <c r="T355" s="29" t="inlineStr">
        <is>
          <t>3–5 · 2–5</t>
        </is>
      </c>
      <c r="U355" s="29" t="inlineStr">
        <is>
          <t>Support / CS Executive</t>
        </is>
      </c>
      <c r="V355" s="29" t="inlineStr">
        <is>
          <t>IRIS Vs Competitor Benchmark — SaaS customer-success ladder: Associate CSM · Regnology: Product Support Specialist · Reg Reporting · IRIS Vs Competitor Benchmark — support tiers: L2 Application Support</t>
        </is>
      </c>
      <c r="W355" s="29" t="inlineStr">
        <is>
          <t>TSIA frameworks and benchmarks; ITIL 4 service desk; Gainsight customer-success practice</t>
        </is>
      </c>
      <c r="X355" s="29" t="inlineStr">
        <is>
          <t>Core 2 · Future 2 · Functional 3 · Leadership not scored</t>
        </is>
      </c>
      <c r="Y355" s="52" t="n">
        <v>298</v>
      </c>
      <c r="Z355" s="53" t="inlineStr">
        <is>
          <t>IRIS2202</t>
        </is>
      </c>
      <c r="AA355" s="53" t="inlineStr">
        <is>
          <t>Employee</t>
        </is>
      </c>
      <c r="AB355" s="53" t="inlineStr">
        <is>
          <t>Serving Notice</t>
        </is>
      </c>
      <c r="AC355" s="53" t="inlineStr">
        <is>
          <t>Shreya Shinde</t>
        </is>
      </c>
      <c r="AD355" s="54" t="n">
        <v>45231</v>
      </c>
      <c r="AE355" s="53" t="inlineStr">
        <is>
          <t>Client Solutions Executive</t>
        </is>
      </c>
      <c r="AF355" s="53" t="inlineStr">
        <is>
          <t>B.Com</t>
        </is>
      </c>
      <c r="AG355" s="53" t="inlineStr">
        <is>
          <t>Shruti Patil</t>
        </is>
      </c>
      <c r="AH355" s="53" t="inlineStr">
        <is>
          <t>N-5</t>
        </is>
      </c>
      <c r="AI355" s="53" t="inlineStr">
        <is>
          <t>Individual Contributor</t>
        </is>
      </c>
      <c r="AJ355" s="53" t="inlineStr">
        <is>
          <t>9 years, 11 months, 0 days</t>
        </is>
      </c>
      <c r="AK355" s="53" t="inlineStr">
        <is>
          <t>2 years, 9 months, 24 days</t>
        </is>
      </c>
      <c r="AL355" s="53" t="inlineStr">
        <is>
          <t>Suptech</t>
        </is>
      </c>
      <c r="AM355" s="53" t="inlineStr">
        <is>
          <t>iFile</t>
        </is>
      </c>
      <c r="AN355" s="53" t="inlineStr">
        <is>
          <t>Support</t>
        </is>
      </c>
      <c r="AO355" s="53" t="inlineStr">
        <is>
          <t>Product Support</t>
        </is>
      </c>
      <c r="AP355" s="53" t="inlineStr">
        <is>
          <t>No</t>
        </is>
      </c>
      <c r="AQ355" s="53" t="inlineStr">
        <is>
          <t>Product/Project</t>
        </is>
      </c>
      <c r="AR355" s="53" t="inlineStr">
        <is>
          <t>Tech Support</t>
        </is>
      </c>
      <c r="AS355" s="53" t="inlineStr">
        <is>
          <t>Non-technical</t>
        </is>
      </c>
      <c r="AT355" s="53" t="n">
        <v>20</v>
      </c>
      <c r="AU355" s="53" t="inlineStr">
        <is>
          <t>Covered</t>
        </is>
      </c>
      <c r="AV355" s="53" t="n"/>
      <c r="AW355" s="53" t="n"/>
      <c r="AX355" s="53" t="n"/>
      <c r="AY355" s="53" t="n"/>
      <c r="AZ355" s="53" t="n"/>
      <c r="BA355" s="53" t="n"/>
      <c r="BB355" s="53" t="n"/>
      <c r="BC355" s="53" t="n"/>
      <c r="BD355" s="53" t="n"/>
      <c r="BE355" s="53" t="n"/>
      <c r="BF355" s="53" t="n"/>
      <c r="BG355" s="53" t="n"/>
      <c r="BH355" s="53" t="n"/>
      <c r="BI355" s="53" t="n"/>
      <c r="BJ355" s="53" t="n"/>
      <c r="BK355" s="53" t="n"/>
      <c r="BL355" s="53" t="n"/>
      <c r="BM355" s="53" t="n"/>
      <c r="BN355" s="53" t="n"/>
      <c r="BO355" s="53" t="n"/>
      <c r="BP355" s="53" t="n"/>
      <c r="BQ355" s="53" t="n"/>
      <c r="BR355" s="53" t="n"/>
      <c r="BS355" s="53" t="n"/>
      <c r="BT355" s="53" t="n"/>
      <c r="BU355" s="53" t="n"/>
      <c r="BV355" s="53" t="n"/>
      <c r="BW355" s="53" t="n"/>
      <c r="BX355" s="53" t="n"/>
      <c r="BY355" s="53" t="n"/>
      <c r="BZ355" s="53" t="n"/>
      <c r="CA355" s="53" t="n"/>
      <c r="CB355" s="53" t="n"/>
      <c r="CC355" s="53" t="n"/>
      <c r="CD355" s="53" t="n"/>
      <c r="CE355" s="53" t="n"/>
      <c r="CF355" s="53" t="n"/>
      <c r="CG355" s="53" t="n"/>
      <c r="CH355" s="53" t="n"/>
      <c r="CI355" s="53" t="n"/>
      <c r="CJ355" s="53" t="n"/>
      <c r="CK355" s="53" t="n"/>
      <c r="CL355" s="53" t="n"/>
      <c r="CM355" s="53" t="n"/>
      <c r="CN355" s="53" t="n"/>
      <c r="CO355" s="53" t="n"/>
      <c r="CP355" s="53" t="n"/>
      <c r="CQ355" s="53" t="n"/>
      <c r="CR355" s="53" t="n"/>
      <c r="CS355" s="53" t="n"/>
      <c r="CT355" s="53" t="n"/>
      <c r="CU355" s="53" t="n"/>
      <c r="CV355" s="53" t="n"/>
      <c r="CW355" s="53" t="n"/>
      <c r="CX355" s="53" t="n"/>
      <c r="CY355" s="53" t="n"/>
      <c r="CZ355" s="53" t="n"/>
      <c r="DA355" s="53" t="n"/>
      <c r="DB355" s="53" t="n"/>
      <c r="DC355" s="53" t="n"/>
      <c r="DD355" s="53" t="inlineStr">
        <is>
          <t>IRIS2202</t>
        </is>
      </c>
      <c r="DE355" s="53" t="inlineStr">
        <is>
          <t>Employee</t>
        </is>
      </c>
      <c r="DF355" s="53" t="inlineStr">
        <is>
          <t>Serving Notice</t>
        </is>
      </c>
      <c r="DG355" s="53" t="inlineStr">
        <is>
          <t>Shreya Shinde</t>
        </is>
      </c>
      <c r="DH355" s="54" t="n">
        <v>45231</v>
      </c>
      <c r="DI355" s="53" t="inlineStr">
        <is>
          <t>Client Solutions Executive</t>
        </is>
      </c>
      <c r="DJ355" s="53" t="inlineStr">
        <is>
          <t>Customer Success &amp; Support</t>
        </is>
      </c>
      <c r="DK355" s="53" t="inlineStr">
        <is>
          <t>Technical Support</t>
        </is>
      </c>
      <c r="DL355" s="53" t="inlineStr">
        <is>
          <t>Client Solutions Executive</t>
        </is>
      </c>
      <c r="DM355" s="53" t="inlineStr">
        <is>
          <t>L3 – Professional / Associate</t>
        </is>
      </c>
      <c r="DN355" s="53" t="inlineStr">
        <is>
          <t>B.Com</t>
        </is>
      </c>
      <c r="DO355" s="53" t="inlineStr">
        <is>
          <t>Shruti Patil</t>
        </is>
      </c>
      <c r="DP355" s="53" t="inlineStr">
        <is>
          <t>N-4</t>
        </is>
      </c>
      <c r="DQ355" s="53" t="inlineStr">
        <is>
          <t>Individual Contributor</t>
        </is>
      </c>
      <c r="DR355" s="53" t="inlineStr">
        <is>
          <t>9 years, 11 months, 0 days</t>
        </is>
      </c>
      <c r="DS355" s="53" t="inlineStr">
        <is>
          <t>2 years, 7 months, 19 days</t>
        </is>
      </c>
      <c r="DT355" s="53" t="inlineStr">
        <is>
          <t>12 years, 6 months, 19 days</t>
        </is>
      </c>
      <c r="DU355" s="53" t="n"/>
      <c r="DV355" s="53" t="inlineStr">
        <is>
          <t>Suptech</t>
        </is>
      </c>
      <c r="DW355" s="53" t="inlineStr">
        <is>
          <t>iFile</t>
        </is>
      </c>
      <c r="DX355" s="53" t="inlineStr">
        <is>
          <t>Support</t>
        </is>
      </c>
      <c r="DY355" s="53" t="inlineStr">
        <is>
          <t>Product Support</t>
        </is>
      </c>
      <c r="DZ355" s="53" t="inlineStr">
        <is>
          <t>No</t>
        </is>
      </c>
      <c r="EA355" s="53" t="inlineStr">
        <is>
          <t>Product/Project</t>
        </is>
      </c>
      <c r="EB355" s="53" t="inlineStr">
        <is>
          <t>Tech Support</t>
        </is>
      </c>
      <c r="EC355" s="53" t="inlineStr">
        <is>
          <t>Non-technical</t>
        </is>
      </c>
      <c r="ED355" s="53" t="inlineStr">
        <is>
          <t>Remote - Mumbai</t>
        </is>
      </c>
      <c r="EE355" s="53" t="inlineStr">
        <is>
          <t>Awaited - On NP</t>
        </is>
      </c>
      <c r="EF355" s="53"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EG355" s="53" t="inlineStr">
        <is>
          <t>Q1: Maintain client/customer satisfaction · CSAT of &gt;=4.2 / 5
Q1: Resolve &gt;=95% of assigned tickets/queries within SLA
Q1: Keep first-response time within agreed SLA on 100% of cases
Q1: Drive retention/renewal of assigned accounts to &gt;=90%</t>
        </is>
      </c>
      <c r="EH355" s="53" t="n">
        <v>3</v>
      </c>
      <c r="EI355" s="53" t="inlineStr">
        <is>
          <t>-</t>
        </is>
      </c>
      <c r="EJ355" s="53" t="inlineStr">
        <is>
          <t>Client Solutions Executive</t>
        </is>
      </c>
      <c r="EK355" s="53" t="inlineStr">
        <is>
          <t>No – designation matches current CSE/support scope.</t>
        </is>
      </c>
      <c r="EL355" s="53" t="n">
        <v>3</v>
      </c>
      <c r="EM355" s="53" t="inlineStr">
        <is>
          <t>Medium</t>
        </is>
      </c>
      <c r="EN355" s="53" t="inlineStr">
        <is>
          <t>Core Contributor</t>
        </is>
      </c>
      <c r="EO355" s="53" t="inlineStr">
        <is>
          <t>N</t>
        </is>
      </c>
      <c r="EP355" s="53" t="inlineStr">
        <is>
          <t>N</t>
        </is>
      </c>
      <c r="EQ355" s="53" t="inlineStr">
        <is>
          <t>N</t>
        </is>
      </c>
      <c r="ER355" s="53" t="inlineStr">
        <is>
          <t>No successor identified — Varsha covers similar scope for now</t>
        </is>
      </c>
      <c r="ES355" s="53" t="inlineStr">
        <is>
          <t>Customer success methods; communication &amp; de-escalation; product/domain depth; ticketing &amp; SLA tools</t>
        </is>
      </c>
      <c r="ET355" s="53" t="inlineStr">
        <is>
          <t>-</t>
        </is>
      </c>
      <c r="EU355" s="53" t="inlineStr">
        <is>
          <t>Serving Notice Period - Might need discussion with her reporting manager</t>
        </is>
      </c>
      <c r="EV355" s="53" t="n"/>
      <c r="EW355" s="52" t="n"/>
      <c r="EX355" s="53" t="n"/>
      <c r="EY355" s="53" t="n"/>
      <c r="EZ355" s="53" t="n"/>
      <c r="FA355" s="53" t="n"/>
      <c r="FB355" s="53" t="n"/>
      <c r="FC355" s="53" t="n"/>
      <c r="FD355" s="53" t="n"/>
      <c r="FE355" s="57"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FF355" s="56" t="inlineStr">
        <is>
          <t>Q1: Maintain client/customer satisfaction · CSAT of &gt;=4.2 / 5
Q1: Resolve &gt;=95% of assigned tickets/queries within SLA
Q1: Keep first-response time within agreed SLA on 100% of cases
Q1: Drive retention/renewal of assigned accounts to &gt;=90%</t>
        </is>
      </c>
      <c r="FG355" s="56" t="inlineStr">
        <is>
          <t>Awaited - On NP</t>
        </is>
      </c>
      <c r="FH355" s="56" t="inlineStr">
        <is>
          <t>3</t>
        </is>
      </c>
      <c r="FI355" s="56" t="n"/>
      <c r="FJ355" s="56" t="inlineStr">
        <is>
          <t>Received · manager annual, quarterly, self</t>
        </is>
      </c>
      <c r="FK355" s="56" t="inlineStr">
        <is>
          <t>Talent Mapping · iFile collated</t>
        </is>
      </c>
      <c r="FL355" s="56" t="n">
        <v>20</v>
      </c>
      <c r="FM355" s="32" t="inlineStr">
        <is>
          <t>Full survey answers not in the files received · How We Grow export needed · HR</t>
        </is>
      </c>
      <c r="FN355" s="56" t="inlineStr">
        <is>
          <t>—</t>
        </is>
      </c>
      <c r="FO355" s="56" t="inlineStr">
        <is>
          <t>—</t>
        </is>
      </c>
      <c r="FP355" s="56" t="inlineStr">
        <is>
          <t>—</t>
        </is>
      </c>
      <c r="FQ355" s="56" t="inlineStr">
        <is>
          <t>—</t>
        </is>
      </c>
      <c r="FR355" s="56" t="inlineStr">
        <is>
          <t>Complexity: Evidence reads like A2: Resolves support tickets, prepares test cases, runs functional and API testing → matches the start
Autonomy: Evidence reads like A2: Resolves tickets, prepares test cases and fixes validation errors independently → matches the start
Accountability: Evidence reads like A2: Follow-up of issues to closure and accuracy of test cases and results → matches the start
Leadership: Evidence reads like A2: Provides KT sessions and team knowledge sharing → moved up 0.5
Business Impact: No move: the survey / manager mapping does not mark it business-critical or unique.</t>
        </is>
      </c>
      <c r="FS355" s="56"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FT355" s="56" t="inlineStr">
        <is>
          <t>Self-identified: Testing &amp; quality · Broader exposure &amp; ownership
For the next role: Testing &amp; quality · Broader exposure &amp; ownership</t>
        </is>
      </c>
      <c r="FU355" s="32" t="inlineStr">
        <is>
          <t>Full survey answers not in the files received · How We Grow export needed · HR</t>
        </is>
      </c>
    </row>
    <row r="356" ht="90" customHeight="1">
      <c r="A356" s="51" t="inlineStr">
        <is>
          <t>◂ Back</t>
        </is>
      </c>
      <c r="B356" s="29" t="inlineStr">
        <is>
          <t>Mapped</t>
        </is>
      </c>
      <c r="C356" s="28" t="inlineStr">
        <is>
          <t>iFile</t>
        </is>
      </c>
      <c r="D356" s="29" t="inlineStr">
        <is>
          <t>IRIS1907</t>
        </is>
      </c>
      <c r="E356" s="29" t="inlineStr">
        <is>
          <t>Varsha Kambale</t>
        </is>
      </c>
      <c r="F356" s="29" t="inlineStr">
        <is>
          <t>Support</t>
        </is>
      </c>
      <c r="G356" s="29" t="inlineStr">
        <is>
          <t>Client Solutions Executive</t>
        </is>
      </c>
      <c r="H356" s="29" t="inlineStr">
        <is>
          <t>Senior Support Executive</t>
        </is>
      </c>
      <c r="I356" s="29" t="inlineStr">
        <is>
          <t>L3 – Professional / Associate</t>
        </is>
      </c>
      <c r="J356" s="29" t="inlineStr">
        <is>
          <t>A3</t>
        </is>
      </c>
      <c r="K356" s="29" t="inlineStr">
        <is>
          <t>▲ Up</t>
        </is>
      </c>
      <c r="L356" s="29" t="inlineStr">
        <is>
          <t>Customer Success &amp; Support</t>
        </is>
      </c>
      <c r="M356" s="29" t="inlineStr">
        <is>
          <t>Application &amp; Product Support</t>
        </is>
      </c>
      <c r="N356" s="29" t="n"/>
      <c r="O356" s="29" t="n">
        <v>20</v>
      </c>
      <c r="P356" s="28" t="inlineStr">
        <is>
          <t>P2</t>
        </is>
      </c>
      <c r="Q356" s="29" t="inlineStr">
        <is>
          <t>Developing</t>
        </is>
      </c>
      <c r="R356" s="29" t="inlineStr">
        <is>
          <t>3 Apply</t>
        </is>
      </c>
      <c r="S356" s="29" t="inlineStr">
        <is>
          <t>2–4 yrs</t>
        </is>
      </c>
      <c r="T356" s="29" t="inlineStr">
        <is>
          <t>3–5 · 2–5</t>
        </is>
      </c>
      <c r="U356" s="29" t="inlineStr">
        <is>
          <t>Support / CS Executive</t>
        </is>
      </c>
      <c r="V356" s="29" t="inlineStr">
        <is>
          <t>IRIS Vs Competitor Benchmark — SaaS customer-success ladder: Associate CSM · Regnology: Product Support Specialist · Reg Reporting · IRIS Vs Competitor Benchmark — support tiers: L2 Application Support</t>
        </is>
      </c>
      <c r="W356" s="29" t="inlineStr">
        <is>
          <t>TSIA frameworks and benchmarks; ITIL 4 service desk; Gainsight customer-success practice</t>
        </is>
      </c>
      <c r="X356" s="29" t="inlineStr">
        <is>
          <t>Core 2 · Future 2 · Functional 3 · Leadership not scored</t>
        </is>
      </c>
      <c r="Y356" s="52" t="n">
        <v>179</v>
      </c>
      <c r="Z356" s="53" t="inlineStr">
        <is>
          <t>IRIS1907</t>
        </is>
      </c>
      <c r="AA356" s="53" t="inlineStr">
        <is>
          <t>Employee</t>
        </is>
      </c>
      <c r="AB356" s="53" t="inlineStr">
        <is>
          <t>Active</t>
        </is>
      </c>
      <c r="AC356" s="53" t="inlineStr">
        <is>
          <t>Varsha Kambale</t>
        </is>
      </c>
      <c r="AD356" s="54" t="n">
        <v>44315</v>
      </c>
      <c r="AE356" s="53" t="inlineStr">
        <is>
          <t>Client Solutions Executive</t>
        </is>
      </c>
      <c r="AF356" s="53" t="inlineStr">
        <is>
          <t>B.E</t>
        </is>
      </c>
      <c r="AG356" s="53" t="inlineStr">
        <is>
          <t>Shruti Patil</t>
        </is>
      </c>
      <c r="AH356" s="53" t="inlineStr">
        <is>
          <t>N-5</t>
        </is>
      </c>
      <c r="AI356" s="53" t="inlineStr">
        <is>
          <t>Individual Contributor</t>
        </is>
      </c>
      <c r="AJ356" s="53" t="inlineStr">
        <is>
          <t>5 years, 0 months, 0 days</t>
        </is>
      </c>
      <c r="AK356" s="53" t="inlineStr">
        <is>
          <t>5 years, 3 months, 27 days</t>
        </is>
      </c>
      <c r="AL356" s="53" t="inlineStr">
        <is>
          <t>Suptech</t>
        </is>
      </c>
      <c r="AM356" s="53" t="inlineStr">
        <is>
          <t>iFile</t>
        </is>
      </c>
      <c r="AN356" s="53" t="inlineStr">
        <is>
          <t>Support</t>
        </is>
      </c>
      <c r="AO356" s="53" t="inlineStr">
        <is>
          <t>Product Support</t>
        </is>
      </c>
      <c r="AP356" s="53" t="inlineStr">
        <is>
          <t>No</t>
        </is>
      </c>
      <c r="AQ356" s="53" t="inlineStr">
        <is>
          <t>Product/Project</t>
        </is>
      </c>
      <c r="AR356" s="53" t="inlineStr">
        <is>
          <t>Tech Support</t>
        </is>
      </c>
      <c r="AS356" s="53" t="inlineStr">
        <is>
          <t>Non-technical</t>
        </is>
      </c>
      <c r="AT356" s="53" t="n">
        <v>20</v>
      </c>
      <c r="AU356" s="53" t="inlineStr">
        <is>
          <t>Covered</t>
        </is>
      </c>
      <c r="AV356" s="53" t="n"/>
      <c r="AW356" s="53" t="n"/>
      <c r="AX356" s="53" t="n"/>
      <c r="AY356" s="53" t="n"/>
      <c r="AZ356" s="53" t="n"/>
      <c r="BA356" s="53" t="n"/>
      <c r="BB356" s="53" t="n"/>
      <c r="BC356" s="53" t="n"/>
      <c r="BD356" s="53" t="n"/>
      <c r="BE356" s="53" t="n"/>
      <c r="BF356" s="53" t="n"/>
      <c r="BG356" s="53" t="n"/>
      <c r="BH356" s="53" t="n"/>
      <c r="BI356" s="53" t="n"/>
      <c r="BJ356" s="53" t="n"/>
      <c r="BK356" s="53" t="n"/>
      <c r="BL356" s="53" t="n"/>
      <c r="BM356" s="53" t="n"/>
      <c r="BN356" s="53" t="n"/>
      <c r="BO356" s="53" t="n"/>
      <c r="BP356" s="53" t="n"/>
      <c r="BQ356" s="53" t="n"/>
      <c r="BR356" s="53" t="n"/>
      <c r="BS356" s="53" t="n"/>
      <c r="BT356" s="53" t="n"/>
      <c r="BU356" s="53" t="n"/>
      <c r="BV356" s="53" t="n"/>
      <c r="BW356" s="53" t="n"/>
      <c r="BX356" s="53" t="n"/>
      <c r="BY356" s="53" t="n"/>
      <c r="BZ356" s="53" t="n"/>
      <c r="CA356" s="53" t="n"/>
      <c r="CB356" s="53" t="n"/>
      <c r="CC356" s="53" t="n"/>
      <c r="CD356" s="53" t="n"/>
      <c r="CE356" s="53" t="n"/>
      <c r="CF356" s="53" t="n"/>
      <c r="CG356" s="53" t="n"/>
      <c r="CH356" s="53" t="n"/>
      <c r="CI356" s="53" t="n"/>
      <c r="CJ356" s="53" t="n"/>
      <c r="CK356" s="53" t="n"/>
      <c r="CL356" s="53" t="n"/>
      <c r="CM356" s="53" t="n"/>
      <c r="CN356" s="53" t="n"/>
      <c r="CO356" s="53" t="n"/>
      <c r="CP356" s="53" t="n"/>
      <c r="CQ356" s="53" t="n"/>
      <c r="CR356" s="53" t="n"/>
      <c r="CS356" s="53" t="n"/>
      <c r="CT356" s="53" t="n"/>
      <c r="CU356" s="53" t="n"/>
      <c r="CV356" s="53" t="n"/>
      <c r="CW356" s="53" t="n"/>
      <c r="CX356" s="53" t="n"/>
      <c r="CY356" s="53" t="n"/>
      <c r="CZ356" s="53" t="n"/>
      <c r="DA356" s="53" t="n"/>
      <c r="DB356" s="53" t="n"/>
      <c r="DC356" s="53" t="n"/>
      <c r="DD356" s="53" t="inlineStr">
        <is>
          <t>IRIS1907</t>
        </is>
      </c>
      <c r="DE356" s="53" t="inlineStr">
        <is>
          <t>Employee</t>
        </is>
      </c>
      <c r="DF356" s="53" t="inlineStr">
        <is>
          <t>Active</t>
        </is>
      </c>
      <c r="DG356" s="53" t="inlineStr">
        <is>
          <t>Varsha Kambale</t>
        </is>
      </c>
      <c r="DH356" s="54" t="n">
        <v>44315</v>
      </c>
      <c r="DI356" s="53" t="inlineStr">
        <is>
          <t>Client Solutions Executive</t>
        </is>
      </c>
      <c r="DJ356" s="53" t="inlineStr">
        <is>
          <t>Customer Success &amp; Support</t>
        </is>
      </c>
      <c r="DK356" s="53" t="inlineStr">
        <is>
          <t>Technical Support</t>
        </is>
      </c>
      <c r="DL356" s="53" t="inlineStr">
        <is>
          <t>Client Solutions Executive</t>
        </is>
      </c>
      <c r="DM356" s="53" t="inlineStr">
        <is>
          <t>L3 – Professional / Associate</t>
        </is>
      </c>
      <c r="DN356" s="53" t="inlineStr">
        <is>
          <t>B.E</t>
        </is>
      </c>
      <c r="DO356" s="53" t="inlineStr">
        <is>
          <t>Shruti Patil</t>
        </is>
      </c>
      <c r="DP356" s="53" t="inlineStr">
        <is>
          <t>N-4</t>
        </is>
      </c>
      <c r="DQ356" s="53" t="inlineStr">
        <is>
          <t>Individual Contributor</t>
        </is>
      </c>
      <c r="DR356" s="53" t="inlineStr">
        <is>
          <t>5 years, 0 months, 0 days</t>
        </is>
      </c>
      <c r="DS356" s="53" t="inlineStr">
        <is>
          <t>5 years, 1 months, 22 days</t>
        </is>
      </c>
      <c r="DT356" s="53" t="inlineStr">
        <is>
          <t>10 years, 1 months, 22 days</t>
        </is>
      </c>
      <c r="DU356" s="53" t="n"/>
      <c r="DV356" s="53" t="inlineStr">
        <is>
          <t>Suptech</t>
        </is>
      </c>
      <c r="DW356" s="53" t="inlineStr">
        <is>
          <t>iFile</t>
        </is>
      </c>
      <c r="DX356" s="53" t="inlineStr">
        <is>
          <t>Support</t>
        </is>
      </c>
      <c r="DY356" s="53" t="inlineStr">
        <is>
          <t>Product Support</t>
        </is>
      </c>
      <c r="DZ356" s="53" t="inlineStr">
        <is>
          <t>No</t>
        </is>
      </c>
      <c r="EA356" s="53" t="inlineStr">
        <is>
          <t>Product/Project</t>
        </is>
      </c>
      <c r="EB356" s="53" t="inlineStr">
        <is>
          <t>Tech Support</t>
        </is>
      </c>
      <c r="EC356" s="53" t="inlineStr">
        <is>
          <t>Non-technical</t>
        </is>
      </c>
      <c r="ED356" s="53" t="inlineStr">
        <is>
          <t>Remote- Outside Mumbai</t>
        </is>
      </c>
      <c r="EE356" s="53" t="inlineStr">
        <is>
          <t>1. Resolve customer issues and escalations. &lt;95% tickets resolved within SLA.
2. Write comprehensive test cases covering positive, negative, boundary, and exception scenarios for assigned features before the start of testing.
3. Execute testing for assigned releases.100% Functional, Regression, UAT completed before release. 
4. educe repeat customer issues by identifying and implementing product improvement initiatives during the year.
5. Collaborate with Development, BA, and Product teams to ensure 100% participation in defect triage, release validation, and UAT activities.</t>
        </is>
      </c>
      <c r="EF356" s="53"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EG356" s="53" t="inlineStr">
        <is>
          <t>Q1: Maintain client/customer satisfaction · CSAT of &gt;=4.2 / 5
Q1: Resolve &gt;=95% of assigned tickets/queries within SLA
Q1: Keep first-response time within agreed SLA on 100% of cases
Q1: Drive retention/renewal of assigned accounts to &gt;=90%</t>
        </is>
      </c>
      <c r="EH356" s="53" t="n">
        <v>3</v>
      </c>
      <c r="EI356" s="53" t="inlineStr">
        <is>
          <t>-</t>
        </is>
      </c>
      <c r="EJ356" s="53" t="inlineStr">
        <is>
          <t>Client Solutions Executive</t>
        </is>
      </c>
      <c r="EK356" s="53" t="inlineStr">
        <is>
          <t>No – designation matches current CSE/support scope.</t>
        </is>
      </c>
      <c r="EL356" s="53" t="n">
        <v>3</v>
      </c>
      <c r="EM356" s="53" t="inlineStr">
        <is>
          <t>Medium</t>
        </is>
      </c>
      <c r="EN356" s="53" t="inlineStr">
        <is>
          <t>Reliable Specialist</t>
        </is>
      </c>
      <c r="EO356" s="53" t="inlineStr">
        <is>
          <t>N</t>
        </is>
      </c>
      <c r="EP356" s="53" t="inlineStr">
        <is>
          <t>N</t>
        </is>
      </c>
      <c r="EQ356" s="53" t="inlineStr">
        <is>
          <t>Y</t>
        </is>
      </c>
      <c r="ER356" s="53" t="inlineStr">
        <is>
          <t>No successor formally identified</t>
        </is>
      </c>
      <c r="ES356" s="53" t="inlineStr">
        <is>
          <t>Customer success methods; communication &amp; de-escalation; product/domain depth; ticketing &amp; SLA tools</t>
        </is>
      </c>
      <c r="ET356" s="53" t="inlineStr">
        <is>
          <t>-</t>
        </is>
      </c>
      <c r="EU356" s="53" t="inlineStr">
        <is>
          <t>Might need discussion with her reporting manager</t>
        </is>
      </c>
      <c r="EV356" s="53" t="n"/>
      <c r="EW356" s="52" t="n"/>
      <c r="EX356" s="53" t="n"/>
      <c r="EY356" s="53" t="n"/>
      <c r="EZ356" s="53" t="n"/>
      <c r="FA356" s="53" t="n"/>
      <c r="FB356" s="53" t="n"/>
      <c r="FC356" s="53" t="n"/>
      <c r="FD356" s="53" t="n"/>
      <c r="FE356" s="57"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FF356" s="56" t="inlineStr">
        <is>
          <t>Q1: Maintain client/customer satisfaction · CSAT of &gt;=4.2 / 5
Q1: Resolve &gt;=95% of assigned tickets/queries within SLA
Q1: Keep first-response time within agreed SLA on 100% of cases
Q1: Drive retention/renewal of assigned accounts to &gt;=90%</t>
        </is>
      </c>
      <c r="FG356" s="56" t="inlineStr">
        <is>
          <t>1. Resolve customer issues and escalations. &lt;95% tickets resolved within SLA.
2. Write comprehensive test cases covering positive, negative, boundary, and exception scenarios for assigned features before the start of testing.
3. Execute testing for assigned releases.100% Functional, Regression, UAT completed before release. 
4. educe repeat customer issues by identifying and implementing product improvement initiatives during the year.
5. Collaborate with Development, BA, and Product teams to ensure 100% participation in defect triage, release validation, and UAT activities.</t>
        </is>
      </c>
      <c r="FH356" s="56" t="inlineStr">
        <is>
          <t>3</t>
        </is>
      </c>
      <c r="FI356" s="56" t="n"/>
      <c r="FJ356" s="56" t="inlineStr">
        <is>
          <t>Received · manager annual, quarterly, self</t>
        </is>
      </c>
      <c r="FK356" s="56" t="inlineStr">
        <is>
          <t>Talent Mapping · iFile collated</t>
        </is>
      </c>
      <c r="FL356" s="56" t="n">
        <v>20</v>
      </c>
      <c r="FM356" s="32" t="inlineStr">
        <is>
          <t>Full survey answers not in the files received · How We Grow export needed · HR</t>
        </is>
      </c>
      <c r="FN356" s="56" t="inlineStr">
        <is>
          <t>—</t>
        </is>
      </c>
      <c r="FO356" s="56" t="inlineStr">
        <is>
          <t>—</t>
        </is>
      </c>
      <c r="FP356" s="56" t="inlineStr">
        <is>
          <t>—</t>
        </is>
      </c>
      <c r="FQ356" s="56" t="inlineStr">
        <is>
          <t>—</t>
        </is>
      </c>
      <c r="FR356" s="56" t="inlineStr">
        <is>
          <t>Complexity: Evidence reads like A3: Functional and regression testing, UAT release validation, root cause analysis, production issue support → moved up 0.5
Autonomy: Evidence reads like A2: Decides daily QA support, initial troubleshooting, reproducing issues and documenting results → matches the start
Accountability: Evidence reads like A3: UAT and release validation, production issue resolution, support SLAs and SLA reporting → moved up 0.5
Leadership: Evidence reads like A1: No guidance of others described → matches the start
Business Impact: Moved +0.5: the survey / manager mapping marks it business-critical.</t>
        </is>
      </c>
      <c r="FS356" s="56"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FT356" s="56" t="inlineStr">
        <is>
          <t>Self-identified: AI / automation · Testing &amp; quality · Data, SQL &amp; analytics · Domain, regulatory &amp; XBRL · Product &amp; tool knowledge · Broader exposure &amp; ownership
For the next role: AI / automation · Testing &amp; quality · Data, SQL &amp; analytics · Domain, regulatory &amp; XBRL · Product &amp; tool knowledge · Broader exposure &amp; ownership</t>
        </is>
      </c>
      <c r="FU356" s="32" t="inlineStr">
        <is>
          <t>Full survey answers not in the files received · How We Grow export needed · HR</t>
        </is>
      </c>
    </row>
    <row r="357" ht="90" customHeight="1">
      <c r="A357" s="51" t="inlineStr">
        <is>
          <t>◂ Back</t>
        </is>
      </c>
      <c r="B357" s="29" t="inlineStr">
        <is>
          <t>Mapped</t>
        </is>
      </c>
      <c r="C357" s="28" t="inlineStr">
        <is>
          <t>iFile</t>
        </is>
      </c>
      <c r="D357" s="29" t="inlineStr">
        <is>
          <t>IRISC348</t>
        </is>
      </c>
      <c r="E357" s="29" t="inlineStr">
        <is>
          <t>Uzma Shaikh</t>
        </is>
      </c>
      <c r="F357" s="29" t="inlineStr">
        <is>
          <t>Support</t>
        </is>
      </c>
      <c r="G357" s="29" t="inlineStr">
        <is>
          <t>Consultant</t>
        </is>
      </c>
      <c r="H357" s="29" t="inlineStr">
        <is>
          <t>Support Executive</t>
        </is>
      </c>
      <c r="I357" s="29" t="inlineStr">
        <is>
          <t>Not in current mapping files</t>
        </is>
      </c>
      <c r="J357" s="29" t="inlineStr">
        <is>
          <t>A2</t>
        </is>
      </c>
      <c r="K357" s="29" t="inlineStr">
        <is>
          <t>● Newly mapped</t>
        </is>
      </c>
      <c r="L357" s="29" t="inlineStr">
        <is>
          <t>Customer Success &amp; Support</t>
        </is>
      </c>
      <c r="M357" s="29" t="inlineStr">
        <is>
          <t>Application &amp; Product Support</t>
        </is>
      </c>
      <c r="N357" s="29" t="n"/>
      <c r="O357" s="29" t="n">
        <v>20</v>
      </c>
      <c r="P357" s="28" t="inlineStr">
        <is>
          <t>P1–P2</t>
        </is>
      </c>
      <c r="Q357" s="29" t="inlineStr">
        <is>
          <t>Entry / Developing</t>
        </is>
      </c>
      <c r="R357" s="29" t="inlineStr">
        <is>
          <t>2 Assist</t>
        </is>
      </c>
      <c r="S357" s="29" t="inlineStr">
        <is>
          <t>0–2 yrs</t>
        </is>
      </c>
      <c r="T357" s="29" t="inlineStr">
        <is>
          <t>1–3 · 0–3</t>
        </is>
      </c>
      <c r="U357" s="29" t="inlineStr">
        <is>
          <t>Support Associate / Support / CS Executive</t>
        </is>
      </c>
      <c r="V357" s="29" t="inlineStr">
        <is>
          <t>IRIS Vs Competitor Benchmark — SaaS customer-success ladder: Support Associate · IRIS Vs Competitor Benchmark — support tiers: L1 Service Desk</t>
        </is>
      </c>
      <c r="W357" s="29" t="inlineStr">
        <is>
          <t>TSIA frameworks and benchmarks; ITIL 4 service desk; Gainsight customer-success practice</t>
        </is>
      </c>
      <c r="X357" s="29" t="inlineStr">
        <is>
          <t>Core 2 · Future 2 · Functional 2 · Leadership not scored</t>
        </is>
      </c>
      <c r="Y357" s="52" t="n">
        <v>508</v>
      </c>
      <c r="Z357" s="53" t="inlineStr">
        <is>
          <t>IRISC348</t>
        </is>
      </c>
      <c r="AA357" s="53" t="inlineStr">
        <is>
          <t>On Contract</t>
        </is>
      </c>
      <c r="AB357" s="53" t="inlineStr">
        <is>
          <t>Active</t>
        </is>
      </c>
      <c r="AC357" s="53" t="inlineStr">
        <is>
          <t>Uzma Shaikh</t>
        </is>
      </c>
      <c r="AD357" s="54" t="n">
        <v>46178</v>
      </c>
      <c r="AE357" s="53" t="inlineStr">
        <is>
          <t>Consultant</t>
        </is>
      </c>
      <c r="AF357" s="53" t="inlineStr">
        <is>
          <t>B.Tech</t>
        </is>
      </c>
      <c r="AG357" s="53" t="inlineStr">
        <is>
          <t>Shruti Patil</t>
        </is>
      </c>
      <c r="AH357" s="53" t="inlineStr">
        <is>
          <t>N-5</t>
        </is>
      </c>
      <c r="AI357" s="53" t="inlineStr">
        <is>
          <t>Individual Contributor</t>
        </is>
      </c>
      <c r="AJ357" s="53" t="inlineStr">
        <is>
          <t>0 years, 0 months, 00 days</t>
        </is>
      </c>
      <c r="AK357" s="53" t="inlineStr">
        <is>
          <t>0 years, 2 months, 20 days</t>
        </is>
      </c>
      <c r="AL357" s="53" t="inlineStr">
        <is>
          <t>Suptech</t>
        </is>
      </c>
      <c r="AM357" s="53" t="inlineStr">
        <is>
          <t>iFile</t>
        </is>
      </c>
      <c r="AN357" s="53" t="inlineStr">
        <is>
          <t>Support</t>
        </is>
      </c>
      <c r="AO357" s="53" t="inlineStr">
        <is>
          <t>Product Support</t>
        </is>
      </c>
      <c r="AP357" s="53" t="inlineStr">
        <is>
          <t>No</t>
        </is>
      </c>
      <c r="AQ357" s="53" t="inlineStr">
        <is>
          <t>Product/Project</t>
        </is>
      </c>
      <c r="AR357" s="53" t="inlineStr">
        <is>
          <t>Tech Support</t>
        </is>
      </c>
      <c r="AS357" s="53" t="inlineStr">
        <is>
          <t>Non-technical</t>
        </is>
      </c>
      <c r="AT357" s="53" t="n">
        <v>20</v>
      </c>
      <c r="AU357" s="53" t="inlineStr">
        <is>
          <t>Covered</t>
        </is>
      </c>
      <c r="AV357" s="53" t="n"/>
      <c r="AW357" s="53" t="n"/>
      <c r="AX357" s="53" t="n"/>
      <c r="AY357" s="53" t="n"/>
      <c r="AZ357" s="53" t="n"/>
      <c r="BA357" s="53" t="n"/>
      <c r="BB357" s="53" t="n"/>
      <c r="BC357" s="53" t="n"/>
      <c r="BD357" s="53" t="n"/>
      <c r="BE357" s="53" t="n"/>
      <c r="BF357" s="53" t="n"/>
      <c r="BG357" s="53" t="n"/>
      <c r="BH357" s="53" t="n"/>
      <c r="BI357" s="53" t="n"/>
      <c r="BJ357" s="53" t="n"/>
      <c r="BK357" s="53" t="n"/>
      <c r="BL357" s="53" t="n"/>
      <c r="BM357" s="53" t="n"/>
      <c r="BN357" s="53" t="n"/>
      <c r="BO357" s="53" t="n"/>
      <c r="BP357" s="53" t="n"/>
      <c r="BQ357" s="53" t="n"/>
      <c r="BR357" s="53" t="n"/>
      <c r="BS357" s="53" t="n"/>
      <c r="BT357" s="53" t="n"/>
      <c r="BU357" s="53" t="n"/>
      <c r="BV357" s="53" t="n"/>
      <c r="BW357" s="53" t="n"/>
      <c r="BX357" s="53" t="n"/>
      <c r="BY357" s="53" t="n"/>
      <c r="BZ357" s="53" t="n"/>
      <c r="CA357" s="53" t="n"/>
      <c r="CB357" s="53" t="n"/>
      <c r="CC357" s="53" t="n"/>
      <c r="CD357" s="53" t="n"/>
      <c r="CE357" s="53" t="n"/>
      <c r="CF357" s="53" t="n"/>
      <c r="CG357" s="53" t="n"/>
      <c r="CH357" s="53" t="n"/>
      <c r="CI357" s="53" t="n"/>
      <c r="CJ357" s="53" t="n"/>
      <c r="CK357" s="53" t="n"/>
      <c r="CL357" s="53" t="n"/>
      <c r="CM357" s="53" t="n"/>
      <c r="CN357" s="53" t="n"/>
      <c r="CO357" s="53" t="n"/>
      <c r="CP357" s="53" t="n"/>
      <c r="CQ357" s="53" t="n"/>
      <c r="CR357" s="53" t="n"/>
      <c r="CS357" s="53" t="n"/>
      <c r="CT357" s="53" t="n"/>
      <c r="CU357" s="53" t="n"/>
      <c r="CV357" s="53" t="n"/>
      <c r="CW357" s="53" t="n"/>
      <c r="CX357" s="53" t="n"/>
      <c r="CY357" s="53" t="n"/>
      <c r="CZ357" s="53" t="n"/>
      <c r="DA357" s="53" t="n"/>
      <c r="DB357" s="53" t="n"/>
      <c r="DC357" s="53" t="n"/>
      <c r="DD357" s="53" t="n"/>
      <c r="DE357" s="53" t="n"/>
      <c r="DF357" s="53" t="n"/>
      <c r="DG357" s="53" t="n"/>
      <c r="DH357" s="53" t="n"/>
      <c r="DI357" s="53" t="n"/>
      <c r="DJ357" s="53" t="n"/>
      <c r="DK357" s="53" t="n"/>
      <c r="DL357" s="53" t="n"/>
      <c r="DM357" s="53" t="n"/>
      <c r="DN357" s="53" t="n"/>
      <c r="DO357" s="53" t="n"/>
      <c r="DP357" s="53" t="n"/>
      <c r="DQ357" s="53" t="n"/>
      <c r="DR357" s="53" t="n"/>
      <c r="DS357" s="53" t="n"/>
      <c r="DT357" s="53" t="n"/>
      <c r="DU357" s="53" t="n"/>
      <c r="DV357" s="53" t="n"/>
      <c r="DW357" s="53" t="n"/>
      <c r="DX357" s="53" t="n"/>
      <c r="DY357" s="53" t="n"/>
      <c r="DZ357" s="53" t="n"/>
      <c r="EA357" s="53" t="n"/>
      <c r="EB357" s="53" t="n"/>
      <c r="EC357" s="53" t="n"/>
      <c r="ED357" s="53" t="n"/>
      <c r="EE357" s="53" t="n"/>
      <c r="EF357" s="53" t="n"/>
      <c r="EG357" s="53" t="n"/>
      <c r="EH357" s="53" t="n"/>
      <c r="EI357" s="53" t="n"/>
      <c r="EJ357" s="53" t="n"/>
      <c r="EK357" s="53" t="n"/>
      <c r="EL357" s="53" t="n"/>
      <c r="EM357" s="53" t="n"/>
      <c r="EN357" s="53" t="n"/>
      <c r="EO357" s="53" t="n"/>
      <c r="EP357" s="53" t="n"/>
      <c r="EQ357" s="53" t="n"/>
      <c r="ER357" s="53" t="n"/>
      <c r="ES357" s="53" t="n"/>
      <c r="ET357" s="53" t="n"/>
      <c r="EU357" s="53" t="n"/>
      <c r="EV357" s="53" t="n"/>
      <c r="EW357" s="52" t="n"/>
      <c r="EX357" s="53" t="n"/>
      <c r="EY357" s="53" t="n"/>
      <c r="EZ357" s="53" t="n"/>
      <c r="FA357" s="53" t="n"/>
      <c r="FB357" s="53" t="n"/>
      <c r="FC357" s="53" t="n"/>
      <c r="FD357" s="53" t="n"/>
      <c r="FE357" s="55" t="inlineStr">
        <is>
          <t>KRAs not received · manager to supply</t>
        </is>
      </c>
      <c r="FF357" s="56" t="n"/>
      <c r="FG357" s="56" t="n"/>
      <c r="FH357" s="56" t="n"/>
      <c r="FI357" s="56" t="n"/>
      <c r="FJ357" s="32" t="inlineStr">
        <is>
          <t>KRAs not received · manager to supply</t>
        </is>
      </c>
      <c r="FK357" s="56" t="n"/>
      <c r="FL357" s="56" t="n">
        <v>20</v>
      </c>
      <c r="FM357" s="32" t="inlineStr">
        <is>
          <t>Full survey answers not in the files received · How We Grow export needed · HR</t>
        </is>
      </c>
      <c r="FN357" s="56" t="inlineStr">
        <is>
          <t>—</t>
        </is>
      </c>
      <c r="FO357" s="56" t="inlineStr">
        <is>
          <t>—</t>
        </is>
      </c>
      <c r="FP357" s="56" t="inlineStr">
        <is>
          <t>—</t>
        </is>
      </c>
      <c r="FQ357" s="56" t="inlineStr">
        <is>
          <t>—</t>
        </is>
      </c>
      <c r="FR357" s="56" t="inlineStr">
        <is>
          <t>Complexity: Evidence reads like A2: Checks tickets, tests scenarios and produces test cases and results → matches the start
Autonomy: Evidence reads like A2: Decides only on handling the portal → matches the start
Accountability: Evidence reads like A2: Test results and timely client responses; errors delay deployment → matches the start
Leadership: Evidence reads like A2: Assists team members and developers with portal work → moved up 0.5
Business Impact: No survey or manager-mapping signal on criticality: kept at the start point.</t>
        </is>
      </c>
      <c r="FS357" s="56" t="inlineStr">
        <is>
          <t>Common themes in sub-family holders, all levels' answers: support · clients · queries · provide · issues · resolving
Common themes in sub-family holders, all levels' answers: support · issue · testing · communication · customer · ticket
Common themes in sub-family holders, all levels' answers: support · customer · product · provide · testing · deliver
Common themes in sub-family holders, all levels' answers: client · resolution · am · accountable · timely · if
Common themes in sub-family holders, all levels' answers: issues · resolving · tickets · handle · erro · validation
If the work is missed · role-holders' themes: customer · rework · client · delays · incorrect.</t>
        </is>
      </c>
      <c r="FT357" s="56" t="inlineStr">
        <is>
          <t>Self-identified: Technical depth &amp; architecture · Data, SQL &amp; analytics · Broader exposure &amp; ownership
For the next role: Technical depth &amp; architecture · Data, SQL &amp; analytics · Broader exposure &amp; ownership</t>
        </is>
      </c>
      <c r="FU357" s="32" t="inlineStr">
        <is>
          <t>Full survey answers not in the files received · How We Grow export needed · HR</t>
        </is>
      </c>
    </row>
    <row r="358" ht="90" customHeight="1">
      <c r="A358" s="51" t="inlineStr">
        <is>
          <t>◂ Back</t>
        </is>
      </c>
      <c r="B358" s="29" t="inlineStr">
        <is>
          <t>Mapped</t>
        </is>
      </c>
      <c r="C358" s="28" t="inlineStr">
        <is>
          <t>iFile</t>
        </is>
      </c>
      <c r="D358" s="29" t="inlineStr">
        <is>
          <t>INTN0305</t>
        </is>
      </c>
      <c r="E358" s="29" t="inlineStr">
        <is>
          <t>Samiksha Sawant</t>
        </is>
      </c>
      <c r="F358" s="29" t="inlineStr">
        <is>
          <t>Technology</t>
        </is>
      </c>
      <c r="G358" s="29" t="inlineStr">
        <is>
          <t>Intern</t>
        </is>
      </c>
      <c r="H358" s="29" t="inlineStr">
        <is>
          <t>Intern – Software Development</t>
        </is>
      </c>
      <c r="I358" s="29" t="inlineStr">
        <is>
          <t>Not in current mapping files</t>
        </is>
      </c>
      <c r="J358" s="29" t="inlineStr">
        <is>
          <t>A1</t>
        </is>
      </c>
      <c r="K358" s="29" t="inlineStr">
        <is>
          <t>● Newly mapped</t>
        </is>
      </c>
      <c r="L358" s="29" t="inlineStr">
        <is>
          <t>Engineering &amp; Development</t>
        </is>
      </c>
      <c r="M358" s="29" t="inlineStr">
        <is>
          <t>Backend Development</t>
        </is>
      </c>
      <c r="N358" s="29" t="n"/>
      <c r="O358" s="29" t="n">
        <v>20</v>
      </c>
      <c r="P358" s="28" t="inlineStr">
        <is>
          <t>Entry / P1 · intern</t>
        </is>
      </c>
      <c r="Q358" s="29" t="inlineStr">
        <is>
          <t>Entry</t>
        </is>
      </c>
      <c r="R358" s="29" t="inlineStr">
        <is>
          <t>1 Follow</t>
        </is>
      </c>
      <c r="S358" s="29" t="inlineStr">
        <is>
          <t>0 yrs · fresher / intern</t>
        </is>
      </c>
      <c r="T358" s="29" t="inlineStr">
        <is>
          <t>—</t>
        </is>
      </c>
      <c r="U358" s="29" t="inlineStr">
        <is>
          <t>Associate Software Engineer</t>
        </is>
      </c>
      <c r="V358" s="29" t="inlineStr">
        <is>
          <t>—</t>
        </is>
      </c>
      <c r="W358" s="29" t="inlineStr">
        <is>
          <t>SFIA 9 · software development, programming; OWASP secure coding; cloud vendor certifications</t>
        </is>
      </c>
      <c r="X358" s="29" t="inlineStr">
        <is>
          <t>Core 1 · Future 1 · Functional 1 · Leadership not scored</t>
        </is>
      </c>
      <c r="Y358" s="52" t="n">
        <v>517</v>
      </c>
      <c r="Z358" s="53" t="inlineStr">
        <is>
          <t>INTN0305</t>
        </is>
      </c>
      <c r="AA358" s="53" t="inlineStr">
        <is>
          <t>Intern</t>
        </is>
      </c>
      <c r="AB358" s="53" t="inlineStr">
        <is>
          <t>Active</t>
        </is>
      </c>
      <c r="AC358" s="53" t="inlineStr">
        <is>
          <t>Samiksha Sawant</t>
        </is>
      </c>
      <c r="AD358" s="54" t="n">
        <v>46216</v>
      </c>
      <c r="AE358" s="53" t="inlineStr">
        <is>
          <t>Intern</t>
        </is>
      </c>
      <c r="AF358" s="53" t="inlineStr">
        <is>
          <t>B.E</t>
        </is>
      </c>
      <c r="AG358" s="53" t="inlineStr">
        <is>
          <t>Shruti Patil</t>
        </is>
      </c>
      <c r="AH358" s="53" t="inlineStr">
        <is>
          <t>N-5</t>
        </is>
      </c>
      <c r="AI358" s="53" t="inlineStr">
        <is>
          <t>Individual Contributor</t>
        </is>
      </c>
      <c r="AJ358" s="53" t="inlineStr">
        <is>
          <t>0 years, 0 months, 0 days</t>
        </is>
      </c>
      <c r="AK358" s="53" t="inlineStr">
        <is>
          <t>0 years, 1 months, 12 days</t>
        </is>
      </c>
      <c r="AL358" s="53" t="inlineStr">
        <is>
          <t>Suptech</t>
        </is>
      </c>
      <c r="AM358" s="53" t="inlineStr">
        <is>
          <t>iFile</t>
        </is>
      </c>
      <c r="AN358" s="53" t="inlineStr">
        <is>
          <t>Technology</t>
        </is>
      </c>
      <c r="AO358" s="53" t="inlineStr">
        <is>
          <t>Development</t>
        </is>
      </c>
      <c r="AP358" s="53" t="inlineStr">
        <is>
          <t>Yes</t>
        </is>
      </c>
      <c r="AQ358" s="53" t="inlineStr">
        <is>
          <t>Product/Project</t>
        </is>
      </c>
      <c r="AR358" s="53" t="inlineStr">
        <is>
          <t>Java</t>
        </is>
      </c>
      <c r="AS358" s="53" t="inlineStr">
        <is>
          <t>Technical - Developer</t>
        </is>
      </c>
      <c r="AT358" s="53" t="n">
        <v>20</v>
      </c>
      <c r="AU358" s="53" t="inlineStr">
        <is>
          <t>Covered</t>
        </is>
      </c>
      <c r="AV358" s="53" t="n"/>
      <c r="AW358" s="53" t="n"/>
      <c r="AX358" s="53" t="n"/>
      <c r="AY358" s="53" t="n"/>
      <c r="AZ358" s="53" t="n"/>
      <c r="BA358" s="53" t="n"/>
      <c r="BB358" s="53" t="n"/>
      <c r="BC358" s="53" t="n"/>
      <c r="BD358" s="53" t="n"/>
      <c r="BE358" s="53" t="n"/>
      <c r="BF358" s="53" t="n"/>
      <c r="BG358" s="53" t="n"/>
      <c r="BH358" s="53" t="n"/>
      <c r="BI358" s="53" t="n"/>
      <c r="BJ358" s="53" t="n"/>
      <c r="BK358" s="53" t="n"/>
      <c r="BL358" s="53" t="n"/>
      <c r="BM358" s="53" t="n"/>
      <c r="BN358" s="53" t="n"/>
      <c r="BO358" s="53" t="n"/>
      <c r="BP358" s="53" t="n"/>
      <c r="BQ358" s="53" t="n"/>
      <c r="BR358" s="53" t="n"/>
      <c r="BS358" s="53" t="n"/>
      <c r="BT358" s="53" t="n"/>
      <c r="BU358" s="53" t="n"/>
      <c r="BV358" s="53" t="n"/>
      <c r="BW358" s="53" t="n"/>
      <c r="BX358" s="53" t="n"/>
      <c r="BY358" s="53" t="n"/>
      <c r="BZ358" s="53" t="n"/>
      <c r="CA358" s="53" t="n"/>
      <c r="CB358" s="53" t="n"/>
      <c r="CC358" s="53" t="n"/>
      <c r="CD358" s="53" t="n"/>
      <c r="CE358" s="53" t="n"/>
      <c r="CF358" s="53" t="n"/>
      <c r="CG358" s="53" t="n"/>
      <c r="CH358" s="53" t="n"/>
      <c r="CI358" s="53" t="n"/>
      <c r="CJ358" s="53" t="n"/>
      <c r="CK358" s="53" t="n"/>
      <c r="CL358" s="53" t="n"/>
      <c r="CM358" s="53" t="n"/>
      <c r="CN358" s="53" t="n"/>
      <c r="CO358" s="53" t="n"/>
      <c r="CP358" s="53" t="n"/>
      <c r="CQ358" s="53" t="n"/>
      <c r="CR358" s="53" t="n"/>
      <c r="CS358" s="53" t="n"/>
      <c r="CT358" s="53" t="n"/>
      <c r="CU358" s="53" t="n"/>
      <c r="CV358" s="53" t="n"/>
      <c r="CW358" s="53" t="n"/>
      <c r="CX358" s="53" t="n"/>
      <c r="CY358" s="53" t="n"/>
      <c r="CZ358" s="53" t="n"/>
      <c r="DA358" s="53" t="n"/>
      <c r="DB358" s="53" t="n"/>
      <c r="DC358" s="53" t="n"/>
      <c r="DD358" s="53" t="n"/>
      <c r="DE358" s="53" t="n"/>
      <c r="DF358" s="53" t="n"/>
      <c r="DG358" s="53" t="n"/>
      <c r="DH358" s="53" t="n"/>
      <c r="DI358" s="53" t="n"/>
      <c r="DJ358" s="53" t="n"/>
      <c r="DK358" s="53" t="n"/>
      <c r="DL358" s="53" t="n"/>
      <c r="DM358" s="53" t="n"/>
      <c r="DN358" s="53" t="n"/>
      <c r="DO358" s="53" t="n"/>
      <c r="DP358" s="53" t="n"/>
      <c r="DQ358" s="53" t="n"/>
      <c r="DR358" s="53" t="n"/>
      <c r="DS358" s="53" t="n"/>
      <c r="DT358" s="53" t="n"/>
      <c r="DU358" s="53" t="n"/>
      <c r="DV358" s="53" t="n"/>
      <c r="DW358" s="53" t="n"/>
      <c r="DX358" s="53" t="n"/>
      <c r="DY358" s="53" t="n"/>
      <c r="DZ358" s="53" t="n"/>
      <c r="EA358" s="53" t="n"/>
      <c r="EB358" s="53" t="n"/>
      <c r="EC358" s="53" t="n"/>
      <c r="ED358" s="53" t="n"/>
      <c r="EE358" s="53" t="n"/>
      <c r="EF358" s="53" t="n"/>
      <c r="EG358" s="53" t="n"/>
      <c r="EH358" s="53" t="n"/>
      <c r="EI358" s="53" t="n"/>
      <c r="EJ358" s="53" t="n"/>
      <c r="EK358" s="53" t="n"/>
      <c r="EL358" s="53" t="n"/>
      <c r="EM358" s="53" t="n"/>
      <c r="EN358" s="53" t="n"/>
      <c r="EO358" s="53" t="n"/>
      <c r="EP358" s="53" t="n"/>
      <c r="EQ358" s="53" t="n"/>
      <c r="ER358" s="53" t="n"/>
      <c r="ES358" s="53" t="n"/>
      <c r="ET358" s="53" t="n"/>
      <c r="EU358" s="53" t="n"/>
      <c r="EV358" s="53" t="n"/>
      <c r="EW358" s="52" t="n"/>
      <c r="EX358" s="53" t="n"/>
      <c r="EY358" s="53" t="n"/>
      <c r="EZ358" s="53" t="n"/>
      <c r="FA358" s="53" t="n"/>
      <c r="FB358" s="53" t="n"/>
      <c r="FC358" s="53" t="n"/>
      <c r="FD358" s="53" t="n"/>
      <c r="FE358" s="55" t="inlineStr">
        <is>
          <t>KRAs not received · manager to supply</t>
        </is>
      </c>
      <c r="FF358" s="56" t="n"/>
      <c r="FG358" s="56" t="n"/>
      <c r="FH358" s="56" t="n"/>
      <c r="FI358" s="56" t="n"/>
      <c r="FJ358" s="32" t="inlineStr">
        <is>
          <t>KRAs not received · manager to supply</t>
        </is>
      </c>
      <c r="FK358" s="56" t="n"/>
      <c r="FL358" s="56" t="n">
        <v>20</v>
      </c>
      <c r="FM358" s="32" t="inlineStr">
        <is>
          <t>Full survey answers not in the files received · How We Grow export needed · HR</t>
        </is>
      </c>
      <c r="FN358" s="56" t="inlineStr">
        <is>
          <t>—</t>
        </is>
      </c>
      <c r="FO358" s="56" t="inlineStr">
        <is>
          <t>—</t>
        </is>
      </c>
      <c r="FP358" s="56" t="inlineStr">
        <is>
          <t>—</t>
        </is>
      </c>
      <c r="FQ358" s="56" t="inlineStr">
        <is>
          <t>—</t>
        </is>
      </c>
      <c r="FR358" s="56" t="n"/>
      <c r="FS358" s="56" t="inlineStr">
        <is>
          <t>Common themes in role-holders' answers: learn · core · software engineer · develop · purpose · design
Common themes in role-holders' answers: features · software · development · learning
Common themes in role-holders' answers: software · code · features
Common themes in role-holders' answers: quality · accountable · timely · if · data
Common themes in role-holders' answers: decisions · technical
If the work is missed · role-holders' themes: lead · delays · rework.
Measured on · manager-set KRA themes: code · technical · agreed · deliver · application · maintain.</t>
        </is>
      </c>
      <c r="FT358" s="56" t="inlineStr">
        <is>
          <t>Self-identified: Technical depth &amp; architecture · Testing &amp; quality · Data, SQL &amp; analytics · Broader exposure &amp; ownership
For the next role: Technical depth &amp; architecture · Testing &amp; quality · Data, SQL &amp; analytics · Broader exposure &amp; ownership</t>
        </is>
      </c>
      <c r="FU358" s="32" t="inlineStr">
        <is>
          <t>Full survey answers not in the files received · How We Grow export needed · HR</t>
        </is>
      </c>
    </row>
    <row r="359" ht="90" customHeight="1">
      <c r="A359" s="51" t="inlineStr">
        <is>
          <t>◂ Back</t>
        </is>
      </c>
      <c r="B359" s="29" t="inlineStr">
        <is>
          <t>Mapped</t>
        </is>
      </c>
      <c r="C359" s="28" t="inlineStr">
        <is>
          <t>iFile</t>
        </is>
      </c>
      <c r="D359" s="29" t="inlineStr">
        <is>
          <t>IRIS2076</t>
        </is>
      </c>
      <c r="E359" s="29" t="inlineStr">
        <is>
          <t>Tumpa Deb</t>
        </is>
      </c>
      <c r="F359" s="29" t="inlineStr">
        <is>
          <t>Technology</t>
        </is>
      </c>
      <c r="G359" s="29" t="inlineStr">
        <is>
          <t>Senior Business Analyst</t>
        </is>
      </c>
      <c r="H359" s="29" t="inlineStr">
        <is>
          <t>Business Analysis Specialist</t>
        </is>
      </c>
      <c r="I359" s="29" t="inlineStr">
        <is>
          <t>L4 – Senior</t>
        </is>
      </c>
      <c r="J359" s="29" t="inlineStr">
        <is>
          <t>B1</t>
        </is>
      </c>
      <c r="K359" s="29" t="inlineStr">
        <is>
          <t>▲ Up</t>
        </is>
      </c>
      <c r="L359" s="29" t="inlineStr">
        <is>
          <t>Business Analysis</t>
        </is>
      </c>
      <c r="M359" s="29" t="inlineStr">
        <is>
          <t>Business Analysis</t>
        </is>
      </c>
      <c r="N359" s="29" t="n"/>
      <c r="O359" s="29" t="n">
        <v>19</v>
      </c>
      <c r="P359" s="28" t="inlineStr">
        <is>
          <t>P3 / M2</t>
        </is>
      </c>
      <c r="Q359" s="29" t="inlineStr">
        <is>
          <t>Career / · Team Lead</t>
        </is>
      </c>
      <c r="R359" s="29" t="inlineStr">
        <is>
          <t>4 Enable</t>
        </is>
      </c>
      <c r="S359" s="29" t="inlineStr">
        <is>
          <t>4–7 yrs</t>
        </is>
      </c>
      <c r="T359" s="29" t="inlineStr">
        <is>
          <t>5–8 · 4–8</t>
        </is>
      </c>
      <c r="U359" s="29" t="inlineStr">
        <is>
          <t>Senior Business Analyst</t>
        </is>
      </c>
      <c r="V359" s="29" t="inlineStr">
        <is>
          <t>Regnology — regulatory reporting: BA · Reg Reporting · Big Four consulting: Senior Consultant · IRIS Vs Market Benchmark — IIBA certification pathway: CCBA · Infosys / Accenture: JL4 · L9 Consultant</t>
        </is>
      </c>
      <c r="W359" s="29" t="inlineStr">
        <is>
          <t>IIBA BABOK v3; certifications ECBA · entry → CCBA → CBAP · senior</t>
        </is>
      </c>
      <c r="X359" s="29" t="inlineStr">
        <is>
          <t>Core 3 · Future 3 · Functional 3 · Leadership 1</t>
        </is>
      </c>
      <c r="Y359" s="52" t="n">
        <v>251</v>
      </c>
      <c r="Z359" s="53" t="inlineStr">
        <is>
          <t>IRIS2076</t>
        </is>
      </c>
      <c r="AA359" s="53" t="inlineStr">
        <is>
          <t>Employee</t>
        </is>
      </c>
      <c r="AB359" s="53" t="inlineStr">
        <is>
          <t>Active</t>
        </is>
      </c>
      <c r="AC359" s="53" t="inlineStr">
        <is>
          <t>Tumpa Deb</t>
        </is>
      </c>
      <c r="AD359" s="54" t="n">
        <v>44867</v>
      </c>
      <c r="AE359" s="53" t="inlineStr">
        <is>
          <t>Senior Business Analyst</t>
        </is>
      </c>
      <c r="AF359" s="53" t="inlineStr">
        <is>
          <t>MBA</t>
        </is>
      </c>
      <c r="AG359" s="53" t="inlineStr">
        <is>
          <t>Jailesh Bhadra</t>
        </is>
      </c>
      <c r="AH359" s="53" t="inlineStr">
        <is>
          <t>N-4</t>
        </is>
      </c>
      <c r="AI359" s="53" t="inlineStr">
        <is>
          <t>Individual Contributor</t>
        </is>
      </c>
      <c r="AJ359" s="53" t="inlineStr">
        <is>
          <t>3 years, 11 months, 0 days</t>
        </is>
      </c>
      <c r="AK359" s="53" t="inlineStr">
        <is>
          <t>3 years, 9 months, 23 days</t>
        </is>
      </c>
      <c r="AL359" s="53" t="inlineStr">
        <is>
          <t>Suptech</t>
        </is>
      </c>
      <c r="AM359" s="53" t="inlineStr">
        <is>
          <t>iFile</t>
        </is>
      </c>
      <c r="AN359" s="53" t="inlineStr">
        <is>
          <t>Technology</t>
        </is>
      </c>
      <c r="AO359" s="53" t="inlineStr">
        <is>
          <t>Business Analysis</t>
        </is>
      </c>
      <c r="AP359" s="53" t="inlineStr">
        <is>
          <t>No</t>
        </is>
      </c>
      <c r="AQ359" s="53" t="inlineStr">
        <is>
          <t>Product/Project</t>
        </is>
      </c>
      <c r="AR359" s="53" t="inlineStr">
        <is>
          <t>Business Analysis</t>
        </is>
      </c>
      <c r="AS359" s="53" t="inlineStr">
        <is>
          <t>Technical · BA, PM and QA</t>
        </is>
      </c>
      <c r="AT359" s="53" t="n">
        <v>20</v>
      </c>
      <c r="AU359" s="53" t="inlineStr">
        <is>
          <t>Covered</t>
        </is>
      </c>
      <c r="AV359" s="53" t="n"/>
      <c r="AW359" s="53" t="n"/>
      <c r="AX359" s="53" t="n"/>
      <c r="AY359" s="53" t="n"/>
      <c r="AZ359" s="53" t="n"/>
      <c r="BA359" s="53" t="n"/>
      <c r="BB359" s="53" t="n"/>
      <c r="BC359" s="53" t="n"/>
      <c r="BD359" s="53" t="n"/>
      <c r="BE359" s="53" t="n"/>
      <c r="BF359" s="53" t="n"/>
      <c r="BG359" s="53" t="n"/>
      <c r="BH359" s="53" t="n"/>
      <c r="BI359" s="53" t="n"/>
      <c r="BJ359" s="53" t="n"/>
      <c r="BK359" s="53" t="n"/>
      <c r="BL359" s="53" t="n"/>
      <c r="BM359" s="53" t="n"/>
      <c r="BN359" s="53" t="n"/>
      <c r="BO359" s="53" t="n"/>
      <c r="BP359" s="53" t="n"/>
      <c r="BQ359" s="53" t="n"/>
      <c r="BR359" s="53" t="n"/>
      <c r="BS359" s="53" t="n"/>
      <c r="BT359" s="53" t="n"/>
      <c r="BU359" s="53" t="n"/>
      <c r="BV359" s="53" t="n"/>
      <c r="BW359" s="53" t="n"/>
      <c r="BX359" s="53" t="n"/>
      <c r="BY359" s="53" t="n"/>
      <c r="BZ359" s="53" t="n"/>
      <c r="CA359" s="53" t="n"/>
      <c r="CB359" s="53" t="n"/>
      <c r="CC359" s="53" t="n"/>
      <c r="CD359" s="53" t="n"/>
      <c r="CE359" s="53" t="n"/>
      <c r="CF359" s="53" t="n"/>
      <c r="CG359" s="53" t="n"/>
      <c r="CH359" s="53" t="n"/>
      <c r="CI359" s="53" t="n"/>
      <c r="CJ359" s="53" t="n"/>
      <c r="CK359" s="53" t="n"/>
      <c r="CL359" s="53" t="n"/>
      <c r="CM359" s="53" t="n"/>
      <c r="CN359" s="53" t="n"/>
      <c r="CO359" s="53" t="n"/>
      <c r="CP359" s="53" t="n"/>
      <c r="CQ359" s="53" t="n"/>
      <c r="CR359" s="53" t="n"/>
      <c r="CS359" s="53" t="n"/>
      <c r="CT359" s="53" t="n"/>
      <c r="CU359" s="53" t="n"/>
      <c r="CV359" s="53" t="n"/>
      <c r="CW359" s="53" t="n"/>
      <c r="CX359" s="53" t="n"/>
      <c r="CY359" s="53" t="n"/>
      <c r="CZ359" s="53" t="n"/>
      <c r="DA359" s="53" t="n"/>
      <c r="DB359" s="53" t="n"/>
      <c r="DC359" s="53" t="n"/>
      <c r="DD359" s="53" t="inlineStr">
        <is>
          <t>IRIS2076</t>
        </is>
      </c>
      <c r="DE359" s="53" t="inlineStr">
        <is>
          <t>Employee</t>
        </is>
      </c>
      <c r="DF359" s="53" t="inlineStr">
        <is>
          <t>Active</t>
        </is>
      </c>
      <c r="DG359" s="53" t="inlineStr">
        <is>
          <t>Tumpa Deb</t>
        </is>
      </c>
      <c r="DH359" s="54" t="n">
        <v>44867</v>
      </c>
      <c r="DI359" s="53" t="inlineStr">
        <is>
          <t>Senior Business Analyst</t>
        </is>
      </c>
      <c r="DJ359" s="53" t="inlineStr">
        <is>
          <t>Business Analysis</t>
        </is>
      </c>
      <c r="DK359" s="53" t="inlineStr">
        <is>
          <t>Business / Functional Analysis</t>
        </is>
      </c>
      <c r="DL359" s="53" t="inlineStr">
        <is>
          <t>Senior Business Analyst</t>
        </is>
      </c>
      <c r="DM359" s="53" t="inlineStr">
        <is>
          <t>L4 – Senior</t>
        </is>
      </c>
      <c r="DN359" s="53" t="inlineStr">
        <is>
          <t>MBA</t>
        </is>
      </c>
      <c r="DO359" s="53" t="inlineStr">
        <is>
          <t>Jailesh Bhadra</t>
        </is>
      </c>
      <c r="DP359" s="53" t="inlineStr">
        <is>
          <t>N-3</t>
        </is>
      </c>
      <c r="DQ359" s="53" t="inlineStr">
        <is>
          <t>Individual Contributor</t>
        </is>
      </c>
      <c r="DR359" s="53" t="inlineStr">
        <is>
          <t>3 years, 11 months, 0 days</t>
        </is>
      </c>
      <c r="DS359" s="53" t="inlineStr">
        <is>
          <t>3 years, 7 months, 18 days</t>
        </is>
      </c>
      <c r="DT359" s="53" t="inlineStr">
        <is>
          <t>7 years, 6 months, 18 days</t>
        </is>
      </c>
      <c r="DU359" s="53" t="n"/>
      <c r="DV359" s="53" t="inlineStr">
        <is>
          <t>Suptech</t>
        </is>
      </c>
      <c r="DW359" s="53" t="inlineStr">
        <is>
          <t>iFile</t>
        </is>
      </c>
      <c r="DX359" s="53" t="inlineStr">
        <is>
          <t>Technology</t>
        </is>
      </c>
      <c r="DY359" s="53" t="inlineStr">
        <is>
          <t>Business Analysis</t>
        </is>
      </c>
      <c r="DZ359" s="53" t="inlineStr">
        <is>
          <t>No</t>
        </is>
      </c>
      <c r="EA359" s="53" t="inlineStr">
        <is>
          <t>Product/Project</t>
        </is>
      </c>
      <c r="EB359" s="53" t="inlineStr">
        <is>
          <t>Business Analysis</t>
        </is>
      </c>
      <c r="EC359" s="53" t="inlineStr">
        <is>
          <t>Technical · BA, PM and QA</t>
        </is>
      </c>
      <c r="ED359" s="53" t="inlineStr">
        <is>
          <t>Hybrid</t>
        </is>
      </c>
      <c r="EE359" s="53" t="inlineStr">
        <is>
          <t>1. Reduce documentation or analysis effort by 10% through templates or automation.
2. Reduce development rework caused by unclear requirements by 20%.
3. Complete at least 95% of assigned tasks on or before the agreed deadline.
4. Keep documentation up to date throughout the project lifecycle.
5. Complete at least 2 relevant training courses or certifications.</t>
        </is>
      </c>
      <c r="EF359" s="53" t="inlineStr">
        <is>
          <t>1. Deliver &gt;=95% of assigned BRDs/FSDs approved by stakeholders with &lt;=1 revision cycle
2. Ensure &gt;=90% on-time delivery of BA deliverables against the project plan
3. Achieve &gt;=4.2/5 average stakeholder satisfaction on requirement clarity &amp; completeness
4. Complete UAT support/sign-off for &gt;=90% of assigned releases within agreed timelines
5. Reduce post-sign-off requirement change requests/defects by &gt;=15% YoY
6. Mentor/support onboarding of at least 1 junior BA this year</t>
        </is>
      </c>
      <c r="EG359" s="53" t="inlineStr">
        <is>
          <t>Q1: Deliver &gt;=95% of assigned BRDs/FSDs approved with &lt;=1 revision cycle
Q1: Ensure &gt;=90% on-time delivery of BA deliverables
Q1: Achieve &gt;=4.2/5 stakeholder satisfaction on requirement clarity
Q1: Complete UAT sign-off for all Q1 releases within timeline</t>
        </is>
      </c>
      <c r="EH359" s="53" t="n">
        <v>3</v>
      </c>
      <c r="EI359" s="54" t="n">
        <v>45931</v>
      </c>
      <c r="EJ359" s="53" t="inlineStr">
        <is>
          <t>Senior Business Analyst</t>
        </is>
      </c>
      <c r="EK359" s="53" t="inlineStr">
        <is>
          <t>No – Senior BA title matches current scope and seniority.</t>
        </is>
      </c>
      <c r="EL359" s="53" t="n">
        <v>3</v>
      </c>
      <c r="EM359" s="53" t="inlineStr">
        <is>
          <t>Medium</t>
        </is>
      </c>
      <c r="EN359" s="53" t="inlineStr">
        <is>
          <t>Reliable Specialist</t>
        </is>
      </c>
      <c r="EO359" s="53" t="inlineStr">
        <is>
          <t>N</t>
        </is>
      </c>
      <c r="EP359" s="53" t="inlineStr">
        <is>
          <t>N</t>
        </is>
      </c>
      <c r="EQ359" s="53" t="inlineStr">
        <is>
          <t>N</t>
        </is>
      </c>
      <c r="ER359" s="53" t="inlineStr">
        <is>
          <t>No successor identified yet — Ankita can be considered</t>
        </is>
      </c>
      <c r="ES359" s="53" t="inlineStr">
        <is>
          <t>Requirement engineering &amp; BRD writing; Agile/Scrum; domain · RegTech/XBRL knowledge; stakeholder management</t>
        </is>
      </c>
      <c r="ET359" s="53" t="inlineStr">
        <is>
          <t>-</t>
        </is>
      </c>
      <c r="EU359" s="53" t="inlineStr">
        <is>
          <t>Work from office days to be assigned</t>
        </is>
      </c>
      <c r="EV359" s="53" t="n"/>
      <c r="EW359" s="52" t="n"/>
      <c r="EX359" s="53" t="n"/>
      <c r="EY359" s="53" t="n"/>
      <c r="EZ359" s="53" t="n"/>
      <c r="FA359" s="53" t="n"/>
      <c r="FB359" s="53" t="n"/>
      <c r="FC359" s="53" t="n"/>
      <c r="FD359" s="53" t="n"/>
      <c r="FE359" s="57" t="inlineStr">
        <is>
          <t>1. Deliver &gt;=95% of assigned BRDs/FSDs approved by stakeholders with &lt;=1 revision cycle
2. Ensure &gt;=90% on-time delivery of BA deliverables against the project plan
3. Achieve &gt;=4.2/5 average stakeholder satisfaction on requirement clarity &amp; completeness
4. Complete UAT support/sign-off for &gt;=90% of assigned releases within agreed timelines
5. Reduce post-sign-off requirement change requests/defects by &gt;=15% YoY
6. Mentor/support onboarding of at least 1 junior BA this year</t>
        </is>
      </c>
      <c r="FF359" s="56" t="inlineStr">
        <is>
          <t>Q1: Deliver &gt;=95% of assigned BRDs/FSDs approved with &lt;=1 revision cycle
Q1: Ensure &gt;=90% on-time delivery of BA deliverables
Q1: Achieve &gt;=4.2/5 stakeholder satisfaction on requirement clarity
Q1: Complete UAT sign-off for all Q1 releases within timeline</t>
        </is>
      </c>
      <c r="FG359" s="56" t="inlineStr">
        <is>
          <t>1. Reduce documentation or analysis effort by 10% through templates or automation.
2. Reduce development rework caused by unclear requirements by 20%.
3. Complete at least 95% of assigned tasks on or before the agreed deadline.
4. Keep documentation up to date throughout the project lifecycle.
5. Complete at least 2 relevant training courses or certifications.</t>
        </is>
      </c>
      <c r="FH359" s="56" t="inlineStr">
        <is>
          <t>3</t>
        </is>
      </c>
      <c r="FI359" s="56" t="n"/>
      <c r="FJ359" s="56" t="inlineStr">
        <is>
          <t>Received · manager annual, quarterly, self</t>
        </is>
      </c>
      <c r="FK359" s="56" t="inlineStr">
        <is>
          <t>Talent Mapping · iFile collated</t>
        </is>
      </c>
      <c r="FL359" s="56" t="n">
        <v>19</v>
      </c>
      <c r="FM359" s="32" t="inlineStr">
        <is>
          <t>Full survey answers not in the files received · How We Grow export needed · HR</t>
        </is>
      </c>
      <c r="FN359" s="56" t="inlineStr">
        <is>
          <t>—</t>
        </is>
      </c>
      <c r="FO359" s="56" t="inlineStr">
        <is>
          <t>—</t>
        </is>
      </c>
      <c r="FP359" s="56" t="inlineStr">
        <is>
          <t>—</t>
        </is>
      </c>
      <c r="FQ359" s="56" t="inlineStr">
        <is>
          <t>—</t>
        </is>
      </c>
      <c r="FR359" s="56" t="inlineStr">
        <is>
          <t>Complexity: Evidence reads like A3: Gathers and documents requirements; runs client workshops, UAT and pilot runs → moved down 0.5
Autonomy: Evidence reads like A2: Names only requirement analysis as an independent decision → moved down 0.5
Accountability: Evidence reads like A2: own survey / KRA answers · summarised by the rater; not quoted → moved down 0.5
Leadership: Evidence reads like A1: None described → moved down 0.5
Business Impact: No move: the survey / manager mapping does not mark it business-critical or unique.</t>
        </is>
      </c>
      <c r="FS359" s="56" t="inlineStr">
        <is>
          <t>Common themes in role-holders' answers: business · smooth · between · client · am · requirements
Common themes in role-holders' answers: requirement · stakeholder · gathering · client · project · portfolio
Common themes in role-holders' answers: product · regulator
Common themes in role-holders' answers: requirement · client · time · issue · assigned
Common themes in role-holders' answers: documentation
If the work is missed · role-holders' themes: client · delivery · escalation · unresolved · without.
Measured on · manager-set KRA themes: releases · satisfaction · delivery · assigned · requirement.</t>
        </is>
      </c>
      <c r="FT359" s="56" t="inlineStr">
        <is>
          <t>Self-identified: AI / automation · Product &amp; tool knowledge
For the next role: AI / automation · Product &amp; tool knowledge</t>
        </is>
      </c>
      <c r="FU359" s="32" t="inlineStr">
        <is>
          <t>Full survey answers not in the files received · How We Grow export needed · HR</t>
        </is>
      </c>
    </row>
    <row r="360" ht="90" customHeight="1">
      <c r="A360" s="51" t="inlineStr">
        <is>
          <t>◂ Back</t>
        </is>
      </c>
      <c r="B360" s="29" t="inlineStr">
        <is>
          <t>Mapped</t>
        </is>
      </c>
      <c r="C360" s="28" t="inlineStr">
        <is>
          <t>iFile</t>
        </is>
      </c>
      <c r="D360" s="29" t="inlineStr">
        <is>
          <t>IRIS2506</t>
        </is>
      </c>
      <c r="E360" s="29" t="inlineStr">
        <is>
          <t>Neha Singh</t>
        </is>
      </c>
      <c r="F360" s="29" t="inlineStr">
        <is>
          <t>Technology</t>
        </is>
      </c>
      <c r="G360" s="29" t="inlineStr">
        <is>
          <t>Business Analyst</t>
        </is>
      </c>
      <c r="H360" s="29" t="inlineStr">
        <is>
          <t>Senior Business Analyst</t>
        </is>
      </c>
      <c r="I360" s="29" t="inlineStr">
        <is>
          <t>L3 – Professional / Associate</t>
        </is>
      </c>
      <c r="J360" s="29" t="inlineStr">
        <is>
          <t>A3</t>
        </is>
      </c>
      <c r="K360" s="29" t="inlineStr">
        <is>
          <t>▲ Up</t>
        </is>
      </c>
      <c r="L360" s="29" t="inlineStr">
        <is>
          <t>Business Analysis</t>
        </is>
      </c>
      <c r="M360" s="29" t="inlineStr">
        <is>
          <t>Business Analysis</t>
        </is>
      </c>
      <c r="N360" s="29" t="n"/>
      <c r="O360" s="29" t="n">
        <v>20</v>
      </c>
      <c r="P360" s="28" t="inlineStr">
        <is>
          <t>P2</t>
        </is>
      </c>
      <c r="Q360" s="29" t="inlineStr">
        <is>
          <t>Developing</t>
        </is>
      </c>
      <c r="R360" s="29" t="inlineStr">
        <is>
          <t>3 Apply</t>
        </is>
      </c>
      <c r="S360" s="29" t="inlineStr">
        <is>
          <t>2–4 yrs</t>
        </is>
      </c>
      <c r="T360" s="29" t="inlineStr">
        <is>
          <t>3–5 · 2–5</t>
        </is>
      </c>
      <c r="U360" s="29" t="inlineStr">
        <is>
          <t>Business Analyst</t>
        </is>
      </c>
      <c r="V360" s="29" t="inlineStr">
        <is>
          <t>Regnology — regulatory reporting: Junior BA · Reg Reporting · Big Four consulting: Consultant · IRIS Vs Market Benchmark — IIBA certification pathway: ECBA · Infosys / Accenture: JL3A · L10 Senior Analyst</t>
        </is>
      </c>
      <c r="W360" s="29" t="inlineStr">
        <is>
          <t>IIBA BABOK v3; certifications ECBA · entry → CCBA → CBAP · senior</t>
        </is>
      </c>
      <c r="X360" s="29" t="inlineStr">
        <is>
          <t>Core 2 · Future 2 · Functional 3 · Leadership not scored</t>
        </is>
      </c>
      <c r="Y360" s="52" t="n">
        <v>476</v>
      </c>
      <c r="Z360" s="53" t="inlineStr">
        <is>
          <t>IRIS2506</t>
        </is>
      </c>
      <c r="AA360" s="53" t="inlineStr">
        <is>
          <t>Employee</t>
        </is>
      </c>
      <c r="AB360" s="53" t="inlineStr">
        <is>
          <t>Active</t>
        </is>
      </c>
      <c r="AC360" s="53" t="inlineStr">
        <is>
          <t>Neha Singh</t>
        </is>
      </c>
      <c r="AD360" s="54" t="n">
        <v>46118</v>
      </c>
      <c r="AE360" s="53" t="inlineStr">
        <is>
          <t>Business Analyst</t>
        </is>
      </c>
      <c r="AF360" s="53" t="inlineStr">
        <is>
          <t>MBA</t>
        </is>
      </c>
      <c r="AG360" s="53" t="inlineStr">
        <is>
          <t>Jailesh Bhadra</t>
        </is>
      </c>
      <c r="AH360" s="53" t="inlineStr">
        <is>
          <t>N-4</t>
        </is>
      </c>
      <c r="AI360" s="53" t="inlineStr">
        <is>
          <t>Individual Contributor</t>
        </is>
      </c>
      <c r="AJ360" s="53" t="inlineStr">
        <is>
          <t>3 years, 1 months, 0 days</t>
        </is>
      </c>
      <c r="AK360" s="53" t="inlineStr">
        <is>
          <t>0 years, 4 months, 19 days</t>
        </is>
      </c>
      <c r="AL360" s="53" t="inlineStr">
        <is>
          <t>Suptech</t>
        </is>
      </c>
      <c r="AM360" s="53" t="inlineStr">
        <is>
          <t>iFile</t>
        </is>
      </c>
      <c r="AN360" s="53" t="inlineStr">
        <is>
          <t>Technology</t>
        </is>
      </c>
      <c r="AO360" s="53" t="inlineStr">
        <is>
          <t>Business Analysis</t>
        </is>
      </c>
      <c r="AP360" s="53" t="inlineStr">
        <is>
          <t>No</t>
        </is>
      </c>
      <c r="AQ360" s="53" t="inlineStr">
        <is>
          <t>Product/Project</t>
        </is>
      </c>
      <c r="AR360" s="53" t="inlineStr">
        <is>
          <t>Business Analysis</t>
        </is>
      </c>
      <c r="AS360" s="53" t="inlineStr">
        <is>
          <t>Technical · BA, PM and QA</t>
        </is>
      </c>
      <c r="AT360" s="53" t="n">
        <v>20</v>
      </c>
      <c r="AU360" s="53" t="inlineStr">
        <is>
          <t>Covered</t>
        </is>
      </c>
      <c r="AV360" s="53" t="n"/>
      <c r="AW360" s="53" t="n"/>
      <c r="AX360" s="53" t="n"/>
      <c r="AY360" s="53" t="n"/>
      <c r="AZ360" s="53" t="n"/>
      <c r="BA360" s="53" t="n"/>
      <c r="BB360" s="53" t="n"/>
      <c r="BC360" s="53" t="n"/>
      <c r="BD360" s="53" t="n"/>
      <c r="BE360" s="53" t="n"/>
      <c r="BF360" s="53" t="n"/>
      <c r="BG360" s="53" t="n"/>
      <c r="BH360" s="53" t="n"/>
      <c r="BI360" s="53" t="n"/>
      <c r="BJ360" s="53" t="n"/>
      <c r="BK360" s="53" t="n"/>
      <c r="BL360" s="53" t="n"/>
      <c r="BM360" s="53" t="n"/>
      <c r="BN360" s="53" t="n"/>
      <c r="BO360" s="53" t="n"/>
      <c r="BP360" s="53" t="n"/>
      <c r="BQ360" s="53" t="n"/>
      <c r="BR360" s="53" t="n"/>
      <c r="BS360" s="53" t="n"/>
      <c r="BT360" s="53" t="n"/>
      <c r="BU360" s="53" t="n"/>
      <c r="BV360" s="53" t="n"/>
      <c r="BW360" s="53" t="n"/>
      <c r="BX360" s="53" t="n"/>
      <c r="BY360" s="53" t="n"/>
      <c r="BZ360" s="53" t="n"/>
      <c r="CA360" s="53" t="n"/>
      <c r="CB360" s="53" t="n"/>
      <c r="CC360" s="53" t="n"/>
      <c r="CD360" s="53" t="n"/>
      <c r="CE360" s="53" t="n"/>
      <c r="CF360" s="53" t="n"/>
      <c r="CG360" s="53" t="n"/>
      <c r="CH360" s="53" t="n"/>
      <c r="CI360" s="53" t="n"/>
      <c r="CJ360" s="53" t="n"/>
      <c r="CK360" s="53" t="n"/>
      <c r="CL360" s="53" t="n"/>
      <c r="CM360" s="53" t="n"/>
      <c r="CN360" s="53" t="n"/>
      <c r="CO360" s="53" t="n"/>
      <c r="CP360" s="53" t="n"/>
      <c r="CQ360" s="53" t="n"/>
      <c r="CR360" s="53" t="n"/>
      <c r="CS360" s="53" t="n"/>
      <c r="CT360" s="53" t="n"/>
      <c r="CU360" s="53" t="n"/>
      <c r="CV360" s="53" t="n"/>
      <c r="CW360" s="53" t="n"/>
      <c r="CX360" s="53" t="n"/>
      <c r="CY360" s="53" t="n"/>
      <c r="CZ360" s="53" t="n"/>
      <c r="DA360" s="53" t="n"/>
      <c r="DB360" s="53" t="n"/>
      <c r="DC360" s="53" t="n"/>
      <c r="DD360" s="53" t="inlineStr">
        <is>
          <t>IRIS2506</t>
        </is>
      </c>
      <c r="DE360" s="53" t="inlineStr">
        <is>
          <t>Employee</t>
        </is>
      </c>
      <c r="DF360" s="53" t="inlineStr">
        <is>
          <t>Active</t>
        </is>
      </c>
      <c r="DG360" s="53" t="inlineStr">
        <is>
          <t>Neha Singh</t>
        </is>
      </c>
      <c r="DH360" s="54" t="n">
        <v>46118</v>
      </c>
      <c r="DI360" s="53" t="inlineStr">
        <is>
          <t>Business Analyst</t>
        </is>
      </c>
      <c r="DJ360" s="53" t="inlineStr">
        <is>
          <t>Business Analysis</t>
        </is>
      </c>
      <c r="DK360" s="53" t="inlineStr">
        <is>
          <t>Business / Functional Analysis</t>
        </is>
      </c>
      <c r="DL360" s="53" t="inlineStr">
        <is>
          <t>Business Analyst</t>
        </is>
      </c>
      <c r="DM360" s="53" t="inlineStr">
        <is>
          <t>L3 – Professional / Associate</t>
        </is>
      </c>
      <c r="DN360" s="53" t="inlineStr">
        <is>
          <t>MBA</t>
        </is>
      </c>
      <c r="DO360" s="53" t="inlineStr">
        <is>
          <t>Jailesh Bhadra</t>
        </is>
      </c>
      <c r="DP360" s="53" t="inlineStr">
        <is>
          <t>N-3</t>
        </is>
      </c>
      <c r="DQ360" s="53" t="inlineStr">
        <is>
          <t>Individual Contributor</t>
        </is>
      </c>
      <c r="DR360" s="53" t="inlineStr">
        <is>
          <t>3 years, 1 months, 0 days</t>
        </is>
      </c>
      <c r="DS360" s="53" t="inlineStr">
        <is>
          <t>0 years, 2 months, 14 days</t>
        </is>
      </c>
      <c r="DT360" s="53" t="inlineStr">
        <is>
          <t>3 years, 3 months, 14 days</t>
        </is>
      </c>
      <c r="DU360" s="53" t="n"/>
      <c r="DV360" s="53" t="inlineStr">
        <is>
          <t>Suptech</t>
        </is>
      </c>
      <c r="DW360" s="53" t="inlineStr">
        <is>
          <t>iFile</t>
        </is>
      </c>
      <c r="DX360" s="53" t="inlineStr">
        <is>
          <t>Technology</t>
        </is>
      </c>
      <c r="DY360" s="53" t="inlineStr">
        <is>
          <t>Business Analysis</t>
        </is>
      </c>
      <c r="DZ360" s="53" t="inlineStr">
        <is>
          <t>No</t>
        </is>
      </c>
      <c r="EA360" s="53" t="inlineStr">
        <is>
          <t>Product/Project</t>
        </is>
      </c>
      <c r="EB360" s="53" t="inlineStr">
        <is>
          <t>Business Analysis</t>
        </is>
      </c>
      <c r="EC360" s="53" t="inlineStr">
        <is>
          <t>Technical · BA, PM and QA</t>
        </is>
      </c>
      <c r="ED360" s="53" t="inlineStr">
        <is>
          <t>Work From Office - Turbhe</t>
        </is>
      </c>
      <c r="EE360" s="53" t="inlineStr">
        <is>
          <t>1. Deliver assigned BA workstreams · requirement gathering, analysis, documentation, user stories, process flows with &gt;=95% quality and on-time completion, ensuring minimal rework and adherence to project timelines.
2.Provide day-to-day functional and domain guidance to at least 2 team members, enabling smooth execution of deliverables while maintaining quality standards and reducing dependency on senior intervention.
3. Ensure all pod-level escalations, blockers, and issues are proactively tracked, prioritized, and resolved within defined SLA timelines to maintain delivery efficiency and avoid repeat misses.
4. Act as a key point of contact for client, product, and internal stakeholder queries, ensuring timely communication, clear expectation setting, and effective coordination between business and delivery teams.
5. Drive continuous improvement in ETL processes and BI reporting by ensuring accurate requirement analysis, data validation, and reporting logic to enable reliable dashboards and high-quality business reporting.</t>
        </is>
      </c>
      <c r="EF360" s="53" t="inlineStr">
        <is>
          <t>1. Deliver &gt;=90% of assigned BRDs/user stories approved with &lt;=1 revision cycle
2. Achieve &gt;=85% on-time delivery of BA deliverables · ramp-up allowance in Q1
3. Achieve &gt;=4/5 stakeholder satisfaction on requirement clarity
4. Complete assigned UAT support tasks within agreed timelines
5. Complete structured BA/domain onboarding within first 90 days
6. Shadow/co-deliver at least 2 requirement workshops with a senior BA</t>
        </is>
      </c>
      <c r="EG360" s="53" t="inlineStr">
        <is>
          <t>Q1: Complete structured onboarding &amp; domain training within first 90 days
Q1: Shadow/co-deliver at least 2 requirement workshops with a senior BA
Q1: Deliver first independent BRD/user story set with &lt;=1 revision cycle
Q1: Achieve &gt;=4/5 stakeholder feedback on first assignment</t>
        </is>
      </c>
      <c r="EH360" s="53" t="n">
        <v>3</v>
      </c>
      <c r="EI360" s="53" t="inlineStr">
        <is>
          <t>Pending – to be scheduled</t>
        </is>
      </c>
      <c r="EJ360" s="53" t="inlineStr">
        <is>
          <t>Business Analyst</t>
        </is>
      </c>
      <c r="EK360" s="53" t="inlineStr">
        <is>
          <t>No – designation matches role; too early for a structural view.</t>
        </is>
      </c>
      <c r="EL360" s="53" t="n">
        <v>3</v>
      </c>
      <c r="EM360" s="53" t="inlineStr">
        <is>
          <t>Medium</t>
        </is>
      </c>
      <c r="EN360" s="53" t="inlineStr">
        <is>
          <t>Core Contributor</t>
        </is>
      </c>
      <c r="EO360" s="53" t="inlineStr">
        <is>
          <t>N</t>
        </is>
      </c>
      <c r="EP360" s="53" t="inlineStr">
        <is>
          <t>N</t>
        </is>
      </c>
      <c r="EQ360" s="53" t="inlineStr">
        <is>
          <t>N</t>
        </is>
      </c>
      <c r="ER360" s="53" t="inlineStr">
        <is>
          <t>-</t>
        </is>
      </c>
      <c r="ES360" s="53" t="inlineStr">
        <is>
          <t>Requirement engineering &amp; BRD/user-story writing; Agile/Scrum basics; RegTech/XBRL domain onboarding; stakeholder communication; Product visualization</t>
        </is>
      </c>
      <c r="ET360" s="53" t="inlineStr">
        <is>
          <t>-</t>
        </is>
      </c>
      <c r="EU360" s="53" t="inlineStr">
        <is>
          <t>New joiner</t>
        </is>
      </c>
      <c r="EV360" s="53" t="n"/>
      <c r="EW360" s="52" t="n"/>
      <c r="EX360" s="53" t="n"/>
      <c r="EY360" s="53" t="n"/>
      <c r="EZ360" s="53" t="n"/>
      <c r="FA360" s="53" t="n"/>
      <c r="FB360" s="53" t="n"/>
      <c r="FC360" s="53" t="n"/>
      <c r="FD360" s="53" t="n"/>
      <c r="FE360" s="57" t="inlineStr">
        <is>
          <t>1. Deliver &gt;=90% of assigned BRDs/user stories approved with &lt;=1 revision cycle
2. Achieve &gt;=85% on-time delivery of BA deliverables · ramp-up allowance in Q1
3. Achieve &gt;=4/5 stakeholder satisfaction on requirement clarity
4. Complete assigned UAT support tasks within agreed timelines
5. Complete structured BA/domain onboarding within first 90 days
6. Shadow/co-deliver at least 2 requirement workshops with a senior BA</t>
        </is>
      </c>
      <c r="FF360" s="56" t="inlineStr">
        <is>
          <t>Q1: Complete structured onboarding &amp; domain training within first 90 days
Q1: Shadow/co-deliver at least 2 requirement workshops with a senior BA
Q1: Deliver first independent BRD/user story set with &lt;=1 revision cycle
Q1: Achieve &gt;=4/5 stakeholder feedback on first assignment</t>
        </is>
      </c>
      <c r="FG360" s="56" t="inlineStr">
        <is>
          <t>1. Deliver assigned BA workstreams · requirement gathering, analysis, documentation, user stories, process flows with &gt;=95% quality and on-time completion, ensuring minimal rework and adherence to project timelines.
2.Provide day-to-day functional and domain guidance to at least 2 team members, enabling smooth execution of deliverables while maintaining quality standards and reducing dependency on senior intervention.
3. Ensure all pod-level escalations, blockers, and issues are proactively tracked, prioritized, and resolved within defined SLA timelines to maintain delivery efficiency and avoid repeat misses.
4. Act as a key point of contact for client, product, and internal stakeholder queries, ensuring timely communication, clear expectation setting, and effective coordination between business and delivery teams.
5. Drive continuous improvement in ETL processes and BI reporting by ensuring accurate requirement analysis, data validation, and reporting logic to enable reliable dashboards and high-quality business reporting.</t>
        </is>
      </c>
      <c r="FH360" s="56" t="inlineStr">
        <is>
          <t>3</t>
        </is>
      </c>
      <c r="FI360" s="56" t="n"/>
      <c r="FJ360" s="56" t="inlineStr">
        <is>
          <t>Received · manager annual, quarterly, self</t>
        </is>
      </c>
      <c r="FK360" s="56" t="inlineStr">
        <is>
          <t>Talent Mapping · iFile collated</t>
        </is>
      </c>
      <c r="FL360" s="56" t="n">
        <v>20</v>
      </c>
      <c r="FM360" s="32" t="inlineStr">
        <is>
          <t>Full survey answers not in the files received · How We Grow export needed · HR</t>
        </is>
      </c>
      <c r="FN360" s="56" t="inlineStr">
        <is>
          <t>—</t>
        </is>
      </c>
      <c r="FO360" s="56" t="inlineStr">
        <is>
          <t>—</t>
        </is>
      </c>
      <c r="FP360" s="56" t="inlineStr">
        <is>
          <t>—</t>
        </is>
      </c>
      <c r="FQ360" s="56" t="inlineStr">
        <is>
          <t>—</t>
        </is>
      </c>
      <c r="FR360" s="56" t="inlineStr">
        <is>
          <t>Business Impact: No move: the survey / manager mapping does not mark it business-critical or unique.</t>
        </is>
      </c>
      <c r="FS360" s="56" t="inlineStr">
        <is>
          <t>Common themes in role-holders' answers: business · requirements · technical · between · client · understand
Common themes in role-holders' answers: documentation · requirement · client · gathering · coordination · managing
Common themes in role-holders' answers: deliver · product · client · requirement · process · business
Common themes in role-holders' answers: requirements · accountable · delivery · quality · documentation · timely
Common themes in role-holders' answers: documentation · prioritize · user stories · process · project
If the work is missed · role-holders' themes: rework · client.
Measured on · manager-set KRA themes: delivery · assigned · project · requests · satisfaction.</t>
        </is>
      </c>
      <c r="FT360" s="56" t="inlineStr">
        <is>
          <t>Self-identified: Leadership &amp; people management · Product &amp; tool knowledge · Client, sales &amp; stakeholders · Broader exposure &amp; ownership
For the next role: Leadership &amp; people management · Product &amp; tool knowledge · Client, sales &amp; stakeholders · Broader exposure &amp; ownership</t>
        </is>
      </c>
      <c r="FU360" s="32" t="inlineStr">
        <is>
          <t>Full survey answers not in the files received · How We Grow export needed · HR</t>
        </is>
      </c>
    </row>
    <row r="361" ht="90" customHeight="1">
      <c r="A361" s="51" t="inlineStr">
        <is>
          <t>◂ Back</t>
        </is>
      </c>
      <c r="B361" s="29" t="inlineStr">
        <is>
          <t>Mapped</t>
        </is>
      </c>
      <c r="C361" s="28" t="inlineStr">
        <is>
          <t>iFile</t>
        </is>
      </c>
      <c r="D361" s="29" t="inlineStr">
        <is>
          <t>IRIS1852</t>
        </is>
      </c>
      <c r="E361" s="29" t="inlineStr">
        <is>
          <t>Prajakta Chavan</t>
        </is>
      </c>
      <c r="F361" s="29" t="inlineStr">
        <is>
          <t>Technology</t>
        </is>
      </c>
      <c r="G361" s="29" t="inlineStr">
        <is>
          <t>Business Analyst</t>
        </is>
      </c>
      <c r="H361" s="29" t="inlineStr">
        <is>
          <t>Senior Business Analyst</t>
        </is>
      </c>
      <c r="I361" s="29" t="inlineStr">
        <is>
          <t>L3 – Professional / Associate</t>
        </is>
      </c>
      <c r="J361" s="29" t="inlineStr">
        <is>
          <t>A3</t>
        </is>
      </c>
      <c r="K361" s="29" t="inlineStr">
        <is>
          <t>▲ Up</t>
        </is>
      </c>
      <c r="L361" s="29" t="inlineStr">
        <is>
          <t>Business Analysis</t>
        </is>
      </c>
      <c r="M361" s="29" t="inlineStr">
        <is>
          <t>Business Analysis</t>
        </is>
      </c>
      <c r="N361" s="29" t="inlineStr">
        <is>
          <t>• Confirm the reporting line — Manager</t>
        </is>
      </c>
      <c r="O361" s="29" t="n">
        <v>19</v>
      </c>
      <c r="P361" s="28" t="inlineStr">
        <is>
          <t>P2</t>
        </is>
      </c>
      <c r="Q361" s="29" t="inlineStr">
        <is>
          <t>Developing</t>
        </is>
      </c>
      <c r="R361" s="29" t="inlineStr">
        <is>
          <t>3 Apply</t>
        </is>
      </c>
      <c r="S361" s="29" t="inlineStr">
        <is>
          <t>2–4 yrs</t>
        </is>
      </c>
      <c r="T361" s="29" t="inlineStr">
        <is>
          <t>3–5 · 2–5</t>
        </is>
      </c>
      <c r="U361" s="29" t="inlineStr">
        <is>
          <t>Business Analyst</t>
        </is>
      </c>
      <c r="V361" s="29" t="inlineStr">
        <is>
          <t>Regnology — regulatory reporting: Junior BA · Reg Reporting · Big Four consulting: Consultant · IRIS Vs Market Benchmark — IIBA certification pathway: ECBA · Infosys / Accenture: JL3A · L10 Senior Analyst</t>
        </is>
      </c>
      <c r="W361" s="29" t="inlineStr">
        <is>
          <t>IIBA BABOK v3; certifications ECBA · entry → CCBA → CBAP · senior</t>
        </is>
      </c>
      <c r="X361" s="29" t="inlineStr">
        <is>
          <t>Core 2 · Future 2 · Functional 3 · Leadership not scored</t>
        </is>
      </c>
      <c r="Y361" s="52" t="n">
        <v>165</v>
      </c>
      <c r="Z361" s="53" t="inlineStr">
        <is>
          <t>IRIS1852</t>
        </is>
      </c>
      <c r="AA361" s="53" t="inlineStr">
        <is>
          <t>Employee</t>
        </is>
      </c>
      <c r="AB361" s="53" t="inlineStr">
        <is>
          <t>Active</t>
        </is>
      </c>
      <c r="AC361" s="53" t="inlineStr">
        <is>
          <t>Prajakta Chavan</t>
        </is>
      </c>
      <c r="AD361" s="54" t="n">
        <v>43955</v>
      </c>
      <c r="AE361" s="53" t="inlineStr">
        <is>
          <t>Business Analyst</t>
        </is>
      </c>
      <c r="AF361" s="53" t="inlineStr">
        <is>
          <t>B.E</t>
        </is>
      </c>
      <c r="AG361" s="53" t="inlineStr">
        <is>
          <t>Jailesh Bhadra</t>
        </is>
      </c>
      <c r="AH361" s="53" t="inlineStr">
        <is>
          <t>N-4</t>
        </is>
      </c>
      <c r="AI361" s="53" t="inlineStr">
        <is>
          <t>Individual Contributor</t>
        </is>
      </c>
      <c r="AJ361" s="53" t="inlineStr">
        <is>
          <t>0 years, 6 months, 0 days</t>
        </is>
      </c>
      <c r="AK361" s="53" t="inlineStr">
        <is>
          <t>6 years, 3 months, 21 days</t>
        </is>
      </c>
      <c r="AL361" s="53" t="inlineStr">
        <is>
          <t>Suptech</t>
        </is>
      </c>
      <c r="AM361" s="53" t="inlineStr">
        <is>
          <t>iFile</t>
        </is>
      </c>
      <c r="AN361" s="53" t="inlineStr">
        <is>
          <t>Technology</t>
        </is>
      </c>
      <c r="AO361" s="53" t="inlineStr">
        <is>
          <t>Business Analysis</t>
        </is>
      </c>
      <c r="AP361" s="53" t="inlineStr">
        <is>
          <t>No</t>
        </is>
      </c>
      <c r="AQ361" s="53" t="inlineStr">
        <is>
          <t>Product/Project</t>
        </is>
      </c>
      <c r="AR361" s="53" t="inlineStr">
        <is>
          <t>Business Analysis</t>
        </is>
      </c>
      <c r="AS361" s="53" t="inlineStr">
        <is>
          <t>Technical · BA, PM and QA</t>
        </is>
      </c>
      <c r="AT361" s="53" t="n">
        <v>20</v>
      </c>
      <c r="AU361" s="53" t="inlineStr">
        <is>
          <t>Covered</t>
        </is>
      </c>
      <c r="AV361" s="53" t="n"/>
      <c r="AW361" s="53" t="n"/>
      <c r="AX361" s="53" t="n"/>
      <c r="AY361" s="53" t="n"/>
      <c r="AZ361" s="53" t="n"/>
      <c r="BA361" s="53" t="n"/>
      <c r="BB361" s="53" t="n"/>
      <c r="BC361" s="53" t="n"/>
      <c r="BD361" s="53" t="n"/>
      <c r="BE361" s="53" t="n"/>
      <c r="BF361" s="53" t="n"/>
      <c r="BG361" s="53" t="n"/>
      <c r="BH361" s="53" t="n"/>
      <c r="BI361" s="53" t="n"/>
      <c r="BJ361" s="53" t="n"/>
      <c r="BK361" s="53" t="n"/>
      <c r="BL361" s="53" t="n"/>
      <c r="BM361" s="53" t="n"/>
      <c r="BN361" s="53" t="n"/>
      <c r="BO361" s="53" t="n"/>
      <c r="BP361" s="53" t="n"/>
      <c r="BQ361" s="53" t="n"/>
      <c r="BR361" s="53" t="n"/>
      <c r="BS361" s="53" t="n"/>
      <c r="BT361" s="53" t="n"/>
      <c r="BU361" s="53" t="n"/>
      <c r="BV361" s="53" t="n"/>
      <c r="BW361" s="53" t="n"/>
      <c r="BX361" s="53" t="n"/>
      <c r="BY361" s="53" t="n"/>
      <c r="BZ361" s="53" t="n"/>
      <c r="CA361" s="53" t="n"/>
      <c r="CB361" s="53" t="n"/>
      <c r="CC361" s="53" t="n"/>
      <c r="CD361" s="53" t="n"/>
      <c r="CE361" s="53" t="n"/>
      <c r="CF361" s="53" t="n"/>
      <c r="CG361" s="53" t="n"/>
      <c r="CH361" s="53" t="n"/>
      <c r="CI361" s="53" t="n"/>
      <c r="CJ361" s="53" t="n"/>
      <c r="CK361" s="53" t="n"/>
      <c r="CL361" s="53" t="n"/>
      <c r="CM361" s="53" t="n"/>
      <c r="CN361" s="53" t="n"/>
      <c r="CO361" s="53" t="n"/>
      <c r="CP361" s="53" t="n"/>
      <c r="CQ361" s="53" t="n"/>
      <c r="CR361" s="53" t="n"/>
      <c r="CS361" s="53" t="n"/>
      <c r="CT361" s="53" t="n"/>
      <c r="CU361" s="53" t="n"/>
      <c r="CV361" s="53" t="n"/>
      <c r="CW361" s="53" t="n"/>
      <c r="CX361" s="53" t="n"/>
      <c r="CY361" s="53" t="n"/>
      <c r="CZ361" s="53" t="n"/>
      <c r="DA361" s="53" t="n"/>
      <c r="DB361" s="53" t="n"/>
      <c r="DC361" s="53" t="n"/>
      <c r="DD361" s="53" t="inlineStr">
        <is>
          <t>IRIS1852</t>
        </is>
      </c>
      <c r="DE361" s="53" t="inlineStr">
        <is>
          <t>Employee</t>
        </is>
      </c>
      <c r="DF361" s="53" t="inlineStr">
        <is>
          <t>Active</t>
        </is>
      </c>
      <c r="DG361" s="53" t="inlineStr">
        <is>
          <t>Prajakta Chavan</t>
        </is>
      </c>
      <c r="DH361" s="54" t="n">
        <v>43955</v>
      </c>
      <c r="DI361" s="53" t="inlineStr">
        <is>
          <t>Business Analyst</t>
        </is>
      </c>
      <c r="DJ361" s="53" t="inlineStr">
        <is>
          <t>Business Analysis</t>
        </is>
      </c>
      <c r="DK361" s="53" t="inlineStr">
        <is>
          <t>Business / Functional Analysis</t>
        </is>
      </c>
      <c r="DL361" s="53" t="inlineStr">
        <is>
          <t>Business Analyst</t>
        </is>
      </c>
      <c r="DM361" s="53" t="inlineStr">
        <is>
          <t>L3 – Professional / Associate</t>
        </is>
      </c>
      <c r="DN361" s="53" t="inlineStr">
        <is>
          <t>B.E</t>
        </is>
      </c>
      <c r="DO361" s="53" t="inlineStr">
        <is>
          <t>Jailesh Bhadra</t>
        </is>
      </c>
      <c r="DP361" s="53" t="inlineStr">
        <is>
          <t>N-3</t>
        </is>
      </c>
      <c r="DQ361" s="53" t="inlineStr">
        <is>
          <t>Individual Contributor</t>
        </is>
      </c>
      <c r="DR361" s="53" t="inlineStr">
        <is>
          <t>0 years, 6 months, 0 days</t>
        </is>
      </c>
      <c r="DS361" s="53" t="inlineStr">
        <is>
          <t>6 years, 1 months, 16 days</t>
        </is>
      </c>
      <c r="DT361" s="53" t="inlineStr">
        <is>
          <t>6 years, 7 months, 16 days</t>
        </is>
      </c>
      <c r="DU361" s="53" t="n"/>
      <c r="DV361" s="53" t="inlineStr">
        <is>
          <t>Suptech</t>
        </is>
      </c>
      <c r="DW361" s="53" t="inlineStr">
        <is>
          <t>iFile</t>
        </is>
      </c>
      <c r="DX361" s="53" t="inlineStr">
        <is>
          <t>Technology</t>
        </is>
      </c>
      <c r="DY361" s="53" t="inlineStr">
        <is>
          <t>Business Analysis</t>
        </is>
      </c>
      <c r="DZ361" s="53" t="inlineStr">
        <is>
          <t>No</t>
        </is>
      </c>
      <c r="EA361" s="53" t="inlineStr">
        <is>
          <t>Product/Project</t>
        </is>
      </c>
      <c r="EB361" s="53" t="inlineStr">
        <is>
          <t>Business Analysis</t>
        </is>
      </c>
      <c r="EC361" s="53" t="inlineStr">
        <is>
          <t>Technical · BA, PM and QA</t>
        </is>
      </c>
      <c r="ED361" s="53" t="inlineStr">
        <is>
          <t>Client Side</t>
        </is>
      </c>
      <c r="EE361" s="53" t="inlineStr">
        <is>
          <t>1. Knowledge sharing Providing  KT sessions as and when required by the Testing Team / Other BA at client site for Product flow understanding ,Module functionality and based on my experience I try to guide team to understand the xbrl errors and resolution.
2. Domain/Technical/Functional Knowledge Product and Return specific Knowledge helps me to guide the team whenever required which results in timely delivery to the client.
3. 90% of Good Quality of Test Case Review and Provides suggestions to QA team that enhances the quality of Test Artifacts Documentation
4. Project documentation on time Submitted 100% of FRS, User stories,SRS, and MoMs within agreed timelines. 
5. Communication and Collabration Conducted 100% of planned stakeholder meetings for requirement gathering process with clear agendas and documented outcomes in form of MoMs.
6. Cross-functional collaboration effectively with Business, Development, QA, and webform teams, achieving milestone.
7. Supporting development with requirement clarity - Once the requirement is cleared the analysis of developing the requirement and creation of good quality of User Stories in Quikscrum for Development team with less doubts and easily understandable stories.
8. Maintaining 100% sprint backlog readiness before Sprint Planning by creating and refining user stories with acceptance criteria that ensures readiness and gives a clear track for the team to work .</t>
        </is>
      </c>
      <c r="EF361" s="53" t="inlineStr">
        <is>
          <t>1. Deliver &gt;=95% of assigned BRDs/FSDs approved with &lt;=1 revision cycle
2. Ensure &gt;=90% on-time delivery of BA deliverables against plan
3. Achieve &gt;=4.2/5 stakeholder satisfaction on requirement clarity
4. Complete UAT support/sign-off for &gt;=90% of assigned releases within timeline
5. Reduce post-sign-off requirement change requests by &gt;=15% YoY
6. Take ownership of at least 1 complex/ambiguous requirement area independently</t>
        </is>
      </c>
      <c r="EG361" s="53" t="inlineStr">
        <is>
          <t>Q1: Deliver &gt;=95% of assigned BRDs/FSDs approved with &lt;=1 revision cycle
Q1: Ensure &gt;=90% on-time delivery of BA deliverables
Q1: Achieve &gt;=4.2/5 stakeholder satisfaction on requirement clarity
Q1: Own at least 1 complex requirement area end-to-end</t>
        </is>
      </c>
      <c r="EH361" s="53" t="n">
        <v>3</v>
      </c>
      <c r="EI361" s="53" t="inlineStr">
        <is>
          <t>Pending – to be scheduled</t>
        </is>
      </c>
      <c r="EJ361" s="53" t="inlineStr">
        <is>
          <t>Business Analyst</t>
        </is>
      </c>
      <c r="EK361" s="53" t="inlineStr">
        <is>
          <t>No – designation matches current scope.</t>
        </is>
      </c>
      <c r="EL361" s="53" t="n">
        <v>3</v>
      </c>
      <c r="EM361" s="53" t="inlineStr">
        <is>
          <t>High</t>
        </is>
      </c>
      <c r="EN361" s="53" t="inlineStr">
        <is>
          <t>Reliable Specialist</t>
        </is>
      </c>
      <c r="EO361" s="53" t="inlineStr">
        <is>
          <t>N</t>
        </is>
      </c>
      <c r="EP361" s="53" t="inlineStr">
        <is>
          <t>N</t>
        </is>
      </c>
      <c r="EQ361" s="53" t="inlineStr">
        <is>
          <t>N</t>
        </is>
      </c>
      <c r="ER361" s="53" t="inlineStr">
        <is>
          <t>No successor formally identified -Abhishek covers similar scope</t>
        </is>
      </c>
      <c r="ES361" s="53" t="inlineStr">
        <is>
          <t>Requirement engineering &amp; BRD writing; Agile/Scrum; domain · RegTech/XBRL knowledge; stakeholder management; Product knowledge</t>
        </is>
      </c>
      <c r="ET361" s="53" t="inlineStr">
        <is>
          <t>-</t>
        </is>
      </c>
      <c r="EU361" s="53" t="inlineStr">
        <is>
          <t>Recent feedback has resulted in need to monitor the performance in future</t>
        </is>
      </c>
      <c r="EV361" s="53" t="n"/>
      <c r="EW361" s="52" t="n"/>
      <c r="EX361" s="53" t="n"/>
      <c r="EY361" s="53" t="n"/>
      <c r="EZ361" s="53" t="n"/>
      <c r="FA361" s="53" t="n"/>
      <c r="FB361" s="53" t="n"/>
      <c r="FC361" s="53" t="n"/>
      <c r="FD361" s="53" t="n"/>
      <c r="FE361" s="57" t="inlineStr">
        <is>
          <t>1. Deliver &gt;=95% of assigned BRDs/FSDs approved with &lt;=1 revision cycle
2. Ensure &gt;=90% on-time delivery of BA deliverables against plan
3. Achieve &gt;=4.2/5 stakeholder satisfaction on requirement clarity
4. Complete UAT support/sign-off for &gt;=90% of assigned releases within timeline
5. Reduce post-sign-off requirement change requests by &gt;=15% YoY
6. Take ownership of at least 1 complex/ambiguous requirement area independently</t>
        </is>
      </c>
      <c r="FF361" s="56" t="inlineStr">
        <is>
          <t>Q1: Deliver &gt;=95% of assigned BRDs/FSDs approved with &lt;=1 revision cycle
Q1: Ensure &gt;=90% on-time delivery of BA deliverables
Q1: Achieve &gt;=4.2/5 stakeholder satisfaction on requirement clarity
Q1: Own at least 1 complex requirement area end-to-end</t>
        </is>
      </c>
      <c r="FG361" s="56" t="inlineStr">
        <is>
          <t>1. Knowledge sharing Providing  KT sessions as and when required by the Testing Team / Other BA at client site for Product flow understanding ,Module functionality and based on my experience I try to guide team to understand the xbrl errors and resolution.
2. Domain/Technical/Functional Knowledge Product and Return specific Knowledge helps me to guide the team whenever required which results in timely delivery to the client.
3. 90% of Good Quality of Test Case Review and Provides suggestions to QA team that enhances the quality of Test Artifacts Documentation
4. Project documentation on time Submitted 100% of FRS, User stories,SRS, and MoMs within agreed timelines. 
5. Communication and Collabration Conducted 100% of planned stakeholder meetings for requirement gathering process with clear agendas and documented outcomes in form of MoMs.
6. Cross-functional collaboration effectively with Business, Development, QA, and webform teams, achieving milestone.
7. Supporting development with requirement clarity - Once the requirement is cleared the analysis of developing the requirement and creation of good quality of User Stories in Quikscrum for Development team with less doubts and easily understandable stories.
8. Maintaining 100% sprint backlog readiness before Sprint Planning by creating and refining user stories with acceptance criteria that ensures readiness and gives a clear track for the team to work .</t>
        </is>
      </c>
      <c r="FH361" s="56" t="inlineStr">
        <is>
          <t>3</t>
        </is>
      </c>
      <c r="FI361" s="56" t="n"/>
      <c r="FJ361" s="56" t="inlineStr">
        <is>
          <t>Received · manager annual, quarterly, self</t>
        </is>
      </c>
      <c r="FK361" s="56" t="inlineStr">
        <is>
          <t>Talent Mapping · iFile collated</t>
        </is>
      </c>
      <c r="FL361" s="56" t="n">
        <v>19</v>
      </c>
      <c r="FM361" s="32" t="inlineStr">
        <is>
          <t>Full survey answers not in the files received · How We Grow export needed · HR</t>
        </is>
      </c>
      <c r="FN361" s="56" t="inlineStr">
        <is>
          <t>—</t>
        </is>
      </c>
      <c r="FO361" s="56" t="inlineStr">
        <is>
          <t>—</t>
        </is>
      </c>
      <c r="FP361" s="56" t="inlineStr">
        <is>
          <t>—</t>
        </is>
      </c>
      <c r="FQ361" s="56" t="inlineStr">
        <is>
          <t>—</t>
        </is>
      </c>
      <c r="FR361" s="56" t="inlineStr">
        <is>
          <t>Complexity: Evidence reads like A3: Takes client requirements to delivery; sprint tracking, sign-offs; note: test case review, XBRL error guidance → matches the start
Autonomy: Evidence reads like B1: Prioritises the work, assigns tasks to the team and monitors them → moved up 0.5
Accountability: Evidence reads like A3: Answers for requirement correctness through development to client delivery and sign-off → matches the start
Leadership: Evidence reads like A3: Assigns and monitors team tasks; gives KT to testers and other BAs → moved up 0.5</t>
        </is>
      </c>
      <c r="FS361" s="56" t="inlineStr">
        <is>
          <t>Common themes in role-holders' answers: business · requirements · technical · between · client · understand
Common themes in role-holders' answers: documentation · requirement · client · gathering · coordination · managing
Common themes in role-holders' answers: deliver · product · client · requirement · process · business
Common themes in role-holders' answers: requirements · accountable · delivery · quality · documentation · timely
Common themes in role-holders' answers: documentation · prioritize · user stories · process · project
If the work is missed · role-holders' themes: rework · client.
Measured on · manager-set KRA themes: delivery · assigned · project · requests · satisfaction.</t>
        </is>
      </c>
      <c r="FT361" s="56" t="inlineStr">
        <is>
          <t>Self-identified: Project / programme management
For the next role: Project / programme management</t>
        </is>
      </c>
      <c r="FU361" s="32" t="inlineStr">
        <is>
          <t>Full survey answers not in the files received · How We Grow export needed · HR</t>
        </is>
      </c>
    </row>
    <row r="362" ht="90" customHeight="1">
      <c r="A362" s="51" t="inlineStr">
        <is>
          <t>◂ Back</t>
        </is>
      </c>
      <c r="B362" s="29" t="inlineStr">
        <is>
          <t>Mapped</t>
        </is>
      </c>
      <c r="C362" s="28" t="inlineStr">
        <is>
          <t>iFile</t>
        </is>
      </c>
      <c r="D362" s="29" t="inlineStr">
        <is>
          <t>IRIS2507</t>
        </is>
      </c>
      <c r="E362" s="29" t="inlineStr">
        <is>
          <t>Tanishq Gupta</t>
        </is>
      </c>
      <c r="F362" s="29" t="inlineStr">
        <is>
          <t>Technology</t>
        </is>
      </c>
      <c r="G362" s="29" t="inlineStr">
        <is>
          <t>Business Analyst</t>
        </is>
      </c>
      <c r="H362" s="29" t="inlineStr">
        <is>
          <t>Business Analyst</t>
        </is>
      </c>
      <c r="I362" s="29" t="inlineStr">
        <is>
          <t>L3 – Professional / Associate</t>
        </is>
      </c>
      <c r="J362" s="29" t="inlineStr">
        <is>
          <t>A2</t>
        </is>
      </c>
      <c r="K362" s="29" t="inlineStr">
        <is>
          <t>• Same level</t>
        </is>
      </c>
      <c r="L362" s="29" t="inlineStr">
        <is>
          <t>Business Analysis</t>
        </is>
      </c>
      <c r="M362" s="29" t="inlineStr">
        <is>
          <t>Business Analysis</t>
        </is>
      </c>
      <c r="N362" s="29" t="n"/>
      <c r="O362" s="29" t="n">
        <v>20</v>
      </c>
      <c r="P362" s="28" t="inlineStr">
        <is>
          <t>P1–P2</t>
        </is>
      </c>
      <c r="Q362" s="29" t="inlineStr">
        <is>
          <t>Entry / Developing</t>
        </is>
      </c>
      <c r="R362" s="29" t="inlineStr">
        <is>
          <t>2 Assist</t>
        </is>
      </c>
      <c r="S362" s="29" t="inlineStr">
        <is>
          <t>0–2 yrs</t>
        </is>
      </c>
      <c r="T362" s="29" t="inlineStr">
        <is>
          <t>1–3 · 0–3</t>
        </is>
      </c>
      <c r="U362" s="29" t="inlineStr">
        <is>
          <t>Associate Business Analyst / Business Analyst</t>
        </is>
      </c>
      <c r="V362" s="29" t="inlineStr">
        <is>
          <t>Big Four consulting: Analyst · IRIS Vs Market Benchmark — IIBA certification pathway: ECBA · Infosys / Accenture: JL3B · L11 Analyst</t>
        </is>
      </c>
      <c r="W362" s="29" t="inlineStr">
        <is>
          <t>IIBA BABOK v3; certifications ECBA · entry → CCBA → CBAP · senior</t>
        </is>
      </c>
      <c r="X362" s="29" t="inlineStr">
        <is>
          <t>Core 2 · Future 2 · Functional 2 · Leadership not scored</t>
        </is>
      </c>
      <c r="Y362" s="52" t="n">
        <v>477</v>
      </c>
      <c r="Z362" s="53" t="inlineStr">
        <is>
          <t>IRIS2507</t>
        </is>
      </c>
      <c r="AA362" s="53" t="inlineStr">
        <is>
          <t>Employee</t>
        </is>
      </c>
      <c r="AB362" s="53" t="inlineStr">
        <is>
          <t>Active</t>
        </is>
      </c>
      <c r="AC362" s="53" t="inlineStr">
        <is>
          <t>Tanishq Gupta</t>
        </is>
      </c>
      <c r="AD362" s="54" t="n">
        <v>46118</v>
      </c>
      <c r="AE362" s="53" t="inlineStr">
        <is>
          <t>Business Analyst</t>
        </is>
      </c>
      <c r="AF362" s="53" t="inlineStr">
        <is>
          <t>MBA</t>
        </is>
      </c>
      <c r="AG362" s="53" t="inlineStr">
        <is>
          <t>Jailesh Bhadra</t>
        </is>
      </c>
      <c r="AH362" s="53" t="inlineStr">
        <is>
          <t>N-4</t>
        </is>
      </c>
      <c r="AI362" s="53" t="inlineStr">
        <is>
          <t>Individual Contributor</t>
        </is>
      </c>
      <c r="AJ362" s="53" t="inlineStr">
        <is>
          <t>0 years, 0 months, 0 days</t>
        </is>
      </c>
      <c r="AK362" s="53" t="inlineStr">
        <is>
          <t>0 years, 4 months, 19 days</t>
        </is>
      </c>
      <c r="AL362" s="53" t="inlineStr">
        <is>
          <t>Suptech</t>
        </is>
      </c>
      <c r="AM362" s="53" t="inlineStr">
        <is>
          <t>iFile</t>
        </is>
      </c>
      <c r="AN362" s="53" t="inlineStr">
        <is>
          <t>Technology</t>
        </is>
      </c>
      <c r="AO362" s="53" t="inlineStr">
        <is>
          <t>Business Analysis</t>
        </is>
      </c>
      <c r="AP362" s="53" t="inlineStr">
        <is>
          <t>No</t>
        </is>
      </c>
      <c r="AQ362" s="53" t="inlineStr">
        <is>
          <t>Product/Project</t>
        </is>
      </c>
      <c r="AR362" s="53" t="inlineStr">
        <is>
          <t>Business Analysis</t>
        </is>
      </c>
      <c r="AS362" s="53" t="inlineStr">
        <is>
          <t>Technical · BA, PM and QA</t>
        </is>
      </c>
      <c r="AT362" s="53" t="n">
        <v>20</v>
      </c>
      <c r="AU362" s="53" t="inlineStr">
        <is>
          <t>Covered</t>
        </is>
      </c>
      <c r="AV362" s="53" t="n"/>
      <c r="AW362" s="53" t="n"/>
      <c r="AX362" s="53" t="n"/>
      <c r="AY362" s="53" t="n"/>
      <c r="AZ362" s="53" t="n"/>
      <c r="BA362" s="53" t="n"/>
      <c r="BB362" s="53" t="n"/>
      <c r="BC362" s="53" t="n"/>
      <c r="BD362" s="53" t="n"/>
      <c r="BE362" s="53" t="n"/>
      <c r="BF362" s="53" t="n"/>
      <c r="BG362" s="53" t="n"/>
      <c r="BH362" s="53" t="n"/>
      <c r="BI362" s="53" t="n"/>
      <c r="BJ362" s="53" t="n"/>
      <c r="BK362" s="53" t="n"/>
      <c r="BL362" s="53" t="n"/>
      <c r="BM362" s="53" t="n"/>
      <c r="BN362" s="53" t="n"/>
      <c r="BO362" s="53" t="n"/>
      <c r="BP362" s="53" t="n"/>
      <c r="BQ362" s="53" t="n"/>
      <c r="BR362" s="53" t="n"/>
      <c r="BS362" s="53" t="n"/>
      <c r="BT362" s="53" t="n"/>
      <c r="BU362" s="53" t="n"/>
      <c r="BV362" s="53" t="n"/>
      <c r="BW362" s="53" t="n"/>
      <c r="BX362" s="53" t="n"/>
      <c r="BY362" s="53" t="n"/>
      <c r="BZ362" s="53" t="n"/>
      <c r="CA362" s="53" t="n"/>
      <c r="CB362" s="53" t="n"/>
      <c r="CC362" s="53" t="n"/>
      <c r="CD362" s="53" t="n"/>
      <c r="CE362" s="53" t="n"/>
      <c r="CF362" s="53" t="n"/>
      <c r="CG362" s="53" t="n"/>
      <c r="CH362" s="53" t="n"/>
      <c r="CI362" s="53" t="n"/>
      <c r="CJ362" s="53" t="n"/>
      <c r="CK362" s="53" t="n"/>
      <c r="CL362" s="53" t="n"/>
      <c r="CM362" s="53" t="n"/>
      <c r="CN362" s="53" t="n"/>
      <c r="CO362" s="53" t="n"/>
      <c r="CP362" s="53" t="n"/>
      <c r="CQ362" s="53" t="n"/>
      <c r="CR362" s="53" t="n"/>
      <c r="CS362" s="53" t="n"/>
      <c r="CT362" s="53" t="n"/>
      <c r="CU362" s="53" t="n"/>
      <c r="CV362" s="53" t="n"/>
      <c r="CW362" s="53" t="n"/>
      <c r="CX362" s="53" t="n"/>
      <c r="CY362" s="53" t="n"/>
      <c r="CZ362" s="53" t="n"/>
      <c r="DA362" s="53" t="n"/>
      <c r="DB362" s="53" t="n"/>
      <c r="DC362" s="53" t="n"/>
      <c r="DD362" s="53" t="inlineStr">
        <is>
          <t>IRIS2507</t>
        </is>
      </c>
      <c r="DE362" s="53" t="inlineStr">
        <is>
          <t>Employee</t>
        </is>
      </c>
      <c r="DF362" s="53" t="inlineStr">
        <is>
          <t>Active</t>
        </is>
      </c>
      <c r="DG362" s="53" t="inlineStr">
        <is>
          <t>Tanishq Gupta</t>
        </is>
      </c>
      <c r="DH362" s="54" t="n">
        <v>46118</v>
      </c>
      <c r="DI362" s="53" t="inlineStr">
        <is>
          <t>Business Analyst</t>
        </is>
      </c>
      <c r="DJ362" s="53" t="inlineStr">
        <is>
          <t>Business Analysis</t>
        </is>
      </c>
      <c r="DK362" s="53" t="inlineStr">
        <is>
          <t>Business / Functional Analysis</t>
        </is>
      </c>
      <c r="DL362" s="53" t="inlineStr">
        <is>
          <t>Business Analyst</t>
        </is>
      </c>
      <c r="DM362" s="53" t="inlineStr">
        <is>
          <t>L3 – Professional / Associate</t>
        </is>
      </c>
      <c r="DN362" s="53" t="inlineStr">
        <is>
          <t>MBA</t>
        </is>
      </c>
      <c r="DO362" s="53" t="inlineStr">
        <is>
          <t>Jailesh Bhadra</t>
        </is>
      </c>
      <c r="DP362" s="53" t="inlineStr">
        <is>
          <t>N-3</t>
        </is>
      </c>
      <c r="DQ362" s="53" t="inlineStr">
        <is>
          <t>Individual Contributor</t>
        </is>
      </c>
      <c r="DR362" s="53" t="inlineStr">
        <is>
          <t>0 years, 0 months, 0 days</t>
        </is>
      </c>
      <c r="DS362" s="53" t="inlineStr">
        <is>
          <t>0 years, 2 months, 14 days</t>
        </is>
      </c>
      <c r="DT362" s="53" t="inlineStr">
        <is>
          <t>0 years, 2 months, 14 days</t>
        </is>
      </c>
      <c r="DU362" s="53" t="n"/>
      <c r="DV362" s="53" t="inlineStr">
        <is>
          <t>Suptech</t>
        </is>
      </c>
      <c r="DW362" s="53" t="inlineStr">
        <is>
          <t>iFile</t>
        </is>
      </c>
      <c r="DX362" s="53" t="inlineStr">
        <is>
          <t>Technology</t>
        </is>
      </c>
      <c r="DY362" s="53" t="inlineStr">
        <is>
          <t>Business Analysis</t>
        </is>
      </c>
      <c r="DZ362" s="53" t="inlineStr">
        <is>
          <t>No</t>
        </is>
      </c>
      <c r="EA362" s="53" t="inlineStr">
        <is>
          <t>Product/Project</t>
        </is>
      </c>
      <c r="EB362" s="53" t="inlineStr">
        <is>
          <t>Business Analysis</t>
        </is>
      </c>
      <c r="EC362" s="53" t="inlineStr">
        <is>
          <t>Technical · BA, PM and QA</t>
        </is>
      </c>
      <c r="ED362" s="53" t="inlineStr">
        <is>
          <t>Work From Office - Turbhe</t>
        </is>
      </c>
      <c r="EE362" s="53" t="inlineStr">
        <is>
          <t>1. Requirement Gathering &amp; Documentation
Conduct thorough requirement gathering with stakeholders and maintain proper documentation · PRD/FRD/user stories for assigned modules, ensuring clarity, accuracy, and sign-off before development handoff.
2. Team Guidance &amp; Support
Provide day-to-day functional guidance to atleast 2 team members, ensuring their deliverables meet the required quality bar with minimal senior rework.
3. Escalation &amp; SLA Management
Ensure escalations/issues raised on the pod are triaged and resolved within defined SLA, with clear tracking and no repeat misses.
4. Stakeholder/Client Communication
Act as a key point of contact for client/product queries, ensuring timely responses and clear coordination between business and delivery teams.
5. UAT Coordination &amp; Support
Support UAT cycles by coordinating test scenarios with stakeholders, tracking defects/queries to closure, and ensuring sign-off before go-live.</t>
        </is>
      </c>
      <c r="EF362" s="53" t="inlineStr">
        <is>
          <t>1. Deliver &gt;=90% of assigned BRDs/user stories approved with &lt;=1 revision cycle
2. Achieve &gt;=85% on-time delivery of BA deliverables · ramp-up allowance in Q1
3. Achieve &gt;=4/5 stakeholder satisfaction on requirement clarity
4. Complete assigned UAT support tasks within agreed timelines
5. Complete structured BA/domain onboarding within first 90 days
6. Shadow/co-deliver at least 2 requirement workshops with a senior BA</t>
        </is>
      </c>
      <c r="EG362" s="53" t="inlineStr">
        <is>
          <t>Q1: Complete structured onboarding &amp; domain training within first 90 days
Q1: Shadow/co-deliver at least 2 requirement workshops with a senior BA
Q1: Deliver first independent BRD/user story set with &lt;=1 revision cycle
Q1: Achieve &gt;=4/5 stakeholder feedback on first assignment</t>
        </is>
      </c>
      <c r="EH362" s="53" t="n">
        <v>3</v>
      </c>
      <c r="EI362" s="53" t="inlineStr">
        <is>
          <t>Pending – to be scheduled</t>
        </is>
      </c>
      <c r="EJ362" s="53" t="inlineStr">
        <is>
          <t>Business Analyst</t>
        </is>
      </c>
      <c r="EK362" s="53" t="inlineStr">
        <is>
          <t>No – designation matches role; too early for a structural view.</t>
        </is>
      </c>
      <c r="EL362" s="53" t="n">
        <v>3</v>
      </c>
      <c r="EM362" s="53" t="inlineStr">
        <is>
          <t>Medium</t>
        </is>
      </c>
      <c r="EN362" s="53" t="inlineStr">
        <is>
          <t>Core Contributor</t>
        </is>
      </c>
      <c r="EO362" s="53" t="inlineStr">
        <is>
          <t>N</t>
        </is>
      </c>
      <c r="EP362" s="53" t="inlineStr">
        <is>
          <t>N</t>
        </is>
      </c>
      <c r="EQ362" s="53" t="inlineStr">
        <is>
          <t>N</t>
        </is>
      </c>
      <c r="ER362" s="53" t="inlineStr">
        <is>
          <t>-</t>
        </is>
      </c>
      <c r="ES362" s="53" t="inlineStr">
        <is>
          <t>Requirement engineering &amp; BRD/user-story writing; Agile/Scrum basics; RegTech/XBRL domain onboarding; stakeholder communication; Product visualization</t>
        </is>
      </c>
      <c r="ET362" s="53" t="inlineStr">
        <is>
          <t>-</t>
        </is>
      </c>
      <c r="EU362" s="53" t="inlineStr">
        <is>
          <t>New joiner</t>
        </is>
      </c>
      <c r="EV362" s="53" t="n"/>
      <c r="EW362" s="52" t="n"/>
      <c r="EX362" s="53" t="n"/>
      <c r="EY362" s="53" t="n"/>
      <c r="EZ362" s="53" t="n"/>
      <c r="FA362" s="53" t="n"/>
      <c r="FB362" s="53" t="n"/>
      <c r="FC362" s="53" t="n"/>
      <c r="FD362" s="53" t="n"/>
      <c r="FE362" s="57" t="inlineStr">
        <is>
          <t>1. Deliver &gt;=90% of assigned BRDs/user stories approved with &lt;=1 revision cycle
2. Achieve &gt;=85% on-time delivery of BA deliverables · ramp-up allowance in Q1
3. Achieve &gt;=4/5 stakeholder satisfaction on requirement clarity
4. Complete assigned UAT support tasks within agreed timelines
5. Complete structured BA/domain onboarding within first 90 days
6. Shadow/co-deliver at least 2 requirement workshops with a senior BA</t>
        </is>
      </c>
      <c r="FF362" s="56" t="inlineStr">
        <is>
          <t>Q1: Complete structured onboarding &amp; domain training within first 90 days
Q1: Shadow/co-deliver at least 2 requirement workshops with a senior BA
Q1: Deliver first independent BRD/user story set with &lt;=1 revision cycle
Q1: Achieve &gt;=4/5 stakeholder feedback on first assignment</t>
        </is>
      </c>
      <c r="FG362" s="56" t="inlineStr">
        <is>
          <t>1. Requirement Gathering &amp; Documentation
Conduct thorough requirement gathering with stakeholders and maintain proper documentation · PRD/FRD/user stories for assigned modules, ensuring clarity, accuracy, and sign-off before development handoff.
2. Team Guidance &amp; Support
Provide day-to-day functional guidance to atleast 2 team members, ensuring their deliverables meet the required quality bar with minimal senior rework.
3. Escalation &amp; SLA Management
Ensure escalations/issues raised on the pod are triaged and resolved within defined SLA, with clear tracking and no repeat misses.
4. Stakeholder/Client Communication
Act as a key point of contact for client/product queries, ensuring timely responses and clear coordination between business and delivery teams.
5. UAT Coordination &amp; Support
Support UAT cycles by coordinating test scenarios with stakeholders, tracking defects/queries to closure, and ensuring sign-off before go-live.</t>
        </is>
      </c>
      <c r="FH362" s="56" t="inlineStr">
        <is>
          <t>3</t>
        </is>
      </c>
      <c r="FI362" s="56" t="n"/>
      <c r="FJ362" s="56" t="inlineStr">
        <is>
          <t>Received · manager annual, quarterly, self</t>
        </is>
      </c>
      <c r="FK362" s="56" t="inlineStr">
        <is>
          <t>Talent Mapping · iFile collated</t>
        </is>
      </c>
      <c r="FL362" s="56" t="n">
        <v>20</v>
      </c>
      <c r="FM362" s="32" t="inlineStr">
        <is>
          <t>Full survey answers not in the files received · How We Grow export needed · HR</t>
        </is>
      </c>
      <c r="FN362" s="56" t="inlineStr">
        <is>
          <t>—</t>
        </is>
      </c>
      <c r="FO362" s="56" t="inlineStr">
        <is>
          <t>—</t>
        </is>
      </c>
      <c r="FP362" s="56" t="inlineStr">
        <is>
          <t>—</t>
        </is>
      </c>
      <c r="FQ362" s="56" t="inlineStr">
        <is>
          <t>—</t>
        </is>
      </c>
      <c r="FR362" s="56" t="inlineStr">
        <is>
          <t>Complexity: Evidence reads like A3: Gap analysis and discovery for a new product; BRDs, FRDs, user stories, process flows, traceability → matches the start
Autonomy: Evidence reads like A3: Decides requirement structure, story breakdown, gap recommendations; scope and priority sit with product owner → matches the start
Accountability: Evidence reads like A2: Accuracy and completeness of gap analysis, BRDs, FRDs and user stories → moved down 0.5
Leadership: Evidence reads like A2: Clarifies with developers and QA; guidance to team members only in manager note → matches the start
Business Impact: No move: the survey / manager mapping does not mark it business-critical or unique.</t>
        </is>
      </c>
      <c r="FS362" s="56" t="inlineStr">
        <is>
          <t>Common themes in sub-family holders, all levels' answers: business · requirements · bridge · analyst · between · technical
Common themes in sub-family holders, all levels' answers: requirement · documentation · stakeholder · client · gathering · analysis
Common themes in sub-family holders, all levels' answers: product · user stories · requirements · process · client · deliver
Common themes in sub-family holders, all levels' answers: requirements · accountable · documentation · delivery · am · business
Common themes in sub-family holders, all levels' answers: requirements · user · documentation · process · stories · assign
If the work is missed · role-holders' themes: client · rework · delays.</t>
        </is>
      </c>
      <c r="FT362" s="56" t="inlineStr">
        <is>
          <t>Self-identified: Product &amp; tool knowledge · Client, sales &amp; stakeholders · Strategy &amp; business acumen · Certification / formal course · Broader exposure &amp; ownership
For the next role: Project / programme management · Product &amp; tool knowledge · Client, sales &amp; stakeholders · Strategy &amp; business acumen · Certification / formal course · Broader exposure &amp; ownership</t>
        </is>
      </c>
      <c r="FU362" s="32" t="inlineStr">
        <is>
          <t>Full survey answers not in the files received · How We Grow export needed · HR</t>
        </is>
      </c>
    </row>
    <row r="363" ht="90" customHeight="1">
      <c r="A363" s="51" t="inlineStr">
        <is>
          <t>◂ Back</t>
        </is>
      </c>
      <c r="B363" s="29" t="inlineStr">
        <is>
          <t>Mapped</t>
        </is>
      </c>
      <c r="C363" s="28" t="inlineStr">
        <is>
          <t>iFile</t>
        </is>
      </c>
      <c r="D363" s="29" t="inlineStr">
        <is>
          <t>IRIS0846</t>
        </is>
      </c>
      <c r="E363" s="29" t="inlineStr">
        <is>
          <t>Nikhil Nalawade</t>
        </is>
      </c>
      <c r="F363" s="29" t="inlineStr">
        <is>
          <t>Technology</t>
        </is>
      </c>
      <c r="G363" s="29" t="inlineStr">
        <is>
          <t>Project Manager</t>
        </is>
      </c>
      <c r="H363" s="29" t="inlineStr">
        <is>
          <t>Delivery Manager</t>
        </is>
      </c>
      <c r="I363" s="29" t="inlineStr">
        <is>
          <t>L5 – Manager</t>
        </is>
      </c>
      <c r="J363" s="29" t="inlineStr">
        <is>
          <t>B2</t>
        </is>
      </c>
      <c r="K363" s="29" t="inlineStr">
        <is>
          <t>▲ Up</t>
        </is>
      </c>
      <c r="L363" s="29" t="inlineStr">
        <is>
          <t>Project &amp; Program Management</t>
        </is>
      </c>
      <c r="M363" s="29" t="inlineStr">
        <is>
          <t>Project &amp; Program Delivery</t>
        </is>
      </c>
      <c r="N363" s="29" t="n"/>
      <c r="O363" s="29" t="n">
        <v>20</v>
      </c>
      <c r="P363" s="28" t="inlineStr">
        <is>
          <t>P4 / M3</t>
        </is>
      </c>
      <c r="Q363" s="29" t="inlineStr">
        <is>
          <t>Senior / Manager</t>
        </is>
      </c>
      <c r="R363" s="29" t="inlineStr">
        <is>
          <t>4–5</t>
        </is>
      </c>
      <c r="S363" s="29" t="inlineStr">
        <is>
          <t>6–9 yrs</t>
        </is>
      </c>
      <c r="T363" s="29" t="inlineStr">
        <is>
          <t>7–10 · 6–11</t>
        </is>
      </c>
      <c r="U363" s="29" t="inlineStr">
        <is>
          <t>Senior Manager</t>
        </is>
      </c>
      <c r="V363" s="29" t="inlineStr">
        <is>
          <t>IRIS Vs Competitor Benchmark — PMI pathway + SaaS delivery ladder: Senior PM</t>
        </is>
      </c>
      <c r="W363" s="29" t="inlineStr">
        <is>
          <t>PMI PMBOK and Talent Triangle; CAPM · entry → PMP → PgMP; Scrum / SAFe</t>
        </is>
      </c>
      <c r="X363" s="29" t="inlineStr">
        <is>
          <t>Core 3 · Future 3 · Functional 4 · Leadership 3</t>
        </is>
      </c>
      <c r="Y363" s="52" t="n">
        <v>96</v>
      </c>
      <c r="Z363" s="53" t="inlineStr">
        <is>
          <t>IRIS0846</t>
        </is>
      </c>
      <c r="AA363" s="53" t="inlineStr">
        <is>
          <t>Employee</t>
        </is>
      </c>
      <c r="AB363" s="53" t="inlineStr">
        <is>
          <t>Active</t>
        </is>
      </c>
      <c r="AC363" s="53" t="inlineStr">
        <is>
          <t>Nikhil Nalawade</t>
        </is>
      </c>
      <c r="AD363" s="54" t="n">
        <v>40791</v>
      </c>
      <c r="AE363" s="53" t="inlineStr">
        <is>
          <t>Project Manager</t>
        </is>
      </c>
      <c r="AF363" s="53" t="inlineStr">
        <is>
          <t>B.E</t>
        </is>
      </c>
      <c r="AG363" s="53" t="inlineStr">
        <is>
          <t>Pradip Dey</t>
        </is>
      </c>
      <c r="AH363" s="53" t="inlineStr">
        <is>
          <t>N-3</t>
        </is>
      </c>
      <c r="AI363" s="53" t="inlineStr">
        <is>
          <t>Manager</t>
        </is>
      </c>
      <c r="AJ363" s="53" t="inlineStr">
        <is>
          <t>0 years, 0 months, 0 days</t>
        </is>
      </c>
      <c r="AK363" s="53" t="inlineStr">
        <is>
          <t>14 years, 11 months, 20 days</t>
        </is>
      </c>
      <c r="AL363" s="53" t="inlineStr">
        <is>
          <t>Suptech</t>
        </is>
      </c>
      <c r="AM363" s="53" t="inlineStr">
        <is>
          <t>iFile</t>
        </is>
      </c>
      <c r="AN363" s="53" t="inlineStr">
        <is>
          <t>Technology</t>
        </is>
      </c>
      <c r="AO363" s="53" t="inlineStr">
        <is>
          <t>Project Management</t>
        </is>
      </c>
      <c r="AP363" s="53" t="inlineStr">
        <is>
          <t>Yes</t>
        </is>
      </c>
      <c r="AQ363" s="53" t="inlineStr">
        <is>
          <t>Product/Project</t>
        </is>
      </c>
      <c r="AR363" s="53" t="inlineStr">
        <is>
          <t>Project Management</t>
        </is>
      </c>
      <c r="AS363" s="53" t="inlineStr">
        <is>
          <t>Technical · BA, PM and QA</t>
        </is>
      </c>
      <c r="AT363" s="53" t="n">
        <v>20</v>
      </c>
      <c r="AU363" s="53" t="inlineStr">
        <is>
          <t>Covered</t>
        </is>
      </c>
      <c r="AV363" s="53" t="n"/>
      <c r="AW363" s="53" t="n"/>
      <c r="AX363" s="53" t="n"/>
      <c r="AY363" s="53" t="n"/>
      <c r="AZ363" s="53" t="n"/>
      <c r="BA363" s="53" t="n"/>
      <c r="BB363" s="53" t="n"/>
      <c r="BC363" s="53" t="n"/>
      <c r="BD363" s="53" t="n"/>
      <c r="BE363" s="53" t="n"/>
      <c r="BF363" s="53" t="n"/>
      <c r="BG363" s="53" t="n"/>
      <c r="BH363" s="53" t="n"/>
      <c r="BI363" s="53" t="n"/>
      <c r="BJ363" s="53" t="n"/>
      <c r="BK363" s="53" t="n"/>
      <c r="BL363" s="53" t="n"/>
      <c r="BM363" s="53" t="n"/>
      <c r="BN363" s="53" t="n"/>
      <c r="BO363" s="53" t="n"/>
      <c r="BP363" s="53" t="n"/>
      <c r="BQ363" s="53" t="n"/>
      <c r="BR363" s="53" t="n"/>
      <c r="BS363" s="53" t="n"/>
      <c r="BT363" s="53" t="n"/>
      <c r="BU363" s="53" t="n"/>
      <c r="BV363" s="53" t="n"/>
      <c r="BW363" s="53" t="n"/>
      <c r="BX363" s="53" t="n"/>
      <c r="BY363" s="53" t="n"/>
      <c r="BZ363" s="53" t="n"/>
      <c r="CA363" s="53" t="n"/>
      <c r="CB363" s="53" t="n"/>
      <c r="CC363" s="53" t="n"/>
      <c r="CD363" s="53" t="n"/>
      <c r="CE363" s="53" t="n"/>
      <c r="CF363" s="53" t="n"/>
      <c r="CG363" s="53" t="n"/>
      <c r="CH363" s="53" t="n"/>
      <c r="CI363" s="53" t="n"/>
      <c r="CJ363" s="53" t="n"/>
      <c r="CK363" s="53" t="n"/>
      <c r="CL363" s="53" t="n"/>
      <c r="CM363" s="53" t="n"/>
      <c r="CN363" s="53" t="n"/>
      <c r="CO363" s="53" t="n"/>
      <c r="CP363" s="53" t="n"/>
      <c r="CQ363" s="53" t="n"/>
      <c r="CR363" s="53" t="n"/>
      <c r="CS363" s="53" t="n"/>
      <c r="CT363" s="53" t="n"/>
      <c r="CU363" s="53" t="n"/>
      <c r="CV363" s="53" t="n"/>
      <c r="CW363" s="53" t="n"/>
      <c r="CX363" s="53" t="n"/>
      <c r="CY363" s="53" t="n"/>
      <c r="CZ363" s="53" t="n"/>
      <c r="DA363" s="53" t="n"/>
      <c r="DB363" s="53" t="n"/>
      <c r="DC363" s="53" t="n"/>
      <c r="DD363" s="53" t="inlineStr">
        <is>
          <t>IRIS0846</t>
        </is>
      </c>
      <c r="DE363" s="53" t="inlineStr">
        <is>
          <t>Employee</t>
        </is>
      </c>
      <c r="DF363" s="53" t="inlineStr">
        <is>
          <t>Active</t>
        </is>
      </c>
      <c r="DG363" s="53" t="inlineStr">
        <is>
          <t>Nikhil Nalawade</t>
        </is>
      </c>
      <c r="DH363" s="54" t="n">
        <v>40791</v>
      </c>
      <c r="DI363" s="53" t="inlineStr">
        <is>
          <t>Project Manager</t>
        </is>
      </c>
      <c r="DJ363" s="53" t="inlineStr">
        <is>
          <t>Project &amp; Program Management</t>
        </is>
      </c>
      <c r="DK363" s="53" t="inlineStr">
        <is>
          <t>Project Management</t>
        </is>
      </c>
      <c r="DL363" s="53" t="inlineStr">
        <is>
          <t>Project Manager</t>
        </is>
      </c>
      <c r="DM363" s="53" t="inlineStr">
        <is>
          <t>L5 – Manager</t>
        </is>
      </c>
      <c r="DN363" s="53" t="inlineStr">
        <is>
          <t>B.E</t>
        </is>
      </c>
      <c r="DO363" s="53" t="inlineStr">
        <is>
          <t>Pradip Dey</t>
        </is>
      </c>
      <c r="DP363" s="53" t="inlineStr">
        <is>
          <t>N-2</t>
        </is>
      </c>
      <c r="DQ363" s="53" t="inlineStr">
        <is>
          <t>Manager</t>
        </is>
      </c>
      <c r="DR363" s="53" t="inlineStr">
        <is>
          <t>0 years, 0 months, 0 days</t>
        </is>
      </c>
      <c r="DS363" s="53" t="inlineStr">
        <is>
          <t>14 years, 9 months, 15 days</t>
        </is>
      </c>
      <c r="DT363" s="53" t="inlineStr">
        <is>
          <t>14 years, 9 months, 15 days</t>
        </is>
      </c>
      <c r="DU363" s="53" t="n">
        <v>14.791095890411</v>
      </c>
      <c r="DV363" s="53" t="inlineStr">
        <is>
          <t>Suptech</t>
        </is>
      </c>
      <c r="DW363" s="53" t="inlineStr">
        <is>
          <t>iFile</t>
        </is>
      </c>
      <c r="DX363" s="53" t="inlineStr">
        <is>
          <t>Technology</t>
        </is>
      </c>
      <c r="DY363" s="53" t="inlineStr">
        <is>
          <t>Project Management</t>
        </is>
      </c>
      <c r="DZ363" s="53" t="inlineStr">
        <is>
          <t>Yes</t>
        </is>
      </c>
      <c r="EA363" s="53" t="inlineStr">
        <is>
          <t>Product/Project</t>
        </is>
      </c>
      <c r="EB363" s="53" t="inlineStr">
        <is>
          <t>Project Management</t>
        </is>
      </c>
      <c r="EC363" s="53" t="inlineStr">
        <is>
          <t>Technical · BA, PM and QA</t>
        </is>
      </c>
      <c r="ED363" s="53" t="inlineStr">
        <is>
          <t>Work From Office - Turbhe</t>
        </is>
      </c>
      <c r="EE363" s="53" t="n"/>
      <c r="EF363" s="53" t="inlineStr">
        <is>
          <t>1. Product Management
Provide leadership for iFile Platform product components, especially Teapot 
Gain deeper level knowedge, finalize roadmap towards along with Izhar ensuring IRIS gains significant competitive advantage through the new product components developments and integration within the platform- DynaForm, RISE, QUEST, TMS/CMS
Ensure team members are continuosly getting opportunities to excel and able to contribute at a higher level productivity
2. Projects and account management
Complete QCB project implementation as per time, scope and cost
Prepare roadmap for value added offerings for QCB, GTA etc.
Ensure CBRD Mauritius applicaiton is running smoothly and we are in touch with partner and client regularly
3. Sales, Pre-sales, process adherence, team building, &amp; strategic contributions
Contribute to business expansion through active participation in sales, pre-sales, solutioning, and proposal development support · especially with the new products Dynaform, Tax Mgmt System, Case Mgmt System 
Ensure adoption of digital way of working across the various product modules
Ensure SCRUM rituals are followed effectively
Ensure we are fully ready for the Bank Of Jamaica demo
Contribute/support towards getting 1-2 new clients this financial year
4. TOGAF and AI
Complete TOGAF training and get certification
Gain deeper level of AI training and explore possibilities of leverage AI
Leverage AI in day to day working - PM activities, prepration/reuse of requirement artefacts, test cases writing and automaiton etc.</t>
        </is>
      </c>
      <c r="EG363" s="53" t="inlineStr">
        <is>
          <t>Bank of Jamaica demo readiness
Process improvements
Initiate TOGAF Certification
Initiate QCB UAT
Digital way of working and measurement of metrics through the tools</t>
        </is>
      </c>
      <c r="EH363" s="53" t="inlineStr">
        <is>
          <t>Outstanding</t>
        </is>
      </c>
      <c r="EI363" s="54" t="n">
        <v>45931</v>
      </c>
      <c r="EJ363" s="53" t="inlineStr">
        <is>
          <t>Project Manager</t>
        </is>
      </c>
      <c r="EK363" s="53" t="n"/>
      <c r="EL363" s="53" t="n">
        <v>5</v>
      </c>
      <c r="EM363" s="53" t="inlineStr">
        <is>
          <t>High</t>
        </is>
      </c>
      <c r="EN363" s="53" t="inlineStr">
        <is>
          <t>Future Leader</t>
        </is>
      </c>
      <c r="EO363" s="53" t="n"/>
      <c r="EP363" s="53" t="inlineStr">
        <is>
          <t>Y</t>
        </is>
      </c>
      <c r="EQ363" s="53" t="inlineStr">
        <is>
          <t>Y</t>
        </is>
      </c>
      <c r="ER363" s="53" t="n"/>
      <c r="ES363" s="53" t="inlineStr">
        <is>
          <t>TOGAF</t>
        </is>
      </c>
      <c r="ET363" s="53" t="n"/>
      <c r="EU363" s="53" t="inlineStr">
        <is>
          <t>SSM,ACRA,CBRD,IRIS Instant,PFRDA,GRI,Pre-Sales,Carbon-Support,IRIS Noah</t>
        </is>
      </c>
      <c r="EV363" s="53" t="n"/>
      <c r="EW363" s="52" t="n"/>
      <c r="EX363" s="53" t="n"/>
      <c r="EY363" s="53" t="n"/>
      <c r="EZ363" s="53" t="n"/>
      <c r="FA363" s="53" t="n"/>
      <c r="FB363" s="53" t="n"/>
      <c r="FC363" s="53" t="n"/>
      <c r="FD363" s="53" t="n"/>
      <c r="FE363" s="57" t="inlineStr">
        <is>
          <t>1. Product Management
Provide leadership for iFile Platform product components, especially Teapot 
Gain deeper level knowedge, finalize roadmap towards along with Izhar ensuring IRIS gains significant competitive advantage through the new product components developments and integration within the platform- DynaForm, RISE, QUEST, TMS/CMS
Ensure team members are continuosly getting opportunities to excel and able to contribute at a higher level productivity
2. Projects and account management
Complete QCB project implementation as per time, scope and cost
Prepare roadmap for value added offerings for QCB, GTA etc.
Ensure CBRD Mauritius applicaiton is running smoothly and we are in touch with partner and client regularly
3. Sales, Pre-sales, process adherence, team building, &amp; strategic contributions
Contribute to business expansion through active participation in sales, pre-sales, solutioning, and proposal development support · especially with the new products Dynaform, Tax Mgmt System, Case Mgmt System  
Ensure adoption of digital way of working across the various product modules
Ensure SCRUM rituals are followed effectively
Ensure we are fully ready for the Bank Of Jamaica demo
Contribute/support towards getting 1-2 new clients this financial year
4. TOGAF and AI
Complete TOGAF training and get certification
Gain deeper level of AI training and explore possibilities of leverage AI
Leverage AI in day to day working - PM activities, prepration/reuse of requirement artefacts, test cases writing and automaiton etc.</t>
        </is>
      </c>
      <c r="FF363" s="56" t="inlineStr">
        <is>
          <t>Bank of Jamaica demo readiness
Process improvements
Initiate TOGAF Certification
Initiate QCB UAT
Digital way of working and measurement of metrics through the tools</t>
        </is>
      </c>
      <c r="FG363" s="56" t="n"/>
      <c r="FH363" s="56" t="inlineStr">
        <is>
          <t>Outstanding</t>
        </is>
      </c>
      <c r="FI363" s="56" t="n"/>
      <c r="FJ363" s="56" t="inlineStr">
        <is>
          <t>Received · manager annual, quarterly</t>
        </is>
      </c>
      <c r="FK363" s="56" t="inlineStr">
        <is>
          <t>Talent Mapping · iFile collated</t>
        </is>
      </c>
      <c r="FL363" s="56" t="n">
        <v>20</v>
      </c>
      <c r="FM363" s="32" t="inlineStr">
        <is>
          <t>Full survey answers not in the files received · How We Grow export needed · HR</t>
        </is>
      </c>
      <c r="FN363" s="56" t="inlineStr">
        <is>
          <t>—</t>
        </is>
      </c>
      <c r="FO363" s="56" t="inlineStr">
        <is>
          <t>—</t>
        </is>
      </c>
      <c r="FP363" s="56" t="inlineStr">
        <is>
          <t>—</t>
        </is>
      </c>
      <c r="FQ363" s="56" t="inlineStr">
        <is>
          <t>—</t>
        </is>
      </c>
      <c r="FR363" s="56" t="inlineStr">
        <is>
          <t>Complexity: Evidence reads like B2: Manages project functionally and technically; application solutioning; drafts RFI/RFP responses with pre-sales → matches the start
Autonomy: Evidence reads like B2: Decides the project plan; nothing else named → matches the start
Accountability: Evidence reads like B2: All project charter deliverables, milestone completion and payment; budget and P&amp;L impact → matches the start
Leadership: Evidence reads like B2: 15 direct reports; delivers training; stakeholder management → matches the start
Business Impact: Moved +0.5: the survey / manager mapping marks it business-critical.</t>
        </is>
      </c>
      <c r="FS363" s="56" t="inlineStr">
        <is>
          <t>Common themes in role-holders' answers: project · management · support · business · stakeholder · client
Common themes in role-holders' answers: client · management · project · delivery · documentation
Common themes in role-holders' answers: project
Common themes in role-holders' answers: project · delivery · accountable · deliverables · timelines · scope quality
Common themes in role-holders' answers: project · issue
If the work is missed · role-holders' themes: client · rework · deliverables · delays.
Measured on · manager-set KRA themes: project · management · level · support · scope · client.</t>
        </is>
      </c>
      <c r="FT363" s="56" t="inlineStr">
        <is>
          <t>Self-identified: Broader exposure &amp; ownership
For the next role: Broader exposure &amp; ownership</t>
        </is>
      </c>
      <c r="FU363" s="32" t="inlineStr">
        <is>
          <t>Full survey answers not in the files received · How We Grow export needed · HR</t>
        </is>
      </c>
    </row>
    <row r="364" ht="90" customHeight="1">
      <c r="A364" s="51" t="inlineStr">
        <is>
          <t>◂ Back</t>
        </is>
      </c>
      <c r="B364" s="29" t="inlineStr">
        <is>
          <t>Mapped</t>
        </is>
      </c>
      <c r="C364" s="28" t="inlineStr">
        <is>
          <t>iFile</t>
        </is>
      </c>
      <c r="D364" s="29" t="inlineStr">
        <is>
          <t>IRIS2318</t>
        </is>
      </c>
      <c r="E364" s="29" t="inlineStr">
        <is>
          <t>Prathmesh Ramdas Sutar</t>
        </is>
      </c>
      <c r="F364" s="29" t="inlineStr">
        <is>
          <t>Technology</t>
        </is>
      </c>
      <c r="G364" s="29" t="inlineStr">
        <is>
          <t>Lead Software Engineer</t>
        </is>
      </c>
      <c r="H364" s="29" t="inlineStr">
        <is>
          <t>Lead Software Engineer</t>
        </is>
      </c>
      <c r="I364" s="29" t="inlineStr">
        <is>
          <t>L5 – Lead · IC</t>
        </is>
      </c>
      <c r="J364" s="29" t="inlineStr">
        <is>
          <t>B3</t>
        </is>
      </c>
      <c r="K364" s="29" t="inlineStr">
        <is>
          <t>• Same level</t>
        </is>
      </c>
      <c r="L364" s="29" t="inlineStr">
        <is>
          <t>Engineering &amp; Development</t>
        </is>
      </c>
      <c r="M364" s="29" t="inlineStr">
        <is>
          <t>Backend Development</t>
        </is>
      </c>
      <c r="N364" s="29" t="n"/>
      <c r="O364" s="29" t="n">
        <v>18</v>
      </c>
      <c r="P364" s="28" t="inlineStr">
        <is>
          <t>P5 / M4</t>
        </is>
      </c>
      <c r="Q364" s="29" t="inlineStr">
        <is>
          <t>Expert / Senior Manager</t>
        </is>
      </c>
      <c r="R364" s="29" t="inlineStr">
        <is>
          <t>5 Ensure, advise</t>
        </is>
      </c>
      <c r="S364" s="29" t="inlineStr">
        <is>
          <t>8–12 yrs</t>
        </is>
      </c>
      <c r="T364" s="29" t="inlineStr">
        <is>
          <t>9–13 · 9–14</t>
        </is>
      </c>
      <c r="U364" s="29" t="inlineStr">
        <is>
          <t>Principal Engineer</t>
        </is>
      </c>
      <c r="V364" s="29" t="inlineStr">
        <is>
          <t>Workiva: Staff SE · Broadridge India: Senior Lead SE · Nasdaq / AxiomSL: Lead SE · Salesforce: LMTS · Atlassian: P50 Senior · Freshworks: Staff SE</t>
        </is>
      </c>
      <c r="W364" s="29" t="inlineStr">
        <is>
          <t>SFIA 9 · software development, programming; OWASP secure coding; cloud vendor certifications</t>
        </is>
      </c>
      <c r="X364" s="29" t="inlineStr">
        <is>
          <t>Core 4 · Future 3 · Functional 4 · Leadership 3</t>
        </is>
      </c>
      <c r="Y364" s="52" t="n">
        <v>348</v>
      </c>
      <c r="Z364" s="53" t="inlineStr">
        <is>
          <t>IRIS2318</t>
        </is>
      </c>
      <c r="AA364" s="53" t="inlineStr">
        <is>
          <t>Employee</t>
        </is>
      </c>
      <c r="AB364" s="53" t="inlineStr">
        <is>
          <t>Active</t>
        </is>
      </c>
      <c r="AC364" s="53" t="inlineStr">
        <is>
          <t>Prathmesh Ramdas Sutar</t>
        </is>
      </c>
      <c r="AD364" s="54" t="n">
        <v>45586</v>
      </c>
      <c r="AE364" s="53" t="inlineStr">
        <is>
          <t>Lead Software Engineer</t>
        </is>
      </c>
      <c r="AF364" s="53" t="inlineStr">
        <is>
          <t>B.E</t>
        </is>
      </c>
      <c r="AG364" s="53" t="inlineStr">
        <is>
          <t>Nikhil Nalawade</t>
        </is>
      </c>
      <c r="AH364" s="53" t="inlineStr">
        <is>
          <t>N-4</t>
        </is>
      </c>
      <c r="AI364" s="53" t="inlineStr">
        <is>
          <t>Individual Contributor</t>
        </is>
      </c>
      <c r="AJ364" s="53" t="inlineStr">
        <is>
          <t>11 years, 4 months, 0 days</t>
        </is>
      </c>
      <c r="AK364" s="53" t="inlineStr">
        <is>
          <t>1 years, 10 months, 4 days</t>
        </is>
      </c>
      <c r="AL364" s="53" t="inlineStr">
        <is>
          <t>Suptech</t>
        </is>
      </c>
      <c r="AM364" s="53" t="inlineStr">
        <is>
          <t>iFile</t>
        </is>
      </c>
      <c r="AN364" s="53" t="inlineStr">
        <is>
          <t>Technology</t>
        </is>
      </c>
      <c r="AO364" s="53" t="inlineStr">
        <is>
          <t>Development</t>
        </is>
      </c>
      <c r="AP364" s="53" t="inlineStr">
        <is>
          <t>Yes</t>
        </is>
      </c>
      <c r="AQ364" s="53" t="inlineStr">
        <is>
          <t>Product/Project</t>
        </is>
      </c>
      <c r="AR364" s="53" t="inlineStr">
        <is>
          <t>Java</t>
        </is>
      </c>
      <c r="AS364" s="53" t="inlineStr">
        <is>
          <t>Technical - Developer</t>
        </is>
      </c>
      <c r="AT364" s="53" t="n">
        <v>20</v>
      </c>
      <c r="AU364" s="53" t="inlineStr">
        <is>
          <t>Covered</t>
        </is>
      </c>
      <c r="AV364" s="53" t="n"/>
      <c r="AW364" s="53" t="n"/>
      <c r="AX364" s="53" t="n"/>
      <c r="AY364" s="53" t="n"/>
      <c r="AZ364" s="53" t="n"/>
      <c r="BA364" s="53" t="n"/>
      <c r="BB364" s="53" t="n"/>
      <c r="BC364" s="53" t="n"/>
      <c r="BD364" s="53" t="n"/>
      <c r="BE364" s="53" t="n"/>
      <c r="BF364" s="53" t="n"/>
      <c r="BG364" s="53" t="n"/>
      <c r="BH364" s="53" t="n"/>
      <c r="BI364" s="53" t="n"/>
      <c r="BJ364" s="53" t="n"/>
      <c r="BK364" s="53" t="n"/>
      <c r="BL364" s="53" t="n"/>
      <c r="BM364" s="53" t="n"/>
      <c r="BN364" s="53" t="n"/>
      <c r="BO364" s="53" t="n"/>
      <c r="BP364" s="53" t="n"/>
      <c r="BQ364" s="53" t="n"/>
      <c r="BR364" s="53" t="n"/>
      <c r="BS364" s="53" t="n"/>
      <c r="BT364" s="53" t="n"/>
      <c r="BU364" s="53" t="n"/>
      <c r="BV364" s="53" t="n"/>
      <c r="BW364" s="53" t="n"/>
      <c r="BX364" s="53" t="n"/>
      <c r="BY364" s="53" t="n"/>
      <c r="BZ364" s="53" t="n"/>
      <c r="CA364" s="53" t="n"/>
      <c r="CB364" s="53" t="n"/>
      <c r="CC364" s="53" t="n"/>
      <c r="CD364" s="53" t="n"/>
      <c r="CE364" s="53" t="n"/>
      <c r="CF364" s="53" t="n"/>
      <c r="CG364" s="53" t="n"/>
      <c r="CH364" s="53" t="n"/>
      <c r="CI364" s="53" t="n"/>
      <c r="CJ364" s="53" t="n"/>
      <c r="CK364" s="53" t="n"/>
      <c r="CL364" s="53" t="n"/>
      <c r="CM364" s="53" t="n"/>
      <c r="CN364" s="53" t="n"/>
      <c r="CO364" s="53" t="n"/>
      <c r="CP364" s="53" t="n"/>
      <c r="CQ364" s="53" t="n"/>
      <c r="CR364" s="53" t="n"/>
      <c r="CS364" s="53" t="n"/>
      <c r="CT364" s="53" t="n"/>
      <c r="CU364" s="53" t="n"/>
      <c r="CV364" s="53" t="n"/>
      <c r="CW364" s="53" t="n"/>
      <c r="CX364" s="53" t="n"/>
      <c r="CY364" s="53" t="n"/>
      <c r="CZ364" s="53" t="n"/>
      <c r="DA364" s="53" t="n"/>
      <c r="DB364" s="53" t="n"/>
      <c r="DC364" s="53" t="n"/>
      <c r="DD364" s="53" t="inlineStr">
        <is>
          <t>IRIS2318</t>
        </is>
      </c>
      <c r="DE364" s="53" t="inlineStr">
        <is>
          <t>Employee</t>
        </is>
      </c>
      <c r="DF364" s="53" t="inlineStr">
        <is>
          <t>Active</t>
        </is>
      </c>
      <c r="DG364" s="53" t="inlineStr">
        <is>
          <t>Prathmesh Ramdas Sutar</t>
        </is>
      </c>
      <c r="DH364" s="54" t="n">
        <v>45586</v>
      </c>
      <c r="DI364" s="53" t="inlineStr">
        <is>
          <t>Lead Software Engineer</t>
        </is>
      </c>
      <c r="DJ364" s="53" t="inlineStr">
        <is>
          <t>Engineering &amp; Development</t>
        </is>
      </c>
      <c r="DK364" s="53" t="inlineStr">
        <is>
          <t>Backend Engineering · Java</t>
        </is>
      </c>
      <c r="DL364" s="53" t="inlineStr">
        <is>
          <t>Lead Software Engineer</t>
        </is>
      </c>
      <c r="DM364" s="53" t="inlineStr">
        <is>
          <t>L5 – Lead · IC</t>
        </is>
      </c>
      <c r="DN364" s="53" t="inlineStr">
        <is>
          <t>B.E</t>
        </is>
      </c>
      <c r="DO364" s="53" t="inlineStr">
        <is>
          <t>Nikhil Nalawade</t>
        </is>
      </c>
      <c r="DP364" s="53" t="inlineStr">
        <is>
          <t>N-3</t>
        </is>
      </c>
      <c r="DQ364" s="53" t="inlineStr">
        <is>
          <t>Individual Contributor</t>
        </is>
      </c>
      <c r="DR364" s="53" t="inlineStr">
        <is>
          <t>11 years, 4 months, 0 days</t>
        </is>
      </c>
      <c r="DS364" s="53" t="inlineStr">
        <is>
          <t>1 years, 7 months, 30 days</t>
        </is>
      </c>
      <c r="DT364" s="53" t="inlineStr">
        <is>
          <t>12 years, 11 months, 30 days</t>
        </is>
      </c>
      <c r="DU364" s="53" t="n"/>
      <c r="DV364" s="53" t="inlineStr">
        <is>
          <t>Suptech</t>
        </is>
      </c>
      <c r="DW364" s="53" t="inlineStr">
        <is>
          <t>iFile</t>
        </is>
      </c>
      <c r="DX364" s="53" t="inlineStr">
        <is>
          <t>Technology</t>
        </is>
      </c>
      <c r="DY364" s="53" t="inlineStr">
        <is>
          <t>Development</t>
        </is>
      </c>
      <c r="DZ364" s="53" t="inlineStr">
        <is>
          <t>Yes</t>
        </is>
      </c>
      <c r="EA364" s="53" t="inlineStr">
        <is>
          <t>Product/Project</t>
        </is>
      </c>
      <c r="EB364" s="53" t="inlineStr">
        <is>
          <t>Java</t>
        </is>
      </c>
      <c r="EC364" s="53" t="inlineStr">
        <is>
          <t>Technical - Developer</t>
        </is>
      </c>
      <c r="ED364" s="53" t="inlineStr">
        <is>
          <t>Work From Office - Turbhe</t>
        </is>
      </c>
      <c r="EE364" s="53" t="inlineStr">
        <is>
          <t>1. Lead the successful delivery of multiple projects or strategic initiatives, ensuring alignment with business objectives, delivery commitments, quality standards, and customer expectations.
2. Drive solution architecture, technology strategy, engineering best practices, security, scalability, and operational excellence across projects.
3. Build strong relationships with customers and internal stakeholders by providing strategic guidance, managing expectations, mitigating risks, and ensuring high customer satisfaction.
4. Develop high-performing teams through mentoring, coaching, performance management, succession planning, and capability development while fostering a culture of accountability and collaboration.
5. Improve engineering efficiency by driving process standardization, delivery governance, quality metrics, DevOps adoption, automation, and continuous improvement initiatives.
6. Champion AI adoption across engineering teams by implementing AI-driven solutions, improving developer productivity, and identifying opportunities to enhance products and delivery processes.
7. Contribute to business growth through pre-sales support, solution proposals, technical estimations, innovation initiatives, reusable assets, and process improvements.
8. Complete at least two leadership, architecture, cloud, or technology certifications/training programs and one AI-focused certification or executive learning program, while promoting a culture of continuous learning within the team.
9. Lead organization-wide initiatives such as competency development, knowledge-sharing programs, engineering standards, recruitment, and technical governance to strengthen overall organizational capability.</t>
        </is>
      </c>
      <c r="EF364"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364"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H364" s="53" t="n">
        <v>4</v>
      </c>
      <c r="EI364" s="53" t="inlineStr">
        <is>
          <t>Pending</t>
        </is>
      </c>
      <c r="EJ364" s="53" t="inlineStr">
        <is>
          <t>Lead Software Engineer</t>
        </is>
      </c>
      <c r="EK364" s="53" t="inlineStr">
        <is>
          <t>No</t>
        </is>
      </c>
      <c r="EL364" s="53" t="n">
        <v>4</v>
      </c>
      <c r="EM364" s="53" t="inlineStr">
        <is>
          <t>Medium</t>
        </is>
      </c>
      <c r="EN364" s="53" t="inlineStr">
        <is>
          <t>Trusted Professional</t>
        </is>
      </c>
      <c r="EO364" s="53" t="inlineStr">
        <is>
          <t>No</t>
        </is>
      </c>
      <c r="EP364" s="53" t="inlineStr">
        <is>
          <t>No</t>
        </is>
      </c>
      <c r="EQ364" s="53" t="inlineStr">
        <is>
          <t>Yes</t>
        </is>
      </c>
      <c r="ER364" s="53" t="n"/>
      <c r="ES364" s="53" t="inlineStr">
        <is>
          <t>1. Strategic Leadership, Performance Management, Coaching &amp; Mentoring, Conflict Resolution, Change Management
2. Program &amp; Portfolio Management, Agile Leadership, Risk Management, Financial &amp; Resource Planning
3. Solution Architecture, Enterprise Integration, Cloud Architecture · AWS/Azure, Security Architecture
4. DevOps Strategy, Engineering Governance, Quality Engineering, Platform Engineering, SRE Fundamentals
5. AI Strategy, Generative AI for Engineering, AI Governance &amp; Responsible AI, AI-driven SDLC &amp; Productivity
6. Stakeholder Management, Client Engagement, Negotiation, Executive Communication, Pre-sales &amp; Solutioning
7. Talent Development, Succession Planning, Hiring &amp; Interviewing, Organizational Capability Building</t>
        </is>
      </c>
      <c r="ET364" s="53" t="n"/>
      <c r="EU364" s="53" t="inlineStr">
        <is>
          <t>Need to take more ownership</t>
        </is>
      </c>
      <c r="EV364" s="53" t="n"/>
      <c r="EW364" s="52" t="n"/>
      <c r="EX364" s="53" t="n"/>
      <c r="EY364" s="53" t="n"/>
      <c r="EZ364" s="53" t="n"/>
      <c r="FA364" s="53" t="n"/>
      <c r="FB364" s="53" t="n"/>
      <c r="FC364" s="53" t="n"/>
      <c r="FD364" s="53" t="n"/>
      <c r="FE364"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364"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FG364" s="56" t="inlineStr">
        <is>
          <t>1. Lead the successful delivery of multiple projects or strategic initiatives, ensuring alignment with business objectives, delivery commitments, quality standards, and customer expectations.
2. Drive solution architecture, technology strategy, engineering best practices, security, scalability, and operational excellence across projects.
3. Build strong relationships with customers and internal stakeholders by providing strategic guidance, managing expectations, mitigating risks, and ensuring high customer satisfaction.
4. Develop high-performing teams through mentoring, coaching, performance management, succession planning, and capability development while fostering a culture of accountability and collaboration.
5. Improve engineering efficiency by driving process standardization, delivery governance, quality metrics, DevOps adoption, automation, and continuous improvement initiatives.
6. Champion AI adoption across engineering teams by implementing AI-driven solutions, improving developer productivity, and identifying opportunities to enhance products and delivery processes.
7. Contribute to business growth through pre-sales support, solution proposals, technical estimations, innovation initiatives, reusable assets, and process improvements.
8. Complete at least two leadership, architecture, cloud, or technology certifications/training programs and one AI-focused certification or executive learning program, while promoting a culture of continuous learning within the team.
9. Lead organization-wide initiatives such as competency development, knowledge-sharing programs, engineering standards, recruitment, and technical governance to strengthen overall organizational capability.</t>
        </is>
      </c>
      <c r="FH364" s="56" t="inlineStr">
        <is>
          <t>4</t>
        </is>
      </c>
      <c r="FI364" s="56" t="n"/>
      <c r="FJ364" s="56" t="inlineStr">
        <is>
          <t>Received · manager annual, quarterly, self</t>
        </is>
      </c>
      <c r="FK364" s="56" t="inlineStr">
        <is>
          <t>Talent Mapping · iFile collated</t>
        </is>
      </c>
      <c r="FL364" s="56" t="n">
        <v>18</v>
      </c>
      <c r="FM364" s="32" t="inlineStr">
        <is>
          <t>Full survey answers not in the files received · How We Grow export needed · HR</t>
        </is>
      </c>
      <c r="FN364" s="56" t="inlineStr">
        <is>
          <t>—</t>
        </is>
      </c>
      <c r="FO364" s="56" t="inlineStr">
        <is>
          <t>—</t>
        </is>
      </c>
      <c r="FP364" s="56" t="inlineStr">
        <is>
          <t>—</t>
        </is>
      </c>
      <c r="FQ364" s="56" t="inlineStr">
        <is>
          <t>—</t>
        </is>
      </c>
      <c r="FR364" s="56" t="inlineStr">
        <is>
          <t>Complexity: Evidence reads like A3: Leads module development across requirements, coding, testing, deployment and production support; little detail → moved down 0.5
Autonomy: Evidence reads like A3: Decides code implementation only → moved down 0.5
Accountability: Evidence reads like A3: Quality and timelines of the module being developed → moved down 0.5
Leadership: Evidence reads like A2: Says leading module development; no people or guidance described → moved down 0.5
Business Impact: Moved +1: the survey / manager mapping marks it business-critical and it does work no one else does.</t>
        </is>
      </c>
      <c r="FS364" s="56" t="inlineStr">
        <is>
          <t>Common themes in role-holders' answers: product
Measured on · manager-set KRA themes: technical · defect · quality · agreed · deliver · reviews.</t>
        </is>
      </c>
      <c r="FT364" s="56" t="inlineStr">
        <is>
          <t>Self-identified: Technical depth &amp; architecture
For the next role: Technical depth &amp; architecture</t>
        </is>
      </c>
      <c r="FU364" s="32" t="inlineStr">
        <is>
          <t>Full survey answers not in the files received · How We Grow export needed · HR</t>
        </is>
      </c>
    </row>
    <row r="365" ht="90" customHeight="1">
      <c r="A365" s="51" t="inlineStr">
        <is>
          <t>◂ Back</t>
        </is>
      </c>
      <c r="B365" s="29" t="inlineStr">
        <is>
          <t>Mapped</t>
        </is>
      </c>
      <c r="C365" s="28" t="inlineStr">
        <is>
          <t>iFile</t>
        </is>
      </c>
      <c r="D365" s="29" t="inlineStr">
        <is>
          <t>IRIS2140</t>
        </is>
      </c>
      <c r="E365" s="29" t="inlineStr">
        <is>
          <t>Aaqib Ahmad</t>
        </is>
      </c>
      <c r="F365" s="29" t="inlineStr">
        <is>
          <t>Technology</t>
        </is>
      </c>
      <c r="G365" s="29" t="inlineStr">
        <is>
          <t>Software Engineer</t>
        </is>
      </c>
      <c r="H365" s="29" t="inlineStr">
        <is>
          <t>Senior Software Engineer</t>
        </is>
      </c>
      <c r="I365" s="29" t="inlineStr">
        <is>
          <t>L3 – Professional / Associate</t>
        </is>
      </c>
      <c r="J365" s="29" t="inlineStr">
        <is>
          <t>A3</t>
        </is>
      </c>
      <c r="K365" s="29" t="inlineStr">
        <is>
          <t>▲ Up</t>
        </is>
      </c>
      <c r="L365" s="29" t="inlineStr">
        <is>
          <t>Engineering &amp; Development</t>
        </is>
      </c>
      <c r="M365" s="29" t="inlineStr">
        <is>
          <t>Backend Development</t>
        </is>
      </c>
      <c r="N365" s="29" t="n"/>
      <c r="O365" s="29" t="n">
        <v>20</v>
      </c>
      <c r="P365" s="28" t="inlineStr">
        <is>
          <t>P2</t>
        </is>
      </c>
      <c r="Q365" s="29" t="inlineStr">
        <is>
          <t>Developing</t>
        </is>
      </c>
      <c r="R365" s="29" t="inlineStr">
        <is>
          <t>3 Apply</t>
        </is>
      </c>
      <c r="S365" s="29" t="inlineStr">
        <is>
          <t>2–4 yrs</t>
        </is>
      </c>
      <c r="T365" s="29" t="inlineStr">
        <is>
          <t>3–5 · 2–5</t>
        </is>
      </c>
      <c r="U365" s="29" t="inlineStr">
        <is>
          <t>Software Engineer</t>
        </is>
      </c>
      <c r="V365" s="29" t="inlineStr">
        <is>
          <t>Workiva: SE · Broadridge India: SE · Nasdaq / AxiomSL: SE · Salesforce: MTS · Atlassian: P40 · 3–7 yrs · Freshworks: Senior SE</t>
        </is>
      </c>
      <c r="W365" s="29" t="inlineStr">
        <is>
          <t>SFIA 9 · software development, programming; OWASP secure coding; cloud vendor certifications</t>
        </is>
      </c>
      <c r="X365" s="29" t="inlineStr">
        <is>
          <t>Core 2 · Future 2 · Functional 3 · Leadership not scored</t>
        </is>
      </c>
      <c r="Y365" s="52" t="n">
        <v>277</v>
      </c>
      <c r="Z365" s="53" t="inlineStr">
        <is>
          <t>IRIS2140</t>
        </is>
      </c>
      <c r="AA365" s="53" t="inlineStr">
        <is>
          <t>Employee</t>
        </is>
      </c>
      <c r="AB365" s="53" t="inlineStr">
        <is>
          <t>Active</t>
        </is>
      </c>
      <c r="AC365" s="53" t="inlineStr">
        <is>
          <t>Aaqib Ahmad</t>
        </is>
      </c>
      <c r="AD365" s="54" t="n">
        <v>45082</v>
      </c>
      <c r="AE365" s="53" t="inlineStr">
        <is>
          <t>Software Engineer</t>
        </is>
      </c>
      <c r="AF365" s="53" t="inlineStr">
        <is>
          <t>MSc</t>
        </is>
      </c>
      <c r="AG365" s="53" t="inlineStr">
        <is>
          <t>Nikhil Nalawade</t>
        </is>
      </c>
      <c r="AH365" s="53" t="inlineStr">
        <is>
          <t>N-4</t>
        </is>
      </c>
      <c r="AI365" s="53" t="inlineStr">
        <is>
          <t>Individual Contributor</t>
        </is>
      </c>
      <c r="AJ365" s="53" t="inlineStr">
        <is>
          <t>7 years, 0 months, 0 days</t>
        </is>
      </c>
      <c r="AK365" s="53" t="inlineStr">
        <is>
          <t>3 years, 2 months, 20 days</t>
        </is>
      </c>
      <c r="AL365" s="53" t="inlineStr">
        <is>
          <t>Suptech</t>
        </is>
      </c>
      <c r="AM365" s="53" t="inlineStr">
        <is>
          <t>iFile</t>
        </is>
      </c>
      <c r="AN365" s="53" t="inlineStr">
        <is>
          <t>Technology</t>
        </is>
      </c>
      <c r="AO365" s="53" t="inlineStr">
        <is>
          <t>Development</t>
        </is>
      </c>
      <c r="AP365" s="53" t="inlineStr">
        <is>
          <t>Yes</t>
        </is>
      </c>
      <c r="AQ365" s="53" t="inlineStr">
        <is>
          <t>Product/Project</t>
        </is>
      </c>
      <c r="AR365" s="53" t="inlineStr">
        <is>
          <t>Java</t>
        </is>
      </c>
      <c r="AS365" s="53" t="inlineStr">
        <is>
          <t>Technical - Developer</t>
        </is>
      </c>
      <c r="AT365" s="53" t="n">
        <v>20</v>
      </c>
      <c r="AU365" s="53" t="inlineStr">
        <is>
          <t>Covered</t>
        </is>
      </c>
      <c r="AV365" s="53" t="n"/>
      <c r="AW365" s="53" t="n"/>
      <c r="AX365" s="53" t="n"/>
      <c r="AY365" s="53" t="n"/>
      <c r="AZ365" s="53" t="n"/>
      <c r="BA365" s="53" t="n"/>
      <c r="BB365" s="53" t="n"/>
      <c r="BC365" s="53" t="n"/>
      <c r="BD365" s="53" t="n"/>
      <c r="BE365" s="53" t="n"/>
      <c r="BF365" s="53" t="n"/>
      <c r="BG365" s="53" t="n"/>
      <c r="BH365" s="53" t="n"/>
      <c r="BI365" s="53" t="n"/>
      <c r="BJ365" s="53" t="n"/>
      <c r="BK365" s="53" t="n"/>
      <c r="BL365" s="53" t="n"/>
      <c r="BM365" s="53" t="n"/>
      <c r="BN365" s="53" t="n"/>
      <c r="BO365" s="53" t="n"/>
      <c r="BP365" s="53" t="n"/>
      <c r="BQ365" s="53" t="n"/>
      <c r="BR365" s="53" t="n"/>
      <c r="BS365" s="53" t="n"/>
      <c r="BT365" s="53" t="n"/>
      <c r="BU365" s="53" t="n"/>
      <c r="BV365" s="53" t="n"/>
      <c r="BW365" s="53" t="n"/>
      <c r="BX365" s="53" t="n"/>
      <c r="BY365" s="53" t="n"/>
      <c r="BZ365" s="53" t="n"/>
      <c r="CA365" s="53" t="n"/>
      <c r="CB365" s="53" t="n"/>
      <c r="CC365" s="53" t="n"/>
      <c r="CD365" s="53" t="n"/>
      <c r="CE365" s="53" t="n"/>
      <c r="CF365" s="53" t="n"/>
      <c r="CG365" s="53" t="n"/>
      <c r="CH365" s="53" t="n"/>
      <c r="CI365" s="53" t="n"/>
      <c r="CJ365" s="53" t="n"/>
      <c r="CK365" s="53" t="n"/>
      <c r="CL365" s="53" t="n"/>
      <c r="CM365" s="53" t="n"/>
      <c r="CN365" s="53" t="n"/>
      <c r="CO365" s="53" t="n"/>
      <c r="CP365" s="53" t="n"/>
      <c r="CQ365" s="53" t="n"/>
      <c r="CR365" s="53" t="n"/>
      <c r="CS365" s="53" t="n"/>
      <c r="CT365" s="53" t="n"/>
      <c r="CU365" s="53" t="n"/>
      <c r="CV365" s="53" t="n"/>
      <c r="CW365" s="53" t="n"/>
      <c r="CX365" s="53" t="n"/>
      <c r="CY365" s="53" t="n"/>
      <c r="CZ365" s="53" t="n"/>
      <c r="DA365" s="53" t="n"/>
      <c r="DB365" s="53" t="n"/>
      <c r="DC365" s="53" t="n"/>
      <c r="DD365" s="53" t="inlineStr">
        <is>
          <t>IRIS2140</t>
        </is>
      </c>
      <c r="DE365" s="53" t="inlineStr">
        <is>
          <t>Employee</t>
        </is>
      </c>
      <c r="DF365" s="53" t="inlineStr">
        <is>
          <t>Active</t>
        </is>
      </c>
      <c r="DG365" s="53" t="inlineStr">
        <is>
          <t>Aaqib Ahmad</t>
        </is>
      </c>
      <c r="DH365" s="54" t="n">
        <v>45082</v>
      </c>
      <c r="DI365" s="53" t="inlineStr">
        <is>
          <t>Software Engineer</t>
        </is>
      </c>
      <c r="DJ365" s="53" t="inlineStr">
        <is>
          <t>Engineering &amp; Development</t>
        </is>
      </c>
      <c r="DK365" s="53" t="inlineStr">
        <is>
          <t>Backend Engineering · Java</t>
        </is>
      </c>
      <c r="DL365" s="53" t="inlineStr">
        <is>
          <t>Software Engineer</t>
        </is>
      </c>
      <c r="DM365" s="53" t="inlineStr">
        <is>
          <t>L3 – Professional / Associate</t>
        </is>
      </c>
      <c r="DN365" s="53" t="inlineStr">
        <is>
          <t>MSc</t>
        </is>
      </c>
      <c r="DO365" s="53" t="inlineStr">
        <is>
          <t>Nikhil Nalawade</t>
        </is>
      </c>
      <c r="DP365" s="53" t="inlineStr">
        <is>
          <t>N-3</t>
        </is>
      </c>
      <c r="DQ365" s="53" t="inlineStr">
        <is>
          <t>Individual Contributor</t>
        </is>
      </c>
      <c r="DR365" s="53" t="inlineStr">
        <is>
          <t>7 years, 0 months, 0 days</t>
        </is>
      </c>
      <c r="DS365" s="53" t="inlineStr">
        <is>
          <t>3 years, 0 months, 15 days</t>
        </is>
      </c>
      <c r="DT365" s="53" t="inlineStr">
        <is>
          <t>10 years, 0 months, 15 days</t>
        </is>
      </c>
      <c r="DU365" s="53" t="n"/>
      <c r="DV365" s="53" t="inlineStr">
        <is>
          <t>Suptech</t>
        </is>
      </c>
      <c r="DW365" s="53" t="inlineStr">
        <is>
          <t>iFile</t>
        </is>
      </c>
      <c r="DX365" s="53" t="inlineStr">
        <is>
          <t>Technology</t>
        </is>
      </c>
      <c r="DY365" s="53" t="inlineStr">
        <is>
          <t>Development</t>
        </is>
      </c>
      <c r="DZ365" s="53" t="inlineStr">
        <is>
          <t>Yes</t>
        </is>
      </c>
      <c r="EA365" s="53" t="inlineStr">
        <is>
          <t>Product/Project</t>
        </is>
      </c>
      <c r="EB365" s="53" t="inlineStr">
        <is>
          <t>Java</t>
        </is>
      </c>
      <c r="EC365" s="53" t="inlineStr">
        <is>
          <t>Technical - Developer</t>
        </is>
      </c>
      <c r="ED365" s="53" t="inlineStr">
        <is>
          <t>Remote- Outside Mumbai</t>
        </is>
      </c>
      <c r="EE365" s="53" t="inlineStr">
        <is>
          <t>1. Resolve incidents and service requests within defined SLAs, ensuring high customer satisfaction and minimal business disruption.
2. Monitor application health, proactively identify issues, perform root cause analysis · RCA, and contribute to improving system availability and stability.
3. Coordinate with development teams to resolve production defects, implement minor enhancements, and validate fixes through appropriate testing.
4. Maintain accurate documentation, knowledge base articles, SOPs, and support runbooks to improve operational efficiency and reduce resolution time.
5. Identify and implement at least one automation, monitoring enhancement, or process improvement initiative to improve support efficiency and reduce recurring issues.
6. Complete at least two technical certifications or training programs relevant to the application, database, cloud, DevOps, or support technologies.
7. Complete at least one AI-focused training or certification and leverage AI tools to improve incident analysis, troubleshooting, documentation, or support processes. 
8. Communicate effectively with customers and internal stakeholders by providing timely updates, managing expectations, and ensuring adherence to agreed SLAs.
9. Participate in knowledge-sharing sessions, mentor new team members where applicable, and contribute to building a collaborative and high-performing support team.</t>
        </is>
      </c>
      <c r="EF365"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365"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H365" s="53" t="n">
        <v>4</v>
      </c>
      <c r="EI365" s="53" t="inlineStr">
        <is>
          <t>Pending</t>
        </is>
      </c>
      <c r="EJ365" s="53" t="inlineStr">
        <is>
          <t>Senior Support Engineer, can be discussed in detail</t>
        </is>
      </c>
      <c r="EK365" s="53" t="inlineStr">
        <is>
          <t>Needs to transition into a more structured Senior Support Engineer role by strengthening ownership, planning, and operational governance. Having successfully managed support for the PFRDA account, he is well-positioned to take on a broader support portfolio, providing opportunities to manage multiple accounts, drive operational excellence, mentor junior team members, and contribute to process improvements.</t>
        </is>
      </c>
      <c r="EL365" s="53" t="n">
        <v>4</v>
      </c>
      <c r="EM365" s="53" t="inlineStr">
        <is>
          <t>Medium</t>
        </is>
      </c>
      <c r="EN365" s="53" t="inlineStr">
        <is>
          <t>Emerging Talent</t>
        </is>
      </c>
      <c r="EO365" s="53" t="inlineStr">
        <is>
          <t>Yes</t>
        </is>
      </c>
      <c r="EP365" s="53" t="inlineStr">
        <is>
          <t>Yes</t>
        </is>
      </c>
      <c r="EQ365" s="53" t="inlineStr">
        <is>
          <t>Yes</t>
        </is>
      </c>
      <c r="ER365" s="53" t="n"/>
      <c r="ES365" s="53" t="inlineStr">
        <is>
          <t>1. Incident Management, Problem Management, Root Cause Analysis · RCA, ITIL Foundation, Monitoring &amp; Alerting Tools
2. Git, CI/CD Basics, Docker Fundamentals, Monitoring Tools · Grafana/Prometheus, Automation Scripting
3. Prompt Engineering, AI-assisted Troubleshooting, ChatGPT/GitHub Copilot, AI for Documentation &amp; RCA
4. Customer Communication, Stakeholder Management, Email Etiquette, Time Management, Problem Solving, Critical Conversations</t>
        </is>
      </c>
      <c r="ET365" s="53" t="n"/>
      <c r="EU365" s="53" t="n"/>
      <c r="EV365" s="53" t="n"/>
      <c r="EW365" s="52" t="n"/>
      <c r="EX365" s="53" t="n"/>
      <c r="EY365" s="53" t="n"/>
      <c r="EZ365" s="53" t="n"/>
      <c r="FA365" s="53" t="n"/>
      <c r="FB365" s="53" t="n"/>
      <c r="FC365" s="53" t="n"/>
      <c r="FD365" s="53" t="n"/>
      <c r="FE365"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365"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FG365" s="56" t="inlineStr">
        <is>
          <t>1. Resolve incidents and service requests within defined SLAs, ensuring high customer satisfaction and minimal business disruption.
2. Monitor application health, proactively identify issues, perform root cause analysis · RCA, and contribute to improving system availability and stability.
3. Coordinate with development teams to resolve production defects, implement minor enhancements, and validate fixes through appropriate testing.
4. Maintain accurate documentation, knowledge base articles, SOPs, and support runbooks to improve operational efficiency and reduce resolution time.
5. Identify and implement at least one automation, monitoring enhancement, or process improvement initiative to improve support efficiency and reduce recurring issues.
6. Complete at least two technical certifications or training programs relevant to the application, database, cloud, DevOps, or support technologies.
7. Complete at least one AI-focused training or certification and leverage AI tools to improve incident analysis, troubleshooting, documentation, or support processes.  
8. Communicate effectively with customers and internal stakeholders by providing timely updates, managing expectations, and ensuring adherence to agreed SLAs.
9. Participate in knowledge-sharing sessions, mentor new team members where applicable, and contribute to building a collaborative and high-performing support team.</t>
        </is>
      </c>
      <c r="FH365" s="56" t="inlineStr">
        <is>
          <t>4</t>
        </is>
      </c>
      <c r="FI365" s="56" t="n"/>
      <c r="FJ365" s="56" t="inlineStr">
        <is>
          <t>Received · manager annual, quarterly, self</t>
        </is>
      </c>
      <c r="FK365" s="56" t="inlineStr">
        <is>
          <t>Talent Mapping · iFile collated</t>
        </is>
      </c>
      <c r="FL365" s="56" t="n">
        <v>20</v>
      </c>
      <c r="FM365" s="32" t="inlineStr">
        <is>
          <t>Full survey answers not in the files received · How We Grow export needed · HR</t>
        </is>
      </c>
      <c r="FN365" s="56" t="inlineStr">
        <is>
          <t>—</t>
        </is>
      </c>
      <c r="FO365" s="56" t="inlineStr">
        <is>
          <t>—</t>
        </is>
      </c>
      <c r="FP365" s="56" t="inlineStr">
        <is>
          <t>—</t>
        </is>
      </c>
      <c r="FQ365" s="56" t="inlineStr">
        <is>
          <t>—</t>
        </is>
      </c>
      <c r="FR365" s="56" t="inlineStr">
        <is>
          <t>Complexity: Evidence reads like A3: PFRDA master data, SQL from SRS, log monitoring; handles inconsistent source data and FK dependencies → moved up 0.5
Autonomy: Evidence reads like A3: Decides technical implementation and DB changes; judges flagging versus fixing source data → moved up 0.5
Accountability: Evidence reads like A3: Master data integrity; bad data silently corrupts downstream reports → moved up 0.5
Leadership: Evidence reads like A1: No guidance of others described → matches the start
Business Impact: Moved +0.5: the survey / manager mapping marks it business-critical.</t>
        </is>
      </c>
      <c r="FS365"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365" s="56" t="inlineStr">
        <is>
          <t>Self-identified: Project / programme management · Technical depth &amp; architecture · Broader exposure &amp; ownership
For the next role: Project / programme management · Technical depth &amp; architecture · Strategy &amp; business acumen · Broader exposure &amp; ownership</t>
        </is>
      </c>
      <c r="FU365" s="32" t="inlineStr">
        <is>
          <t>Full survey answers not in the files received · How We Grow export needed · HR</t>
        </is>
      </c>
    </row>
    <row r="366" ht="90" customHeight="1">
      <c r="A366" s="51" t="inlineStr">
        <is>
          <t>◂ Back</t>
        </is>
      </c>
      <c r="B366" s="29" t="inlineStr">
        <is>
          <t>Mapped</t>
        </is>
      </c>
      <c r="C366" s="28" t="inlineStr">
        <is>
          <t>iFile</t>
        </is>
      </c>
      <c r="D366" s="29" t="inlineStr">
        <is>
          <t>IRIS2488</t>
        </is>
      </c>
      <c r="E366" s="29" t="inlineStr">
        <is>
          <t>Ajay Chauhan</t>
        </is>
      </c>
      <c r="F366" s="29" t="inlineStr">
        <is>
          <t>Technology</t>
        </is>
      </c>
      <c r="G366" s="29" t="inlineStr">
        <is>
          <t>Software Engineer</t>
        </is>
      </c>
      <c r="H366" s="29" t="inlineStr">
        <is>
          <t>Senior Software Engineer</t>
        </is>
      </c>
      <c r="I366" s="29" t="inlineStr">
        <is>
          <t>L3 – Professional / Associate</t>
        </is>
      </c>
      <c r="J366" s="29" t="inlineStr">
        <is>
          <t>A3</t>
        </is>
      </c>
      <c r="K366" s="29" t="inlineStr">
        <is>
          <t>▲ Up</t>
        </is>
      </c>
      <c r="L366" s="29" t="inlineStr">
        <is>
          <t>Engineering &amp; Development</t>
        </is>
      </c>
      <c r="M366" s="29" t="inlineStr">
        <is>
          <t>Backend Development</t>
        </is>
      </c>
      <c r="N366" s="29" t="n"/>
      <c r="O366" s="29" t="n">
        <v>20</v>
      </c>
      <c r="P366" s="28" t="inlineStr">
        <is>
          <t>P2</t>
        </is>
      </c>
      <c r="Q366" s="29" t="inlineStr">
        <is>
          <t>Developing</t>
        </is>
      </c>
      <c r="R366" s="29" t="inlineStr">
        <is>
          <t>3 Apply</t>
        </is>
      </c>
      <c r="S366" s="29" t="inlineStr">
        <is>
          <t>2–4 yrs</t>
        </is>
      </c>
      <c r="T366" s="29" t="inlineStr">
        <is>
          <t>3–5 · 2–5</t>
        </is>
      </c>
      <c r="U366" s="29" t="inlineStr">
        <is>
          <t>Software Engineer</t>
        </is>
      </c>
      <c r="V366" s="29" t="inlineStr">
        <is>
          <t>Workiva: SE · Broadridge India: SE · Nasdaq / AxiomSL: SE · Salesforce: MTS · Atlassian: P40 · 3–7 yrs · Freshworks: Senior SE</t>
        </is>
      </c>
      <c r="W366" s="29" t="inlineStr">
        <is>
          <t>SFIA 9 · software development, programming; OWASP secure coding; cloud vendor certifications</t>
        </is>
      </c>
      <c r="X366" s="29" t="inlineStr">
        <is>
          <t>Core 2 · Future 2 · Functional 3 · Leadership not scored</t>
        </is>
      </c>
      <c r="Y366" s="52" t="n">
        <v>461</v>
      </c>
      <c r="Z366" s="53" t="inlineStr">
        <is>
          <t>IRIS2488</t>
        </is>
      </c>
      <c r="AA366" s="53" t="inlineStr">
        <is>
          <t>Employee</t>
        </is>
      </c>
      <c r="AB366" s="53" t="inlineStr">
        <is>
          <t>Active</t>
        </is>
      </c>
      <c r="AC366" s="53" t="inlineStr">
        <is>
          <t>Ajay Chauhan</t>
        </is>
      </c>
      <c r="AD366" s="54" t="n">
        <v>46086</v>
      </c>
      <c r="AE366" s="53" t="inlineStr">
        <is>
          <t>Software Engineer</t>
        </is>
      </c>
      <c r="AF366" s="53" t="inlineStr">
        <is>
          <t>Post Graduation/ B.E</t>
        </is>
      </c>
      <c r="AG366" s="53" t="inlineStr">
        <is>
          <t>Nikhil Nalawade</t>
        </is>
      </c>
      <c r="AH366" s="53" t="inlineStr">
        <is>
          <t>N-4</t>
        </is>
      </c>
      <c r="AI366" s="53" t="inlineStr">
        <is>
          <t>Individual Contributor</t>
        </is>
      </c>
      <c r="AJ366" s="53" t="inlineStr">
        <is>
          <t>4 years, 1 months, 0 days</t>
        </is>
      </c>
      <c r="AK366" s="53" t="inlineStr">
        <is>
          <t>0 years, 5 months, 20 days</t>
        </is>
      </c>
      <c r="AL366" s="53" t="inlineStr">
        <is>
          <t>Suptech</t>
        </is>
      </c>
      <c r="AM366" s="53" t="inlineStr">
        <is>
          <t>iFile</t>
        </is>
      </c>
      <c r="AN366" s="53" t="inlineStr">
        <is>
          <t>Technology</t>
        </is>
      </c>
      <c r="AO366" s="53" t="inlineStr">
        <is>
          <t>Development</t>
        </is>
      </c>
      <c r="AP366" s="53" t="inlineStr">
        <is>
          <t>Yes</t>
        </is>
      </c>
      <c r="AQ366" s="53" t="inlineStr">
        <is>
          <t>Product/Project</t>
        </is>
      </c>
      <c r="AR366" s="53" t="inlineStr">
        <is>
          <t>Java</t>
        </is>
      </c>
      <c r="AS366" s="53" t="inlineStr">
        <is>
          <t>Technical - Developer</t>
        </is>
      </c>
      <c r="AT366" s="53" t="n">
        <v>20</v>
      </c>
      <c r="AU366" s="53" t="inlineStr">
        <is>
          <t>Covered</t>
        </is>
      </c>
      <c r="AV366" s="53" t="n"/>
      <c r="AW366" s="53" t="n"/>
      <c r="AX366" s="53" t="n"/>
      <c r="AY366" s="53" t="n"/>
      <c r="AZ366" s="53" t="n"/>
      <c r="BA366" s="53" t="n"/>
      <c r="BB366" s="53" t="n"/>
      <c r="BC366" s="53" t="n"/>
      <c r="BD366" s="53" t="n"/>
      <c r="BE366" s="53" t="n"/>
      <c r="BF366" s="53" t="n"/>
      <c r="BG366" s="53" t="n"/>
      <c r="BH366" s="53" t="n"/>
      <c r="BI366" s="53" t="n"/>
      <c r="BJ366" s="53" t="n"/>
      <c r="BK366" s="53" t="n"/>
      <c r="BL366" s="53" t="n"/>
      <c r="BM366" s="53" t="n"/>
      <c r="BN366" s="53" t="n"/>
      <c r="BO366" s="53" t="n"/>
      <c r="BP366" s="53" t="n"/>
      <c r="BQ366" s="53" t="n"/>
      <c r="BR366" s="53" t="n"/>
      <c r="BS366" s="53" t="n"/>
      <c r="BT366" s="53" t="n"/>
      <c r="BU366" s="53" t="n"/>
      <c r="BV366" s="53" t="n"/>
      <c r="BW366" s="53" t="n"/>
      <c r="BX366" s="53" t="n"/>
      <c r="BY366" s="53" t="n"/>
      <c r="BZ366" s="53" t="n"/>
      <c r="CA366" s="53" t="n"/>
      <c r="CB366" s="53" t="n"/>
      <c r="CC366" s="53" t="n"/>
      <c r="CD366" s="53" t="n"/>
      <c r="CE366" s="53" t="n"/>
      <c r="CF366" s="53" t="n"/>
      <c r="CG366" s="53" t="n"/>
      <c r="CH366" s="53" t="n"/>
      <c r="CI366" s="53" t="n"/>
      <c r="CJ366" s="53" t="n"/>
      <c r="CK366" s="53" t="n"/>
      <c r="CL366" s="53" t="n"/>
      <c r="CM366" s="53" t="n"/>
      <c r="CN366" s="53" t="n"/>
      <c r="CO366" s="53" t="n"/>
      <c r="CP366" s="53" t="n"/>
      <c r="CQ366" s="53" t="n"/>
      <c r="CR366" s="53" t="n"/>
      <c r="CS366" s="53" t="n"/>
      <c r="CT366" s="53" t="n"/>
      <c r="CU366" s="53" t="n"/>
      <c r="CV366" s="53" t="n"/>
      <c r="CW366" s="53" t="n"/>
      <c r="CX366" s="53" t="n"/>
      <c r="CY366" s="53" t="n"/>
      <c r="CZ366" s="53" t="n"/>
      <c r="DA366" s="53" t="n"/>
      <c r="DB366" s="53" t="n"/>
      <c r="DC366" s="53" t="n"/>
      <c r="DD366" s="53" t="inlineStr">
        <is>
          <t>IRIS2488</t>
        </is>
      </c>
      <c r="DE366" s="53" t="inlineStr">
        <is>
          <t>Employee</t>
        </is>
      </c>
      <c r="DF366" s="53" t="inlineStr">
        <is>
          <t>Active</t>
        </is>
      </c>
      <c r="DG366" s="53" t="inlineStr">
        <is>
          <t>Ajay Chauhan</t>
        </is>
      </c>
      <c r="DH366" s="54" t="n">
        <v>46086</v>
      </c>
      <c r="DI366" s="53" t="inlineStr">
        <is>
          <t>Software Engineer</t>
        </is>
      </c>
      <c r="DJ366" s="53" t="inlineStr">
        <is>
          <t>Engineering &amp; Development</t>
        </is>
      </c>
      <c r="DK366" s="53" t="inlineStr">
        <is>
          <t>Backend Engineering · Java</t>
        </is>
      </c>
      <c r="DL366" s="53" t="inlineStr">
        <is>
          <t>Software Engineer</t>
        </is>
      </c>
      <c r="DM366" s="53" t="inlineStr">
        <is>
          <t>L3 – Professional / Associate</t>
        </is>
      </c>
      <c r="DN366" s="53" t="inlineStr">
        <is>
          <t>Post Graduation/ B.E</t>
        </is>
      </c>
      <c r="DO366" s="53" t="inlineStr">
        <is>
          <t>Nikhil Nalawade</t>
        </is>
      </c>
      <c r="DP366" s="53" t="inlineStr">
        <is>
          <t>N-3</t>
        </is>
      </c>
      <c r="DQ366" s="53" t="inlineStr">
        <is>
          <t>Individual Contributor</t>
        </is>
      </c>
      <c r="DR366" s="53" t="inlineStr">
        <is>
          <t>4 years, 1 months, 0 days</t>
        </is>
      </c>
      <c r="DS366" s="53" t="inlineStr">
        <is>
          <t>0 years, 3 months, 15 days</t>
        </is>
      </c>
      <c r="DT366" s="53" t="inlineStr">
        <is>
          <t>4 years, 4 months, 15 days</t>
        </is>
      </c>
      <c r="DU366" s="53" t="n"/>
      <c r="DV366" s="53" t="inlineStr">
        <is>
          <t>Suptech</t>
        </is>
      </c>
      <c r="DW366" s="53" t="inlineStr">
        <is>
          <t>iFile</t>
        </is>
      </c>
      <c r="DX366" s="53" t="inlineStr">
        <is>
          <t>Technology</t>
        </is>
      </c>
      <c r="DY366" s="53" t="inlineStr">
        <is>
          <t>Development</t>
        </is>
      </c>
      <c r="DZ366" s="53" t="inlineStr">
        <is>
          <t>Yes</t>
        </is>
      </c>
      <c r="EA366" s="53" t="inlineStr">
        <is>
          <t>Product/Project</t>
        </is>
      </c>
      <c r="EB366" s="53" t="inlineStr">
        <is>
          <t>Java</t>
        </is>
      </c>
      <c r="EC366" s="53" t="inlineStr">
        <is>
          <t>Technical - Developer</t>
        </is>
      </c>
      <c r="ED366" s="53" t="inlineStr">
        <is>
          <t>Work From Office - Turbhe</t>
        </is>
      </c>
      <c r="EE366" s="53" t="inlineStr">
        <is>
          <t>1. Own the design, development, testing, deployment, and production support of assigned modules/features, ensuring timely delivery, high quality, and adherence to engineering standards.
2. Deliver customer-requested enhancements and complex features while ensuring application performance, security, scalability, maintainability, and minimal production defects.
4. Strengthen expertise in Java, Angular, cloud, and DevOps technologies by driving code quality, CI/CD improvements, deployment automation, and engineering best practices.
5. Contribute to successful project deliveries, production go-lives, and post-production stabilization through proactive planning, risk mitigation, and timely issue resolution.
6. Leverage AI tools and technologies to improve development productivity, automate engineering processes, and implement innovative solutions that enhance project outcomes.
7. Complete at least two technical certifications or advanced training programs relevant to Java, Angular, Cloud, DevOps, Architecture, or related technologies.
8. Complete at least one AI-focused certification or training program and apply the acquired knowledge to improve development, testing, or engineering workflows.
9. Drive at least one technical improvement, automation, reusable framework/component, or process optimization that delivers measurable value to the project or team.
10. Mentor or onboard at least one junior team member or intern, conduct knowledge-sharing sessions, and actively support team capability development through code reviews and technical guidance.</t>
        </is>
      </c>
      <c r="EF366"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366"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H366" s="53" t="n">
        <v>2</v>
      </c>
      <c r="EI366" s="53" t="inlineStr">
        <is>
          <t>Pending</t>
        </is>
      </c>
      <c r="EJ366" s="53" t="inlineStr">
        <is>
          <t>Software Engineer</t>
        </is>
      </c>
      <c r="EK366" s="53" t="inlineStr">
        <is>
          <t>No</t>
        </is>
      </c>
      <c r="EL366" s="53" t="n">
        <v>2</v>
      </c>
      <c r="EM366" s="53" t="inlineStr">
        <is>
          <t>Low</t>
        </is>
      </c>
      <c r="EN366" s="53" t="inlineStr">
        <is>
          <t>Reliable Specialist</t>
        </is>
      </c>
      <c r="EO366" s="53" t="inlineStr">
        <is>
          <t>No</t>
        </is>
      </c>
      <c r="EP366" s="53" t="inlineStr">
        <is>
          <t>No</t>
        </is>
      </c>
      <c r="EQ366" s="53" t="inlineStr">
        <is>
          <t>No</t>
        </is>
      </c>
      <c r="ER366" s="53" t="inlineStr">
        <is>
          <t>Not Yet</t>
        </is>
      </c>
      <c r="ES366" s="53" t="inlineStr">
        <is>
          <t>1. Angular Architecture, Performance Optimization, Advanced TypeScript, State Management · NgRx
2. System Design, Design Patterns, Microservices Fundamentals, API Design
3. Secure Coding, OWASP, Code Quality, Unit &amp; Automation Testing · Playwright
4. Technical Leadership, Code Reviews, Estimation, Mentoring &amp; Knowledge Sharing
5. CI/CD, Docker, Kubernetes, Cloud Fundamentals · AWS/Azure, Deployment Automation
6. Prompt Engineering, GitHub Copilot, AI-assisted Development, Code Review &amp; Test Automation
7. Stakeholder Communication, Presentation Skills, Problem Solving, Collaboration, Time Management, Client Interaction</t>
        </is>
      </c>
      <c r="ET366" s="53" t="n"/>
      <c r="EU366" s="53" t="n"/>
      <c r="EV366" s="53" t="n"/>
      <c r="EW366" s="52" t="n"/>
      <c r="EX366" s="53" t="n"/>
      <c r="EY366" s="53" t="n"/>
      <c r="EZ366" s="53" t="n"/>
      <c r="FA366" s="53" t="n"/>
      <c r="FB366" s="53" t="n"/>
      <c r="FC366" s="53" t="n"/>
      <c r="FD366" s="53" t="n"/>
      <c r="FE366"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366"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FG366" s="56" t="inlineStr">
        <is>
          <t>1. Own the design, development, testing, deployment, and production support of assigned modules/features, ensuring timely delivery, high quality, and adherence to engineering standards.
2. Deliver customer-requested enhancements and complex features while ensuring application performance, security, scalability, maintainability, and minimal production defects.
4. Strengthen expertise in Java, Angular, cloud, and DevOps technologies by driving code quality, CI/CD improvements, deployment automation, and engineering best practices.
5. Contribute to successful project deliveries, production go-lives, and post-production stabilization through proactive planning, risk mitigation, and timely issue resolution.
6. Leverage AI tools and technologies to improve development productivity, automate engineering processes, and implement innovative solutions that enhance project outcomes.
7. Complete at least two technical certifications or advanced training programs relevant to Java, Angular, Cloud, DevOps, Architecture, or related technologies.
8. Complete at least one AI-focused certification or training program and apply the acquired knowledge to improve development, testing, or engineering workflows.
9. Drive at least one technical improvement, automation, reusable framework/component, or process optimization that delivers measurable value to the project or team.
10. Mentor or onboard at least one junior team member or intern, conduct knowledge-sharing sessions, and actively support team capability development through code reviews and technical guidance.</t>
        </is>
      </c>
      <c r="FH366" s="56" t="inlineStr">
        <is>
          <t>2</t>
        </is>
      </c>
      <c r="FI366" s="56" t="n"/>
      <c r="FJ366" s="56" t="inlineStr">
        <is>
          <t>Received · manager annual, quarterly, self</t>
        </is>
      </c>
      <c r="FK366" s="56" t="inlineStr">
        <is>
          <t>Talent Mapping · iFile collated</t>
        </is>
      </c>
      <c r="FL366" s="56" t="n">
        <v>20</v>
      </c>
      <c r="FM366" s="32" t="inlineStr">
        <is>
          <t>Full survey answers not in the files received · How We Grow export needed · HR</t>
        </is>
      </c>
      <c r="FN366" s="56" t="inlineStr">
        <is>
          <t>—</t>
        </is>
      </c>
      <c r="FO366" s="56" t="inlineStr">
        <is>
          <t>—</t>
        </is>
      </c>
      <c r="FP366" s="56" t="inlineStr">
        <is>
          <t>—</t>
        </is>
      </c>
      <c r="FQ366" s="56" t="inlineStr">
        <is>
          <t>—</t>
        </is>
      </c>
      <c r="FR366" s="56" t="inlineStr">
        <is>
          <t>Complexity: Evidence reads like A2: Implements features, tests edge cases, review, production support; no specifics → matches the start
Autonomy: Evidence reads like A2: Only 'code fix' given as independent decision → matches the start
Accountability: Evidence reads like A2: Names only 'optimization'; errors cause delays → matches the start
Leadership: Evidence reads like A1: No guidance of others described → matches the start
Business Impact: No survey or manager-mapping signal on criticality: kept at the start point.</t>
        </is>
      </c>
      <c r="FS366"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366" s="56" t="inlineStr">
        <is>
          <t>Self-identified: Technical depth &amp; architecture
For the next role: Technical depth &amp; architecture</t>
        </is>
      </c>
      <c r="FU366" s="32" t="inlineStr">
        <is>
          <t>Full survey answers not in the files received · How We Grow export needed · HR</t>
        </is>
      </c>
    </row>
    <row r="367" ht="90" customHeight="1">
      <c r="A367" s="51" t="inlineStr">
        <is>
          <t>◂ Back</t>
        </is>
      </c>
      <c r="B367" s="29" t="inlineStr">
        <is>
          <t>Mapped</t>
        </is>
      </c>
      <c r="C367" s="28" t="inlineStr">
        <is>
          <t>iFile</t>
        </is>
      </c>
      <c r="D367" s="29" t="inlineStr">
        <is>
          <t>IRIS2469</t>
        </is>
      </c>
      <c r="E367" s="29" t="inlineStr">
        <is>
          <t>Amiz Azad</t>
        </is>
      </c>
      <c r="F367" s="29" t="inlineStr">
        <is>
          <t>Technology</t>
        </is>
      </c>
      <c r="G367" s="29" t="inlineStr">
        <is>
          <t>Senior Software Engineer</t>
        </is>
      </c>
      <c r="H367" s="29" t="inlineStr">
        <is>
          <t>Senior Software Engineer</t>
        </is>
      </c>
      <c r="I367" s="29" t="inlineStr">
        <is>
          <t>L4 – Senior</t>
        </is>
      </c>
      <c r="J367" s="29" t="inlineStr">
        <is>
          <t>A3</t>
        </is>
      </c>
      <c r="K367" s="29" t="inlineStr">
        <is>
          <t>• Same level</t>
        </is>
      </c>
      <c r="L367" s="29" t="inlineStr">
        <is>
          <t>Engineering &amp; Development</t>
        </is>
      </c>
      <c r="M367" s="29" t="inlineStr">
        <is>
          <t>Backend Development</t>
        </is>
      </c>
      <c r="N367" s="29" t="n"/>
      <c r="O367" s="29" t="n">
        <v>20</v>
      </c>
      <c r="P367" s="28" t="inlineStr">
        <is>
          <t>P2</t>
        </is>
      </c>
      <c r="Q367" s="29" t="inlineStr">
        <is>
          <t>Developing</t>
        </is>
      </c>
      <c r="R367" s="29" t="inlineStr">
        <is>
          <t>3 Apply</t>
        </is>
      </c>
      <c r="S367" s="29" t="inlineStr">
        <is>
          <t>2–4 yrs</t>
        </is>
      </c>
      <c r="T367" s="29" t="inlineStr">
        <is>
          <t>3–5 · 2–5</t>
        </is>
      </c>
      <c r="U367" s="29" t="inlineStr">
        <is>
          <t>Software Engineer</t>
        </is>
      </c>
      <c r="V367" s="29" t="inlineStr">
        <is>
          <t>Workiva: SE · Broadridge India: SE · Nasdaq / AxiomSL: SE · Salesforce: MTS · Atlassian: P40 · 3–7 yrs · Freshworks: Senior SE</t>
        </is>
      </c>
      <c r="W367" s="29" t="inlineStr">
        <is>
          <t>SFIA 9 · software development, programming; OWASP secure coding; cloud vendor certifications</t>
        </is>
      </c>
      <c r="X367" s="29" t="inlineStr">
        <is>
          <t>Core 2 · Future 2 · Functional 3 · Leadership not scored</t>
        </is>
      </c>
      <c r="Y367" s="52" t="n">
        <v>443</v>
      </c>
      <c r="Z367" s="53" t="inlineStr">
        <is>
          <t>IRIS2469</t>
        </is>
      </c>
      <c r="AA367" s="53" t="inlineStr">
        <is>
          <t>Employee</t>
        </is>
      </c>
      <c r="AB367" s="53" t="inlineStr">
        <is>
          <t>Active</t>
        </is>
      </c>
      <c r="AC367" s="53" t="inlineStr">
        <is>
          <t>Amiz Azad</t>
        </is>
      </c>
      <c r="AD367" s="54" t="n">
        <v>46055</v>
      </c>
      <c r="AE367" s="53" t="inlineStr">
        <is>
          <t>Senior Software Engineer</t>
        </is>
      </c>
      <c r="AF367" s="53" t="inlineStr">
        <is>
          <t>B.E</t>
        </is>
      </c>
      <c r="AG367" s="53" t="inlineStr">
        <is>
          <t>Nikhil Nalawade</t>
        </is>
      </c>
      <c r="AH367" s="53" t="inlineStr">
        <is>
          <t>N-4</t>
        </is>
      </c>
      <c r="AI367" s="53" t="inlineStr">
        <is>
          <t>Individual Contributor</t>
        </is>
      </c>
      <c r="AJ367" s="53" t="inlineStr">
        <is>
          <t>6 years, 0 months, 0 days</t>
        </is>
      </c>
      <c r="AK367" s="53" t="inlineStr">
        <is>
          <t>0 years, 6 months, 23 days</t>
        </is>
      </c>
      <c r="AL367" s="53" t="inlineStr">
        <is>
          <t>Suptech</t>
        </is>
      </c>
      <c r="AM367" s="53" t="inlineStr">
        <is>
          <t>iFile</t>
        </is>
      </c>
      <c r="AN367" s="53" t="inlineStr">
        <is>
          <t>Technology</t>
        </is>
      </c>
      <c r="AO367" s="53" t="inlineStr">
        <is>
          <t>Development</t>
        </is>
      </c>
      <c r="AP367" s="53" t="inlineStr">
        <is>
          <t>Yes</t>
        </is>
      </c>
      <c r="AQ367" s="53" t="inlineStr">
        <is>
          <t>Product/Project</t>
        </is>
      </c>
      <c r="AR367" s="53" t="inlineStr">
        <is>
          <t>Java</t>
        </is>
      </c>
      <c r="AS367" s="53" t="inlineStr">
        <is>
          <t>Technical - Developer</t>
        </is>
      </c>
      <c r="AT367" s="53" t="n">
        <v>20</v>
      </c>
      <c r="AU367" s="53" t="inlineStr">
        <is>
          <t>Covered</t>
        </is>
      </c>
      <c r="AV367" s="53" t="n"/>
      <c r="AW367" s="53" t="n"/>
      <c r="AX367" s="53" t="n"/>
      <c r="AY367" s="53" t="n"/>
      <c r="AZ367" s="53" t="n"/>
      <c r="BA367" s="53" t="n"/>
      <c r="BB367" s="53" t="n"/>
      <c r="BC367" s="53" t="n"/>
      <c r="BD367" s="53" t="n"/>
      <c r="BE367" s="53" t="n"/>
      <c r="BF367" s="53" t="n"/>
      <c r="BG367" s="53" t="n"/>
      <c r="BH367" s="53" t="n"/>
      <c r="BI367" s="53" t="n"/>
      <c r="BJ367" s="53" t="n"/>
      <c r="BK367" s="53" t="n"/>
      <c r="BL367" s="53" t="n"/>
      <c r="BM367" s="53" t="n"/>
      <c r="BN367" s="53" t="n"/>
      <c r="BO367" s="53" t="n"/>
      <c r="BP367" s="53" t="n"/>
      <c r="BQ367" s="53" t="n"/>
      <c r="BR367" s="53" t="n"/>
      <c r="BS367" s="53" t="n"/>
      <c r="BT367" s="53" t="n"/>
      <c r="BU367" s="53" t="n"/>
      <c r="BV367" s="53" t="n"/>
      <c r="BW367" s="53" t="n"/>
      <c r="BX367" s="53" t="n"/>
      <c r="BY367" s="53" t="n"/>
      <c r="BZ367" s="53" t="n"/>
      <c r="CA367" s="53" t="n"/>
      <c r="CB367" s="53" t="n"/>
      <c r="CC367" s="53" t="n"/>
      <c r="CD367" s="53" t="n"/>
      <c r="CE367" s="53" t="n"/>
      <c r="CF367" s="53" t="n"/>
      <c r="CG367" s="53" t="n"/>
      <c r="CH367" s="53" t="n"/>
      <c r="CI367" s="53" t="n"/>
      <c r="CJ367" s="53" t="n"/>
      <c r="CK367" s="53" t="n"/>
      <c r="CL367" s="53" t="n"/>
      <c r="CM367" s="53" t="n"/>
      <c r="CN367" s="53" t="n"/>
      <c r="CO367" s="53" t="n"/>
      <c r="CP367" s="53" t="n"/>
      <c r="CQ367" s="53" t="n"/>
      <c r="CR367" s="53" t="n"/>
      <c r="CS367" s="53" t="n"/>
      <c r="CT367" s="53" t="n"/>
      <c r="CU367" s="53" t="n"/>
      <c r="CV367" s="53" t="n"/>
      <c r="CW367" s="53" t="n"/>
      <c r="CX367" s="53" t="n"/>
      <c r="CY367" s="53" t="n"/>
      <c r="CZ367" s="53" t="n"/>
      <c r="DA367" s="53" t="n"/>
      <c r="DB367" s="53" t="n"/>
      <c r="DC367" s="53" t="n"/>
      <c r="DD367" s="53" t="inlineStr">
        <is>
          <t>IRIS2469</t>
        </is>
      </c>
      <c r="DE367" s="53" t="inlineStr">
        <is>
          <t>Employee</t>
        </is>
      </c>
      <c r="DF367" s="53" t="inlineStr">
        <is>
          <t>Active</t>
        </is>
      </c>
      <c r="DG367" s="53" t="inlineStr">
        <is>
          <t>Amiz Azad</t>
        </is>
      </c>
      <c r="DH367" s="54" t="n">
        <v>46055</v>
      </c>
      <c r="DI367" s="53" t="inlineStr">
        <is>
          <t>Senior Software Engineer</t>
        </is>
      </c>
      <c r="DJ367" s="53" t="inlineStr">
        <is>
          <t>Engineering &amp; Development</t>
        </is>
      </c>
      <c r="DK367" s="53" t="inlineStr">
        <is>
          <t>Backend Engineering · Java</t>
        </is>
      </c>
      <c r="DL367" s="53" t="inlineStr">
        <is>
          <t>Senior Software Engineer</t>
        </is>
      </c>
      <c r="DM367" s="53" t="inlineStr">
        <is>
          <t>L4 – Senior</t>
        </is>
      </c>
      <c r="DN367" s="53" t="inlineStr">
        <is>
          <t>B.E</t>
        </is>
      </c>
      <c r="DO367" s="53" t="inlineStr">
        <is>
          <t>Nikhil Nalawade</t>
        </is>
      </c>
      <c r="DP367" s="53" t="inlineStr">
        <is>
          <t>N-3</t>
        </is>
      </c>
      <c r="DQ367" s="53" t="inlineStr">
        <is>
          <t>Individual Contributor</t>
        </is>
      </c>
      <c r="DR367" s="53" t="inlineStr">
        <is>
          <t>6 years, 0 months, 0 days</t>
        </is>
      </c>
      <c r="DS367" s="53" t="inlineStr">
        <is>
          <t>0 years, 4 months, 18 days</t>
        </is>
      </c>
      <c r="DT367" s="53" t="inlineStr">
        <is>
          <t>6 years, 4 months, 18 days</t>
        </is>
      </c>
      <c r="DU367" s="53" t="n"/>
      <c r="DV367" s="53" t="inlineStr">
        <is>
          <t>Suptech</t>
        </is>
      </c>
      <c r="DW367" s="53" t="inlineStr">
        <is>
          <t>iFile</t>
        </is>
      </c>
      <c r="DX367" s="53" t="inlineStr">
        <is>
          <t>Technology</t>
        </is>
      </c>
      <c r="DY367" s="53" t="inlineStr">
        <is>
          <t>Development</t>
        </is>
      </c>
      <c r="DZ367" s="53" t="inlineStr">
        <is>
          <t>Yes</t>
        </is>
      </c>
      <c r="EA367" s="53" t="inlineStr">
        <is>
          <t>Product/Project</t>
        </is>
      </c>
      <c r="EB367" s="53" t="inlineStr">
        <is>
          <t>Java</t>
        </is>
      </c>
      <c r="EC367" s="53" t="inlineStr">
        <is>
          <t>Technical - Developer</t>
        </is>
      </c>
      <c r="ED367" s="53" t="inlineStr">
        <is>
          <t>Work From Office - Turbhe</t>
        </is>
      </c>
      <c r="EE367" s="53" t="inlineStr">
        <is>
          <t>1. Lead the architecture, design, development, deployment, and production support of key modules and solutions, ensuring scalability, security, maintainability, and adherence to engineering standards.
2. Drive the successful delivery of customer requirements and strategic initiatives by ensuring quality, timely execution, effective risk management, and minimal production defects.
4. Establish and promote best practices in architecture, code quality, secure coding, CI/CD, DevOps, cloud adoption, and performance optimization across the team.
5. Lead project execution, production releases, and post-go-live stabilization while collaborating effectively with cross-functional teams, customers, and stakeholders to ensure successful outcomes.
6. Champion the adoption of AI technologies to improve engineering productivity, accelerate software delivery, automate processes, and introduce innovative solutions that create measurable business value.
7. Complete at least two advanced certifications or training programs in architecture, cloud, DevOps, AI, cybersecurity, or other relevant technologies, and promote continuous learning within the team.
8. Complete at least one advanced AI certification or training program and lead the implementation of AI-driven initiatives that improve development efficiency, testing, documentation, or engineering processes.
9. Lead at least two engineering improvement initiatives, reusable frameworks, automation solutions, or process optimizations that enhance team productivity, quality, scalability, or operational efficiency.
10. Mentor and coach junior engineers and technical leads, conduct regular knowledge-sharing sessions, drive technical reviews, and actively contribute to succession planning and capability development within the team.</t>
        </is>
      </c>
      <c r="EF367"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367"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H367" s="53" t="n">
        <v>4</v>
      </c>
      <c r="EI367" s="53" t="inlineStr">
        <is>
          <t>Pending</t>
        </is>
      </c>
      <c r="EJ367" s="53" t="inlineStr">
        <is>
          <t>Senior Software Engineer</t>
        </is>
      </c>
      <c r="EK367" s="53" t="inlineStr">
        <is>
          <t>No</t>
        </is>
      </c>
      <c r="EL367" s="53" t="n">
        <v>4</v>
      </c>
      <c r="EM367" s="53" t="inlineStr">
        <is>
          <t>High</t>
        </is>
      </c>
      <c r="EN367" s="53" t="inlineStr">
        <is>
          <t>Future Leader</t>
        </is>
      </c>
      <c r="EO367" s="53" t="inlineStr">
        <is>
          <t>No</t>
        </is>
      </c>
      <c r="EP367" s="53" t="inlineStr">
        <is>
          <t>Yes</t>
        </is>
      </c>
      <c r="EQ367" s="53" t="inlineStr">
        <is>
          <t>Yes</t>
        </is>
      </c>
      <c r="ER367" s="53" t="n"/>
      <c r="ES367" s="53" t="inlineStr">
        <is>
          <t>1. Enterprise Architecture, Advanced Angular Architecture, Microservices, API &amp; Integration Design
2. Advanced CI/CD, Kubernetes, Docker, AWS/Azure Architecture, Infrastructure as Code · IaC, Observability &amp; Monitoring
3. Secure Software Architecture, OWASP ASVS, Performance Engineering, Test Automation Strategy, Code Quality Governance
4. Solution Leadership, Technical Decision Making, Project Estimation, Risk Management, Engineering Governance 
5. AI Solution Design, AI-assisted SDLC, GitHub Copilot Enterprise, Prompt Engineering, AI Governance &amp; Responsible AI
6. Mentoring &amp; Coaching, Team Management, Performance Management, Conflict Resolution, Delegation
7. Stakeholder Management, Executive Communication, Client Engagement, Negotiation, Presentation &amp; Influencing Skills</t>
        </is>
      </c>
      <c r="ET367" s="53" t="n"/>
      <c r="EU367" s="53" t="inlineStr">
        <is>
          <t>He has strong potential for future growth and can take on higher responsibilities. To support this progression, he should strengthen communication with senior stakeholders, align proactively on development plans and technical decisions, and handle differing viewpoints through constructive discussions. Building confidence in managing critical conversations and resolving disagreements professionally will further enhance his effectiveness and leadership potential.</t>
        </is>
      </c>
      <c r="EV367" s="53" t="n"/>
      <c r="EW367" s="52" t="n"/>
      <c r="EX367" s="53" t="n"/>
      <c r="EY367" s="53" t="n"/>
      <c r="EZ367" s="53" t="n"/>
      <c r="FA367" s="53" t="n"/>
      <c r="FB367" s="53" t="n"/>
      <c r="FC367" s="53" t="n"/>
      <c r="FD367" s="53" t="n"/>
      <c r="FE367"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367"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FG367" s="56" t="inlineStr">
        <is>
          <t>1. Lead the architecture, design, development, deployment, and production support of key modules and solutions, ensuring scalability, security, maintainability, and adherence to engineering standards.
2. Drive the successful delivery of customer requirements and strategic initiatives by ensuring quality, timely execution, effective risk management, and minimal production defects.
4. Establish and promote best practices in architecture, code quality, secure coding, CI/CD, DevOps, cloud adoption, and performance optimization across the team.
5. Lead project execution, production releases, and post-go-live stabilization while collaborating effectively with cross-functional teams, customers, and stakeholders to ensure successful outcomes.
6. Champion the adoption of AI technologies to improve engineering productivity, accelerate software delivery, automate processes, and introduce innovative solutions that create measurable business value.
7. Complete at least two advanced certifications or training programs in architecture, cloud, DevOps, AI, cybersecurity, or other relevant technologies, and promote continuous learning within the team.
8. Complete at least one advanced AI certification or training program and lead the implementation of AI-driven initiatives that improve development efficiency, testing, documentation, or engineering processes.
9. Lead at least two engineering improvement initiatives, reusable frameworks, automation solutions, or process optimizations that enhance team productivity, quality, scalability, or operational efficiency.
10. Mentor and coach junior engineers and technical leads, conduct regular knowledge-sharing sessions, drive technical reviews, and actively contribute to succession planning and capability development within the team.</t>
        </is>
      </c>
      <c r="FH367" s="56" t="inlineStr">
        <is>
          <t>4</t>
        </is>
      </c>
      <c r="FI367" s="56" t="n"/>
      <c r="FJ367" s="56" t="inlineStr">
        <is>
          <t>Received · manager annual, quarterly, self</t>
        </is>
      </c>
      <c r="FK367" s="56" t="inlineStr">
        <is>
          <t>Talent Mapping · iFile collated</t>
        </is>
      </c>
      <c r="FL367" s="56" t="n">
        <v>20</v>
      </c>
      <c r="FM367" s="32" t="inlineStr">
        <is>
          <t>Full survey answers not in the files received · How We Grow export needed · HR</t>
        </is>
      </c>
      <c r="FN367" s="56" t="inlineStr">
        <is>
          <t>—</t>
        </is>
      </c>
      <c r="FO367" s="56" t="inlineStr">
        <is>
          <t>—</t>
        </is>
      </c>
      <c r="FP367" s="56" t="inlineStr">
        <is>
          <t>—</t>
        </is>
      </c>
      <c r="FQ367" s="56" t="inlineStr">
        <is>
          <t>—</t>
        </is>
      </c>
      <c r="FR367" s="56" t="inlineStr">
        <is>
          <t>Complexity: Evidence reads like B1: Designs and builds iFile 2.0 features and technical solutions within the agreed architecture; reviews code → moved up 0.5
Autonomy: Evidence reads like A3: Makes implementation, design and debugging calls alone; wider architectural impact goes to stakeholders → matches the start
Accountability: Evidence reads like A3: Production-ready features and their impact on existing functionality; resolves production issues → matches the start
Leadership: Evidence reads like A3: Code review is a named responsibility; no mentoring or team lead described → moved up 0.5
Business Impact: Moved +0.5: the survey / manager mapping marks it business-critical.</t>
        </is>
      </c>
      <c r="FS367"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367" s="56" t="inlineStr">
        <is>
          <t>Self-identified: Product &amp; tool knowledge
For the next role: Product &amp; tool knowledge</t>
        </is>
      </c>
      <c r="FU367" s="32" t="inlineStr">
        <is>
          <t>Full survey answers not in the files received · How We Grow export needed · HR</t>
        </is>
      </c>
    </row>
    <row r="368" ht="90" customHeight="1">
      <c r="A368" s="51" t="inlineStr">
        <is>
          <t>◂ Back</t>
        </is>
      </c>
      <c r="B368" s="29" t="inlineStr">
        <is>
          <t>Mapped</t>
        </is>
      </c>
      <c r="C368" s="28" t="inlineStr">
        <is>
          <t>iFile</t>
        </is>
      </c>
      <c r="D368" s="29" t="inlineStr">
        <is>
          <t>IRIS1787</t>
        </is>
      </c>
      <c r="E368" s="29" t="inlineStr">
        <is>
          <t>Ateef Ansari</t>
        </is>
      </c>
      <c r="F368" s="29" t="inlineStr">
        <is>
          <t>Technology</t>
        </is>
      </c>
      <c r="G368" s="29" t="inlineStr">
        <is>
          <t>Senior Software Engineer</t>
        </is>
      </c>
      <c r="H368" s="29" t="inlineStr">
        <is>
          <t>Technical Specialist</t>
        </is>
      </c>
      <c r="I368" s="29" t="inlineStr">
        <is>
          <t>L4 – Senior</t>
        </is>
      </c>
      <c r="J368" s="29" t="inlineStr">
        <is>
          <t>A3</t>
        </is>
      </c>
      <c r="K368" s="29" t="inlineStr">
        <is>
          <t>▲ Up</t>
        </is>
      </c>
      <c r="L368" s="29" t="inlineStr">
        <is>
          <t>Engineering &amp; Development</t>
        </is>
      </c>
      <c r="M368" s="29" t="inlineStr">
        <is>
          <t>Full-Stack Development</t>
        </is>
      </c>
      <c r="N368" s="29" t="n"/>
      <c r="O368" s="29" t="n">
        <v>20</v>
      </c>
      <c r="P368" s="28" t="inlineStr">
        <is>
          <t>P2</t>
        </is>
      </c>
      <c r="Q368" s="29" t="inlineStr">
        <is>
          <t>Developing</t>
        </is>
      </c>
      <c r="R368" s="29" t="inlineStr">
        <is>
          <t>3 Apply</t>
        </is>
      </c>
      <c r="S368" s="29" t="inlineStr">
        <is>
          <t>2–4 yrs</t>
        </is>
      </c>
      <c r="T368" s="29" t="inlineStr">
        <is>
          <t>3–5 · 2–5</t>
        </is>
      </c>
      <c r="U368" s="29" t="inlineStr">
        <is>
          <t>Senior Software Engineer</t>
        </is>
      </c>
      <c r="V368" s="29" t="inlineStr">
        <is>
          <t>Workiva: SE · Broadridge India: SE · Nasdaq / AxiomSL: SE · Salesforce: MTS · Atlassian: P40 · 3–7 yrs · Freshworks: Senior SE</t>
        </is>
      </c>
      <c r="W368" s="29" t="inlineStr">
        <is>
          <t>SFIA 9 · software development, programming; OWASP secure coding; cloud vendor certifications</t>
        </is>
      </c>
      <c r="X368" s="29" t="inlineStr">
        <is>
          <t>Core 2 · Future 2 · Functional 3 · Leadership not scored</t>
        </is>
      </c>
      <c r="Y368" s="52" t="n">
        <v>156</v>
      </c>
      <c r="Z368" s="53" t="inlineStr">
        <is>
          <t>IRIS1787</t>
        </is>
      </c>
      <c r="AA368" s="53" t="inlineStr">
        <is>
          <t>Employee</t>
        </is>
      </c>
      <c r="AB368" s="53" t="inlineStr">
        <is>
          <t>Active</t>
        </is>
      </c>
      <c r="AC368" s="53" t="inlineStr">
        <is>
          <t>Ateef Ansari</t>
        </is>
      </c>
      <c r="AD368" s="54" t="n">
        <v>43619</v>
      </c>
      <c r="AE368" s="53" t="inlineStr">
        <is>
          <t>Senior Software Engineer</t>
        </is>
      </c>
      <c r="AF368" s="53" t="inlineStr">
        <is>
          <t>B.E</t>
        </is>
      </c>
      <c r="AG368" s="53" t="inlineStr">
        <is>
          <t>Nikhil Nalawade</t>
        </is>
      </c>
      <c r="AH368" s="53" t="inlineStr">
        <is>
          <t>N-4</t>
        </is>
      </c>
      <c r="AI368" s="53" t="inlineStr">
        <is>
          <t>Individual Contributor</t>
        </is>
      </c>
      <c r="AJ368" s="53" t="inlineStr">
        <is>
          <t>0 years, 0 months, 0 days</t>
        </is>
      </c>
      <c r="AK368" s="53" t="inlineStr">
        <is>
          <t>7 years, 2 months, 22 days</t>
        </is>
      </c>
      <c r="AL368" s="53" t="inlineStr">
        <is>
          <t>Suptech</t>
        </is>
      </c>
      <c r="AM368" s="53" t="inlineStr">
        <is>
          <t>iFile</t>
        </is>
      </c>
      <c r="AN368" s="53" t="inlineStr">
        <is>
          <t>Technology</t>
        </is>
      </c>
      <c r="AO368" s="53" t="inlineStr">
        <is>
          <t>Development</t>
        </is>
      </c>
      <c r="AP368" s="53" t="inlineStr">
        <is>
          <t>Yes</t>
        </is>
      </c>
      <c r="AQ368" s="53" t="inlineStr">
        <is>
          <t>Product/Project</t>
        </is>
      </c>
      <c r="AR368" s="53" t="inlineStr">
        <is>
          <t>Java</t>
        </is>
      </c>
      <c r="AS368" s="53" t="inlineStr">
        <is>
          <t>Technical - Developer</t>
        </is>
      </c>
      <c r="AT368" s="53" t="n">
        <v>20</v>
      </c>
      <c r="AU368" s="53" t="inlineStr">
        <is>
          <t>Covered</t>
        </is>
      </c>
      <c r="AV368" s="53" t="n"/>
      <c r="AW368" s="53" t="n"/>
      <c r="AX368" s="53" t="n"/>
      <c r="AY368" s="53" t="n"/>
      <c r="AZ368" s="53" t="n"/>
      <c r="BA368" s="53" t="n"/>
      <c r="BB368" s="53" t="n"/>
      <c r="BC368" s="53" t="n"/>
      <c r="BD368" s="53" t="n"/>
      <c r="BE368" s="53" t="n"/>
      <c r="BF368" s="53" t="n"/>
      <c r="BG368" s="53" t="n"/>
      <c r="BH368" s="53" t="n"/>
      <c r="BI368" s="53" t="n"/>
      <c r="BJ368" s="53" t="n"/>
      <c r="BK368" s="53" t="n"/>
      <c r="BL368" s="53" t="n"/>
      <c r="BM368" s="53" t="n"/>
      <c r="BN368" s="53" t="n"/>
      <c r="BO368" s="53" t="n"/>
      <c r="BP368" s="53" t="n"/>
      <c r="BQ368" s="53" t="n"/>
      <c r="BR368" s="53" t="n"/>
      <c r="BS368" s="53" t="n"/>
      <c r="BT368" s="53" t="n"/>
      <c r="BU368" s="53" t="n"/>
      <c r="BV368" s="53" t="n"/>
      <c r="BW368" s="53" t="n"/>
      <c r="BX368" s="53" t="n"/>
      <c r="BY368" s="53" t="n"/>
      <c r="BZ368" s="53" t="n"/>
      <c r="CA368" s="53" t="n"/>
      <c r="CB368" s="53" t="n"/>
      <c r="CC368" s="53" t="n"/>
      <c r="CD368" s="53" t="n"/>
      <c r="CE368" s="53" t="n"/>
      <c r="CF368" s="53" t="n"/>
      <c r="CG368" s="53" t="n"/>
      <c r="CH368" s="53" t="n"/>
      <c r="CI368" s="53" t="n"/>
      <c r="CJ368" s="53" t="n"/>
      <c r="CK368" s="53" t="n"/>
      <c r="CL368" s="53" t="n"/>
      <c r="CM368" s="53" t="n"/>
      <c r="CN368" s="53" t="n"/>
      <c r="CO368" s="53" t="n"/>
      <c r="CP368" s="53" t="n"/>
      <c r="CQ368" s="53" t="n"/>
      <c r="CR368" s="53" t="n"/>
      <c r="CS368" s="53" t="n"/>
      <c r="CT368" s="53" t="n"/>
      <c r="CU368" s="53" t="n"/>
      <c r="CV368" s="53" t="n"/>
      <c r="CW368" s="53" t="n"/>
      <c r="CX368" s="53" t="n"/>
      <c r="CY368" s="53" t="n"/>
      <c r="CZ368" s="53" t="n"/>
      <c r="DA368" s="53" t="n"/>
      <c r="DB368" s="53" t="n"/>
      <c r="DC368" s="53" t="n"/>
      <c r="DD368" s="53" t="inlineStr">
        <is>
          <t>IRIS1787</t>
        </is>
      </c>
      <c r="DE368" s="53" t="inlineStr">
        <is>
          <t>Employee</t>
        </is>
      </c>
      <c r="DF368" s="53" t="inlineStr">
        <is>
          <t>Active</t>
        </is>
      </c>
      <c r="DG368" s="53" t="inlineStr">
        <is>
          <t>Ateef Ansari</t>
        </is>
      </c>
      <c r="DH368" s="54" t="n">
        <v>43619</v>
      </c>
      <c r="DI368" s="53" t="inlineStr">
        <is>
          <t>Senior Software Engineer</t>
        </is>
      </c>
      <c r="DJ368" s="53" t="inlineStr">
        <is>
          <t>Engineering &amp; Development</t>
        </is>
      </c>
      <c r="DK368" s="53" t="inlineStr">
        <is>
          <t>Backend Engineering · Java</t>
        </is>
      </c>
      <c r="DL368" s="53" t="inlineStr">
        <is>
          <t>Senior Software Engineer</t>
        </is>
      </c>
      <c r="DM368" s="53" t="inlineStr">
        <is>
          <t>L4 – Senior</t>
        </is>
      </c>
      <c r="DN368" s="53" t="inlineStr">
        <is>
          <t>B.E</t>
        </is>
      </c>
      <c r="DO368" s="53" t="inlineStr">
        <is>
          <t>Nikhil Nalawade</t>
        </is>
      </c>
      <c r="DP368" s="53" t="inlineStr">
        <is>
          <t>N-3</t>
        </is>
      </c>
      <c r="DQ368" s="53" t="inlineStr">
        <is>
          <t>Individual Contributor</t>
        </is>
      </c>
      <c r="DR368" s="53" t="inlineStr">
        <is>
          <t>0 years, 0 months, 0 days</t>
        </is>
      </c>
      <c r="DS368" s="53" t="inlineStr">
        <is>
          <t>7 years, 0 months, 17 days</t>
        </is>
      </c>
      <c r="DT368" s="53" t="inlineStr">
        <is>
          <t>7 years, 0 months, 17 days</t>
        </is>
      </c>
      <c r="DU368" s="53" t="n"/>
      <c r="DV368" s="53" t="inlineStr">
        <is>
          <t>Suptech</t>
        </is>
      </c>
      <c r="DW368" s="53" t="inlineStr">
        <is>
          <t>iFile</t>
        </is>
      </c>
      <c r="DX368" s="53" t="inlineStr">
        <is>
          <t>Technology</t>
        </is>
      </c>
      <c r="DY368" s="53" t="inlineStr">
        <is>
          <t>Development</t>
        </is>
      </c>
      <c r="DZ368" s="53" t="inlineStr">
        <is>
          <t>Yes</t>
        </is>
      </c>
      <c r="EA368" s="53" t="inlineStr">
        <is>
          <t>Product/Project</t>
        </is>
      </c>
      <c r="EB368" s="53" t="inlineStr">
        <is>
          <t>Java</t>
        </is>
      </c>
      <c r="EC368" s="53" t="inlineStr">
        <is>
          <t>Technical - Developer</t>
        </is>
      </c>
      <c r="ED368" s="53" t="inlineStr">
        <is>
          <t>Hybrid</t>
        </is>
      </c>
      <c r="EE368" s="53" t="inlineStr">
        <is>
          <t>1. Lead the architecture, design, development, deployment, and production support of key modules and solutions, ensuring scalability, security, maintainability, and adherence to engineering standards.
2. Drive the successful delivery of customer requirements and strategic initiatives by ensuring quality, timely execution, effective risk management, and minimal production defects.
4. Establish and promote best practices in architecture, code quality, secure coding, CI/CD, DevOps, cloud adoption, and performance optimization across the team.
5. Lead project execution, production releases, and post-go-live stabilization while collaborating effectively with cross-functional teams, customers, and stakeholders to ensure successful outcomes.
6. Champion the adoption of AI technologies to improve engineering productivity, accelerate software delivery, automate processes, and introduce innovative solutions that create measurable business value.
7. Complete at least two advanced certifications or training programs in architecture, cloud, DevOps, AI, cybersecurity, or other relevant technologies, and promote continuous learning within the team.
8. Complete at least one advanced AI certification or training program and lead the implementation of AI-driven initiatives that improve development efficiency, testing, documentation, or engineering processes.
9. Lead at least two engineering improvement initiatives, reusable frameworks, automation solutions, or process optimizations that enhance team productivity, quality, scalability, or operational efficiency.
10. Mentor and coach junior engineers and technical leads, conduct regular knowledge-sharing sessions, drive technical reviews, and actively contribute to succession planning and capability development within the team.</t>
        </is>
      </c>
      <c r="EF368"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368"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H368" s="53" t="n">
        <v>4</v>
      </c>
      <c r="EI368" s="53" t="inlineStr">
        <is>
          <t>Pending</t>
        </is>
      </c>
      <c r="EJ368" s="53" t="inlineStr">
        <is>
          <t>Senior Software Engineer</t>
        </is>
      </c>
      <c r="EK368" s="53" t="n"/>
      <c r="EL368" s="53" t="n">
        <v>4</v>
      </c>
      <c r="EM368" s="53" t="inlineStr">
        <is>
          <t>High</t>
        </is>
      </c>
      <c r="EN368" s="53" t="inlineStr">
        <is>
          <t>Trusted Professional</t>
        </is>
      </c>
      <c r="EO368" s="53" t="inlineStr">
        <is>
          <t>No</t>
        </is>
      </c>
      <c r="EP368" s="53" t="inlineStr">
        <is>
          <t>Yes</t>
        </is>
      </c>
      <c r="EQ368" s="53" t="inlineStr">
        <is>
          <t>Yes</t>
        </is>
      </c>
      <c r="ER368" s="53" t="inlineStr">
        <is>
          <t>Shubham Shrikhande</t>
        </is>
      </c>
      <c r="ES368" s="53" t="inlineStr">
        <is>
          <t>1. Enterprise Architecture, Advanced Angular Architecture, Microservices, API &amp; Integration Design
2. Advanced CI/CD, Kubernetes, Docker, AWS/Azure Architecture, Infrastructure as Code · IaC, Observability &amp; Monitoring
3. Secure Software Architecture, OWASP ASVS, Performance Engineering, Test Automation Strategy, Code Quality Governance
4. Solution Leadership, Technical Decision Making, Project Estimation, Risk Management, Engineering Governance 
5. AI Solution Design, AI-assisted SDLC, GitHub Copilot Enterprise, Prompt Engineering, AI Governance &amp; Responsible AI
6. Mentoring &amp; Coaching, Team Management, Performance Management, Conflict Resolution, Delegation
7. Stakeholder Management, Executive Communication, Client Engagement, Negotiation, Presentation &amp; Influencing Skills</t>
        </is>
      </c>
      <c r="ET368" s="53" t="n"/>
      <c r="EU368" s="53" t="inlineStr">
        <is>
          <t>Need to discuss his career roadmap and align on future growth opportunities. He should focus on improving discipline, consistency, and ownership to prepare for higher responsibilities and leadership roles.</t>
        </is>
      </c>
      <c r="EV368" s="53" t="n"/>
      <c r="EW368" s="52" t="n"/>
      <c r="EX368" s="53" t="n"/>
      <c r="EY368" s="53" t="n"/>
      <c r="EZ368" s="53" t="n"/>
      <c r="FA368" s="53" t="n"/>
      <c r="FB368" s="53" t="n"/>
      <c r="FC368" s="53" t="n"/>
      <c r="FD368" s="53" t="n"/>
      <c r="FE368"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368"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FG368" s="56" t="inlineStr">
        <is>
          <t>1. Lead the architecture, design, development, deployment, and production support of key modules and solutions, ensuring scalability, security, maintainability, and adherence to engineering standards.
2. Drive the successful delivery of customer requirements and strategic initiatives by ensuring quality, timely execution, effective risk management, and minimal production defects.
4. Establish and promote best practices in architecture, code quality, secure coding, CI/CD, DevOps, cloud adoption, and performance optimization across the team.
5. Lead project execution, production releases, and post-go-live stabilization while collaborating effectively with cross-functional teams, customers, and stakeholders to ensure successful outcomes.
6. Champion the adoption of AI technologies to improve engineering productivity, accelerate software delivery, automate processes, and introduce innovative solutions that create measurable business value.
7. Complete at least two advanced certifications or training programs in architecture, cloud, DevOps, AI, cybersecurity, or other relevant technologies, and promote continuous learning within the team.
8. Complete at least one advanced AI certification or training program and lead the implementation of AI-driven initiatives that improve development efficiency, testing, documentation, or engineering processes.
9. Lead at least two engineering improvement initiatives, reusable frameworks, automation solutions, or process optimizations that enhance team productivity, quality, scalability, or operational efficiency.
10. Mentor and coach junior engineers and technical leads, conduct regular knowledge-sharing sessions, drive technical reviews, and actively contribute to succession planning and capability development within the team.</t>
        </is>
      </c>
      <c r="FH368" s="56" t="inlineStr">
        <is>
          <t>4</t>
        </is>
      </c>
      <c r="FI368" s="56" t="n"/>
      <c r="FJ368" s="56" t="inlineStr">
        <is>
          <t>Received · manager annual, quarterly, self</t>
        </is>
      </c>
      <c r="FK368" s="56" t="inlineStr">
        <is>
          <t>Talent Mapping · iFile collated</t>
        </is>
      </c>
      <c r="FL368" s="56" t="n">
        <v>20</v>
      </c>
      <c r="FM368" s="32" t="inlineStr">
        <is>
          <t>Full survey answers not in the files received · How We Grow export needed · HR</t>
        </is>
      </c>
      <c r="FN368" s="56" t="inlineStr">
        <is>
          <t>—</t>
        </is>
      </c>
      <c r="FO368" s="56" t="inlineStr">
        <is>
          <t>—</t>
        </is>
      </c>
      <c r="FP368" s="56" t="inlineStr">
        <is>
          <t>—</t>
        </is>
      </c>
      <c r="FQ368" s="56" t="inlineStr">
        <is>
          <t>—</t>
        </is>
      </c>
      <c r="FR368" s="56" t="inlineStr">
        <is>
          <t>Complexity: Evidence reads like B1: System design and deployment architecture for Java microservices; explains cross-product integration to regulators → moved up 0.5
Autonomy: Evidence reads like A3: Decides the design approach for own features → matches the start
Accountability: Evidence reads like A3: Delivery of milestone features, coordinating client-side and product teams on timing → matches the start
Leadership: Evidence reads like A3: Mentoring members is a listed responsibility; no team size given → moved up 0.5
Business Impact: Moved +0.5: the survey / manager mapping marks it business-critical.</t>
        </is>
      </c>
      <c r="FS368" s="56"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FT368" s="56" t="inlineStr">
        <is>
          <t>Self-identified: Technical depth &amp; architecture · Client, sales &amp; stakeholders · Strategy &amp; business acumen · Certification / formal course · Broader exposure &amp; ownership
For the next role: Technical depth &amp; architecture · Client, sales &amp; stakeholders · Strategy &amp; business acumen · Certification / formal course · Broader exposure &amp; ownership</t>
        </is>
      </c>
      <c r="FU368" s="32" t="inlineStr">
        <is>
          <t>Full survey answers not in the files received · How We Grow export needed · HR</t>
        </is>
      </c>
    </row>
    <row r="369" ht="90" customHeight="1">
      <c r="A369" s="51" t="inlineStr">
        <is>
          <t>◂ Back</t>
        </is>
      </c>
      <c r="B369" s="29" t="inlineStr">
        <is>
          <t>Mapped</t>
        </is>
      </c>
      <c r="C369" s="28" t="inlineStr">
        <is>
          <t>iFile</t>
        </is>
      </c>
      <c r="D369" s="29" t="inlineStr">
        <is>
          <t>IRIS2436</t>
        </is>
      </c>
      <c r="E369" s="29" t="inlineStr">
        <is>
          <t>Balram Mahato</t>
        </is>
      </c>
      <c r="F369" s="29" t="inlineStr">
        <is>
          <t>Technology</t>
        </is>
      </c>
      <c r="G369" s="29" t="inlineStr">
        <is>
          <t>Software Engineer</t>
        </is>
      </c>
      <c r="H369" s="29" t="inlineStr">
        <is>
          <t>Senior Software Engineer</t>
        </is>
      </c>
      <c r="I369" s="29" t="inlineStr">
        <is>
          <t>L3 – Professional / Associate</t>
        </is>
      </c>
      <c r="J369" s="29" t="inlineStr">
        <is>
          <t>A3</t>
        </is>
      </c>
      <c r="K369" s="29" t="inlineStr">
        <is>
          <t>▲ Up</t>
        </is>
      </c>
      <c r="L369" s="29" t="inlineStr">
        <is>
          <t>Engineering &amp; Development</t>
        </is>
      </c>
      <c r="M369" s="29" t="inlineStr">
        <is>
          <t>Backend Development</t>
        </is>
      </c>
      <c r="N369" s="29" t="n"/>
      <c r="O369" s="29" t="n">
        <v>20</v>
      </c>
      <c r="P369" s="28" t="inlineStr">
        <is>
          <t>P2</t>
        </is>
      </c>
      <c r="Q369" s="29" t="inlineStr">
        <is>
          <t>Developing</t>
        </is>
      </c>
      <c r="R369" s="29" t="inlineStr">
        <is>
          <t>3 Apply</t>
        </is>
      </c>
      <c r="S369" s="29" t="inlineStr">
        <is>
          <t>2–4 yrs</t>
        </is>
      </c>
      <c r="T369" s="29" t="inlineStr">
        <is>
          <t>3–5 · 2–5</t>
        </is>
      </c>
      <c r="U369" s="29" t="inlineStr">
        <is>
          <t>Software Engineer</t>
        </is>
      </c>
      <c r="V369" s="29" t="inlineStr">
        <is>
          <t>Workiva: SE · Broadridge India: SE · Nasdaq / AxiomSL: SE · Salesforce: MTS · Atlassian: P40 · 3–7 yrs · Freshworks: Senior SE</t>
        </is>
      </c>
      <c r="W369" s="29" t="inlineStr">
        <is>
          <t>SFIA 9 · software development, programming; OWASP secure coding; cloud vendor certifications</t>
        </is>
      </c>
      <c r="X369" s="29" t="inlineStr">
        <is>
          <t>Core 2 · Future 2 · Functional 3 · Leadership not scored</t>
        </is>
      </c>
      <c r="Y369" s="52" t="n">
        <v>404</v>
      </c>
      <c r="Z369" s="53" t="inlineStr">
        <is>
          <t>IRIS2436</t>
        </is>
      </c>
      <c r="AA369" s="53" t="inlineStr">
        <is>
          <t>Employee</t>
        </is>
      </c>
      <c r="AB369" s="53" t="inlineStr">
        <is>
          <t>Active</t>
        </is>
      </c>
      <c r="AC369" s="53" t="inlineStr">
        <is>
          <t>Balram Mahato</t>
        </is>
      </c>
      <c r="AD369" s="54" t="n">
        <v>45936</v>
      </c>
      <c r="AE369" s="53" t="inlineStr">
        <is>
          <t>Software Engineer</t>
        </is>
      </c>
      <c r="AF369" s="53" t="inlineStr">
        <is>
          <t>B.E</t>
        </is>
      </c>
      <c r="AG369" s="53" t="inlineStr">
        <is>
          <t>Nikhil Nalawade</t>
        </is>
      </c>
      <c r="AH369" s="53" t="inlineStr">
        <is>
          <t>N-4</t>
        </is>
      </c>
      <c r="AI369" s="53" t="inlineStr">
        <is>
          <t>Individual Contributor</t>
        </is>
      </c>
      <c r="AJ369" s="53" t="inlineStr">
        <is>
          <t>3 years, 4 months, 00 days</t>
        </is>
      </c>
      <c r="AK369" s="53" t="inlineStr">
        <is>
          <t>0 years, 10 months, 19 days</t>
        </is>
      </c>
      <c r="AL369" s="53" t="inlineStr">
        <is>
          <t>Suptech</t>
        </is>
      </c>
      <c r="AM369" s="53" t="inlineStr">
        <is>
          <t>iFile</t>
        </is>
      </c>
      <c r="AN369" s="53" t="inlineStr">
        <is>
          <t>Technology</t>
        </is>
      </c>
      <c r="AO369" s="53" t="inlineStr">
        <is>
          <t>Development</t>
        </is>
      </c>
      <c r="AP369" s="53" t="inlineStr">
        <is>
          <t>Yes</t>
        </is>
      </c>
      <c r="AQ369" s="53" t="inlineStr">
        <is>
          <t>Product/Project</t>
        </is>
      </c>
      <c r="AR369" s="53" t="inlineStr">
        <is>
          <t>Java</t>
        </is>
      </c>
      <c r="AS369" s="53" t="inlineStr">
        <is>
          <t>Technical - Developer</t>
        </is>
      </c>
      <c r="AT369" s="53" t="n">
        <v>20</v>
      </c>
      <c r="AU369" s="53" t="inlineStr">
        <is>
          <t>Covered</t>
        </is>
      </c>
      <c r="AV369" s="53" t="n"/>
      <c r="AW369" s="53" t="n"/>
      <c r="AX369" s="53" t="n"/>
      <c r="AY369" s="53" t="n"/>
      <c r="AZ369" s="53" t="n"/>
      <c r="BA369" s="53" t="n"/>
      <c r="BB369" s="53" t="n"/>
      <c r="BC369" s="53" t="n"/>
      <c r="BD369" s="53" t="n"/>
      <c r="BE369" s="53" t="n"/>
      <c r="BF369" s="53" t="n"/>
      <c r="BG369" s="53" t="n"/>
      <c r="BH369" s="53" t="n"/>
      <c r="BI369" s="53" t="n"/>
      <c r="BJ369" s="53" t="n"/>
      <c r="BK369" s="53" t="n"/>
      <c r="BL369" s="53" t="n"/>
      <c r="BM369" s="53" t="n"/>
      <c r="BN369" s="53" t="n"/>
      <c r="BO369" s="53" t="n"/>
      <c r="BP369" s="53" t="n"/>
      <c r="BQ369" s="53" t="n"/>
      <c r="BR369" s="53" t="n"/>
      <c r="BS369" s="53" t="n"/>
      <c r="BT369" s="53" t="n"/>
      <c r="BU369" s="53" t="n"/>
      <c r="BV369" s="53" t="n"/>
      <c r="BW369" s="53" t="n"/>
      <c r="BX369" s="53" t="n"/>
      <c r="BY369" s="53" t="n"/>
      <c r="BZ369" s="53" t="n"/>
      <c r="CA369" s="53" t="n"/>
      <c r="CB369" s="53" t="n"/>
      <c r="CC369" s="53" t="n"/>
      <c r="CD369" s="53" t="n"/>
      <c r="CE369" s="53" t="n"/>
      <c r="CF369" s="53" t="n"/>
      <c r="CG369" s="53" t="n"/>
      <c r="CH369" s="53" t="n"/>
      <c r="CI369" s="53" t="n"/>
      <c r="CJ369" s="53" t="n"/>
      <c r="CK369" s="53" t="n"/>
      <c r="CL369" s="53" t="n"/>
      <c r="CM369" s="53" t="n"/>
      <c r="CN369" s="53" t="n"/>
      <c r="CO369" s="53" t="n"/>
      <c r="CP369" s="53" t="n"/>
      <c r="CQ369" s="53" t="n"/>
      <c r="CR369" s="53" t="n"/>
      <c r="CS369" s="53" t="n"/>
      <c r="CT369" s="53" t="n"/>
      <c r="CU369" s="53" t="n"/>
      <c r="CV369" s="53" t="n"/>
      <c r="CW369" s="53" t="n"/>
      <c r="CX369" s="53" t="n"/>
      <c r="CY369" s="53" t="n"/>
      <c r="CZ369" s="53" t="n"/>
      <c r="DA369" s="53" t="n"/>
      <c r="DB369" s="53" t="n"/>
      <c r="DC369" s="53" t="n"/>
      <c r="DD369" s="53" t="inlineStr">
        <is>
          <t>IRIS2436</t>
        </is>
      </c>
      <c r="DE369" s="53" t="inlineStr">
        <is>
          <t>Employee</t>
        </is>
      </c>
      <c r="DF369" s="53" t="inlineStr">
        <is>
          <t>Active</t>
        </is>
      </c>
      <c r="DG369" s="53" t="inlineStr">
        <is>
          <t>Balram Mahato</t>
        </is>
      </c>
      <c r="DH369" s="54" t="n">
        <v>45936</v>
      </c>
      <c r="DI369" s="53" t="inlineStr">
        <is>
          <t>Software Engineer</t>
        </is>
      </c>
      <c r="DJ369" s="53" t="inlineStr">
        <is>
          <t>Engineering &amp; Development</t>
        </is>
      </c>
      <c r="DK369" s="53" t="inlineStr">
        <is>
          <t>Backend Engineering · Java</t>
        </is>
      </c>
      <c r="DL369" s="53" t="inlineStr">
        <is>
          <t>Software Engineer</t>
        </is>
      </c>
      <c r="DM369" s="53" t="inlineStr">
        <is>
          <t>L3 – Professional / Associate</t>
        </is>
      </c>
      <c r="DN369" s="53" t="inlineStr">
        <is>
          <t>B.E</t>
        </is>
      </c>
      <c r="DO369" s="53" t="inlineStr">
        <is>
          <t>Nikhil Nalawade</t>
        </is>
      </c>
      <c r="DP369" s="53" t="inlineStr">
        <is>
          <t>N-3</t>
        </is>
      </c>
      <c r="DQ369" s="53" t="inlineStr">
        <is>
          <t>Individual Contributor</t>
        </is>
      </c>
      <c r="DR369" s="53" t="inlineStr">
        <is>
          <t>3 years, 4 months, 00 days</t>
        </is>
      </c>
      <c r="DS369" s="53" t="inlineStr">
        <is>
          <t>0 years, 8 months, 14 days</t>
        </is>
      </c>
      <c r="DT369" s="53" t="inlineStr">
        <is>
          <t>4 years, 0 months, 14 days</t>
        </is>
      </c>
      <c r="DU369" s="53" t="n"/>
      <c r="DV369" s="53" t="inlineStr">
        <is>
          <t>Suptech</t>
        </is>
      </c>
      <c r="DW369" s="53" t="inlineStr">
        <is>
          <t>iFile</t>
        </is>
      </c>
      <c r="DX369" s="53" t="inlineStr">
        <is>
          <t>Technology</t>
        </is>
      </c>
      <c r="DY369" s="53" t="inlineStr">
        <is>
          <t>Development</t>
        </is>
      </c>
      <c r="DZ369" s="53" t="inlineStr">
        <is>
          <t>Yes</t>
        </is>
      </c>
      <c r="EA369" s="53" t="inlineStr">
        <is>
          <t>Product/Project</t>
        </is>
      </c>
      <c r="EB369" s="53" t="inlineStr">
        <is>
          <t>Java</t>
        </is>
      </c>
      <c r="EC369" s="53" t="inlineStr">
        <is>
          <t>Technical - Developer</t>
        </is>
      </c>
      <c r="ED369" s="53" t="inlineStr">
        <is>
          <t>Work From Office - Turbhe</t>
        </is>
      </c>
      <c r="EE369" s="53" t="inlineStr">
        <is>
          <t>1. Own the design, development, testing, deployment, and production support of assigned modules/features, ensuring timely delivery, high quality, and adherence to engineering standards.
2. Deliver customer-requested enhancements and complex features while ensuring application performance, security, scalability, maintainability, and minimal production defects.
4. Strengthen expertise in Java, Angular, cloud, and DevOps technologies by driving code quality, CI/CD improvements, deployment automation, and engineering best practices.
5. Contribute to successful project deliveries, production go-lives, and post-production stabilization through proactive planning, risk mitigation, and timely issue resolution.
6. Leverage AI tools and technologies to improve development productivity, automate engineering processes, and implement innovative solutions that enhance project outcomes.
7. Complete at least two technical certifications or advanced training programs relevant to Java, Angular, Cloud, DevOps, Architecture, or related technologies.
8. Complete at least one AI-focused certification or training program and apply the acquired knowledge to improve development, testing, or engineering workflows.
9. Drive at least one technical improvement, automation, reusable framework/component, or process optimization that delivers measurable value to the project or team.
10. Mentor or onboard at least one junior team member or intern, conduct knowledge-sharing sessions, and actively support team capability development through code reviews and technical guidance.</t>
        </is>
      </c>
      <c r="EF369"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369"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H369" s="53" t="n">
        <v>4</v>
      </c>
      <c r="EI369" s="53" t="inlineStr">
        <is>
          <t>Pending</t>
        </is>
      </c>
      <c r="EJ369" s="53" t="inlineStr">
        <is>
          <t>Software Engineer</t>
        </is>
      </c>
      <c r="EK369" s="53" t="inlineStr">
        <is>
          <t>No</t>
        </is>
      </c>
      <c r="EL369" s="53" t="n">
        <v>4</v>
      </c>
      <c r="EM369" s="53" t="inlineStr">
        <is>
          <t>High</t>
        </is>
      </c>
      <c r="EN369" s="53" t="inlineStr">
        <is>
          <t>Trusted Professional</t>
        </is>
      </c>
      <c r="EO369" s="53" t="inlineStr">
        <is>
          <t>No</t>
        </is>
      </c>
      <c r="EP369" s="53" t="inlineStr">
        <is>
          <t>No</t>
        </is>
      </c>
      <c r="EQ369" s="53" t="inlineStr">
        <is>
          <t>No</t>
        </is>
      </c>
      <c r="ER369" s="53" t="inlineStr">
        <is>
          <t>Not Yet</t>
        </is>
      </c>
      <c r="ES369" s="53" t="inlineStr">
        <is>
          <t>1. Angular Architecture, Performance Optimization, Advanced TypeScript, State Management · NgRx
2. System Design, Design Patterns, Microservices Fundamentals, API Design
3. Secure Coding, OWASP, Code Quality, Unit &amp; Automation Testing · Playwright
4. Technical Leadership, Code Reviews, Estimation, Mentoring &amp; Knowledge Sharing
5. CI/CD, Docker, Kubernetes, Cloud Fundamentals · AWS/Azure, Deployment Automation
6. Prompt Engineering, GitHub Copilot, AI-assisted Development, Code Review &amp; Test Automation
7. Stakeholder Communication, Presentation Skills, Problem Solving, Collaboration, Time Management, Client Interaction</t>
        </is>
      </c>
      <c r="ET369" s="53" t="n"/>
      <c r="EU369" s="53" t="n"/>
      <c r="EV369" s="53" t="n"/>
      <c r="EW369" s="52" t="n"/>
      <c r="EX369" s="53" t="n"/>
      <c r="EY369" s="53" t="n"/>
      <c r="EZ369" s="53" t="n"/>
      <c r="FA369" s="53" t="n"/>
      <c r="FB369" s="53" t="n"/>
      <c r="FC369" s="53" t="n"/>
      <c r="FD369" s="53" t="n"/>
      <c r="FE369"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369"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FG369" s="56" t="inlineStr">
        <is>
          <t>1. Own the design, development, testing, deployment, and production support of assigned modules/features, ensuring timely delivery, high quality, and adherence to engineering standards.
2. Deliver customer-requested enhancements and complex features while ensuring application performance, security, scalability, maintainability, and minimal production defects.
4. Strengthen expertise in Java, Angular, cloud, and DevOps technologies by driving code quality, CI/CD improvements, deployment automation, and engineering best practices.
5. Contribute to successful project deliveries, production go-lives, and post-production stabilization through proactive planning, risk mitigation, and timely issue resolution.
6. Leverage AI tools and technologies to improve development productivity, automate engineering processes, and implement innovative solutions that enhance project outcomes.
7. Complete at least two technical certifications or advanced training programs relevant to Java, Angular, Cloud, DevOps, Architecture, or related technologies.
8. Complete at least one AI-focused certification or training program and apply the acquired knowledge to improve development, testing, or engineering workflows.
9. Drive at least one technical improvement, automation, reusable framework/component, or process optimization that delivers measurable value to the project or team.
10. Mentor or onboard at least one junior team member or intern, conduct knowledge-sharing sessions, and actively support team capability development through code reviews and technical guidance.</t>
        </is>
      </c>
      <c r="FH369" s="56" t="inlineStr">
        <is>
          <t>4</t>
        </is>
      </c>
      <c r="FI369" s="56" t="n"/>
      <c r="FJ369" s="56" t="inlineStr">
        <is>
          <t>Received · manager annual, quarterly, self</t>
        </is>
      </c>
      <c r="FK369" s="56" t="inlineStr">
        <is>
          <t>Talent Mapping · iFile collated</t>
        </is>
      </c>
      <c r="FL369" s="56" t="n">
        <v>20</v>
      </c>
      <c r="FM369" s="32" t="inlineStr">
        <is>
          <t>Full survey answers not in the files received · How We Grow export needed · HR</t>
        </is>
      </c>
      <c r="FN369" s="56" t="inlineStr">
        <is>
          <t>—</t>
        </is>
      </c>
      <c r="FO369" s="56" t="inlineStr">
        <is>
          <t>—</t>
        </is>
      </c>
      <c r="FP369" s="56" t="inlineStr">
        <is>
          <t>—</t>
        </is>
      </c>
      <c r="FQ369" s="56" t="inlineStr">
        <is>
          <t>—</t>
        </is>
      </c>
      <c r="FR369" s="56" t="inlineStr">
        <is>
          <t>Complexity: Evidence reads like A2: Assesses how requirements fit existing product and builds features; little detail → matches the start
Autonomy: Evidence reads like A2: Decides bug fixes and enhancements → matches the start
Accountability: Evidence reads like A2: Only the features he developed end to end → matches the start
Leadership: Evidence reads like A1: No guidance of others described → matches the start
Business Impact: No survey or manager-mapping signal on criticality: kept at the start point.</t>
        </is>
      </c>
      <c r="FS369"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369" s="56" t="inlineStr">
        <is>
          <t>Self-identified: Technical depth &amp; architecture
For the next role: Technical depth &amp; architecture</t>
        </is>
      </c>
      <c r="FU369" s="32" t="inlineStr">
        <is>
          <t>Full survey answers not in the files received · How We Grow export needed · HR</t>
        </is>
      </c>
    </row>
    <row r="370" ht="90" customHeight="1">
      <c r="A370" s="51" t="inlineStr">
        <is>
          <t>◂ Back</t>
        </is>
      </c>
      <c r="B370" s="29" t="inlineStr">
        <is>
          <t>Mapped</t>
        </is>
      </c>
      <c r="C370" s="28" t="inlineStr">
        <is>
          <t>iFile</t>
        </is>
      </c>
      <c r="D370" s="29" t="inlineStr">
        <is>
          <t>IRIS1906</t>
        </is>
      </c>
      <c r="E370" s="29" t="inlineStr">
        <is>
          <t>Gaurav Ghare</t>
        </is>
      </c>
      <c r="F370" s="29" t="inlineStr">
        <is>
          <t>Technology</t>
        </is>
      </c>
      <c r="G370" s="29" t="inlineStr">
        <is>
          <t>Senior Software Engineer</t>
        </is>
      </c>
      <c r="H370" s="29" t="inlineStr">
        <is>
          <t>Senior Software Engineer</t>
        </is>
      </c>
      <c r="I370" s="29" t="inlineStr">
        <is>
          <t>L4 – Senior</t>
        </is>
      </c>
      <c r="J370" s="29" t="inlineStr">
        <is>
          <t>A3</t>
        </is>
      </c>
      <c r="K370" s="29" t="inlineStr">
        <is>
          <t>• Same level</t>
        </is>
      </c>
      <c r="L370" s="29" t="inlineStr">
        <is>
          <t>Engineering &amp; Development</t>
        </is>
      </c>
      <c r="M370" s="29" t="inlineStr">
        <is>
          <t>Backend Development</t>
        </is>
      </c>
      <c r="N370" s="29" t="n"/>
      <c r="O370" s="29" t="n">
        <v>19</v>
      </c>
      <c r="P370" s="28" t="inlineStr">
        <is>
          <t>P2</t>
        </is>
      </c>
      <c r="Q370" s="29" t="inlineStr">
        <is>
          <t>Developing</t>
        </is>
      </c>
      <c r="R370" s="29" t="inlineStr">
        <is>
          <t>3 Apply</t>
        </is>
      </c>
      <c r="S370" s="29" t="inlineStr">
        <is>
          <t>2–4 yrs</t>
        </is>
      </c>
      <c r="T370" s="29" t="inlineStr">
        <is>
          <t>3–5 · 2–5</t>
        </is>
      </c>
      <c r="U370" s="29" t="inlineStr">
        <is>
          <t>Software Engineer</t>
        </is>
      </c>
      <c r="V370" s="29" t="inlineStr">
        <is>
          <t>Workiva: SE · Broadridge India: SE · Nasdaq / AxiomSL: SE · Salesforce: MTS · Atlassian: P40 · 3–7 yrs · Freshworks: Senior SE</t>
        </is>
      </c>
      <c r="W370" s="29" t="inlineStr">
        <is>
          <t>SFIA 9 · software development, programming; OWASP secure coding; cloud vendor certifications</t>
        </is>
      </c>
      <c r="X370" s="29" t="inlineStr">
        <is>
          <t>Core 2 · Future 2 · Functional 3 · Leadership not scored</t>
        </is>
      </c>
      <c r="Y370" s="52" t="n">
        <v>178</v>
      </c>
      <c r="Z370" s="53" t="inlineStr">
        <is>
          <t>IRIS1906</t>
        </is>
      </c>
      <c r="AA370" s="53" t="inlineStr">
        <is>
          <t>Employee</t>
        </is>
      </c>
      <c r="AB370" s="53" t="inlineStr">
        <is>
          <t>Active</t>
        </is>
      </c>
      <c r="AC370" s="53" t="inlineStr">
        <is>
          <t>Gaurav Ghare</t>
        </is>
      </c>
      <c r="AD370" s="54" t="n">
        <v>44315</v>
      </c>
      <c r="AE370" s="53" t="inlineStr">
        <is>
          <t>Senior Software Engineer</t>
        </is>
      </c>
      <c r="AF370" s="53" t="inlineStr">
        <is>
          <t>B.E</t>
        </is>
      </c>
      <c r="AG370" s="53" t="inlineStr">
        <is>
          <t>Nikhil Nalawade</t>
        </is>
      </c>
      <c r="AH370" s="53" t="inlineStr">
        <is>
          <t>N-4</t>
        </is>
      </c>
      <c r="AI370" s="53" t="inlineStr">
        <is>
          <t>Individual Contributor</t>
        </is>
      </c>
      <c r="AJ370" s="53" t="inlineStr">
        <is>
          <t>4 years, 0 months, 0 days</t>
        </is>
      </c>
      <c r="AK370" s="53" t="inlineStr">
        <is>
          <t>5 years, 3 months, 27 days</t>
        </is>
      </c>
      <c r="AL370" s="53" t="inlineStr">
        <is>
          <t>Suptech</t>
        </is>
      </c>
      <c r="AM370" s="53" t="inlineStr">
        <is>
          <t>iFile</t>
        </is>
      </c>
      <c r="AN370" s="53" t="inlineStr">
        <is>
          <t>Technology</t>
        </is>
      </c>
      <c r="AO370" s="53" t="inlineStr">
        <is>
          <t>Development</t>
        </is>
      </c>
      <c r="AP370" s="53" t="inlineStr">
        <is>
          <t>Yes</t>
        </is>
      </c>
      <c r="AQ370" s="53" t="inlineStr">
        <is>
          <t>Product/Project</t>
        </is>
      </c>
      <c r="AR370" s="53" t="inlineStr">
        <is>
          <t>Java</t>
        </is>
      </c>
      <c r="AS370" s="53" t="inlineStr">
        <is>
          <t>Technical - Developer</t>
        </is>
      </c>
      <c r="AT370" s="53" t="n">
        <v>20</v>
      </c>
      <c r="AU370" s="53" t="inlineStr">
        <is>
          <t>Covered</t>
        </is>
      </c>
      <c r="AV370" s="53" t="n"/>
      <c r="AW370" s="53" t="n"/>
      <c r="AX370" s="53" t="n"/>
      <c r="AY370" s="53" t="n"/>
      <c r="AZ370" s="53" t="n"/>
      <c r="BA370" s="53" t="n"/>
      <c r="BB370" s="53" t="n"/>
      <c r="BC370" s="53" t="n"/>
      <c r="BD370" s="53" t="n"/>
      <c r="BE370" s="53" t="n"/>
      <c r="BF370" s="53" t="n"/>
      <c r="BG370" s="53" t="n"/>
      <c r="BH370" s="53" t="n"/>
      <c r="BI370" s="53" t="n"/>
      <c r="BJ370" s="53" t="n"/>
      <c r="BK370" s="53" t="n"/>
      <c r="BL370" s="53" t="n"/>
      <c r="BM370" s="53" t="n"/>
      <c r="BN370" s="53" t="n"/>
      <c r="BO370" s="53" t="n"/>
      <c r="BP370" s="53" t="n"/>
      <c r="BQ370" s="53" t="n"/>
      <c r="BR370" s="53" t="n"/>
      <c r="BS370" s="53" t="n"/>
      <c r="BT370" s="53" t="n"/>
      <c r="BU370" s="53" t="n"/>
      <c r="BV370" s="53" t="n"/>
      <c r="BW370" s="53" t="n"/>
      <c r="BX370" s="53" t="n"/>
      <c r="BY370" s="53" t="n"/>
      <c r="BZ370" s="53" t="n"/>
      <c r="CA370" s="53" t="n"/>
      <c r="CB370" s="53" t="n"/>
      <c r="CC370" s="53" t="n"/>
      <c r="CD370" s="53" t="n"/>
      <c r="CE370" s="53" t="n"/>
      <c r="CF370" s="53" t="n"/>
      <c r="CG370" s="53" t="n"/>
      <c r="CH370" s="53" t="n"/>
      <c r="CI370" s="53" t="n"/>
      <c r="CJ370" s="53" t="n"/>
      <c r="CK370" s="53" t="n"/>
      <c r="CL370" s="53" t="n"/>
      <c r="CM370" s="53" t="n"/>
      <c r="CN370" s="53" t="n"/>
      <c r="CO370" s="53" t="n"/>
      <c r="CP370" s="53" t="n"/>
      <c r="CQ370" s="53" t="n"/>
      <c r="CR370" s="53" t="n"/>
      <c r="CS370" s="53" t="n"/>
      <c r="CT370" s="53" t="n"/>
      <c r="CU370" s="53" t="n"/>
      <c r="CV370" s="53" t="n"/>
      <c r="CW370" s="53" t="n"/>
      <c r="CX370" s="53" t="n"/>
      <c r="CY370" s="53" t="n"/>
      <c r="CZ370" s="53" t="n"/>
      <c r="DA370" s="53" t="n"/>
      <c r="DB370" s="53" t="n"/>
      <c r="DC370" s="53" t="n"/>
      <c r="DD370" s="53" t="inlineStr">
        <is>
          <t>IRIS1906</t>
        </is>
      </c>
      <c r="DE370" s="53" t="inlineStr">
        <is>
          <t>Employee</t>
        </is>
      </c>
      <c r="DF370" s="53" t="inlineStr">
        <is>
          <t>Active</t>
        </is>
      </c>
      <c r="DG370" s="53" t="inlineStr">
        <is>
          <t>Gaurav Ghare</t>
        </is>
      </c>
      <c r="DH370" s="54" t="n">
        <v>44315</v>
      </c>
      <c r="DI370" s="53" t="inlineStr">
        <is>
          <t>Senior Software Engineer</t>
        </is>
      </c>
      <c r="DJ370" s="53" t="inlineStr">
        <is>
          <t>Engineering &amp; Development</t>
        </is>
      </c>
      <c r="DK370" s="53" t="inlineStr">
        <is>
          <t>Backend Engineering · Java</t>
        </is>
      </c>
      <c r="DL370" s="53" t="inlineStr">
        <is>
          <t>Senior Software Engineer</t>
        </is>
      </c>
      <c r="DM370" s="53" t="inlineStr">
        <is>
          <t>L4 – Senior</t>
        </is>
      </c>
      <c r="DN370" s="53" t="inlineStr">
        <is>
          <t>B.E</t>
        </is>
      </c>
      <c r="DO370" s="53" t="inlineStr">
        <is>
          <t>Nikhil Nalawade</t>
        </is>
      </c>
      <c r="DP370" s="53" t="inlineStr">
        <is>
          <t>N-3</t>
        </is>
      </c>
      <c r="DQ370" s="53" t="inlineStr">
        <is>
          <t>Individual Contributor</t>
        </is>
      </c>
      <c r="DR370" s="53" t="inlineStr">
        <is>
          <t>4 years, 0 months, 0 days</t>
        </is>
      </c>
      <c r="DS370" s="53" t="inlineStr">
        <is>
          <t>5 years, 1 months, 22 days</t>
        </is>
      </c>
      <c r="DT370" s="53" t="inlineStr">
        <is>
          <t>9 years, 1 months, 22 days</t>
        </is>
      </c>
      <c r="DU370" s="53" t="n"/>
      <c r="DV370" s="53" t="inlineStr">
        <is>
          <t>Suptech</t>
        </is>
      </c>
      <c r="DW370" s="53" t="inlineStr">
        <is>
          <t>iFile</t>
        </is>
      </c>
      <c r="DX370" s="53" t="inlineStr">
        <is>
          <t>Technology</t>
        </is>
      </c>
      <c r="DY370" s="53" t="inlineStr">
        <is>
          <t>Development</t>
        </is>
      </c>
      <c r="DZ370" s="53" t="inlineStr">
        <is>
          <t>Yes</t>
        </is>
      </c>
      <c r="EA370" s="53" t="inlineStr">
        <is>
          <t>Product/Project</t>
        </is>
      </c>
      <c r="EB370" s="53" t="inlineStr">
        <is>
          <t>Java</t>
        </is>
      </c>
      <c r="EC370" s="53" t="inlineStr">
        <is>
          <t>Technical - Developer</t>
        </is>
      </c>
      <c r="ED370" s="53" t="inlineStr">
        <is>
          <t>Remote - Mumbai</t>
        </is>
      </c>
      <c r="EE370" s="53" t="inlineStr">
        <is>
          <t>1. Lead the architecture, design, development, deployment, and production support of key modules and solutions, ensuring scalability, security, maintainability, and adherence to engineering standards.
2. Drive the successful delivery of customer requirements and strategic initiatives by ensuring quality, timely execution, effective risk management, and minimal production defects.
4. Establish and promote best practices in architecture, code quality, secure coding, CI/CD, DevOps, cloud adoption, and performance optimization across the team.
5. Lead project execution, production releases, and post-go-live stabilization while collaborating effectively with cross-functional teams, customers, and stakeholders to ensure successful outcomes.
6. Champion the adoption of AI technologies to improve engineering productivity, accelerate software delivery, automate processes, and introduce innovative solutions that create measurable business value.
7. Complete at least two advanced certifications or training programs in architecture, cloud, DevOps, AI, cybersecurity, or other relevant technologies, and promote continuous learning within the team.
8. Complete at least one advanced AI certification or training program and lead the implementation of AI-driven initiatives that improve development efficiency, testing, documentation, or engineering processes.
9. Lead at least two engineering improvement initiatives, reusable frameworks, automation solutions, or process optimizations that enhance team productivity, quality, scalability, or operational efficiency.
10. Mentor and coach junior engineers and technical leads, conduct regular knowledge-sharing sessions, drive technical reviews, and actively contribute to succession planning and capability development within the team.</t>
        </is>
      </c>
      <c r="EF370"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370"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H370" s="53" t="n">
        <v>3</v>
      </c>
      <c r="EI370" s="53" t="inlineStr">
        <is>
          <t>Pending</t>
        </is>
      </c>
      <c r="EJ370" s="53" t="inlineStr">
        <is>
          <t>Senior Software Engineer</t>
        </is>
      </c>
      <c r="EK370" s="53" t="inlineStr">
        <is>
          <t>No</t>
        </is>
      </c>
      <c r="EL370" s="53" t="n">
        <v>3</v>
      </c>
      <c r="EM370" s="53" t="inlineStr">
        <is>
          <t>Medium</t>
        </is>
      </c>
      <c r="EN370" s="53" t="inlineStr">
        <is>
          <t>Emerging Talent</t>
        </is>
      </c>
      <c r="EO370" s="53" t="inlineStr">
        <is>
          <t>No</t>
        </is>
      </c>
      <c r="EP370" s="53" t="inlineStr">
        <is>
          <t>No</t>
        </is>
      </c>
      <c r="EQ370" s="53" t="inlineStr">
        <is>
          <t>No</t>
        </is>
      </c>
      <c r="ER370" s="53" t="inlineStr">
        <is>
          <t>Not Yet</t>
        </is>
      </c>
      <c r="ES370" s="53" t="inlineStr">
        <is>
          <t>1. Enterprise Architecture, Advanced Angular Architecture, Microservices, API &amp; Integration Design
2. Advanced CI/CD, Kubernetes, Docker, AWS/Azure Architecture, Infrastructure as Code · IaC, Observability &amp; Monitoring
3. Secure Software Architecture, OWASP ASVS, Performance Engineering, Test Automation Strategy, Code Quality Governance
4. Solution Leadership, Technical Decision Making, Project Estimation, Risk Management, Engineering Governance 
5. AI Solution Design, AI-assisted SDLC, GitHub Copilot Enterprise, Prompt Engineering, AI Governance &amp; Responsible AI
6. Mentoring &amp; Coaching, Team Management, Performance Management, Conflict Resolution, Delegation
7. Stakeholder Management, Executive Communication, Client Engagement, Negotiation, Presentation &amp; Influencing Skills</t>
        </is>
      </c>
      <c r="ET370" s="53" t="n"/>
      <c r="EU370" s="53" t="inlineStr">
        <is>
          <t>Currently handling a support role. A discussion is needed to define a clear career roadmap, identify growth opportunities within the support function or adjacent technical roles, and outline the skills and responsibilities required for future career progression.</t>
        </is>
      </c>
      <c r="EV370" s="53" t="n"/>
      <c r="EW370" s="52" t="n"/>
      <c r="EX370" s="53" t="n"/>
      <c r="EY370" s="53" t="n"/>
      <c r="EZ370" s="53" t="n"/>
      <c r="FA370" s="53" t="n"/>
      <c r="FB370" s="53" t="n"/>
      <c r="FC370" s="53" t="n"/>
      <c r="FD370" s="53" t="n"/>
      <c r="FE370"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370"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FG370" s="56" t="inlineStr">
        <is>
          <t>1. Lead the architecture, design, development, deployment, and production support of key modules and solutions, ensuring scalability, security, maintainability, and adherence to engineering standards.
2. Drive the successful delivery of customer requirements and strategic initiatives by ensuring quality, timely execution, effective risk management, and minimal production defects.
4. Establish and promote best practices in architecture, code quality, secure coding, CI/CD, DevOps, cloud adoption, and performance optimization across the team.
5. Lead project execution, production releases, and post-go-live stabilization while collaborating effectively with cross-functional teams, customers, and stakeholders to ensure successful outcomes.
6. Champion the adoption of AI technologies to improve engineering productivity, accelerate software delivery, automate processes, and introduce innovative solutions that create measurable business value.
7. Complete at least two advanced certifications or training programs in architecture, cloud, DevOps, AI, cybersecurity, or other relevant technologies, and promote continuous learning within the team.
8. Complete at least one advanced AI certification or training program and lead the implementation of AI-driven initiatives that improve development efficiency, testing, documentation, or engineering processes.
9. Lead at least two engineering improvement initiatives, reusable frameworks, automation solutions, or process optimizations that enhance team productivity, quality, scalability, or operational efficiency.
10. Mentor and coach junior engineers and technical leads, conduct regular knowledge-sharing sessions, drive technical reviews, and actively contribute to succession planning and capability development within the team.</t>
        </is>
      </c>
      <c r="FH370" s="56" t="inlineStr">
        <is>
          <t>3</t>
        </is>
      </c>
      <c r="FI370" s="56" t="n"/>
      <c r="FJ370" s="56" t="inlineStr">
        <is>
          <t>Received · manager annual, quarterly, self</t>
        </is>
      </c>
      <c r="FK370" s="56" t="inlineStr">
        <is>
          <t>Talent Mapping · iFile collated</t>
        </is>
      </c>
      <c r="FL370" s="56" t="n">
        <v>19</v>
      </c>
      <c r="FM370" s="32" t="inlineStr">
        <is>
          <t>Full survey answers not in the files received · How We Grow export needed · HR</t>
        </is>
      </c>
      <c r="FN370" s="56" t="inlineStr">
        <is>
          <t>—</t>
        </is>
      </c>
      <c r="FO370" s="56" t="inlineStr">
        <is>
          <t>—</t>
        </is>
      </c>
      <c r="FP370" s="56" t="inlineStr">
        <is>
          <t>—</t>
        </is>
      </c>
      <c r="FQ370" s="56" t="inlineStr">
        <is>
          <t>—</t>
        </is>
      </c>
      <c r="FR370" s="56" t="inlineStr">
        <is>
          <t>Complexity: Evidence reads like A2: Client support: data reports, log checks and finding the issue cause in code → moved down 0.5
Autonomy: Evidence reads like A2: Decides only the cause of an application issue; says no judgement is needed → moved down 0.5
Accountability: Evidence reads like A3: Data reports and issue fixes go straight to the client under time pressure → matches the start
Leadership: Evidence reads like A1: No guiding or reviewing of others described → moved down 0.5
Business Impact: No survey or manager-mapping signal on criticality: kept at the start point.</t>
        </is>
      </c>
      <c r="FS370"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370" s="56" t="inlineStr">
        <is>
          <t>Self-identified: Technical depth &amp; architecture
For the next role: Technical depth &amp; architecture</t>
        </is>
      </c>
      <c r="FU370" s="32" t="inlineStr">
        <is>
          <t>Full survey answers not in the files received · How We Grow export needed · HR</t>
        </is>
      </c>
    </row>
    <row r="371" ht="90" customHeight="1">
      <c r="A371" s="51" t="inlineStr">
        <is>
          <t>◂ Back</t>
        </is>
      </c>
      <c r="B371" s="29" t="inlineStr">
        <is>
          <t>Mapped</t>
        </is>
      </c>
      <c r="C371" s="28" t="inlineStr">
        <is>
          <t>iFile</t>
        </is>
      </c>
      <c r="D371" s="29" t="inlineStr">
        <is>
          <t>IRIS2470</t>
        </is>
      </c>
      <c r="E371" s="29" t="inlineStr">
        <is>
          <t>Khelendra Pratap Singh</t>
        </is>
      </c>
      <c r="F371" s="29" t="inlineStr">
        <is>
          <t>Technology</t>
        </is>
      </c>
      <c r="G371" s="29" t="inlineStr">
        <is>
          <t>Senior Software Engineer</t>
        </is>
      </c>
      <c r="H371" s="29" t="inlineStr">
        <is>
          <t>Senior Software Engineer</t>
        </is>
      </c>
      <c r="I371" s="29" t="inlineStr">
        <is>
          <t>L4 – Senior</t>
        </is>
      </c>
      <c r="J371" s="29" t="inlineStr">
        <is>
          <t>A3</t>
        </is>
      </c>
      <c r="K371" s="29" t="inlineStr">
        <is>
          <t>• Same level</t>
        </is>
      </c>
      <c r="L371" s="29" t="inlineStr">
        <is>
          <t>Engineering &amp; Development</t>
        </is>
      </c>
      <c r="M371" s="29" t="inlineStr">
        <is>
          <t>Backend Development</t>
        </is>
      </c>
      <c r="N371" s="29" t="n"/>
      <c r="O371" s="29" t="n">
        <v>20</v>
      </c>
      <c r="P371" s="28" t="inlineStr">
        <is>
          <t>P2</t>
        </is>
      </c>
      <c r="Q371" s="29" t="inlineStr">
        <is>
          <t>Developing</t>
        </is>
      </c>
      <c r="R371" s="29" t="inlineStr">
        <is>
          <t>3 Apply</t>
        </is>
      </c>
      <c r="S371" s="29" t="inlineStr">
        <is>
          <t>2–4 yrs</t>
        </is>
      </c>
      <c r="T371" s="29" t="inlineStr">
        <is>
          <t>3–5 · 2–5</t>
        </is>
      </c>
      <c r="U371" s="29" t="inlineStr">
        <is>
          <t>Software Engineer</t>
        </is>
      </c>
      <c r="V371" s="29" t="inlineStr">
        <is>
          <t>Workiva: SE · Broadridge India: SE · Nasdaq / AxiomSL: SE · Salesforce: MTS · Atlassian: P40 · 3–7 yrs · Freshworks: Senior SE</t>
        </is>
      </c>
      <c r="W371" s="29" t="inlineStr">
        <is>
          <t>SFIA 9 · software development, programming; OWASP secure coding; cloud vendor certifications</t>
        </is>
      </c>
      <c r="X371" s="29" t="inlineStr">
        <is>
          <t>Core 2 · Future 2 · Functional 3 · Leadership not scored</t>
        </is>
      </c>
      <c r="Y371" s="52" t="n">
        <v>444</v>
      </c>
      <c r="Z371" s="53" t="inlineStr">
        <is>
          <t>IRIS2470</t>
        </is>
      </c>
      <c r="AA371" s="53" t="inlineStr">
        <is>
          <t>Employee</t>
        </is>
      </c>
      <c r="AB371" s="53" t="inlineStr">
        <is>
          <t>Active</t>
        </is>
      </c>
      <c r="AC371" s="53" t="inlineStr">
        <is>
          <t>Khelendra Pratap Singh</t>
        </is>
      </c>
      <c r="AD371" s="54" t="n">
        <v>46055</v>
      </c>
      <c r="AE371" s="53" t="inlineStr">
        <is>
          <t>Senior Software Engineer</t>
        </is>
      </c>
      <c r="AF371" s="53" t="inlineStr">
        <is>
          <t>B.E</t>
        </is>
      </c>
      <c r="AG371" s="53" t="inlineStr">
        <is>
          <t>Nikhil Nalawade</t>
        </is>
      </c>
      <c r="AH371" s="53" t="inlineStr">
        <is>
          <t>N-4</t>
        </is>
      </c>
      <c r="AI371" s="53" t="inlineStr">
        <is>
          <t>Individual Contributor</t>
        </is>
      </c>
      <c r="AJ371" s="53" t="inlineStr">
        <is>
          <t>6 years, 0 months, 0 days</t>
        </is>
      </c>
      <c r="AK371" s="53" t="inlineStr">
        <is>
          <t>0 years, 6 months, 23 days</t>
        </is>
      </c>
      <c r="AL371" s="53" t="inlineStr">
        <is>
          <t>Suptech</t>
        </is>
      </c>
      <c r="AM371" s="53" t="inlineStr">
        <is>
          <t>iFile</t>
        </is>
      </c>
      <c r="AN371" s="53" t="inlineStr">
        <is>
          <t>Technology</t>
        </is>
      </c>
      <c r="AO371" s="53" t="inlineStr">
        <is>
          <t>Development</t>
        </is>
      </c>
      <c r="AP371" s="53" t="inlineStr">
        <is>
          <t>Yes</t>
        </is>
      </c>
      <c r="AQ371" s="53" t="inlineStr">
        <is>
          <t>Product/Project</t>
        </is>
      </c>
      <c r="AR371" s="53" t="inlineStr">
        <is>
          <t>Java</t>
        </is>
      </c>
      <c r="AS371" s="53" t="inlineStr">
        <is>
          <t>Technical - Developer</t>
        </is>
      </c>
      <c r="AT371" s="53" t="n">
        <v>20</v>
      </c>
      <c r="AU371" s="53" t="inlineStr">
        <is>
          <t>Covered</t>
        </is>
      </c>
      <c r="AV371" s="53" t="n"/>
      <c r="AW371" s="53" t="n"/>
      <c r="AX371" s="53" t="n"/>
      <c r="AY371" s="53" t="n"/>
      <c r="AZ371" s="53" t="n"/>
      <c r="BA371" s="53" t="n"/>
      <c r="BB371" s="53" t="n"/>
      <c r="BC371" s="53" t="n"/>
      <c r="BD371" s="53" t="n"/>
      <c r="BE371" s="53" t="n"/>
      <c r="BF371" s="53" t="n"/>
      <c r="BG371" s="53" t="n"/>
      <c r="BH371" s="53" t="n"/>
      <c r="BI371" s="53" t="n"/>
      <c r="BJ371" s="53" t="n"/>
      <c r="BK371" s="53" t="n"/>
      <c r="BL371" s="53" t="n"/>
      <c r="BM371" s="53" t="n"/>
      <c r="BN371" s="53" t="n"/>
      <c r="BO371" s="53" t="n"/>
      <c r="BP371" s="53" t="n"/>
      <c r="BQ371" s="53" t="n"/>
      <c r="BR371" s="53" t="n"/>
      <c r="BS371" s="53" t="n"/>
      <c r="BT371" s="53" t="n"/>
      <c r="BU371" s="53" t="n"/>
      <c r="BV371" s="53" t="n"/>
      <c r="BW371" s="53" t="n"/>
      <c r="BX371" s="53" t="n"/>
      <c r="BY371" s="53" t="n"/>
      <c r="BZ371" s="53" t="n"/>
      <c r="CA371" s="53" t="n"/>
      <c r="CB371" s="53" t="n"/>
      <c r="CC371" s="53" t="n"/>
      <c r="CD371" s="53" t="n"/>
      <c r="CE371" s="53" t="n"/>
      <c r="CF371" s="53" t="n"/>
      <c r="CG371" s="53" t="n"/>
      <c r="CH371" s="53" t="n"/>
      <c r="CI371" s="53" t="n"/>
      <c r="CJ371" s="53" t="n"/>
      <c r="CK371" s="53" t="n"/>
      <c r="CL371" s="53" t="n"/>
      <c r="CM371" s="53" t="n"/>
      <c r="CN371" s="53" t="n"/>
      <c r="CO371" s="53" t="n"/>
      <c r="CP371" s="53" t="n"/>
      <c r="CQ371" s="53" t="n"/>
      <c r="CR371" s="53" t="n"/>
      <c r="CS371" s="53" t="n"/>
      <c r="CT371" s="53" t="n"/>
      <c r="CU371" s="53" t="n"/>
      <c r="CV371" s="53" t="n"/>
      <c r="CW371" s="53" t="n"/>
      <c r="CX371" s="53" t="n"/>
      <c r="CY371" s="53" t="n"/>
      <c r="CZ371" s="53" t="n"/>
      <c r="DA371" s="53" t="n"/>
      <c r="DB371" s="53" t="n"/>
      <c r="DC371" s="53" t="n"/>
      <c r="DD371" s="53" t="inlineStr">
        <is>
          <t>IRIS2470</t>
        </is>
      </c>
      <c r="DE371" s="53" t="inlineStr">
        <is>
          <t>Employee</t>
        </is>
      </c>
      <c r="DF371" s="53" t="inlineStr">
        <is>
          <t>Active</t>
        </is>
      </c>
      <c r="DG371" s="53" t="inlineStr">
        <is>
          <t>Khelendra Pratap Singh</t>
        </is>
      </c>
      <c r="DH371" s="54" t="n">
        <v>46055</v>
      </c>
      <c r="DI371" s="53" t="inlineStr">
        <is>
          <t>Senior Software Engineer</t>
        </is>
      </c>
      <c r="DJ371" s="53" t="inlineStr">
        <is>
          <t>Engineering &amp; Development</t>
        </is>
      </c>
      <c r="DK371" s="53" t="inlineStr">
        <is>
          <t>Backend Engineering · Java</t>
        </is>
      </c>
      <c r="DL371" s="53" t="inlineStr">
        <is>
          <t>Senior Software Engineer</t>
        </is>
      </c>
      <c r="DM371" s="53" t="inlineStr">
        <is>
          <t>L4 – Senior</t>
        </is>
      </c>
      <c r="DN371" s="53" t="inlineStr">
        <is>
          <t>B.E</t>
        </is>
      </c>
      <c r="DO371" s="53" t="inlineStr">
        <is>
          <t>Nikhil Nalawade</t>
        </is>
      </c>
      <c r="DP371" s="53" t="inlineStr">
        <is>
          <t>N-3</t>
        </is>
      </c>
      <c r="DQ371" s="53" t="inlineStr">
        <is>
          <t>Individual Contributor</t>
        </is>
      </c>
      <c r="DR371" s="53" t="inlineStr">
        <is>
          <t>6 years, 0 months, 0 days</t>
        </is>
      </c>
      <c r="DS371" s="53" t="inlineStr">
        <is>
          <t>0 years, 4 months, 18 days</t>
        </is>
      </c>
      <c r="DT371" s="53" t="inlineStr">
        <is>
          <t>6 years, 4 months, 18 days</t>
        </is>
      </c>
      <c r="DU371" s="53" t="n"/>
      <c r="DV371" s="53" t="inlineStr">
        <is>
          <t>Suptech</t>
        </is>
      </c>
      <c r="DW371" s="53" t="inlineStr">
        <is>
          <t>iFile</t>
        </is>
      </c>
      <c r="DX371" s="53" t="inlineStr">
        <is>
          <t>Technology</t>
        </is>
      </c>
      <c r="DY371" s="53" t="inlineStr">
        <is>
          <t>Development</t>
        </is>
      </c>
      <c r="DZ371" s="53" t="inlineStr">
        <is>
          <t>Yes</t>
        </is>
      </c>
      <c r="EA371" s="53" t="inlineStr">
        <is>
          <t>Product/Project</t>
        </is>
      </c>
      <c r="EB371" s="53" t="inlineStr">
        <is>
          <t>Java</t>
        </is>
      </c>
      <c r="EC371" s="53" t="inlineStr">
        <is>
          <t>Technical - Developer</t>
        </is>
      </c>
      <c r="ED371" s="53" t="inlineStr">
        <is>
          <t>Work From Office - Turbhe</t>
        </is>
      </c>
      <c r="EE371" s="53" t="inlineStr">
        <is>
          <t>1. Lead the architecture, design, development, deployment, and production support of key modules and solutions, ensuring scalability, security, maintainability, and adherence to engineering standards.
2. Drive the successful delivery of customer requirements and strategic initiatives by ensuring quality, timely execution, effective risk management, and minimal production defects.
4. Establish and promote best practices in architecture, code quality, secure coding, CI/CD, DevOps, cloud adoption, and performance optimization across the team.
5. Lead project execution, production releases, and post-go-live stabilization while collaborating effectively with cross-functional teams, customers, and stakeholders to ensure successful outcomes.
6. Champion the adoption of AI technologies to improve engineering productivity, accelerate software delivery, automate processes, and introduce innovative solutions that create measurable business value.
7. Complete at least two advanced certifications or training programs in architecture, cloud, DevOps, AI, cybersecurity, or other relevant technologies, and promote continuous learning within the team.
8. Complete at least one advanced AI certification or training program and lead the implementation of AI-driven initiatives that improve development efficiency, testing, documentation, or engineering processes.
9. Lead at least two engineering improvement initiatives, reusable frameworks, automation solutions, or process optimizations that enhance team productivity, quality, scalability, or operational efficiency.
10. Mentor and coach junior engineers and technical leads, conduct regular knowledge-sharing sessions, drive technical reviews, and actively contribute to succession planning and capability development within the team.</t>
        </is>
      </c>
      <c r="EF371"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371"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H371" s="53" t="n">
        <v>3</v>
      </c>
      <c r="EI371" s="53" t="inlineStr">
        <is>
          <t>Pending</t>
        </is>
      </c>
      <c r="EJ371" s="53" t="inlineStr">
        <is>
          <t>Senior Software Engineer</t>
        </is>
      </c>
      <c r="EK371" s="53" t="inlineStr">
        <is>
          <t>No</t>
        </is>
      </c>
      <c r="EL371" s="53" t="n">
        <v>3</v>
      </c>
      <c r="EM371" s="53" t="inlineStr">
        <is>
          <t>Medium</t>
        </is>
      </c>
      <c r="EN371" s="53" t="inlineStr">
        <is>
          <t>Emerging Talent</t>
        </is>
      </c>
      <c r="EO371" s="53" t="inlineStr">
        <is>
          <t>No</t>
        </is>
      </c>
      <c r="EP371" s="53" t="inlineStr">
        <is>
          <t>No</t>
        </is>
      </c>
      <c r="EQ371" s="53" t="inlineStr">
        <is>
          <t>No</t>
        </is>
      </c>
      <c r="ER371" s="53" t="inlineStr">
        <is>
          <t>Not Yet</t>
        </is>
      </c>
      <c r="ES371" s="53" t="inlineStr">
        <is>
          <t>1. Enterprise Architecture, Advanced Angular Architecture, Microservices, API &amp; Integration Design
2. Advanced CI/CD, Kubernetes, Docker, AWS/Azure Architecture, Infrastructure as Code · IaC, Observability &amp; Monitoring
3. Secure Software Architecture, OWASP ASVS, Performance Engineering, Test Automation Strategy, Code Quality Governance
4. Solution Leadership, Technical Decision Making, Project Estimation, Risk Management, Engineering Governance 
5. AI Solution Design, AI-assisted SDLC, GitHub Copilot Enterprise, Prompt Engineering, AI Governance &amp; Responsible AI
6. Mentoring &amp; Coaching, Team Management, Performance Management, Conflict Resolution, Delegation
7. Stakeholder Management, Executive Communication, Client Engagement, Negotiation, Presentation &amp; Influencing Skills</t>
        </is>
      </c>
      <c r="ET371" s="53" t="n"/>
      <c r="EU371" s="53" t="n"/>
      <c r="EV371" s="53" t="n"/>
      <c r="EW371" s="52" t="n"/>
      <c r="EX371" s="53" t="n"/>
      <c r="EY371" s="53" t="n"/>
      <c r="EZ371" s="53" t="n"/>
      <c r="FA371" s="53" t="n"/>
      <c r="FB371" s="53" t="n"/>
      <c r="FC371" s="53" t="n"/>
      <c r="FD371" s="53" t="n"/>
      <c r="FE371"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371"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FG371" s="56" t="inlineStr">
        <is>
          <t>1. Lead the architecture, design, development, deployment, and production support of key modules and solutions, ensuring scalability, security, maintainability, and adherence to engineering standards.
2. Drive the successful delivery of customer requirements and strategic initiatives by ensuring quality, timely execution, effective risk management, and minimal production defects.
4. Establish and promote best practices in architecture, code quality, secure coding, CI/CD, DevOps, cloud adoption, and performance optimization across the team.
5. Lead project execution, production releases, and post-go-live stabilization while collaborating effectively with cross-functional teams, customers, and stakeholders to ensure successful outcomes.
6. Champion the adoption of AI technologies to improve engineering productivity, accelerate software delivery, automate processes, and introduce innovative solutions that create measurable business value.
7. Complete at least two advanced certifications or training programs in architecture, cloud, DevOps, AI, cybersecurity, or other relevant technologies, and promote continuous learning within the team.
8. Complete at least one advanced AI certification or training program and lead the implementation of AI-driven initiatives that improve development efficiency, testing, documentation, or engineering processes.
9. Lead at least two engineering improvement initiatives, reusable frameworks, automation solutions, or process optimizations that enhance team productivity, quality, scalability, or operational efficiency.
10. Mentor and coach junior engineers and technical leads, conduct regular knowledge-sharing sessions, drive technical reviews, and actively contribute to succession planning and capability development within the team.</t>
        </is>
      </c>
      <c r="FH371" s="56" t="inlineStr">
        <is>
          <t>3</t>
        </is>
      </c>
      <c r="FI371" s="56" t="n"/>
      <c r="FJ371" s="56" t="inlineStr">
        <is>
          <t>Received · manager annual, quarterly, self</t>
        </is>
      </c>
      <c r="FK371" s="56" t="inlineStr">
        <is>
          <t>Talent Mapping · iFile collated</t>
        </is>
      </c>
      <c r="FL371" s="56" t="n">
        <v>20</v>
      </c>
      <c r="FM371" s="32" t="inlineStr">
        <is>
          <t>Full survey answers not in the files received · How We Grow export needed · HR</t>
        </is>
      </c>
      <c r="FN371" s="56" t="inlineStr">
        <is>
          <t>—</t>
        </is>
      </c>
      <c r="FO371" s="56" t="inlineStr">
        <is>
          <t>—</t>
        </is>
      </c>
      <c r="FP371" s="56" t="inlineStr">
        <is>
          <t>—</t>
        </is>
      </c>
      <c r="FQ371" s="56" t="inlineStr">
        <is>
          <t>—</t>
        </is>
      </c>
      <c r="FR371" s="56" t="inlineStr">
        <is>
          <t>Complexity: Evidence reads like B1: Produces architecture documents and designs product configurability; handles complex scenarios → moved up 0.5
Autonomy: Evidence reads like A3: Decides testing, technical analysis, deployment, bug fixes and configuration choices → matches the start
Accountability: Evidence reads like A2: Design and development of own product work following the set architecture → moved down 0.5
Leadership: Evidence reads like A1: No guiding or reviewing of others described → moved down 0.5
Business Impact: No survey or manager-mapping signal on criticality: kept at the start point.</t>
        </is>
      </c>
      <c r="FS371"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371" s="56" t="inlineStr">
        <is>
          <t>Self-identified: Technical depth &amp; architecture · Product &amp; tool knowledge
For the next role: Technical depth &amp; architecture · Product &amp; tool knowledge</t>
        </is>
      </c>
      <c r="FU371" s="32" t="inlineStr">
        <is>
          <t>Full survey answers not in the files received · How We Grow export needed · HR</t>
        </is>
      </c>
    </row>
    <row r="372" ht="90" customHeight="1">
      <c r="A372" s="51" t="inlineStr">
        <is>
          <t>◂ Back</t>
        </is>
      </c>
      <c r="B372" s="29" t="inlineStr">
        <is>
          <t>Mapped</t>
        </is>
      </c>
      <c r="C372" s="28" t="inlineStr">
        <is>
          <t>iFile</t>
        </is>
      </c>
      <c r="D372" s="29" t="inlineStr">
        <is>
          <t>IRIS2422</t>
        </is>
      </c>
      <c r="E372" s="29" t="inlineStr">
        <is>
          <t>Mahtab Shah</t>
        </is>
      </c>
      <c r="F372" s="29" t="inlineStr">
        <is>
          <t>Technology</t>
        </is>
      </c>
      <c r="G372" s="29" t="inlineStr">
        <is>
          <t>Software Engineer</t>
        </is>
      </c>
      <c r="H372" s="29" t="inlineStr">
        <is>
          <t>Senior Software Engineer</t>
        </is>
      </c>
      <c r="I372" s="29" t="inlineStr">
        <is>
          <t>L3 – Professional / Associate</t>
        </is>
      </c>
      <c r="J372" s="29" t="inlineStr">
        <is>
          <t>A3</t>
        </is>
      </c>
      <c r="K372" s="29" t="inlineStr">
        <is>
          <t>▲ Up</t>
        </is>
      </c>
      <c r="L372" s="29" t="inlineStr">
        <is>
          <t>Engineering &amp; Development</t>
        </is>
      </c>
      <c r="M372" s="29" t="inlineStr">
        <is>
          <t>Full-Stack Development</t>
        </is>
      </c>
      <c r="N372" s="29" t="n"/>
      <c r="O372" s="29" t="n">
        <v>20</v>
      </c>
      <c r="P372" s="28" t="inlineStr">
        <is>
          <t>P2</t>
        </is>
      </c>
      <c r="Q372" s="29" t="inlineStr">
        <is>
          <t>Developing</t>
        </is>
      </c>
      <c r="R372" s="29" t="inlineStr">
        <is>
          <t>3 Apply</t>
        </is>
      </c>
      <c r="S372" s="29" t="inlineStr">
        <is>
          <t>2–4 yrs</t>
        </is>
      </c>
      <c r="T372" s="29" t="inlineStr">
        <is>
          <t>3–5 · 2–5</t>
        </is>
      </c>
      <c r="U372" s="29" t="inlineStr">
        <is>
          <t>Software Engineer</t>
        </is>
      </c>
      <c r="V372" s="29" t="inlineStr">
        <is>
          <t>Workiva: SE · Broadridge India: SE · Nasdaq / AxiomSL: SE · Salesforce: MTS · Atlassian: P40 · 3–7 yrs · Freshworks: Senior SE</t>
        </is>
      </c>
      <c r="W372" s="29" t="inlineStr">
        <is>
          <t>SFIA 9 · software development, programming; OWASP secure coding; cloud vendor certifications</t>
        </is>
      </c>
      <c r="X372" s="29" t="inlineStr">
        <is>
          <t>Core 2 · Future 2 · Functional 3 · Leadership not scored</t>
        </is>
      </c>
      <c r="Y372" s="52" t="n">
        <v>393</v>
      </c>
      <c r="Z372" s="53" t="inlineStr">
        <is>
          <t>IRIS2422</t>
        </is>
      </c>
      <c r="AA372" s="53" t="inlineStr">
        <is>
          <t>Employee</t>
        </is>
      </c>
      <c r="AB372" s="53" t="inlineStr">
        <is>
          <t>Active</t>
        </is>
      </c>
      <c r="AC372" s="53" t="inlineStr">
        <is>
          <t>Mahtab Shah</t>
        </is>
      </c>
      <c r="AD372" s="54" t="n">
        <v>45883</v>
      </c>
      <c r="AE372" s="53" t="inlineStr">
        <is>
          <t>Software Engineer</t>
        </is>
      </c>
      <c r="AF372" s="53" t="inlineStr">
        <is>
          <t>B.E</t>
        </is>
      </c>
      <c r="AG372" s="53" t="inlineStr">
        <is>
          <t>Nikhil Nalawade</t>
        </is>
      </c>
      <c r="AH372" s="53" t="inlineStr">
        <is>
          <t>N-4</t>
        </is>
      </c>
      <c r="AI372" s="53" t="inlineStr">
        <is>
          <t>Individual Contributor</t>
        </is>
      </c>
      <c r="AJ372" s="53" t="inlineStr">
        <is>
          <t>1 years, 7 months, 0 days</t>
        </is>
      </c>
      <c r="AK372" s="53" t="inlineStr">
        <is>
          <t>1 years, 0 months, 11 days</t>
        </is>
      </c>
      <c r="AL372" s="53" t="inlineStr">
        <is>
          <t>Suptech</t>
        </is>
      </c>
      <c r="AM372" s="53" t="inlineStr">
        <is>
          <t>iFile</t>
        </is>
      </c>
      <c r="AN372" s="53" t="inlineStr">
        <is>
          <t>Technology</t>
        </is>
      </c>
      <c r="AO372" s="53" t="inlineStr">
        <is>
          <t>Development</t>
        </is>
      </c>
      <c r="AP372" s="53" t="inlineStr">
        <is>
          <t>Yes</t>
        </is>
      </c>
      <c r="AQ372" s="53" t="inlineStr">
        <is>
          <t>Product/Project</t>
        </is>
      </c>
      <c r="AR372" s="53" t="inlineStr">
        <is>
          <t>Java</t>
        </is>
      </c>
      <c r="AS372" s="53" t="inlineStr">
        <is>
          <t>Technical - Developer</t>
        </is>
      </c>
      <c r="AT372" s="53" t="n">
        <v>20</v>
      </c>
      <c r="AU372" s="53" t="inlineStr">
        <is>
          <t>Covered</t>
        </is>
      </c>
      <c r="AV372" s="53" t="n"/>
      <c r="AW372" s="53" t="n"/>
      <c r="AX372" s="53" t="n"/>
      <c r="AY372" s="53" t="n"/>
      <c r="AZ372" s="53" t="n"/>
      <c r="BA372" s="53" t="n"/>
      <c r="BB372" s="53" t="n"/>
      <c r="BC372" s="53" t="n"/>
      <c r="BD372" s="53" t="n"/>
      <c r="BE372" s="53" t="n"/>
      <c r="BF372" s="53" t="n"/>
      <c r="BG372" s="53" t="n"/>
      <c r="BH372" s="53" t="n"/>
      <c r="BI372" s="53" t="n"/>
      <c r="BJ372" s="53" t="n"/>
      <c r="BK372" s="53" t="n"/>
      <c r="BL372" s="53" t="n"/>
      <c r="BM372" s="53" t="n"/>
      <c r="BN372" s="53" t="n"/>
      <c r="BO372" s="53" t="n"/>
      <c r="BP372" s="53" t="n"/>
      <c r="BQ372" s="53" t="n"/>
      <c r="BR372" s="53" t="n"/>
      <c r="BS372" s="53" t="n"/>
      <c r="BT372" s="53" t="n"/>
      <c r="BU372" s="53" t="n"/>
      <c r="BV372" s="53" t="n"/>
      <c r="BW372" s="53" t="n"/>
      <c r="BX372" s="53" t="n"/>
      <c r="BY372" s="53" t="n"/>
      <c r="BZ372" s="53" t="n"/>
      <c r="CA372" s="53" t="n"/>
      <c r="CB372" s="53" t="n"/>
      <c r="CC372" s="53" t="n"/>
      <c r="CD372" s="53" t="n"/>
      <c r="CE372" s="53" t="n"/>
      <c r="CF372" s="53" t="n"/>
      <c r="CG372" s="53" t="n"/>
      <c r="CH372" s="53" t="n"/>
      <c r="CI372" s="53" t="n"/>
      <c r="CJ372" s="53" t="n"/>
      <c r="CK372" s="53" t="n"/>
      <c r="CL372" s="53" t="n"/>
      <c r="CM372" s="53" t="n"/>
      <c r="CN372" s="53" t="n"/>
      <c r="CO372" s="53" t="n"/>
      <c r="CP372" s="53" t="n"/>
      <c r="CQ372" s="53" t="n"/>
      <c r="CR372" s="53" t="n"/>
      <c r="CS372" s="53" t="n"/>
      <c r="CT372" s="53" t="n"/>
      <c r="CU372" s="53" t="n"/>
      <c r="CV372" s="53" t="n"/>
      <c r="CW372" s="53" t="n"/>
      <c r="CX372" s="53" t="n"/>
      <c r="CY372" s="53" t="n"/>
      <c r="CZ372" s="53" t="n"/>
      <c r="DA372" s="53" t="n"/>
      <c r="DB372" s="53" t="n"/>
      <c r="DC372" s="53" t="n"/>
      <c r="DD372" s="53" t="inlineStr">
        <is>
          <t>IRIS2422</t>
        </is>
      </c>
      <c r="DE372" s="53" t="inlineStr">
        <is>
          <t>Employee</t>
        </is>
      </c>
      <c r="DF372" s="53" t="inlineStr">
        <is>
          <t>Active</t>
        </is>
      </c>
      <c r="DG372" s="53" t="inlineStr">
        <is>
          <t>Mahtab Shah</t>
        </is>
      </c>
      <c r="DH372" s="54" t="n">
        <v>45883</v>
      </c>
      <c r="DI372" s="53" t="inlineStr">
        <is>
          <t>Software Engineer</t>
        </is>
      </c>
      <c r="DJ372" s="53" t="inlineStr">
        <is>
          <t>Engineering &amp; Development</t>
        </is>
      </c>
      <c r="DK372" s="53" t="inlineStr">
        <is>
          <t>Backend Engineering · Java</t>
        </is>
      </c>
      <c r="DL372" s="53" t="inlineStr">
        <is>
          <t>Software Engineer</t>
        </is>
      </c>
      <c r="DM372" s="53" t="inlineStr">
        <is>
          <t>L3 – Professional / Associate</t>
        </is>
      </c>
      <c r="DN372" s="53" t="inlineStr">
        <is>
          <t>B.E</t>
        </is>
      </c>
      <c r="DO372" s="53" t="inlineStr">
        <is>
          <t>Nikhil Nalawade</t>
        </is>
      </c>
      <c r="DP372" s="53" t="inlineStr">
        <is>
          <t>N-3</t>
        </is>
      </c>
      <c r="DQ372" s="53" t="inlineStr">
        <is>
          <t>Individual Contributor</t>
        </is>
      </c>
      <c r="DR372" s="53" t="inlineStr">
        <is>
          <t>1 years, 7 months, 0 days</t>
        </is>
      </c>
      <c r="DS372" s="53" t="inlineStr">
        <is>
          <t>0 years, 10 months, 6 days</t>
        </is>
      </c>
      <c r="DT372" s="53" t="inlineStr">
        <is>
          <t>2 years, 5 months, 6 days</t>
        </is>
      </c>
      <c r="DU372" s="53" t="n"/>
      <c r="DV372" s="53" t="inlineStr">
        <is>
          <t>Suptech</t>
        </is>
      </c>
      <c r="DW372" s="53" t="inlineStr">
        <is>
          <t>iFile</t>
        </is>
      </c>
      <c r="DX372" s="53" t="inlineStr">
        <is>
          <t>Technology</t>
        </is>
      </c>
      <c r="DY372" s="53" t="inlineStr">
        <is>
          <t>Development</t>
        </is>
      </c>
      <c r="DZ372" s="53" t="inlineStr">
        <is>
          <t>Yes</t>
        </is>
      </c>
      <c r="EA372" s="53" t="inlineStr">
        <is>
          <t>Product/Project</t>
        </is>
      </c>
      <c r="EB372" s="53" t="inlineStr">
        <is>
          <t>Java</t>
        </is>
      </c>
      <c r="EC372" s="53" t="inlineStr">
        <is>
          <t>Technical - Developer</t>
        </is>
      </c>
      <c r="ED372" s="53" t="inlineStr">
        <is>
          <t>Work From Office - Turbhe</t>
        </is>
      </c>
      <c r="EE372" s="53" t="inlineStr">
        <is>
          <t>1. Take ownership of assigned modules/features from requirement analysis through design, development, testing, deployment, and production support, ensuring timely delivery and high quality.
2. Deliver customer-requested enhancements while maintaining application performance, security, code quality, and adherence to development standards.
3. Strengthen expertise in Java, Angular, and related technologies while contributing to CI/CD, deployment automation, and environment stability.
4. Support successful project deliveries, production go-lives, and post-production stabilization by ensuring operational readiness and timely resolution of issues.
5. Leverage AI tools and technologies to enhance development productivity, improve engineering processes, and implement innovative solutions within the project.
6. Complete at least two technical certifications or training programs relevant to the project technology stack · Java, Angular, Cloud, DevOps, or related technologies.
7. Complete at least one AI-focused certification or training program and demonstrate practical application in day-to-day development activities.
8. Apply acquired knowledge by implementing at least one technical improvement, automation, reusable component, or process optimization that delivers measurable value to the project.
9. Mentor or onboard at least one junior team member or intern</t>
        </is>
      </c>
      <c r="EF372"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372"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H372" s="53" t="n">
        <v>3</v>
      </c>
      <c r="EI372" s="53" t="inlineStr">
        <is>
          <t>Pending</t>
        </is>
      </c>
      <c r="EJ372" s="53" t="inlineStr">
        <is>
          <t>Software Engineer</t>
        </is>
      </c>
      <c r="EK372" s="53" t="inlineStr">
        <is>
          <t>No</t>
        </is>
      </c>
      <c r="EL372" s="53" t="n">
        <v>3</v>
      </c>
      <c r="EM372" s="53" t="inlineStr">
        <is>
          <t>Medium</t>
        </is>
      </c>
      <c r="EN372" s="53" t="inlineStr">
        <is>
          <t>Emerging Talent</t>
        </is>
      </c>
      <c r="EO372" s="53" t="inlineStr">
        <is>
          <t>No</t>
        </is>
      </c>
      <c r="EP372" s="53" t="inlineStr">
        <is>
          <t>No</t>
        </is>
      </c>
      <c r="EQ372" s="53" t="inlineStr">
        <is>
          <t>No</t>
        </is>
      </c>
      <c r="ER372" s="53" t="inlineStr">
        <is>
          <t>Aqib Shah</t>
        </is>
      </c>
      <c r="ES372" s="53" t="inlineStr">
        <is>
          <t>1. Angular Architecture &amp; Performance
2. System Design Fundamentals
3. Secure Coding &amp; Testing Automation
4. Technical Leadership &amp; Code Reviews
5. CI/CD &amp; DevOps
6.AI for Productivity &amp; Automation
7. Soft skills</t>
        </is>
      </c>
      <c r="ET372" s="53" t="n"/>
      <c r="EU372" s="53" t="n"/>
      <c r="EV372" s="53" t="n"/>
      <c r="EW372" s="52" t="n"/>
      <c r="EX372" s="53" t="n"/>
      <c r="EY372" s="53" t="n"/>
      <c r="EZ372" s="53" t="n"/>
      <c r="FA372" s="53" t="n"/>
      <c r="FB372" s="53" t="n"/>
      <c r="FC372" s="53" t="n"/>
      <c r="FD372" s="53" t="n"/>
      <c r="FE372"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372"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FG372" s="56" t="inlineStr">
        <is>
          <t>1. Take ownership of assigned modules/features from requirement analysis through design, development, testing, deployment, and production support, ensuring timely delivery and high quality.
2. Deliver customer-requested enhancements while maintaining application performance, security, code quality, and adherence to development standards.
3. Strengthen expertise in Java, Angular, and related technologies while contributing to CI/CD, deployment automation, and environment stability.
4. Support successful project deliveries, production go-lives, and post-production stabilization by ensuring operational readiness and timely resolution of issues.
5. Leverage AI tools and technologies to enhance development productivity, improve engineering processes, and implement innovative solutions within the project.
6. Complete at least two technical certifications or training programs relevant to the project technology stack · Java, Angular, Cloud, DevOps, or related technologies.
7. Complete at least one AI-focused certification or training program and demonstrate practical application in day-to-day development activities.
8. Apply acquired knowledge by implementing at least one technical improvement, automation, reusable component, or process optimization that delivers measurable value to the project.
9. Mentor or onboard at least one junior team member or intern</t>
        </is>
      </c>
      <c r="FH372" s="56" t="inlineStr">
        <is>
          <t>3</t>
        </is>
      </c>
      <c r="FI372" s="56" t="n"/>
      <c r="FJ372" s="56" t="inlineStr">
        <is>
          <t>Received · manager annual, quarterly, self</t>
        </is>
      </c>
      <c r="FK372" s="56" t="inlineStr">
        <is>
          <t>Talent Mapping · iFile collated</t>
        </is>
      </c>
      <c r="FL372" s="56" t="n">
        <v>20</v>
      </c>
      <c r="FM372" s="32" t="inlineStr">
        <is>
          <t>Full survey answers not in the files received · How We Grow export needed · HR</t>
        </is>
      </c>
      <c r="FN372" s="56" t="inlineStr">
        <is>
          <t>—</t>
        </is>
      </c>
      <c r="FO372" s="56" t="inlineStr">
        <is>
          <t>—</t>
        </is>
      </c>
      <c r="FP372" s="56" t="inlineStr">
        <is>
          <t>—</t>
        </is>
      </c>
      <c r="FQ372" s="56" t="inlineStr">
        <is>
          <t>—</t>
        </is>
      </c>
      <c r="FR372" s="56" t="inlineStr">
        <is>
          <t>Complexity: Evidence reads like A2: Feature development and troubleshooting across Java/Spring Boot and Angular; no specific harder work cited → matches the start
Autonomy: Evidence reads like A2: Decides 'implementation' only → matches the start
Accountability: Evidence reads like A2: Accountable for own software being reliable, meeting requirements and delivered on time → matches the start
Leadership: Evidence reads like A1: No guiding or leading described → matches the start
Business Impact: No survey or manager-mapping signal on criticality: kept at the start point.</t>
        </is>
      </c>
      <c r="FS372" s="56"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FT372" s="56" t="inlineStr">
        <is>
          <t>Self-identified: Project / programme management · Technical depth &amp; architecture · Broader exposure &amp; ownership
For the next role: Project / programme management · Technical depth &amp; architecture · Strategy &amp; business acumen · Broader exposure &amp; ownership</t>
        </is>
      </c>
      <c r="FU372" s="32" t="inlineStr">
        <is>
          <t>Full survey answers not in the files received · How We Grow export needed · HR</t>
        </is>
      </c>
    </row>
    <row r="373" ht="90" customHeight="1">
      <c r="A373" s="51" t="inlineStr">
        <is>
          <t>◂ Back</t>
        </is>
      </c>
      <c r="B373" s="29" t="inlineStr">
        <is>
          <t>Mapped</t>
        </is>
      </c>
      <c r="C373" s="28" t="inlineStr">
        <is>
          <t>iFile</t>
        </is>
      </c>
      <c r="D373" s="29" t="inlineStr">
        <is>
          <t>IRIS2474</t>
        </is>
      </c>
      <c r="E373" s="29" t="inlineStr">
        <is>
          <t>Pankaj Sharma</t>
        </is>
      </c>
      <c r="F373" s="29" t="inlineStr">
        <is>
          <t>Technology</t>
        </is>
      </c>
      <c r="G373" s="29" t="inlineStr">
        <is>
          <t>Software Engineer</t>
        </is>
      </c>
      <c r="H373" s="29" t="inlineStr">
        <is>
          <t>Senior Software Engineer</t>
        </is>
      </c>
      <c r="I373" s="29" t="inlineStr">
        <is>
          <t>L3 – Professional / Associate</t>
        </is>
      </c>
      <c r="J373" s="29" t="inlineStr">
        <is>
          <t>A3</t>
        </is>
      </c>
      <c r="K373" s="29" t="inlineStr">
        <is>
          <t>▲ Up</t>
        </is>
      </c>
      <c r="L373" s="29" t="inlineStr">
        <is>
          <t>Engineering &amp; Development</t>
        </is>
      </c>
      <c r="M373" s="29" t="inlineStr">
        <is>
          <t>Backend Development</t>
        </is>
      </c>
      <c r="N373" s="29" t="n"/>
      <c r="O373" s="29" t="n">
        <v>20</v>
      </c>
      <c r="P373" s="28" t="inlineStr">
        <is>
          <t>P2</t>
        </is>
      </c>
      <c r="Q373" s="29" t="inlineStr">
        <is>
          <t>Developing</t>
        </is>
      </c>
      <c r="R373" s="29" t="inlineStr">
        <is>
          <t>3 Apply</t>
        </is>
      </c>
      <c r="S373" s="29" t="inlineStr">
        <is>
          <t>2–4 yrs</t>
        </is>
      </c>
      <c r="T373" s="29" t="inlineStr">
        <is>
          <t>3–5 · 2–5</t>
        </is>
      </c>
      <c r="U373" s="29" t="inlineStr">
        <is>
          <t>Software Engineer</t>
        </is>
      </c>
      <c r="V373" s="29" t="inlineStr">
        <is>
          <t>Workiva: SE · Broadridge India: SE · Nasdaq / AxiomSL: SE · Salesforce: MTS · Atlassian: P40 · 3–7 yrs · Freshworks: Senior SE</t>
        </is>
      </c>
      <c r="W373" s="29" t="inlineStr">
        <is>
          <t>SFIA 9 · software development, programming; OWASP secure coding; cloud vendor certifications</t>
        </is>
      </c>
      <c r="X373" s="29" t="inlineStr">
        <is>
          <t>Core 2 · Future 2 · Functional 3 · Leadership not scored</t>
        </is>
      </c>
      <c r="Y373" s="52" t="n">
        <v>448</v>
      </c>
      <c r="Z373" s="53" t="inlineStr">
        <is>
          <t>IRIS2474</t>
        </is>
      </c>
      <c r="AA373" s="53" t="inlineStr">
        <is>
          <t>Employee</t>
        </is>
      </c>
      <c r="AB373" s="53" t="inlineStr">
        <is>
          <t>Active</t>
        </is>
      </c>
      <c r="AC373" s="53" t="inlineStr">
        <is>
          <t>Pankaj Sharma</t>
        </is>
      </c>
      <c r="AD373" s="54" t="n">
        <v>46056</v>
      </c>
      <c r="AE373" s="53" t="inlineStr">
        <is>
          <t>Software Engineer</t>
        </is>
      </c>
      <c r="AF373" s="53" t="inlineStr">
        <is>
          <t>MCA</t>
        </is>
      </c>
      <c r="AG373" s="53" t="inlineStr">
        <is>
          <t>Nikhil Nalawade</t>
        </is>
      </c>
      <c r="AH373" s="53" t="inlineStr">
        <is>
          <t>N-4</t>
        </is>
      </c>
      <c r="AI373" s="53" t="inlineStr">
        <is>
          <t>Individual Contributor</t>
        </is>
      </c>
      <c r="AJ373" s="53" t="inlineStr">
        <is>
          <t>4 years, 1 months, 0 days</t>
        </is>
      </c>
      <c r="AK373" s="53" t="inlineStr">
        <is>
          <t>0 years, 6 months, 22 days</t>
        </is>
      </c>
      <c r="AL373" s="53" t="inlineStr">
        <is>
          <t>Suptech</t>
        </is>
      </c>
      <c r="AM373" s="53" t="inlineStr">
        <is>
          <t>iFile</t>
        </is>
      </c>
      <c r="AN373" s="53" t="inlineStr">
        <is>
          <t>Technology</t>
        </is>
      </c>
      <c r="AO373" s="53" t="inlineStr">
        <is>
          <t>Development</t>
        </is>
      </c>
      <c r="AP373" s="53" t="inlineStr">
        <is>
          <t>Yes</t>
        </is>
      </c>
      <c r="AQ373" s="53" t="inlineStr">
        <is>
          <t>Product/Project</t>
        </is>
      </c>
      <c r="AR373" s="53" t="inlineStr">
        <is>
          <t>Java</t>
        </is>
      </c>
      <c r="AS373" s="53" t="inlineStr">
        <is>
          <t>Technical - Developer</t>
        </is>
      </c>
      <c r="AT373" s="53" t="n">
        <v>20</v>
      </c>
      <c r="AU373" s="53" t="inlineStr">
        <is>
          <t>Covered</t>
        </is>
      </c>
      <c r="AV373" s="53" t="n"/>
      <c r="AW373" s="53" t="n"/>
      <c r="AX373" s="53" t="n"/>
      <c r="AY373" s="53" t="n"/>
      <c r="AZ373" s="53" t="n"/>
      <c r="BA373" s="53" t="n"/>
      <c r="BB373" s="53" t="n"/>
      <c r="BC373" s="53" t="n"/>
      <c r="BD373" s="53" t="n"/>
      <c r="BE373" s="53" t="n"/>
      <c r="BF373" s="53" t="n"/>
      <c r="BG373" s="53" t="n"/>
      <c r="BH373" s="53" t="n"/>
      <c r="BI373" s="53" t="n"/>
      <c r="BJ373" s="53" t="n"/>
      <c r="BK373" s="53" t="n"/>
      <c r="BL373" s="53" t="n"/>
      <c r="BM373" s="53" t="n"/>
      <c r="BN373" s="53" t="n"/>
      <c r="BO373" s="53" t="n"/>
      <c r="BP373" s="53" t="n"/>
      <c r="BQ373" s="53" t="n"/>
      <c r="BR373" s="53" t="n"/>
      <c r="BS373" s="53" t="n"/>
      <c r="BT373" s="53" t="n"/>
      <c r="BU373" s="53" t="n"/>
      <c r="BV373" s="53" t="n"/>
      <c r="BW373" s="53" t="n"/>
      <c r="BX373" s="53" t="n"/>
      <c r="BY373" s="53" t="n"/>
      <c r="BZ373" s="53" t="n"/>
      <c r="CA373" s="53" t="n"/>
      <c r="CB373" s="53" t="n"/>
      <c r="CC373" s="53" t="n"/>
      <c r="CD373" s="53" t="n"/>
      <c r="CE373" s="53" t="n"/>
      <c r="CF373" s="53" t="n"/>
      <c r="CG373" s="53" t="n"/>
      <c r="CH373" s="53" t="n"/>
      <c r="CI373" s="53" t="n"/>
      <c r="CJ373" s="53" t="n"/>
      <c r="CK373" s="53" t="n"/>
      <c r="CL373" s="53" t="n"/>
      <c r="CM373" s="53" t="n"/>
      <c r="CN373" s="53" t="n"/>
      <c r="CO373" s="53" t="n"/>
      <c r="CP373" s="53" t="n"/>
      <c r="CQ373" s="53" t="n"/>
      <c r="CR373" s="53" t="n"/>
      <c r="CS373" s="53" t="n"/>
      <c r="CT373" s="53" t="n"/>
      <c r="CU373" s="53" t="n"/>
      <c r="CV373" s="53" t="n"/>
      <c r="CW373" s="53" t="n"/>
      <c r="CX373" s="53" t="n"/>
      <c r="CY373" s="53" t="n"/>
      <c r="CZ373" s="53" t="n"/>
      <c r="DA373" s="53" t="n"/>
      <c r="DB373" s="53" t="n"/>
      <c r="DC373" s="53" t="n"/>
      <c r="DD373" s="53" t="inlineStr">
        <is>
          <t>IRIS2474</t>
        </is>
      </c>
      <c r="DE373" s="53" t="inlineStr">
        <is>
          <t>Employee</t>
        </is>
      </c>
      <c r="DF373" s="53" t="inlineStr">
        <is>
          <t>Active</t>
        </is>
      </c>
      <c r="DG373" s="53" t="inlineStr">
        <is>
          <t>Pankaj Sharma</t>
        </is>
      </c>
      <c r="DH373" s="54" t="n">
        <v>46056</v>
      </c>
      <c r="DI373" s="53" t="inlineStr">
        <is>
          <t>Software Engineer</t>
        </is>
      </c>
      <c r="DJ373" s="53" t="inlineStr">
        <is>
          <t>Engineering &amp; Development</t>
        </is>
      </c>
      <c r="DK373" s="53" t="inlineStr">
        <is>
          <t>Backend Engineering · Java</t>
        </is>
      </c>
      <c r="DL373" s="53" t="inlineStr">
        <is>
          <t>Software Engineer</t>
        </is>
      </c>
      <c r="DM373" s="53" t="inlineStr">
        <is>
          <t>L3 – Professional / Associate</t>
        </is>
      </c>
      <c r="DN373" s="53" t="inlineStr">
        <is>
          <t>MCA</t>
        </is>
      </c>
      <c r="DO373" s="53" t="inlineStr">
        <is>
          <t>Nikhil Nalawade</t>
        </is>
      </c>
      <c r="DP373" s="53" t="inlineStr">
        <is>
          <t>N-3</t>
        </is>
      </c>
      <c r="DQ373" s="53" t="inlineStr">
        <is>
          <t>Individual Contributor</t>
        </is>
      </c>
      <c r="DR373" s="53" t="inlineStr">
        <is>
          <t>4 years, 1 months, 0 days</t>
        </is>
      </c>
      <c r="DS373" s="53" t="inlineStr">
        <is>
          <t>0 years, 4 months, 17 days</t>
        </is>
      </c>
      <c r="DT373" s="53" t="inlineStr">
        <is>
          <t>4 years, 5 months, 17 days</t>
        </is>
      </c>
      <c r="DU373" s="53" t="n"/>
      <c r="DV373" s="53" t="inlineStr">
        <is>
          <t>Suptech</t>
        </is>
      </c>
      <c r="DW373" s="53" t="inlineStr">
        <is>
          <t>iFile</t>
        </is>
      </c>
      <c r="DX373" s="53" t="inlineStr">
        <is>
          <t>Technology</t>
        </is>
      </c>
      <c r="DY373" s="53" t="inlineStr">
        <is>
          <t>Development</t>
        </is>
      </c>
      <c r="DZ373" s="53" t="inlineStr">
        <is>
          <t>Yes</t>
        </is>
      </c>
      <c r="EA373" s="53" t="inlineStr">
        <is>
          <t>Product/Project</t>
        </is>
      </c>
      <c r="EB373" s="53" t="inlineStr">
        <is>
          <t>Java</t>
        </is>
      </c>
      <c r="EC373" s="53" t="inlineStr">
        <is>
          <t>Technical - Developer</t>
        </is>
      </c>
      <c r="ED373" s="53" t="inlineStr">
        <is>
          <t>Work From Office - Turbhe</t>
        </is>
      </c>
      <c r="EE373" s="53" t="inlineStr">
        <is>
          <t>1. Own the design, development, testing, deployment, and production support of assigned modules/features, ensuring timely delivery, high quality, and adherence to engineering standards.
2. Deliver customer-requested enhancements and complex features while ensuring application performance, security, scalability, maintainability, and minimal production defects.
4. Strengthen expertise in Java, Angular, cloud, and DevOps technologies by driving code quality, CI/CD improvements, deployment automation, and engineering best practices.
5. Contribute to successful project deliveries, production go-lives, and post-production stabilization through proactive planning, risk mitigation, and timely issue resolution.
6. Leverage AI tools and technologies to improve development productivity, automate engineering processes, and implement innovative solutions that enhance project outcomes.
7. Complete at least two technical certifications or advanced training programs relevant to Java, Angular, Cloud, DevOps, Architecture, or related technologies.
8. Complete at least one AI-focused certification or training program and apply the acquired knowledge to improve development, testing, or engineering workflows.
9. Drive at least one technical improvement, automation, reusable framework/component, or process optimization that delivers measurable value to the project or team.
10. Mentor or onboard at least one junior team member or intern, conduct knowledge-sharing sessions, and actively support team capability development through code reviews and technical guidance.</t>
        </is>
      </c>
      <c r="EF373"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373"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H373" s="53" t="n">
        <v>3</v>
      </c>
      <c r="EI373" s="53" t="inlineStr">
        <is>
          <t>Pending</t>
        </is>
      </c>
      <c r="EJ373" s="53" t="inlineStr">
        <is>
          <t>Software Engineer</t>
        </is>
      </c>
      <c r="EK373" s="53" t="inlineStr">
        <is>
          <t>No</t>
        </is>
      </c>
      <c r="EL373" s="53" t="inlineStr">
        <is>
          <t>No</t>
        </is>
      </c>
      <c r="EM373" s="53" t="inlineStr">
        <is>
          <t>Medium</t>
        </is>
      </c>
      <c r="EN373" s="53" t="inlineStr">
        <is>
          <t>Emerging Talent</t>
        </is>
      </c>
      <c r="EO373" s="53" t="inlineStr">
        <is>
          <t>No</t>
        </is>
      </c>
      <c r="EP373" s="53" t="inlineStr">
        <is>
          <t>No</t>
        </is>
      </c>
      <c r="EQ373" s="53" t="inlineStr">
        <is>
          <t>No</t>
        </is>
      </c>
      <c r="ER373" s="53" t="inlineStr">
        <is>
          <t>Not Yet</t>
        </is>
      </c>
      <c r="ES373" s="53" t="inlineStr">
        <is>
          <t>1. Angular Architecture, Performance Optimization, Advanced TypeScript, State Management · NgRx
2. System Design, Design Patterns, Microservices Fundamentals, API Design
3. Secure Coding, OWASP, Code Quality, Unit &amp; Automation Testing · Playwright
4. Technical Leadership, Code Reviews, Estimation, Mentoring &amp; Knowledge Sharing
5. CI/CD, Docker, Kubernetes, Cloud Fundamentals · AWS/Azure, Deployment Automation
6. Prompt Engineering, GitHub Copilot, AI-assisted Development, Code Review &amp; Test Automation
7. Stakeholder Communication, Presentation Skills, Problem Solving, Collaboration, Time Management, Client Interaction</t>
        </is>
      </c>
      <c r="ET373" s="53" t="n"/>
      <c r="EU373" s="53" t="n"/>
      <c r="EV373" s="53" t="n"/>
      <c r="EW373" s="52" t="n"/>
      <c r="EX373" s="53" t="n"/>
      <c r="EY373" s="53" t="n"/>
      <c r="EZ373" s="53" t="n"/>
      <c r="FA373" s="53" t="n"/>
      <c r="FB373" s="53" t="n"/>
      <c r="FC373" s="53" t="n"/>
      <c r="FD373" s="53" t="n"/>
      <c r="FE373"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373"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FG373" s="56" t="inlineStr">
        <is>
          <t>1. Own the design, development, testing, deployment, and production support of assigned modules/features, ensuring timely delivery, high quality, and adherence to engineering standards.
2. Deliver customer-requested enhancements and complex features while ensuring application performance, security, scalability, maintainability, and minimal production defects.
4. Strengthen expertise in Java, Angular, cloud, and DevOps technologies by driving code quality, CI/CD improvements, deployment automation, and engineering best practices.
5. Contribute to successful project deliveries, production go-lives, and post-production stabilization through proactive planning, risk mitigation, and timely issue resolution.
6. Leverage AI tools and technologies to improve development productivity, automate engineering processes, and implement innovative solutions that enhance project outcomes.
7. Complete at least two technical certifications or advanced training programs relevant to Java, Angular, Cloud, DevOps, Architecture, or related technologies.
8. Complete at least one AI-focused certification or training program and apply the acquired knowledge to improve development, testing, or engineering workflows.
9. Drive at least one technical improvement, automation, reusable framework/component, or process optimization that delivers measurable value to the project or team.
10. Mentor or onboard at least one junior team member or intern, conduct knowledge-sharing sessions, and actively support team capability development through code reviews and technical guidance.</t>
        </is>
      </c>
      <c r="FH373" s="56" t="inlineStr">
        <is>
          <t>3</t>
        </is>
      </c>
      <c r="FI373" s="56" t="n"/>
      <c r="FJ373" s="56" t="inlineStr">
        <is>
          <t>Received · manager annual, quarterly, self</t>
        </is>
      </c>
      <c r="FK373" s="56" t="inlineStr">
        <is>
          <t>Talent Mapping · iFile collated</t>
        </is>
      </c>
      <c r="FL373" s="56" t="n">
        <v>20</v>
      </c>
      <c r="FM373" s="32" t="inlineStr">
        <is>
          <t>Full survey answers not in the files received · How We Grow export needed · HR</t>
        </is>
      </c>
      <c r="FN373" s="56" t="inlineStr">
        <is>
          <t>—</t>
        </is>
      </c>
      <c r="FO373" s="56" t="inlineStr">
        <is>
          <t>—</t>
        </is>
      </c>
      <c r="FP373" s="56" t="inlineStr">
        <is>
          <t>—</t>
        </is>
      </c>
      <c r="FQ373" s="56" t="inlineStr">
        <is>
          <t>—</t>
        </is>
      </c>
      <c r="FR373" s="56" t="inlineStr">
        <is>
          <t>Complexity: Evidence reads like A3: Built a full feature front and back end, with security improvements and client database integration → moved up 0.5
Autonomy: Evidence reads like A3: Decides enhancement deployment independently → moved up 0.5
Accountability: Evidence reads like A3: Accountable for the feature, client-database integration, security enhancement and its deployment at a sensitive client → moved up 0.5
Leadership: Evidence reads like A1: No guiding or leading described → matches the start
Business Impact: No survey or manager-mapping signal on criticality: kept at the start point.</t>
        </is>
      </c>
      <c r="FS373"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373" s="56" t="inlineStr">
        <is>
          <t>Self-identified: AI / automation · Technical depth &amp; architecture
For the next role: AI / automation · Technical depth &amp; architecture</t>
        </is>
      </c>
      <c r="FU373" s="32" t="inlineStr">
        <is>
          <t>Full survey answers not in the files received · How We Grow export needed · HR</t>
        </is>
      </c>
    </row>
    <row r="374" ht="90" customHeight="1">
      <c r="A374" s="51" t="inlineStr">
        <is>
          <t>◂ Back</t>
        </is>
      </c>
      <c r="B374" s="29" t="inlineStr">
        <is>
          <t>Mapped</t>
        </is>
      </c>
      <c r="C374" s="28" t="inlineStr">
        <is>
          <t>iFile</t>
        </is>
      </c>
      <c r="D374" s="29" t="inlineStr">
        <is>
          <t>IRIS2267</t>
        </is>
      </c>
      <c r="E374" s="29" t="inlineStr">
        <is>
          <t>Saurabh Jaykumar Wanjari</t>
        </is>
      </c>
      <c r="F374" s="29" t="inlineStr">
        <is>
          <t>Technology</t>
        </is>
      </c>
      <c r="G374" s="29" t="inlineStr">
        <is>
          <t>Software Engineer</t>
        </is>
      </c>
      <c r="H374" s="29" t="inlineStr">
        <is>
          <t>Senior Software Engineer</t>
        </is>
      </c>
      <c r="I374" s="29" t="inlineStr">
        <is>
          <t>L2 – Trainee</t>
        </is>
      </c>
      <c r="J374" s="29" t="inlineStr">
        <is>
          <t>A3</t>
        </is>
      </c>
      <c r="K374" s="29" t="inlineStr">
        <is>
          <t>▲ Up</t>
        </is>
      </c>
      <c r="L374" s="29" t="inlineStr">
        <is>
          <t>Engineering &amp; Development</t>
        </is>
      </c>
      <c r="M374" s="29" t="inlineStr">
        <is>
          <t>Backend Development</t>
        </is>
      </c>
      <c r="N374" s="29" t="n"/>
      <c r="O374" s="29" t="n">
        <v>20</v>
      </c>
      <c r="P374" s="28" t="inlineStr">
        <is>
          <t>P2</t>
        </is>
      </c>
      <c r="Q374" s="29" t="inlineStr">
        <is>
          <t>Developing</t>
        </is>
      </c>
      <c r="R374" s="29" t="inlineStr">
        <is>
          <t>3 Apply</t>
        </is>
      </c>
      <c r="S374" s="29" t="inlineStr">
        <is>
          <t>2–4 yrs</t>
        </is>
      </c>
      <c r="T374" s="29" t="inlineStr">
        <is>
          <t>3–5 · 2–5</t>
        </is>
      </c>
      <c r="U374" s="29" t="inlineStr">
        <is>
          <t>Software Engineer</t>
        </is>
      </c>
      <c r="V374" s="29" t="inlineStr">
        <is>
          <t>Workiva: SE · Broadridge India: SE · Nasdaq / AxiomSL: SE · Salesforce: MTS · Atlassian: P40 · 3–7 yrs · Freshworks: Senior SE</t>
        </is>
      </c>
      <c r="W374" s="29" t="inlineStr">
        <is>
          <t>SFIA 9 · software development, programming; OWASP secure coding; cloud vendor certifications</t>
        </is>
      </c>
      <c r="X374" s="29" t="inlineStr">
        <is>
          <t>Core 2 · Future 2 · Functional 3 · Leadership not scored</t>
        </is>
      </c>
      <c r="Y374" s="52" t="n">
        <v>324</v>
      </c>
      <c r="Z374" s="53" t="inlineStr">
        <is>
          <t>IRIS2267</t>
        </is>
      </c>
      <c r="AA374" s="53" t="inlineStr">
        <is>
          <t>Employee</t>
        </is>
      </c>
      <c r="AB374" s="53" t="inlineStr">
        <is>
          <t>Active</t>
        </is>
      </c>
      <c r="AC374" s="53" t="inlineStr">
        <is>
          <t>Saurabh Jaykumar Wanjari</t>
        </is>
      </c>
      <c r="AD374" s="54" t="n">
        <v>45446</v>
      </c>
      <c r="AE374" s="53" t="inlineStr">
        <is>
          <t>Software Engineer</t>
        </is>
      </c>
      <c r="AF374" s="53" t="inlineStr">
        <is>
          <t>B.Tech</t>
        </is>
      </c>
      <c r="AG374" s="53" t="inlineStr">
        <is>
          <t>Nikhil Nalawade</t>
        </is>
      </c>
      <c r="AH374" s="53" t="inlineStr">
        <is>
          <t>N-4</t>
        </is>
      </c>
      <c r="AI374" s="53" t="inlineStr">
        <is>
          <t>Individual Contributor</t>
        </is>
      </c>
      <c r="AJ374" s="53" t="inlineStr">
        <is>
          <t>0 years, 0 months, 0 days</t>
        </is>
      </c>
      <c r="AK374" s="53" t="inlineStr">
        <is>
          <t>2 years, 2 months, 22 days</t>
        </is>
      </c>
      <c r="AL374" s="53" t="inlineStr">
        <is>
          <t>Suptech</t>
        </is>
      </c>
      <c r="AM374" s="53" t="inlineStr">
        <is>
          <t>iFile</t>
        </is>
      </c>
      <c r="AN374" s="53" t="inlineStr">
        <is>
          <t>Technology</t>
        </is>
      </c>
      <c r="AO374" s="53" t="inlineStr">
        <is>
          <t>Development</t>
        </is>
      </c>
      <c r="AP374" s="53" t="inlineStr">
        <is>
          <t>Yes</t>
        </is>
      </c>
      <c r="AQ374" s="53" t="inlineStr">
        <is>
          <t>Product/Project</t>
        </is>
      </c>
      <c r="AR374" s="53" t="inlineStr">
        <is>
          <t>Java</t>
        </is>
      </c>
      <c r="AS374" s="53" t="inlineStr">
        <is>
          <t>Technical - Developer</t>
        </is>
      </c>
      <c r="AT374" s="53" t="n">
        <v>20</v>
      </c>
      <c r="AU374" s="53" t="inlineStr">
        <is>
          <t>Covered</t>
        </is>
      </c>
      <c r="AV374" s="53" t="n"/>
      <c r="AW374" s="53" t="n"/>
      <c r="AX374" s="53" t="n"/>
      <c r="AY374" s="53" t="n"/>
      <c r="AZ374" s="53" t="n"/>
      <c r="BA374" s="53" t="n"/>
      <c r="BB374" s="53" t="n"/>
      <c r="BC374" s="53" t="n"/>
      <c r="BD374" s="53" t="n"/>
      <c r="BE374" s="53" t="n"/>
      <c r="BF374" s="53" t="n"/>
      <c r="BG374" s="53" t="n"/>
      <c r="BH374" s="53" t="n"/>
      <c r="BI374" s="53" t="n"/>
      <c r="BJ374" s="53" t="n"/>
      <c r="BK374" s="53" t="n"/>
      <c r="BL374" s="53" t="n"/>
      <c r="BM374" s="53" t="n"/>
      <c r="BN374" s="53" t="n"/>
      <c r="BO374" s="53" t="n"/>
      <c r="BP374" s="53" t="n"/>
      <c r="BQ374" s="53" t="n"/>
      <c r="BR374" s="53" t="n"/>
      <c r="BS374" s="53" t="n"/>
      <c r="BT374" s="53" t="n"/>
      <c r="BU374" s="53" t="n"/>
      <c r="BV374" s="53" t="n"/>
      <c r="BW374" s="53" t="n"/>
      <c r="BX374" s="53" t="n"/>
      <c r="BY374" s="53" t="n"/>
      <c r="BZ374" s="53" t="n"/>
      <c r="CA374" s="53" t="n"/>
      <c r="CB374" s="53" t="n"/>
      <c r="CC374" s="53" t="n"/>
      <c r="CD374" s="53" t="n"/>
      <c r="CE374" s="53" t="n"/>
      <c r="CF374" s="53" t="n"/>
      <c r="CG374" s="53" t="n"/>
      <c r="CH374" s="53" t="n"/>
      <c r="CI374" s="53" t="n"/>
      <c r="CJ374" s="53" t="n"/>
      <c r="CK374" s="53" t="n"/>
      <c r="CL374" s="53" t="n"/>
      <c r="CM374" s="53" t="n"/>
      <c r="CN374" s="53" t="n"/>
      <c r="CO374" s="53" t="n"/>
      <c r="CP374" s="53" t="n"/>
      <c r="CQ374" s="53" t="n"/>
      <c r="CR374" s="53" t="n"/>
      <c r="CS374" s="53" t="n"/>
      <c r="CT374" s="53" t="n"/>
      <c r="CU374" s="53" t="n"/>
      <c r="CV374" s="53" t="n"/>
      <c r="CW374" s="53" t="n"/>
      <c r="CX374" s="53" t="n"/>
      <c r="CY374" s="53" t="n"/>
      <c r="CZ374" s="53" t="n"/>
      <c r="DA374" s="53" t="n"/>
      <c r="DB374" s="53" t="n"/>
      <c r="DC374" s="53" t="n"/>
      <c r="DD374" s="53" t="inlineStr">
        <is>
          <t>IRIS2267</t>
        </is>
      </c>
      <c r="DE374" s="53" t="inlineStr">
        <is>
          <t>Employee</t>
        </is>
      </c>
      <c r="DF374" s="53" t="inlineStr">
        <is>
          <t>Active</t>
        </is>
      </c>
      <c r="DG374" s="53" t="inlineStr">
        <is>
          <t>Saurabh Jaykumar Wanjari</t>
        </is>
      </c>
      <c r="DH374" s="54" t="n">
        <v>45446</v>
      </c>
      <c r="DI374" s="53" t="inlineStr">
        <is>
          <t>Trainee Software Engineer</t>
        </is>
      </c>
      <c r="DJ374" s="53" t="inlineStr">
        <is>
          <t>Engineering &amp; Development</t>
        </is>
      </c>
      <c r="DK374" s="53" t="inlineStr">
        <is>
          <t>Backend Engineering · Java</t>
        </is>
      </c>
      <c r="DL374" s="53" t="inlineStr">
        <is>
          <t>Trainee Software Engineer</t>
        </is>
      </c>
      <c r="DM374" s="53" t="inlineStr">
        <is>
          <t>L2 – Trainee</t>
        </is>
      </c>
      <c r="DN374" s="53" t="inlineStr">
        <is>
          <t>B.Tech</t>
        </is>
      </c>
      <c r="DO374" s="53" t="inlineStr">
        <is>
          <t>Nikhil Nalawade</t>
        </is>
      </c>
      <c r="DP374" s="53" t="inlineStr">
        <is>
          <t>N-3</t>
        </is>
      </c>
      <c r="DQ374" s="53" t="inlineStr">
        <is>
          <t>Individual Contributor</t>
        </is>
      </c>
      <c r="DR374" s="53" t="inlineStr">
        <is>
          <t>0 years, 0 months, 0 days</t>
        </is>
      </c>
      <c r="DS374" s="53" t="inlineStr">
        <is>
          <t>2 years, 0 months, 17 days</t>
        </is>
      </c>
      <c r="DT374" s="53" t="inlineStr">
        <is>
          <t>2 years, 0 months, 17 days</t>
        </is>
      </c>
      <c r="DU374" s="53" t="n"/>
      <c r="DV374" s="53" t="inlineStr">
        <is>
          <t>Suptech</t>
        </is>
      </c>
      <c r="DW374" s="53" t="inlineStr">
        <is>
          <t>iFile</t>
        </is>
      </c>
      <c r="DX374" s="53" t="inlineStr">
        <is>
          <t>Technology</t>
        </is>
      </c>
      <c r="DY374" s="53" t="inlineStr">
        <is>
          <t>Development</t>
        </is>
      </c>
      <c r="DZ374" s="53" t="inlineStr">
        <is>
          <t>Yes</t>
        </is>
      </c>
      <c r="EA374" s="53" t="inlineStr">
        <is>
          <t>Product/Project</t>
        </is>
      </c>
      <c r="EB374" s="53" t="inlineStr">
        <is>
          <t>Java</t>
        </is>
      </c>
      <c r="EC374" s="53" t="inlineStr">
        <is>
          <t>Technical - Developer</t>
        </is>
      </c>
      <c r="ED374" s="53" t="inlineStr">
        <is>
          <t>Work From Office - Turbhe</t>
        </is>
      </c>
      <c r="EE374" s="53" t="inlineStr">
        <is>
          <t>1. Take ownership of assigned modules/features from requirement analysis through design, development, testing, deployment, and production support, ensuring timely delivery and high quality.
2. Deliver customer-requested enhancements while maintaining application performance, security, code quality, and adherence to development standards.
3. Strengthen expertise in Java, Angular, and related technologies while contributing to CI/CD, deployment automation, and environment stability.
4. Support successful project deliveries, production go-lives, and post-production stabilization by ensuring operational readiness and timely resolution of issues.
5. Leverage AI tools and technologies to enhance development productivity, improve engineering processes, and implement innovative solutions within the project.
6. Complete at least two technical certifications or training programs relevant to the project technology stack · Java, Angular, Cloud, DevOps, or related technologies.
7. Complete at least one AI-focused certification or training program and demonstrate practical application in day-to-day development activities.
8. Apply acquired knowledge by implementing at least one technical improvement, automation, reusable component, or process optimization that delivers measurable value to the project.
9. Mentor or onboard at least one junior team member or intern</t>
        </is>
      </c>
      <c r="EF374"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374"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H374" s="53" t="n">
        <v>4</v>
      </c>
      <c r="EI374" s="53" t="inlineStr">
        <is>
          <t>Pending</t>
        </is>
      </c>
      <c r="EJ374" s="53" t="inlineStr">
        <is>
          <t>Software Engineer</t>
        </is>
      </c>
      <c r="EK374" s="53" t="inlineStr">
        <is>
          <t>No</t>
        </is>
      </c>
      <c r="EL374" s="53" t="n">
        <v>4</v>
      </c>
      <c r="EM374" s="53" t="inlineStr">
        <is>
          <t>High</t>
        </is>
      </c>
      <c r="EN374" s="53" t="inlineStr">
        <is>
          <t>Future Leader</t>
        </is>
      </c>
      <c r="EO374" s="53" t="inlineStr">
        <is>
          <t>No</t>
        </is>
      </c>
      <c r="EP374" s="53" t="inlineStr">
        <is>
          <t>Yes</t>
        </is>
      </c>
      <c r="EQ374" s="53" t="inlineStr">
        <is>
          <t>Yes</t>
        </is>
      </c>
      <c r="ER374" s="53" t="inlineStr">
        <is>
          <t>Viranchi</t>
        </is>
      </c>
      <c r="ES374" s="53" t="inlineStr">
        <is>
          <t>1. Angular Architecture &amp; Performance
2. System Design Fundamentals
3. Secure Coding &amp; Testing Automation
4. Technical Leadership &amp; Code Reviews
5. CI/CD &amp; DevOps
6.AI for Productivity &amp; Automation
7. Soft skills</t>
        </is>
      </c>
      <c r="ET374" s="53" t="n"/>
      <c r="EU374" s="53" t="n"/>
      <c r="EV374" s="53" t="n"/>
      <c r="EW374" s="52" t="n"/>
      <c r="EX374" s="53" t="n"/>
      <c r="EY374" s="53" t="n"/>
      <c r="EZ374" s="53" t="n"/>
      <c r="FA374" s="53" t="n"/>
      <c r="FB374" s="53" t="n"/>
      <c r="FC374" s="53" t="n"/>
      <c r="FD374" s="53" t="n"/>
      <c r="FE374"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374"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FG374" s="56" t="inlineStr">
        <is>
          <t>1. Take ownership of assigned modules/features from requirement analysis through design, development, testing, deployment, and production support, ensuring timely delivery and high quality.
2. Deliver customer-requested enhancements while maintaining application performance, security, code quality, and adherence to development standards.
3. Strengthen expertise in Java, Angular, and related technologies while contributing to CI/CD, deployment automation, and environment stability.
4. Support successful project deliveries, production go-lives, and post-production stabilization by ensuring operational readiness and timely resolution of issues.
5. Leverage AI tools and technologies to enhance development productivity, improve engineering processes, and implement innovative solutions within the project.
6. Complete at least two technical certifications or training programs relevant to the project technology stack · Java, Angular, Cloud, DevOps, or related technologies.
7. Complete at least one AI-focused certification or training program and demonstrate practical application in day-to-day development activities.
8. Apply acquired knowledge by implementing at least one technical improvement, automation, reusable component, or process optimization that delivers measurable value to the project.
9. Mentor or onboard at least one junior team member or intern</t>
        </is>
      </c>
      <c r="FH374" s="56" t="inlineStr">
        <is>
          <t>4</t>
        </is>
      </c>
      <c r="FI374" s="56" t="n"/>
      <c r="FJ374" s="56" t="inlineStr">
        <is>
          <t>Received · manager annual, quarterly, self</t>
        </is>
      </c>
      <c r="FK374" s="56" t="inlineStr">
        <is>
          <t>Talent Mapping · iFile collated</t>
        </is>
      </c>
      <c r="FL374" s="56" t="n">
        <v>20</v>
      </c>
      <c r="FM374" s="32" t="inlineStr">
        <is>
          <t>Full survey answers not in the files received · How We Grow export needed · HR</t>
        </is>
      </c>
      <c r="FN374" s="56" t="inlineStr">
        <is>
          <t>—</t>
        </is>
      </c>
      <c r="FO374" s="56" t="inlineStr">
        <is>
          <t>—</t>
        </is>
      </c>
      <c r="FP374" s="56" t="inlineStr">
        <is>
          <t>—</t>
        </is>
      </c>
      <c r="FQ374" s="56" t="inlineStr">
        <is>
          <t>—</t>
        </is>
      </c>
      <c r="FR374" s="56" t="inlineStr">
        <is>
          <t>Complexity: Evidence reads like A3: Development plus code merging, deployment on Kubernetes/Azure/AWS, support, and proposing solutions on client calls → moved up 0.5
Autonomy: Evidence reads like A3: Decides deployment, testing and bug fixes; proposes technical solutions to clients → moved up 0.5
Accountability: Evidence reads like A3: Accountable for solutions he proposes; failures escalate to the client and he explains them → moved up 0.5
Leadership: Evidence reads like A2: Acts as technical lead at client site only 'when required'; not a standing duty → moved up 0.5
Business Impact: Moved +0.5: the survey / manager mapping marks it business-critical.</t>
        </is>
      </c>
      <c r="FS374"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374" s="56" t="inlineStr">
        <is>
          <t>Self-identified: AI / automation · Technical depth &amp; architecture · Broader exposure &amp; ownership
For the next role: AI / automation · Technical depth &amp; architecture · Broader exposure &amp; ownership</t>
        </is>
      </c>
      <c r="FU374" s="32" t="inlineStr">
        <is>
          <t>Full survey answers not in the files received · How We Grow export needed · HR</t>
        </is>
      </c>
    </row>
    <row r="375" ht="90" customHeight="1">
      <c r="A375" s="51" t="inlineStr">
        <is>
          <t>◂ Back</t>
        </is>
      </c>
      <c r="B375" s="29" t="inlineStr">
        <is>
          <t>Mapped</t>
        </is>
      </c>
      <c r="C375" s="28" t="inlineStr">
        <is>
          <t>iFile</t>
        </is>
      </c>
      <c r="D375" s="29" t="inlineStr">
        <is>
          <t>IRIS2298</t>
        </is>
      </c>
      <c r="E375" s="29" t="inlineStr">
        <is>
          <t>Shubham Shrikhande</t>
        </is>
      </c>
      <c r="F375" s="29" t="inlineStr">
        <is>
          <t>Technology</t>
        </is>
      </c>
      <c r="G375" s="29" t="inlineStr">
        <is>
          <t>Software Engineer</t>
        </is>
      </c>
      <c r="H375" s="29" t="inlineStr">
        <is>
          <t>Senior Software Engineer</t>
        </is>
      </c>
      <c r="I375" s="29" t="inlineStr">
        <is>
          <t>L3 – Professional / Associate</t>
        </is>
      </c>
      <c r="J375" s="29" t="inlineStr">
        <is>
          <t>A3</t>
        </is>
      </c>
      <c r="K375" s="29" t="inlineStr">
        <is>
          <t>▲ Up</t>
        </is>
      </c>
      <c r="L375" s="29" t="inlineStr">
        <is>
          <t>Engineering &amp; Development</t>
        </is>
      </c>
      <c r="M375" s="29" t="inlineStr">
        <is>
          <t>Backend Development</t>
        </is>
      </c>
      <c r="N375" s="29" t="n"/>
      <c r="O375" s="29" t="n">
        <v>20</v>
      </c>
      <c r="P375" s="28" t="inlineStr">
        <is>
          <t>P2</t>
        </is>
      </c>
      <c r="Q375" s="29" t="inlineStr">
        <is>
          <t>Developing</t>
        </is>
      </c>
      <c r="R375" s="29" t="inlineStr">
        <is>
          <t>3 Apply</t>
        </is>
      </c>
      <c r="S375" s="29" t="inlineStr">
        <is>
          <t>2–4 yrs</t>
        </is>
      </c>
      <c r="T375" s="29" t="inlineStr">
        <is>
          <t>3–5 · 2–5</t>
        </is>
      </c>
      <c r="U375" s="29" t="inlineStr">
        <is>
          <t>Software Engineer</t>
        </is>
      </c>
      <c r="V375" s="29" t="inlineStr">
        <is>
          <t>Workiva: SE · Broadridge India: SE · Nasdaq / AxiomSL: SE · Salesforce: MTS · Atlassian: P40 · 3–7 yrs · Freshworks: Senior SE</t>
        </is>
      </c>
      <c r="W375" s="29" t="inlineStr">
        <is>
          <t>SFIA 9 · software development, programming; OWASP secure coding; cloud vendor certifications</t>
        </is>
      </c>
      <c r="X375" s="29" t="inlineStr">
        <is>
          <t>Core 2 · Future 2 · Functional 3 · Leadership not scored</t>
        </is>
      </c>
      <c r="Y375" s="52" t="n">
        <v>336</v>
      </c>
      <c r="Z375" s="53" t="inlineStr">
        <is>
          <t>IRIS2298</t>
        </is>
      </c>
      <c r="AA375" s="53" t="inlineStr">
        <is>
          <t>Employee</t>
        </is>
      </c>
      <c r="AB375" s="53" t="inlineStr">
        <is>
          <t>Active</t>
        </is>
      </c>
      <c r="AC375" s="53" t="inlineStr">
        <is>
          <t>Shubham Shrikhande</t>
        </is>
      </c>
      <c r="AD375" s="54" t="n">
        <v>45505</v>
      </c>
      <c r="AE375" s="53" t="inlineStr">
        <is>
          <t>Software Engineer</t>
        </is>
      </c>
      <c r="AF375" s="53" t="inlineStr">
        <is>
          <t>B.E</t>
        </is>
      </c>
      <c r="AG375" s="53" t="inlineStr">
        <is>
          <t>Nikhil Nalawade</t>
        </is>
      </c>
      <c r="AH375" s="53" t="inlineStr">
        <is>
          <t>N-4</t>
        </is>
      </c>
      <c r="AI375" s="53" t="inlineStr">
        <is>
          <t>Individual Contributor</t>
        </is>
      </c>
      <c r="AJ375" s="53" t="inlineStr">
        <is>
          <t>1 years, 0 months, 0 days</t>
        </is>
      </c>
      <c r="AK375" s="53" t="inlineStr">
        <is>
          <t>2 years, 0 months, 24 days</t>
        </is>
      </c>
      <c r="AL375" s="53" t="inlineStr">
        <is>
          <t>Suptech</t>
        </is>
      </c>
      <c r="AM375" s="53" t="inlineStr">
        <is>
          <t>iFile</t>
        </is>
      </c>
      <c r="AN375" s="53" t="inlineStr">
        <is>
          <t>Technology</t>
        </is>
      </c>
      <c r="AO375" s="53" t="inlineStr">
        <is>
          <t>Development</t>
        </is>
      </c>
      <c r="AP375" s="53" t="inlineStr">
        <is>
          <t>Yes</t>
        </is>
      </c>
      <c r="AQ375" s="53" t="inlineStr">
        <is>
          <t>Product/Project</t>
        </is>
      </c>
      <c r="AR375" s="53" t="inlineStr">
        <is>
          <t>Java</t>
        </is>
      </c>
      <c r="AS375" s="53" t="inlineStr">
        <is>
          <t>Technical - Developer</t>
        </is>
      </c>
      <c r="AT375" s="53" t="n">
        <v>20</v>
      </c>
      <c r="AU375" s="53" t="inlineStr">
        <is>
          <t>Covered</t>
        </is>
      </c>
      <c r="AV375" s="53" t="n"/>
      <c r="AW375" s="53" t="n"/>
      <c r="AX375" s="53" t="n"/>
      <c r="AY375" s="53" t="n"/>
      <c r="AZ375" s="53" t="n"/>
      <c r="BA375" s="53" t="n"/>
      <c r="BB375" s="53" t="n"/>
      <c r="BC375" s="53" t="n"/>
      <c r="BD375" s="53" t="n"/>
      <c r="BE375" s="53" t="n"/>
      <c r="BF375" s="53" t="n"/>
      <c r="BG375" s="53" t="n"/>
      <c r="BH375" s="53" t="n"/>
      <c r="BI375" s="53" t="n"/>
      <c r="BJ375" s="53" t="n"/>
      <c r="BK375" s="53" t="n"/>
      <c r="BL375" s="53" t="n"/>
      <c r="BM375" s="53" t="n"/>
      <c r="BN375" s="53" t="n"/>
      <c r="BO375" s="53" t="n"/>
      <c r="BP375" s="53" t="n"/>
      <c r="BQ375" s="53" t="n"/>
      <c r="BR375" s="53" t="n"/>
      <c r="BS375" s="53" t="n"/>
      <c r="BT375" s="53" t="n"/>
      <c r="BU375" s="53" t="n"/>
      <c r="BV375" s="53" t="n"/>
      <c r="BW375" s="53" t="n"/>
      <c r="BX375" s="53" t="n"/>
      <c r="BY375" s="53" t="n"/>
      <c r="BZ375" s="53" t="n"/>
      <c r="CA375" s="53" t="n"/>
      <c r="CB375" s="53" t="n"/>
      <c r="CC375" s="53" t="n"/>
      <c r="CD375" s="53" t="n"/>
      <c r="CE375" s="53" t="n"/>
      <c r="CF375" s="53" t="n"/>
      <c r="CG375" s="53" t="n"/>
      <c r="CH375" s="53" t="n"/>
      <c r="CI375" s="53" t="n"/>
      <c r="CJ375" s="53" t="n"/>
      <c r="CK375" s="53" t="n"/>
      <c r="CL375" s="53" t="n"/>
      <c r="CM375" s="53" t="n"/>
      <c r="CN375" s="53" t="n"/>
      <c r="CO375" s="53" t="n"/>
      <c r="CP375" s="53" t="n"/>
      <c r="CQ375" s="53" t="n"/>
      <c r="CR375" s="53" t="n"/>
      <c r="CS375" s="53" t="n"/>
      <c r="CT375" s="53" t="n"/>
      <c r="CU375" s="53" t="n"/>
      <c r="CV375" s="53" t="n"/>
      <c r="CW375" s="53" t="n"/>
      <c r="CX375" s="53" t="n"/>
      <c r="CY375" s="53" t="n"/>
      <c r="CZ375" s="53" t="n"/>
      <c r="DA375" s="53" t="n"/>
      <c r="DB375" s="53" t="n"/>
      <c r="DC375" s="53" t="n"/>
      <c r="DD375" s="53" t="inlineStr">
        <is>
          <t>IRIS2298</t>
        </is>
      </c>
      <c r="DE375" s="53" t="inlineStr">
        <is>
          <t>Employee</t>
        </is>
      </c>
      <c r="DF375" s="53" t="inlineStr">
        <is>
          <t>Active</t>
        </is>
      </c>
      <c r="DG375" s="53" t="inlineStr">
        <is>
          <t>Shubham Shrikhande</t>
        </is>
      </c>
      <c r="DH375" s="54" t="n">
        <v>45505</v>
      </c>
      <c r="DI375" s="53" t="inlineStr">
        <is>
          <t>Software Engineer</t>
        </is>
      </c>
      <c r="DJ375" s="53" t="inlineStr">
        <is>
          <t>Engineering &amp; Development</t>
        </is>
      </c>
      <c r="DK375" s="53" t="inlineStr">
        <is>
          <t>Backend Engineering · Java</t>
        </is>
      </c>
      <c r="DL375" s="53" t="inlineStr">
        <is>
          <t>Software Engineer</t>
        </is>
      </c>
      <c r="DM375" s="53" t="inlineStr">
        <is>
          <t>L3 – Professional / Associate</t>
        </is>
      </c>
      <c r="DN375" s="53" t="inlineStr">
        <is>
          <t>B.E</t>
        </is>
      </c>
      <c r="DO375" s="53" t="inlineStr">
        <is>
          <t>Nikhil Nalawade</t>
        </is>
      </c>
      <c r="DP375" s="53" t="inlineStr">
        <is>
          <t>N-3</t>
        </is>
      </c>
      <c r="DQ375" s="53" t="inlineStr">
        <is>
          <t>Individual Contributor</t>
        </is>
      </c>
      <c r="DR375" s="53" t="inlineStr">
        <is>
          <t>1 years, 0 months, 0 days</t>
        </is>
      </c>
      <c r="DS375" s="53" t="inlineStr">
        <is>
          <t>1 years, 10 months, 19 days</t>
        </is>
      </c>
      <c r="DT375" s="53" t="inlineStr">
        <is>
          <t>2 years, 10 months, 19 days</t>
        </is>
      </c>
      <c r="DU375" s="53" t="n"/>
      <c r="DV375" s="53" t="inlineStr">
        <is>
          <t>Suptech</t>
        </is>
      </c>
      <c r="DW375" s="53" t="inlineStr">
        <is>
          <t>iFile</t>
        </is>
      </c>
      <c r="DX375" s="53" t="inlineStr">
        <is>
          <t>Technology</t>
        </is>
      </c>
      <c r="DY375" s="53" t="inlineStr">
        <is>
          <t>Development</t>
        </is>
      </c>
      <c r="DZ375" s="53" t="inlineStr">
        <is>
          <t>Yes</t>
        </is>
      </c>
      <c r="EA375" s="53" t="inlineStr">
        <is>
          <t>Product/Project</t>
        </is>
      </c>
      <c r="EB375" s="53" t="inlineStr">
        <is>
          <t>Java</t>
        </is>
      </c>
      <c r="EC375" s="53" t="inlineStr">
        <is>
          <t>Technical - Developer</t>
        </is>
      </c>
      <c r="ED375" s="53" t="inlineStr">
        <is>
          <t>Hybrid</t>
        </is>
      </c>
      <c r="EE375" s="53" t="inlineStr">
        <is>
          <t>1. Take ownership of assigned modules/features from requirement analysis through design, development, testing, deployment, and production support, ensuring timely delivery and high quality.
2. Deliver customer-requested enhancements while maintaining application performance, security, code quality, and adherence to development standards.
3. Strengthen expertise in Java, Angular, and related technologies while contributing to CI/CD, deployment automation, and environment stability.
4. Support successful project deliveries, production go-lives, and post-production stabilization by ensuring operational readiness and timely resolution of issues.
5. Leverage AI tools and technologies to enhance development productivity, improve engineering processes, and implement innovative solutions within the project.
6. Complete at least two technical certifications or training programs relevant to the project technology stack · Java, Angular, Cloud, DevOps, or related technologies.
7. Complete at least one AI-focused certification or training program and demonstrate practical application in day-to-day development activities.
8. Apply acquired knowledge by implementing at least one technical improvement, automation, reusable component, or process optimization that delivers measurable value to the project.
9. Mentor or onboard at least one junior team member or intern</t>
        </is>
      </c>
      <c r="EF375"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375"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H375" s="53" t="n">
        <v>4</v>
      </c>
      <c r="EI375" s="53" t="inlineStr">
        <is>
          <t>Pending</t>
        </is>
      </c>
      <c r="EJ375" s="53" t="inlineStr">
        <is>
          <t>Software Engineer</t>
        </is>
      </c>
      <c r="EK375" s="53" t="inlineStr">
        <is>
          <t>No</t>
        </is>
      </c>
      <c r="EL375" s="53" t="n">
        <v>4</v>
      </c>
      <c r="EM375" s="53" t="inlineStr">
        <is>
          <t>High</t>
        </is>
      </c>
      <c r="EN375" s="53" t="inlineStr">
        <is>
          <t>High Impact / Growth Talent</t>
        </is>
      </c>
      <c r="EO375" s="53" t="inlineStr">
        <is>
          <t>No</t>
        </is>
      </c>
      <c r="EP375" s="53" t="inlineStr">
        <is>
          <t>No</t>
        </is>
      </c>
      <c r="EQ375" s="53" t="inlineStr">
        <is>
          <t>Yes</t>
        </is>
      </c>
      <c r="ER375" s="53" t="inlineStr">
        <is>
          <t>Not Yet</t>
        </is>
      </c>
      <c r="ES375" s="53" t="inlineStr">
        <is>
          <t>1. Angular Architecture &amp; Performance
2. System Design Fundamentals
3. Secure Coding &amp; Testing Automation
4. Technical Leadership &amp; Code Reviews
5. CI/CD &amp; DevOps
6.AI for Productivity &amp; Automation
7. Soft skills</t>
        </is>
      </c>
      <c r="ET375" s="53" t="n"/>
      <c r="EU375" s="53" t="n"/>
      <c r="EV375" s="53" t="n"/>
      <c r="EW375" s="52" t="n"/>
      <c r="EX375" s="53" t="n"/>
      <c r="EY375" s="53" t="n"/>
      <c r="EZ375" s="53" t="n"/>
      <c r="FA375" s="53" t="n"/>
      <c r="FB375" s="53" t="n"/>
      <c r="FC375" s="53" t="n"/>
      <c r="FD375" s="53" t="n"/>
      <c r="FE375"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375"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FG375" s="56" t="inlineStr">
        <is>
          <t>1. Take ownership of assigned modules/features from requirement analysis through design, development, testing, deployment, and production support, ensuring timely delivery and high quality.
2. Deliver customer-requested enhancements while maintaining application performance, security, code quality, and adherence to development standards.
3. Strengthen expertise in Java, Angular, and related technologies while contributing to CI/CD, deployment automation, and environment stability.
4. Support successful project deliveries, production go-lives, and post-production stabilization by ensuring operational readiness and timely resolution of issues.
5. Leverage AI tools and technologies to enhance development productivity, improve engineering processes, and implement innovative solutions within the project.
6. Complete at least two technical certifications or training programs relevant to the project technology stack · Java, Angular, Cloud, DevOps, or related technologies.
7. Complete at least one AI-focused certification or training program and demonstrate practical application in day-to-day development activities.
8. Apply acquired knowledge by implementing at least one technical improvement, automation, reusable component, or process optimization that delivers measurable value to the project.
9. Mentor or onboard at least one junior team member or intern</t>
        </is>
      </c>
      <c r="FH375" s="56" t="inlineStr">
        <is>
          <t>4</t>
        </is>
      </c>
      <c r="FI375" s="56" t="n"/>
      <c r="FJ375" s="56" t="inlineStr">
        <is>
          <t>Received · manager annual, quarterly, self</t>
        </is>
      </c>
      <c r="FK375" s="56" t="inlineStr">
        <is>
          <t>Talent Mapping · iFile collated</t>
        </is>
      </c>
      <c r="FL375" s="56" t="n">
        <v>20</v>
      </c>
      <c r="FM375" s="32" t="inlineStr">
        <is>
          <t>Full survey answers not in the files received · How We Grow export needed · HR</t>
        </is>
      </c>
      <c r="FN375" s="56" t="inlineStr">
        <is>
          <t>—</t>
        </is>
      </c>
      <c r="FO375" s="56" t="inlineStr">
        <is>
          <t>—</t>
        </is>
      </c>
      <c r="FP375" s="56" t="inlineStr">
        <is>
          <t>—</t>
        </is>
      </c>
      <c r="FQ375" s="56" t="inlineStr">
        <is>
          <t>—</t>
        </is>
      </c>
      <c r="FR375" s="56" t="inlineStr">
        <is>
          <t>Complexity: Evidence reads like A2: Develops and fixes a web application from requirements and QA feedback in Java and SQL → matches the start
Autonomy: Evidence reads like A2: Only independent action cited is checking logs → matches the start
Accountability: Evidence reads like A2: Accountable if functionality he developed does not run as per the process → matches the start
Leadership: Evidence reads like A1: No guiding or leading described → matches the start
Business Impact: Moved +0.5: the survey / manager mapping marks it business-critical.</t>
        </is>
      </c>
      <c r="FS375"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375" s="56" t="inlineStr">
        <is>
          <t>Self-identified: Leadership &amp; people management · Technical depth &amp; architecture
For the next role: Leadership &amp; people management · Technical depth &amp; architecture</t>
        </is>
      </c>
      <c r="FU375" s="32" t="inlineStr">
        <is>
          <t>Full survey answers not in the files received · How We Grow export needed · HR</t>
        </is>
      </c>
    </row>
    <row r="376" ht="90" customHeight="1">
      <c r="A376" s="51" t="inlineStr">
        <is>
          <t>◂ Back</t>
        </is>
      </c>
      <c r="B376" s="29" t="inlineStr">
        <is>
          <t>Mapped</t>
        </is>
      </c>
      <c r="C376" s="28" t="inlineStr">
        <is>
          <t>iFile</t>
        </is>
      </c>
      <c r="D376" s="29" t="inlineStr">
        <is>
          <t>IRIS2291</t>
        </is>
      </c>
      <c r="E376" s="29" t="inlineStr">
        <is>
          <t>Shubham Yadav</t>
        </is>
      </c>
      <c r="F376" s="29" t="inlineStr">
        <is>
          <t>Technology</t>
        </is>
      </c>
      <c r="G376" s="29" t="inlineStr">
        <is>
          <t>Software Engineer</t>
        </is>
      </c>
      <c r="H376" s="29" t="inlineStr">
        <is>
          <t>Senior UI Developer</t>
        </is>
      </c>
      <c r="I376" s="29" t="inlineStr">
        <is>
          <t>L3 – Professional / Associate</t>
        </is>
      </c>
      <c r="J376" s="29" t="inlineStr">
        <is>
          <t>A3</t>
        </is>
      </c>
      <c r="K376" s="29" t="inlineStr">
        <is>
          <t>▲ Up</t>
        </is>
      </c>
      <c r="L376" s="29" t="inlineStr">
        <is>
          <t>Engineering &amp; Development</t>
        </is>
      </c>
      <c r="M376" s="29" t="inlineStr">
        <is>
          <t>Front-End / UI Development</t>
        </is>
      </c>
      <c r="N376" s="29" t="inlineStr">
        <is>
          <t>• Confirm the reporting line — Manager</t>
        </is>
      </c>
      <c r="O376" s="29" t="n">
        <v>0</v>
      </c>
      <c r="P376" s="28" t="inlineStr">
        <is>
          <t>P2</t>
        </is>
      </c>
      <c r="Q376" s="29" t="inlineStr">
        <is>
          <t>Developing</t>
        </is>
      </c>
      <c r="R376" s="29" t="inlineStr">
        <is>
          <t>3 Apply</t>
        </is>
      </c>
      <c r="S376" s="29" t="inlineStr">
        <is>
          <t>2–4 yrs</t>
        </is>
      </c>
      <c r="T376" s="29" t="inlineStr">
        <is>
          <t>3–5 · 2–5</t>
        </is>
      </c>
      <c r="U376" s="29" t="inlineStr">
        <is>
          <t>Software Engineer</t>
        </is>
      </c>
      <c r="V376" s="29" t="inlineStr">
        <is>
          <t>Workiva: SE · Broadridge India: SE · Nasdaq / AxiomSL: SE · Salesforce: MTS · Atlassian: P40 · 3–7 yrs · Freshworks: Senior SE</t>
        </is>
      </c>
      <c r="W376" s="29" t="inlineStr">
        <is>
          <t>SFIA 9 · software development, programming; OWASP secure coding; cloud vendor certifications</t>
        </is>
      </c>
      <c r="X376" s="29" t="inlineStr">
        <is>
          <t>Core 2 · Future 2 · Functional 3 · Leadership not scored</t>
        </is>
      </c>
      <c r="Y376" s="52" t="n">
        <v>332</v>
      </c>
      <c r="Z376" s="53" t="inlineStr">
        <is>
          <t>IRIS2291</t>
        </is>
      </c>
      <c r="AA376" s="53" t="inlineStr">
        <is>
          <t>Employee</t>
        </is>
      </c>
      <c r="AB376" s="53" t="inlineStr">
        <is>
          <t>Serving Notice</t>
        </is>
      </c>
      <c r="AC376" s="53" t="inlineStr">
        <is>
          <t>Shubham Yadav</t>
        </is>
      </c>
      <c r="AD376" s="54" t="n">
        <v>45481</v>
      </c>
      <c r="AE376" s="53" t="inlineStr">
        <is>
          <t>Software Engineer</t>
        </is>
      </c>
      <c r="AF376" s="53" t="inlineStr">
        <is>
          <t>B.E</t>
        </is>
      </c>
      <c r="AG376" s="53" t="inlineStr">
        <is>
          <t>Nikhil Nalawade</t>
        </is>
      </c>
      <c r="AH376" s="53" t="inlineStr">
        <is>
          <t>N-4</t>
        </is>
      </c>
      <c r="AI376" s="53" t="inlineStr">
        <is>
          <t>Manager</t>
        </is>
      </c>
      <c r="AJ376" s="53" t="inlineStr">
        <is>
          <t>3 years, 3 months, 0 days</t>
        </is>
      </c>
      <c r="AK376" s="53" t="inlineStr">
        <is>
          <t>2 years, 1 months, 17 days</t>
        </is>
      </c>
      <c r="AL376" s="53" t="inlineStr">
        <is>
          <t>Suptech</t>
        </is>
      </c>
      <c r="AM376" s="53" t="inlineStr">
        <is>
          <t>iFile</t>
        </is>
      </c>
      <c r="AN376" s="53" t="inlineStr">
        <is>
          <t>Technology</t>
        </is>
      </c>
      <c r="AO376" s="53" t="inlineStr">
        <is>
          <t>Development</t>
        </is>
      </c>
      <c r="AP376" s="53" t="inlineStr">
        <is>
          <t>Yes</t>
        </is>
      </c>
      <c r="AQ376" s="53" t="inlineStr">
        <is>
          <t>Product/Project</t>
        </is>
      </c>
      <c r="AR376" s="53" t="inlineStr">
        <is>
          <t>Angular</t>
        </is>
      </c>
      <c r="AS376" s="53" t="inlineStr">
        <is>
          <t>Technical - Developer</t>
        </is>
      </c>
      <c r="AT376" s="53" t="n">
        <v>0</v>
      </c>
      <c r="AU376" s="53" t="inlineStr">
        <is>
          <t>Excluded</t>
        </is>
      </c>
      <c r="AV376" s="53" t="n"/>
      <c r="AW376" s="53" t="n"/>
      <c r="AX376" s="53" t="n"/>
      <c r="AY376" s="53" t="n"/>
      <c r="AZ376" s="53" t="n"/>
      <c r="BA376" s="53" t="n"/>
      <c r="BB376" s="53" t="n"/>
      <c r="BC376" s="53" t="n"/>
      <c r="BD376" s="53" t="n"/>
      <c r="BE376" s="53" t="n"/>
      <c r="BF376" s="53" t="n"/>
      <c r="BG376" s="53" t="n"/>
      <c r="BH376" s="53" t="n"/>
      <c r="BI376" s="53" t="n"/>
      <c r="BJ376" s="53" t="n"/>
      <c r="BK376" s="53" t="n"/>
      <c r="BL376" s="53" t="n"/>
      <c r="BM376" s="53" t="n"/>
      <c r="BN376" s="53" t="n"/>
      <c r="BO376" s="53" t="n"/>
      <c r="BP376" s="53" t="n"/>
      <c r="BQ376" s="53" t="n"/>
      <c r="BR376" s="53" t="n"/>
      <c r="BS376" s="53" t="n"/>
      <c r="BT376" s="53" t="n"/>
      <c r="BU376" s="53" t="n"/>
      <c r="BV376" s="53" t="n"/>
      <c r="BW376" s="53" t="n"/>
      <c r="BX376" s="53" t="n"/>
      <c r="BY376" s="53" t="n"/>
      <c r="BZ376" s="53" t="n"/>
      <c r="CA376" s="53" t="n"/>
      <c r="CB376" s="53" t="n"/>
      <c r="CC376" s="53" t="n"/>
      <c r="CD376" s="53" t="n"/>
      <c r="CE376" s="53" t="n"/>
      <c r="CF376" s="53" t="n"/>
      <c r="CG376" s="53" t="n"/>
      <c r="CH376" s="53" t="n"/>
      <c r="CI376" s="53" t="n"/>
      <c r="CJ376" s="53" t="n"/>
      <c r="CK376" s="53" t="n"/>
      <c r="CL376" s="53" t="n"/>
      <c r="CM376" s="53" t="n"/>
      <c r="CN376" s="53" t="n"/>
      <c r="CO376" s="53" t="n"/>
      <c r="CP376" s="53" t="n"/>
      <c r="CQ376" s="53" t="n"/>
      <c r="CR376" s="53" t="n"/>
      <c r="CS376" s="53" t="n"/>
      <c r="CT376" s="53" t="n"/>
      <c r="CU376" s="53" t="n"/>
      <c r="CV376" s="53" t="n"/>
      <c r="CW376" s="53" t="n"/>
      <c r="CX376" s="53" t="n"/>
      <c r="CY376" s="53" t="n"/>
      <c r="CZ376" s="53" t="n"/>
      <c r="DA376" s="53" t="n"/>
      <c r="DB376" s="53" t="n"/>
      <c r="DC376" s="53" t="n"/>
      <c r="DD376" s="53" t="inlineStr">
        <is>
          <t>IRIS2291</t>
        </is>
      </c>
      <c r="DE376" s="53" t="inlineStr">
        <is>
          <t>Employee</t>
        </is>
      </c>
      <c r="DF376" s="53" t="inlineStr">
        <is>
          <t>Active</t>
        </is>
      </c>
      <c r="DG376" s="53" t="inlineStr">
        <is>
          <t>Shubham Yadav</t>
        </is>
      </c>
      <c r="DH376" s="54" t="n">
        <v>45481</v>
      </c>
      <c r="DI376" s="53" t="inlineStr">
        <is>
          <t>Software Engineer</t>
        </is>
      </c>
      <c r="DJ376" s="53" t="inlineStr">
        <is>
          <t>Engineering &amp; Development</t>
        </is>
      </c>
      <c r="DK376" s="53" t="inlineStr">
        <is>
          <t>Software Engineering</t>
        </is>
      </c>
      <c r="DL376" s="53" t="inlineStr">
        <is>
          <t>Software Engineer</t>
        </is>
      </c>
      <c r="DM376" s="53" t="inlineStr">
        <is>
          <t>L3 – Professional / Associate</t>
        </is>
      </c>
      <c r="DN376" s="53" t="inlineStr">
        <is>
          <t>B.E</t>
        </is>
      </c>
      <c r="DO376" s="53" t="inlineStr">
        <is>
          <t>Nikhil Nalawade</t>
        </is>
      </c>
      <c r="DP376" s="53" t="inlineStr">
        <is>
          <t>N-3</t>
        </is>
      </c>
      <c r="DQ376" s="53" t="inlineStr">
        <is>
          <t>Manager</t>
        </is>
      </c>
      <c r="DR376" s="53" t="inlineStr">
        <is>
          <t>3 years, 3 months, 0 days</t>
        </is>
      </c>
      <c r="DS376" s="53" t="inlineStr">
        <is>
          <t>1 years, 11 months, 12 days</t>
        </is>
      </c>
      <c r="DT376" s="53" t="inlineStr">
        <is>
          <t>5 years, 2 months, 12 days</t>
        </is>
      </c>
      <c r="DU376" s="53" t="n">
        <v>1.94954337899543</v>
      </c>
      <c r="DV376" s="53" t="inlineStr">
        <is>
          <t>Suptech</t>
        </is>
      </c>
      <c r="DW376" s="53" t="inlineStr">
        <is>
          <t>iFile</t>
        </is>
      </c>
      <c r="DX376" s="53" t="inlineStr">
        <is>
          <t>Technology</t>
        </is>
      </c>
      <c r="DY376" s="53" t="inlineStr">
        <is>
          <t>Development</t>
        </is>
      </c>
      <c r="DZ376" s="53" t="inlineStr">
        <is>
          <t>Yes</t>
        </is>
      </c>
      <c r="EA376" s="53" t="inlineStr">
        <is>
          <t>Product/Project</t>
        </is>
      </c>
      <c r="EB376" s="53" t="inlineStr">
        <is>
          <t>Angular</t>
        </is>
      </c>
      <c r="EC376" s="53" t="inlineStr">
        <is>
          <t>Technical - Developer</t>
        </is>
      </c>
      <c r="ED376" s="53" t="inlineStr">
        <is>
          <t>Remote - Mumbai</t>
        </is>
      </c>
      <c r="EE376" s="53" t="n"/>
      <c r="EF376" s="53" t="inlineStr">
        <is>
          <t>1. Deliver team release roadmap on schedule: &gt;=90% of committed releases on time
2. Keep team sprint velocity stable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EG376" s="53" t="inlineStr">
        <is>
          <t>Q1: Deliver team release roadmap on schedule: &gt;=90% of committed releases on time
Q1: Keep team sprint velocity stable and defect leakage &lt;=5%
Q1: Drive production stability: critical incidents resolved within SLA &gt;=95%
Q1: Reduce module-level tech debt by &gt;=15% via refactoring / reusable components</t>
        </is>
      </c>
      <c r="EH376" s="53" t="n"/>
      <c r="EI376" s="53" t="n"/>
      <c r="EJ376" s="53" t="inlineStr">
        <is>
          <t>Software Engineer</t>
        </is>
      </c>
      <c r="EK376" s="53" t="inlineStr">
        <is>
          <t>Carries manager responsibility on a non-lead title – align title/grade to people-management scope</t>
        </is>
      </c>
      <c r="EL376" s="53" t="n"/>
      <c r="EM376" s="53" t="n"/>
      <c r="EN376" s="53" t="n"/>
      <c r="EO376" s="53" t="n"/>
      <c r="EP376" s="53" t="n"/>
      <c r="EQ376" s="53" t="n"/>
      <c r="ER376" s="53" t="n"/>
      <c r="ES376" s="53" t="inlineStr">
        <is>
          <t>Advanced Angular; secure coding &amp; code-quality practices; unit/automated testing; system design fundamentals | People management: goal-setting &amp; feedback, 1:1 coaching, performance conversations</t>
        </is>
      </c>
      <c r="ET376" s="53" t="inlineStr">
        <is>
          <t>Leadership development: strategic thinking, cross-functional influence, financial/business acumen, succession &amp; talent development, change management, executive communication</t>
        </is>
      </c>
      <c r="EU376" s="53" t="n"/>
      <c r="EV376" s="53" t="n"/>
      <c r="EW376" s="52" t="n"/>
      <c r="EX376" s="53" t="n"/>
      <c r="EY376" s="53" t="n"/>
      <c r="EZ376" s="53" t="n"/>
      <c r="FA376" s="53" t="n"/>
      <c r="FB376" s="53" t="n"/>
      <c r="FC376" s="53" t="n"/>
      <c r="FD376" s="53" t="n"/>
      <c r="FE376" s="57" t="inlineStr">
        <is>
          <t>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t>
        </is>
      </c>
      <c r="FF376" s="56" t="inlineStr">
        <is>
          <t>Q1: Deliver team release roadmap on schedule: &gt;=90% of committed releases on time
Q1: Keep team sprint velocity stable · +/-10% and defect leakage &lt;=5%
Q1: Drive production stability: critical incidents resolved within SLA &gt;=95%
Q1: Reduce module-level tech debt by &gt;=15% via refactoring / reusable components</t>
        </is>
      </c>
      <c r="FG376" s="56" t="n"/>
      <c r="FH376" s="56" t="n"/>
      <c r="FI376" s="56" t="n"/>
      <c r="FJ376" s="56" t="inlineStr">
        <is>
          <t>Received · manager annual, quarterly</t>
        </is>
      </c>
      <c r="FK376" s="56" t="inlineStr">
        <is>
          <t>Talent Mapping · iFile collated</t>
        </is>
      </c>
      <c r="FL376" s="56" t="n">
        <v>0</v>
      </c>
      <c r="FM376" s="32" t="inlineStr">
        <is>
          <t>No survey response on file</t>
        </is>
      </c>
      <c r="FN376" s="56" t="inlineStr">
        <is>
          <t>—</t>
        </is>
      </c>
      <c r="FO376" s="56" t="inlineStr">
        <is>
          <t>—</t>
        </is>
      </c>
      <c r="FP376" s="56" t="inlineStr">
        <is>
          <t>—</t>
        </is>
      </c>
      <c r="FQ376" s="56" t="inlineStr">
        <is>
          <t>—</t>
        </is>
      </c>
      <c r="FR376" s="56" t="inlineStr">
        <is>
          <t>Complexity: Evidence: no survey answers or KRAs on file → rating stays at the start
Autonomy: Evidence: no survey answers or KRAs on file → rating stays at the start
Accountability: Evidence reads like B1: KRA: team release roadmap, sprint velocity and production stability; one direct report → moved up 0.5
Leadership: Evidence reads like A3: KRA: quarterly goals, monthly 1:1s and upskilling for reports; one direct report → moved down 0.5
Business Impact: No survey or manager-mapping signal on criticality: kept at the start point.</t>
        </is>
      </c>
      <c r="FS376" s="56" t="inlineStr">
        <is>
          <t>Common themes in role-holders' answers: core · purpose · web · improve · business · user-friendly
Common themes in role-holders' answers: ui · user · performance · design · development · testing
Common themes in role-holders' answers: user · app
Common themes in role-holders' answers: development · am · accountable · quality · ui · responsive user-friendly
Common themes in role-holders' answers: code · ui
If the work is missed · role-holders' themes: impact · delivery · performance · overall.
Measured on · manager-set KRA themes: components · sprint · code · coverage · quality · maintain.</t>
        </is>
      </c>
      <c r="FT376" s="56" t="n"/>
      <c r="FU376" s="32" t="inlineStr">
        <is>
          <t>No survey response on file</t>
        </is>
      </c>
    </row>
    <row r="377" ht="90" customHeight="1">
      <c r="A377" s="51" t="inlineStr">
        <is>
          <t>◂ Back</t>
        </is>
      </c>
      <c r="B377" s="29" t="inlineStr">
        <is>
          <t>Mapped</t>
        </is>
      </c>
      <c r="C377" s="28" t="inlineStr">
        <is>
          <t>iFile</t>
        </is>
      </c>
      <c r="D377" s="29" t="inlineStr">
        <is>
          <t>IRIS2559</t>
        </is>
      </c>
      <c r="E377" s="29" t="inlineStr">
        <is>
          <t>Amaan Ullah</t>
        </is>
      </c>
      <c r="F377" s="29" t="inlineStr">
        <is>
          <t>Technology</t>
        </is>
      </c>
      <c r="G377" s="29" t="inlineStr">
        <is>
          <t>Trainee Software Engineer</t>
        </is>
      </c>
      <c r="H377" s="29" t="inlineStr">
        <is>
          <t>Trainee Software Engineer</t>
        </is>
      </c>
      <c r="I377" s="29" t="inlineStr">
        <is>
          <t>L1 – Intern</t>
        </is>
      </c>
      <c r="J377" s="29" t="inlineStr">
        <is>
          <t>A1</t>
        </is>
      </c>
      <c r="K377" s="29" t="inlineStr">
        <is>
          <t>• Same level</t>
        </is>
      </c>
      <c r="L377" s="29" t="inlineStr">
        <is>
          <t>Engineering &amp; Development</t>
        </is>
      </c>
      <c r="M377" s="29" t="inlineStr">
        <is>
          <t>Full-Stack Development</t>
        </is>
      </c>
      <c r="N377" s="29" t="n"/>
      <c r="O377" s="29" t="n">
        <v>20</v>
      </c>
      <c r="P377" s="28" t="inlineStr">
        <is>
          <t>Entry / P1 · intern</t>
        </is>
      </c>
      <c r="Q377" s="29" t="inlineStr">
        <is>
          <t>Entry</t>
        </is>
      </c>
      <c r="R377" s="29" t="inlineStr">
        <is>
          <t>1 Follow</t>
        </is>
      </c>
      <c r="S377" s="29" t="inlineStr">
        <is>
          <t>0 yrs · fresher / intern</t>
        </is>
      </c>
      <c r="T377" s="29" t="inlineStr">
        <is>
          <t>—</t>
        </is>
      </c>
      <c r="U377" s="29" t="inlineStr">
        <is>
          <t>Associate Software Engineer</t>
        </is>
      </c>
      <c r="V377" s="29" t="inlineStr">
        <is>
          <t>—</t>
        </is>
      </c>
      <c r="W377" s="29" t="inlineStr">
        <is>
          <t>SFIA 9 · software development, programming; OWASP secure coding; cloud vendor certifications</t>
        </is>
      </c>
      <c r="X377" s="29" t="inlineStr">
        <is>
          <t>Core 1 · Future 1 · Functional 1 · Leadership not scored</t>
        </is>
      </c>
      <c r="Y377" s="52" t="n">
        <v>532</v>
      </c>
      <c r="Z377" s="53" t="inlineStr">
        <is>
          <t>IRIS2559</t>
        </is>
      </c>
      <c r="AA377" s="53" t="inlineStr">
        <is>
          <t>Employee</t>
        </is>
      </c>
      <c r="AB377" s="53" t="inlineStr">
        <is>
          <t>Active</t>
        </is>
      </c>
      <c r="AC377" s="53" t="inlineStr">
        <is>
          <t>Amaan Ullah</t>
        </is>
      </c>
      <c r="AD377" s="54" t="n">
        <v>46266</v>
      </c>
      <c r="AE377" s="53" t="inlineStr">
        <is>
          <t>Trainee Software Engineer</t>
        </is>
      </c>
      <c r="AF377" s="53" t="inlineStr">
        <is>
          <t>B.Tech</t>
        </is>
      </c>
      <c r="AG377" s="53" t="inlineStr">
        <is>
          <t>Shubham Yadav</t>
        </is>
      </c>
      <c r="AH377" s="53" t="inlineStr">
        <is>
          <t>N-5</t>
        </is>
      </c>
      <c r="AI377" s="53" t="inlineStr">
        <is>
          <t>Individual Contributor</t>
        </is>
      </c>
      <c r="AJ377" s="53" t="n"/>
      <c r="AK377" s="53" t="n"/>
      <c r="AL377" s="53" t="inlineStr">
        <is>
          <t>Suptech</t>
        </is>
      </c>
      <c r="AM377" s="53" t="inlineStr">
        <is>
          <t>iFile</t>
        </is>
      </c>
      <c r="AN377" s="53" t="inlineStr">
        <is>
          <t>Technology</t>
        </is>
      </c>
      <c r="AO377" s="53" t="inlineStr">
        <is>
          <t>Development</t>
        </is>
      </c>
      <c r="AP377" s="53" t="inlineStr">
        <is>
          <t>Yes</t>
        </is>
      </c>
      <c r="AQ377" s="53" t="inlineStr">
        <is>
          <t>Product/Project</t>
        </is>
      </c>
      <c r="AR377" s="53" t="inlineStr">
        <is>
          <t>Angular</t>
        </is>
      </c>
      <c r="AS377" s="53" t="inlineStr">
        <is>
          <t>Technical - Developer</t>
        </is>
      </c>
      <c r="AT377" s="53" t="n">
        <v>20</v>
      </c>
      <c r="AU377" s="53" t="inlineStr">
        <is>
          <t>Covered</t>
        </is>
      </c>
      <c r="AV377" s="53" t="n"/>
      <c r="AW377" s="53" t="n"/>
      <c r="AX377" s="53" t="n"/>
      <c r="AY377" s="53" t="n"/>
      <c r="AZ377" s="53" t="n"/>
      <c r="BA377" s="53" t="n"/>
      <c r="BB377" s="53" t="n"/>
      <c r="BC377" s="53" t="n"/>
      <c r="BD377" s="53" t="n"/>
      <c r="BE377" s="53" t="n"/>
      <c r="BF377" s="53" t="n"/>
      <c r="BG377" s="53" t="n"/>
      <c r="BH377" s="53" t="n"/>
      <c r="BI377" s="53" t="n"/>
      <c r="BJ377" s="53" t="n"/>
      <c r="BK377" s="53" t="n"/>
      <c r="BL377" s="53" t="n"/>
      <c r="BM377" s="53" t="n"/>
      <c r="BN377" s="53" t="n"/>
      <c r="BO377" s="53" t="n"/>
      <c r="BP377" s="53" t="n"/>
      <c r="BQ377" s="53" t="n"/>
      <c r="BR377" s="53" t="n"/>
      <c r="BS377" s="53" t="n"/>
      <c r="BT377" s="53" t="n"/>
      <c r="BU377" s="53" t="n"/>
      <c r="BV377" s="53" t="n"/>
      <c r="BW377" s="53" t="n"/>
      <c r="BX377" s="53" t="n"/>
      <c r="BY377" s="53" t="n"/>
      <c r="BZ377" s="53" t="n"/>
      <c r="CA377" s="53" t="n"/>
      <c r="CB377" s="53" t="n"/>
      <c r="CC377" s="53" t="n"/>
      <c r="CD377" s="53" t="n"/>
      <c r="CE377" s="53" t="n"/>
      <c r="CF377" s="53" t="n"/>
      <c r="CG377" s="53" t="n"/>
      <c r="CH377" s="53" t="n"/>
      <c r="CI377" s="53" t="n"/>
      <c r="CJ377" s="53" t="n"/>
      <c r="CK377" s="53" t="n"/>
      <c r="CL377" s="53" t="n"/>
      <c r="CM377" s="53" t="n"/>
      <c r="CN377" s="53" t="n"/>
      <c r="CO377" s="53" t="n"/>
      <c r="CP377" s="53" t="n"/>
      <c r="CQ377" s="53" t="n"/>
      <c r="CR377" s="53" t="n"/>
      <c r="CS377" s="53" t="n"/>
      <c r="CT377" s="53" t="n"/>
      <c r="CU377" s="53" t="n"/>
      <c r="CV377" s="53" t="n"/>
      <c r="CW377" s="53" t="n"/>
      <c r="CX377" s="53" t="n"/>
      <c r="CY377" s="53" t="n"/>
      <c r="CZ377" s="53" t="n"/>
      <c r="DA377" s="53" t="n"/>
      <c r="DB377" s="53" t="n"/>
      <c r="DC377" s="53" t="n"/>
      <c r="DD377" s="53" t="inlineStr">
        <is>
          <t>INTN0284</t>
        </is>
      </c>
      <c r="DE377" s="53" t="inlineStr">
        <is>
          <t>Intern</t>
        </is>
      </c>
      <c r="DF377" s="53" t="inlineStr">
        <is>
          <t>Active</t>
        </is>
      </c>
      <c r="DG377" s="53" t="inlineStr">
        <is>
          <t>Amaan Ullah</t>
        </is>
      </c>
      <c r="DH377" s="54" t="n">
        <v>45992</v>
      </c>
      <c r="DI377" s="53" t="inlineStr">
        <is>
          <t>Intern</t>
        </is>
      </c>
      <c r="DJ377" s="53" t="inlineStr">
        <is>
          <t>Engineering &amp; Development</t>
        </is>
      </c>
      <c r="DK377" s="53" t="inlineStr">
        <is>
          <t>Software Engineering</t>
        </is>
      </c>
      <c r="DL377" s="53" t="inlineStr">
        <is>
          <t>Intern</t>
        </is>
      </c>
      <c r="DM377" s="53" t="inlineStr">
        <is>
          <t>L1 – Intern</t>
        </is>
      </c>
      <c r="DN377" s="53" t="inlineStr">
        <is>
          <t>B.Tech</t>
        </is>
      </c>
      <c r="DO377" s="53" t="inlineStr">
        <is>
          <t>Shubham Yadav</t>
        </is>
      </c>
      <c r="DP377" s="53" t="inlineStr">
        <is>
          <t>N-4</t>
        </is>
      </c>
      <c r="DQ377" s="53" t="inlineStr">
        <is>
          <t>Individual Contributor</t>
        </is>
      </c>
      <c r="DR377" s="53" t="inlineStr">
        <is>
          <t>0 years, 4 months, 0 days</t>
        </is>
      </c>
      <c r="DS377" s="53" t="inlineStr">
        <is>
          <t>0 years, 6 months, 19 days</t>
        </is>
      </c>
      <c r="DT377" s="53" t="inlineStr">
        <is>
          <t>0 years, 10 months, 19 days</t>
        </is>
      </c>
      <c r="DU377" s="53" t="n"/>
      <c r="DV377" s="53" t="inlineStr">
        <is>
          <t>Suptech</t>
        </is>
      </c>
      <c r="DW377" s="53" t="inlineStr">
        <is>
          <t>iFile</t>
        </is>
      </c>
      <c r="DX377" s="53" t="inlineStr">
        <is>
          <t>Technology</t>
        </is>
      </c>
      <c r="DY377" s="53" t="inlineStr">
        <is>
          <t>Development</t>
        </is>
      </c>
      <c r="DZ377" s="53" t="inlineStr">
        <is>
          <t>Yes</t>
        </is>
      </c>
      <c r="EA377" s="53" t="inlineStr">
        <is>
          <t>Product/Project</t>
        </is>
      </c>
      <c r="EB377" s="53" t="inlineStr">
        <is>
          <t>Angular</t>
        </is>
      </c>
      <c r="EC377" s="53" t="inlineStr">
        <is>
          <t>Technical - Developer</t>
        </is>
      </c>
      <c r="ED377" s="53" t="inlineStr">
        <is>
          <t>Work From Office - Turbhe</t>
        </is>
      </c>
      <c r="EE377" s="53" t="inlineStr">
        <is>
          <t>1. Build proficiency in project technologies, development practices, and software engineering fundamentals.
2. Complete assigned development tasks under guidance while adhering to coding standards and best practices.
3. Develop quality-focused solutions by testing assigned features and resolving reported issues.
4. Demonstrate effective communication, teamwork, and proactive learning during the internship.
5. Contribute ideas or automation that improve team productivity or product quality.</t>
        </is>
      </c>
      <c r="EF377"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377"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H377" s="53" t="n">
        <v>3</v>
      </c>
      <c r="EI377" s="53" t="inlineStr">
        <is>
          <t>Pending</t>
        </is>
      </c>
      <c r="EJ377" s="53" t="inlineStr">
        <is>
          <t>Intern</t>
        </is>
      </c>
      <c r="EK377" s="53" t="inlineStr">
        <is>
          <t>No</t>
        </is>
      </c>
      <c r="EL377" s="53" t="n">
        <v>3</v>
      </c>
      <c r="EM377" s="53" t="inlineStr">
        <is>
          <t>Medium</t>
        </is>
      </c>
      <c r="EN377" s="53" t="inlineStr">
        <is>
          <t>Emerging Talent</t>
        </is>
      </c>
      <c r="EO377" s="53" t="inlineStr">
        <is>
          <t>No</t>
        </is>
      </c>
      <c r="EP377" s="53" t="inlineStr">
        <is>
          <t>No</t>
        </is>
      </c>
      <c r="EQ377" s="53" t="inlineStr">
        <is>
          <t>No</t>
        </is>
      </c>
      <c r="ER377" s="53" t="n"/>
      <c r="ES377" s="53" t="inlineStr">
        <is>
          <t>1. Angular, TypeScript, RxJS, Angular Material, Responsive UI Development
2. Secure Coding Practices, OWASP Top 10, ESLint/SonarQube, Code Review Best Practices
3. Frontend Architecture, API Integration, Design Patterns, Git &amp; Agile Fundamentals
4. Communication, Team Collaboration, Presentation Skills, Time Management
5. Prompt Engineering, AI-assisted Development, Debugging &amp; Test Case Generation</t>
        </is>
      </c>
      <c r="ET377" s="53" t="n"/>
      <c r="EU377" s="53" t="n"/>
      <c r="EV377" s="53" t="n"/>
      <c r="EW377" s="52" t="n"/>
      <c r="EX377" s="53" t="n"/>
      <c r="EY377" s="53" t="n"/>
      <c r="EZ377" s="53" t="n"/>
      <c r="FA377" s="53" t="n"/>
      <c r="FB377" s="53" t="n"/>
      <c r="FC377" s="53" t="n"/>
      <c r="FD377" s="53" t="inlineStr">
        <is>
          <t>INTN0284</t>
        </is>
      </c>
      <c r="FE377"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377"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FG377" s="56" t="inlineStr">
        <is>
          <t>1. Build proficiency in project technologies, development practices, and software engineering fundamentals.
2. Complete assigned development tasks under guidance while adhering to coding standards and best practices.
3. Develop quality-focused solutions by testing assigned features and resolving reported issues.
4. Demonstrate effective communication, teamwork, and proactive learning during the internship.
5. Contribute ideas or automation that improve team productivity or product quality.</t>
        </is>
      </c>
      <c r="FH377" s="56" t="inlineStr">
        <is>
          <t>3</t>
        </is>
      </c>
      <c r="FI377" s="56" t="n"/>
      <c r="FJ377" s="56" t="inlineStr">
        <is>
          <t>Received · manager annual, quarterly, self</t>
        </is>
      </c>
      <c r="FK377" s="56" t="inlineStr">
        <is>
          <t>Talent Mapping · iFile collated</t>
        </is>
      </c>
      <c r="FL377" s="56" t="n">
        <v>20</v>
      </c>
      <c r="FM377" s="32" t="inlineStr">
        <is>
          <t>Full survey answers not in the files received · How We Grow export needed · HR</t>
        </is>
      </c>
      <c r="FN377" s="56" t="inlineStr">
        <is>
          <t>—</t>
        </is>
      </c>
      <c r="FO377" s="56" t="inlineStr">
        <is>
          <t>—</t>
        </is>
      </c>
      <c r="FP377" s="56" t="inlineStr">
        <is>
          <t>—</t>
        </is>
      </c>
      <c r="FQ377" s="56" t="inlineStr">
        <is>
          <t>—</t>
        </is>
      </c>
      <c r="FR377" s="56" t="n"/>
      <c r="FS377" s="56" t="inlineStr">
        <is>
          <t>Common themes in role-holders' answers: improving · software
Common themes in role-holders' answers: bug fixing · development · feature
Common themes in role-holders' answers: features · bug fixes · technical · apis · software
Common themes in role-holders' answers: development · am
Common themes in role-holders' answers: approaches · implementation
If the work is missed · role-holders' themes: rework · lead · delays.
Measured on · manager-set KRA themes: complete · assigned · improve · code · technical · quality.</t>
        </is>
      </c>
      <c r="FT377" s="56" t="inlineStr">
        <is>
          <t>Self-identified: Technical depth &amp; architecture · Domain, regulatory &amp; XBRL · Product &amp; tool knowledge · Strategy &amp; business acumen
For the next role: Leadership &amp; people management · Technical depth &amp; architecture · Domain, regulatory &amp; XBRL · Product &amp; tool knowledge · Client, sales &amp; stakeholders · Strategy &amp; business acumen</t>
        </is>
      </c>
      <c r="FU377" s="32" t="inlineStr">
        <is>
          <t>Full survey answers not in the files received · How We Grow export needed · HR</t>
        </is>
      </c>
    </row>
    <row r="378" ht="90" customHeight="1">
      <c r="A378" s="51" t="inlineStr">
        <is>
          <t>◂ Back</t>
        </is>
      </c>
      <c r="B378" s="29" t="inlineStr">
        <is>
          <t>Mapped</t>
        </is>
      </c>
      <c r="C378" s="28" t="inlineStr">
        <is>
          <t>iFile</t>
        </is>
      </c>
      <c r="D378" s="29" t="inlineStr">
        <is>
          <t>IRIS2459</t>
        </is>
      </c>
      <c r="E378" s="29" t="inlineStr">
        <is>
          <t>Viranchi Suresh Bhure</t>
        </is>
      </c>
      <c r="F378" s="29" t="inlineStr">
        <is>
          <t>Technology</t>
        </is>
      </c>
      <c r="G378" s="29" t="inlineStr">
        <is>
          <t>Software Engineer</t>
        </is>
      </c>
      <c r="H378" s="29" t="inlineStr">
        <is>
          <t>Senior Software Engineer</t>
        </is>
      </c>
      <c r="I378" s="29" t="inlineStr">
        <is>
          <t>L3 – Professional / Associate</t>
        </is>
      </c>
      <c r="J378" s="29" t="inlineStr">
        <is>
          <t>A3</t>
        </is>
      </c>
      <c r="K378" s="29" t="inlineStr">
        <is>
          <t>▲ Up</t>
        </is>
      </c>
      <c r="L378" s="29" t="inlineStr">
        <is>
          <t>Engineering &amp; Development</t>
        </is>
      </c>
      <c r="M378" s="29" t="inlineStr">
        <is>
          <t>Backend Development</t>
        </is>
      </c>
      <c r="N378" s="29" t="n"/>
      <c r="O378" s="29" t="n">
        <v>20</v>
      </c>
      <c r="P378" s="28" t="inlineStr">
        <is>
          <t>P2</t>
        </is>
      </c>
      <c r="Q378" s="29" t="inlineStr">
        <is>
          <t>Developing</t>
        </is>
      </c>
      <c r="R378" s="29" t="inlineStr">
        <is>
          <t>3 Apply</t>
        </is>
      </c>
      <c r="S378" s="29" t="inlineStr">
        <is>
          <t>2–4 yrs</t>
        </is>
      </c>
      <c r="T378" s="29" t="inlineStr">
        <is>
          <t>3–5 · 2–5</t>
        </is>
      </c>
      <c r="U378" s="29" t="inlineStr">
        <is>
          <t>Software Engineer</t>
        </is>
      </c>
      <c r="V378" s="29" t="inlineStr">
        <is>
          <t>Workiva: SE · Broadridge India: SE · Nasdaq / AxiomSL: SE · Salesforce: MTS · Atlassian: P40 · 3–7 yrs · Freshworks: Senior SE</t>
        </is>
      </c>
      <c r="W378" s="29" t="inlineStr">
        <is>
          <t>SFIA 9 · software development, programming; OWASP secure coding; cloud vendor certifications</t>
        </is>
      </c>
      <c r="X378" s="29" t="inlineStr">
        <is>
          <t>Core 2 · Future 2 · Functional 3 · Leadership not scored</t>
        </is>
      </c>
      <c r="Y378" s="52" t="n">
        <v>433</v>
      </c>
      <c r="Z378" s="53" t="inlineStr">
        <is>
          <t>IRIS2459</t>
        </is>
      </c>
      <c r="AA378" s="53" t="inlineStr">
        <is>
          <t>Employee</t>
        </is>
      </c>
      <c r="AB378" s="53" t="inlineStr">
        <is>
          <t>Active</t>
        </is>
      </c>
      <c r="AC378" s="53" t="inlineStr">
        <is>
          <t>Viranchi Suresh Bhure</t>
        </is>
      </c>
      <c r="AD378" s="54" t="n">
        <v>46027</v>
      </c>
      <c r="AE378" s="53" t="inlineStr">
        <is>
          <t>Software Engineer</t>
        </is>
      </c>
      <c r="AF378" s="53" t="inlineStr">
        <is>
          <t>B.E</t>
        </is>
      </c>
      <c r="AG378" s="53" t="inlineStr">
        <is>
          <t>Nikhil Nalawade</t>
        </is>
      </c>
      <c r="AH378" s="53" t="inlineStr">
        <is>
          <t>N-4</t>
        </is>
      </c>
      <c r="AI378" s="53" t="inlineStr">
        <is>
          <t>Individual Contributor</t>
        </is>
      </c>
      <c r="AJ378" s="53" t="inlineStr">
        <is>
          <t>2 years, 10 months, 0 days</t>
        </is>
      </c>
      <c r="AK378" s="53" t="inlineStr">
        <is>
          <t>0 years, 7 months, 20 days</t>
        </is>
      </c>
      <c r="AL378" s="53" t="inlineStr">
        <is>
          <t>Suptech</t>
        </is>
      </c>
      <c r="AM378" s="53" t="inlineStr">
        <is>
          <t>iFile</t>
        </is>
      </c>
      <c r="AN378" s="53" t="inlineStr">
        <is>
          <t>Technology</t>
        </is>
      </c>
      <c r="AO378" s="53" t="inlineStr">
        <is>
          <t>Development</t>
        </is>
      </c>
      <c r="AP378" s="53" t="inlineStr">
        <is>
          <t>Yes</t>
        </is>
      </c>
      <c r="AQ378" s="53" t="inlineStr">
        <is>
          <t>Product/Project</t>
        </is>
      </c>
      <c r="AR378" s="53" t="inlineStr">
        <is>
          <t>Java</t>
        </is>
      </c>
      <c r="AS378" s="53" t="inlineStr">
        <is>
          <t>Technical - Developer</t>
        </is>
      </c>
      <c r="AT378" s="53" t="n">
        <v>20</v>
      </c>
      <c r="AU378" s="53" t="inlineStr">
        <is>
          <t>Covered</t>
        </is>
      </c>
      <c r="AV378" s="53" t="n"/>
      <c r="AW378" s="53" t="n"/>
      <c r="AX378" s="53" t="n"/>
      <c r="AY378" s="53" t="n"/>
      <c r="AZ378" s="53" t="n"/>
      <c r="BA378" s="53" t="n"/>
      <c r="BB378" s="53" t="n"/>
      <c r="BC378" s="53" t="n"/>
      <c r="BD378" s="53" t="n"/>
      <c r="BE378" s="53" t="n"/>
      <c r="BF378" s="53" t="n"/>
      <c r="BG378" s="53" t="n"/>
      <c r="BH378" s="53" t="n"/>
      <c r="BI378" s="53" t="n"/>
      <c r="BJ378" s="53" t="n"/>
      <c r="BK378" s="53" t="n"/>
      <c r="BL378" s="53" t="n"/>
      <c r="BM378" s="53" t="n"/>
      <c r="BN378" s="53" t="n"/>
      <c r="BO378" s="53" t="n"/>
      <c r="BP378" s="53" t="n"/>
      <c r="BQ378" s="53" t="n"/>
      <c r="BR378" s="53" t="n"/>
      <c r="BS378" s="53" t="n"/>
      <c r="BT378" s="53" t="n"/>
      <c r="BU378" s="53" t="n"/>
      <c r="BV378" s="53" t="n"/>
      <c r="BW378" s="53" t="n"/>
      <c r="BX378" s="53" t="n"/>
      <c r="BY378" s="53" t="n"/>
      <c r="BZ378" s="53" t="n"/>
      <c r="CA378" s="53" t="n"/>
      <c r="CB378" s="53" t="n"/>
      <c r="CC378" s="53" t="n"/>
      <c r="CD378" s="53" t="n"/>
      <c r="CE378" s="53" t="n"/>
      <c r="CF378" s="53" t="n"/>
      <c r="CG378" s="53" t="n"/>
      <c r="CH378" s="53" t="n"/>
      <c r="CI378" s="53" t="n"/>
      <c r="CJ378" s="53" t="n"/>
      <c r="CK378" s="53" t="n"/>
      <c r="CL378" s="53" t="n"/>
      <c r="CM378" s="53" t="n"/>
      <c r="CN378" s="53" t="n"/>
      <c r="CO378" s="53" t="n"/>
      <c r="CP378" s="53" t="n"/>
      <c r="CQ378" s="53" t="n"/>
      <c r="CR378" s="53" t="n"/>
      <c r="CS378" s="53" t="n"/>
      <c r="CT378" s="53" t="n"/>
      <c r="CU378" s="53" t="n"/>
      <c r="CV378" s="53" t="n"/>
      <c r="CW378" s="53" t="n"/>
      <c r="CX378" s="53" t="n"/>
      <c r="CY378" s="53" t="n"/>
      <c r="CZ378" s="53" t="n"/>
      <c r="DA378" s="53" t="n"/>
      <c r="DB378" s="53" t="n"/>
      <c r="DC378" s="53" t="n"/>
      <c r="DD378" s="53" t="inlineStr">
        <is>
          <t>IRIS2459</t>
        </is>
      </c>
      <c r="DE378" s="53" t="inlineStr">
        <is>
          <t>Employee</t>
        </is>
      </c>
      <c r="DF378" s="53" t="inlineStr">
        <is>
          <t>Active</t>
        </is>
      </c>
      <c r="DG378" s="53" t="inlineStr">
        <is>
          <t>Viranchi Suresh Bhure</t>
        </is>
      </c>
      <c r="DH378" s="54" t="n">
        <v>46027</v>
      </c>
      <c r="DI378" s="53" t="inlineStr">
        <is>
          <t>Software Engineer</t>
        </is>
      </c>
      <c r="DJ378" s="53" t="inlineStr">
        <is>
          <t>Engineering &amp; Development</t>
        </is>
      </c>
      <c r="DK378" s="53" t="inlineStr">
        <is>
          <t>Backend Engineering · Java</t>
        </is>
      </c>
      <c r="DL378" s="53" t="inlineStr">
        <is>
          <t>Software Engineer</t>
        </is>
      </c>
      <c r="DM378" s="53" t="inlineStr">
        <is>
          <t>L3 – Professional / Associate</t>
        </is>
      </c>
      <c r="DN378" s="53" t="inlineStr">
        <is>
          <t>B.E</t>
        </is>
      </c>
      <c r="DO378" s="53" t="inlineStr">
        <is>
          <t>Nikhil Nalawade</t>
        </is>
      </c>
      <c r="DP378" s="53" t="inlineStr">
        <is>
          <t>N-3</t>
        </is>
      </c>
      <c r="DQ378" s="53" t="inlineStr">
        <is>
          <t>Individual Contributor</t>
        </is>
      </c>
      <c r="DR378" s="53" t="inlineStr">
        <is>
          <t>2 years, 10 months, 0 days</t>
        </is>
      </c>
      <c r="DS378" s="53" t="inlineStr">
        <is>
          <t>0 years, 5 months, 15 days</t>
        </is>
      </c>
      <c r="DT378" s="53" t="inlineStr">
        <is>
          <t>3 years, 3 months, 15 days</t>
        </is>
      </c>
      <c r="DU378" s="53" t="n"/>
      <c r="DV378" s="53" t="inlineStr">
        <is>
          <t>Suptech</t>
        </is>
      </c>
      <c r="DW378" s="53" t="inlineStr">
        <is>
          <t>iFile</t>
        </is>
      </c>
      <c r="DX378" s="53" t="inlineStr">
        <is>
          <t>Technology</t>
        </is>
      </c>
      <c r="DY378" s="53" t="inlineStr">
        <is>
          <t>Development</t>
        </is>
      </c>
      <c r="DZ378" s="53" t="inlineStr">
        <is>
          <t>Yes</t>
        </is>
      </c>
      <c r="EA378" s="53" t="inlineStr">
        <is>
          <t>Product/Project</t>
        </is>
      </c>
      <c r="EB378" s="53" t="inlineStr">
        <is>
          <t>Java</t>
        </is>
      </c>
      <c r="EC378" s="53" t="inlineStr">
        <is>
          <t>Technical - Developer</t>
        </is>
      </c>
      <c r="ED378" s="53" t="inlineStr">
        <is>
          <t>Remote- Outside Mumbai</t>
        </is>
      </c>
      <c r="EE378" s="53" t="inlineStr">
        <is>
          <t>1. Own the design, development, testing, deployment, and production support of assigned modules/features, ensuring timely delivery, high quality, and adherence to engineering standards.
2. Deliver customer-requested enhancements and complex features while ensuring application performance, security, scalability, maintainability, and minimal production defects.
4. Strengthen expertise in Java, Angular, cloud, and DevOps technologies by driving code quality, CI/CD improvements, deployment automation, and engineering best practices.
5. Contribute to successful project deliveries, production go-lives, and post-production stabilization through proactive planning, risk mitigation, and timely issue resolution.
6. Leverage AI tools and technologies to improve development productivity, automate engineering processes, and implement innovative solutions that enhance project outcomes.
7. Complete at least two technical certifications or advanced training programs relevant to Java, Angular, Cloud, DevOps, Architecture, or related technologies.
8. Complete at least one AI-focused certification or training program and apply the acquired knowledge to improve development, testing, or engineering workflows.
9. Drive at least one technical improvement, automation, reusable framework/component, or process optimization that delivers measurable value to the project or team.
10. Mentor or onboard at least one junior team member or intern, conduct knowledge-sharing sessions, and actively support team capability development through code reviews and technical guidance.</t>
        </is>
      </c>
      <c r="EF378"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378"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H378" s="53" t="n">
        <v>3</v>
      </c>
      <c r="EI378" s="53" t="inlineStr">
        <is>
          <t>Pending</t>
        </is>
      </c>
      <c r="EJ378" s="53" t="inlineStr">
        <is>
          <t>Software Engineer</t>
        </is>
      </c>
      <c r="EK378" s="53" t="inlineStr">
        <is>
          <t>No</t>
        </is>
      </c>
      <c r="EL378" s="53" t="n">
        <v>3</v>
      </c>
      <c r="EM378" s="53" t="inlineStr">
        <is>
          <t>Medium</t>
        </is>
      </c>
      <c r="EN378" s="53" t="inlineStr">
        <is>
          <t>Emerging Talent</t>
        </is>
      </c>
      <c r="EO378" s="53" t="inlineStr">
        <is>
          <t>No</t>
        </is>
      </c>
      <c r="EP378" s="53" t="inlineStr">
        <is>
          <t>No</t>
        </is>
      </c>
      <c r="EQ378" s="53" t="inlineStr">
        <is>
          <t>No</t>
        </is>
      </c>
      <c r="ER378" s="53" t="inlineStr">
        <is>
          <t>Not Yet</t>
        </is>
      </c>
      <c r="ES378" s="53" t="inlineStr">
        <is>
          <t>1. Angular Architecture, Performance Optimization, Advanced TypeScript, State Management · NgRx
2. System Design, Design Patterns, Microservices Fundamentals, API Design
3. Secure Coding, OWASP, Code Quality, Unit &amp; Automation Testing · Playwright
4. Technical Leadership, Code Reviews, Estimation, Mentoring &amp; Knowledge Sharing
5. CI/CD, Docker, Kubernetes, Cloud Fundamentals · AWS/Azure, Deployment Automation
6. Prompt Engineering, GitHub Copilot, AI-assisted Development, Code Review &amp; Test Automation
7. Stakeholder Communication, Presentation Skills, Problem Solving, Collaboration, Time Management, Client Interaction</t>
        </is>
      </c>
      <c r="ET378" s="53" t="n"/>
      <c r="EU378" s="53" t="n"/>
      <c r="EV378" s="53" t="n"/>
      <c r="EW378" s="52" t="n"/>
      <c r="EX378" s="53" t="n"/>
      <c r="EY378" s="53" t="n"/>
      <c r="EZ378" s="53" t="n"/>
      <c r="FA378" s="53" t="n"/>
      <c r="FB378" s="53" t="n"/>
      <c r="FC378" s="53" t="n"/>
      <c r="FD378" s="53" t="n"/>
      <c r="FE378"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378"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FG378" s="56" t="inlineStr">
        <is>
          <t>1. Own the design, development, testing, deployment, and production support of assigned modules/features, ensuring timely delivery, high quality, and adherence to engineering standards.
2. Deliver customer-requested enhancements and complex features while ensuring application performance, security, scalability, maintainability, and minimal production defects.
4. Strengthen expertise in Java, Angular, cloud, and DevOps technologies by driving code quality, CI/CD improvements, deployment automation, and engineering best practices.
5. Contribute to successful project deliveries, production go-lives, and post-production stabilization through proactive planning, risk mitigation, and timely issue resolution.
6. Leverage AI tools and technologies to improve development productivity, automate engineering processes, and implement innovative solutions that enhance project outcomes.
7. Complete at least two technical certifications or advanced training programs relevant to Java, Angular, Cloud, DevOps, Architecture, or related technologies.
8. Complete at least one AI-focused certification or training program and apply the acquired knowledge to improve development, testing, or engineering workflows.
9. Drive at least one technical improvement, automation, reusable framework/component, or process optimization that delivers measurable value to the project or team.
10. Mentor or onboard at least one junior team member or intern, conduct knowledge-sharing sessions, and actively support team capability development through code reviews and technical guidance.</t>
        </is>
      </c>
      <c r="FH378" s="56" t="inlineStr">
        <is>
          <t>3</t>
        </is>
      </c>
      <c r="FI378" s="56" t="n"/>
      <c r="FJ378" s="56" t="inlineStr">
        <is>
          <t>Received · manager annual, quarterly, self</t>
        </is>
      </c>
      <c r="FK378" s="56" t="inlineStr">
        <is>
          <t>Talent Mapping · iFile collated</t>
        </is>
      </c>
      <c r="FL378" s="56" t="n">
        <v>20</v>
      </c>
      <c r="FM378" s="32" t="inlineStr">
        <is>
          <t>Full survey answers not in the files received · How We Grow export needed · HR</t>
        </is>
      </c>
      <c r="FN378" s="56" t="inlineStr">
        <is>
          <t>—</t>
        </is>
      </c>
      <c r="FO378" s="56" t="inlineStr">
        <is>
          <t>—</t>
        </is>
      </c>
      <c r="FP378" s="56" t="inlineStr">
        <is>
          <t>—</t>
        </is>
      </c>
      <c r="FQ378" s="56" t="inlineStr">
        <is>
          <t>—</t>
        </is>
      </c>
      <c r="FR378" s="56" t="inlineStr">
        <is>
          <t>Business Impact: No survey or manager-mapping signal on criticality: kept at the start point.</t>
        </is>
      </c>
      <c r="FS378"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378" s="56" t="inlineStr">
        <is>
          <t>Self-identified: Leadership &amp; people management · Technical depth &amp; architecture · Strategy &amp; business acumen · Broader exposure &amp; ownership
For the next role: Leadership &amp; people management · Technical depth &amp; architecture · Strategy &amp; business acumen · Broader exposure &amp; ownership</t>
        </is>
      </c>
      <c r="FU378" s="32" t="inlineStr">
        <is>
          <t>Full survey answers not in the files received · How We Grow export needed · HR</t>
        </is>
      </c>
    </row>
    <row r="379" ht="90" customHeight="1">
      <c r="A379" s="51" t="inlineStr">
        <is>
          <t>◂ Back</t>
        </is>
      </c>
      <c r="B379" s="29" t="inlineStr">
        <is>
          <t>Mapped</t>
        </is>
      </c>
      <c r="C379" s="28" t="inlineStr">
        <is>
          <t>iFile</t>
        </is>
      </c>
      <c r="D379" s="29" t="inlineStr">
        <is>
          <t>IRIS2385</t>
        </is>
      </c>
      <c r="E379" s="29" t="inlineStr">
        <is>
          <t>Hemant Sakunde</t>
        </is>
      </c>
      <c r="F379" s="29" t="inlineStr">
        <is>
          <t>Technology</t>
        </is>
      </c>
      <c r="G379" s="29" t="inlineStr">
        <is>
          <t>Trainee Software Engineer</t>
        </is>
      </c>
      <c r="H379" s="29" t="inlineStr">
        <is>
          <t>Software Engineer</t>
        </is>
      </c>
      <c r="I379" s="29" t="inlineStr">
        <is>
          <t>L2 – Trainee</t>
        </is>
      </c>
      <c r="J379" s="29" t="inlineStr">
        <is>
          <t>A2</t>
        </is>
      </c>
      <c r="K379" s="29" t="inlineStr">
        <is>
          <t>▲ Up</t>
        </is>
      </c>
      <c r="L379" s="29" t="inlineStr">
        <is>
          <t>Engineering &amp; Development</t>
        </is>
      </c>
      <c r="M379" s="29" t="inlineStr">
        <is>
          <t>Full-Stack Development</t>
        </is>
      </c>
      <c r="N379" s="29" t="n"/>
      <c r="O379" s="29" t="n">
        <v>20</v>
      </c>
      <c r="P379" s="28" t="inlineStr">
        <is>
          <t>P1–P2</t>
        </is>
      </c>
      <c r="Q379" s="29" t="inlineStr">
        <is>
          <t>Entry / Developing</t>
        </is>
      </c>
      <c r="R379" s="29" t="inlineStr">
        <is>
          <t>2 Assist</t>
        </is>
      </c>
      <c r="S379" s="29" t="inlineStr">
        <is>
          <t>0–2 yrs</t>
        </is>
      </c>
      <c r="T379" s="29" t="inlineStr">
        <is>
          <t>1–3 · 0–3</t>
        </is>
      </c>
      <c r="U379" s="29" t="inlineStr">
        <is>
          <t>Associate Software Engineer / Software Engineer</t>
        </is>
      </c>
      <c r="V379" s="29" t="inlineStr">
        <is>
          <t>Workiva: Associate SE · Broadridge India: SE · Nasdaq / AxiomSL: SE · Salesforce: AMTS · Atlassian: P30 Junior · 0–2 yrs · Freshworks: SE</t>
        </is>
      </c>
      <c r="W379" s="29" t="inlineStr">
        <is>
          <t>SFIA 9 · software development, programming; OWASP secure coding; cloud vendor certifications</t>
        </is>
      </c>
      <c r="X379" s="29" t="inlineStr">
        <is>
          <t>Core 2 · Future 2 · Functional 2 · Leadership not scored</t>
        </is>
      </c>
      <c r="Y379" s="52" t="n">
        <v>375</v>
      </c>
      <c r="Z379" s="53" t="inlineStr">
        <is>
          <t>IRIS2385</t>
        </is>
      </c>
      <c r="AA379" s="53" t="inlineStr">
        <is>
          <t>Employee</t>
        </is>
      </c>
      <c r="AB379" s="53" t="inlineStr">
        <is>
          <t>Active</t>
        </is>
      </c>
      <c r="AC379" s="53" t="inlineStr">
        <is>
          <t>Hemant Sakunde</t>
        </is>
      </c>
      <c r="AD379" s="54" t="n">
        <v>45817</v>
      </c>
      <c r="AE379" s="53" t="inlineStr">
        <is>
          <t>Trainee Software Engineer</t>
        </is>
      </c>
      <c r="AF379" s="53" t="inlineStr">
        <is>
          <t>B.E</t>
        </is>
      </c>
      <c r="AG379" s="53" t="inlineStr">
        <is>
          <t>Nikhil Nalawade</t>
        </is>
      </c>
      <c r="AH379" s="53" t="inlineStr">
        <is>
          <t>N-4</t>
        </is>
      </c>
      <c r="AI379" s="53" t="inlineStr">
        <is>
          <t>Individual Contributor</t>
        </is>
      </c>
      <c r="AJ379" s="53" t="inlineStr">
        <is>
          <t>0 years, 0 months, 00 days</t>
        </is>
      </c>
      <c r="AK379" s="53" t="inlineStr">
        <is>
          <t>1 years, 2 months, 16 days</t>
        </is>
      </c>
      <c r="AL379" s="53" t="inlineStr">
        <is>
          <t>Suptech</t>
        </is>
      </c>
      <c r="AM379" s="53" t="inlineStr">
        <is>
          <t>iFile</t>
        </is>
      </c>
      <c r="AN379" s="53" t="inlineStr">
        <is>
          <t>Technology</t>
        </is>
      </c>
      <c r="AO379" s="53" t="inlineStr">
        <is>
          <t>Development</t>
        </is>
      </c>
      <c r="AP379" s="53" t="inlineStr">
        <is>
          <t>Yes</t>
        </is>
      </c>
      <c r="AQ379" s="53" t="inlineStr">
        <is>
          <t>Product/Project</t>
        </is>
      </c>
      <c r="AR379" s="53" t="inlineStr">
        <is>
          <t>Java</t>
        </is>
      </c>
      <c r="AS379" s="53" t="inlineStr">
        <is>
          <t>Technical - Developer</t>
        </is>
      </c>
      <c r="AT379" s="53" t="n">
        <v>20</v>
      </c>
      <c r="AU379" s="53" t="inlineStr">
        <is>
          <t>Covered</t>
        </is>
      </c>
      <c r="AV379" s="53" t="n"/>
      <c r="AW379" s="53" t="n"/>
      <c r="AX379" s="53" t="n"/>
      <c r="AY379" s="53" t="n"/>
      <c r="AZ379" s="53" t="n"/>
      <c r="BA379" s="53" t="n"/>
      <c r="BB379" s="53" t="n"/>
      <c r="BC379" s="53" t="n"/>
      <c r="BD379" s="53" t="n"/>
      <c r="BE379" s="53" t="n"/>
      <c r="BF379" s="53" t="n"/>
      <c r="BG379" s="53" t="n"/>
      <c r="BH379" s="53" t="n"/>
      <c r="BI379" s="53" t="n"/>
      <c r="BJ379" s="53" t="n"/>
      <c r="BK379" s="53" t="n"/>
      <c r="BL379" s="53" t="n"/>
      <c r="BM379" s="53" t="n"/>
      <c r="BN379" s="53" t="n"/>
      <c r="BO379" s="53" t="n"/>
      <c r="BP379" s="53" t="n"/>
      <c r="BQ379" s="53" t="n"/>
      <c r="BR379" s="53" t="n"/>
      <c r="BS379" s="53" t="n"/>
      <c r="BT379" s="53" t="n"/>
      <c r="BU379" s="53" t="n"/>
      <c r="BV379" s="53" t="n"/>
      <c r="BW379" s="53" t="n"/>
      <c r="BX379" s="53" t="n"/>
      <c r="BY379" s="53" t="n"/>
      <c r="BZ379" s="53" t="n"/>
      <c r="CA379" s="53" t="n"/>
      <c r="CB379" s="53" t="n"/>
      <c r="CC379" s="53" t="n"/>
      <c r="CD379" s="53" t="n"/>
      <c r="CE379" s="53" t="n"/>
      <c r="CF379" s="53" t="n"/>
      <c r="CG379" s="53" t="n"/>
      <c r="CH379" s="53" t="n"/>
      <c r="CI379" s="53" t="n"/>
      <c r="CJ379" s="53" t="n"/>
      <c r="CK379" s="53" t="n"/>
      <c r="CL379" s="53" t="n"/>
      <c r="CM379" s="53" t="n"/>
      <c r="CN379" s="53" t="n"/>
      <c r="CO379" s="53" t="n"/>
      <c r="CP379" s="53" t="n"/>
      <c r="CQ379" s="53" t="n"/>
      <c r="CR379" s="53" t="n"/>
      <c r="CS379" s="53" t="n"/>
      <c r="CT379" s="53" t="n"/>
      <c r="CU379" s="53" t="n"/>
      <c r="CV379" s="53" t="n"/>
      <c r="CW379" s="53" t="n"/>
      <c r="CX379" s="53" t="n"/>
      <c r="CY379" s="53" t="n"/>
      <c r="CZ379" s="53" t="n"/>
      <c r="DA379" s="53" t="n"/>
      <c r="DB379" s="53" t="n"/>
      <c r="DC379" s="53" t="n"/>
      <c r="DD379" s="53" t="inlineStr">
        <is>
          <t>IRIS2385</t>
        </is>
      </c>
      <c r="DE379" s="53" t="inlineStr">
        <is>
          <t>Employee</t>
        </is>
      </c>
      <c r="DF379" s="53" t="inlineStr">
        <is>
          <t>Active</t>
        </is>
      </c>
      <c r="DG379" s="53" t="inlineStr">
        <is>
          <t>Hemant Sakunde</t>
        </is>
      </c>
      <c r="DH379" s="54" t="n">
        <v>45817</v>
      </c>
      <c r="DI379" s="53" t="inlineStr">
        <is>
          <t>Trainee Software Engineer</t>
        </is>
      </c>
      <c r="DJ379" s="53" t="inlineStr">
        <is>
          <t>Engineering &amp; Development</t>
        </is>
      </c>
      <c r="DK379" s="53" t="inlineStr">
        <is>
          <t>Backend Engineering · Java</t>
        </is>
      </c>
      <c r="DL379" s="53" t="inlineStr">
        <is>
          <t>Trainee Software Engineer</t>
        </is>
      </c>
      <c r="DM379" s="53" t="inlineStr">
        <is>
          <t>L2 – Trainee</t>
        </is>
      </c>
      <c r="DN379" s="53" t="inlineStr">
        <is>
          <t>B.E</t>
        </is>
      </c>
      <c r="DO379" s="53" t="inlineStr">
        <is>
          <t>Nikhil Nalawade</t>
        </is>
      </c>
      <c r="DP379" s="53" t="inlineStr">
        <is>
          <t>N-3</t>
        </is>
      </c>
      <c r="DQ379" s="53" t="inlineStr">
        <is>
          <t>Individual Contributor</t>
        </is>
      </c>
      <c r="DR379" s="53" t="inlineStr">
        <is>
          <t>0 years, 0 months, 00 days</t>
        </is>
      </c>
      <c r="DS379" s="53" t="inlineStr">
        <is>
          <t>1 years, 0 months, 11 days</t>
        </is>
      </c>
      <c r="DT379" s="53" t="inlineStr">
        <is>
          <t>1 years, 0 months, 11 days</t>
        </is>
      </c>
      <c r="DU379" s="53" t="n"/>
      <c r="DV379" s="53" t="inlineStr">
        <is>
          <t>Suptech</t>
        </is>
      </c>
      <c r="DW379" s="53" t="inlineStr">
        <is>
          <t>iFile</t>
        </is>
      </c>
      <c r="DX379" s="53" t="inlineStr">
        <is>
          <t>Technology</t>
        </is>
      </c>
      <c r="DY379" s="53" t="inlineStr">
        <is>
          <t>Development</t>
        </is>
      </c>
      <c r="DZ379" s="53" t="inlineStr">
        <is>
          <t>Yes</t>
        </is>
      </c>
      <c r="EA379" s="53" t="inlineStr">
        <is>
          <t>Product/Project</t>
        </is>
      </c>
      <c r="EB379" s="53" t="inlineStr">
        <is>
          <t>Java</t>
        </is>
      </c>
      <c r="EC379" s="53" t="inlineStr">
        <is>
          <t>Technical - Developer</t>
        </is>
      </c>
      <c r="ED379" s="53" t="inlineStr">
        <is>
          <t>Work From Office - Turbhe</t>
        </is>
      </c>
      <c r="EE379" s="53" t="inlineStr">
        <is>
          <t>1. Build proficiency in project technologies, development practices, and software engineering fundamentals.
2. Complete assigned development tasks under guidance while adhering to coding standards and best practices.
3. Develop quality-focused solutions by testing assigned features and resolving reported issues.
4. Demonstrate effective communication, teamwork, and proactive learning during the internship.
5. Contribute ideas or automation that improve team productivity or product quality.</t>
        </is>
      </c>
      <c r="EF379"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379"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H379" s="53" t="n">
        <v>4</v>
      </c>
      <c r="EI379" s="53" t="inlineStr">
        <is>
          <t>Pending</t>
        </is>
      </c>
      <c r="EJ379" s="53" t="inlineStr">
        <is>
          <t>Trainee Software Engineer</t>
        </is>
      </c>
      <c r="EK379" s="53" t="inlineStr">
        <is>
          <t>No</t>
        </is>
      </c>
      <c r="EL379" s="53" t="n">
        <v>4</v>
      </c>
      <c r="EM379" s="53" t="inlineStr">
        <is>
          <t>High</t>
        </is>
      </c>
      <c r="EN379" s="53" t="inlineStr">
        <is>
          <t>Trusted Professional</t>
        </is>
      </c>
      <c r="EO379" s="53" t="inlineStr">
        <is>
          <t>No</t>
        </is>
      </c>
      <c r="EP379" s="53" t="inlineStr">
        <is>
          <t>No</t>
        </is>
      </c>
      <c r="EQ379" s="53" t="inlineStr">
        <is>
          <t>No</t>
        </is>
      </c>
      <c r="ER379" s="53" t="inlineStr">
        <is>
          <t>Not Yet</t>
        </is>
      </c>
      <c r="ES379" s="53" t="inlineStr">
        <is>
          <t>1. Angular, TypeScript, RxJS, Angular Material, Responsive UI Development
2. Secure Coding Practices, OWASP Top 10, ESLint/SonarQube, Code Review Best Practices
3. Frontend Architecture, API Integration, Design Patterns, Git &amp; Agile Fundamentals
4. Communication, Team Collaboration, Presentation Skills, Time Management
5. Prompt Engineering, AI-assisted Development, Debugging &amp; Test Case Generation</t>
        </is>
      </c>
      <c r="ET379" s="53" t="n"/>
      <c r="EU379" s="53" t="n"/>
      <c r="EV379" s="53" t="n"/>
      <c r="EW379" s="52" t="n"/>
      <c r="EX379" s="53" t="n"/>
      <c r="EY379" s="53" t="n"/>
      <c r="EZ379" s="53" t="n"/>
      <c r="FA379" s="53" t="n"/>
      <c r="FB379" s="53" t="n"/>
      <c r="FC379" s="53" t="n"/>
      <c r="FD379" s="53" t="n"/>
      <c r="FE379"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379"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FG379" s="56" t="inlineStr">
        <is>
          <t>1. Build proficiency in project technologies, development practices, and software engineering fundamentals.
2. Complete assigned development tasks under guidance while adhering to coding standards and best practices.
3. Develop quality-focused solutions by testing assigned features and resolving reported issues.
4. Demonstrate effective communication, teamwork, and proactive learning during the internship.
5. Contribute ideas or automation that improve team productivity or product quality.</t>
        </is>
      </c>
      <c r="FH379" s="56" t="inlineStr">
        <is>
          <t>4</t>
        </is>
      </c>
      <c r="FI379" s="56" t="n"/>
      <c r="FJ379" s="56" t="inlineStr">
        <is>
          <t>Received · manager annual, quarterly, self</t>
        </is>
      </c>
      <c r="FK379" s="56" t="inlineStr">
        <is>
          <t>Talent Mapping · iFile collated</t>
        </is>
      </c>
      <c r="FL379" s="56" t="n">
        <v>20</v>
      </c>
      <c r="FM379" s="32" t="inlineStr">
        <is>
          <t>Full survey answers not in the files received · How We Grow export needed · HR</t>
        </is>
      </c>
      <c r="FN379" s="56" t="inlineStr">
        <is>
          <t>—</t>
        </is>
      </c>
      <c r="FO379" s="56" t="inlineStr">
        <is>
          <t>—</t>
        </is>
      </c>
      <c r="FP379" s="56" t="inlineStr">
        <is>
          <t>—</t>
        </is>
      </c>
      <c r="FQ379" s="56" t="inlineStr">
        <is>
          <t>—</t>
        </is>
      </c>
      <c r="FR379" s="56" t="inlineStr">
        <is>
          <t>Complexity: Evidence reads like A3: Covers UI, API development, DevOps, database management and deployment on a new product → moved up 1
Autonomy: Evidence reads like A2: Only prioritising bug fixes named → moved up 0.5
Accountability: Evidence reads like A2: Smooth client demos: consistent data, no bugs, timely deployment → moved up 0.5
Leadership: Evidence reads like A1: None described → matches the start
Business Impact: No survey or manager-mapping signal on criticality: kept at the start point.</t>
        </is>
      </c>
      <c r="FS379" s="56" t="inlineStr">
        <is>
          <t>Common themes in role-holders' answers: solutions
Common themes in role-holders' answers: deployment · testing
Common themes in role-holders' answers: software
Common themes in role-holders' answers: accountable · bugs · development
If the work is missed · role-holders' themes: client · impacts.
Measured on · manager-set KRA themes: assigned · improve · resolve · code · leakage qa/uat · coverage.</t>
        </is>
      </c>
      <c r="FT379" s="56" t="inlineStr">
        <is>
          <t>Self-identified: Technical depth &amp; architecture
For the next role: Technical depth &amp; architecture</t>
        </is>
      </c>
      <c r="FU379" s="32" t="inlineStr">
        <is>
          <t>Full survey answers not in the files received · How We Grow export needed · HR</t>
        </is>
      </c>
    </row>
    <row r="380" ht="90" customHeight="1">
      <c r="A380" s="51" t="inlineStr">
        <is>
          <t>◂ Back</t>
        </is>
      </c>
      <c r="B380" s="29" t="inlineStr">
        <is>
          <t>Mapped</t>
        </is>
      </c>
      <c r="C380" s="28" t="inlineStr">
        <is>
          <t>iFile</t>
        </is>
      </c>
      <c r="D380" s="29" t="inlineStr">
        <is>
          <t>IRIS0929</t>
        </is>
      </c>
      <c r="E380" s="29" t="inlineStr">
        <is>
          <t>Sandeep Dwivedi</t>
        </is>
      </c>
      <c r="F380" s="29" t="inlineStr">
        <is>
          <t>Technology</t>
        </is>
      </c>
      <c r="G380" s="29" t="inlineStr">
        <is>
          <t>Project Manager</t>
        </is>
      </c>
      <c r="H380" s="29" t="inlineStr">
        <is>
          <t>Delivery Manager</t>
        </is>
      </c>
      <c r="I380" s="29" t="inlineStr">
        <is>
          <t>L5 – Manager</t>
        </is>
      </c>
      <c r="J380" s="29" t="inlineStr">
        <is>
          <t>B2</t>
        </is>
      </c>
      <c r="K380" s="29" t="inlineStr">
        <is>
          <t>▲ Up</t>
        </is>
      </c>
      <c r="L380" s="29" t="inlineStr">
        <is>
          <t>Project &amp; Program Management</t>
        </is>
      </c>
      <c r="M380" s="29" t="inlineStr">
        <is>
          <t>Project &amp; Program Delivery</t>
        </is>
      </c>
      <c r="N380" s="29" t="n"/>
      <c r="O380" s="29" t="n">
        <v>20</v>
      </c>
      <c r="P380" s="28" t="inlineStr">
        <is>
          <t>P4 / M3</t>
        </is>
      </c>
      <c r="Q380" s="29" t="inlineStr">
        <is>
          <t>Senior / Manager</t>
        </is>
      </c>
      <c r="R380" s="29" t="inlineStr">
        <is>
          <t>4–5</t>
        </is>
      </c>
      <c r="S380" s="29" t="inlineStr">
        <is>
          <t>6–9 yrs</t>
        </is>
      </c>
      <c r="T380" s="29" t="inlineStr">
        <is>
          <t>7–10 · 6–11</t>
        </is>
      </c>
      <c r="U380" s="29" t="inlineStr">
        <is>
          <t>Senior Manager</t>
        </is>
      </c>
      <c r="V380" s="29" t="inlineStr">
        <is>
          <t>IRIS Vs Competitor Benchmark — PMI pathway + SaaS delivery ladder: Senior PM</t>
        </is>
      </c>
      <c r="W380" s="29" t="inlineStr">
        <is>
          <t>PMI PMBOK and Talent Triangle; CAPM · entry → PMP → PgMP; Scrum / SAFe</t>
        </is>
      </c>
      <c r="X380" s="29" t="inlineStr">
        <is>
          <t>Core 3 · Future 3 · Functional 4 · Leadership 3</t>
        </is>
      </c>
      <c r="Y380" s="52" t="n">
        <v>100</v>
      </c>
      <c r="Z380" s="53" t="inlineStr">
        <is>
          <t>IRIS0929</t>
        </is>
      </c>
      <c r="AA380" s="53" t="inlineStr">
        <is>
          <t>Employee</t>
        </is>
      </c>
      <c r="AB380" s="53" t="inlineStr">
        <is>
          <t>Active</t>
        </is>
      </c>
      <c r="AC380" s="53" t="inlineStr">
        <is>
          <t>Sandeep Dwivedi</t>
        </is>
      </c>
      <c r="AD380" s="54" t="n">
        <v>40819</v>
      </c>
      <c r="AE380" s="53" t="inlineStr">
        <is>
          <t>Project Manager</t>
        </is>
      </c>
      <c r="AF380" s="53" t="inlineStr">
        <is>
          <t>MMS</t>
        </is>
      </c>
      <c r="AG380" s="53" t="inlineStr">
        <is>
          <t>Pradip Dey</t>
        </is>
      </c>
      <c r="AH380" s="53" t="inlineStr">
        <is>
          <t>N-3</t>
        </is>
      </c>
      <c r="AI380" s="53" t="inlineStr">
        <is>
          <t>Manager</t>
        </is>
      </c>
      <c r="AJ380" s="53" t="inlineStr">
        <is>
          <t>0 years, 0 months, 0 days</t>
        </is>
      </c>
      <c r="AK380" s="53" t="inlineStr">
        <is>
          <t>14 years, 10 months, 22 days</t>
        </is>
      </c>
      <c r="AL380" s="53" t="inlineStr">
        <is>
          <t>Suptech</t>
        </is>
      </c>
      <c r="AM380" s="53" t="inlineStr">
        <is>
          <t>iFile</t>
        </is>
      </c>
      <c r="AN380" s="53" t="inlineStr">
        <is>
          <t>Technology</t>
        </is>
      </c>
      <c r="AO380" s="53" t="inlineStr">
        <is>
          <t>Project Management</t>
        </is>
      </c>
      <c r="AP380" s="53" t="inlineStr">
        <is>
          <t>No</t>
        </is>
      </c>
      <c r="AQ380" s="53" t="inlineStr">
        <is>
          <t>Product/Project</t>
        </is>
      </c>
      <c r="AR380" s="53" t="inlineStr">
        <is>
          <t>Project Management</t>
        </is>
      </c>
      <c r="AS380" s="53" t="inlineStr">
        <is>
          <t>Technical · BA, PM and QA</t>
        </is>
      </c>
      <c r="AT380" s="53" t="n">
        <v>20</v>
      </c>
      <c r="AU380" s="53" t="inlineStr">
        <is>
          <t>Covered</t>
        </is>
      </c>
      <c r="AV380" s="53" t="n"/>
      <c r="AW380" s="53" t="n"/>
      <c r="AX380" s="53" t="n"/>
      <c r="AY380" s="53" t="n"/>
      <c r="AZ380" s="53" t="n"/>
      <c r="BA380" s="53" t="n"/>
      <c r="BB380" s="53" t="n"/>
      <c r="BC380" s="53" t="n"/>
      <c r="BD380" s="53" t="n"/>
      <c r="BE380" s="53" t="n"/>
      <c r="BF380" s="53" t="n"/>
      <c r="BG380" s="53" t="n"/>
      <c r="BH380" s="53" t="n"/>
      <c r="BI380" s="53" t="n"/>
      <c r="BJ380" s="53" t="n"/>
      <c r="BK380" s="53" t="n"/>
      <c r="BL380" s="53" t="n"/>
      <c r="BM380" s="53" t="n"/>
      <c r="BN380" s="53" t="n"/>
      <c r="BO380" s="53" t="n"/>
      <c r="BP380" s="53" t="n"/>
      <c r="BQ380" s="53" t="n"/>
      <c r="BR380" s="53" t="n"/>
      <c r="BS380" s="53" t="n"/>
      <c r="BT380" s="53" t="n"/>
      <c r="BU380" s="53" t="n"/>
      <c r="BV380" s="53" t="n"/>
      <c r="BW380" s="53" t="n"/>
      <c r="BX380" s="53" t="n"/>
      <c r="BY380" s="53" t="n"/>
      <c r="BZ380" s="53" t="n"/>
      <c r="CA380" s="53" t="n"/>
      <c r="CB380" s="53" t="n"/>
      <c r="CC380" s="53" t="n"/>
      <c r="CD380" s="53" t="n"/>
      <c r="CE380" s="53" t="n"/>
      <c r="CF380" s="53" t="n"/>
      <c r="CG380" s="53" t="n"/>
      <c r="CH380" s="53" t="n"/>
      <c r="CI380" s="53" t="n"/>
      <c r="CJ380" s="53" t="n"/>
      <c r="CK380" s="53" t="n"/>
      <c r="CL380" s="53" t="n"/>
      <c r="CM380" s="53" t="n"/>
      <c r="CN380" s="53" t="n"/>
      <c r="CO380" s="53" t="n"/>
      <c r="CP380" s="53" t="n"/>
      <c r="CQ380" s="53" t="n"/>
      <c r="CR380" s="53" t="n"/>
      <c r="CS380" s="53" t="n"/>
      <c r="CT380" s="53" t="n"/>
      <c r="CU380" s="53" t="n"/>
      <c r="CV380" s="53" t="n"/>
      <c r="CW380" s="53" t="n"/>
      <c r="CX380" s="53" t="n"/>
      <c r="CY380" s="53" t="n"/>
      <c r="CZ380" s="53" t="n"/>
      <c r="DA380" s="53" t="n"/>
      <c r="DB380" s="53" t="n"/>
      <c r="DC380" s="53" t="n"/>
      <c r="DD380" s="53" t="inlineStr">
        <is>
          <t>IRIS0929</t>
        </is>
      </c>
      <c r="DE380" s="53" t="inlineStr">
        <is>
          <t>Employee</t>
        </is>
      </c>
      <c r="DF380" s="53" t="inlineStr">
        <is>
          <t>Active</t>
        </is>
      </c>
      <c r="DG380" s="53" t="inlineStr">
        <is>
          <t>Sandeep Dwivedi</t>
        </is>
      </c>
      <c r="DH380" s="54" t="n">
        <v>40819</v>
      </c>
      <c r="DI380" s="53" t="inlineStr">
        <is>
          <t>Project Manager</t>
        </is>
      </c>
      <c r="DJ380" s="53" t="inlineStr">
        <is>
          <t>Project &amp; Program Management</t>
        </is>
      </c>
      <c r="DK380" s="53" t="inlineStr">
        <is>
          <t>Project Management</t>
        </is>
      </c>
      <c r="DL380" s="53" t="inlineStr">
        <is>
          <t>Project Manager</t>
        </is>
      </c>
      <c r="DM380" s="53" t="inlineStr">
        <is>
          <t>L5 – Manager</t>
        </is>
      </c>
      <c r="DN380" s="53" t="inlineStr">
        <is>
          <t>MMS</t>
        </is>
      </c>
      <c r="DO380" s="53" t="inlineStr">
        <is>
          <t>Pradip Dey</t>
        </is>
      </c>
      <c r="DP380" s="53" t="inlineStr">
        <is>
          <t>N-2</t>
        </is>
      </c>
      <c r="DQ380" s="53" t="inlineStr">
        <is>
          <t>Manager</t>
        </is>
      </c>
      <c r="DR380" s="53" t="inlineStr">
        <is>
          <t>0 years, 0 months, 0 days</t>
        </is>
      </c>
      <c r="DS380" s="53" t="inlineStr">
        <is>
          <t>14 years, 8 months, 17 days</t>
        </is>
      </c>
      <c r="DT380" s="53" t="inlineStr">
        <is>
          <t>14 years, 8 months, 17 days</t>
        </is>
      </c>
      <c r="DU380" s="53" t="n">
        <v>14.7132420091324</v>
      </c>
      <c r="DV380" s="53" t="inlineStr">
        <is>
          <t>Suptech</t>
        </is>
      </c>
      <c r="DW380" s="53" t="inlineStr">
        <is>
          <t>iFile</t>
        </is>
      </c>
      <c r="DX380" s="53" t="inlineStr">
        <is>
          <t>Technology</t>
        </is>
      </c>
      <c r="DY380" s="53" t="inlineStr">
        <is>
          <t>Project Management</t>
        </is>
      </c>
      <c r="DZ380" s="53" t="inlineStr">
        <is>
          <t>No</t>
        </is>
      </c>
      <c r="EA380" s="53" t="inlineStr">
        <is>
          <t>Product/Project</t>
        </is>
      </c>
      <c r="EB380" s="53" t="inlineStr">
        <is>
          <t>Project Management</t>
        </is>
      </c>
      <c r="EC380" s="53" t="inlineStr">
        <is>
          <t>Technical · BA, PM and QA</t>
        </is>
      </c>
      <c r="ED380" s="53" t="inlineStr">
        <is>
          <t>Work From Office - Turbhe</t>
        </is>
      </c>
      <c r="EE380" s="53" t="n"/>
      <c r="EF380" s="53" t="inlineStr">
        <is>
          <t>1. CMA Kuwait and Boursa Kuwait Program
Proactive communicaions and stakeholder management as per the protocols set for the program
Ensure operations support is provided as per SLA defined for the program
Ensure proactive maintenance activities carried out by team and metrics are being reviewed systematically for improvements
&lt; 4 major escalations in a year. Also, quick resolutions and RCA for improvements
2. PFRDA Account
Proactive communicaions and stakeholder management as per the protocols set for the program
Ensure operations support is provided as per SLA defined for the program
Ensure proactive maintenance activities carried out by team and metrics are being reviewed systematically for improvements
&lt; 4 major escalations in a year. Also, quick resolutions and RCA for improvements
3. Pre-sales, process adherence, &amp; Strategic Contributions
Contribute to business expansion through active participation in pre-sales, solutioning, and proposal development support · especially for Kuwait, PFRDA and NRB Nepal 
Organization level Projetc Mgmt talent building and initiatives
Ensure adoption of digital way of working across the organization
4. PMP Certifications/AI
Complete PMP
Leverage AI in day to day working - PM activities, prepration/reuse of requirement artefacts, test cases writing and automaiton etc.</t>
        </is>
      </c>
      <c r="EG380" s="53" t="inlineStr">
        <is>
          <t>Operational support for the accounts - Kuwait CMA/BK, PFRDA, NRB
Process improvements
PMP completion
Digital way of working and measurement of metrics through the tools for the entire team</t>
        </is>
      </c>
      <c r="EH380" s="53" t="inlineStr">
        <is>
          <t>Meets Expectations</t>
        </is>
      </c>
      <c r="EI380" s="54" t="n">
        <v>45931</v>
      </c>
      <c r="EJ380" s="53" t="inlineStr">
        <is>
          <t>Project Manager</t>
        </is>
      </c>
      <c r="EK380" s="53" t="n"/>
      <c r="EL380" s="53" t="n">
        <v>3</v>
      </c>
      <c r="EM380" s="53" t="inlineStr">
        <is>
          <t>Medium</t>
        </is>
      </c>
      <c r="EN380" s="53" t="inlineStr">
        <is>
          <t>Core Contributor</t>
        </is>
      </c>
      <c r="EO380" s="53" t="n"/>
      <c r="EP380" s="53" t="inlineStr">
        <is>
          <t>N</t>
        </is>
      </c>
      <c r="EQ380" s="53" t="inlineStr">
        <is>
          <t>Y</t>
        </is>
      </c>
      <c r="ER380" s="53" t="n"/>
      <c r="ES380" s="53" t="inlineStr">
        <is>
          <t>SupTech Domain, Agile Scrum</t>
        </is>
      </c>
      <c r="ET380" s="53" t="n"/>
      <c r="EU380" s="53" t="inlineStr">
        <is>
          <t>IRIS Instant - MBRS</t>
        </is>
      </c>
      <c r="EV380" s="53" t="n"/>
      <c r="EW380" s="52" t="n"/>
      <c r="EX380" s="53" t="n"/>
      <c r="EY380" s="53" t="n"/>
      <c r="EZ380" s="53" t="n"/>
      <c r="FA380" s="53" t="n"/>
      <c r="FB380" s="53" t="n"/>
      <c r="FC380" s="53" t="n"/>
      <c r="FD380" s="53" t="n"/>
      <c r="FE380" s="57" t="inlineStr">
        <is>
          <t>1. CMA Kuwait and Boursa Kuwait Program
Proactive communicaions and stakeholder management as per the protocols set for the program
Ensure operations support is provided as per SLA defined for the program
Ensure proactive maintenance activities carried out by team and metrics are being reviewed systematically for improvements
&lt; 4 major escalations in a year. Also, quick resolutions and RCA for improvements
2. PFRDA Account
Proactive communicaions and stakeholder management as per the protocols set for the program
Ensure operations support is provided as per SLA defined for the program
Ensure proactive maintenance activities carried out by team and metrics are being reviewed systematically for improvements
&lt; 4 major escalations in a year. Also, quick resolutions and RCA for improvements
3. Pre-sales, process adherence, &amp; Strategic Contributions
Contribute to business expansion through active participation in pre-sales, solutioning, and proposal development support · especially for Kuwait, PFRDA and NRB Nepal  
Organization level Projetc Mgmt talent building and initiatives
Ensure adoption of digital way of working across the organization
4. PMP Certifications/AI
Complete PMP
Leverage AI in day to day working - PM activities, prepration/reuse of requirement artefacts, test cases writing and automaiton etc.</t>
        </is>
      </c>
      <c r="FF380" s="56" t="inlineStr">
        <is>
          <t>Operational support for the accounts - Kuwait CMA/BK, PFRDA, NRB
Process improvements
PMP completion
Digital way of working and measurement of metrics through the tools for the entire team</t>
        </is>
      </c>
      <c r="FG380" s="56" t="n"/>
      <c r="FH380" s="56" t="inlineStr">
        <is>
          <t>Meets Expectations</t>
        </is>
      </c>
      <c r="FI380" s="56" t="n"/>
      <c r="FJ380" s="56" t="inlineStr">
        <is>
          <t>Received · manager annual, quarterly</t>
        </is>
      </c>
      <c r="FK380" s="56" t="inlineStr">
        <is>
          <t>Talent Mapping · iFile collated</t>
        </is>
      </c>
      <c r="FL380" s="56" t="n">
        <v>20</v>
      </c>
      <c r="FM380" s="32" t="inlineStr">
        <is>
          <t>Full survey answers not in the files received · How We Grow export needed · HR</t>
        </is>
      </c>
      <c r="FN380" s="56" t="inlineStr">
        <is>
          <t>—</t>
        </is>
      </c>
      <c r="FO380" s="56" t="inlineStr">
        <is>
          <t>—</t>
        </is>
      </c>
      <c r="FP380" s="56" t="inlineStr">
        <is>
          <t>—</t>
        </is>
      </c>
      <c r="FQ380" s="56" t="inlineStr">
        <is>
          <t>—</t>
        </is>
      </c>
      <c r="FR380" s="56" t="inlineStr">
        <is>
          <t>Complexity: Evidence reads like B1: Manages scope, timelines, risks and resources across client and cross-functional teams; generic wording → moved down 0.5
Autonomy: Evidence reads like B1: Prioritises work and tickets; no other decisions named → moved down 0.5
Accountability: Evidence reads like B2: Project delivery and commitments to management and clients → moved down 0.5
Leadership: Evidence reads like B1: 4 direct reports; prioritises team's work; no leadership detail → moved down 0.5
Business Impact: Moved +0.5: the survey / manager mapping marks it business-critical.</t>
        </is>
      </c>
      <c r="FS380" s="56" t="inlineStr">
        <is>
          <t>Common themes in role-holders' answers: project · management · support · business · stakeholder · client
Common themes in role-holders' answers: client · management · project · delivery · documentation
Common themes in role-holders' answers: project
Common themes in role-holders' answers: project · delivery · accountable · deliverables · timelines · scope quality
Common themes in role-holders' answers: project · issue
If the work is missed · role-holders' themes: client · rework · deliverables · delays.
Measured on · manager-set KRA themes: project · management · level · support · scope · client.</t>
        </is>
      </c>
      <c r="FT380" s="56" t="inlineStr">
        <is>
          <t>Self-identified: Broader exposure &amp; ownership
For the next role: Broader exposure &amp; ownership</t>
        </is>
      </c>
      <c r="FU380" s="32" t="inlineStr">
        <is>
          <t>Full survey answers not in the files received · How We Grow export needed · HR</t>
        </is>
      </c>
    </row>
    <row r="381" ht="90" customHeight="1">
      <c r="A381" s="51" t="inlineStr">
        <is>
          <t>◂ Back</t>
        </is>
      </c>
      <c r="B381" s="29" t="inlineStr">
        <is>
          <t>Mapped</t>
        </is>
      </c>
      <c r="C381" s="28" t="inlineStr">
        <is>
          <t>iFile</t>
        </is>
      </c>
      <c r="D381" s="29" t="inlineStr">
        <is>
          <t>IRIS0320</t>
        </is>
      </c>
      <c r="E381" s="29" t="inlineStr">
        <is>
          <t>Ravikant Karmoju</t>
        </is>
      </c>
      <c r="F381" s="29" t="inlineStr">
        <is>
          <t>Technology</t>
        </is>
      </c>
      <c r="G381" s="29" t="inlineStr">
        <is>
          <t>Lead Software Engineer</t>
        </is>
      </c>
      <c r="H381" s="29" t="inlineStr">
        <is>
          <t>Lead Software Engineer – POD Lead</t>
        </is>
      </c>
      <c r="I381" s="29" t="inlineStr">
        <is>
          <t>L5 – Lead · IC</t>
        </is>
      </c>
      <c r="J381" s="29" t="inlineStr">
        <is>
          <t>B3</t>
        </is>
      </c>
      <c r="K381" s="29" t="inlineStr">
        <is>
          <t>• Same level</t>
        </is>
      </c>
      <c r="L381" s="29" t="inlineStr">
        <is>
          <t>Engineering &amp; Development</t>
        </is>
      </c>
      <c r="M381" s="29" t="inlineStr">
        <is>
          <t>Backend Development</t>
        </is>
      </c>
      <c r="N381" s="29" t="n"/>
      <c r="O381" s="29" t="n">
        <v>19</v>
      </c>
      <c r="P381" s="28" t="inlineStr">
        <is>
          <t>P5 / M4</t>
        </is>
      </c>
      <c r="Q381" s="29" t="inlineStr">
        <is>
          <t>Expert / Senior Manager</t>
        </is>
      </c>
      <c r="R381" s="29" t="inlineStr">
        <is>
          <t>5 Ensure, advise</t>
        </is>
      </c>
      <c r="S381" s="29" t="inlineStr">
        <is>
          <t>8–12 yrs</t>
        </is>
      </c>
      <c r="T381" s="29" t="inlineStr">
        <is>
          <t>9–13 · 9–14</t>
        </is>
      </c>
      <c r="U381" s="29" t="inlineStr">
        <is>
          <t>Principal Engineer</t>
        </is>
      </c>
      <c r="V381" s="29" t="inlineStr">
        <is>
          <t>Workiva: Staff SE · Broadridge India: Senior Lead SE · Nasdaq / AxiomSL: Lead SE · Salesforce: LMTS · Atlassian: P50 Senior · Freshworks: Staff SE</t>
        </is>
      </c>
      <c r="W381" s="29" t="inlineStr">
        <is>
          <t>SFIA 9 · software development, programming; OWASP secure coding; cloud vendor certifications</t>
        </is>
      </c>
      <c r="X381" s="29" t="inlineStr">
        <is>
          <t>Core 4 · Future 3 · Functional 4 · Leadership 4</t>
        </is>
      </c>
      <c r="Y381" s="52" t="n">
        <v>51</v>
      </c>
      <c r="Z381" s="53" t="inlineStr">
        <is>
          <t>IRIS0320</t>
        </is>
      </c>
      <c r="AA381" s="53" t="inlineStr">
        <is>
          <t>Employee</t>
        </is>
      </c>
      <c r="AB381" s="53" t="inlineStr">
        <is>
          <t>Active</t>
        </is>
      </c>
      <c r="AC381" s="53" t="inlineStr">
        <is>
          <t>Ravikant Karmoju</t>
        </is>
      </c>
      <c r="AD381" s="54" t="n">
        <v>40287</v>
      </c>
      <c r="AE381" s="53" t="inlineStr">
        <is>
          <t>Lead Software Engineer</t>
        </is>
      </c>
      <c r="AF381" s="53" t="inlineStr">
        <is>
          <t>BCA</t>
        </is>
      </c>
      <c r="AG381" s="53" t="inlineStr">
        <is>
          <t>Sandeep Dwivedi</t>
        </is>
      </c>
      <c r="AH381" s="53" t="inlineStr">
        <is>
          <t>N-4</t>
        </is>
      </c>
      <c r="AI381" s="53" t="inlineStr">
        <is>
          <t>Manager</t>
        </is>
      </c>
      <c r="AJ381" s="53" t="inlineStr">
        <is>
          <t>2 years, 2 months, 0 days</t>
        </is>
      </c>
      <c r="AK381" s="53" t="inlineStr">
        <is>
          <t>16 years, 4 months, 6 days</t>
        </is>
      </c>
      <c r="AL381" s="53" t="inlineStr">
        <is>
          <t>Suptech</t>
        </is>
      </c>
      <c r="AM381" s="53" t="inlineStr">
        <is>
          <t>iFile</t>
        </is>
      </c>
      <c r="AN381" s="53" t="inlineStr">
        <is>
          <t>Technology</t>
        </is>
      </c>
      <c r="AO381" s="53" t="inlineStr">
        <is>
          <t>Development</t>
        </is>
      </c>
      <c r="AP381" s="53" t="inlineStr">
        <is>
          <t>Yes</t>
        </is>
      </c>
      <c r="AQ381" s="53" t="inlineStr">
        <is>
          <t>Product/Project</t>
        </is>
      </c>
      <c r="AR381" s="53" t="inlineStr">
        <is>
          <t>.NET MVC</t>
        </is>
      </c>
      <c r="AS381" s="53" t="inlineStr">
        <is>
          <t>Technical - Developer</t>
        </is>
      </c>
      <c r="AT381" s="53" t="n">
        <v>20</v>
      </c>
      <c r="AU381" s="53" t="inlineStr">
        <is>
          <t>Covered</t>
        </is>
      </c>
      <c r="AV381" s="53" t="n"/>
      <c r="AW381" s="53" t="n"/>
      <c r="AX381" s="53" t="n"/>
      <c r="AY381" s="53" t="n"/>
      <c r="AZ381" s="53" t="n"/>
      <c r="BA381" s="53" t="n"/>
      <c r="BB381" s="53" t="n"/>
      <c r="BC381" s="53" t="n"/>
      <c r="BD381" s="53" t="n"/>
      <c r="BE381" s="53" t="n"/>
      <c r="BF381" s="53" t="n"/>
      <c r="BG381" s="53" t="n"/>
      <c r="BH381" s="53" t="n"/>
      <c r="BI381" s="53" t="n"/>
      <c r="BJ381" s="53" t="n"/>
      <c r="BK381" s="53" t="n"/>
      <c r="BL381" s="53" t="n"/>
      <c r="BM381" s="53" t="n"/>
      <c r="BN381" s="53" t="n"/>
      <c r="BO381" s="53" t="n"/>
      <c r="BP381" s="53" t="n"/>
      <c r="BQ381" s="53" t="n"/>
      <c r="BR381" s="53" t="n"/>
      <c r="BS381" s="53" t="n"/>
      <c r="BT381" s="53" t="n"/>
      <c r="BU381" s="53" t="n"/>
      <c r="BV381" s="53" t="n"/>
      <c r="BW381" s="53" t="n"/>
      <c r="BX381" s="53" t="n"/>
      <c r="BY381" s="53" t="n"/>
      <c r="BZ381" s="53" t="n"/>
      <c r="CA381" s="53" t="n"/>
      <c r="CB381" s="53" t="n"/>
      <c r="CC381" s="53" t="n"/>
      <c r="CD381" s="53" t="n"/>
      <c r="CE381" s="53" t="n"/>
      <c r="CF381" s="53" t="n"/>
      <c r="CG381" s="53" t="n"/>
      <c r="CH381" s="53" t="n"/>
      <c r="CI381" s="53" t="n"/>
      <c r="CJ381" s="53" t="n"/>
      <c r="CK381" s="53" t="n"/>
      <c r="CL381" s="53" t="n"/>
      <c r="CM381" s="53" t="n"/>
      <c r="CN381" s="53" t="n"/>
      <c r="CO381" s="53" t="n"/>
      <c r="CP381" s="53" t="n"/>
      <c r="CQ381" s="53" t="n"/>
      <c r="CR381" s="53" t="n"/>
      <c r="CS381" s="53" t="n"/>
      <c r="CT381" s="53" t="n"/>
      <c r="CU381" s="53" t="n"/>
      <c r="CV381" s="53" t="n"/>
      <c r="CW381" s="53" t="n"/>
      <c r="CX381" s="53" t="n"/>
      <c r="CY381" s="53" t="n"/>
      <c r="CZ381" s="53" t="n"/>
      <c r="DA381" s="53" t="n"/>
      <c r="DB381" s="53" t="n"/>
      <c r="DC381" s="53" t="n"/>
      <c r="DD381" s="53" t="inlineStr">
        <is>
          <t>IRIS0320</t>
        </is>
      </c>
      <c r="DE381" s="53" t="inlineStr">
        <is>
          <t>Employee</t>
        </is>
      </c>
      <c r="DF381" s="53" t="inlineStr">
        <is>
          <t>Active</t>
        </is>
      </c>
      <c r="DG381" s="53" t="inlineStr">
        <is>
          <t>Ravikant Karmoju</t>
        </is>
      </c>
      <c r="DH381" s="54" t="n">
        <v>40287</v>
      </c>
      <c r="DI381" s="53" t="inlineStr">
        <is>
          <t>Lead Software Engineer</t>
        </is>
      </c>
      <c r="DJ381" s="53" t="inlineStr">
        <is>
          <t>Engineering &amp; Development</t>
        </is>
      </c>
      <c r="DK381" s="53" t="inlineStr">
        <is>
          <t>Backend Engineering ·.NET</t>
        </is>
      </c>
      <c r="DL381" s="53" t="inlineStr">
        <is>
          <t>Lead Software Engineer</t>
        </is>
      </c>
      <c r="DM381" s="53" t="inlineStr">
        <is>
          <t>L5 – Lead · IC</t>
        </is>
      </c>
      <c r="DN381" s="53" t="inlineStr">
        <is>
          <t>BCA</t>
        </is>
      </c>
      <c r="DO381" s="53" t="inlineStr">
        <is>
          <t>Sandeep Dwivedi</t>
        </is>
      </c>
      <c r="DP381" s="53" t="inlineStr">
        <is>
          <t>N-3</t>
        </is>
      </c>
      <c r="DQ381" s="53" t="inlineStr">
        <is>
          <t>Manager</t>
        </is>
      </c>
      <c r="DR381" s="53" t="inlineStr">
        <is>
          <t>2 years, 2 months, 0 days</t>
        </is>
      </c>
      <c r="DS381" s="53" t="inlineStr">
        <is>
          <t>16 years, 2 months, 1 days</t>
        </is>
      </c>
      <c r="DT381" s="53" t="inlineStr">
        <is>
          <t>18 years, 4 months, 1 days</t>
        </is>
      </c>
      <c r="DU381" s="53" t="n">
        <v>16.1694063926941</v>
      </c>
      <c r="DV381" s="53" t="inlineStr">
        <is>
          <t>Suptech</t>
        </is>
      </c>
      <c r="DW381" s="53" t="inlineStr">
        <is>
          <t>iFile</t>
        </is>
      </c>
      <c r="DX381" s="53" t="inlineStr">
        <is>
          <t>Technology</t>
        </is>
      </c>
      <c r="DY381" s="53" t="inlineStr">
        <is>
          <t>Development</t>
        </is>
      </c>
      <c r="DZ381" s="53" t="inlineStr">
        <is>
          <t>Yes</t>
        </is>
      </c>
      <c r="EA381" s="53" t="inlineStr">
        <is>
          <t>Product/Project</t>
        </is>
      </c>
      <c r="EB381" s="53" t="inlineStr">
        <is>
          <t>.NET MVC</t>
        </is>
      </c>
      <c r="EC381" s="53" t="inlineStr">
        <is>
          <t>Technical - Developer</t>
        </is>
      </c>
      <c r="ED381" s="53" t="inlineStr">
        <is>
          <t>Remote - Mumbai</t>
        </is>
      </c>
      <c r="EE381" s="53" t="inlineStr">
        <is>
          <t>1.Track ,co-ordinate with team &amp; deliver the IFRS 18 implementation for FSA Oman on time.
2.Upgrade Bayanat BI application with enhanced business functionality, improved performance, and a more user-friendly interface.
3.Develop secure, scalable BI data-sharing solutions to enable efficient and controlled access to BI data.
4.Develop customizable and scalable IRIS Quest - ETL/BI solution. Integrate AI/ML to improve data processing, automation, and report generation.
5.Learn and implement project management skills to effectively plan, track, and deliver project.</t>
        </is>
      </c>
      <c r="EF381" s="53" t="inlineStr">
        <is>
          <t>1. Ensure successful delivery of the IFRS 18 implementation for FSA Oman by providing project governance, reviewing milestones, managing risks and dependencies, coordinating cross-functional teams, and achieving delivery within the agreed timeline and quality standards.
2. Drive the successful modernization of the Bayanat BI application by ensuring functional enhancements, performance optimization, usability improvements, stakeholder alignment, and timely delivery while meeting business expectations.
3. Provide technical oversight for the design and implementation of secure, scalable BI data-sharing solutions by ensuring compliance with security standards, architecture best practices, and successful adoption by stakeholders.
4. Lead the development roadmap for the IRIS Quest ETL/BI platform by driving scalable architecture, AI/ML adoption, technical reviews, and delivery governance to enhance automation, performance, and product capabilities.
5. Strengthen project execution capabilities by mentoring team members in project management practices, ensuring effective planning, tracking, risk management, resource utilization, and achieving agreed project delivery and customer satisfaction targets.</t>
        </is>
      </c>
      <c r="EG381" s="53" t="inlineStr">
        <is>
          <t>1.Track ,co-ordinate with team &amp; deliver the IFRS 18 implementation for FSA Oman on time.
2.Upgrade Bayanat BI application with enhanced business functionality, improved performance, and a more user-friendly interface.
3.Develop secure, scalable BI data-sharing solutions to enable efficient and controlled access to BI data.</t>
        </is>
      </c>
      <c r="EH381" s="53" t="n">
        <v>3</v>
      </c>
      <c r="EI381" s="54" t="n">
        <v>46205</v>
      </c>
      <c r="EJ381" s="53" t="inlineStr">
        <is>
          <t>Lead Software Engineer</t>
        </is>
      </c>
      <c r="EK381" s="53" t="n"/>
      <c r="EL381" s="53" t="n">
        <v>3</v>
      </c>
      <c r="EM381" s="53" t="inlineStr">
        <is>
          <t>High</t>
        </is>
      </c>
      <c r="EN381" s="53" t="inlineStr">
        <is>
          <t>Trusted Professional</t>
        </is>
      </c>
      <c r="EO381" s="53" t="inlineStr">
        <is>
          <t>No</t>
        </is>
      </c>
      <c r="EP381" s="53" t="inlineStr">
        <is>
          <t>No</t>
        </is>
      </c>
      <c r="EQ381" s="53" t="inlineStr">
        <is>
          <t>Yes</t>
        </is>
      </c>
      <c r="ER381" s="53" t="inlineStr">
        <is>
          <t>Yet to identify</t>
        </is>
      </c>
      <c r="ES381" s="53" t="inlineStr">
        <is>
          <t>Advanced System Architecture, Cloud Technologies · Azure, AI &amp; Automation, Performance Optimization, Secure Coding</t>
        </is>
      </c>
      <c r="ET381" s="53" t="inlineStr">
        <is>
          <t>Technical Leadership, Solution Architecture, Stakeholder Management, Team Mentoring</t>
        </is>
      </c>
      <c r="EU381" s="53" t="n"/>
      <c r="EV381" s="53" t="n"/>
      <c r="EW381" s="52" t="n"/>
      <c r="EX381" s="53" t="n"/>
      <c r="EY381" s="53" t="n"/>
      <c r="EZ381" s="53" t="n"/>
      <c r="FA381" s="53" t="n"/>
      <c r="FB381" s="53" t="n"/>
      <c r="FC381" s="53" t="n"/>
      <c r="FD381" s="53" t="n"/>
      <c r="FE381" s="57" t="inlineStr">
        <is>
          <t>1. Ensure successful delivery of the IFRS 18 implementation for FSA Oman by providing project governance, reviewing milestones, managing risks and dependencies, coordinating cross-functional teams, and achieving delivery within the agreed timeline and quality standards.
2. Drive the successful modernization of the Bayanat BI application by ensuring functional enhancements, performance optimization, usability improvements, stakeholder alignment, and timely delivery while meeting business expectations.
3. Provide technical oversight for the design and implementation of secure, scalable BI data-sharing solutions by ensuring compliance with security standards, architecture best practices, and successful adoption by stakeholders.
4. Lead the development roadmap for the IRIS Quest ETL/BI platform by driving scalable architecture, AI/ML adoption, technical reviews, and delivery governance to enhance automation, performance, and product capabilities.
5. Strengthen project execution capabilities by mentoring team members in project management practices, ensuring effective planning, tracking, risk management, resource utilization, and achieving agreed project delivery and customer satisfaction targets.</t>
        </is>
      </c>
      <c r="FF381" s="56" t="inlineStr">
        <is>
          <t>1.Track ,co-ordinate with team &amp; deliver the IFRS 18 implementation for FSA Oman on time.
2.Upgrade Bayanat BI application with enhanced business functionality, improved performance, and a more user-friendly interface.
3.Develop secure, scalable BI data-sharing solutions to enable efficient and controlled access to BI data.</t>
        </is>
      </c>
      <c r="FG381" s="56" t="inlineStr">
        <is>
          <t>1.Track ,co-ordinate with team &amp; deliver the IFRS 18 implementation for FSA Oman on time.
2.Upgrade Bayanat BI application with enhanced business functionality, improved performance, and a more user-friendly interface.
3.Develop secure, scalable BI data-sharing solutions to enable efficient and controlled access to BI data.
4.Develop customizable and scalable IRIS Quest - ETL/BI solution. Integrate AI/ML to improve data processing, automation, and report generation.
5.Learn and implement project management skills to effectively plan, track, and deliver project.</t>
        </is>
      </c>
      <c r="FH381" s="56" t="inlineStr">
        <is>
          <t>3</t>
        </is>
      </c>
      <c r="FI381" s="56" t="n"/>
      <c r="FJ381" s="56" t="inlineStr">
        <is>
          <t>Received · manager annual, quarterly, self</t>
        </is>
      </c>
      <c r="FK381" s="56" t="inlineStr">
        <is>
          <t>Talent Mapping · iFile collated</t>
        </is>
      </c>
      <c r="FL381" s="56" t="n">
        <v>19</v>
      </c>
      <c r="FM381" s="32" t="inlineStr">
        <is>
          <t>Full survey answers not in the files received · How We Grow export needed · HR</t>
        </is>
      </c>
      <c r="FN381" s="56" t="inlineStr">
        <is>
          <t>—</t>
        </is>
      </c>
      <c r="FO381" s="56" t="inlineStr">
        <is>
          <t>—</t>
        </is>
      </c>
      <c r="FP381" s="56" t="inlineStr">
        <is>
          <t>—</t>
        </is>
      </c>
      <c r="FQ381" s="56" t="inlineStr">
        <is>
          <t>—</t>
        </is>
      </c>
      <c r="FR381" s="56" t="inlineStr">
        <is>
          <t>Complexity: Evidence reads like B1: Technical solutions for customised iFile regulatory-reporting and BI deliveries; requirement analysis; client interaction → moved down 0.5
Autonomy: Evidence reads like B1: Decides technical solutions for the customised client delivery → moved down 0.5
Accountability: Evidence reads like B1: Delivery of customised solutions; tracks deliverables; manager cites FSA Oman IFRS 18 implementation → moved down 0.2
Leadership: Evidence reads like A3: Lists 'manage team'; 1 direct report → moved down 0.5
Business Impact: Moved +0.5: the survey / manager mapping marks it business-critical.</t>
        </is>
      </c>
      <c r="FS381" s="56" t="inlineStr">
        <is>
          <t>Common themes in role-holders' answers: product
Measured on · manager-set KRA themes: technical · defect · quality · agreed · deliver · reviews.</t>
        </is>
      </c>
      <c r="FT381" s="56" t="inlineStr">
        <is>
          <t>Self-identified: AI / automation · Project / programme management
For the next role: AI / automation · Project / programme management</t>
        </is>
      </c>
      <c r="FU381" s="32" t="inlineStr">
        <is>
          <t>Full survey answers not in the files received · How We Grow export needed · HR</t>
        </is>
      </c>
    </row>
    <row r="382" ht="90" customHeight="1">
      <c r="A382" s="51" t="inlineStr">
        <is>
          <t>◂ Back</t>
        </is>
      </c>
      <c r="B382" s="29" t="inlineStr">
        <is>
          <t>Mapped</t>
        </is>
      </c>
      <c r="C382" s="28" t="inlineStr">
        <is>
          <t>iFile</t>
        </is>
      </c>
      <c r="D382" s="29" t="inlineStr">
        <is>
          <t>IRIS1876</t>
        </is>
      </c>
      <c r="E382" s="29" t="inlineStr">
        <is>
          <t>Chaitanya Vadagabhaktula</t>
        </is>
      </c>
      <c r="F382" s="29" t="inlineStr">
        <is>
          <t>Technology</t>
        </is>
      </c>
      <c r="G382" s="29" t="inlineStr">
        <is>
          <t>Senior Software Engineer</t>
        </is>
      </c>
      <c r="H382" s="29" t="inlineStr">
        <is>
          <t>Database Specialist</t>
        </is>
      </c>
      <c r="I382" s="29" t="inlineStr">
        <is>
          <t>L4 – Senior</t>
        </is>
      </c>
      <c r="J382" s="29" t="inlineStr">
        <is>
          <t>A3</t>
        </is>
      </c>
      <c r="K382" s="29" t="inlineStr">
        <is>
          <t>▲ Up</t>
        </is>
      </c>
      <c r="L382" s="29" t="inlineStr">
        <is>
          <t>Engineering &amp; Development</t>
        </is>
      </c>
      <c r="M382" s="29" t="inlineStr">
        <is>
          <t>Data Engineering &amp; Database Development</t>
        </is>
      </c>
      <c r="N382" s="29" t="n"/>
      <c r="O382" s="29" t="n">
        <v>20</v>
      </c>
      <c r="P382" s="28" t="inlineStr">
        <is>
          <t>P2</t>
        </is>
      </c>
      <c r="Q382" s="29" t="inlineStr">
        <is>
          <t>Developing</t>
        </is>
      </c>
      <c r="R382" s="29" t="inlineStr">
        <is>
          <t>3 Apply</t>
        </is>
      </c>
      <c r="S382" s="29" t="inlineStr">
        <is>
          <t>2–4 yrs</t>
        </is>
      </c>
      <c r="T382" s="29" t="inlineStr">
        <is>
          <t>3–5 · 2–5</t>
        </is>
      </c>
      <c r="U382" s="29" t="inlineStr">
        <is>
          <t>Senior Software Engineer</t>
        </is>
      </c>
      <c r="V382" s="29" t="inlineStr">
        <is>
          <t>Workiva: SE · Broadridge India: SE · Nasdaq / AxiomSL: SE · Salesforce: MTS · Atlassian: P40 · 3–7 yrs · Freshworks: Senior SE</t>
        </is>
      </c>
      <c r="W382" s="29" t="inlineStr">
        <is>
          <t>SFIA 9 · software development, programming; OWASP secure coding; cloud vendor certifications</t>
        </is>
      </c>
      <c r="X382" s="29" t="inlineStr">
        <is>
          <t>Core 2 · Future 2 · Functional 3 · Leadership not scored</t>
        </is>
      </c>
      <c r="Y382" s="52" t="n">
        <v>172</v>
      </c>
      <c r="Z382" s="53" t="inlineStr">
        <is>
          <t>IRIS1876</t>
        </is>
      </c>
      <c r="AA382" s="53" t="inlineStr">
        <is>
          <t>Employee</t>
        </is>
      </c>
      <c r="AB382" s="53" t="inlineStr">
        <is>
          <t>Active</t>
        </is>
      </c>
      <c r="AC382" s="53" t="inlineStr">
        <is>
          <t>Chaitanya Vadagabhaktula</t>
        </is>
      </c>
      <c r="AD382" s="54" t="n">
        <v>44116</v>
      </c>
      <c r="AE382" s="53" t="inlineStr">
        <is>
          <t>Senior Software Engineer</t>
        </is>
      </c>
      <c r="AF382" s="53" t="inlineStr">
        <is>
          <t>B.Tech</t>
        </is>
      </c>
      <c r="AG382" s="53" t="inlineStr">
        <is>
          <t>Ravikant Karmoju</t>
        </is>
      </c>
      <c r="AH382" s="53" t="inlineStr">
        <is>
          <t>N-5</t>
        </is>
      </c>
      <c r="AI382" s="53" t="inlineStr">
        <is>
          <t>Individual Contributor</t>
        </is>
      </c>
      <c r="AJ382" s="53" t="inlineStr">
        <is>
          <t>3 years, 0 months, 0 days</t>
        </is>
      </c>
      <c r="AK382" s="53" t="inlineStr">
        <is>
          <t>5 years, 10 months, 13 days</t>
        </is>
      </c>
      <c r="AL382" s="53" t="inlineStr">
        <is>
          <t>Suptech</t>
        </is>
      </c>
      <c r="AM382" s="53" t="inlineStr">
        <is>
          <t>iFile</t>
        </is>
      </c>
      <c r="AN382" s="53" t="inlineStr">
        <is>
          <t>Technology</t>
        </is>
      </c>
      <c r="AO382" s="53" t="inlineStr">
        <is>
          <t>Development</t>
        </is>
      </c>
      <c r="AP382" s="53" t="inlineStr">
        <is>
          <t>Yes</t>
        </is>
      </c>
      <c r="AQ382" s="53" t="inlineStr">
        <is>
          <t>Product/Project</t>
        </is>
      </c>
      <c r="AR382" s="53" t="inlineStr">
        <is>
          <t>SQL</t>
        </is>
      </c>
      <c r="AS382" s="53" t="inlineStr">
        <is>
          <t>Technical - Developer</t>
        </is>
      </c>
      <c r="AT382" s="53" t="n">
        <v>20</v>
      </c>
      <c r="AU382" s="53" t="inlineStr">
        <is>
          <t>Covered</t>
        </is>
      </c>
      <c r="AV382" s="53" t="n"/>
      <c r="AW382" s="53" t="n"/>
      <c r="AX382" s="53" t="n"/>
      <c r="AY382" s="53" t="n"/>
      <c r="AZ382" s="53" t="n"/>
      <c r="BA382" s="53" t="n"/>
      <c r="BB382" s="53" t="n"/>
      <c r="BC382" s="53" t="n"/>
      <c r="BD382" s="53" t="n"/>
      <c r="BE382" s="53" t="n"/>
      <c r="BF382" s="53" t="n"/>
      <c r="BG382" s="53" t="n"/>
      <c r="BH382" s="53" t="n"/>
      <c r="BI382" s="53" t="n"/>
      <c r="BJ382" s="53" t="n"/>
      <c r="BK382" s="53" t="n"/>
      <c r="BL382" s="53" t="n"/>
      <c r="BM382" s="53" t="n"/>
      <c r="BN382" s="53" t="n"/>
      <c r="BO382" s="53" t="n"/>
      <c r="BP382" s="53" t="n"/>
      <c r="BQ382" s="53" t="n"/>
      <c r="BR382" s="53" t="n"/>
      <c r="BS382" s="53" t="n"/>
      <c r="BT382" s="53" t="n"/>
      <c r="BU382" s="53" t="n"/>
      <c r="BV382" s="53" t="n"/>
      <c r="BW382" s="53" t="n"/>
      <c r="BX382" s="53" t="n"/>
      <c r="BY382" s="53" t="n"/>
      <c r="BZ382" s="53" t="n"/>
      <c r="CA382" s="53" t="n"/>
      <c r="CB382" s="53" t="n"/>
      <c r="CC382" s="53" t="n"/>
      <c r="CD382" s="53" t="n"/>
      <c r="CE382" s="53" t="n"/>
      <c r="CF382" s="53" t="n"/>
      <c r="CG382" s="53" t="n"/>
      <c r="CH382" s="53" t="n"/>
      <c r="CI382" s="53" t="n"/>
      <c r="CJ382" s="53" t="n"/>
      <c r="CK382" s="53" t="n"/>
      <c r="CL382" s="53" t="n"/>
      <c r="CM382" s="53" t="n"/>
      <c r="CN382" s="53" t="n"/>
      <c r="CO382" s="53" t="n"/>
      <c r="CP382" s="53" t="n"/>
      <c r="CQ382" s="53" t="n"/>
      <c r="CR382" s="53" t="n"/>
      <c r="CS382" s="53" t="n"/>
      <c r="CT382" s="53" t="n"/>
      <c r="CU382" s="53" t="n"/>
      <c r="CV382" s="53" t="n"/>
      <c r="CW382" s="53" t="n"/>
      <c r="CX382" s="53" t="n"/>
      <c r="CY382" s="53" t="n"/>
      <c r="CZ382" s="53" t="n"/>
      <c r="DA382" s="53" t="n"/>
      <c r="DB382" s="53" t="n"/>
      <c r="DC382" s="53" t="n"/>
      <c r="DD382" s="53" t="inlineStr">
        <is>
          <t>IRIS1876</t>
        </is>
      </c>
      <c r="DE382" s="53" t="inlineStr">
        <is>
          <t>Employee</t>
        </is>
      </c>
      <c r="DF382" s="53" t="inlineStr">
        <is>
          <t>Active</t>
        </is>
      </c>
      <c r="DG382" s="53" t="inlineStr">
        <is>
          <t>Chaitanya Vadagabhaktula</t>
        </is>
      </c>
      <c r="DH382" s="54" t="n">
        <v>44116</v>
      </c>
      <c r="DI382" s="53" t="inlineStr">
        <is>
          <t>Senior Software Engineer</t>
        </is>
      </c>
      <c r="DJ382" s="53" t="inlineStr">
        <is>
          <t>Engineering &amp; Development</t>
        </is>
      </c>
      <c r="DK382" s="53" t="inlineStr">
        <is>
          <t>Software Engineering</t>
        </is>
      </c>
      <c r="DL382" s="53" t="inlineStr">
        <is>
          <t>Senior Software Engineer</t>
        </is>
      </c>
      <c r="DM382" s="53" t="inlineStr">
        <is>
          <t>L4 – Senior</t>
        </is>
      </c>
      <c r="DN382" s="53" t="inlineStr">
        <is>
          <t>B.Tech</t>
        </is>
      </c>
      <c r="DO382" s="53" t="inlineStr">
        <is>
          <t>Ravikant Karmoju</t>
        </is>
      </c>
      <c r="DP382" s="53" t="inlineStr">
        <is>
          <t>N-4</t>
        </is>
      </c>
      <c r="DQ382" s="53" t="inlineStr">
        <is>
          <t>Individual Contributor</t>
        </is>
      </c>
      <c r="DR382" s="53" t="inlineStr">
        <is>
          <t>3 years, 0 months, 0 days</t>
        </is>
      </c>
      <c r="DS382" s="53" t="inlineStr">
        <is>
          <t>5 years, 8 months, 8 days</t>
        </is>
      </c>
      <c r="DT382" s="53" t="inlineStr">
        <is>
          <t>8 years, 8 months, 8 days</t>
        </is>
      </c>
      <c r="DU382" s="53" t="n"/>
      <c r="DV382" s="53" t="inlineStr">
        <is>
          <t>Suptech</t>
        </is>
      </c>
      <c r="DW382" s="53" t="inlineStr">
        <is>
          <t>iFile</t>
        </is>
      </c>
      <c r="DX382" s="53" t="inlineStr">
        <is>
          <t>Technology</t>
        </is>
      </c>
      <c r="DY382" s="53" t="inlineStr">
        <is>
          <t>Development</t>
        </is>
      </c>
      <c r="DZ382" s="53" t="inlineStr">
        <is>
          <t>Yes</t>
        </is>
      </c>
      <c r="EA382" s="53" t="inlineStr">
        <is>
          <t>Product/Project</t>
        </is>
      </c>
      <c r="EB382" s="53" t="inlineStr">
        <is>
          <t>SQL</t>
        </is>
      </c>
      <c r="EC382" s="53" t="inlineStr">
        <is>
          <t>Technical - Developer</t>
        </is>
      </c>
      <c r="ED382" s="53" t="inlineStr">
        <is>
          <t>Work From Office - Turbhe</t>
        </is>
      </c>
      <c r="EE382" s="53" t="inlineStr">
        <is>
          <t>1.Track ,co-ordinate with team &amp; deliver the IFRS 18 implementation for FSA Oman on time.
2.Upgrade Bayanat BI application with enhanced business functionality, improved performance, and a more user-friendly interface.
3.Develop secure, scalable BI data-sharing solutions to enable efficient and controlled access to BI data.
4.Develop customizable and scalable IRIS Quest - ETL/BI solution. Integrate AI/ML to improve data processing, automation, and report generation.
5.Learn and implement project management skills to effectively plan, track, and deliver project.</t>
        </is>
      </c>
      <c r="EF382" s="53" t="inlineStr">
        <is>
          <t>1. Ensure successful delivery of the IFRS 18 implementation for FSA Oman by providing project governance, reviewing milestones, managing risks and dependencies, coordinating cross-functional teams, and achieving delivery within the agreed timeline and quality standards.
2. Drive the successful modernization of the Bayanat BI application by ensuring functional enhancements, performance optimization, usability improvements, stakeholder alignment, and timely delivery while meeting business expectations.
3. Provide technical oversight for the design and implementation of secure, scalable BI data-sharing solutions by ensuring compliance with security standards, architecture best practices, and successful adoption by stakeholders.
4. Lead the development roadmap for the IRIS Quest ETL/BI platform by driving scalable architecture, AI/ML adoption, technical reviews, and delivery governance to enhance automation, performance, and product capabilities.
5. Strengthen project execution capabilities by mentoring team members in project management practices, ensuring effective planning, tracking, risk management, resource utilization, and achieving agreed project delivery and customer satisfaction targets.</t>
        </is>
      </c>
      <c r="EG382" s="53" t="inlineStr">
        <is>
          <t>1.Track ,co-ordinate with team &amp; deliver the IFRS 18 implementation for FSA Oman on time.
2.Upgrade Bayanat BI application with enhanced business functionality, improved performance, and a more user-friendly interface.
3.Develop secure, scalable BI data-sharing solutions to enable efficient and controlled access to BI data.</t>
        </is>
      </c>
      <c r="EH382" s="53" t="n">
        <v>3</v>
      </c>
      <c r="EI382" s="53" t="n"/>
      <c r="EJ382" s="53" t="inlineStr">
        <is>
          <t>Senior Software Engineer</t>
        </is>
      </c>
      <c r="EK382" s="53" t="n"/>
      <c r="EL382" s="53" t="n">
        <v>3</v>
      </c>
      <c r="EM382" s="53" t="inlineStr">
        <is>
          <t>Medium</t>
        </is>
      </c>
      <c r="EN382" s="53" t="inlineStr">
        <is>
          <t>Core Contributor</t>
        </is>
      </c>
      <c r="EO382" s="53" t="inlineStr">
        <is>
          <t>No</t>
        </is>
      </c>
      <c r="EP382" s="53" t="inlineStr">
        <is>
          <t>No</t>
        </is>
      </c>
      <c r="EQ382" s="53" t="inlineStr">
        <is>
          <t>No</t>
        </is>
      </c>
      <c r="ER382" s="53" t="n"/>
      <c r="ES382" s="53" t="inlineStr">
        <is>
          <t>Advanced System Architecture, Cloud Technologies · Azure, AI &amp; Automation, Performance Optimization, Secure Coding</t>
        </is>
      </c>
      <c r="ET382" s="53" t="inlineStr">
        <is>
          <t>Technical Leadership, Solution Architecture, Stakeholder Management, Team Mentoring</t>
        </is>
      </c>
      <c r="EU382" s="53" t="n"/>
      <c r="EV382" s="53" t="n"/>
      <c r="EW382" s="52" t="n"/>
      <c r="EX382" s="53" t="n"/>
      <c r="EY382" s="53" t="n"/>
      <c r="EZ382" s="53" t="n"/>
      <c r="FA382" s="53" t="n"/>
      <c r="FB382" s="53" t="n"/>
      <c r="FC382" s="53" t="n"/>
      <c r="FD382" s="53" t="n"/>
      <c r="FE382" s="57" t="inlineStr">
        <is>
          <t>1. Ensure successful delivery of the IFRS 18 implementation for FSA Oman by providing project governance, reviewing milestones, managing risks and dependencies, coordinating cross-functional teams, and achieving delivery within the agreed timeline and quality standards.
2. Drive the successful modernization of the Bayanat BI application by ensuring functional enhancements, performance optimization, usability improvements, stakeholder alignment, and timely delivery while meeting business expectations.
3. Provide technical oversight for the design and implementation of secure, scalable BI data-sharing solutions by ensuring compliance with security standards, architecture best practices, and successful adoption by stakeholders.
4. Lead the development roadmap for the IRIS Quest ETL/BI platform by driving scalable architecture, AI/ML adoption, technical reviews, and delivery governance to enhance automation, performance, and product capabilities.
5. Strengthen project execution capabilities by mentoring team members in project management practices, ensuring effective planning, tracking, risk management, resource utilization, and achieving agreed project delivery and customer satisfaction targets.</t>
        </is>
      </c>
      <c r="FF382" s="56" t="inlineStr">
        <is>
          <t>1.Track ,co-ordinate with team &amp; deliver the IFRS 18 implementation for FSA Oman on time.
2.Upgrade Bayanat BI application with enhanced business functionality, improved performance, and a more user-friendly interface.
3.Develop secure, scalable BI data-sharing solutions to enable efficient and controlled access to BI data.</t>
        </is>
      </c>
      <c r="FG382" s="56" t="inlineStr">
        <is>
          <t>1.Track ,co-ordinate with team &amp; deliver the IFRS 18 implementation for FSA Oman on time.
2.Upgrade Bayanat BI application with enhanced business functionality, improved performance, and a more user-friendly interface.
3.Develop secure, scalable BI data-sharing solutions to enable efficient and controlled access to BI data.
4.Develop customizable and scalable IRIS Quest - ETL/BI solution. Integrate AI/ML to improve data processing, automation, and report generation.
5.Learn and implement project management skills to effectively plan, track, and deliver project.</t>
        </is>
      </c>
      <c r="FH382" s="56" t="inlineStr">
        <is>
          <t>3</t>
        </is>
      </c>
      <c r="FI382" s="56" t="n"/>
      <c r="FJ382" s="56" t="inlineStr">
        <is>
          <t>Received · manager annual, quarterly, self</t>
        </is>
      </c>
      <c r="FK382" s="56" t="inlineStr">
        <is>
          <t>Talent Mapping · iFile collated</t>
        </is>
      </c>
      <c r="FL382" s="56" t="n">
        <v>20</v>
      </c>
      <c r="FM382" s="32" t="inlineStr">
        <is>
          <t>Full survey answers not in the files received · How We Grow export needed · HR</t>
        </is>
      </c>
      <c r="FN382" s="56" t="inlineStr">
        <is>
          <t>—</t>
        </is>
      </c>
      <c r="FO382" s="56" t="inlineStr">
        <is>
          <t>—</t>
        </is>
      </c>
      <c r="FP382" s="56" t="inlineStr">
        <is>
          <t>—</t>
        </is>
      </c>
      <c r="FQ382" s="56" t="inlineStr">
        <is>
          <t>—</t>
        </is>
      </c>
      <c r="FR382" s="56" t="inlineStr">
        <is>
          <t>Complexity: Evidence reads like B1: Builds ETL pipelines, BI products and React apps with AI analytics, spanning data and application layers → moved up 0.5
Autonomy: Evidence reads like A3: Makes the technical decisions on own solutions → matches the start
Accountability: Evidence reads like A3: own survey / KRA answers · summarised by the rater; not quoted → matches the start
Leadership: Evidence reads like A2: No guiding described in survey; KRA mentions coordinating a team on IFRS 18 → matches the start
Business Impact: No survey or manager-mapping signal on criticality: kept at the start point.</t>
        </is>
      </c>
      <c r="FS382" s="56" t="inlineStr">
        <is>
          <t>Common themes in role-holders' answers: business · support · data · solutions · build · reliable
Common themes in role-holders' answers: issue · support · development · data · resolution · deployment
Common themes in role-holders' answers: deliver · enhancements · solutions · product · data · models
Common themes in role-holders' answers: accountable · assigned · quality · solutions · personally · delivery
Common themes in role-holders' answers: issues · troubleshoot · independently · client · implement · technical
If the work is missed · role-holders' themes: issues · lead · incorrect · data.
Measured on · manager-set KRA themes: quality · deliver · project · timely · development · code.</t>
        </is>
      </c>
      <c r="FT382" s="56" t="inlineStr">
        <is>
          <t>Self-identified: Leadership &amp; people management · Technical depth &amp; architecture · Product &amp; tool knowledge · Client, sales &amp; stakeholders · Strategy &amp; business acumen · Broader exposure &amp; ownership
For the next role: Leadership &amp; people management · Technical depth &amp; architecture · Product &amp; tool knowledge · Client, sales &amp; stakeholders · Strategy &amp; business acumen · Broader exposure &amp; ownership</t>
        </is>
      </c>
      <c r="FU382" s="32" t="inlineStr">
        <is>
          <t>Full survey answers not in the files received · How We Grow export needed · HR</t>
        </is>
      </c>
    </row>
    <row r="383" ht="90" customHeight="1">
      <c r="A383" s="51" t="inlineStr">
        <is>
          <t>◂ Back</t>
        </is>
      </c>
      <c r="B383" s="29" t="inlineStr">
        <is>
          <t>Mapped</t>
        </is>
      </c>
      <c r="C383" s="28" t="inlineStr">
        <is>
          <t>iFile</t>
        </is>
      </c>
      <c r="D383" s="29" t="inlineStr">
        <is>
          <t>IRIS2215</t>
        </is>
      </c>
      <c r="E383" s="29" t="inlineStr">
        <is>
          <t>Shiveshdhar Dubey</t>
        </is>
      </c>
      <c r="F383" s="29" t="inlineStr">
        <is>
          <t>Technology</t>
        </is>
      </c>
      <c r="G383" s="29" t="inlineStr">
        <is>
          <t>Principal Software Engineer</t>
        </is>
      </c>
      <c r="H383" s="29" t="inlineStr">
        <is>
          <t>Associate Technical Architect – POD Lead</t>
        </is>
      </c>
      <c r="I383" s="29" t="inlineStr">
        <is>
          <t>L6 – Principal · IC</t>
        </is>
      </c>
      <c r="J383" s="29" t="inlineStr">
        <is>
          <t>B3</t>
        </is>
      </c>
      <c r="K383" s="29" t="inlineStr">
        <is>
          <t>▼ Down · protected</t>
        </is>
      </c>
      <c r="L383" s="29" t="inlineStr">
        <is>
          <t>Engineering &amp; Architecture</t>
        </is>
      </c>
      <c r="M383" s="29" t="inlineStr">
        <is>
          <t>Solution &amp; Technical Architecture</t>
        </is>
      </c>
      <c r="N383" s="29" t="n"/>
      <c r="O383" s="29" t="n">
        <v>20</v>
      </c>
      <c r="P383" s="28" t="inlineStr">
        <is>
          <t>P5 / M4</t>
        </is>
      </c>
      <c r="Q383" s="29" t="inlineStr">
        <is>
          <t>Expert / Senior Manager</t>
        </is>
      </c>
      <c r="R383" s="29" t="inlineStr">
        <is>
          <t>5 Ensure, advise</t>
        </is>
      </c>
      <c r="S383" s="29" t="inlineStr">
        <is>
          <t>8–12 yrs</t>
        </is>
      </c>
      <c r="T383" s="29" t="inlineStr">
        <is>
          <t>9–13 · 9–14</t>
        </is>
      </c>
      <c r="U383" s="29" t="inlineStr">
        <is>
          <t>Principal Architect</t>
        </is>
      </c>
      <c r="V383" s="29" t="inlineStr">
        <is>
          <t>Workiva: Staff SE · Broadridge India: Senior Lead SE · Nasdaq / AxiomSL: Lead SE · Salesforce: LMTS · Atlassian: P50 Senior · Freshworks: Staff SE</t>
        </is>
      </c>
      <c r="W383" s="29" t="inlineStr">
        <is>
          <t>SFIA 9 · solution architecture; TOGAF; AWS / Azure architect certifications</t>
        </is>
      </c>
      <c r="X383" s="29" t="inlineStr">
        <is>
          <t>Core 4 · Future 3 · Functional 4 · Leadership 4</t>
        </is>
      </c>
      <c r="Y383" s="52" t="n">
        <v>302</v>
      </c>
      <c r="Z383" s="53" t="inlineStr">
        <is>
          <t>IRIS2215</t>
        </is>
      </c>
      <c r="AA383" s="53" t="inlineStr">
        <is>
          <t>Employee</t>
        </is>
      </c>
      <c r="AB383" s="53" t="inlineStr">
        <is>
          <t>Active</t>
        </is>
      </c>
      <c r="AC383" s="53" t="inlineStr">
        <is>
          <t>Shiveshdhar Dubey</t>
        </is>
      </c>
      <c r="AD383" s="54" t="n">
        <v>45278</v>
      </c>
      <c r="AE383" s="53" t="inlineStr">
        <is>
          <t>Principal Software Engineer</t>
        </is>
      </c>
      <c r="AF383" s="53" t="inlineStr">
        <is>
          <t>B.E</t>
        </is>
      </c>
      <c r="AG383" s="53" t="inlineStr">
        <is>
          <t>Sandeep Dwivedi</t>
        </is>
      </c>
      <c r="AH383" s="53" t="inlineStr">
        <is>
          <t>N-4</t>
        </is>
      </c>
      <c r="AI383" s="53" t="inlineStr">
        <is>
          <t>Manager</t>
        </is>
      </c>
      <c r="AJ383" s="53" t="inlineStr">
        <is>
          <t>8 years, 0 months, 0 days</t>
        </is>
      </c>
      <c r="AK383" s="53" t="inlineStr">
        <is>
          <t>2 years, 8 months, 7 days</t>
        </is>
      </c>
      <c r="AL383" s="53" t="inlineStr">
        <is>
          <t>Suptech</t>
        </is>
      </c>
      <c r="AM383" s="53" t="inlineStr">
        <is>
          <t>iFile</t>
        </is>
      </c>
      <c r="AN383" s="53" t="inlineStr">
        <is>
          <t>Technology</t>
        </is>
      </c>
      <c r="AO383" s="53" t="inlineStr">
        <is>
          <t>Development</t>
        </is>
      </c>
      <c r="AP383" s="53" t="inlineStr">
        <is>
          <t>Yes</t>
        </is>
      </c>
      <c r="AQ383" s="53" t="inlineStr">
        <is>
          <t>Product/Project</t>
        </is>
      </c>
      <c r="AR383" s="53" t="inlineStr">
        <is>
          <t>.NET MVC</t>
        </is>
      </c>
      <c r="AS383" s="53" t="inlineStr">
        <is>
          <t>Technical - Developer</t>
        </is>
      </c>
      <c r="AT383" s="53" t="n">
        <v>20</v>
      </c>
      <c r="AU383" s="53" t="inlineStr">
        <is>
          <t>Covered</t>
        </is>
      </c>
      <c r="AV383" s="53" t="n"/>
      <c r="AW383" s="53" t="n"/>
      <c r="AX383" s="53" t="n"/>
      <c r="AY383" s="53" t="n"/>
      <c r="AZ383" s="53" t="n"/>
      <c r="BA383" s="53" t="n"/>
      <c r="BB383" s="53" t="n"/>
      <c r="BC383" s="53" t="n"/>
      <c r="BD383" s="53" t="n"/>
      <c r="BE383" s="53" t="n"/>
      <c r="BF383" s="53" t="n"/>
      <c r="BG383" s="53" t="n"/>
      <c r="BH383" s="53" t="n"/>
      <c r="BI383" s="53" t="n"/>
      <c r="BJ383" s="53" t="n"/>
      <c r="BK383" s="53" t="n"/>
      <c r="BL383" s="53" t="n"/>
      <c r="BM383" s="53" t="n"/>
      <c r="BN383" s="53" t="n"/>
      <c r="BO383" s="53" t="n"/>
      <c r="BP383" s="53" t="n"/>
      <c r="BQ383" s="53" t="n"/>
      <c r="BR383" s="53" t="n"/>
      <c r="BS383" s="53" t="n"/>
      <c r="BT383" s="53" t="n"/>
      <c r="BU383" s="53" t="n"/>
      <c r="BV383" s="53" t="n"/>
      <c r="BW383" s="53" t="n"/>
      <c r="BX383" s="53" t="n"/>
      <c r="BY383" s="53" t="n"/>
      <c r="BZ383" s="53" t="n"/>
      <c r="CA383" s="53" t="n"/>
      <c r="CB383" s="53" t="n"/>
      <c r="CC383" s="53" t="n"/>
      <c r="CD383" s="53" t="n"/>
      <c r="CE383" s="53" t="n"/>
      <c r="CF383" s="53" t="n"/>
      <c r="CG383" s="53" t="n"/>
      <c r="CH383" s="53" t="n"/>
      <c r="CI383" s="53" t="n"/>
      <c r="CJ383" s="53" t="n"/>
      <c r="CK383" s="53" t="n"/>
      <c r="CL383" s="53" t="n"/>
      <c r="CM383" s="53" t="n"/>
      <c r="CN383" s="53" t="n"/>
      <c r="CO383" s="53" t="n"/>
      <c r="CP383" s="53" t="n"/>
      <c r="CQ383" s="53" t="n"/>
      <c r="CR383" s="53" t="n"/>
      <c r="CS383" s="53" t="n"/>
      <c r="CT383" s="53" t="n"/>
      <c r="CU383" s="53" t="n"/>
      <c r="CV383" s="53" t="n"/>
      <c r="CW383" s="53" t="n"/>
      <c r="CX383" s="53" t="n"/>
      <c r="CY383" s="53" t="n"/>
      <c r="CZ383" s="53" t="n"/>
      <c r="DA383" s="53" t="n"/>
      <c r="DB383" s="53" t="n"/>
      <c r="DC383" s="53" t="n"/>
      <c r="DD383" s="53" t="inlineStr">
        <is>
          <t>IRIS2215</t>
        </is>
      </c>
      <c r="DE383" s="53" t="inlineStr">
        <is>
          <t>Employee</t>
        </is>
      </c>
      <c r="DF383" s="53" t="inlineStr">
        <is>
          <t>Active</t>
        </is>
      </c>
      <c r="DG383" s="53" t="inlineStr">
        <is>
          <t>Shiveshdhar Dubey</t>
        </is>
      </c>
      <c r="DH383" s="54" t="n">
        <v>45278</v>
      </c>
      <c r="DI383" s="53" t="inlineStr">
        <is>
          <t>Principal Software Engineer</t>
        </is>
      </c>
      <c r="DJ383" s="53" t="inlineStr">
        <is>
          <t>Engineering &amp; Architecture</t>
        </is>
      </c>
      <c r="DK383" s="53" t="inlineStr">
        <is>
          <t>Solution / Software Architecture</t>
        </is>
      </c>
      <c r="DL383" s="53" t="inlineStr">
        <is>
          <t>Principal Software Engineer</t>
        </is>
      </c>
      <c r="DM383" s="53" t="inlineStr">
        <is>
          <t>L6 – Principal · IC</t>
        </is>
      </c>
      <c r="DN383" s="53" t="inlineStr">
        <is>
          <t>B.E</t>
        </is>
      </c>
      <c r="DO383" s="53" t="inlineStr">
        <is>
          <t>Sandeep Dwivedi</t>
        </is>
      </c>
      <c r="DP383" s="53" t="inlineStr">
        <is>
          <t>N-3</t>
        </is>
      </c>
      <c r="DQ383" s="53" t="inlineStr">
        <is>
          <t>Manager</t>
        </is>
      </c>
      <c r="DR383" s="53" t="inlineStr">
        <is>
          <t>8 years, 0 months, 0 days</t>
        </is>
      </c>
      <c r="DS383" s="53" t="inlineStr">
        <is>
          <t>2 years, 6 months, 2 days</t>
        </is>
      </c>
      <c r="DT383" s="53" t="inlineStr">
        <is>
          <t>10 years, 6 months, 2 days</t>
        </is>
      </c>
      <c r="DU383" s="53" t="n">
        <v>2.5054794520548</v>
      </c>
      <c r="DV383" s="53" t="inlineStr">
        <is>
          <t>Suptech</t>
        </is>
      </c>
      <c r="DW383" s="53" t="inlineStr">
        <is>
          <t>iFile</t>
        </is>
      </c>
      <c r="DX383" s="53" t="inlineStr">
        <is>
          <t>Technology</t>
        </is>
      </c>
      <c r="DY383" s="53" t="inlineStr">
        <is>
          <t>Development</t>
        </is>
      </c>
      <c r="DZ383" s="53" t="inlineStr">
        <is>
          <t>Yes</t>
        </is>
      </c>
      <c r="EA383" s="53" t="inlineStr">
        <is>
          <t>Product/Project</t>
        </is>
      </c>
      <c r="EB383" s="53" t="inlineStr">
        <is>
          <t>.NET MVC</t>
        </is>
      </c>
      <c r="EC383" s="53" t="inlineStr">
        <is>
          <t>Technical - Developer</t>
        </is>
      </c>
      <c r="ED383" s="53" t="inlineStr">
        <is>
          <t>Remote - Mumbai</t>
        </is>
      </c>
      <c r="EE383" s="53" t="inlineStr">
        <is>
          <t>1.Establish Engineering Review Process &amp; Release Governance.
Improve Software Quality &amp; Reduce Defect Leakage to QA/UAT.
2. Maintain High Reliability of CMA–CIP Integration through Monitoring &amp; Reconciliation.
3.Drive AI Adoption to Improve Team Productivity &amp; Delivery Efficiency.
4. Strengthen self and Team Technical Capability, Knowledge Sharing &amp; Ownership.</t>
        </is>
      </c>
      <c r="EF383" s="53" t="inlineStr">
        <is>
          <t>1. Establish and govern engineering review and release management processes by ensuring design reviews, code reviews, release readiness reviews, and deployment checklists are consistently followed, achieving 100% compliance for all planned releases.
2. Drive software quality improvements by monitoring defect metrics, enforcing quality gates, and implementing preventive actions to reduce defect leakage into QA/UAT and improve first-pass acceptance of deliverables.
3. Ensure reliable CMA–CIP integration by reviewing monitoring dashboards, reconciliation reports, and incident trends, ensuring timely resolution of integration issues and maintaining agreed system availability and data integrity.
4. Lead AI adoption across the team by identifying suitable AI-assisted development practices, tracking adoption metrics, mentoring team members, and achieving measurable improvements in development productivity and delivery timelines.
5. Build a high-performing engineering team by conducting regular technical mentoring, facilitating knowledge-sharing sessions, identifying skill gaps, and fostering ownership to improve delivery quality, cross-functional capability, and succession readiness.</t>
        </is>
      </c>
      <c r="EG383" s="53" t="inlineStr">
        <is>
          <t>1.Ensure Seamless CMA–CIP Document Synchronization &amp; Production Stability.
2.Automate &amp; Strengthen Monitoring, Alerting and Reconciliation Processes.
3.Develop Team Capability for Independent Production Support.</t>
        </is>
      </c>
      <c r="EH383" s="53" t="n">
        <v>3</v>
      </c>
      <c r="EI383" s="54" t="n">
        <v>46203</v>
      </c>
      <c r="EJ383" s="53" t="inlineStr">
        <is>
          <t>Principal Software Engineer</t>
        </is>
      </c>
      <c r="EK383" s="53" t="inlineStr">
        <is>
          <t>Carries manager responsibility on a non-lead title – align title/grade to people-management scope</t>
        </is>
      </c>
      <c r="EL383" s="53" t="n">
        <v>3</v>
      </c>
      <c r="EM383" s="53" t="inlineStr">
        <is>
          <t>Medium</t>
        </is>
      </c>
      <c r="EN383" s="53" t="inlineStr">
        <is>
          <t>Reliable Specialist</t>
        </is>
      </c>
      <c r="EO383" s="53" t="inlineStr">
        <is>
          <t>No</t>
        </is>
      </c>
      <c r="EP383" s="53" t="inlineStr">
        <is>
          <t>No</t>
        </is>
      </c>
      <c r="EQ383" s="53" t="inlineStr">
        <is>
          <t>No</t>
        </is>
      </c>
      <c r="ER383" s="53" t="inlineStr">
        <is>
          <t>Yet to be identified</t>
        </is>
      </c>
      <c r="ES383" s="53" t="inlineStr">
        <is>
          <t>Advanced System Architecture, Cloud Technologies · Azure, AI &amp; Automation, Performance Optimization, Secure Coding</t>
        </is>
      </c>
      <c r="ET383" s="53" t="inlineStr">
        <is>
          <t>Technical Leadership, Solution Architecture, Stakeholder Management, Team Mentoring</t>
        </is>
      </c>
      <c r="EU383" s="53" t="n"/>
      <c r="EV383" s="53" t="n"/>
      <c r="EW383" s="52" t="n"/>
      <c r="EX383" s="53" t="n"/>
      <c r="EY383" s="53" t="n"/>
      <c r="EZ383" s="53" t="n"/>
      <c r="FA383" s="53" t="n"/>
      <c r="FB383" s="53" t="n"/>
      <c r="FC383" s="53" t="n"/>
      <c r="FD383" s="53" t="n"/>
      <c r="FE383" s="57" t="inlineStr">
        <is>
          <t>1. Establish and govern engineering review and release management processes by ensuring design reviews, code reviews, release readiness reviews, and deployment checklists are consistently followed, achieving 100% compliance for all planned releases.
2. Drive software quality improvements by monitoring defect metrics, enforcing quality gates, and implementing preventive actions to reduce defect leakage into QA/UAT and improve first-pass acceptance of deliverables.
3. Ensure reliable CMA–CIP integration by reviewing monitoring dashboards, reconciliation reports, and incident trends, ensuring timely resolution of integration issues and maintaining agreed system availability and data integrity.
4. Lead AI adoption across the team by identifying suitable AI-assisted development practices, tracking adoption metrics, mentoring team members, and achieving measurable improvements in development productivity and delivery timelines.
5. Build a high-performing engineering team by conducting regular technical mentoring, facilitating knowledge-sharing sessions, identifying skill gaps, and fostering ownership to improve delivery quality, cross-functional capability, and succession readiness.</t>
        </is>
      </c>
      <c r="FF383" s="56" t="inlineStr">
        <is>
          <t>1.Ensure Seamless CMA–CIP Document Synchronization &amp; Production Stability.
2.Automate &amp; Strengthen Monitoring, Alerting and Reconciliation Processes.
3.Develop Team Capability for Independent Production Support.</t>
        </is>
      </c>
      <c r="FG383" s="56" t="inlineStr">
        <is>
          <t>1.Establish Engineering Review Process &amp; Release Governance.
Improve Software Quality &amp; Reduce Defect Leakage to QA/UAT.
2. Maintain High Reliability of CMA–CIP Integration through Monitoring &amp; Reconciliation.
3.Drive AI Adoption to Improve Team Productivity &amp; Delivery Efficiency.
4. Strengthen self and Team Technical Capability, Knowledge Sharing &amp; Ownership.</t>
        </is>
      </c>
      <c r="FH383" s="56" t="inlineStr">
        <is>
          <t>3</t>
        </is>
      </c>
      <c r="FI383" s="56" t="n"/>
      <c r="FJ383" s="56" t="inlineStr">
        <is>
          <t>Received · manager annual, quarterly, self</t>
        </is>
      </c>
      <c r="FK383" s="56" t="inlineStr">
        <is>
          <t>Talent Mapping · iFile collated</t>
        </is>
      </c>
      <c r="FL383" s="56" t="n">
        <v>20</v>
      </c>
      <c r="FM383" s="32" t="inlineStr">
        <is>
          <t>Full survey answers not in the files received · How We Grow export needed · HR</t>
        </is>
      </c>
      <c r="FN383" s="56" t="inlineStr">
        <is>
          <t>—</t>
        </is>
      </c>
      <c r="FO383" s="56" t="inlineStr">
        <is>
          <t>—</t>
        </is>
      </c>
      <c r="FP383" s="56" t="inlineStr">
        <is>
          <t>—</t>
        </is>
      </c>
      <c r="FQ383" s="56" t="inlineStr">
        <is>
          <t>—</t>
        </is>
      </c>
      <c r="FR383" s="56" t="inlineStr">
        <is>
          <t>Complexity: Evidence reads like B1: Finalises software approach for CMA Kuwait-Boursa disclosure integration; technical calls with client; AI integration → moved down 1
Autonomy: Evidence reads like B1: Decides technical approach for the project team; makes technical calls with client → moved down 1
Accountability: Evidence reads like B1: Timelines and functionality of the dev team's deliverables; integration failure blocks filings → moved down 0.5
Leadership: Evidence reads like B1: Leads the project's software development team; 3 direct reports → moved down 1
Business Impact: No survey or manager-mapping signal on criticality: kept at the start point.</t>
        </is>
      </c>
      <c r="FS383" s="56" t="inlineStr">
        <is>
          <t>Common themes in role-holders' answers: technical · project
Common themes in role-holders' answers: technical
Common themes in role-holders' answers: architecture · design
Common themes in role-holders' answers: technical · approach
If the work is missed · role-holders' themes: impact · cause · delivery.
Measured on · manager-set KRA themes: code · leakage qa/uat · defect · technical · quality · agreed.</t>
        </is>
      </c>
      <c r="FT383" s="56" t="inlineStr">
        <is>
          <t>Self-identified: Leadership &amp; people management · Product &amp; tool knowledge · Broader exposure &amp; ownership
For the next role: Leadership &amp; people management · Product &amp; tool knowledge · Broader exposure &amp; ownership</t>
        </is>
      </c>
      <c r="FU383" s="32" t="inlineStr">
        <is>
          <t>Full survey answers not in the files received · How We Grow export needed · HR</t>
        </is>
      </c>
    </row>
    <row r="384" ht="90" customHeight="1">
      <c r="A384" s="51" t="inlineStr">
        <is>
          <t>◂ Back</t>
        </is>
      </c>
      <c r="B384" s="29" t="inlineStr">
        <is>
          <t>Mapped</t>
        </is>
      </c>
      <c r="C384" s="28" t="inlineStr">
        <is>
          <t>iFile</t>
        </is>
      </c>
      <c r="D384" s="29" t="inlineStr">
        <is>
          <t>IRIS2083</t>
        </is>
      </c>
      <c r="E384" s="29" t="inlineStr">
        <is>
          <t>Anilkumar Aarumughan</t>
        </is>
      </c>
      <c r="F384" s="29" t="inlineStr">
        <is>
          <t>Technology</t>
        </is>
      </c>
      <c r="G384" s="29" t="inlineStr">
        <is>
          <t>Senior Software Engineer</t>
        </is>
      </c>
      <c r="H384" s="29" t="inlineStr">
        <is>
          <t>Technical Specialist</t>
        </is>
      </c>
      <c r="I384" s="29" t="inlineStr">
        <is>
          <t>L4 – Senior</t>
        </is>
      </c>
      <c r="J384" s="29" t="inlineStr">
        <is>
          <t>B1</t>
        </is>
      </c>
      <c r="K384" s="29" t="inlineStr">
        <is>
          <t>▲ Up</t>
        </is>
      </c>
      <c r="L384" s="29" t="inlineStr">
        <is>
          <t>Engineering &amp; Development</t>
        </is>
      </c>
      <c r="M384" s="29" t="inlineStr">
        <is>
          <t>Full-Stack Development</t>
        </is>
      </c>
      <c r="N384" s="29" t="n"/>
      <c r="O384" s="29" t="n">
        <v>20</v>
      </c>
      <c r="P384" s="28" t="inlineStr">
        <is>
          <t>P3 / M2</t>
        </is>
      </c>
      <c r="Q384" s="29" t="inlineStr">
        <is>
          <t>Career / · Team Lead</t>
        </is>
      </c>
      <c r="R384" s="29" t="inlineStr">
        <is>
          <t>4 Enable</t>
        </is>
      </c>
      <c r="S384" s="29" t="inlineStr">
        <is>
          <t>4–7 yrs</t>
        </is>
      </c>
      <c r="T384" s="29" t="inlineStr">
        <is>
          <t>5–8 · 4–8</t>
        </is>
      </c>
      <c r="U384" s="29" t="inlineStr">
        <is>
          <t>Senior Software Engineer</t>
        </is>
      </c>
      <c r="V384" s="29" t="inlineStr">
        <is>
          <t>Workiva: SE / Senior SE · Broadridge India: Senior SE · Nasdaq / AxiomSL: Senior SE · Salesforce: MTS · Atlassian: P40 · Freshworks: Senior SE</t>
        </is>
      </c>
      <c r="W384" s="29" t="inlineStr">
        <is>
          <t>SFIA 9 · software development, programming; OWASP secure coding; cloud vendor certifications</t>
        </is>
      </c>
      <c r="X384" s="29" t="inlineStr">
        <is>
          <t>Core 3 · Future 3 · Functional 3 · Leadership 1</t>
        </is>
      </c>
      <c r="Y384" s="52" t="n">
        <v>256</v>
      </c>
      <c r="Z384" s="53" t="inlineStr">
        <is>
          <t>IRIS2083</t>
        </is>
      </c>
      <c r="AA384" s="53" t="inlineStr">
        <is>
          <t>Employee</t>
        </is>
      </c>
      <c r="AB384" s="53" t="inlineStr">
        <is>
          <t>Active</t>
        </is>
      </c>
      <c r="AC384" s="53" t="inlineStr">
        <is>
          <t>Anilkumar Aarumughan</t>
        </is>
      </c>
      <c r="AD384" s="54" t="n">
        <v>44900</v>
      </c>
      <c r="AE384" s="53" t="inlineStr">
        <is>
          <t>Senior Software Engineer</t>
        </is>
      </c>
      <c r="AF384" s="53" t="inlineStr">
        <is>
          <t>MSC</t>
        </is>
      </c>
      <c r="AG384" s="53" t="inlineStr">
        <is>
          <t>Shiveshdhar Dubey</t>
        </is>
      </c>
      <c r="AH384" s="53" t="inlineStr">
        <is>
          <t>N-5</t>
        </is>
      </c>
      <c r="AI384" s="53" t="inlineStr">
        <is>
          <t>Individual Contributor</t>
        </is>
      </c>
      <c r="AJ384" s="53" t="inlineStr">
        <is>
          <t>10 years, 1 months, 0 days</t>
        </is>
      </c>
      <c r="AK384" s="53" t="inlineStr">
        <is>
          <t>3 years, 8 months, 20 days</t>
        </is>
      </c>
      <c r="AL384" s="53" t="inlineStr">
        <is>
          <t>Suptech</t>
        </is>
      </c>
      <c r="AM384" s="53" t="inlineStr">
        <is>
          <t>iFile</t>
        </is>
      </c>
      <c r="AN384" s="53" t="inlineStr">
        <is>
          <t>Technology</t>
        </is>
      </c>
      <c r="AO384" s="53" t="inlineStr">
        <is>
          <t>Development</t>
        </is>
      </c>
      <c r="AP384" s="53" t="inlineStr">
        <is>
          <t>Yes</t>
        </is>
      </c>
      <c r="AQ384" s="53" t="inlineStr">
        <is>
          <t>Product/Project</t>
        </is>
      </c>
      <c r="AR384" s="53" t="inlineStr">
        <is>
          <t>.NET MVC</t>
        </is>
      </c>
      <c r="AS384" s="53" t="inlineStr">
        <is>
          <t>Technical - Developer</t>
        </is>
      </c>
      <c r="AT384" s="53" t="n">
        <v>20</v>
      </c>
      <c r="AU384" s="53" t="inlineStr">
        <is>
          <t>Covered</t>
        </is>
      </c>
      <c r="AV384" s="53" t="n"/>
      <c r="AW384" s="53" t="n"/>
      <c r="AX384" s="53" t="n"/>
      <c r="AY384" s="53" t="n"/>
      <c r="AZ384" s="53" t="n"/>
      <c r="BA384" s="53" t="n"/>
      <c r="BB384" s="53" t="n"/>
      <c r="BC384" s="53" t="n"/>
      <c r="BD384" s="53" t="n"/>
      <c r="BE384" s="53" t="n"/>
      <c r="BF384" s="53" t="n"/>
      <c r="BG384" s="53" t="n"/>
      <c r="BH384" s="53" t="n"/>
      <c r="BI384" s="53" t="n"/>
      <c r="BJ384" s="53" t="n"/>
      <c r="BK384" s="53" t="n"/>
      <c r="BL384" s="53" t="n"/>
      <c r="BM384" s="53" t="n"/>
      <c r="BN384" s="53" t="n"/>
      <c r="BO384" s="53" t="n"/>
      <c r="BP384" s="53" t="n"/>
      <c r="BQ384" s="53" t="n"/>
      <c r="BR384" s="53" t="n"/>
      <c r="BS384" s="53" t="n"/>
      <c r="BT384" s="53" t="n"/>
      <c r="BU384" s="53" t="n"/>
      <c r="BV384" s="53" t="n"/>
      <c r="BW384" s="53" t="n"/>
      <c r="BX384" s="53" t="n"/>
      <c r="BY384" s="53" t="n"/>
      <c r="BZ384" s="53" t="n"/>
      <c r="CA384" s="53" t="n"/>
      <c r="CB384" s="53" t="n"/>
      <c r="CC384" s="53" t="n"/>
      <c r="CD384" s="53" t="n"/>
      <c r="CE384" s="53" t="n"/>
      <c r="CF384" s="53" t="n"/>
      <c r="CG384" s="53" t="n"/>
      <c r="CH384" s="53" t="n"/>
      <c r="CI384" s="53" t="n"/>
      <c r="CJ384" s="53" t="n"/>
      <c r="CK384" s="53" t="n"/>
      <c r="CL384" s="53" t="n"/>
      <c r="CM384" s="53" t="n"/>
      <c r="CN384" s="53" t="n"/>
      <c r="CO384" s="53" t="n"/>
      <c r="CP384" s="53" t="n"/>
      <c r="CQ384" s="53" t="n"/>
      <c r="CR384" s="53" t="n"/>
      <c r="CS384" s="53" t="n"/>
      <c r="CT384" s="53" t="n"/>
      <c r="CU384" s="53" t="n"/>
      <c r="CV384" s="53" t="n"/>
      <c r="CW384" s="53" t="n"/>
      <c r="CX384" s="53" t="n"/>
      <c r="CY384" s="53" t="n"/>
      <c r="CZ384" s="53" t="n"/>
      <c r="DA384" s="53" t="n"/>
      <c r="DB384" s="53" t="n"/>
      <c r="DC384" s="53" t="n"/>
      <c r="DD384" s="53" t="inlineStr">
        <is>
          <t>IRIS2083</t>
        </is>
      </c>
      <c r="DE384" s="53" t="inlineStr">
        <is>
          <t>Employee</t>
        </is>
      </c>
      <c r="DF384" s="53" t="inlineStr">
        <is>
          <t>Active</t>
        </is>
      </c>
      <c r="DG384" s="53" t="inlineStr">
        <is>
          <t>Anilkumar Aarumughan</t>
        </is>
      </c>
      <c r="DH384" s="54" t="n">
        <v>44900</v>
      </c>
      <c r="DI384" s="53" t="inlineStr">
        <is>
          <t>Senior Software Engineer</t>
        </is>
      </c>
      <c r="DJ384" s="53" t="inlineStr">
        <is>
          <t>Engineering &amp; Development</t>
        </is>
      </c>
      <c r="DK384" s="53" t="inlineStr">
        <is>
          <t>Backend Engineering ·.NET</t>
        </is>
      </c>
      <c r="DL384" s="53" t="inlineStr">
        <is>
          <t>Senior Software Engineer</t>
        </is>
      </c>
      <c r="DM384" s="53" t="inlineStr">
        <is>
          <t>L4 – Senior</t>
        </is>
      </c>
      <c r="DN384" s="53" t="inlineStr">
        <is>
          <t>MSC</t>
        </is>
      </c>
      <c r="DO384" s="53" t="inlineStr">
        <is>
          <t>Shiveshdhar Dubey</t>
        </is>
      </c>
      <c r="DP384" s="53" t="inlineStr">
        <is>
          <t>N-4</t>
        </is>
      </c>
      <c r="DQ384" s="53" t="inlineStr">
        <is>
          <t>Individual Contributor</t>
        </is>
      </c>
      <c r="DR384" s="53" t="inlineStr">
        <is>
          <t>10 years, 1 months, 0 days</t>
        </is>
      </c>
      <c r="DS384" s="53" t="inlineStr">
        <is>
          <t>3 years, 6 months, 15 days</t>
        </is>
      </c>
      <c r="DT384" s="53" t="inlineStr">
        <is>
          <t>13 years, 7 months, 15 days</t>
        </is>
      </c>
      <c r="DU384" s="53" t="n"/>
      <c r="DV384" s="53" t="inlineStr">
        <is>
          <t>Suptech</t>
        </is>
      </c>
      <c r="DW384" s="53" t="inlineStr">
        <is>
          <t>iFile</t>
        </is>
      </c>
      <c r="DX384" s="53" t="inlineStr">
        <is>
          <t>Technology</t>
        </is>
      </c>
      <c r="DY384" s="53" t="inlineStr">
        <is>
          <t>Development</t>
        </is>
      </c>
      <c r="DZ384" s="53" t="inlineStr">
        <is>
          <t>Yes</t>
        </is>
      </c>
      <c r="EA384" s="53" t="inlineStr">
        <is>
          <t>Product/Project</t>
        </is>
      </c>
      <c r="EB384" s="53" t="inlineStr">
        <is>
          <t>.NET MVC</t>
        </is>
      </c>
      <c r="EC384" s="53" t="inlineStr">
        <is>
          <t>Technical - Developer</t>
        </is>
      </c>
      <c r="ED384" s="53" t="inlineStr">
        <is>
          <t>Remote- Outside Mumbai</t>
        </is>
      </c>
      <c r="EE384" s="53" t="inlineStr">
        <is>
          <t>1.Production Support &amp; SLA Compliance : Provide timely production support by resolving assigned issues within agreed SLAs and minimizing repeat incidents through root cause analysis and preventive actions.
2. Frontend Excellence – Angular : Develop and enhance Angular-based features by following coding standards, delivering responsive and user-friendly interfaces, and ensuring high-quality implementations.	
3. Backend Performance – SQL Pagination : Optimize backend performance by implementing efficient SQL queries, pagination, and database best practices to improve application response time.
4. Code Quality &amp; Defect Prevention : Deliver high-quality code by following coding standards, performing unit testing, participating in code reviews, and minimizing defects before release.
5. AI-Enabled Development &amp; Continuous Learning : Improve productivity by leveraging AI-assisted development tools and continuously enhancing technical skills through learning, experimentation, and knowledge sharing</t>
        </is>
      </c>
      <c r="EF384" s="53" t="inlineStr">
        <is>
          <t>1. Production Support &amp; SLA Compliance: Ensure effective production support governance by monitoring SLA compliance, reviewing critical incidents, driving root cause analysis · RCA, and implementing preventive measures to achieve at least 95% SLA adherence and reduce repeat incidents.
2. Frontend Excellence – Angular: Drive high-quality frontend delivery by ensuring adherence to Angular development standards, conducting design and code reviews, mentoring team members, and ensuring timely completion of frontend deliverables with minimal rework.
3. Backend Performance – SQL Pagination: Improve application performance by guiding the team on database optimization, reviewing SQL design and pagination strategies, and ensuring performance improvements are incorporated into project deliverables.
4. Code Quality &amp; Defect Prevention: Establish and enforce code quality practices through code review governance, testing compliance, and defect trend analysis, ensuring reduced production defects and improved first-time-right delivery.
5. AI-Enabled Development &amp; Continuous Learning: Promote AI-enabled software development by encouraging the adoption of AI-assisted tools, organizing knowledge-sharing sessions, mentoring team members on best practices, and tracking continuous learning initiatives across the team.</t>
        </is>
      </c>
      <c r="EG384" s="53" t="inlineStr">
        <is>
          <t>1.Production Support &amp; SLA Compliance : Provide timely production support by resolving assigned issues within agreed SLAs and minimizing repeat incidents through root cause analysis and preventive actions.
2. Frontend Excellence – Angular : Develop and enhance Angular-based features by following coding standards, delivering responsive and user-friendly interfaces, and ensuring high-quality implementations.	
3. Backend Performance – SQL Pagination : Optimize backend performance by implementing efficient SQL queries, pagination, and database best practices to improve application response time.</t>
        </is>
      </c>
      <c r="EH384" s="53" t="n">
        <v>3</v>
      </c>
      <c r="EI384" s="54" t="n">
        <v>46203</v>
      </c>
      <c r="EJ384" s="53" t="inlineStr">
        <is>
          <t>Senior Software Engineer</t>
        </is>
      </c>
      <c r="EK384" s="53" t="inlineStr">
        <is>
          <t>No</t>
        </is>
      </c>
      <c r="EL384" s="53" t="n">
        <v>3</v>
      </c>
      <c r="EM384" s="53" t="inlineStr">
        <is>
          <t>Medium</t>
        </is>
      </c>
      <c r="EN384" s="53" t="inlineStr">
        <is>
          <t>Reliable Specialist</t>
        </is>
      </c>
      <c r="EO384" s="53" t="inlineStr">
        <is>
          <t>No</t>
        </is>
      </c>
      <c r="EP384" s="53" t="inlineStr">
        <is>
          <t>No</t>
        </is>
      </c>
      <c r="EQ384" s="53" t="inlineStr">
        <is>
          <t>No</t>
        </is>
      </c>
      <c r="ER384" s="53" t="inlineStr">
        <is>
          <t>Yet to identified</t>
        </is>
      </c>
      <c r="ES384" s="53" t="inlineStr">
        <is>
          <t>Advanced System Architecture, Cloud Technologies · Azure, AI &amp; Automation, Performance Optimization, Secure Coding</t>
        </is>
      </c>
      <c r="ET384" s="53" t="inlineStr">
        <is>
          <t>Technical Leadership, Solution Architecture, Stakeholder Management, Team Mentoring</t>
        </is>
      </c>
      <c r="EU384" s="53" t="n"/>
      <c r="EV384" s="53" t="n"/>
      <c r="EW384" s="52" t="n"/>
      <c r="EX384" s="53" t="n"/>
      <c r="EY384" s="53" t="n"/>
      <c r="EZ384" s="53" t="n"/>
      <c r="FA384" s="53" t="n"/>
      <c r="FB384" s="53" t="n"/>
      <c r="FC384" s="53" t="n"/>
      <c r="FD384" s="53" t="n"/>
      <c r="FE384" s="57" t="inlineStr">
        <is>
          <t>1. Production Support &amp; SLA Compliance : Ensure effective production support governance by monitoring SLA compliance, reviewing critical incidents, driving root cause analysis · RCA, and implementing preventive measures to achieve at least 95% SLA adherence and reduce repeat incidents.
2. Frontend Excellence – Angular : Drive high-quality frontend delivery by ensuring adherence to Angular development standards, conducting design and code reviews, mentoring team members, and ensuring timely completion of frontend deliverables with minimal rework.
3. Backend Performance – SQL Pagination : Improve application performance by guiding the team on database optimization, reviewing SQL design and pagination strategies, and ensuring performance improvements are incorporated into project deliverables.
4. Code Quality &amp; Defect Prevention : Establish and enforce code quality practices through code review governance, testing compliance, and defect trend analysis, ensuring reduced production defects and improved first-time-right delivery.
5. AI-Enabled Development &amp; Continuous Learning : Promote AI-enabled software development by encouraging the adoption of AI-assisted tools, organizing knowledge-sharing sessions, mentoring team members on best practices, and tracking continuous learning initiatives across the team.</t>
        </is>
      </c>
      <c r="FF384" s="56" t="inlineStr">
        <is>
          <t>1.Production Support &amp; SLA Compliance : Provide timely production support by resolving assigned issues within agreed SLAs and minimizing repeat incidents through root cause analysis and preventive actions.
2. Frontend Excellence – Angular : Develop and enhance Angular-based features by following coding standards, delivering responsive and user-friendly interfaces, and ensuring high-quality implementations.	
3. Backend Performance – SQL Pagination : Optimize backend performance by implementing efficient SQL queries, pagination, and database best practices to improve application response time.</t>
        </is>
      </c>
      <c r="FG384" s="56" t="inlineStr">
        <is>
          <t>1.Production Support &amp; SLA Compliance : Provide timely production support by resolving assigned issues within agreed SLAs and minimizing repeat incidents through root cause analysis and preventive actions.
2. Frontend Excellence – Angular : Develop and enhance Angular-based features by following coding standards, delivering responsive and user-friendly interfaces, and ensuring high-quality implementations.	
3. Backend Performance – SQL Pagination : Optimize backend performance by implementing efficient SQL queries, pagination, and database best practices to improve application response time.
4. Code Quality &amp; Defect Prevention : Deliver high-quality code by following coding standards, performing unit testing, participating in code reviews, and minimizing defects before release.
5. AI-Enabled Development &amp; Continuous Learning : Improve productivity by leveraging AI-assisted development tools and continuously enhancing technical skills through learning, experimentation, and knowledge sharing</t>
        </is>
      </c>
      <c r="FH384" s="56" t="inlineStr">
        <is>
          <t>3</t>
        </is>
      </c>
      <c r="FI384" s="56" t="n"/>
      <c r="FJ384" s="56" t="inlineStr">
        <is>
          <t>Received · manager annual, quarterly, self</t>
        </is>
      </c>
      <c r="FK384" s="56" t="inlineStr">
        <is>
          <t>Talent Mapping · iFile collated</t>
        </is>
      </c>
      <c r="FL384" s="56" t="n">
        <v>20</v>
      </c>
      <c r="FM384" s="32" t="inlineStr">
        <is>
          <t>Full survey answers not in the files received · How We Grow export needed · HR</t>
        </is>
      </c>
      <c r="FN384" s="56" t="inlineStr">
        <is>
          <t>—</t>
        </is>
      </c>
      <c r="FO384" s="56" t="inlineStr">
        <is>
          <t>—</t>
        </is>
      </c>
      <c r="FP384" s="56" t="inlineStr">
        <is>
          <t>—</t>
        </is>
      </c>
      <c r="FQ384" s="56" t="inlineStr">
        <is>
          <t>—</t>
        </is>
      </c>
      <c r="FR384" s="56" t="inlineStr">
        <is>
          <t>Business Impact: No survey or manager-mapping signal on criticality: kept at the start point.</t>
        </is>
      </c>
      <c r="FS384" s="56" t="inlineStr">
        <is>
          <t>Common themes in role-holders' answers: keep · secure · development · continuously · technical · software
Common themes in role-holders' answers: technical · code · production · support · development
Common themes in role-holders' answers: solutions · software · fixes · technical · deliver · updates
Common themes in role-holders' answers: accountable · if · correctness · production · database · technical
Common themes in role-holders' answers: code · independently · approaches · diagnose · improvements · issues
If the work is missed · role-holders' themes: production · rework · incorrectly · business · lead.
Measured on · manager-set KRA themes: improve · defect · assigned · time · production.</t>
        </is>
      </c>
      <c r="FT384" s="56" t="inlineStr">
        <is>
          <t>Self-identified: Technical depth &amp; architecture · Strategy &amp; business acumen
For the next role: Technical depth &amp; architecture · Strategy &amp; business acumen</t>
        </is>
      </c>
      <c r="FU384" s="32" t="inlineStr">
        <is>
          <t>Full survey answers not in the files received · How We Grow export needed · HR</t>
        </is>
      </c>
    </row>
    <row r="385" ht="90" customHeight="1">
      <c r="A385" s="51" t="inlineStr">
        <is>
          <t>◂ Back</t>
        </is>
      </c>
      <c r="B385" s="29" t="inlineStr">
        <is>
          <t>Mapped</t>
        </is>
      </c>
      <c r="C385" s="28" t="inlineStr">
        <is>
          <t>iFile</t>
        </is>
      </c>
      <c r="D385" s="29" t="inlineStr">
        <is>
          <t>IRIS2033</t>
        </is>
      </c>
      <c r="E385" s="29" t="inlineStr">
        <is>
          <t>Amol Pawar</t>
        </is>
      </c>
      <c r="F385" s="29" t="inlineStr">
        <is>
          <t>Technology</t>
        </is>
      </c>
      <c r="G385" s="29" t="inlineStr">
        <is>
          <t>Software Engineer</t>
        </is>
      </c>
      <c r="H385" s="29" t="inlineStr">
        <is>
          <t>Senior Software Engineer</t>
        </is>
      </c>
      <c r="I385" s="29" t="inlineStr">
        <is>
          <t>L3 – Professional / Associate</t>
        </is>
      </c>
      <c r="J385" s="29" t="inlineStr">
        <is>
          <t>A3</t>
        </is>
      </c>
      <c r="K385" s="29" t="inlineStr">
        <is>
          <t>▲ Up</t>
        </is>
      </c>
      <c r="L385" s="29" t="inlineStr">
        <is>
          <t>Engineering &amp; Development</t>
        </is>
      </c>
      <c r="M385" s="29" t="inlineStr">
        <is>
          <t>Full-Stack Development</t>
        </is>
      </c>
      <c r="N385" s="29" t="n"/>
      <c r="O385" s="29" t="n">
        <v>20</v>
      </c>
      <c r="P385" s="28" t="inlineStr">
        <is>
          <t>P2</t>
        </is>
      </c>
      <c r="Q385" s="29" t="inlineStr">
        <is>
          <t>Developing</t>
        </is>
      </c>
      <c r="R385" s="29" t="inlineStr">
        <is>
          <t>3 Apply</t>
        </is>
      </c>
      <c r="S385" s="29" t="inlineStr">
        <is>
          <t>2–4 yrs</t>
        </is>
      </c>
      <c r="T385" s="29" t="inlineStr">
        <is>
          <t>3–5 · 2–5</t>
        </is>
      </c>
      <c r="U385" s="29" t="inlineStr">
        <is>
          <t>Software Engineer</t>
        </is>
      </c>
      <c r="V385" s="29" t="inlineStr">
        <is>
          <t>Workiva: SE · Broadridge India: SE · Nasdaq / AxiomSL: SE · Salesforce: MTS · Atlassian: P40 · 3–7 yrs · Freshworks: Senior SE</t>
        </is>
      </c>
      <c r="W385" s="29" t="inlineStr">
        <is>
          <t>SFIA 9 · software development, programming; OWASP secure coding; cloud vendor certifications</t>
        </is>
      </c>
      <c r="X385" s="29" t="inlineStr">
        <is>
          <t>Core 2 · Future 2 · Functional 3 · Leadership not scored</t>
        </is>
      </c>
      <c r="Y385" s="52" t="n">
        <v>227</v>
      </c>
      <c r="Z385" s="53" t="inlineStr">
        <is>
          <t>IRIS2033</t>
        </is>
      </c>
      <c r="AA385" s="53" t="inlineStr">
        <is>
          <t>Employee</t>
        </is>
      </c>
      <c r="AB385" s="53" t="inlineStr">
        <is>
          <t>Active</t>
        </is>
      </c>
      <c r="AC385" s="53" t="inlineStr">
        <is>
          <t>Amol Pawar</t>
        </is>
      </c>
      <c r="AD385" s="54" t="n">
        <v>44743</v>
      </c>
      <c r="AE385" s="53" t="inlineStr">
        <is>
          <t>Software Engineer</t>
        </is>
      </c>
      <c r="AF385" s="53" t="inlineStr">
        <is>
          <t>B.E</t>
        </is>
      </c>
      <c r="AG385" s="53" t="inlineStr">
        <is>
          <t>Shiveshdhar Dubey</t>
        </is>
      </c>
      <c r="AH385" s="53" t="inlineStr">
        <is>
          <t>N-5</t>
        </is>
      </c>
      <c r="AI385" s="53" t="inlineStr">
        <is>
          <t>Individual Contributor</t>
        </is>
      </c>
      <c r="AJ385" s="53" t="inlineStr">
        <is>
          <t>0 years, 0 months, 0 days</t>
        </is>
      </c>
      <c r="AK385" s="53" t="inlineStr">
        <is>
          <t>4 years, 1 months, 24 days</t>
        </is>
      </c>
      <c r="AL385" s="53" t="inlineStr">
        <is>
          <t>Suptech</t>
        </is>
      </c>
      <c r="AM385" s="53" t="inlineStr">
        <is>
          <t>iFile</t>
        </is>
      </c>
      <c r="AN385" s="53" t="inlineStr">
        <is>
          <t>Technology</t>
        </is>
      </c>
      <c r="AO385" s="53" t="inlineStr">
        <is>
          <t>Development</t>
        </is>
      </c>
      <c r="AP385" s="53" t="inlineStr">
        <is>
          <t>Yes</t>
        </is>
      </c>
      <c r="AQ385" s="53" t="inlineStr">
        <is>
          <t>Product/Project</t>
        </is>
      </c>
      <c r="AR385" s="53" t="inlineStr">
        <is>
          <t>.NET MVC</t>
        </is>
      </c>
      <c r="AS385" s="53" t="inlineStr">
        <is>
          <t>Technical - Developer</t>
        </is>
      </c>
      <c r="AT385" s="53" t="n">
        <v>20</v>
      </c>
      <c r="AU385" s="53" t="inlineStr">
        <is>
          <t>Covered</t>
        </is>
      </c>
      <c r="AV385" s="53" t="n"/>
      <c r="AW385" s="53" t="n"/>
      <c r="AX385" s="53" t="n"/>
      <c r="AY385" s="53" t="n"/>
      <c r="AZ385" s="53" t="n"/>
      <c r="BA385" s="53" t="n"/>
      <c r="BB385" s="53" t="n"/>
      <c r="BC385" s="53" t="n"/>
      <c r="BD385" s="53" t="n"/>
      <c r="BE385" s="53" t="n"/>
      <c r="BF385" s="53" t="n"/>
      <c r="BG385" s="53" t="n"/>
      <c r="BH385" s="53" t="n"/>
      <c r="BI385" s="53" t="n"/>
      <c r="BJ385" s="53" t="n"/>
      <c r="BK385" s="53" t="n"/>
      <c r="BL385" s="53" t="n"/>
      <c r="BM385" s="53" t="n"/>
      <c r="BN385" s="53" t="n"/>
      <c r="BO385" s="53" t="n"/>
      <c r="BP385" s="53" t="n"/>
      <c r="BQ385" s="53" t="n"/>
      <c r="BR385" s="53" t="n"/>
      <c r="BS385" s="53" t="n"/>
      <c r="BT385" s="53" t="n"/>
      <c r="BU385" s="53" t="n"/>
      <c r="BV385" s="53" t="n"/>
      <c r="BW385" s="53" t="n"/>
      <c r="BX385" s="53" t="n"/>
      <c r="BY385" s="53" t="n"/>
      <c r="BZ385" s="53" t="n"/>
      <c r="CA385" s="53" t="n"/>
      <c r="CB385" s="53" t="n"/>
      <c r="CC385" s="53" t="n"/>
      <c r="CD385" s="53" t="n"/>
      <c r="CE385" s="53" t="n"/>
      <c r="CF385" s="53" t="n"/>
      <c r="CG385" s="53" t="n"/>
      <c r="CH385" s="53" t="n"/>
      <c r="CI385" s="53" t="n"/>
      <c r="CJ385" s="53" t="n"/>
      <c r="CK385" s="53" t="n"/>
      <c r="CL385" s="53" t="n"/>
      <c r="CM385" s="53" t="n"/>
      <c r="CN385" s="53" t="n"/>
      <c r="CO385" s="53" t="n"/>
      <c r="CP385" s="53" t="n"/>
      <c r="CQ385" s="53" t="n"/>
      <c r="CR385" s="53" t="n"/>
      <c r="CS385" s="53" t="n"/>
      <c r="CT385" s="53" t="n"/>
      <c r="CU385" s="53" t="n"/>
      <c r="CV385" s="53" t="n"/>
      <c r="CW385" s="53" t="n"/>
      <c r="CX385" s="53" t="n"/>
      <c r="CY385" s="53" t="n"/>
      <c r="CZ385" s="53" t="n"/>
      <c r="DA385" s="53" t="n"/>
      <c r="DB385" s="53" t="n"/>
      <c r="DC385" s="53" t="n"/>
      <c r="DD385" s="53" t="inlineStr">
        <is>
          <t>IRIS2033</t>
        </is>
      </c>
      <c r="DE385" s="53" t="inlineStr">
        <is>
          <t>Employee</t>
        </is>
      </c>
      <c r="DF385" s="53" t="inlineStr">
        <is>
          <t>Active</t>
        </is>
      </c>
      <c r="DG385" s="53" t="inlineStr">
        <is>
          <t>Amol Pawar</t>
        </is>
      </c>
      <c r="DH385" s="54" t="n">
        <v>44743</v>
      </c>
      <c r="DI385" s="53" t="inlineStr">
        <is>
          <t>Software Engineer</t>
        </is>
      </c>
      <c r="DJ385" s="53" t="inlineStr">
        <is>
          <t>Engineering &amp; Development</t>
        </is>
      </c>
      <c r="DK385" s="53" t="inlineStr">
        <is>
          <t>Backend Engineering ·.NET</t>
        </is>
      </c>
      <c r="DL385" s="53" t="inlineStr">
        <is>
          <t>Software Engineer</t>
        </is>
      </c>
      <c r="DM385" s="53" t="inlineStr">
        <is>
          <t>L3 – Professional / Associate</t>
        </is>
      </c>
      <c r="DN385" s="53" t="inlineStr">
        <is>
          <t>B.E</t>
        </is>
      </c>
      <c r="DO385" s="53" t="inlineStr">
        <is>
          <t>Shiveshdhar Dubey</t>
        </is>
      </c>
      <c r="DP385" s="53" t="inlineStr">
        <is>
          <t>N-4</t>
        </is>
      </c>
      <c r="DQ385" s="53" t="inlineStr">
        <is>
          <t>Individual Contributor</t>
        </is>
      </c>
      <c r="DR385" s="53" t="inlineStr">
        <is>
          <t>0 years, 0 months, 0 days</t>
        </is>
      </c>
      <c r="DS385" s="53" t="inlineStr">
        <is>
          <t>3 years, 11 months, 19 days</t>
        </is>
      </c>
      <c r="DT385" s="53" t="inlineStr">
        <is>
          <t>3 years, 11 months, 19 days</t>
        </is>
      </c>
      <c r="DU385" s="53" t="n"/>
      <c r="DV385" s="53" t="inlineStr">
        <is>
          <t>Suptech</t>
        </is>
      </c>
      <c r="DW385" s="53" t="inlineStr">
        <is>
          <t>iFile</t>
        </is>
      </c>
      <c r="DX385" s="53" t="inlineStr">
        <is>
          <t>Technology</t>
        </is>
      </c>
      <c r="DY385" s="53" t="inlineStr">
        <is>
          <t>Development</t>
        </is>
      </c>
      <c r="DZ385" s="53" t="inlineStr">
        <is>
          <t>Yes</t>
        </is>
      </c>
      <c r="EA385" s="53" t="inlineStr">
        <is>
          <t>Product/Project</t>
        </is>
      </c>
      <c r="EB385" s="53" t="inlineStr">
        <is>
          <t>.NET MVC</t>
        </is>
      </c>
      <c r="EC385" s="53" t="inlineStr">
        <is>
          <t>Technical - Developer</t>
        </is>
      </c>
      <c r="ED385" s="53" t="inlineStr">
        <is>
          <t>Remote- Outside Mumbai</t>
        </is>
      </c>
      <c r="EE385" s="53" t="inlineStr">
        <is>
          <t>1.Full Stack Feature Delivery : Design, develop, test, and deploy end-to-end features across the frontend, backend, APIs, and database for both projects.
2. FS Filing Calendar Ownership : Understand, maintain, and document the FS filing calendar logic in iFile to ensure accurate filing availability based on configured calendars.
3. Production Monitoring : Maintain and enhance automated production monitoring for critical services, ensuring timely alerts and issue tracking.
4. Technical Documentation &amp; Knowledge Sharing : Document key application logic, especially the FS filing calendar and monitoring processes, and share knowledge with the team to support future development and maintenance.
5. AI Testing Contribution : Support AI-based testing by preparing test scenarios, validating results, and providing feedback to improve production readiness.</t>
        </is>
      </c>
      <c r="EF385" s="53" t="inlineStr">
        <is>
          <t>1. Full Stack Feature Delivery : Successfully deliver 100% of assigned features across frontend, backend, APIs, and database within agreed timelines while maintaining quality standards.
2. Production Stability &amp; Monitoring : Maintain automated monitoring for all critical services and ensure 100% coverage of production alerts for filing, integration, and server failures, with timely issue resolution.
3. FS Filing Calendar Management : Maintain and validate the FS Filing Calendar logic for all regulatory changes, ensuring zero production issues arising from calendar configuration and complete documentation of the implementation.
4. Technical Documentation &amp; Knowledge Sharing : Prepare and maintain documentation for all critical modules and conduct at least 4 knowledge-sharing sessions with the team during the year.
5. Innovation &amp; Continuous Improvement : Contribute to automation and AI initiatives by implementing at least 2 process improvements or automation solutions that enhance development, testing, or production support efficiency.</t>
        </is>
      </c>
      <c r="EG385" s="53" t="inlineStr">
        <is>
          <t>1. Sprint Delivery : Complete all assigned development tasks within each sprint on time.
2. Code Quality and Review : Write quality code that follows coding standards and passes code review with minimal changes.
3. FS Domain Filing Calendar Logic : Maintain and improve the FS Filing Calendar logic to ensure filing schedules work correctly for all companies.
4. Production Server Monitoring : Support and maintain the production monitoring system to ensure issues are detected and reported promptly.
5. Filing Failure Monitoring : Regularly monitor the filing process and resolve any filing failures or stuck submissions before they impact users.</t>
        </is>
      </c>
      <c r="EH385" s="53" t="n">
        <v>3</v>
      </c>
      <c r="EI385" s="54" t="n">
        <v>46188</v>
      </c>
      <c r="EJ385" s="53" t="inlineStr">
        <is>
          <t>Software Engineer</t>
        </is>
      </c>
      <c r="EK385" s="53" t="inlineStr">
        <is>
          <t>No</t>
        </is>
      </c>
      <c r="EL385" s="53" t="n">
        <v>4</v>
      </c>
      <c r="EM385" s="53" t="inlineStr">
        <is>
          <t>High</t>
        </is>
      </c>
      <c r="EN385" s="53" t="inlineStr">
        <is>
          <t>Trusted Professional</t>
        </is>
      </c>
      <c r="EO385" s="53" t="inlineStr">
        <is>
          <t>No</t>
        </is>
      </c>
      <c r="EP385" s="53" t="inlineStr">
        <is>
          <t>No</t>
        </is>
      </c>
      <c r="EQ385" s="53" t="inlineStr">
        <is>
          <t>No</t>
        </is>
      </c>
      <c r="ER385" s="53" t="inlineStr">
        <is>
          <t>Yet to be identified</t>
        </is>
      </c>
      <c r="ES385" s="53" t="inlineStr">
        <is>
          <t>Advanced System Architecture, Cloud Technologies · Azure, AI &amp; Automation, Performance Optimization, Secure Coding</t>
        </is>
      </c>
      <c r="ET385" s="53" t="inlineStr">
        <is>
          <t>Technical Leadership, Solution Architecture, Stakeholder Management, Team Mentoring</t>
        </is>
      </c>
      <c r="EU385" s="53" t="n"/>
      <c r="EV385" s="53" t="n"/>
      <c r="EW385" s="52" t="n"/>
      <c r="EX385" s="53" t="n"/>
      <c r="EY385" s="53" t="n"/>
      <c r="EZ385" s="53" t="n"/>
      <c r="FA385" s="53" t="n"/>
      <c r="FB385" s="53" t="n"/>
      <c r="FC385" s="53" t="n"/>
      <c r="FD385" s="53" t="n"/>
      <c r="FE385" s="57" t="inlineStr">
        <is>
          <t>1. Full Stack Feature Delivery : Successfully deliver 100% of assigned features across frontend, backend, APIs, and database within agreed timelines while maintaining quality standards.
2. Production Stability &amp; Monitoring : Maintain automated monitoring for all critical services and ensure 100% coverage of production alerts for filing, integration, and server failures, with timely issue resolution.
3. FS Filing Calendar Management : Maintain and validate the FS Filing Calendar logic for all regulatory changes, ensuring zero production issues arising from calendar configuration and complete documentation of the implementation.
4. Technical Documentation &amp; Knowledge Sharing : Prepare and maintain documentation for all critical modules and conduct at least 4 knowledge-sharing sessions with the team during the year.
5. Innovation &amp; Continuous Improvement : Contribute to automation and AI initiatives by implementing at least 2 process improvements or automation solutions that enhance development, testing, or production support efficiency.</t>
        </is>
      </c>
      <c r="FF385" s="56" t="inlineStr">
        <is>
          <t>1. Sprint Delivery : Complete all assigned development tasks within each sprint on time.
2. Code Quality and Review : Write quality code that follows coding standards and passes code review with minimal changes.
3. FS Domain Filing Calendar Logic : Maintain and improve the FS Filing Calendar logic to ensure filing schedules work correctly for all companies.
4. Production Server Monitoring : Support and maintain the production monitoring system to ensure issues are detected and reported promptly.
5. Filing Failure Monitoring : Regularly monitor the filing process and resolve any filing failures or stuck submissions before they impact users.</t>
        </is>
      </c>
      <c r="FG385" s="56" t="inlineStr">
        <is>
          <t>1.Full Stack Feature Delivery : Design, develop, test, and deploy end-to-end features across the frontend, backend, APIs, and database for both projects.
2. FS Filing Calendar Ownership : Understand, maintain, and document the FS filing calendar logic in iFile to ensure accurate filing availability based on configured calendars.
3. Production Monitoring : Maintain and enhance automated production monitoring for critical services, ensuring timely alerts and issue tracking.
4. Technical Documentation &amp; Knowledge Sharing : Document key application logic, especially the FS filing calendar and monitoring processes, and share knowledge with the team to support future development and maintenance.
5. AI Testing Contribution : Support AI-based testing by preparing test scenarios, validating results, and providing feedback to improve production readiness.</t>
        </is>
      </c>
      <c r="FH385" s="56" t="inlineStr">
        <is>
          <t>3</t>
        </is>
      </c>
      <c r="FI385" s="56" t="n"/>
      <c r="FJ385" s="56" t="inlineStr">
        <is>
          <t>Received · manager annual, quarterly, self</t>
        </is>
      </c>
      <c r="FK385" s="56" t="inlineStr">
        <is>
          <t>Talent Mapping · iFile collated</t>
        </is>
      </c>
      <c r="FL385" s="56" t="n">
        <v>20</v>
      </c>
      <c r="FM385" s="32" t="inlineStr">
        <is>
          <t>Full survey answers not in the files received · How We Grow export needed · HR</t>
        </is>
      </c>
      <c r="FN385" s="56" t="inlineStr">
        <is>
          <t>—</t>
        </is>
      </c>
      <c r="FO385" s="56" t="inlineStr">
        <is>
          <t>—</t>
        </is>
      </c>
      <c r="FP385" s="56" t="inlineStr">
        <is>
          <t>—</t>
        </is>
      </c>
      <c r="FQ385" s="56" t="inlineStr">
        <is>
          <t>—</t>
        </is>
      </c>
      <c r="FR385" s="56" t="inlineStr">
        <is>
          <t>Complexity: Evidence reads like A3: APIs, application and database work, deployment and production support for regulatory XBRL customers → moved up 0.5
Autonomy: Evidence reads like A3: Makes technical decisions and fixes on assigned work without approval; major changes need approval → moved up 0.5
Accountability: Evidence reads like A3: Assigned features, APIs, database changes and production support with direct customer impact → moved up 0.5
Leadership: Evidence reads like A1: No guidance of others described → matches the start
Business Impact: No survey or manager-mapping signal on criticality: kept at the start point.</t>
        </is>
      </c>
      <c r="FS385" s="56"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FT385" s="56" t="inlineStr">
        <is>
          <t>Self-identified: AI / automation · Leadership &amp; people management · Project / programme management · Technical depth &amp; architecture
For the next role: AI / automation · Leadership &amp; people management · Project / programme management · Technical depth &amp; architecture</t>
        </is>
      </c>
      <c r="FU385" s="32" t="inlineStr">
        <is>
          <t>Full survey answers not in the files received · How We Grow export needed · HR</t>
        </is>
      </c>
    </row>
    <row r="386" ht="90" customHeight="1">
      <c r="A386" s="51" t="inlineStr">
        <is>
          <t>◂ Back</t>
        </is>
      </c>
      <c r="B386" s="29" t="inlineStr">
        <is>
          <t>Mapped</t>
        </is>
      </c>
      <c r="C386" s="28" t="inlineStr">
        <is>
          <t>iFile</t>
        </is>
      </c>
      <c r="D386" s="29" t="inlineStr">
        <is>
          <t>IRIS2253</t>
        </is>
      </c>
      <c r="E386" s="29" t="inlineStr">
        <is>
          <t>Harshal Wadode</t>
        </is>
      </c>
      <c r="F386" s="29" t="inlineStr">
        <is>
          <t>Technology</t>
        </is>
      </c>
      <c r="G386" s="29" t="inlineStr">
        <is>
          <t>Software Engineer</t>
        </is>
      </c>
      <c r="H386" s="29" t="inlineStr">
        <is>
          <t>Senior Software Engineer</t>
        </is>
      </c>
      <c r="I386" s="29" t="inlineStr">
        <is>
          <t>L3 – Professional / Associate</t>
        </is>
      </c>
      <c r="J386" s="29" t="inlineStr">
        <is>
          <t>A3</t>
        </is>
      </c>
      <c r="K386" s="29" t="inlineStr">
        <is>
          <t>▲ Up</t>
        </is>
      </c>
      <c r="L386" s="29" t="inlineStr">
        <is>
          <t>Engineering &amp; Development</t>
        </is>
      </c>
      <c r="M386" s="29" t="inlineStr">
        <is>
          <t>Backend Development</t>
        </is>
      </c>
      <c r="N386" s="29" t="n"/>
      <c r="O386" s="29" t="n">
        <v>20</v>
      </c>
      <c r="P386" s="28" t="inlineStr">
        <is>
          <t>P2</t>
        </is>
      </c>
      <c r="Q386" s="29" t="inlineStr">
        <is>
          <t>Developing</t>
        </is>
      </c>
      <c r="R386" s="29" t="inlineStr">
        <is>
          <t>3 Apply</t>
        </is>
      </c>
      <c r="S386" s="29" t="inlineStr">
        <is>
          <t>2–4 yrs</t>
        </is>
      </c>
      <c r="T386" s="29" t="inlineStr">
        <is>
          <t>3–5 · 2–5</t>
        </is>
      </c>
      <c r="U386" s="29" t="inlineStr">
        <is>
          <t>Software Engineer</t>
        </is>
      </c>
      <c r="V386" s="29" t="inlineStr">
        <is>
          <t>Workiva: SE · Broadridge India: SE · Nasdaq / AxiomSL: SE · Salesforce: MTS · Atlassian: P40 · 3–7 yrs · Freshworks: Senior SE</t>
        </is>
      </c>
      <c r="W386" s="29" t="inlineStr">
        <is>
          <t>SFIA 9 · software development, programming; OWASP secure coding; cloud vendor certifications</t>
        </is>
      </c>
      <c r="X386" s="29" t="inlineStr">
        <is>
          <t>Core 2 · Future 2 · Functional 3 · Leadership not scored</t>
        </is>
      </c>
      <c r="Y386" s="52" t="n">
        <v>317</v>
      </c>
      <c r="Z386" s="53" t="inlineStr">
        <is>
          <t>IRIS2253</t>
        </is>
      </c>
      <c r="AA386" s="53" t="inlineStr">
        <is>
          <t>Employee</t>
        </is>
      </c>
      <c r="AB386" s="53" t="inlineStr">
        <is>
          <t>Active</t>
        </is>
      </c>
      <c r="AC386" s="53" t="inlineStr">
        <is>
          <t>Harshal Wadode</t>
        </is>
      </c>
      <c r="AD386" s="54" t="n">
        <v>45446</v>
      </c>
      <c r="AE386" s="53" t="inlineStr">
        <is>
          <t>Software Engineer</t>
        </is>
      </c>
      <c r="AF386" s="53" t="inlineStr">
        <is>
          <t>B.E</t>
        </is>
      </c>
      <c r="AG386" s="53" t="inlineStr">
        <is>
          <t>Shiveshdhar Dubey</t>
        </is>
      </c>
      <c r="AH386" s="53" t="inlineStr">
        <is>
          <t>N-5</t>
        </is>
      </c>
      <c r="AI386" s="53" t="inlineStr">
        <is>
          <t>Individual Contributor</t>
        </is>
      </c>
      <c r="AJ386" s="53" t="inlineStr">
        <is>
          <t>0 years, 0 months, 0 days</t>
        </is>
      </c>
      <c r="AK386" s="53" t="inlineStr">
        <is>
          <t>2 years, 2 months, 22 days</t>
        </is>
      </c>
      <c r="AL386" s="53" t="inlineStr">
        <is>
          <t>Suptech</t>
        </is>
      </c>
      <c r="AM386" s="53" t="inlineStr">
        <is>
          <t>iFile</t>
        </is>
      </c>
      <c r="AN386" s="53" t="inlineStr">
        <is>
          <t>Technology</t>
        </is>
      </c>
      <c r="AO386" s="53" t="inlineStr">
        <is>
          <t>Development</t>
        </is>
      </c>
      <c r="AP386" s="53" t="inlineStr">
        <is>
          <t>Yes</t>
        </is>
      </c>
      <c r="AQ386" s="53" t="inlineStr">
        <is>
          <t>Product/Project</t>
        </is>
      </c>
      <c r="AR386" s="53" t="inlineStr">
        <is>
          <t>.NET MVC</t>
        </is>
      </c>
      <c r="AS386" s="53" t="inlineStr">
        <is>
          <t>Technical - Developer</t>
        </is>
      </c>
      <c r="AT386" s="53" t="n">
        <v>20</v>
      </c>
      <c r="AU386" s="53" t="inlineStr">
        <is>
          <t>Covered</t>
        </is>
      </c>
      <c r="AV386" s="53" t="n"/>
      <c r="AW386" s="53" t="n"/>
      <c r="AX386" s="53" t="n"/>
      <c r="AY386" s="53" t="n"/>
      <c r="AZ386" s="53" t="n"/>
      <c r="BA386" s="53" t="n"/>
      <c r="BB386" s="53" t="n"/>
      <c r="BC386" s="53" t="n"/>
      <c r="BD386" s="53" t="n"/>
      <c r="BE386" s="53" t="n"/>
      <c r="BF386" s="53" t="n"/>
      <c r="BG386" s="53" t="n"/>
      <c r="BH386" s="53" t="n"/>
      <c r="BI386" s="53" t="n"/>
      <c r="BJ386" s="53" t="n"/>
      <c r="BK386" s="53" t="n"/>
      <c r="BL386" s="53" t="n"/>
      <c r="BM386" s="53" t="n"/>
      <c r="BN386" s="53" t="n"/>
      <c r="BO386" s="53" t="n"/>
      <c r="BP386" s="53" t="n"/>
      <c r="BQ386" s="53" t="n"/>
      <c r="BR386" s="53" t="n"/>
      <c r="BS386" s="53" t="n"/>
      <c r="BT386" s="53" t="n"/>
      <c r="BU386" s="53" t="n"/>
      <c r="BV386" s="53" t="n"/>
      <c r="BW386" s="53" t="n"/>
      <c r="BX386" s="53" t="n"/>
      <c r="BY386" s="53" t="n"/>
      <c r="BZ386" s="53" t="n"/>
      <c r="CA386" s="53" t="n"/>
      <c r="CB386" s="53" t="n"/>
      <c r="CC386" s="53" t="n"/>
      <c r="CD386" s="53" t="n"/>
      <c r="CE386" s="53" t="n"/>
      <c r="CF386" s="53" t="n"/>
      <c r="CG386" s="53" t="n"/>
      <c r="CH386" s="53" t="n"/>
      <c r="CI386" s="53" t="n"/>
      <c r="CJ386" s="53" t="n"/>
      <c r="CK386" s="53" t="n"/>
      <c r="CL386" s="53" t="n"/>
      <c r="CM386" s="53" t="n"/>
      <c r="CN386" s="53" t="n"/>
      <c r="CO386" s="53" t="n"/>
      <c r="CP386" s="53" t="n"/>
      <c r="CQ386" s="53" t="n"/>
      <c r="CR386" s="53" t="n"/>
      <c r="CS386" s="53" t="n"/>
      <c r="CT386" s="53" t="n"/>
      <c r="CU386" s="53" t="n"/>
      <c r="CV386" s="53" t="n"/>
      <c r="CW386" s="53" t="n"/>
      <c r="CX386" s="53" t="n"/>
      <c r="CY386" s="53" t="n"/>
      <c r="CZ386" s="53" t="n"/>
      <c r="DA386" s="53" t="n"/>
      <c r="DB386" s="53" t="n"/>
      <c r="DC386" s="53" t="n"/>
      <c r="DD386" s="53" t="inlineStr">
        <is>
          <t>IRIS2253</t>
        </is>
      </c>
      <c r="DE386" s="53" t="inlineStr">
        <is>
          <t>Employee</t>
        </is>
      </c>
      <c r="DF386" s="53" t="inlineStr">
        <is>
          <t>Active</t>
        </is>
      </c>
      <c r="DG386" s="53" t="inlineStr">
        <is>
          <t>Harshal Wadode</t>
        </is>
      </c>
      <c r="DH386" s="54" t="n">
        <v>45446</v>
      </c>
      <c r="DI386" s="53" t="inlineStr">
        <is>
          <t>Software Engineer</t>
        </is>
      </c>
      <c r="DJ386" s="53" t="inlineStr">
        <is>
          <t>Engineering &amp; Development</t>
        </is>
      </c>
      <c r="DK386" s="53" t="inlineStr">
        <is>
          <t>Backend Engineering ·.NET</t>
        </is>
      </c>
      <c r="DL386" s="53" t="inlineStr">
        <is>
          <t>Software Engineer</t>
        </is>
      </c>
      <c r="DM386" s="53" t="inlineStr">
        <is>
          <t>L3 – Professional / Associate</t>
        </is>
      </c>
      <c r="DN386" s="53" t="inlineStr">
        <is>
          <t>B.E</t>
        </is>
      </c>
      <c r="DO386" s="53" t="inlineStr">
        <is>
          <t>Shiveshdhar Dubey</t>
        </is>
      </c>
      <c r="DP386" s="53" t="inlineStr">
        <is>
          <t>N-4</t>
        </is>
      </c>
      <c r="DQ386" s="53" t="inlineStr">
        <is>
          <t>Individual Contributor</t>
        </is>
      </c>
      <c r="DR386" s="53" t="inlineStr">
        <is>
          <t>0 years, 0 months, 0 days</t>
        </is>
      </c>
      <c r="DS386" s="53" t="inlineStr">
        <is>
          <t>2 years, 0 months, 17 days</t>
        </is>
      </c>
      <c r="DT386" s="53" t="inlineStr">
        <is>
          <t>2 years, 0 months, 17 days</t>
        </is>
      </c>
      <c r="DU386" s="53" t="n"/>
      <c r="DV386" s="53" t="inlineStr">
        <is>
          <t>Suptech</t>
        </is>
      </c>
      <c r="DW386" s="53" t="inlineStr">
        <is>
          <t>iFile</t>
        </is>
      </c>
      <c r="DX386" s="53" t="inlineStr">
        <is>
          <t>Technology</t>
        </is>
      </c>
      <c r="DY386" s="53" t="inlineStr">
        <is>
          <t>Development</t>
        </is>
      </c>
      <c r="DZ386" s="53" t="inlineStr">
        <is>
          <t>Yes</t>
        </is>
      </c>
      <c r="EA386" s="53" t="inlineStr">
        <is>
          <t>Product/Project</t>
        </is>
      </c>
      <c r="EB386" s="53" t="inlineStr">
        <is>
          <t>.NET MVC</t>
        </is>
      </c>
      <c r="EC386" s="53" t="inlineStr">
        <is>
          <t>Technical - Developer</t>
        </is>
      </c>
      <c r="ED386" s="53" t="inlineStr">
        <is>
          <t>Work From Office - Turbhe</t>
        </is>
      </c>
      <c r="EE386" s="53" t="inlineStr">
        <is>
          <t>1. Deliver assigned work on time with good quality and reliability.
Improve my understanding of the product by actively participating in planning and requirement discussions.
2. Share ideas and feedback to help improve the product and meet user requirements.
3. Work closely with the Product Manager, Design, and other teams to better understand product decisions.
4. Take ownership of the features I develop and understand how they benefit users.
5. Continuously improve my product and business knowledge through learning, reading, and discussions with experienced team members.</t>
        </is>
      </c>
      <c r="EF386" s="53" t="inlineStr">
        <is>
          <t>1.Timely &amp; Quality Delivery : Deliver 95% of assigned features and enhancements within committed timelines while maintaining agreed quality standards and minimizing production defects.
2.Product Understanding &amp; Requirement Analysis : Actively participate in 100% of relevant planning, grooming, and requirement discussions, providing technical inputs, identifying gaps, and proposing feasible solutions.
3.Cross-functional Collaboration : Collaborate effectively with Product Management, Design, QA, and other stakeholders to ensure smooth execution, timely dependency resolution, and successful feature delivery.
4.Feature Ownership &amp; Customer Value : Take end-to-end ownership of assigned features from design through production support, ensuring delivered solutions align with business requirements and provide measurable user value.
5.Continuous Learning &amp; Innovation : Enhance product, domain, and technical expertise through continuous learning and contribute at least one knowledge-sharing session or documented best practice each quarter, while recommending improvements to product or development processes.</t>
        </is>
      </c>
      <c r="EG386" s="53" t="inlineStr">
        <is>
          <t>1.Deliver assigned work on time with good quality and consistency without defects.
2.Actively participate in product and planning discussions and share relevant inputs.
3.Build a better understanding of the product and business related to my work.
4.Continue learning about the product and business and apply the learnings in my work.</t>
        </is>
      </c>
      <c r="EH386" s="53" t="n">
        <v>3</v>
      </c>
      <c r="EI386" s="54" t="n">
        <v>46203</v>
      </c>
      <c r="EJ386" s="53" t="inlineStr">
        <is>
          <t>Software Engineer</t>
        </is>
      </c>
      <c r="EK386" s="53" t="inlineStr">
        <is>
          <t>Currently not required. We can track him for another year befire deciding to upgrade the role</t>
        </is>
      </c>
      <c r="EL386" s="53" t="n">
        <v>3</v>
      </c>
      <c r="EM386" s="53" t="inlineStr">
        <is>
          <t>Medium</t>
        </is>
      </c>
      <c r="EN386" s="53" t="inlineStr">
        <is>
          <t>Emerging Talent</t>
        </is>
      </c>
      <c r="EO386" s="53" t="inlineStr">
        <is>
          <t>No</t>
        </is>
      </c>
      <c r="EP386" s="53" t="inlineStr">
        <is>
          <t>No</t>
        </is>
      </c>
      <c r="EQ386" s="53" t="inlineStr">
        <is>
          <t>No</t>
        </is>
      </c>
      <c r="ER386" s="53" t="inlineStr">
        <is>
          <t>No</t>
        </is>
      </c>
      <c r="ES386" s="53" t="inlineStr">
        <is>
          <t>Advanced .NET MVC; secure coding &amp; code-quality practices, Product Knowledge, Business Domain Understanding,</t>
        </is>
      </c>
      <c r="ET386" s="53" t="inlineStr">
        <is>
          <t>Solution Designing and Mentoring skills</t>
        </is>
      </c>
      <c r="EU386" s="53" t="n"/>
      <c r="EV386" s="53" t="n"/>
      <c r="EW386" s="52" t="n"/>
      <c r="EX386" s="53" t="n"/>
      <c r="EY386" s="53" t="n"/>
      <c r="EZ386" s="53" t="n"/>
      <c r="FA386" s="53" t="n"/>
      <c r="FB386" s="53" t="n"/>
      <c r="FC386" s="53" t="n"/>
      <c r="FD386" s="53" t="n"/>
      <c r="FE386" s="57" t="inlineStr">
        <is>
          <t>1.Timely &amp; Quality Delivery : Deliver 95% of assigned features and enhancements within committed timelines while maintaining agreed quality standards and minimizing production defects.
2.Product Understanding &amp; Requirement Analysis : Actively participate in 100% of relevant planning, grooming, and requirement discussions, providing technical inputs, identifying gaps, and proposing feasible solutions.
3.Cross-functional Collaboration : Collaborate effectively with Product Management, Design, QA, and other stakeholders to ensure smooth execution, timely dependency resolution, and successful feature delivery.
4.Feature Ownership &amp; Customer Value : Take end-to-end ownership of assigned features from design through production support, ensuring delivered solutions align with business requirements and provide measurable user value.
5.Continuous Learning &amp; Innovation : Enhance product, domain, and technical expertise through continuous learning and contribute at least one knowledge-sharing session or documented best practice each quarter, while recommending improvements to product or development processes.</t>
        </is>
      </c>
      <c r="FF386" s="56" t="inlineStr">
        <is>
          <t>1.Deliver assigned work on time with good quality and consistency without defects.
2.Actively participate in product and planning discussions and share relevant inputs.
3.Build a better understanding of the product and business related to my work.
4.Continue learning about the product and business and apply the learnings in my work.</t>
        </is>
      </c>
      <c r="FG386" s="56" t="inlineStr">
        <is>
          <t>1. Deliver assigned work on time with good quality and reliability.
Improve my understanding of the product by actively participating in planning and requirement discussions.
2. Share ideas and feedback to help improve the product and meet user requirements.
3. Work closely with the Product Manager, Design, and other teams to better understand product decisions.
4. Take ownership of the features I develop and understand how they benefit users.
5. Continuously improve my product and business knowledge through learning, reading, and discussions with experienced team members.</t>
        </is>
      </c>
      <c r="FH386" s="56" t="inlineStr">
        <is>
          <t>3</t>
        </is>
      </c>
      <c r="FI386" s="56" t="n"/>
      <c r="FJ386" s="56" t="inlineStr">
        <is>
          <t>Received · manager annual, quarterly, self</t>
        </is>
      </c>
      <c r="FK386" s="56" t="inlineStr">
        <is>
          <t>Talent Mapping · iFile collated</t>
        </is>
      </c>
      <c r="FL386" s="56" t="n">
        <v>20</v>
      </c>
      <c r="FM386" s="32" t="inlineStr">
        <is>
          <t>Full survey answers not in the files received · How We Grow export needed · HR</t>
        </is>
      </c>
      <c r="FN386" s="56" t="inlineStr">
        <is>
          <t>—</t>
        </is>
      </c>
      <c r="FO386" s="56" t="inlineStr">
        <is>
          <t>—</t>
        </is>
      </c>
      <c r="FP386" s="56" t="inlineStr">
        <is>
          <t>—</t>
        </is>
      </c>
      <c r="FQ386" s="56" t="inlineStr">
        <is>
          <t>—</t>
        </is>
      </c>
      <c r="FR386" s="56" t="inlineStr">
        <is>
          <t>Business Impact: No survey or manager-mapping signal on criticality: kept at the start point.</t>
        </is>
      </c>
      <c r="FS386"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386" s="56" t="inlineStr">
        <is>
          <t>Self-identified: Leadership &amp; people management · Project / programme management · Technical depth &amp; architecture · Data, SQL &amp; analytics
For the next role: Leadership &amp; people management · Project / programme management · Technical depth &amp; architecture · Data, SQL &amp; analytics · Product &amp; tool knowledge · Strategy &amp; business acumen</t>
        </is>
      </c>
      <c r="FU386" s="32" t="inlineStr">
        <is>
          <t>Full survey answers not in the files received · How We Grow export needed · HR</t>
        </is>
      </c>
    </row>
    <row r="387" ht="90" customHeight="1">
      <c r="A387" s="51" t="inlineStr">
        <is>
          <t>◂ Back</t>
        </is>
      </c>
      <c r="B387" s="29" t="inlineStr">
        <is>
          <t>Mapped</t>
        </is>
      </c>
      <c r="C387" s="28" t="inlineStr">
        <is>
          <t>iFile</t>
        </is>
      </c>
      <c r="D387" s="29" t="inlineStr">
        <is>
          <t>IRIS2097</t>
        </is>
      </c>
      <c r="E387" s="29" t="inlineStr">
        <is>
          <t>Angitha A</t>
        </is>
      </c>
      <c r="F387" s="29" t="inlineStr">
        <is>
          <t>Technology</t>
        </is>
      </c>
      <c r="G387" s="29" t="inlineStr">
        <is>
          <t>Business Analyst</t>
        </is>
      </c>
      <c r="H387" s="29" t="inlineStr">
        <is>
          <t>Senior Business Analyst</t>
        </is>
      </c>
      <c r="I387" s="29" t="inlineStr">
        <is>
          <t>L3 – Professional / Associate</t>
        </is>
      </c>
      <c r="J387" s="29" t="inlineStr">
        <is>
          <t>A3</t>
        </is>
      </c>
      <c r="K387" s="29" t="inlineStr">
        <is>
          <t>▲ Up</t>
        </is>
      </c>
      <c r="L387" s="29" t="inlineStr">
        <is>
          <t>Business Analysis</t>
        </is>
      </c>
      <c r="M387" s="29" t="inlineStr">
        <is>
          <t>Business Analysis</t>
        </is>
      </c>
      <c r="N387" s="29" t="n"/>
      <c r="O387" s="29" t="n">
        <v>20</v>
      </c>
      <c r="P387" s="28" t="inlineStr">
        <is>
          <t>P2</t>
        </is>
      </c>
      <c r="Q387" s="29" t="inlineStr">
        <is>
          <t>Developing</t>
        </is>
      </c>
      <c r="R387" s="29" t="inlineStr">
        <is>
          <t>3 Apply</t>
        </is>
      </c>
      <c r="S387" s="29" t="inlineStr">
        <is>
          <t>2–4 yrs</t>
        </is>
      </c>
      <c r="T387" s="29" t="inlineStr">
        <is>
          <t>3–5 · 2–5</t>
        </is>
      </c>
      <c r="U387" s="29" t="inlineStr">
        <is>
          <t>Business Analyst</t>
        </is>
      </c>
      <c r="V387" s="29" t="inlineStr">
        <is>
          <t>Regnology — regulatory reporting: Junior BA · Reg Reporting · Big Four consulting: Consultant · IRIS Vs Market Benchmark — IIBA certification pathway: ECBA · Infosys / Accenture: JL3A · L10 Senior Analyst</t>
        </is>
      </c>
      <c r="W387" s="29" t="inlineStr">
        <is>
          <t>IIBA BABOK v3; certifications ECBA · entry → CCBA → CBAP · senior</t>
        </is>
      </c>
      <c r="X387" s="29" t="inlineStr">
        <is>
          <t>Core 2 · Future 2 · Functional 3 · Leadership not scored</t>
        </is>
      </c>
      <c r="Y387" s="52" t="n">
        <v>260</v>
      </c>
      <c r="Z387" s="53" t="inlineStr">
        <is>
          <t>IRIS2097</t>
        </is>
      </c>
      <c r="AA387" s="53" t="inlineStr">
        <is>
          <t>Employee</t>
        </is>
      </c>
      <c r="AB387" s="53" t="inlineStr">
        <is>
          <t>Active</t>
        </is>
      </c>
      <c r="AC387" s="53" t="inlineStr">
        <is>
          <t>Angitha A</t>
        </is>
      </c>
      <c r="AD387" s="54" t="n">
        <v>44963</v>
      </c>
      <c r="AE387" s="53" t="inlineStr">
        <is>
          <t>Business Analyst</t>
        </is>
      </c>
      <c r="AF387" s="53" t="inlineStr">
        <is>
          <t>MBA</t>
        </is>
      </c>
      <c r="AG387" s="53" t="inlineStr">
        <is>
          <t>Sandeep Dwivedi</t>
        </is>
      </c>
      <c r="AH387" s="53" t="inlineStr">
        <is>
          <t>N-4</t>
        </is>
      </c>
      <c r="AI387" s="53" t="inlineStr">
        <is>
          <t>Individual Contributor</t>
        </is>
      </c>
      <c r="AJ387" s="53" t="inlineStr">
        <is>
          <t>4 years, 6 months, 0 days</t>
        </is>
      </c>
      <c r="AK387" s="53" t="inlineStr">
        <is>
          <t>3 years, 6 months, 19 days</t>
        </is>
      </c>
      <c r="AL387" s="53" t="inlineStr">
        <is>
          <t>Suptech</t>
        </is>
      </c>
      <c r="AM387" s="53" t="inlineStr">
        <is>
          <t>iFile</t>
        </is>
      </c>
      <c r="AN387" s="53" t="inlineStr">
        <is>
          <t>Technology</t>
        </is>
      </c>
      <c r="AO387" s="53" t="inlineStr">
        <is>
          <t>Business Analysis</t>
        </is>
      </c>
      <c r="AP387" s="53" t="inlineStr">
        <is>
          <t>No</t>
        </is>
      </c>
      <c r="AQ387" s="53" t="inlineStr">
        <is>
          <t>Product/Project</t>
        </is>
      </c>
      <c r="AR387" s="53" t="inlineStr">
        <is>
          <t>Business Analysis</t>
        </is>
      </c>
      <c r="AS387" s="53" t="inlineStr">
        <is>
          <t>Technical · BA, PM and QA</t>
        </is>
      </c>
      <c r="AT387" s="53" t="n">
        <v>20</v>
      </c>
      <c r="AU387" s="53" t="inlineStr">
        <is>
          <t>Covered</t>
        </is>
      </c>
      <c r="AV387" s="53" t="n"/>
      <c r="AW387" s="53" t="n"/>
      <c r="AX387" s="53" t="n"/>
      <c r="AY387" s="53" t="n"/>
      <c r="AZ387" s="53" t="n"/>
      <c r="BA387" s="53" t="n"/>
      <c r="BB387" s="53" t="n"/>
      <c r="BC387" s="53" t="n"/>
      <c r="BD387" s="53" t="n"/>
      <c r="BE387" s="53" t="n"/>
      <c r="BF387" s="53" t="n"/>
      <c r="BG387" s="53" t="n"/>
      <c r="BH387" s="53" t="n"/>
      <c r="BI387" s="53" t="n"/>
      <c r="BJ387" s="53" t="n"/>
      <c r="BK387" s="53" t="n"/>
      <c r="BL387" s="53" t="n"/>
      <c r="BM387" s="53" t="n"/>
      <c r="BN387" s="53" t="n"/>
      <c r="BO387" s="53" t="n"/>
      <c r="BP387" s="53" t="n"/>
      <c r="BQ387" s="53" t="n"/>
      <c r="BR387" s="53" t="n"/>
      <c r="BS387" s="53" t="n"/>
      <c r="BT387" s="53" t="n"/>
      <c r="BU387" s="53" t="n"/>
      <c r="BV387" s="53" t="n"/>
      <c r="BW387" s="53" t="n"/>
      <c r="BX387" s="53" t="n"/>
      <c r="BY387" s="53" t="n"/>
      <c r="BZ387" s="53" t="n"/>
      <c r="CA387" s="53" t="n"/>
      <c r="CB387" s="53" t="n"/>
      <c r="CC387" s="53" t="n"/>
      <c r="CD387" s="53" t="n"/>
      <c r="CE387" s="53" t="n"/>
      <c r="CF387" s="53" t="n"/>
      <c r="CG387" s="53" t="n"/>
      <c r="CH387" s="53" t="n"/>
      <c r="CI387" s="53" t="n"/>
      <c r="CJ387" s="53" t="n"/>
      <c r="CK387" s="53" t="n"/>
      <c r="CL387" s="53" t="n"/>
      <c r="CM387" s="53" t="n"/>
      <c r="CN387" s="53" t="n"/>
      <c r="CO387" s="53" t="n"/>
      <c r="CP387" s="53" t="n"/>
      <c r="CQ387" s="53" t="n"/>
      <c r="CR387" s="53" t="n"/>
      <c r="CS387" s="53" t="n"/>
      <c r="CT387" s="53" t="n"/>
      <c r="CU387" s="53" t="n"/>
      <c r="CV387" s="53" t="n"/>
      <c r="CW387" s="53" t="n"/>
      <c r="CX387" s="53" t="n"/>
      <c r="CY387" s="53" t="n"/>
      <c r="CZ387" s="53" t="n"/>
      <c r="DA387" s="53" t="n"/>
      <c r="DB387" s="53" t="n"/>
      <c r="DC387" s="53" t="n"/>
      <c r="DD387" s="53" t="inlineStr">
        <is>
          <t>IRIS2097</t>
        </is>
      </c>
      <c r="DE387" s="53" t="inlineStr">
        <is>
          <t>Employee</t>
        </is>
      </c>
      <c r="DF387" s="53" t="inlineStr">
        <is>
          <t>Active</t>
        </is>
      </c>
      <c r="DG387" s="53" t="inlineStr">
        <is>
          <t>Angitha A</t>
        </is>
      </c>
      <c r="DH387" s="54" t="n">
        <v>44963</v>
      </c>
      <c r="DI387" s="53" t="inlineStr">
        <is>
          <t>Business Analyst</t>
        </is>
      </c>
      <c r="DJ387" s="53" t="inlineStr">
        <is>
          <t>Business Analysis</t>
        </is>
      </c>
      <c r="DK387" s="53" t="inlineStr">
        <is>
          <t>Business / Functional Analysis</t>
        </is>
      </c>
      <c r="DL387" s="53" t="inlineStr">
        <is>
          <t>Business Analyst</t>
        </is>
      </c>
      <c r="DM387" s="53" t="inlineStr">
        <is>
          <t>L3 – Professional / Associate</t>
        </is>
      </c>
      <c r="DN387" s="53" t="inlineStr">
        <is>
          <t>MBA</t>
        </is>
      </c>
      <c r="DO387" s="53" t="inlineStr">
        <is>
          <t>Sandeep Dwivedi</t>
        </is>
      </c>
      <c r="DP387" s="53" t="inlineStr">
        <is>
          <t>N-3</t>
        </is>
      </c>
      <c r="DQ387" s="53" t="inlineStr">
        <is>
          <t>Individual Contributor</t>
        </is>
      </c>
      <c r="DR387" s="53" t="inlineStr">
        <is>
          <t>4 years, 6 months, 0 days</t>
        </is>
      </c>
      <c r="DS387" s="53" t="inlineStr">
        <is>
          <t>3 years, 4 months, 14 days</t>
        </is>
      </c>
      <c r="DT387" s="53" t="inlineStr">
        <is>
          <t>7 years, 10 months, 14 days</t>
        </is>
      </c>
      <c r="DU387" s="53" t="n"/>
      <c r="DV387" s="53" t="inlineStr">
        <is>
          <t>Suptech</t>
        </is>
      </c>
      <c r="DW387" s="53" t="inlineStr">
        <is>
          <t>iFile</t>
        </is>
      </c>
      <c r="DX387" s="53" t="inlineStr">
        <is>
          <t>Technology</t>
        </is>
      </c>
      <c r="DY387" s="53" t="inlineStr">
        <is>
          <t>Business Analysis</t>
        </is>
      </c>
      <c r="DZ387" s="53" t="inlineStr">
        <is>
          <t>No</t>
        </is>
      </c>
      <c r="EA387" s="53" t="inlineStr">
        <is>
          <t>Product/Project</t>
        </is>
      </c>
      <c r="EB387" s="53" t="inlineStr">
        <is>
          <t>Business Analysis</t>
        </is>
      </c>
      <c r="EC387" s="53" t="inlineStr">
        <is>
          <t>Technical · BA, PM and QA</t>
        </is>
      </c>
      <c r="ED387" s="53" t="inlineStr">
        <is>
          <t>Remote- Outside Mumbai</t>
        </is>
      </c>
      <c r="EE387" s="53" t="inlineStr">
        <is>
          <t>1. Document and manage business requirements by ensuring they are clearly captured, reviewed, and approved on time.
2. Support successful project delivery by managing requirements, documentation, testing, stakeholder coordination, and assigned project tasks within agreed timelines.
3. Analyze and validate requirements to ensure they are complete, accurate, and ready for development.
4. Collaborate effectively with stakeholders to maintain clear communication and ensure alignment throughout the project.
5. Continuously improve business analysis and project management skills by learning about the product, domain, tools, and industry best practices.
6. Prepare and maintain project plans by tracking timelines, milestones, resources, dependencies, and risks to keep projects on schedule.
7. Identify and manage project risks and issues proactively to minimize delays and support successful project completion.</t>
        </is>
      </c>
      <c r="EF387" s="53" t="inlineStr">
        <is>
          <t>1. Requirements Management &amp; Quality : Ensure 100% of business requirements are documented, reviewed, approved, and traceable, while minimizing requirement-related changes and rework during implementation.
2. Project Planning &amp; Delivery : Ensure 95% of project milestones and deliverables are completed within the approved schedule through effective planning, monitoring, and coordination.
3. Stakeholder Management &amp; Communication : Maintain effective communication with all stakeholders through regular status reviews, timely decision tracking, and prompt issue resolution, achieving high stakeholder satisfaction.
R4. isk &amp; Issue Management : Identify, assess, and mitigate project risks proactively, ensuring critical issues are resolved or escalated within agreed SLAs and minimizing project delays.
5. Continuous Improvement &amp; Team Enablement : Strengthen business analysis, project management, and domain capabilities through continuous learning, process improvements, knowledge-sharing initiatives, and adoption of best practices to improve overall project execution.</t>
        </is>
      </c>
      <c r="EG387" s="53" t="inlineStr">
        <is>
          <t>1. Complete the IFRS 18 proposals and contracts for ADX and DFM within the planned timelines.
2. Ensure the timely delivery of the IFRS 18 FSA Oman project by effectively coordinating project activities, stakeholders, risks, and dependencies to achieve the planned go-live.
3. Stabilize the live CMA Kuwait project by resolving production issues, coordinating with stakeholders, and ensuring smooth operations and timely support.</t>
        </is>
      </c>
      <c r="EH387" s="53" t="n">
        <v>4</v>
      </c>
      <c r="EI387" s="54" t="n">
        <v>46205</v>
      </c>
      <c r="EJ387" s="53" t="inlineStr">
        <is>
          <t>Senior Business Analyst · review – experience supports senior band</t>
        </is>
      </c>
      <c r="EK387" s="53" t="inlineStr">
        <is>
          <t>Yes</t>
        </is>
      </c>
      <c r="EL387" s="53" t="n">
        <v>4</v>
      </c>
      <c r="EM387" s="53" t="inlineStr">
        <is>
          <t>High</t>
        </is>
      </c>
      <c r="EN387" s="53" t="inlineStr">
        <is>
          <t>Trusted Professional</t>
        </is>
      </c>
      <c r="EO387" s="53" t="inlineStr">
        <is>
          <t>No</t>
        </is>
      </c>
      <c r="EP387" s="53" t="inlineStr">
        <is>
          <t>No</t>
        </is>
      </c>
      <c r="EQ387" s="53" t="inlineStr">
        <is>
          <t>No</t>
        </is>
      </c>
      <c r="ER387" s="53" t="inlineStr">
        <is>
          <t>Yet to be identified</t>
        </is>
      </c>
      <c r="ES387" s="53" t="inlineStr">
        <is>
          <t>Advanced Project Management, Risk Management, Stakeholder Management, Agile/Scrum Practices, Business Analysis Techniques</t>
        </is>
      </c>
      <c r="ET387" s="53" t="inlineStr">
        <is>
          <t>Program Management, Leadership &amp; People Management, Strategic Planning, Client Relationship Management</t>
        </is>
      </c>
      <c r="EU387" s="53" t="n"/>
      <c r="EV387" s="53" t="n"/>
      <c r="EW387" s="52" t="n"/>
      <c r="EX387" s="53" t="n"/>
      <c r="EY387" s="53" t="n"/>
      <c r="EZ387" s="53" t="n"/>
      <c r="FA387" s="53" t="n"/>
      <c r="FB387" s="53" t="n"/>
      <c r="FC387" s="53" t="n"/>
      <c r="FD387" s="53" t="n"/>
      <c r="FE387" s="57" t="inlineStr">
        <is>
          <t>1. Requirements Management &amp; Quality : Ensure 100% of business requirements are documented, reviewed, approved, and traceable, while minimizing requirement-related changes and rework during implementation.
2. Project Planning &amp; Delivery : Ensure 95% of project milestones and deliverables are completed within the approved schedule through effective planning, monitoring, and coordination.
3. Stakeholder Management &amp; Communication : Maintain effective communication with all stakeholders through regular status reviews, timely decision tracking, and prompt issue resolution, achieving high stakeholder satisfaction.
R4. isk &amp; Issue Management : Identify, assess, and mitigate project risks proactively, ensuring critical issues are resolved or escalated within agreed SLAs and minimizing project delays.
5. Continuous Improvement &amp; Team Enablement : Strengthen business analysis, project management, and domain capabilities through continuous learning, process improvements, knowledge-sharing initiatives, and adoption of best practices to improve overall project execution.</t>
        </is>
      </c>
      <c r="FF387" s="56" t="inlineStr">
        <is>
          <t>1. Complete the IFRS 18 proposals and contracts for ADX and DFM within the planned timelines.
2. Ensure the timely delivery of the IFRS 18 FSA Oman project by effectively coordinating project activities, stakeholders, risks, and dependencies to achieve the planned go-live.
3. Stabilize the live CMA Kuwait project by resolving production issues, coordinating with stakeholders, and ensuring smooth operations and timely support.</t>
        </is>
      </c>
      <c r="FG387" s="56" t="inlineStr">
        <is>
          <t>1. Document and manage business requirements by ensuring they are clearly captured, reviewed, and approved on time.
2. Support successful project delivery by managing requirements, documentation, testing, stakeholder coordination, and assigned project tasks within agreed timelines.
3. Analyze and validate requirements to ensure they are complete, accurate, and ready for development.
4. Collaborate effectively with stakeholders to maintain clear communication and ensure alignment throughout the project.
5. Continuously improve business analysis and project management skills by learning about the product, domain, tools, and industry best practices.
6. Prepare and maintain project plans by tracking timelines, milestones, resources, dependencies, and risks to keep projects on schedule.
7. Identify and manage project risks and issues proactively to minimize delays and support successful project completion.</t>
        </is>
      </c>
      <c r="FH387" s="56" t="inlineStr">
        <is>
          <t>4</t>
        </is>
      </c>
      <c r="FI387" s="56" t="n"/>
      <c r="FJ387" s="56" t="inlineStr">
        <is>
          <t>Received · manager annual, quarterly, self</t>
        </is>
      </c>
      <c r="FK387" s="56" t="inlineStr">
        <is>
          <t>Talent Mapping · iFile collated</t>
        </is>
      </c>
      <c r="FL387" s="56" t="n">
        <v>20</v>
      </c>
      <c r="FM387" s="32" t="inlineStr">
        <is>
          <t>Full survey answers not in the files received · How We Grow export needed · HR</t>
        </is>
      </c>
      <c r="FN387" s="56" t="inlineStr">
        <is>
          <t>—</t>
        </is>
      </c>
      <c r="FO387" s="56" t="inlineStr">
        <is>
          <t>—</t>
        </is>
      </c>
      <c r="FP387" s="56" t="inlineStr">
        <is>
          <t>—</t>
        </is>
      </c>
      <c r="FQ387" s="56" t="inlineStr">
        <is>
          <t>—</t>
        </is>
      </c>
      <c r="FR387" s="56" t="inlineStr">
        <is>
          <t>Business Impact: No survey or manager-mapping signal on criticality: kept at the start point.</t>
        </is>
      </c>
      <c r="FS387" s="56" t="inlineStr">
        <is>
          <t>Common themes in role-holders' answers: business · requirements · technical · between · client · understand
Common themes in role-holders' answers: documentation · requirement · client · gathering · coordination · managing
Common themes in role-holders' answers: deliver · product · client · requirement · process · business
Common themes in role-holders' answers: requirements · accountable · delivery · quality · documentation · timely
Common themes in role-holders' answers: documentation · prioritize · user stories · process · project
If the work is missed · role-holders' themes: rework · client.
Measured on · manager-set KRA themes: delivery · assigned · project · requests · satisfaction.</t>
        </is>
      </c>
      <c r="FT387" s="56" t="inlineStr">
        <is>
          <t>Self-identified: Project / programme management
For the next role: Project / programme management</t>
        </is>
      </c>
      <c r="FU387" s="32" t="inlineStr">
        <is>
          <t>Full survey answers not in the files received · How We Grow export needed · HR</t>
        </is>
      </c>
    </row>
    <row r="388" ht="90" customHeight="1">
      <c r="A388" s="51" t="inlineStr">
        <is>
          <t>◂ Back</t>
        </is>
      </c>
      <c r="B388" s="29" t="inlineStr">
        <is>
          <t>Mapped</t>
        </is>
      </c>
      <c r="C388" s="28" t="inlineStr">
        <is>
          <t>iFile</t>
        </is>
      </c>
      <c r="D388" s="29" t="inlineStr">
        <is>
          <t>IRIS1929</t>
        </is>
      </c>
      <c r="E388" s="29" t="inlineStr">
        <is>
          <t>Ankita Karale</t>
        </is>
      </c>
      <c r="F388" s="29" t="inlineStr">
        <is>
          <t>Technology</t>
        </is>
      </c>
      <c r="G388" s="29" t="inlineStr">
        <is>
          <t>Business Analyst</t>
        </is>
      </c>
      <c r="H388" s="29" t="inlineStr">
        <is>
          <t>Senior Business Analyst</t>
        </is>
      </c>
      <c r="I388" s="29" t="inlineStr">
        <is>
          <t>L3 – Professional / Associate</t>
        </is>
      </c>
      <c r="J388" s="29" t="inlineStr">
        <is>
          <t>A3</t>
        </is>
      </c>
      <c r="K388" s="29" t="inlineStr">
        <is>
          <t>▲ Up</t>
        </is>
      </c>
      <c r="L388" s="29" t="inlineStr">
        <is>
          <t>Business Analysis</t>
        </is>
      </c>
      <c r="M388" s="29" t="inlineStr">
        <is>
          <t>Business Analysis</t>
        </is>
      </c>
      <c r="N388" s="29" t="n"/>
      <c r="O388" s="29" t="n">
        <v>20</v>
      </c>
      <c r="P388" s="28" t="inlineStr">
        <is>
          <t>P2</t>
        </is>
      </c>
      <c r="Q388" s="29" t="inlineStr">
        <is>
          <t>Developing</t>
        </is>
      </c>
      <c r="R388" s="29" t="inlineStr">
        <is>
          <t>3 Apply</t>
        </is>
      </c>
      <c r="S388" s="29" t="inlineStr">
        <is>
          <t>2–4 yrs</t>
        </is>
      </c>
      <c r="T388" s="29" t="inlineStr">
        <is>
          <t>3–5 · 2–5</t>
        </is>
      </c>
      <c r="U388" s="29" t="inlineStr">
        <is>
          <t>Business Analyst</t>
        </is>
      </c>
      <c r="V388" s="29" t="inlineStr">
        <is>
          <t>Regnology — regulatory reporting: Junior BA · Reg Reporting · Big Four consulting: Consultant · IRIS Vs Market Benchmark — IIBA certification pathway: ECBA · Infosys / Accenture: JL3A · L10 Senior Analyst</t>
        </is>
      </c>
      <c r="W388" s="29" t="inlineStr">
        <is>
          <t>IIBA BABOK v3; certifications ECBA · entry → CCBA → CBAP · senior</t>
        </is>
      </c>
      <c r="X388" s="29" t="inlineStr">
        <is>
          <t>Core 2 · Future 2 · Functional 3 · Leadership not scored</t>
        </is>
      </c>
      <c r="Y388" s="52" t="n">
        <v>187</v>
      </c>
      <c r="Z388" s="53" t="inlineStr">
        <is>
          <t>IRIS1929</t>
        </is>
      </c>
      <c r="AA388" s="53" t="inlineStr">
        <is>
          <t>Employee</t>
        </is>
      </c>
      <c r="AB388" s="53" t="inlineStr">
        <is>
          <t>Active</t>
        </is>
      </c>
      <c r="AC388" s="53" t="inlineStr">
        <is>
          <t>Ankita Karale</t>
        </is>
      </c>
      <c r="AD388" s="54" t="n">
        <v>44382</v>
      </c>
      <c r="AE388" s="53" t="inlineStr">
        <is>
          <t>Business Analyst</t>
        </is>
      </c>
      <c r="AF388" s="53" t="inlineStr">
        <is>
          <t>B.E</t>
        </is>
      </c>
      <c r="AG388" s="53" t="inlineStr">
        <is>
          <t>Sandeep Dwivedi</t>
        </is>
      </c>
      <c r="AH388" s="53" t="inlineStr">
        <is>
          <t>N-4</t>
        </is>
      </c>
      <c r="AI388" s="53" t="inlineStr">
        <is>
          <t>Individual Contributor</t>
        </is>
      </c>
      <c r="AJ388" s="53" t="inlineStr">
        <is>
          <t>2 years, 0 months, 0 days</t>
        </is>
      </c>
      <c r="AK388" s="53" t="inlineStr">
        <is>
          <t>5 years, 1 months, 20 days</t>
        </is>
      </c>
      <c r="AL388" s="53" t="inlineStr">
        <is>
          <t>Suptech</t>
        </is>
      </c>
      <c r="AM388" s="53" t="inlineStr">
        <is>
          <t>iFile</t>
        </is>
      </c>
      <c r="AN388" s="53" t="inlineStr">
        <is>
          <t>Technology</t>
        </is>
      </c>
      <c r="AO388" s="53" t="inlineStr">
        <is>
          <t>Business Analysis</t>
        </is>
      </c>
      <c r="AP388" s="53" t="inlineStr">
        <is>
          <t>No</t>
        </is>
      </c>
      <c r="AQ388" s="53" t="inlineStr">
        <is>
          <t>Product/Project</t>
        </is>
      </c>
      <c r="AR388" s="53" t="inlineStr">
        <is>
          <t>Business Analysis</t>
        </is>
      </c>
      <c r="AS388" s="53" t="inlineStr">
        <is>
          <t>Technical · BA, PM and QA</t>
        </is>
      </c>
      <c r="AT388" s="53" t="n">
        <v>20</v>
      </c>
      <c r="AU388" s="53" t="inlineStr">
        <is>
          <t>Covered</t>
        </is>
      </c>
      <c r="AV388" s="53" t="n"/>
      <c r="AW388" s="53" t="n"/>
      <c r="AX388" s="53" t="n"/>
      <c r="AY388" s="53" t="n"/>
      <c r="AZ388" s="53" t="n"/>
      <c r="BA388" s="53" t="n"/>
      <c r="BB388" s="53" t="n"/>
      <c r="BC388" s="53" t="n"/>
      <c r="BD388" s="53" t="n"/>
      <c r="BE388" s="53" t="n"/>
      <c r="BF388" s="53" t="n"/>
      <c r="BG388" s="53" t="n"/>
      <c r="BH388" s="53" t="n"/>
      <c r="BI388" s="53" t="n"/>
      <c r="BJ388" s="53" t="n"/>
      <c r="BK388" s="53" t="n"/>
      <c r="BL388" s="53" t="n"/>
      <c r="BM388" s="53" t="n"/>
      <c r="BN388" s="53" t="n"/>
      <c r="BO388" s="53" t="n"/>
      <c r="BP388" s="53" t="n"/>
      <c r="BQ388" s="53" t="n"/>
      <c r="BR388" s="53" t="n"/>
      <c r="BS388" s="53" t="n"/>
      <c r="BT388" s="53" t="n"/>
      <c r="BU388" s="53" t="n"/>
      <c r="BV388" s="53" t="n"/>
      <c r="BW388" s="53" t="n"/>
      <c r="BX388" s="53" t="n"/>
      <c r="BY388" s="53" t="n"/>
      <c r="BZ388" s="53" t="n"/>
      <c r="CA388" s="53" t="n"/>
      <c r="CB388" s="53" t="n"/>
      <c r="CC388" s="53" t="n"/>
      <c r="CD388" s="53" t="n"/>
      <c r="CE388" s="53" t="n"/>
      <c r="CF388" s="53" t="n"/>
      <c r="CG388" s="53" t="n"/>
      <c r="CH388" s="53" t="n"/>
      <c r="CI388" s="53" t="n"/>
      <c r="CJ388" s="53" t="n"/>
      <c r="CK388" s="53" t="n"/>
      <c r="CL388" s="53" t="n"/>
      <c r="CM388" s="53" t="n"/>
      <c r="CN388" s="53" t="n"/>
      <c r="CO388" s="53" t="n"/>
      <c r="CP388" s="53" t="n"/>
      <c r="CQ388" s="53" t="n"/>
      <c r="CR388" s="53" t="n"/>
      <c r="CS388" s="53" t="n"/>
      <c r="CT388" s="53" t="n"/>
      <c r="CU388" s="53" t="n"/>
      <c r="CV388" s="53" t="n"/>
      <c r="CW388" s="53" t="n"/>
      <c r="CX388" s="53" t="n"/>
      <c r="CY388" s="53" t="n"/>
      <c r="CZ388" s="53" t="n"/>
      <c r="DA388" s="53" t="n"/>
      <c r="DB388" s="53" t="n"/>
      <c r="DC388" s="53" t="n"/>
      <c r="DD388" s="53" t="inlineStr">
        <is>
          <t>IRIS1929</t>
        </is>
      </c>
      <c r="DE388" s="53" t="inlineStr">
        <is>
          <t>Employee</t>
        </is>
      </c>
      <c r="DF388" s="53" t="inlineStr">
        <is>
          <t>Active</t>
        </is>
      </c>
      <c r="DG388" s="53" t="inlineStr">
        <is>
          <t>Ankita Karale</t>
        </is>
      </c>
      <c r="DH388" s="54" t="n">
        <v>44382</v>
      </c>
      <c r="DI388" s="53" t="inlineStr">
        <is>
          <t>Business Analyst</t>
        </is>
      </c>
      <c r="DJ388" s="53" t="inlineStr">
        <is>
          <t>Business Analysis</t>
        </is>
      </c>
      <c r="DK388" s="53" t="inlineStr">
        <is>
          <t>Business / Functional Analysis</t>
        </is>
      </c>
      <c r="DL388" s="53" t="inlineStr">
        <is>
          <t>Business Analyst</t>
        </is>
      </c>
      <c r="DM388" s="53" t="inlineStr">
        <is>
          <t>L3 – Professional / Associate</t>
        </is>
      </c>
      <c r="DN388" s="53" t="inlineStr">
        <is>
          <t>B.E</t>
        </is>
      </c>
      <c r="DO388" s="53" t="inlineStr">
        <is>
          <t>Jailesh Bhadra</t>
        </is>
      </c>
      <c r="DP388" s="53" t="inlineStr">
        <is>
          <t>N-3</t>
        </is>
      </c>
      <c r="DQ388" s="53" t="inlineStr">
        <is>
          <t>Individual Contributor</t>
        </is>
      </c>
      <c r="DR388" s="53" t="inlineStr">
        <is>
          <t>2 years, 0 months, 0 days</t>
        </is>
      </c>
      <c r="DS388" s="53" t="inlineStr">
        <is>
          <t>4 years, 11 months, 15 days</t>
        </is>
      </c>
      <c r="DT388" s="53" t="inlineStr">
        <is>
          <t>6 years, 11 months, 15 days</t>
        </is>
      </c>
      <c r="DU388" s="53" t="n"/>
      <c r="DV388" s="53" t="inlineStr">
        <is>
          <t>Suptech</t>
        </is>
      </c>
      <c r="DW388" s="53" t="inlineStr">
        <is>
          <t>iFile</t>
        </is>
      </c>
      <c r="DX388" s="53" t="inlineStr">
        <is>
          <t>Technology</t>
        </is>
      </c>
      <c r="DY388" s="53" t="inlineStr">
        <is>
          <t>Business Analysis</t>
        </is>
      </c>
      <c r="DZ388" s="53" t="inlineStr">
        <is>
          <t>No</t>
        </is>
      </c>
      <c r="EA388" s="53" t="inlineStr">
        <is>
          <t>Product/Project</t>
        </is>
      </c>
      <c r="EB388" s="53" t="inlineStr">
        <is>
          <t>Business Analysis</t>
        </is>
      </c>
      <c r="EC388" s="53" t="inlineStr">
        <is>
          <t>Technical · BA, PM and QA</t>
        </is>
      </c>
      <c r="ED388" s="53" t="inlineStr">
        <is>
          <t>Remote - Mumbai</t>
        </is>
      </c>
      <c r="EE388" s="53" t="inlineStr">
        <is>
          <t>1. Support Team Members: Provide functional and technical guidance to team members, supporting requirement analysis, documentation, and issue resolution to ensure their deliverables consistently meet the expected quality standards.
2. Issue Resolution and Escalations:Ensure project-related issues and escalations are proactively managed and resolved within agreed Service Level Agreements · SLAs, minimizing project risks and maintaining stakeholder satisfaction.
3. Project deliverables:Ensure assigned business requirements and project documentation are completed accurately, on time, and with minimal rework.
4. Stakeholder Collaboration:Collaborate effectively with business and technical stakeholders to analyze and validate requirements, ensuring clear communication, timely resolution of queries, and alignment with business objectives.
5. Build Technical and Domain Expertise:Complete professional development activities · such as certifications, training, or advanced learning in Agile, SQL, Power BI, Jira, or domain knowledge and apply the learning to at least one live project.</t>
        </is>
      </c>
      <c r="EF388" s="53" t="inlineStr">
        <is>
          <t>1. Deliver &gt;=95% of assigned BRDs/FSDs approved with &lt;=1 revision cycle
2. Ensure &gt;=90% on-time delivery of BA deliverables against plan
3. Achieve &gt;=4.2/5 stakeholder satisfaction on requirement clarity
4. Complete UAT support/sign-off for &gt;=90% of assigned releases within timeline
5. Reduce post-sign-off requirement change requests by &gt;=15% YoY
6. Take ownership of at least 1 complex/ambiguous requirement area independently</t>
        </is>
      </c>
      <c r="EG388" s="53" t="inlineStr">
        <is>
          <t>Q1: Deliver &gt;=95% of assigned BRDs/FSDs approved with &lt;=1 revision cycle
Q1: Ensure &gt;=90% on-time delivery of BA deliverables
Q1: Achieve &gt;=4.2/5 stakeholder satisfaction on requirement clarity
Q1: Own at least 1 complex requirement area end-to-end</t>
        </is>
      </c>
      <c r="EH388" s="53" t="n">
        <v>3</v>
      </c>
      <c r="EI388" s="53" t="inlineStr">
        <is>
          <t>Pending – to be scheduled</t>
        </is>
      </c>
      <c r="EJ388" s="53" t="inlineStr">
        <is>
          <t>Business Analyst</t>
        </is>
      </c>
      <c r="EK388" s="53" t="inlineStr">
        <is>
          <t>No – designation matches current scope.</t>
        </is>
      </c>
      <c r="EL388" s="53" t="n">
        <v>1</v>
      </c>
      <c r="EM388" s="53" t="inlineStr">
        <is>
          <t>Low</t>
        </is>
      </c>
      <c r="EN388" s="53" t="inlineStr">
        <is>
          <t>Reliable Specialist</t>
        </is>
      </c>
      <c r="EO388" s="53" t="inlineStr">
        <is>
          <t>N</t>
        </is>
      </c>
      <c r="EP388" s="53" t="inlineStr">
        <is>
          <t>N</t>
        </is>
      </c>
      <c r="EQ388" s="53" t="inlineStr">
        <is>
          <t>N</t>
        </is>
      </c>
      <c r="ER388" s="53" t="inlineStr">
        <is>
          <t>No successor formally identified</t>
        </is>
      </c>
      <c r="ES388" s="53" t="inlineStr">
        <is>
          <t>Requirement engineering &amp; BRD writing; Agile/Scrum; domain · RegTech/XBRL knowledge; stakeholder management; Product knowledge</t>
        </is>
      </c>
      <c r="ET388" s="53" t="inlineStr">
        <is>
          <t>-</t>
        </is>
      </c>
      <c r="EU388" s="53" t="inlineStr">
        <is>
          <t>Just resumed after the maternity leave.</t>
        </is>
      </c>
      <c r="EV388" s="53" t="n"/>
      <c r="EW388" s="52" t="n"/>
      <c r="EX388" s="53" t="n"/>
      <c r="EY388" s="53" t="n"/>
      <c r="EZ388" s="53" t="n"/>
      <c r="FA388" s="53" t="n"/>
      <c r="FB388" s="53" t="n"/>
      <c r="FC388" s="53" t="n"/>
      <c r="FD388" s="53" t="n"/>
      <c r="FE388" s="57" t="inlineStr">
        <is>
          <t>1. Deliver &gt;=95% of assigned BRDs/FSDs approved with &lt;=1 revision cycle
2. Ensure &gt;=90% on-time delivery of BA deliverables against plan
3. Achieve &gt;=4.2/5 stakeholder satisfaction on requirement clarity
4. Complete UAT support/sign-off for &gt;=90% of assigned releases within timeline
5. Reduce post-sign-off requirement change requests by &gt;=15% YoY
6. Take ownership of at least 1 complex/ambiguous requirement area independently</t>
        </is>
      </c>
      <c r="FF388" s="56" t="inlineStr">
        <is>
          <t>Q1: Deliver &gt;=95% of assigned BRDs/FSDs approved with &lt;=1 revision cycle
Q1: Ensure &gt;=90% on-time delivery of BA deliverables
Q1: Achieve &gt;=4.2/5 stakeholder satisfaction on requirement clarity
Q1: Own at least 1 complex requirement area end-to-end</t>
        </is>
      </c>
      <c r="FG388" s="56" t="inlineStr">
        <is>
          <t>1. Support Team Members: Provide functional and technical guidance to team members, supporting requirement analysis, documentation, and issue resolution to ensure their deliverables consistently meet the expected quality standards.
2. Issue Resolution and Escalations:Ensure project-related issues and escalations are proactively managed and resolved within agreed Service Level Agreements · SLAs, minimizing project risks and maintaining stakeholder satisfaction.
3. Project deliverables:Ensure assigned business requirements and project documentation are completed accurately, on time, and with minimal rework.
4. Stakeholder Collaboration:Collaborate effectively with business and technical stakeholders to analyze and validate requirements, ensuring clear communication, timely resolution of queries, and alignment with business objectives.
5. Build Technical and Domain Expertise:Complete professional development activities · such as certifications, training, or advanced learning in Agile, SQL, Power BI, Jira, or domain knowledge and apply the learning to at least one live project.</t>
        </is>
      </c>
      <c r="FH388" s="56" t="inlineStr">
        <is>
          <t>3</t>
        </is>
      </c>
      <c r="FI388" s="56" t="n"/>
      <c r="FJ388" s="56" t="inlineStr">
        <is>
          <t>Received · manager annual, quarterly, self</t>
        </is>
      </c>
      <c r="FK388" s="56" t="inlineStr">
        <is>
          <t>Talent Mapping · iFile collated</t>
        </is>
      </c>
      <c r="FL388" s="56" t="n">
        <v>20</v>
      </c>
      <c r="FM388" s="32" t="inlineStr">
        <is>
          <t>Full survey answers not in the files received · How We Grow export needed · HR</t>
        </is>
      </c>
      <c r="FN388" s="56" t="inlineStr">
        <is>
          <t>—</t>
        </is>
      </c>
      <c r="FO388" s="56" t="inlineStr">
        <is>
          <t>—</t>
        </is>
      </c>
      <c r="FP388" s="56" t="inlineStr">
        <is>
          <t>—</t>
        </is>
      </c>
      <c r="FQ388" s="56" t="inlineStr">
        <is>
          <t>—</t>
        </is>
      </c>
      <c r="FR388" s="56" t="inlineStr">
        <is>
          <t>Complexity: Evidence reads like A2: own survey / KRA answers · summarised by the rater; not quoted → moved down 0.5
Autonomy: Evidence reads like A2: Decides only prioritising of tasks → moved down 0.5
Accountability: Evidence reads like A2: Accountable for requirement documents and user stories → moved down 0.5
Leadership: Evidence reads like A2: Survey silent; manager note expects functional guidance to team members → matches the start
Business Impact: No move: the survey / manager mapping does not mark it business-critical or unique.</t>
        </is>
      </c>
      <c r="FS388" s="56" t="inlineStr">
        <is>
          <t>Common themes in role-holders' answers: business · requirements · technical · between · client · understand
Common themes in role-holders' answers: documentation · requirement · client · gathering · coordination · managing
Common themes in role-holders' answers: deliver · product · client · requirement · process · business
Common themes in role-holders' answers: requirements · accountable · delivery · quality · documentation · timely
Common themes in role-holders' answers: documentation · prioritize · user stories · process · project
If the work is missed · role-holders' themes: rework · client.
Measured on · manager-set KRA themes: delivery · assigned · project · requests · satisfaction.</t>
        </is>
      </c>
      <c r="FT388" s="56" t="inlineStr">
        <is>
          <t>Self-identified: AI / automation · Product &amp; tool knowledge
For the next role: AI / automation · Product &amp; tool knowledge</t>
        </is>
      </c>
      <c r="FU388" s="32" t="inlineStr">
        <is>
          <t>Full survey answers not in the files received · How We Grow export needed · HR</t>
        </is>
      </c>
    </row>
    <row r="389" ht="90" customHeight="1">
      <c r="A389" s="51" t="inlineStr">
        <is>
          <t>◂ Back</t>
        </is>
      </c>
      <c r="B389" s="29" t="inlineStr">
        <is>
          <t>Mapped</t>
        </is>
      </c>
      <c r="C389" s="28" t="inlineStr">
        <is>
          <t>iFile</t>
        </is>
      </c>
      <c r="D389" s="29" t="inlineStr">
        <is>
          <t>IRIS2176</t>
        </is>
      </c>
      <c r="E389" s="29" t="inlineStr">
        <is>
          <t>Saurabh Kadam</t>
        </is>
      </c>
      <c r="F389" s="29" t="inlineStr">
        <is>
          <t>Technology</t>
        </is>
      </c>
      <c r="G389" s="29" t="inlineStr">
        <is>
          <t>Program Manager</t>
        </is>
      </c>
      <c r="H389" s="29" t="inlineStr">
        <is>
          <t>Project Manager</t>
        </is>
      </c>
      <c r="I389" s="29" t="inlineStr">
        <is>
          <t>L5 – Manager</t>
        </is>
      </c>
      <c r="J389" s="29" t="inlineStr">
        <is>
          <t>B2</t>
        </is>
      </c>
      <c r="K389" s="29" t="inlineStr">
        <is>
          <t>• Same level</t>
        </is>
      </c>
      <c r="L389" s="29" t="inlineStr">
        <is>
          <t>Project &amp; Program Management</t>
        </is>
      </c>
      <c r="M389" s="29" t="inlineStr">
        <is>
          <t>Project &amp; Program Delivery</t>
        </is>
      </c>
      <c r="N389" s="29" t="inlineStr">
        <is>
          <t>• Confirm structure behind the senior title · org chart — Business head</t>
        </is>
      </c>
      <c r="O389" s="29" t="n">
        <v>20</v>
      </c>
      <c r="P389" s="28" t="inlineStr">
        <is>
          <t>P4 / M3</t>
        </is>
      </c>
      <c r="Q389" s="29" t="inlineStr">
        <is>
          <t>Senior / Manager</t>
        </is>
      </c>
      <c r="R389" s="29" t="inlineStr">
        <is>
          <t>4–5</t>
        </is>
      </c>
      <c r="S389" s="29" t="inlineStr">
        <is>
          <t>6–9 yrs</t>
        </is>
      </c>
      <c r="T389" s="29" t="inlineStr">
        <is>
          <t>7–10 · 6–11</t>
        </is>
      </c>
      <c r="U389" s="29" t="inlineStr">
        <is>
          <t>Manager</t>
        </is>
      </c>
      <c r="V389" s="29" t="inlineStr">
        <is>
          <t>IRIS Vs Competitor Benchmark — PMI pathway + SaaS delivery ladder: Senior PM</t>
        </is>
      </c>
      <c r="W389" s="29" t="inlineStr">
        <is>
          <t>PMI PMBOK and Talent Triangle; CAPM · entry → PMP → PgMP; Scrum / SAFe</t>
        </is>
      </c>
      <c r="X389" s="29" t="inlineStr">
        <is>
          <t>Core 3 · Future 3 · Functional 4 · Leadership 3</t>
        </is>
      </c>
      <c r="Y389" s="52" t="n">
        <v>290</v>
      </c>
      <c r="Z389" s="53" t="inlineStr">
        <is>
          <t>IRIS2176</t>
        </is>
      </c>
      <c r="AA389" s="53" t="inlineStr">
        <is>
          <t>Employee</t>
        </is>
      </c>
      <c r="AB389" s="53" t="inlineStr">
        <is>
          <t>Active</t>
        </is>
      </c>
      <c r="AC389" s="53" t="inlineStr">
        <is>
          <t>Saurabh Kadam</t>
        </is>
      </c>
      <c r="AD389" s="54" t="n">
        <v>45162</v>
      </c>
      <c r="AE389" s="53" t="inlineStr">
        <is>
          <t>Program Manager</t>
        </is>
      </c>
      <c r="AF389" s="53" t="inlineStr">
        <is>
          <t>MMS</t>
        </is>
      </c>
      <c r="AG389" s="53" t="inlineStr">
        <is>
          <t>Pradip Dey</t>
        </is>
      </c>
      <c r="AH389" s="53" t="inlineStr">
        <is>
          <t>N-3</t>
        </is>
      </c>
      <c r="AI389" s="53" t="inlineStr">
        <is>
          <t>Manager</t>
        </is>
      </c>
      <c r="AJ389" s="53" t="inlineStr">
        <is>
          <t>13 years, 6 months, 0 days</t>
        </is>
      </c>
      <c r="AK389" s="53" t="inlineStr">
        <is>
          <t>3 years, 0 months, 1 days</t>
        </is>
      </c>
      <c r="AL389" s="53" t="inlineStr">
        <is>
          <t>Suptech</t>
        </is>
      </c>
      <c r="AM389" s="53" t="inlineStr">
        <is>
          <t>iFile</t>
        </is>
      </c>
      <c r="AN389" s="53" t="inlineStr">
        <is>
          <t>Technology</t>
        </is>
      </c>
      <c r="AO389" s="53" t="inlineStr">
        <is>
          <t>Project Management</t>
        </is>
      </c>
      <c r="AP389" s="53" t="inlineStr">
        <is>
          <t>No</t>
        </is>
      </c>
      <c r="AQ389" s="53" t="inlineStr">
        <is>
          <t>Product/Project</t>
        </is>
      </c>
      <c r="AR389" s="53" t="inlineStr">
        <is>
          <t>Project Management</t>
        </is>
      </c>
      <c r="AS389" s="53" t="inlineStr">
        <is>
          <t>Technical · BA, PM and QA</t>
        </is>
      </c>
      <c r="AT389" s="53" t="n">
        <v>20</v>
      </c>
      <c r="AU389" s="53" t="inlineStr">
        <is>
          <t>Covered</t>
        </is>
      </c>
      <c r="AV389" s="53" t="n"/>
      <c r="AW389" s="53" t="n"/>
      <c r="AX389" s="53" t="n"/>
      <c r="AY389" s="53" t="n"/>
      <c r="AZ389" s="53" t="n"/>
      <c r="BA389" s="53" t="n"/>
      <c r="BB389" s="53" t="n"/>
      <c r="BC389" s="53" t="n"/>
      <c r="BD389" s="53" t="n"/>
      <c r="BE389" s="53" t="n"/>
      <c r="BF389" s="53" t="n"/>
      <c r="BG389" s="53" t="n"/>
      <c r="BH389" s="53" t="n"/>
      <c r="BI389" s="53" t="n"/>
      <c r="BJ389" s="53" t="n"/>
      <c r="BK389" s="53" t="n"/>
      <c r="BL389" s="53" t="n"/>
      <c r="BM389" s="53" t="n"/>
      <c r="BN389" s="53" t="n"/>
      <c r="BO389" s="53" t="n"/>
      <c r="BP389" s="53" t="n"/>
      <c r="BQ389" s="53" t="n"/>
      <c r="BR389" s="53" t="n"/>
      <c r="BS389" s="53" t="n"/>
      <c r="BT389" s="53" t="n"/>
      <c r="BU389" s="53" t="n"/>
      <c r="BV389" s="53" t="n"/>
      <c r="BW389" s="53" t="n"/>
      <c r="BX389" s="53" t="n"/>
      <c r="BY389" s="53" t="n"/>
      <c r="BZ389" s="53" t="n"/>
      <c r="CA389" s="53" t="n"/>
      <c r="CB389" s="53" t="n"/>
      <c r="CC389" s="53" t="n"/>
      <c r="CD389" s="53" t="n"/>
      <c r="CE389" s="53" t="n"/>
      <c r="CF389" s="53" t="n"/>
      <c r="CG389" s="53" t="n"/>
      <c r="CH389" s="53" t="n"/>
      <c r="CI389" s="53" t="n"/>
      <c r="CJ389" s="53" t="n"/>
      <c r="CK389" s="53" t="n"/>
      <c r="CL389" s="53" t="n"/>
      <c r="CM389" s="53" t="n"/>
      <c r="CN389" s="53" t="n"/>
      <c r="CO389" s="53" t="n"/>
      <c r="CP389" s="53" t="n"/>
      <c r="CQ389" s="53" t="n"/>
      <c r="CR389" s="53" t="n"/>
      <c r="CS389" s="53" t="n"/>
      <c r="CT389" s="53" t="n"/>
      <c r="CU389" s="53" t="n"/>
      <c r="CV389" s="53" t="n"/>
      <c r="CW389" s="53" t="n"/>
      <c r="CX389" s="53" t="n"/>
      <c r="CY389" s="53" t="n"/>
      <c r="CZ389" s="53" t="n"/>
      <c r="DA389" s="53" t="n"/>
      <c r="DB389" s="53" t="n"/>
      <c r="DC389" s="53" t="n"/>
      <c r="DD389" s="53" t="inlineStr">
        <is>
          <t>IRIS2176</t>
        </is>
      </c>
      <c r="DE389" s="53" t="inlineStr">
        <is>
          <t>Employee</t>
        </is>
      </c>
      <c r="DF389" s="53" t="inlineStr">
        <is>
          <t>Active</t>
        </is>
      </c>
      <c r="DG389" s="53" t="inlineStr">
        <is>
          <t>Saurabh Kadam</t>
        </is>
      </c>
      <c r="DH389" s="54" t="n">
        <v>45162</v>
      </c>
      <c r="DI389" s="53" t="inlineStr">
        <is>
          <t>Program Manager</t>
        </is>
      </c>
      <c r="DJ389" s="53" t="inlineStr">
        <is>
          <t>Project &amp; Program Management</t>
        </is>
      </c>
      <c r="DK389" s="53" t="inlineStr">
        <is>
          <t>Program Management</t>
        </is>
      </c>
      <c r="DL389" s="53" t="inlineStr">
        <is>
          <t>Program Manager</t>
        </is>
      </c>
      <c r="DM389" s="53" t="inlineStr">
        <is>
          <t>L5 – Manager</t>
        </is>
      </c>
      <c r="DN389" s="53" t="inlineStr">
        <is>
          <t>MMS</t>
        </is>
      </c>
      <c r="DO389" s="53" t="inlineStr">
        <is>
          <t>Pradip Dey</t>
        </is>
      </c>
      <c r="DP389" s="53" t="inlineStr">
        <is>
          <t>N-2</t>
        </is>
      </c>
      <c r="DQ389" s="53" t="inlineStr">
        <is>
          <t>Manager</t>
        </is>
      </c>
      <c r="DR389" s="53" t="inlineStr">
        <is>
          <t>13 years, 6 months, 0 days</t>
        </is>
      </c>
      <c r="DS389" s="53" t="inlineStr">
        <is>
          <t>2 years, 9 months, 27 days</t>
        </is>
      </c>
      <c r="DT389" s="53" t="inlineStr">
        <is>
          <t>16 years, 3 months, 27 days</t>
        </is>
      </c>
      <c r="DU389" s="53" t="n">
        <v>2.82397260273973</v>
      </c>
      <c r="DV389" s="53" t="inlineStr">
        <is>
          <t>Suptech</t>
        </is>
      </c>
      <c r="DW389" s="53" t="inlineStr">
        <is>
          <t>iFile</t>
        </is>
      </c>
      <c r="DX389" s="53" t="inlineStr">
        <is>
          <t>Technology</t>
        </is>
      </c>
      <c r="DY389" s="53" t="inlineStr">
        <is>
          <t>Project Management</t>
        </is>
      </c>
      <c r="DZ389" s="53" t="inlineStr">
        <is>
          <t>No</t>
        </is>
      </c>
      <c r="EA389" s="53" t="inlineStr">
        <is>
          <t>Product/Project</t>
        </is>
      </c>
      <c r="EB389" s="53" t="inlineStr">
        <is>
          <t>Project Management</t>
        </is>
      </c>
      <c r="EC389" s="53" t="inlineStr">
        <is>
          <t>Technical · BA, PM and QA</t>
        </is>
      </c>
      <c r="ED389" s="53" t="inlineStr">
        <is>
          <t>Hybrid</t>
        </is>
      </c>
      <c r="EE389" s="53" t="n"/>
      <c r="EF389" s="53" t="inlineStr">
        <is>
          <t>1. SARB Program
Ensure BA team is gaining domain knowledge and able to write user stories effively for the enhancements and phase 4
Proactive communicaions and stakeholder management as per the protocols set for the program
Ensure operations support is provided as per SLA defined for the program
Work towards ensuring Zero issues due to wrong requirements
Positive client feedback on proposals and engagement quality
2. Deposit Insurance System and general Suptech system knowledge
1-2 new successful deployments or client adoptions by Dec 2026
Recognition as SME in internal/external forums
Gain thorough understanding of SupTech domain and iFile platform features
3. Pre-sales, process adherence, &amp; Strategic Contributions
Contribute to business expansion through active participation in pre-sales, solutioning, and proposal development support · especially deposit insurance related 
Organization level Projetc Mgmt talent building and initiatives
Ensure adoption of digital way of working across the organization
4. PgMP Certifications/AI
Complete PgMP
Leverage AI in day to day working - PM activities, prepration/reuse of requirement artefacts, test cases writing and automaiton etc.</t>
        </is>
      </c>
      <c r="EG389" s="53" t="inlineStr">
        <is>
          <t>SARB enhancements work completion as per plan
Process improvements
PgMP completion
Digital way of working and measurement of metrics through the tools</t>
        </is>
      </c>
      <c r="EH389" s="53" t="inlineStr">
        <is>
          <t>Exceeds Expectations</t>
        </is>
      </c>
      <c r="EI389" s="54" t="n">
        <v>45931</v>
      </c>
      <c r="EJ389" s="53" t="inlineStr">
        <is>
          <t>Program Manager</t>
        </is>
      </c>
      <c r="EK389" s="53" t="n"/>
      <c r="EL389" s="53" t="n">
        <v>4</v>
      </c>
      <c r="EM389" s="53" t="inlineStr">
        <is>
          <t>High</t>
        </is>
      </c>
      <c r="EN389" s="53" t="inlineStr">
        <is>
          <t>Trusted Professional</t>
        </is>
      </c>
      <c r="EO389" s="53" t="n"/>
      <c r="EP389" s="53" t="inlineStr">
        <is>
          <t>Y</t>
        </is>
      </c>
      <c r="EQ389" s="53" t="inlineStr">
        <is>
          <t>Y</t>
        </is>
      </c>
      <c r="ER389" s="53" t="n"/>
      <c r="ES389" s="53" t="inlineStr">
        <is>
          <t>AI and SupTech related training, Deposit Insurance</t>
        </is>
      </c>
      <c r="ET389" s="53" t="n"/>
      <c r="EU389" s="53" t="inlineStr">
        <is>
          <t>QCB,GTA</t>
        </is>
      </c>
      <c r="EV389" s="53" t="n"/>
      <c r="EW389" s="52" t="n"/>
      <c r="EX389" s="53" t="n"/>
      <c r="EY389" s="53" t="n"/>
      <c r="EZ389" s="53" t="n"/>
      <c r="FA389" s="53" t="n"/>
      <c r="FB389" s="53" t="n"/>
      <c r="FC389" s="53" t="n"/>
      <c r="FD389" s="53" t="n"/>
      <c r="FE389" s="57" t="inlineStr">
        <is>
          <t>1. SARB Program
Ensure BA team is gaining domain knowledge and able to write user stories effively for the enhancements and phase 4
Proactive communicaions and stakeholder management as per the protocols set for the program
Ensure operations support is provided as per SLA defined for the program
Work towards ensuring Zero · 0 issues due to wrong requirements
Positive client feedback on proposals and engagement quality
2. Deposit Insurance System and general Suptech system knowledge
1-2 new successful deployments or client adoptions by Dec 2026
Recognition as SME in internal/external forums
Gain thorough understanding of SupTech domain and iFile platform features
3. Pre-sales, process adherence, &amp; Strategic Contributions
Contribute to business expansion through active participation in pre-sales, solutioning, and proposal development support · especially deposit insurance related  
Organization level Projetc Mgmt talent building and initiatives
Ensure adoption of digital way of working across the organization
4. PgMP Certifications/AI
Complete PgMP
Leverage AI in day to day working - PM activities, prepration/reuse of requirement artefacts, test cases writing and automaiton etc.</t>
        </is>
      </c>
      <c r="FF389" s="56" t="inlineStr">
        <is>
          <t>SARB enhancements work completion as per plan
Process improvements
PgMP completion
Digital way of working and measurement of metrics through the tools</t>
        </is>
      </c>
      <c r="FG389" s="56" t="n"/>
      <c r="FH389" s="56" t="inlineStr">
        <is>
          <t>Exceeds Expectations</t>
        </is>
      </c>
      <c r="FI389" s="56" t="n"/>
      <c r="FJ389" s="56" t="inlineStr">
        <is>
          <t>Received · manager annual, quarterly</t>
        </is>
      </c>
      <c r="FK389" s="56" t="inlineStr">
        <is>
          <t>Talent Mapping · iFile collated</t>
        </is>
      </c>
      <c r="FL389" s="56" t="n">
        <v>20</v>
      </c>
      <c r="FM389" s="32" t="inlineStr">
        <is>
          <t>Full survey answers not in the files received · How We Grow export needed · HR</t>
        </is>
      </c>
      <c r="FN389" s="56" t="inlineStr">
        <is>
          <t>—</t>
        </is>
      </c>
      <c r="FO389" s="56" t="inlineStr">
        <is>
          <t>—</t>
        </is>
      </c>
      <c r="FP389" s="56" t="inlineStr">
        <is>
          <t>—</t>
        </is>
      </c>
      <c r="FQ389" s="56" t="inlineStr">
        <is>
          <t>—</t>
        </is>
      </c>
      <c r="FR389" s="56" t="inlineStr">
        <is>
          <t>Complexity: Evidence reads like B1: Leads large client programme; technology and volume named as challenges; almost no detail → moved down 0.5
Autonomy: Evidence reads like B1: No concrete decisions named; says only 'project goal achievements' → moved down 0.5
Accountability: Evidence reads like B2: Project goal achievement and a positive project P&amp;L → matches the start
Leadership: Evidence reads like B1: Leads projects; 4 direct reports; manager note cites developing the BA team → moved down 0.5
Business Impact: Moved +0.5: the survey / manager mapping marks it business-critical.</t>
        </is>
      </c>
      <c r="FS389" s="56" t="inlineStr">
        <is>
          <t>Common themes in role-holders' answers: project · management · support · business · stakeholder · client
Common themes in role-holders' answers: client · management · project · delivery · documentation
Common themes in role-holders' answers: project
Common themes in role-holders' answers: project · delivery · accountable · deliverables · timelines · scope quality
Common themes in role-holders' answers: project · issue
If the work is missed · role-holders' themes: client · rework · deliverables · delays.
Measured on · manager-set KRA themes: project · management · level · support · scope · client.</t>
        </is>
      </c>
      <c r="FT389" s="56" t="inlineStr">
        <is>
          <t>Self-identified: Strategy &amp; business acumen
For the next role: Strategy &amp; business acumen</t>
        </is>
      </c>
      <c r="FU389" s="32" t="inlineStr">
        <is>
          <t>Full survey answers not in the files received · How We Grow export needed · HR</t>
        </is>
      </c>
    </row>
    <row r="390" ht="90" customHeight="1">
      <c r="A390" s="51" t="inlineStr">
        <is>
          <t>◂ Back</t>
        </is>
      </c>
      <c r="B390" s="29" t="inlineStr">
        <is>
          <t>Mapped</t>
        </is>
      </c>
      <c r="C390" s="28" t="inlineStr">
        <is>
          <t>Consume</t>
        </is>
      </c>
      <c r="D390" s="29" t="inlineStr">
        <is>
          <t>IRIS1952</t>
        </is>
      </c>
      <c r="E390" s="29" t="inlineStr">
        <is>
          <t>Zakiruddin Shaikh</t>
        </is>
      </c>
      <c r="F390" s="29" t="inlineStr">
        <is>
          <t>Technology</t>
        </is>
      </c>
      <c r="G390" s="29" t="inlineStr">
        <is>
          <t>Project Manager</t>
        </is>
      </c>
      <c r="H390" s="29" t="inlineStr">
        <is>
          <t>Project Manager</t>
        </is>
      </c>
      <c r="I390" s="29" t="inlineStr">
        <is>
          <t>L5 – Manager</t>
        </is>
      </c>
      <c r="J390" s="29" t="inlineStr">
        <is>
          <t>B2</t>
        </is>
      </c>
      <c r="K390" s="29" t="inlineStr">
        <is>
          <t>• Same level</t>
        </is>
      </c>
      <c r="L390" s="29" t="inlineStr">
        <is>
          <t>Project &amp; Program Management</t>
        </is>
      </c>
      <c r="M390" s="29" t="inlineStr">
        <is>
          <t>Project &amp; Program Delivery</t>
        </is>
      </c>
      <c r="N390" s="29" t="n"/>
      <c r="O390" s="29" t="n">
        <v>20</v>
      </c>
      <c r="P390" s="28" t="inlineStr">
        <is>
          <t>P4 / M3</t>
        </is>
      </c>
      <c r="Q390" s="29" t="inlineStr">
        <is>
          <t>Senior / Manager</t>
        </is>
      </c>
      <c r="R390" s="29" t="inlineStr">
        <is>
          <t>4–5</t>
        </is>
      </c>
      <c r="S390" s="29" t="inlineStr">
        <is>
          <t>6–9 yrs</t>
        </is>
      </c>
      <c r="T390" s="29" t="inlineStr">
        <is>
          <t>7–10 · 6–11</t>
        </is>
      </c>
      <c r="U390" s="29" t="inlineStr">
        <is>
          <t>Manager</t>
        </is>
      </c>
      <c r="V390" s="29" t="inlineStr">
        <is>
          <t>IRIS Vs Competitor Benchmark — PMI pathway + SaaS delivery ladder: Senior PM</t>
        </is>
      </c>
      <c r="W390" s="29" t="inlineStr">
        <is>
          <t>PMI PMBOK and Talent Triangle; CAPM · entry → PMP → PgMP; Scrum / SAFe</t>
        </is>
      </c>
      <c r="X390" s="29" t="inlineStr">
        <is>
          <t>Core 3 · Future 3 · Functional 4 · Leadership 3</t>
        </is>
      </c>
      <c r="Y390" s="52" t="n">
        <v>198</v>
      </c>
      <c r="Z390" s="53" t="inlineStr">
        <is>
          <t>IRIS1952</t>
        </is>
      </c>
      <c r="AA390" s="53" t="inlineStr">
        <is>
          <t>Employee</t>
        </is>
      </c>
      <c r="AB390" s="53" t="inlineStr">
        <is>
          <t>Active</t>
        </is>
      </c>
      <c r="AC390" s="53" t="inlineStr">
        <is>
          <t>Zakiruddin Shaikh</t>
        </is>
      </c>
      <c r="AD390" s="54" t="n">
        <v>44452</v>
      </c>
      <c r="AE390" s="53" t="inlineStr">
        <is>
          <t>Project Manager</t>
        </is>
      </c>
      <c r="AF390" s="53" t="inlineStr">
        <is>
          <t>MMS</t>
        </is>
      </c>
      <c r="AG390" s="53" t="inlineStr">
        <is>
          <t>Pradip Dey</t>
        </is>
      </c>
      <c r="AH390" s="53" t="inlineStr">
        <is>
          <t>N-3</t>
        </is>
      </c>
      <c r="AI390" s="53" t="inlineStr">
        <is>
          <t>Manager</t>
        </is>
      </c>
      <c r="AJ390" s="53" t="inlineStr">
        <is>
          <t>6 years, 1 months, 0 days</t>
        </is>
      </c>
      <c r="AK390" s="53" t="inlineStr">
        <is>
          <t>4 years, 11 months, 12 days</t>
        </is>
      </c>
      <c r="AL390" s="53" t="inlineStr">
        <is>
          <t>Consume</t>
        </is>
      </c>
      <c r="AM390" s="53" t="inlineStr">
        <is>
          <t>Consume</t>
        </is>
      </c>
      <c r="AN390" s="53" t="inlineStr">
        <is>
          <t>Technology</t>
        </is>
      </c>
      <c r="AO390" s="53" t="inlineStr">
        <is>
          <t>Project Management</t>
        </is>
      </c>
      <c r="AP390" s="53" t="inlineStr">
        <is>
          <t>No</t>
        </is>
      </c>
      <c r="AQ390" s="53" t="inlineStr">
        <is>
          <t>Product/Project</t>
        </is>
      </c>
      <c r="AR390" s="53" t="inlineStr">
        <is>
          <t>Project Management</t>
        </is>
      </c>
      <c r="AS390" s="53" t="inlineStr">
        <is>
          <t>Technical · BA, PM and QA</t>
        </is>
      </c>
      <c r="AT390" s="53" t="n">
        <v>20</v>
      </c>
      <c r="AU390" s="53" t="inlineStr">
        <is>
          <t>Covered</t>
        </is>
      </c>
      <c r="AV390" s="53" t="n"/>
      <c r="AW390" s="53" t="n"/>
      <c r="AX390" s="53" t="n"/>
      <c r="AY390" s="53" t="n"/>
      <c r="AZ390" s="53" t="n"/>
      <c r="BA390" s="53" t="n"/>
      <c r="BB390" s="53" t="n"/>
      <c r="BC390" s="53" t="n"/>
      <c r="BD390" s="53" t="n"/>
      <c r="BE390" s="53" t="n"/>
      <c r="BF390" s="53" t="n"/>
      <c r="BG390" s="53" t="n"/>
      <c r="BH390" s="53" t="n"/>
      <c r="BI390" s="53" t="n"/>
      <c r="BJ390" s="53" t="n"/>
      <c r="BK390" s="53" t="n"/>
      <c r="BL390" s="53" t="n"/>
      <c r="BM390" s="53" t="n"/>
      <c r="BN390" s="53" t="n"/>
      <c r="BO390" s="53" t="n"/>
      <c r="BP390" s="53" t="n"/>
      <c r="BQ390" s="53" t="n"/>
      <c r="BR390" s="53" t="n"/>
      <c r="BS390" s="53" t="n"/>
      <c r="BT390" s="53" t="n"/>
      <c r="BU390" s="53" t="n"/>
      <c r="BV390" s="53" t="n"/>
      <c r="BW390" s="53" t="n"/>
      <c r="BX390" s="53" t="n"/>
      <c r="BY390" s="53" t="n"/>
      <c r="BZ390" s="53" t="n"/>
      <c r="CA390" s="53" t="n"/>
      <c r="CB390" s="53" t="n"/>
      <c r="CC390" s="53" t="n"/>
      <c r="CD390" s="53" t="n"/>
      <c r="CE390" s="53" t="n"/>
      <c r="CF390" s="53" t="n"/>
      <c r="CG390" s="53" t="n"/>
      <c r="CH390" s="53" t="n"/>
      <c r="CI390" s="53" t="n"/>
      <c r="CJ390" s="53" t="n"/>
      <c r="CK390" s="53" t="n"/>
      <c r="CL390" s="53" t="n"/>
      <c r="CM390" s="53" t="n"/>
      <c r="CN390" s="53" t="n"/>
      <c r="CO390" s="53" t="n"/>
      <c r="CP390" s="53" t="n"/>
      <c r="CQ390" s="53" t="n"/>
      <c r="CR390" s="53" t="n"/>
      <c r="CS390" s="53" t="n"/>
      <c r="CT390" s="53" t="n"/>
      <c r="CU390" s="53" t="n"/>
      <c r="CV390" s="53" t="n"/>
      <c r="CW390" s="53" t="n"/>
      <c r="CX390" s="53" t="n"/>
      <c r="CY390" s="53" t="n"/>
      <c r="CZ390" s="53" t="n"/>
      <c r="DA390" s="53" t="n"/>
      <c r="DB390" s="53" t="n"/>
      <c r="DC390" s="53" t="n"/>
      <c r="DD390" s="53" t="inlineStr">
        <is>
          <t>IRIS1952</t>
        </is>
      </c>
      <c r="DE390" s="53" t="inlineStr">
        <is>
          <t>Employee</t>
        </is>
      </c>
      <c r="DF390" s="53" t="inlineStr">
        <is>
          <t>Active</t>
        </is>
      </c>
      <c r="DG390" s="53" t="inlineStr">
        <is>
          <t>Zakiruddin Shaikh</t>
        </is>
      </c>
      <c r="DH390" s="54" t="n">
        <v>44452</v>
      </c>
      <c r="DI390" s="53" t="inlineStr">
        <is>
          <t>Project Manager</t>
        </is>
      </c>
      <c r="DJ390" s="53" t="inlineStr">
        <is>
          <t>Project &amp; Program Management</t>
        </is>
      </c>
      <c r="DK390" s="53" t="inlineStr">
        <is>
          <t>Project Management</t>
        </is>
      </c>
      <c r="DL390" s="53" t="inlineStr">
        <is>
          <t>Project Manager</t>
        </is>
      </c>
      <c r="DM390" s="53" t="inlineStr">
        <is>
          <t>L5 – Manager</t>
        </is>
      </c>
      <c r="DN390" s="53" t="inlineStr">
        <is>
          <t>MMS</t>
        </is>
      </c>
      <c r="DO390" s="53" t="inlineStr">
        <is>
          <t>Izharuddin Shaikh</t>
        </is>
      </c>
      <c r="DP390" s="53" t="inlineStr">
        <is>
          <t>N-3</t>
        </is>
      </c>
      <c r="DQ390" s="53" t="inlineStr">
        <is>
          <t>Manager</t>
        </is>
      </c>
      <c r="DR390" s="53" t="inlineStr">
        <is>
          <t>6 years, 1 months, 0 days</t>
        </is>
      </c>
      <c r="DS390" s="53" t="inlineStr">
        <is>
          <t>4 years, 9 months, 7 days</t>
        </is>
      </c>
      <c r="DT390" s="53" t="inlineStr">
        <is>
          <t>10 years, 10 months, 7 days</t>
        </is>
      </c>
      <c r="DU390" s="53" t="n">
        <v>4.76917808219178</v>
      </c>
      <c r="DV390" s="53" t="inlineStr">
        <is>
          <t>Consume</t>
        </is>
      </c>
      <c r="DW390" s="53" t="inlineStr">
        <is>
          <t>Consume</t>
        </is>
      </c>
      <c r="DX390" s="53" t="inlineStr">
        <is>
          <t>Technology</t>
        </is>
      </c>
      <c r="DY390" s="53" t="inlineStr">
        <is>
          <t>Project Management</t>
        </is>
      </c>
      <c r="DZ390" s="53" t="inlineStr">
        <is>
          <t>No</t>
        </is>
      </c>
      <c r="EA390" s="53" t="inlineStr">
        <is>
          <t>Product/Project</t>
        </is>
      </c>
      <c r="EB390" s="53" t="inlineStr">
        <is>
          <t>Project Management</t>
        </is>
      </c>
      <c r="EC390" s="53" t="inlineStr">
        <is>
          <t>Technical · BA, PM and QA</t>
        </is>
      </c>
      <c r="ED390" s="53" t="inlineStr">
        <is>
          <t>Client Side</t>
        </is>
      </c>
      <c r="EE390" s="53" t="n"/>
      <c r="EF390" s="53" t="inlineStr">
        <is>
          <t>1. Deliver &gt;=90% of project milestones on schedule and within agreed scope
2. Keep project budget / effort variance within +/-10% of plan
3. Maintain risk &amp; issue log with 100% items tracked to closure
4. Achieve client/stakeholder satisfaction · CSAT of &gt;=4 / 5 on delivered projects
5. Publish accurate weekly status reports with 100% on-time cadence
6. Keep resource utilisation on managed projects within target band · 75-85%
7. Ensure 100% of project closures have documented lessons learned</t>
        </is>
      </c>
      <c r="EG390" s="53" t="inlineStr">
        <is>
          <t>Q1: Deliver &gt;=90% of project milestones on schedule and within agreed scope
The RBI Portal is a client-site project that provides live production support services to the Reserve Bank of India.
As the Project Manager, Zakiruddin Shaikh has successfully led the project by ensuring the timely delivery of project milestones within the agreed scope, while effectively managing client expectations, project risks, and team coordination. During this quarter, he successfully delivered over 90–95% of the planned project commitments in line with the agreed schedules.
Q1: Keep project budget / effort variance within +/-10% of plan
Yes
Q1: Maintain risk &amp; issue log with 100% items tracked to closure
Yes
Q1: Achieve client/stakeholder satisfaction · CSAT of &gt;=4 / 5 on delivered projects
Zakiruddin has consistently achieved a high level of client satisfaction by delivering projects and support services that meet or exceed client expectations. He has received multiple appreciations from the client for his responsiveness, ownership, and effective project management. He maintained a Client Satisfaction · CSAT score in the range of 4.5–4.7</t>
        </is>
      </c>
      <c r="EH390" s="53" t="n">
        <v>5</v>
      </c>
      <c r="EI390" s="53" t="n"/>
      <c r="EJ390" s="53" t="inlineStr">
        <is>
          <t>Project Manager</t>
        </is>
      </c>
      <c r="EK390" s="53" t="n"/>
      <c r="EL390" s="53" t="n">
        <v>5</v>
      </c>
      <c r="EM390" s="53" t="inlineStr">
        <is>
          <t>High</t>
        </is>
      </c>
      <c r="EN390" s="53" t="inlineStr">
        <is>
          <t>Future Leader</t>
        </is>
      </c>
      <c r="EO390" s="53" t="inlineStr">
        <is>
          <t>Yes</t>
        </is>
      </c>
      <c r="EP390" s="53" t="inlineStr">
        <is>
          <t>Yes</t>
        </is>
      </c>
      <c r="EQ390" s="53" t="inlineStr">
        <is>
          <t>Yes</t>
        </is>
      </c>
      <c r="ER390" s="53" t="n"/>
      <c r="ES390" s="53" t="inlineStr">
        <is>
          <t>Agile/Scrum &amp; PMP fundamentals; risk &amp; stakeholder management; estimation; reporting/governance tools | People management: goal-setting &amp; feedback, 1:1 coaching, performance conversations</t>
        </is>
      </c>
      <c r="ET390" s="53" t="inlineStr">
        <is>
          <t>Leadership development: strategic thinking, cross-functional influence, financial/business acumen, succession &amp; talent development, change management, executive communication</t>
        </is>
      </c>
      <c r="EU390" s="53" t="n"/>
      <c r="EV390" s="53" t="n"/>
      <c r="EW390" s="52" t="n"/>
      <c r="EX390" s="53" t="n"/>
      <c r="EY390" s="53" t="n"/>
      <c r="EZ390" s="53" t="n"/>
      <c r="FA390" s="53" t="n"/>
      <c r="FB390" s="53" t="n"/>
      <c r="FC390" s="53" t="inlineStr">
        <is>
          <t>Annual KRAs · objective Measurable Minimum 5 - set by Manager</t>
        </is>
      </c>
      <c r="FD390" s="53" t="n"/>
      <c r="FE390" s="57" t="inlineStr">
        <is>
          <t>1. Deliver &gt;=90% of project milestones on schedule and within agreed scope
2. Keep project budget / effort variance within +/-10% of plan
3. Maintain risk &amp; issue log with 100% items tracked to closure
4. Achieve client/stakeholder satisfaction · CSAT of &gt;=4 / 5 on delivered projects
5. Publish accurate weekly status reports with 100% on-time cadence
6. Keep resource utilisation on managed projects within target band · 75-85%
7. Ensure 100% of project closures have documented lessons learned</t>
        </is>
      </c>
      <c r="FF390" s="56" t="inlineStr">
        <is>
          <t>Q1: Deliver &gt;=90% of project milestones on schedule and within agreed scope
The RBI Portal is a client-site project that provides live production support services to the Reserve Bank of India.
As the Project Manager, Zakiruddin Shaikh has successfully led the project by ensuring the timely delivery of project milestones within the agreed scope, while effectively managing client expectations, project risks, and team coordination. During this quarter, he successfully delivered over 90–95% of the planned project commitments in line with the agreed schedules.
Q1: Keep project budget / effort variance within +/-10% of plan
Yes
Q1: Maintain risk &amp; issue log with 100% items tracked to closure
Yes
Q1: Achieve client/stakeholder satisfaction · CSAT of &gt;=4 / 5 on delivered projects
Zakiruddin has consistently achieved a high level of client satisfaction by delivering projects and support services that meet or exceed client expectations. He has received multiple appreciations from the client for his responsiveness, ownership, and effective project management. He maintained a Client Satisfaction · CSAT score in the range of 4.5–4.7</t>
        </is>
      </c>
      <c r="FG390" s="56" t="n"/>
      <c r="FH390" s="56" t="inlineStr">
        <is>
          <t>5</t>
        </is>
      </c>
      <c r="FI390" s="56" t="n"/>
      <c r="FJ390" s="56" t="inlineStr">
        <is>
          <t>Received · manager annual, quarterly</t>
        </is>
      </c>
      <c r="FK390" s="56" t="inlineStr">
        <is>
          <t>Talent Mapping · iFile collated</t>
        </is>
      </c>
      <c r="FL390" s="56" t="n">
        <v>20</v>
      </c>
      <c r="FM390" s="32" t="inlineStr">
        <is>
          <t>Full survey answers not in the files received · How We Grow export needed · HR</t>
        </is>
      </c>
      <c r="FN390" s="56" t="inlineStr">
        <is>
          <t>—</t>
        </is>
      </c>
      <c r="FO390" s="56" t="inlineStr">
        <is>
          <t>—</t>
        </is>
      </c>
      <c r="FP390" s="56" t="inlineStr">
        <is>
          <t>—</t>
        </is>
      </c>
      <c r="FQ390" s="56" t="inlineStr">
        <is>
          <t>—</t>
        </is>
      </c>
      <c r="FR390" s="56" t="inlineStr">
        <is>
          <t>Complexity: Evidence reads like B1: RBI Portal: multiple portals, production support, compliance, security and commercial activities → moved down 0.5
Autonomy: Evidence reads like B2: Prioritises tasks, allocates team resources, makes daily delivery and operational decisions → matches the start
Accountability: Evidence reads like B2: End-to-end project delivery: timelines, scope, client commitments, production support, commercials → moved up 0.5
Leadership: Evidence reads like B1: Manages team and resources; 4 direct reports; cross-functional coordination → matches the start
Business Impact: Moved +0.5: the survey / manager mapping marks it business-critical.</t>
        </is>
      </c>
      <c r="FS390" s="56" t="inlineStr">
        <is>
          <t>Common themes in role-holders' answers: project · management · support · business · stakeholder · client
Common themes in role-holders' answers: client · management · project · delivery · documentation
Common themes in role-holders' answers: project
Common themes in role-holders' answers: project · delivery · accountable · deliverables · timelines · scope quality
Common themes in role-holders' answers: project · issue
If the work is missed · role-holders' themes: client · rework · deliverables · delays.
Measured on · manager-set KRA themes: project · management · level · support · scope · client.</t>
        </is>
      </c>
      <c r="FT390" s="56" t="inlineStr">
        <is>
          <t>Self-identified: AI / automation · Project / programme management · Product &amp; tool knowledge
For the next role: AI / automation · Project / programme management · Product &amp; tool knowledge</t>
        </is>
      </c>
      <c r="FU390" s="32" t="inlineStr">
        <is>
          <t>Full survey answers not in the files received · How We Grow export needed · HR</t>
        </is>
      </c>
    </row>
    <row r="391" ht="90" customHeight="1">
      <c r="A391" s="51" t="inlineStr">
        <is>
          <t>◂ Back</t>
        </is>
      </c>
      <c r="B391" s="29" t="inlineStr">
        <is>
          <t>Mapped</t>
        </is>
      </c>
      <c r="C391" s="28" t="inlineStr">
        <is>
          <t>Consume</t>
        </is>
      </c>
      <c r="D391" s="29" t="inlineStr">
        <is>
          <t>IRIS0724</t>
        </is>
      </c>
      <c r="E391" s="29" t="inlineStr">
        <is>
          <t>Nishant Kohakade</t>
        </is>
      </c>
      <c r="F391" s="29" t="inlineStr">
        <is>
          <t>Technology</t>
        </is>
      </c>
      <c r="G391" s="29" t="inlineStr">
        <is>
          <t>Lead Software Engineer</t>
        </is>
      </c>
      <c r="H391" s="29" t="inlineStr">
        <is>
          <t>Lead Software Engineer</t>
        </is>
      </c>
      <c r="I391" s="29" t="inlineStr">
        <is>
          <t>L5 – Lead · IC</t>
        </is>
      </c>
      <c r="J391" s="29" t="inlineStr">
        <is>
          <t>B3</t>
        </is>
      </c>
      <c r="K391" s="29" t="inlineStr">
        <is>
          <t>• Same level</t>
        </is>
      </c>
      <c r="L391" s="29" t="inlineStr">
        <is>
          <t>Engineering &amp; Development</t>
        </is>
      </c>
      <c r="M391" s="29" t="inlineStr">
        <is>
          <t>Application Maintenance &amp; Production Support</t>
        </is>
      </c>
      <c r="N391" s="29" t="inlineStr">
        <is>
          <t>• Confirm the reporting line — Manager</t>
        </is>
      </c>
      <c r="O391" s="29" t="n">
        <v>19</v>
      </c>
      <c r="P391" s="28" t="inlineStr">
        <is>
          <t>P5 / M4</t>
        </is>
      </c>
      <c r="Q391" s="29" t="inlineStr">
        <is>
          <t>Expert / Senior Manager</t>
        </is>
      </c>
      <c r="R391" s="29" t="inlineStr">
        <is>
          <t>5 Ensure, advise</t>
        </is>
      </c>
      <c r="S391" s="29" t="inlineStr">
        <is>
          <t>8–12 yrs</t>
        </is>
      </c>
      <c r="T391" s="29" t="inlineStr">
        <is>
          <t>9–13 · 9–14</t>
        </is>
      </c>
      <c r="U391" s="29" t="inlineStr">
        <is>
          <t>Principal Engineer</t>
        </is>
      </c>
      <c r="V391" s="29" t="inlineStr">
        <is>
          <t>Workiva: Staff SE · Broadridge India: Senior Lead SE · Nasdaq / AxiomSL: Lead SE · Salesforce: LMTS · Atlassian: P50 Senior · Freshworks: Staff SE</t>
        </is>
      </c>
      <c r="W391" s="29" t="inlineStr">
        <is>
          <t>SFIA 9 · software development, programming; OWASP secure coding; cloud vendor certifications</t>
        </is>
      </c>
      <c r="X391" s="29" t="inlineStr">
        <is>
          <t>Core 4 · Future 3 · Functional 4 · Leadership 3</t>
        </is>
      </c>
      <c r="Y391" s="52" t="n">
        <v>50</v>
      </c>
      <c r="Z391" s="53" t="inlineStr">
        <is>
          <t>IRIS0724</t>
        </is>
      </c>
      <c r="AA391" s="53" t="inlineStr">
        <is>
          <t>Employee</t>
        </is>
      </c>
      <c r="AB391" s="53" t="inlineStr">
        <is>
          <t>Active</t>
        </is>
      </c>
      <c r="AC391" s="53" t="inlineStr">
        <is>
          <t>Nishant Kohakade</t>
        </is>
      </c>
      <c r="AD391" s="54" t="n">
        <v>40252</v>
      </c>
      <c r="AE391" s="53" t="inlineStr">
        <is>
          <t>Lead Software Engineer</t>
        </is>
      </c>
      <c r="AF391" s="53" t="inlineStr">
        <is>
          <t>B.E</t>
        </is>
      </c>
      <c r="AG391" s="53" t="inlineStr">
        <is>
          <t>Zakiruddin Shaikh</t>
        </is>
      </c>
      <c r="AH391" s="53" t="inlineStr">
        <is>
          <t>N-4</t>
        </is>
      </c>
      <c r="AI391" s="53" t="inlineStr">
        <is>
          <t>Individual Contributor</t>
        </is>
      </c>
      <c r="AJ391" s="53" t="inlineStr">
        <is>
          <t>3 years, 0 months, 0 days</t>
        </is>
      </c>
      <c r="AK391" s="53" t="inlineStr">
        <is>
          <t>16 years, 5 months, 10 days</t>
        </is>
      </c>
      <c r="AL391" s="53" t="inlineStr">
        <is>
          <t>Consume</t>
        </is>
      </c>
      <c r="AM391" s="53" t="inlineStr">
        <is>
          <t>Consume</t>
        </is>
      </c>
      <c r="AN391" s="53" t="inlineStr">
        <is>
          <t>Technology</t>
        </is>
      </c>
      <c r="AO391" s="53" t="inlineStr">
        <is>
          <t>Development</t>
        </is>
      </c>
      <c r="AP391" s="53" t="inlineStr">
        <is>
          <t>Yes</t>
        </is>
      </c>
      <c r="AQ391" s="53" t="inlineStr">
        <is>
          <t>Product/Project</t>
        </is>
      </c>
      <c r="AR391" s="53" t="inlineStr">
        <is>
          <t>.NET MVC</t>
        </is>
      </c>
      <c r="AS391" s="53" t="inlineStr">
        <is>
          <t>Technical - Developer</t>
        </is>
      </c>
      <c r="AT391" s="53" t="n">
        <v>20</v>
      </c>
      <c r="AU391" s="53" t="inlineStr">
        <is>
          <t>Covered</t>
        </is>
      </c>
      <c r="AV391" s="53" t="n"/>
      <c r="AW391" s="53" t="n"/>
      <c r="AX391" s="53" t="n"/>
      <c r="AY391" s="53" t="n"/>
      <c r="AZ391" s="53" t="n"/>
      <c r="BA391" s="53" t="n"/>
      <c r="BB391" s="53" t="n"/>
      <c r="BC391" s="53" t="n"/>
      <c r="BD391" s="53" t="n"/>
      <c r="BE391" s="53" t="n"/>
      <c r="BF391" s="53" t="n"/>
      <c r="BG391" s="53" t="n"/>
      <c r="BH391" s="53" t="n"/>
      <c r="BI391" s="53" t="n"/>
      <c r="BJ391" s="53" t="n"/>
      <c r="BK391" s="53" t="n"/>
      <c r="BL391" s="53" t="n"/>
      <c r="BM391" s="53" t="n"/>
      <c r="BN391" s="53" t="n"/>
      <c r="BO391" s="53" t="n"/>
      <c r="BP391" s="53" t="n"/>
      <c r="BQ391" s="53" t="n"/>
      <c r="BR391" s="53" t="n"/>
      <c r="BS391" s="53" t="n"/>
      <c r="BT391" s="53" t="n"/>
      <c r="BU391" s="53" t="n"/>
      <c r="BV391" s="53" t="n"/>
      <c r="BW391" s="53" t="n"/>
      <c r="BX391" s="53" t="n"/>
      <c r="BY391" s="53" t="n"/>
      <c r="BZ391" s="53" t="n"/>
      <c r="CA391" s="53" t="n"/>
      <c r="CB391" s="53" t="n"/>
      <c r="CC391" s="53" t="n"/>
      <c r="CD391" s="53" t="n"/>
      <c r="CE391" s="53" t="n"/>
      <c r="CF391" s="53" t="n"/>
      <c r="CG391" s="53" t="n"/>
      <c r="CH391" s="53" t="n"/>
      <c r="CI391" s="53" t="n"/>
      <c r="CJ391" s="53" t="n"/>
      <c r="CK391" s="53" t="n"/>
      <c r="CL391" s="53" t="n"/>
      <c r="CM391" s="53" t="n"/>
      <c r="CN391" s="53" t="n"/>
      <c r="CO391" s="53" t="n"/>
      <c r="CP391" s="53" t="n"/>
      <c r="CQ391" s="53" t="n"/>
      <c r="CR391" s="53" t="n"/>
      <c r="CS391" s="53" t="n"/>
      <c r="CT391" s="53" t="n"/>
      <c r="CU391" s="53" t="n"/>
      <c r="CV391" s="53" t="n"/>
      <c r="CW391" s="53" t="n"/>
      <c r="CX391" s="53" t="n"/>
      <c r="CY391" s="53" t="n"/>
      <c r="CZ391" s="53" t="n"/>
      <c r="DA391" s="53" t="n"/>
      <c r="DB391" s="53" t="n"/>
      <c r="DC391" s="53" t="n"/>
      <c r="DD391" s="53" t="inlineStr">
        <is>
          <t>IRIS0724</t>
        </is>
      </c>
      <c r="DE391" s="53" t="inlineStr">
        <is>
          <t>Employee</t>
        </is>
      </c>
      <c r="DF391" s="53" t="inlineStr">
        <is>
          <t>Active</t>
        </is>
      </c>
      <c r="DG391" s="53" t="inlineStr">
        <is>
          <t>Nishant Kohakade</t>
        </is>
      </c>
      <c r="DH391" s="54" t="n">
        <v>40252</v>
      </c>
      <c r="DI391" s="53" t="inlineStr">
        <is>
          <t>Lead Software Engineer</t>
        </is>
      </c>
      <c r="DJ391" s="53" t="inlineStr">
        <is>
          <t>Engineering &amp; Development</t>
        </is>
      </c>
      <c r="DK391" s="53" t="inlineStr">
        <is>
          <t>Backend Engineering ·.NET</t>
        </is>
      </c>
      <c r="DL391" s="53" t="inlineStr">
        <is>
          <t>Lead Software Engineer</t>
        </is>
      </c>
      <c r="DM391" s="53" t="inlineStr">
        <is>
          <t>L5 – Lead · IC</t>
        </is>
      </c>
      <c r="DN391" s="53" t="inlineStr">
        <is>
          <t>B.E</t>
        </is>
      </c>
      <c r="DO391" s="53" t="inlineStr">
        <is>
          <t>Zakiruddin Shaikh</t>
        </is>
      </c>
      <c r="DP391" s="53" t="inlineStr">
        <is>
          <t>N-4</t>
        </is>
      </c>
      <c r="DQ391" s="53" t="inlineStr">
        <is>
          <t>Individual Contributor</t>
        </is>
      </c>
      <c r="DR391" s="53" t="inlineStr">
        <is>
          <t>3 years, 0 months, 0 days</t>
        </is>
      </c>
      <c r="DS391" s="53" t="inlineStr">
        <is>
          <t>16 years, 3 months, 5 days</t>
        </is>
      </c>
      <c r="DT391" s="53" t="inlineStr">
        <is>
          <t>19 years, 3 months, 5 days</t>
        </is>
      </c>
      <c r="DU391" s="53" t="n"/>
      <c r="DV391" s="53" t="inlineStr">
        <is>
          <t>Consume</t>
        </is>
      </c>
      <c r="DW391" s="53" t="inlineStr">
        <is>
          <t>Consume</t>
        </is>
      </c>
      <c r="DX391" s="53" t="inlineStr">
        <is>
          <t>Technology</t>
        </is>
      </c>
      <c r="DY391" s="53" t="inlineStr">
        <is>
          <t>Development</t>
        </is>
      </c>
      <c r="DZ391" s="53" t="inlineStr">
        <is>
          <t>Yes</t>
        </is>
      </c>
      <c r="EA391" s="53" t="inlineStr">
        <is>
          <t>Product/Project</t>
        </is>
      </c>
      <c r="EB391" s="53" t="inlineStr">
        <is>
          <t>.NET MVC</t>
        </is>
      </c>
      <c r="EC391" s="53" t="inlineStr">
        <is>
          <t>Technical - Developer</t>
        </is>
      </c>
      <c r="ED391" s="53" t="inlineStr">
        <is>
          <t>Client Side</t>
        </is>
      </c>
      <c r="EE391" s="53" t="n"/>
      <c r="EF391"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391" s="53" t="inlineStr">
        <is>
          <t>Q1: Deliver committed sprint stories with &gt;=90% sprint commitment adherence this quarter
The RBI Portal is a client-site project that provides live production support services to the Reserve Bank of India.
As the Technical Lead, Nishant Kokakade has consistently demonstrated strong technical leadership and ownership in delivering development tasks and managing production support responsibilities within the committed timelines. During this quarter, he successfully achieved over 95% of his sprint commitments.
Q1: Maintain code quality: defect leakage to QA/UAT &lt;=5% of delivered stories
Considering the critical nature of the RBI Portal, which provides live production support services, there is virtually no margin for error. Nishant consistently maintains a very high standard of code quality, with minimal defects in his deliverables. His strong technical expertise, attention to detail, have played a key role in ensuring the stability, reliability, and performance of the application.
Q1: Resolve assigned production/critical bugs within agreed SLA · &gt;=95% within SLA
Nishant consistently resolves assigned critical defects within the agreed Service Level Agreements · SLAs, achieving a compliance rate of 95% or higher.
Q1: Improve unit-test / automated coverage on owned modules by &gt;=15 percentage points
Yes.</t>
        </is>
      </c>
      <c r="EH391" s="53" t="n"/>
      <c r="EI391" s="53" t="n"/>
      <c r="EJ391" s="53" t="inlineStr">
        <is>
          <t>Lead Software Engineer</t>
        </is>
      </c>
      <c r="EK391" s="53" t="inlineStr">
        <is>
          <t>Yes, Potential to work as solution architect</t>
        </is>
      </c>
      <c r="EL391" s="53" t="n">
        <v>5</v>
      </c>
      <c r="EM391" s="53" t="inlineStr">
        <is>
          <t>High</t>
        </is>
      </c>
      <c r="EN391" s="53" t="inlineStr">
        <is>
          <t>Future Leader</t>
        </is>
      </c>
      <c r="EO391" s="53" t="inlineStr">
        <is>
          <t>Yes</t>
        </is>
      </c>
      <c r="EP391" s="53" t="inlineStr">
        <is>
          <t>Yes</t>
        </is>
      </c>
      <c r="EQ391" s="53" t="inlineStr">
        <is>
          <t>Yes</t>
        </is>
      </c>
      <c r="ER391" s="53" t="n"/>
      <c r="ES391" s="53" t="inlineStr">
        <is>
          <t>Advanced .NET MVC; secure coding &amp; code-quality practices; unit/automated testing; system design fundamentals</t>
        </is>
      </c>
      <c r="ET391" s="53" t="inlineStr">
        <is>
          <t>Transition to leadership: people management &amp; delegation, mentoring/coaching, project ownership &amp; stakeholder management, prioritisation under ambiguity, presentation &amp; influence skills</t>
        </is>
      </c>
      <c r="EU391" s="53" t="n"/>
      <c r="EV391" s="53" t="n"/>
      <c r="EW391" s="52" t="n"/>
      <c r="EX391" s="53" t="n"/>
      <c r="EY391" s="53" t="n"/>
      <c r="EZ391" s="53" t="n"/>
      <c r="FA391" s="53" t="n"/>
      <c r="FB391" s="53" t="n"/>
      <c r="FC391" s="53" t="n"/>
      <c r="FD391" s="53" t="n"/>
      <c r="FE391"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391" s="56" t="inlineStr">
        <is>
          <t>Q1: Deliver committed sprint stories with &gt;=90% sprint commitment adherence this quarter
The RBI Portal is a client-site project that provides live production support services to the Reserve Bank of India.
As the Technical Lead, Nishant Kokakade has consistently demonstrated strong technical leadership and ownership in delivering development tasks and managing production support responsibilities within the committed timelines. During this quarter, he successfully achieved over 95% of his sprint commitments.
Q1: Maintain code quality: defect leakage to QA/UAT &lt;=5% of delivered stories
Considering the critical nature of the RBI Portal, which provides live production support services, there is virtually no margin for error. Nishant consistently maintains a very high standard of code quality, with minimal defects in his deliverables. His strong technical expertise, attention to detail, have played a key role in ensuring the stability, reliability, and performance of the application.
Q1: Resolve assigned production/critical bugs within agreed SLA · &gt;=95% within SLA
Nishant consistently resolves assigned critical defects within the agreed Service Level Agreements · SLAs, achieving a compliance rate of 95% or higher.
Q1: Improve unit-test / automated coverage on owned modules by &gt;=15 percentage points
Yes.</t>
        </is>
      </c>
      <c r="FG391" s="56" t="n"/>
      <c r="FH391" s="56" t="n"/>
      <c r="FI391" s="56" t="n"/>
      <c r="FJ391" s="56" t="inlineStr">
        <is>
          <t>Received · manager annual, quarterly</t>
        </is>
      </c>
      <c r="FK391" s="56" t="inlineStr">
        <is>
          <t>Talent Mapping · iFile collated</t>
        </is>
      </c>
      <c r="FL391" s="56" t="n">
        <v>19</v>
      </c>
      <c r="FM391" s="32" t="inlineStr">
        <is>
          <t>Full survey answers not in the files received · How We Grow export needed · HR</t>
        </is>
      </c>
      <c r="FN391" s="56" t="inlineStr">
        <is>
          <t>—</t>
        </is>
      </c>
      <c r="FO391" s="56" t="inlineStr">
        <is>
          <t>—</t>
        </is>
      </c>
      <c r="FP391" s="56" t="inlineStr">
        <is>
          <t>—</t>
        </is>
      </c>
      <c r="FQ391" s="56" t="inlineStr">
        <is>
          <t>—</t>
        </is>
      </c>
      <c r="FR391" s="56" t="inlineStr">
        <is>
          <t>Complexity: Evidence reads like B2: Runs RBI portals at client datacenter: CRs, VAPT/CSRA mitigation, STQC/IAAP, infra incidents, DR drills, billing → moved down 0.5
Autonomy: Evidence reads like B2: Makes technical calls on availability issues, commits development timelines to client, allocates tasks to developers → moved down 0.5
Accountability: Evidence reads like B2: Anything on RBI portals: unavailability, security incidents, content errors; gives RCA to client → moved down 0.5
Leadership: Evidence reads like B1: Allocates tasks and helps the on-site development team; 0 formal reports → moved down 0.5
Business Impact: Moved +0.5: the survey / manager mapping marks it business-critical.</t>
        </is>
      </c>
      <c r="FS391" s="56" t="inlineStr">
        <is>
          <t>Common themes in sub-family holders, all levels' answers: maintain · reliable · business · requirements · developer · rbi
Common themes in sub-family holders, all levels' answers: development · support · maintenance · code · bug fixing · feature
Common themes in sub-family holders, all levels' answers: maintenance · rbi
Common themes in sub-family holders, all levels' answers: accountable · personally · testing · features · am · performance
Common themes in sub-family holders, all levels' answers: code · technical · fixes · implementation · issues
If the work is missed · role-holders' themes: delays · lead · issues · poor.</t>
        </is>
      </c>
      <c r="FT391" s="56" t="inlineStr">
        <is>
          <t>Self-identified: Leadership &amp; people management · Client, sales &amp; stakeholders
For the next role: Leadership &amp; people management · Client, sales &amp; stakeholders</t>
        </is>
      </c>
      <c r="FU391" s="32" t="inlineStr">
        <is>
          <t>Full survey answers not in the files received · How We Grow export needed · HR</t>
        </is>
      </c>
    </row>
    <row r="392" ht="90" customHeight="1">
      <c r="A392" s="51" t="inlineStr">
        <is>
          <t>◂ Back</t>
        </is>
      </c>
      <c r="B392" s="29" t="inlineStr">
        <is>
          <t>Mapped</t>
        </is>
      </c>
      <c r="C392" s="28" t="inlineStr">
        <is>
          <t>Consume</t>
        </is>
      </c>
      <c r="D392" s="29" t="inlineStr">
        <is>
          <t>IRIS0538</t>
        </is>
      </c>
      <c r="E392" s="29" t="inlineStr">
        <is>
          <t>Waqar Tarique</t>
        </is>
      </c>
      <c r="F392" s="29" t="inlineStr">
        <is>
          <t>Technology</t>
        </is>
      </c>
      <c r="G392" s="29" t="inlineStr">
        <is>
          <t>Senior Software Engineer</t>
        </is>
      </c>
      <c r="H392" s="29" t="inlineStr">
        <is>
          <t>Technical Specialist</t>
        </is>
      </c>
      <c r="I392" s="29" t="inlineStr">
        <is>
          <t>L4 – Senior</t>
        </is>
      </c>
      <c r="J392" s="29" t="inlineStr">
        <is>
          <t>B1</t>
        </is>
      </c>
      <c r="K392" s="29" t="inlineStr">
        <is>
          <t>▲ Up</t>
        </is>
      </c>
      <c r="L392" s="29" t="inlineStr">
        <is>
          <t>Engineering &amp; Development</t>
        </is>
      </c>
      <c r="M392" s="29" t="inlineStr">
        <is>
          <t>Application Maintenance &amp; Production Support</t>
        </is>
      </c>
      <c r="N392" s="29" t="n"/>
      <c r="O392" s="29" t="n">
        <v>18</v>
      </c>
      <c r="P392" s="28" t="inlineStr">
        <is>
          <t>P3 / M2</t>
        </is>
      </c>
      <c r="Q392" s="29" t="inlineStr">
        <is>
          <t>Career / · Team Lead</t>
        </is>
      </c>
      <c r="R392" s="29" t="inlineStr">
        <is>
          <t>4 Enable</t>
        </is>
      </c>
      <c r="S392" s="29" t="inlineStr">
        <is>
          <t>4–7 yrs</t>
        </is>
      </c>
      <c r="T392" s="29" t="inlineStr">
        <is>
          <t>5–8 · 4–8</t>
        </is>
      </c>
      <c r="U392" s="29" t="inlineStr">
        <is>
          <t>Senior Software Engineer</t>
        </is>
      </c>
      <c r="V392" s="29" t="inlineStr">
        <is>
          <t>Workiva: SE / Senior SE · Broadridge India: Senior SE · Nasdaq / AxiomSL: Senior SE · Salesforce: MTS · Atlassian: P40 · Freshworks: Senior SE</t>
        </is>
      </c>
      <c r="W392" s="29" t="inlineStr">
        <is>
          <t>SFIA 9 · software development, programming; OWASP secure coding; cloud vendor certifications</t>
        </is>
      </c>
      <c r="X392" s="29" t="inlineStr">
        <is>
          <t>Core 3 · Future 3 · Functional 3 · Leadership 1</t>
        </is>
      </c>
      <c r="Y392" s="52" t="n">
        <v>71</v>
      </c>
      <c r="Z392" s="53" t="inlineStr">
        <is>
          <t>IRIS0538</t>
        </is>
      </c>
      <c r="AA392" s="53" t="inlineStr">
        <is>
          <t>Employee</t>
        </is>
      </c>
      <c r="AB392" s="53" t="inlineStr">
        <is>
          <t>Active</t>
        </is>
      </c>
      <c r="AC392" s="53" t="inlineStr">
        <is>
          <t>Waqar Tarique</t>
        </is>
      </c>
      <c r="AD392" s="54" t="n">
        <v>40581</v>
      </c>
      <c r="AE392" s="53" t="inlineStr">
        <is>
          <t>Senior Software Engineer</t>
        </is>
      </c>
      <c r="AF392" s="53" t="inlineStr">
        <is>
          <t>MSc</t>
        </is>
      </c>
      <c r="AG392" s="53" t="inlineStr">
        <is>
          <t>Zakiruddin Shaikh</t>
        </is>
      </c>
      <c r="AH392" s="53" t="inlineStr">
        <is>
          <t>N-4</t>
        </is>
      </c>
      <c r="AI392" s="53" t="inlineStr">
        <is>
          <t>Individual Contributor</t>
        </is>
      </c>
      <c r="AJ392" s="53" t="inlineStr">
        <is>
          <t>0 years, 9 months, 0 days</t>
        </is>
      </c>
      <c r="AK392" s="53" t="inlineStr">
        <is>
          <t>15 years, 6 months, 18 days</t>
        </is>
      </c>
      <c r="AL392" s="53" t="inlineStr">
        <is>
          <t>Consume</t>
        </is>
      </c>
      <c r="AM392" s="53" t="inlineStr">
        <is>
          <t>Consume</t>
        </is>
      </c>
      <c r="AN392" s="53" t="inlineStr">
        <is>
          <t>Technology</t>
        </is>
      </c>
      <c r="AO392" s="53" t="inlineStr">
        <is>
          <t>Development</t>
        </is>
      </c>
      <c r="AP392" s="53" t="inlineStr">
        <is>
          <t>Yes</t>
        </is>
      </c>
      <c r="AQ392" s="53" t="inlineStr">
        <is>
          <t>Product/Project</t>
        </is>
      </c>
      <c r="AR392" s="53" t="inlineStr">
        <is>
          <t>.NET MVC</t>
        </is>
      </c>
      <c r="AS392" s="53" t="inlineStr">
        <is>
          <t>Technical - Developer</t>
        </is>
      </c>
      <c r="AT392" s="53" t="n">
        <v>20</v>
      </c>
      <c r="AU392" s="53" t="inlineStr">
        <is>
          <t>Covered</t>
        </is>
      </c>
      <c r="AV392" s="53" t="n"/>
      <c r="AW392" s="53" t="n"/>
      <c r="AX392" s="53" t="n"/>
      <c r="AY392" s="53" t="n"/>
      <c r="AZ392" s="53" t="n"/>
      <c r="BA392" s="53" t="n"/>
      <c r="BB392" s="53" t="n"/>
      <c r="BC392" s="53" t="n"/>
      <c r="BD392" s="53" t="n"/>
      <c r="BE392" s="53" t="n"/>
      <c r="BF392" s="53" t="n"/>
      <c r="BG392" s="53" t="n"/>
      <c r="BH392" s="53" t="n"/>
      <c r="BI392" s="53" t="n"/>
      <c r="BJ392" s="53" t="n"/>
      <c r="BK392" s="53" t="n"/>
      <c r="BL392" s="53" t="n"/>
      <c r="BM392" s="53" t="n"/>
      <c r="BN392" s="53" t="n"/>
      <c r="BO392" s="53" t="n"/>
      <c r="BP392" s="53" t="n"/>
      <c r="BQ392" s="53" t="n"/>
      <c r="BR392" s="53" t="n"/>
      <c r="BS392" s="53" t="n"/>
      <c r="BT392" s="53" t="n"/>
      <c r="BU392" s="53" t="n"/>
      <c r="BV392" s="53" t="n"/>
      <c r="BW392" s="53" t="n"/>
      <c r="BX392" s="53" t="n"/>
      <c r="BY392" s="53" t="n"/>
      <c r="BZ392" s="53" t="n"/>
      <c r="CA392" s="53" t="n"/>
      <c r="CB392" s="53" t="n"/>
      <c r="CC392" s="53" t="n"/>
      <c r="CD392" s="53" t="n"/>
      <c r="CE392" s="53" t="n"/>
      <c r="CF392" s="53" t="n"/>
      <c r="CG392" s="53" t="n"/>
      <c r="CH392" s="53" t="n"/>
      <c r="CI392" s="53" t="n"/>
      <c r="CJ392" s="53" t="n"/>
      <c r="CK392" s="53" t="n"/>
      <c r="CL392" s="53" t="n"/>
      <c r="CM392" s="53" t="n"/>
      <c r="CN392" s="53" t="n"/>
      <c r="CO392" s="53" t="n"/>
      <c r="CP392" s="53" t="n"/>
      <c r="CQ392" s="53" t="n"/>
      <c r="CR392" s="53" t="n"/>
      <c r="CS392" s="53" t="n"/>
      <c r="CT392" s="53" t="n"/>
      <c r="CU392" s="53" t="n"/>
      <c r="CV392" s="53" t="n"/>
      <c r="CW392" s="53" t="n"/>
      <c r="CX392" s="53" t="n"/>
      <c r="CY392" s="53" t="n"/>
      <c r="CZ392" s="53" t="n"/>
      <c r="DA392" s="53" t="n"/>
      <c r="DB392" s="53" t="n"/>
      <c r="DC392" s="53" t="n"/>
      <c r="DD392" s="53" t="inlineStr">
        <is>
          <t>IRIS0538</t>
        </is>
      </c>
      <c r="DE392" s="53" t="inlineStr">
        <is>
          <t>Employee</t>
        </is>
      </c>
      <c r="DF392" s="53" t="inlineStr">
        <is>
          <t>Active</t>
        </is>
      </c>
      <c r="DG392" s="53" t="inlineStr">
        <is>
          <t>Waqar Tarique</t>
        </is>
      </c>
      <c r="DH392" s="54" t="n">
        <v>40581</v>
      </c>
      <c r="DI392" s="53" t="inlineStr">
        <is>
          <t>Senior Software Engineer</t>
        </is>
      </c>
      <c r="DJ392" s="53" t="inlineStr">
        <is>
          <t>Engineering &amp; Development</t>
        </is>
      </c>
      <c r="DK392" s="53" t="inlineStr">
        <is>
          <t>Backend Engineering ·.NET</t>
        </is>
      </c>
      <c r="DL392" s="53" t="inlineStr">
        <is>
          <t>Senior Software Engineer</t>
        </is>
      </c>
      <c r="DM392" s="53" t="inlineStr">
        <is>
          <t>L4 – Senior</t>
        </is>
      </c>
      <c r="DN392" s="53" t="inlineStr">
        <is>
          <t>MSc</t>
        </is>
      </c>
      <c r="DO392" s="53" t="inlineStr">
        <is>
          <t>Zakiruddin Shaikh</t>
        </is>
      </c>
      <c r="DP392" s="53" t="inlineStr">
        <is>
          <t>N-4</t>
        </is>
      </c>
      <c r="DQ392" s="53" t="inlineStr">
        <is>
          <t>Individual Contributor</t>
        </is>
      </c>
      <c r="DR392" s="53" t="inlineStr">
        <is>
          <t>0 years, 9 months, 0 days</t>
        </is>
      </c>
      <c r="DS392" s="53" t="inlineStr">
        <is>
          <t>15 years, 4 months, 13 days</t>
        </is>
      </c>
      <c r="DT392" s="53" t="inlineStr">
        <is>
          <t>16 years, 1 months, 13 days</t>
        </is>
      </c>
      <c r="DU392" s="53" t="n"/>
      <c r="DV392" s="53" t="inlineStr">
        <is>
          <t>Consume</t>
        </is>
      </c>
      <c r="DW392" s="53" t="inlineStr">
        <is>
          <t>Consume</t>
        </is>
      </c>
      <c r="DX392" s="53" t="inlineStr">
        <is>
          <t>Technology</t>
        </is>
      </c>
      <c r="DY392" s="53" t="inlineStr">
        <is>
          <t>Development</t>
        </is>
      </c>
      <c r="DZ392" s="53" t="inlineStr">
        <is>
          <t>Yes</t>
        </is>
      </c>
      <c r="EA392" s="53" t="inlineStr">
        <is>
          <t>Product/Project</t>
        </is>
      </c>
      <c r="EB392" s="53" t="inlineStr">
        <is>
          <t>.NET MVC</t>
        </is>
      </c>
      <c r="EC392" s="53" t="inlineStr">
        <is>
          <t>Technical - Developer</t>
        </is>
      </c>
      <c r="ED392" s="53" t="inlineStr">
        <is>
          <t>Client Side</t>
        </is>
      </c>
      <c r="EE392" s="53" t="n"/>
      <c r="EF392"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392" s="53" t="inlineStr">
        <is>
          <t>Q1: Deliver committed sprint stories with &gt;=90% sprint commitment adherence this quarter
The RBI Portal is a client-site project that provides live production support services to the Reserve Bank of India.
As a Senior Software Engineer, Waqar Tarique has consistently delivered his assigned development tasks and production support responsibilities within the committed timelines. During this quarter, he successfully achieved over 90% of his sprint commitments.
Q1: Maintain code quality: defect leakage to QA/UAT &lt;=5% of delivered stories
Considering the critical nature of the RBI Portal, which provides live production support services, there is virtually no margin for error. Waqar consistently maintains a high standard of code quality and demonstrates strong attention to detail.
Q1: Resolve assigned production/critical bugs within agreed SLA · &gt;=95% within SLA
Waqar always resolve the assigned production/critical bugs within the agreed SLA. · &gt;=95-97% within SLA
Q1: Improve unit-test / automated coverage on owned modules by &gt;=15 percentage points
Yes it is but there is some scope for improvement.</t>
        </is>
      </c>
      <c r="EH392" s="53" t="n">
        <v>4</v>
      </c>
      <c r="EI392" s="53" t="n"/>
      <c r="EJ392" s="53" t="inlineStr">
        <is>
          <t>Senior Software Engineer</t>
        </is>
      </c>
      <c r="EK392" s="53" t="n"/>
      <c r="EL392" s="53" t="n">
        <v>4</v>
      </c>
      <c r="EM392" s="53" t="inlineStr">
        <is>
          <t>High</t>
        </is>
      </c>
      <c r="EN392" s="53" t="inlineStr">
        <is>
          <t>Core Contributor</t>
        </is>
      </c>
      <c r="EO392" s="53" t="inlineStr">
        <is>
          <t>Yes</t>
        </is>
      </c>
      <c r="EP392" s="53" t="inlineStr">
        <is>
          <t>Yes</t>
        </is>
      </c>
      <c r="EQ392" s="53" t="inlineStr">
        <is>
          <t>Yes</t>
        </is>
      </c>
      <c r="ER392" s="53" t="n"/>
      <c r="ES392" s="53" t="inlineStr">
        <is>
          <t>Advanced .NET MVC; secure coding &amp; code-quality practices; unit/automated testing; system design fundamentals</t>
        </is>
      </c>
      <c r="ET392" s="53" t="inlineStr">
        <is>
          <t>Transition to leadership: people management &amp; delegation, mentoring/coaching, project ownership &amp; stakeholder management, prioritisation under ambiguity, presentation &amp; influence skills</t>
        </is>
      </c>
      <c r="EU392" s="53" t="n"/>
      <c r="EV392" s="53" t="n"/>
      <c r="EW392" s="52" t="n"/>
      <c r="EX392" s="53" t="n"/>
      <c r="EY392" s="53" t="n"/>
      <c r="EZ392" s="53" t="n"/>
      <c r="FA392" s="53" t="n"/>
      <c r="FB392" s="53" t="n"/>
      <c r="FC392" s="53" t="n"/>
      <c r="FD392" s="53" t="n"/>
      <c r="FE392"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392" s="56" t="inlineStr">
        <is>
          <t>Q1: Deliver committed sprint stories with &gt;=90% sprint commitment adherence this quarter
The RBI Portal is a client-site project that provides live production support services to the Reserve Bank of India.
As a Senior Software Engineer, Waqar Tarique has consistently delivered his assigned development tasks and production support responsibilities within the committed timelines. During this quarter, he successfully achieved over 90% of his sprint commitments.
Q1: Maintain code quality: defect leakage to QA/UAT &lt;=5% of delivered stories
Considering the critical nature of the RBI Portal, which provides live production support services, there is virtually no margin for error. Waqar consistently maintains a high standard of code quality and demonstrates strong attention to detail.
Q1: Resolve assigned production/critical bugs within agreed SLA · &gt;=95% within SLA
Waqar always resolve the assigned production/critical bugs within the agreed SLA. · &gt;=95-97% within SLA
Q1: Improve unit-test / automated coverage on owned modules by &gt;=15 percentage points
Yes it is but there is some scope for improvement.</t>
        </is>
      </c>
      <c r="FG392" s="56" t="n"/>
      <c r="FH392" s="56" t="inlineStr">
        <is>
          <t>4</t>
        </is>
      </c>
      <c r="FI392" s="56" t="n"/>
      <c r="FJ392" s="56" t="inlineStr">
        <is>
          <t>Received · manager annual, quarterly</t>
        </is>
      </c>
      <c r="FK392" s="56" t="inlineStr">
        <is>
          <t>Talent Mapping · iFile collated</t>
        </is>
      </c>
      <c r="FL392" s="56" t="n">
        <v>18</v>
      </c>
      <c r="FM392" s="32" t="inlineStr">
        <is>
          <t>Full survey answers not in the files received · How We Grow export needed · HR</t>
        </is>
      </c>
      <c r="FN392" s="56" t="inlineStr">
        <is>
          <t>—</t>
        </is>
      </c>
      <c r="FO392" s="56" t="inlineStr">
        <is>
          <t>—</t>
        </is>
      </c>
      <c r="FP392" s="56" t="inlineStr">
        <is>
          <t>—</t>
        </is>
      </c>
      <c r="FQ392" s="56" t="inlineStr">
        <is>
          <t>—</t>
        </is>
      </c>
      <c r="FR392" s="56" t="inlineStr">
        <is>
          <t>Complexity: Evidence reads like A3: Develops and maintains the RBI website, administers its database and reviews others' code → matches the start
Autonomy: Evidence reads like A2: Says nothing is decided without approval; every change needs UAT and VAPT/CSRA sign-off → moved down 0.5
Accountability: Evidence reads like A3: Answers for RBI website uptime and business continuity; an outage triggers management escalation → matches the start
Leadership: Evidence reads like A3: Lists code review and mentoring/monitoring as standing duties; no team size given → moved up 0.5
Business Impact: Moved +0.5: the survey / manager mapping marks it business-critical.</t>
        </is>
      </c>
      <c r="FS392" s="56" t="inlineStr">
        <is>
          <t>Common themes in sub-family holders, all levels' answers: maintain · reliable · business · requirements · developer · rbi
Common themes in sub-family holders, all levels' answers: development · support · maintenance · code · bug fixing · feature
Common themes in sub-family holders, all levels' answers: maintenance · rbi
Common themes in sub-family holders, all levels' answers: accountable · personally · testing · features · am · performance
Common themes in sub-family holders, all levels' answers: code · technical · fixes · implementation · issues
If the work is missed · role-holders' themes: delays · lead · issues · poor.</t>
        </is>
      </c>
      <c r="FT392" s="56" t="inlineStr">
        <is>
          <t>Self-identified: Broader exposure &amp; ownership
For the next role: Broader exposure &amp; ownership</t>
        </is>
      </c>
      <c r="FU392" s="32" t="inlineStr">
        <is>
          <t>Full survey answers not in the files received · How We Grow export needed · HR</t>
        </is>
      </c>
    </row>
    <row r="393" ht="90" customHeight="1">
      <c r="A393" s="51" t="inlineStr">
        <is>
          <t>◂ Back</t>
        </is>
      </c>
      <c r="B393" s="29" t="inlineStr">
        <is>
          <t>Mapped</t>
        </is>
      </c>
      <c r="C393" s="28" t="inlineStr">
        <is>
          <t>Consume</t>
        </is>
      </c>
      <c r="D393" s="29" t="inlineStr">
        <is>
          <t>IRIS2485</t>
        </is>
      </c>
      <c r="E393" s="29" t="inlineStr">
        <is>
          <t>Safal Gupta</t>
        </is>
      </c>
      <c r="F393" s="29" t="inlineStr">
        <is>
          <t>Technology</t>
        </is>
      </c>
      <c r="G393" s="29" t="inlineStr">
        <is>
          <t>Senior Software Engineer</t>
        </is>
      </c>
      <c r="H393" s="29" t="inlineStr">
        <is>
          <t>Senior Software Engineer</t>
        </is>
      </c>
      <c r="I393" s="29" t="inlineStr">
        <is>
          <t>L4 – Senior</t>
        </is>
      </c>
      <c r="J393" s="29" t="inlineStr">
        <is>
          <t>A3</t>
        </is>
      </c>
      <c r="K393" s="29" t="inlineStr">
        <is>
          <t>• Same level</t>
        </is>
      </c>
      <c r="L393" s="29" t="inlineStr">
        <is>
          <t>Engineering &amp; Development</t>
        </is>
      </c>
      <c r="M393" s="29" t="inlineStr">
        <is>
          <t>Application Maintenance &amp; Production Support</t>
        </is>
      </c>
      <c r="N393" s="29" t="n"/>
      <c r="O393" s="29" t="n">
        <v>20</v>
      </c>
      <c r="P393" s="28" t="inlineStr">
        <is>
          <t>P2</t>
        </is>
      </c>
      <c r="Q393" s="29" t="inlineStr">
        <is>
          <t>Developing</t>
        </is>
      </c>
      <c r="R393" s="29" t="inlineStr">
        <is>
          <t>3 Apply</t>
        </is>
      </c>
      <c r="S393" s="29" t="inlineStr">
        <is>
          <t>2–4 yrs</t>
        </is>
      </c>
      <c r="T393" s="29" t="inlineStr">
        <is>
          <t>3–5 · 2–5</t>
        </is>
      </c>
      <c r="U393" s="29" t="inlineStr">
        <is>
          <t>Software Engineer</t>
        </is>
      </c>
      <c r="V393" s="29" t="inlineStr">
        <is>
          <t>Workiva: SE · Broadridge India: SE · Nasdaq / AxiomSL: SE · Salesforce: MTS · Atlassian: P40 · 3–7 yrs · Freshworks: Senior SE</t>
        </is>
      </c>
      <c r="W393" s="29" t="inlineStr">
        <is>
          <t>SFIA 9 · software development, programming; OWASP secure coding; cloud vendor certifications</t>
        </is>
      </c>
      <c r="X393" s="29" t="inlineStr">
        <is>
          <t>Core 2 · Future 2 · Functional 3 · Leadership not scored</t>
        </is>
      </c>
      <c r="Y393" s="52" t="n">
        <v>460</v>
      </c>
      <c r="Z393" s="53" t="inlineStr">
        <is>
          <t>IRIS2485</t>
        </is>
      </c>
      <c r="AA393" s="53" t="inlineStr">
        <is>
          <t>Employee</t>
        </is>
      </c>
      <c r="AB393" s="53" t="inlineStr">
        <is>
          <t>Active</t>
        </is>
      </c>
      <c r="AC393" s="53" t="inlineStr">
        <is>
          <t>Safal Gupta</t>
        </is>
      </c>
      <c r="AD393" s="54" t="n">
        <v>46083</v>
      </c>
      <c r="AE393" s="53" t="inlineStr">
        <is>
          <t>Senior Software Engineer</t>
        </is>
      </c>
      <c r="AF393" s="53" t="inlineStr">
        <is>
          <t>B.E</t>
        </is>
      </c>
      <c r="AG393" s="53" t="inlineStr">
        <is>
          <t>Zakiruddin Shaikh</t>
        </is>
      </c>
      <c r="AH393" s="53" t="inlineStr">
        <is>
          <t>N-4</t>
        </is>
      </c>
      <c r="AI393" s="53" t="inlineStr">
        <is>
          <t>Individual Contributor</t>
        </is>
      </c>
      <c r="AJ393" s="53" t="inlineStr">
        <is>
          <t>5 years, 2 months, 0 days</t>
        </is>
      </c>
      <c r="AK393" s="53" t="inlineStr">
        <is>
          <t>0 years, 5 months, 23 days</t>
        </is>
      </c>
      <c r="AL393" s="53" t="inlineStr">
        <is>
          <t>Consume</t>
        </is>
      </c>
      <c r="AM393" s="53" t="inlineStr">
        <is>
          <t>Consume</t>
        </is>
      </c>
      <c r="AN393" s="53" t="inlineStr">
        <is>
          <t>Technology</t>
        </is>
      </c>
      <c r="AO393" s="53" t="inlineStr">
        <is>
          <t>Development</t>
        </is>
      </c>
      <c r="AP393" s="53" t="inlineStr">
        <is>
          <t>Yes</t>
        </is>
      </c>
      <c r="AQ393" s="53" t="inlineStr">
        <is>
          <t>Product/Project</t>
        </is>
      </c>
      <c r="AR393" s="53" t="inlineStr">
        <is>
          <t>.NET MVC</t>
        </is>
      </c>
      <c r="AS393" s="53" t="inlineStr">
        <is>
          <t>Technical - Developer</t>
        </is>
      </c>
      <c r="AT393" s="53" t="n">
        <v>20</v>
      </c>
      <c r="AU393" s="53" t="inlineStr">
        <is>
          <t>Covered</t>
        </is>
      </c>
      <c r="AV393" s="53" t="n"/>
      <c r="AW393" s="53" t="n"/>
      <c r="AX393" s="53" t="n"/>
      <c r="AY393" s="53" t="n"/>
      <c r="AZ393" s="53" t="n"/>
      <c r="BA393" s="53" t="n"/>
      <c r="BB393" s="53" t="n"/>
      <c r="BC393" s="53" t="n"/>
      <c r="BD393" s="53" t="n"/>
      <c r="BE393" s="53" t="n"/>
      <c r="BF393" s="53" t="n"/>
      <c r="BG393" s="53" t="n"/>
      <c r="BH393" s="53" t="n"/>
      <c r="BI393" s="53" t="n"/>
      <c r="BJ393" s="53" t="n"/>
      <c r="BK393" s="53" t="n"/>
      <c r="BL393" s="53" t="n"/>
      <c r="BM393" s="53" t="n"/>
      <c r="BN393" s="53" t="n"/>
      <c r="BO393" s="53" t="n"/>
      <c r="BP393" s="53" t="n"/>
      <c r="BQ393" s="53" t="n"/>
      <c r="BR393" s="53" t="n"/>
      <c r="BS393" s="53" t="n"/>
      <c r="BT393" s="53" t="n"/>
      <c r="BU393" s="53" t="n"/>
      <c r="BV393" s="53" t="n"/>
      <c r="BW393" s="53" t="n"/>
      <c r="BX393" s="53" t="n"/>
      <c r="BY393" s="53" t="n"/>
      <c r="BZ393" s="53" t="n"/>
      <c r="CA393" s="53" t="n"/>
      <c r="CB393" s="53" t="n"/>
      <c r="CC393" s="53" t="n"/>
      <c r="CD393" s="53" t="n"/>
      <c r="CE393" s="53" t="n"/>
      <c r="CF393" s="53" t="n"/>
      <c r="CG393" s="53" t="n"/>
      <c r="CH393" s="53" t="n"/>
      <c r="CI393" s="53" t="n"/>
      <c r="CJ393" s="53" t="n"/>
      <c r="CK393" s="53" t="n"/>
      <c r="CL393" s="53" t="n"/>
      <c r="CM393" s="53" t="n"/>
      <c r="CN393" s="53" t="n"/>
      <c r="CO393" s="53" t="n"/>
      <c r="CP393" s="53" t="n"/>
      <c r="CQ393" s="53" t="n"/>
      <c r="CR393" s="53" t="n"/>
      <c r="CS393" s="53" t="n"/>
      <c r="CT393" s="53" t="n"/>
      <c r="CU393" s="53" t="n"/>
      <c r="CV393" s="53" t="n"/>
      <c r="CW393" s="53" t="n"/>
      <c r="CX393" s="53" t="n"/>
      <c r="CY393" s="53" t="n"/>
      <c r="CZ393" s="53" t="n"/>
      <c r="DA393" s="53" t="n"/>
      <c r="DB393" s="53" t="n"/>
      <c r="DC393" s="53" t="n"/>
      <c r="DD393" s="53" t="inlineStr">
        <is>
          <t>IRIS2485</t>
        </is>
      </c>
      <c r="DE393" s="53" t="inlineStr">
        <is>
          <t>Employee</t>
        </is>
      </c>
      <c r="DF393" s="53" t="inlineStr">
        <is>
          <t>Active</t>
        </is>
      </c>
      <c r="DG393" s="53" t="inlineStr">
        <is>
          <t>Safal Gupta</t>
        </is>
      </c>
      <c r="DH393" s="54" t="n">
        <v>46083</v>
      </c>
      <c r="DI393" s="53" t="inlineStr">
        <is>
          <t>Senior Software Engineer</t>
        </is>
      </c>
      <c r="DJ393" s="53" t="inlineStr">
        <is>
          <t>Engineering &amp; Development</t>
        </is>
      </c>
      <c r="DK393" s="53" t="inlineStr">
        <is>
          <t>Backend Engineering ·.NET</t>
        </is>
      </c>
      <c r="DL393" s="53" t="inlineStr">
        <is>
          <t>Senior Software Engineer</t>
        </is>
      </c>
      <c r="DM393" s="53" t="inlineStr">
        <is>
          <t>L4 – Senior</t>
        </is>
      </c>
      <c r="DN393" s="53" t="inlineStr">
        <is>
          <t>B.E</t>
        </is>
      </c>
      <c r="DO393" s="53" t="inlineStr">
        <is>
          <t>Zakiruddin Shaikh</t>
        </is>
      </c>
      <c r="DP393" s="53" t="inlineStr">
        <is>
          <t>N-4</t>
        </is>
      </c>
      <c r="DQ393" s="53" t="inlineStr">
        <is>
          <t>Individual Contributor</t>
        </is>
      </c>
      <c r="DR393" s="53" t="inlineStr">
        <is>
          <t>5 years, 2 months, 0 days</t>
        </is>
      </c>
      <c r="DS393" s="53" t="inlineStr">
        <is>
          <t>0 years, 3 months, 18 days</t>
        </is>
      </c>
      <c r="DT393" s="53" t="inlineStr">
        <is>
          <t>5 years, 5 months, 18 days</t>
        </is>
      </c>
      <c r="DU393" s="53" t="n"/>
      <c r="DV393" s="53" t="inlineStr">
        <is>
          <t>Consume</t>
        </is>
      </c>
      <c r="DW393" s="53" t="inlineStr">
        <is>
          <t>Consume</t>
        </is>
      </c>
      <c r="DX393" s="53" t="inlineStr">
        <is>
          <t>Technology</t>
        </is>
      </c>
      <c r="DY393" s="53" t="inlineStr">
        <is>
          <t>Development</t>
        </is>
      </c>
      <c r="DZ393" s="53" t="inlineStr">
        <is>
          <t>Yes</t>
        </is>
      </c>
      <c r="EA393" s="53" t="inlineStr">
        <is>
          <t>Product/Project</t>
        </is>
      </c>
      <c r="EB393" s="53" t="inlineStr">
        <is>
          <t>.Net</t>
        </is>
      </c>
      <c r="EC393" s="53" t="inlineStr">
        <is>
          <t>Technical - Developer</t>
        </is>
      </c>
      <c r="ED393" s="53" t="inlineStr">
        <is>
          <t>Client Side</t>
        </is>
      </c>
      <c r="EE393" s="53" t="n"/>
      <c r="EF393"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393" s="53" t="inlineStr">
        <is>
          <t>Q1: Deliver committed sprint stories with &gt;=90% sprint commitment adherence this quarter
The RBI Portal is a client-site project that provides live production support services to the Reserve Bank of India.
Safal Gupta joined the project as a Senior Software Engineer and is one of the newer members of the team. As he is still gaining comprehensive knowledge of the application, he continues to familiarize himself with its functionalities and business processes. Despite this, he has demonstrated a strong learning ability and has adapted quickly to the project requirements.. He deliver the tasks and support responsibilities within the given time frame. During this quarter, he successfully achieved over 80% of his sprint commitments.
Q1: Maintain code quality: defect leakage to QA/UAT &lt;=5% of delivered stories
Considering the critical nature of the RBI Portal, which provides live production support, there is virtually no margin for error. Safal has maintained good code quality. However, there is still scope for improvement.
Q1: Resolve assigned production/critical bugs within agreed SLA · &gt;=95% within SLA
Safal always resolve the assigned critical bugs within the agreed SLA. · &gt;=85-90% within SLA
Q1: Improve unit-test / automated coverage on owned modules by &gt;=15 percentage points
Yes it is but there is some scope for improvement.</t>
        </is>
      </c>
      <c r="EH393" s="53" t="n">
        <v>4</v>
      </c>
      <c r="EI393" s="53" t="n"/>
      <c r="EJ393" s="53" t="inlineStr">
        <is>
          <t>Senior Software Engineer</t>
        </is>
      </c>
      <c r="EK393" s="53" t="n"/>
      <c r="EL393" s="53" t="n">
        <v>4</v>
      </c>
      <c r="EM393" s="53" t="n"/>
      <c r="EN393" s="53" t="inlineStr">
        <is>
          <t>Emerging Talent</t>
        </is>
      </c>
      <c r="EO393" s="53" t="inlineStr">
        <is>
          <t>Yes</t>
        </is>
      </c>
      <c r="EP393" s="53" t="inlineStr">
        <is>
          <t>Yes</t>
        </is>
      </c>
      <c r="EQ393" s="53" t="inlineStr">
        <is>
          <t>Yes</t>
        </is>
      </c>
      <c r="ER393" s="53" t="n"/>
      <c r="ES393" s="53" t="inlineStr">
        <is>
          <t>Advanced .Net; secure coding &amp; code-quality practices; unit/automated testing; system design fundamentals</t>
        </is>
      </c>
      <c r="ET393" s="53" t="inlineStr">
        <is>
          <t>Transition to leadership: people management &amp; delegation, mentoring/coaching, project ownership &amp; stakeholder management, prioritisation under ambiguity, presentation &amp; influence skills</t>
        </is>
      </c>
      <c r="EU393" s="53" t="n"/>
      <c r="EV393" s="53" t="n"/>
      <c r="EW393" s="52" t="n"/>
      <c r="EX393" s="53" t="n"/>
      <c r="EY393" s="53" t="n"/>
      <c r="EZ393" s="53" t="n"/>
      <c r="FA393" s="53" t="n"/>
      <c r="FB393" s="53" t="n"/>
      <c r="FC393" s="53" t="n"/>
      <c r="FD393" s="53" t="n"/>
      <c r="FE393"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393" s="56" t="inlineStr">
        <is>
          <t>Q1: Deliver committed sprint stories with &gt;=90% sprint commitment adherence this quarter
The RBI Portal is a client-site project that provides live production support services to the Reserve Bank of India.
Safal Gupta joined the project as a Senior Software Engineer and is one of the newer members of the team. As he is still gaining comprehensive knowledge of the application, he continues to familiarize himself with its functionalities and business processes. Despite this, he has demonstrated a strong learning ability and has adapted quickly to the project requirements.. He deliver the tasks and support responsibilities within the given time frame. During this quarter, he successfully achieved over 80% of his sprint commitments.
Q1: Maintain code quality: defect leakage to QA/UAT &lt;=5% of delivered stories
Considering the critical nature of the RBI Portal, which provides live production support, there is virtually no margin for error. Safal has maintained good code quality. However, there is still scope for improvement.
Q1: Resolve assigned production/critical bugs within agreed SLA · &gt;=95% within SLA
Safal always resolve the assigned critical bugs within the agreed SLA. · &gt;=85-90% within SLA
Q1: Improve unit-test / automated coverage on owned modules by &gt;=15 percentage points
Yes it is but there is some scope for improvement.</t>
        </is>
      </c>
      <c r="FG393" s="56" t="n"/>
      <c r="FH393" s="56" t="inlineStr">
        <is>
          <t>4</t>
        </is>
      </c>
      <c r="FI393" s="56" t="n"/>
      <c r="FJ393" s="56" t="inlineStr">
        <is>
          <t>Received · manager annual, quarterly</t>
        </is>
      </c>
      <c r="FK393" s="56" t="inlineStr">
        <is>
          <t>Talent Mapping · iFile collated</t>
        </is>
      </c>
      <c r="FL393" s="56" t="n">
        <v>20</v>
      </c>
      <c r="FM393" s="32" t="inlineStr">
        <is>
          <t>Full survey answers not in the files received · How We Grow export needed · HR</t>
        </is>
      </c>
      <c r="FN393" s="56" t="inlineStr">
        <is>
          <t>—</t>
        </is>
      </c>
      <c r="FO393" s="56" t="inlineStr">
        <is>
          <t>—</t>
        </is>
      </c>
      <c r="FP393" s="56" t="inlineStr">
        <is>
          <t>—</t>
        </is>
      </c>
      <c r="FQ393" s="56" t="inlineStr">
        <is>
          <t>—</t>
        </is>
      </c>
      <c r="FR393" s="56" t="inlineStr">
        <is>
          <t>Complexity: Evidence reads like A3: Develops and supports RBI web portals; security remediation · VAPT, performance tuning, database work → matches the start
Autonomy: Evidence reads like A3: Decides code implementation, debugging, optimisation and technical fixes → matches the start
Accountability: Evidence reads like A3: Development, security fixes and production support on critical government portals → matches the start
Leadership: Evidence reads like A1: None described → moved down 0.5
Business Impact: Moved +0.5: the survey / manager mapping marks it business-critical.</t>
        </is>
      </c>
      <c r="FS393" s="56" t="inlineStr">
        <is>
          <t>Common themes in role-holders' answers: reliable · requirements · maintain · core · business · solutions
Common themes in role-holders' answers: development · support · maintenance · bug fixing · feature · performance
Common themes in role-holders' answers: accountable · personally · testing · features · am · performance
Common themes in role-holders' answers: code · fixes · implementation · technical
If the work is missed · role-holders' themes: delays · lead · issues · poor.
Measured on · manager-set KRA themes: considering critical · stories considering · leakage qa/uat · production support · live production · responsibilities.</t>
        </is>
      </c>
      <c r="FT393" s="56" t="inlineStr">
        <is>
          <t>Self-identified: Leadership &amp; people management · Technical depth &amp; architecture
For the next role: Leadership &amp; people management · Technical depth &amp; architecture</t>
        </is>
      </c>
      <c r="FU393" s="32" t="inlineStr">
        <is>
          <t>Full survey answers not in the files received · How We Grow export needed · HR</t>
        </is>
      </c>
    </row>
    <row r="394" ht="90" customHeight="1">
      <c r="A394" s="51" t="inlineStr">
        <is>
          <t>◂ Back</t>
        </is>
      </c>
      <c r="B394" s="29" t="inlineStr">
        <is>
          <t>Mapped</t>
        </is>
      </c>
      <c r="C394" s="28" t="inlineStr">
        <is>
          <t>Consume</t>
        </is>
      </c>
      <c r="D394" s="29" t="inlineStr">
        <is>
          <t>IRIS1901</t>
        </is>
      </c>
      <c r="E394" s="29" t="inlineStr">
        <is>
          <t>Sharad Mane</t>
        </is>
      </c>
      <c r="F394" s="29" t="inlineStr">
        <is>
          <t>Technology</t>
        </is>
      </c>
      <c r="G394" s="29" t="inlineStr">
        <is>
          <t>Senior Software Engineer</t>
        </is>
      </c>
      <c r="H394" s="29" t="inlineStr">
        <is>
          <t>Technical Specialist</t>
        </is>
      </c>
      <c r="I394" s="29" t="inlineStr">
        <is>
          <t>L4 – Senior</t>
        </is>
      </c>
      <c r="J394" s="29" t="inlineStr">
        <is>
          <t>A3</t>
        </is>
      </c>
      <c r="K394" s="29" t="inlineStr">
        <is>
          <t>▲ Up</t>
        </is>
      </c>
      <c r="L394" s="29" t="inlineStr">
        <is>
          <t>Engineering &amp; Development</t>
        </is>
      </c>
      <c r="M394" s="29" t="inlineStr">
        <is>
          <t>Application Maintenance &amp; Production Support</t>
        </is>
      </c>
      <c r="N394" s="29" t="n"/>
      <c r="O394" s="29" t="n">
        <v>20</v>
      </c>
      <c r="P394" s="28" t="inlineStr">
        <is>
          <t>P2</t>
        </is>
      </c>
      <c r="Q394" s="29" t="inlineStr">
        <is>
          <t>Developing</t>
        </is>
      </c>
      <c r="R394" s="29" t="inlineStr">
        <is>
          <t>3 Apply</t>
        </is>
      </c>
      <c r="S394" s="29" t="inlineStr">
        <is>
          <t>2–4 yrs</t>
        </is>
      </c>
      <c r="T394" s="29" t="inlineStr">
        <is>
          <t>3–5 · 2–5</t>
        </is>
      </c>
      <c r="U394" s="29" t="inlineStr">
        <is>
          <t>Senior Software Engineer</t>
        </is>
      </c>
      <c r="V394" s="29" t="inlineStr">
        <is>
          <t>Workiva: SE · Broadridge India: SE · Nasdaq / AxiomSL: SE · Salesforce: MTS · Atlassian: P40 · 3–7 yrs · Freshworks: Senior SE</t>
        </is>
      </c>
      <c r="W394" s="29" t="inlineStr">
        <is>
          <t>SFIA 9 · software development, programming; OWASP secure coding; cloud vendor certifications</t>
        </is>
      </c>
      <c r="X394" s="29" t="inlineStr">
        <is>
          <t>Core 2 · Future 2 · Functional 3 · Leadership not scored</t>
        </is>
      </c>
      <c r="Y394" s="52" t="n">
        <v>177</v>
      </c>
      <c r="Z394" s="53" t="inlineStr">
        <is>
          <t>IRIS1901</t>
        </is>
      </c>
      <c r="AA394" s="53" t="inlineStr">
        <is>
          <t>Employee</t>
        </is>
      </c>
      <c r="AB394" s="53" t="inlineStr">
        <is>
          <t>Active</t>
        </is>
      </c>
      <c r="AC394" s="53" t="inlineStr">
        <is>
          <t>Sharad Mane</t>
        </is>
      </c>
      <c r="AD394" s="54" t="n">
        <v>44259</v>
      </c>
      <c r="AE394" s="53" t="inlineStr">
        <is>
          <t>Senior Software Engineer</t>
        </is>
      </c>
      <c r="AF394" s="53" t="inlineStr">
        <is>
          <t>B.E</t>
        </is>
      </c>
      <c r="AG394" s="53" t="inlineStr">
        <is>
          <t>Zakiruddin Shaikh</t>
        </is>
      </c>
      <c r="AH394" s="53" t="inlineStr">
        <is>
          <t>N-4</t>
        </is>
      </c>
      <c r="AI394" s="53" t="inlineStr">
        <is>
          <t>Individual Contributor</t>
        </is>
      </c>
      <c r="AJ394" s="53" t="inlineStr">
        <is>
          <t>5 years, 9 months, 0 days</t>
        </is>
      </c>
      <c r="AK394" s="53" t="inlineStr">
        <is>
          <t>5 years, 5 months, 21 days</t>
        </is>
      </c>
      <c r="AL394" s="53" t="inlineStr">
        <is>
          <t>Consume</t>
        </is>
      </c>
      <c r="AM394" s="53" t="inlineStr">
        <is>
          <t>Consume</t>
        </is>
      </c>
      <c r="AN394" s="53" t="inlineStr">
        <is>
          <t>Technology</t>
        </is>
      </c>
      <c r="AO394" s="53" t="inlineStr">
        <is>
          <t>Development</t>
        </is>
      </c>
      <c r="AP394" s="53" t="inlineStr">
        <is>
          <t>Yes</t>
        </is>
      </c>
      <c r="AQ394" s="53" t="inlineStr">
        <is>
          <t>Product/Project</t>
        </is>
      </c>
      <c r="AR394" s="53" t="inlineStr">
        <is>
          <t>.NET MVC</t>
        </is>
      </c>
      <c r="AS394" s="53" t="inlineStr">
        <is>
          <t>Technical - Developer</t>
        </is>
      </c>
      <c r="AT394" s="53" t="n">
        <v>20</v>
      </c>
      <c r="AU394" s="53" t="inlineStr">
        <is>
          <t>Covered</t>
        </is>
      </c>
      <c r="AV394" s="53" t="n"/>
      <c r="AW394" s="53" t="n"/>
      <c r="AX394" s="53" t="n"/>
      <c r="AY394" s="53" t="n"/>
      <c r="AZ394" s="53" t="n"/>
      <c r="BA394" s="53" t="n"/>
      <c r="BB394" s="53" t="n"/>
      <c r="BC394" s="53" t="n"/>
      <c r="BD394" s="53" t="n"/>
      <c r="BE394" s="53" t="n"/>
      <c r="BF394" s="53" t="n"/>
      <c r="BG394" s="53" t="n"/>
      <c r="BH394" s="53" t="n"/>
      <c r="BI394" s="53" t="n"/>
      <c r="BJ394" s="53" t="n"/>
      <c r="BK394" s="53" t="n"/>
      <c r="BL394" s="53" t="n"/>
      <c r="BM394" s="53" t="n"/>
      <c r="BN394" s="53" t="n"/>
      <c r="BO394" s="53" t="n"/>
      <c r="BP394" s="53" t="n"/>
      <c r="BQ394" s="53" t="n"/>
      <c r="BR394" s="53" t="n"/>
      <c r="BS394" s="53" t="n"/>
      <c r="BT394" s="53" t="n"/>
      <c r="BU394" s="53" t="n"/>
      <c r="BV394" s="53" t="n"/>
      <c r="BW394" s="53" t="n"/>
      <c r="BX394" s="53" t="n"/>
      <c r="BY394" s="53" t="n"/>
      <c r="BZ394" s="53" t="n"/>
      <c r="CA394" s="53" t="n"/>
      <c r="CB394" s="53" t="n"/>
      <c r="CC394" s="53" t="n"/>
      <c r="CD394" s="53" t="n"/>
      <c r="CE394" s="53" t="n"/>
      <c r="CF394" s="53" t="n"/>
      <c r="CG394" s="53" t="n"/>
      <c r="CH394" s="53" t="n"/>
      <c r="CI394" s="53" t="n"/>
      <c r="CJ394" s="53" t="n"/>
      <c r="CK394" s="53" t="n"/>
      <c r="CL394" s="53" t="n"/>
      <c r="CM394" s="53" t="n"/>
      <c r="CN394" s="53" t="n"/>
      <c r="CO394" s="53" t="n"/>
      <c r="CP394" s="53" t="n"/>
      <c r="CQ394" s="53" t="n"/>
      <c r="CR394" s="53" t="n"/>
      <c r="CS394" s="53" t="n"/>
      <c r="CT394" s="53" t="n"/>
      <c r="CU394" s="53" t="n"/>
      <c r="CV394" s="53" t="n"/>
      <c r="CW394" s="53" t="n"/>
      <c r="CX394" s="53" t="n"/>
      <c r="CY394" s="53" t="n"/>
      <c r="CZ394" s="53" t="n"/>
      <c r="DA394" s="53" t="n"/>
      <c r="DB394" s="53" t="n"/>
      <c r="DC394" s="53" t="n"/>
      <c r="DD394" s="53" t="inlineStr">
        <is>
          <t>IRIS1901</t>
        </is>
      </c>
      <c r="DE394" s="53" t="inlineStr">
        <is>
          <t>Employee</t>
        </is>
      </c>
      <c r="DF394" s="53" t="inlineStr">
        <is>
          <t>Active</t>
        </is>
      </c>
      <c r="DG394" s="53" t="inlineStr">
        <is>
          <t>Sharad Mane</t>
        </is>
      </c>
      <c r="DH394" s="54" t="n">
        <v>44259</v>
      </c>
      <c r="DI394" s="53" t="inlineStr">
        <is>
          <t>Senior Software Engineer</t>
        </is>
      </c>
      <c r="DJ394" s="53" t="inlineStr">
        <is>
          <t>Engineering &amp; Development</t>
        </is>
      </c>
      <c r="DK394" s="53" t="inlineStr">
        <is>
          <t>Backend Engineering ·.NET</t>
        </is>
      </c>
      <c r="DL394" s="53" t="inlineStr">
        <is>
          <t>Senior Software Engineer</t>
        </is>
      </c>
      <c r="DM394" s="53" t="inlineStr">
        <is>
          <t>L4 – Senior</t>
        </is>
      </c>
      <c r="DN394" s="53" t="inlineStr">
        <is>
          <t>B.E</t>
        </is>
      </c>
      <c r="DO394" s="53" t="inlineStr">
        <is>
          <t>Zakiruddin Shaikh</t>
        </is>
      </c>
      <c r="DP394" s="53" t="inlineStr">
        <is>
          <t>N-4</t>
        </is>
      </c>
      <c r="DQ394" s="53" t="inlineStr">
        <is>
          <t>Individual Contributor</t>
        </is>
      </c>
      <c r="DR394" s="53" t="inlineStr">
        <is>
          <t>5 years, 9 months, 0 days</t>
        </is>
      </c>
      <c r="DS394" s="53" t="inlineStr">
        <is>
          <t>5 years, 3 months, 16 days</t>
        </is>
      </c>
      <c r="DT394" s="53" t="inlineStr">
        <is>
          <t>11 years, 0 months, 16 days</t>
        </is>
      </c>
      <c r="DU394" s="53" t="n"/>
      <c r="DV394" s="53" t="inlineStr">
        <is>
          <t>Consume</t>
        </is>
      </c>
      <c r="DW394" s="53" t="inlineStr">
        <is>
          <t>Consume</t>
        </is>
      </c>
      <c r="DX394" s="53" t="inlineStr">
        <is>
          <t>Technology</t>
        </is>
      </c>
      <c r="DY394" s="53" t="inlineStr">
        <is>
          <t>Development</t>
        </is>
      </c>
      <c r="DZ394" s="53" t="inlineStr">
        <is>
          <t>Yes</t>
        </is>
      </c>
      <c r="EA394" s="53" t="inlineStr">
        <is>
          <t>Product/Project</t>
        </is>
      </c>
      <c r="EB394" s="53" t="inlineStr">
        <is>
          <t>.NET MVC</t>
        </is>
      </c>
      <c r="EC394" s="53" t="inlineStr">
        <is>
          <t>Technical - Developer</t>
        </is>
      </c>
      <c r="ED394" s="53" t="inlineStr">
        <is>
          <t>Client Side</t>
        </is>
      </c>
      <c r="EE394" s="53" t="n"/>
      <c r="EF394"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394" s="53" t="inlineStr">
        <is>
          <t>Q1: Deliver committed sprint stories with &gt;=90% sprint commitment adherence this quarter
RBI Portal is client site project, providing the Live support to the client, As Senior Software Engineer, Sharad Mane, deliver the tasks and support responsibilities within the given time frame. For this quarter he delivered more than the 90% sprint commitment.
Q1: Maintain code quality: defect leakage to QA/UAT &lt;=5% of delivered stories
Considering the critical nature of the RBI Portal, which provides live production support services, there is virtually no margin for error. Sharad consistently maintains a high standard of code quality and demonstrates strong attention to detail.
Q1: Resolve assigned production/critical bugs within agreed SLA · &gt;=95% within SLA
Sharad always resolve the assigned production/critical bugs within the agreed SLA. · &gt;=95% within SLA
Q1: Improve unit-test / automated coverage on owned modules by &gt;=15 percentage points
Yes it is but there is some scope for improvement.</t>
        </is>
      </c>
      <c r="EH394" s="53" t="n">
        <v>4</v>
      </c>
      <c r="EI394" s="53" t="n"/>
      <c r="EJ394" s="53" t="inlineStr">
        <is>
          <t>Senior Software Engineer</t>
        </is>
      </c>
      <c r="EK394" s="53" t="n"/>
      <c r="EL394" s="53" t="n">
        <v>4</v>
      </c>
      <c r="EM394" s="53" t="inlineStr">
        <is>
          <t>High</t>
        </is>
      </c>
      <c r="EN394" s="53" t="inlineStr">
        <is>
          <t>Core Contributor</t>
        </is>
      </c>
      <c r="EO394" s="53" t="inlineStr">
        <is>
          <t>Yes</t>
        </is>
      </c>
      <c r="EP394" s="53" t="inlineStr">
        <is>
          <t>Yes</t>
        </is>
      </c>
      <c r="EQ394" s="53" t="n"/>
      <c r="ER394" s="53" t="n"/>
      <c r="ES394" s="53" t="inlineStr">
        <is>
          <t>Advanced .NET MVC; secure coding &amp; code-quality practices; unit/automated testing; system design fundamentals</t>
        </is>
      </c>
      <c r="ET394" s="53" t="inlineStr">
        <is>
          <t>Transition to leadership: people management &amp; delegation, mentoring/coaching, project ownership &amp; stakeholder management, prioritisation under ambiguity, presentation &amp; influence skills</t>
        </is>
      </c>
      <c r="EU394" s="53" t="n"/>
      <c r="EV394" s="53" t="n"/>
      <c r="EW394" s="52" t="n"/>
      <c r="EX394" s="53" t="n"/>
      <c r="EY394" s="53" t="n"/>
      <c r="EZ394" s="53" t="n"/>
      <c r="FA394" s="53" t="n"/>
      <c r="FB394" s="53" t="n"/>
      <c r="FC394" s="53" t="n"/>
      <c r="FD394" s="53" t="n"/>
      <c r="FE394"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394" s="56" t="inlineStr">
        <is>
          <t>Q1: Deliver committed sprint stories with &gt;=90% sprint commitment adherence this quarter
RBI Portal is client site project, providing the Live support to the client,  As Senior Software Engineer, Sharad Mane, deliver the tasks and support responsibilities within the given time frame. For this quarter he delivered more than the 90% sprint commitment.
Q1: Maintain code quality: defect leakage to QA/UAT &lt;=5% of delivered stories
Considering the critical nature of the RBI Portal, which provides live production support services, there is virtually no margin for error. Sharad consistently maintains a high standard of code quality and demonstrates strong attention to detail.
Q1: Resolve assigned production/critical bugs within agreed SLA · &gt;=95% within SLA
Sharad always resolve the assigned production/critical bugs within the agreed SLA. · &gt;=95% within SLA
Q1: Improve unit-test / automated coverage on owned modules by &gt;=15 percentage points
Yes it is but there is some scope for improvement.</t>
        </is>
      </c>
      <c r="FG394" s="56" t="n"/>
      <c r="FH394" s="56" t="inlineStr">
        <is>
          <t>4</t>
        </is>
      </c>
      <c r="FI394" s="56" t="n"/>
      <c r="FJ394" s="56" t="inlineStr">
        <is>
          <t>Received · manager annual, quarterly</t>
        </is>
      </c>
      <c r="FK394" s="56" t="inlineStr">
        <is>
          <t>Talent Mapping · iFile collated</t>
        </is>
      </c>
      <c r="FL394" s="56" t="n">
        <v>20</v>
      </c>
      <c r="FM394" s="32" t="inlineStr">
        <is>
          <t>Full survey answers not in the files received · How We Grow export needed · HR</t>
        </is>
      </c>
      <c r="FN394" s="56" t="inlineStr">
        <is>
          <t>—</t>
        </is>
      </c>
      <c r="FO394" s="56" t="inlineStr">
        <is>
          <t>—</t>
        </is>
      </c>
      <c r="FP394" s="56" t="inlineStr">
        <is>
          <t>—</t>
        </is>
      </c>
      <c r="FQ394" s="56" t="inlineStr">
        <is>
          <t>—</t>
        </is>
      </c>
      <c r="FR394" s="56" t="inlineStr">
        <is>
          <t>Complexity: Evidence reads like A3: Develops, tests and deploys.NET changes on RBI application; handles client data requests → matches the start
Autonomy: Evidence reads like A3: Decides coding changes, bug fixes and deployment activity; weighs change impact → matches the start
Accountability: Evidence reads like A3: Own changes through testing to production deployment on a critical RBI application → matches the start
Leadership: Evidence reads like A1: None described → moved down 0.5
Business Impact: No survey or manager-mapping signal on criticality: kept at the start point.</t>
        </is>
      </c>
      <c r="FS394" s="56" t="inlineStr">
        <is>
          <t>Common themes in role-holders' answers: reliable · requirements · maintain · core · business · solutions
Common themes in role-holders' answers: development · support · maintenance · bug fixing · feature · performance
Common themes in role-holders' answers: accountable · personally · testing · features · am · performance
Common themes in role-holders' answers: code · fixes · implementation · technical
If the work is missed · role-holders' themes: delays · lead · issues · poor.
Measured on · manager-set KRA themes: considering critical · stories considering · leakage qa/uat · production support · live production · responsibilities.</t>
        </is>
      </c>
      <c r="FT394" s="56" t="inlineStr">
        <is>
          <t>Self-identified: Leadership &amp; people management · Technical depth &amp; architecture · Client, sales &amp; stakeholders · Broader exposure &amp; ownership
For the next role: Leadership &amp; people management · Technical depth &amp; architecture · Client, sales &amp; stakeholders · Communication &amp; presentation · Certification / formal course · Broader exposure &amp; ownership</t>
        </is>
      </c>
      <c r="FU394" s="32" t="inlineStr">
        <is>
          <t>Full survey answers not in the files received · How We Grow export needed · HR</t>
        </is>
      </c>
    </row>
    <row r="395" ht="90" customHeight="1">
      <c r="A395" s="51" t="inlineStr">
        <is>
          <t>◂ Back</t>
        </is>
      </c>
      <c r="B395" s="29" t="inlineStr">
        <is>
          <t>Mapped</t>
        </is>
      </c>
      <c r="C395" s="28" t="inlineStr">
        <is>
          <t>iFile</t>
        </is>
      </c>
      <c r="D395" s="29" t="inlineStr">
        <is>
          <t>IRIS1590</t>
        </is>
      </c>
      <c r="E395" s="29" t="inlineStr">
        <is>
          <t>Nivedita Wagh</t>
        </is>
      </c>
      <c r="F395" s="29" t="inlineStr">
        <is>
          <t>Technology</t>
        </is>
      </c>
      <c r="G395" s="29" t="inlineStr">
        <is>
          <t>Project Lead</t>
        </is>
      </c>
      <c r="H395" s="29" t="inlineStr">
        <is>
          <t>Project Manager – POD Lead</t>
        </is>
      </c>
      <c r="I395" s="29" t="inlineStr">
        <is>
          <t>L5 – Lead · IC</t>
        </is>
      </c>
      <c r="J395" s="29" t="inlineStr">
        <is>
          <t>B1</t>
        </is>
      </c>
      <c r="K395" s="29" t="inlineStr">
        <is>
          <t>▼ Down · protected</t>
        </is>
      </c>
      <c r="L395" s="29" t="inlineStr">
        <is>
          <t>Project &amp; Program Management</t>
        </is>
      </c>
      <c r="M395" s="29" t="inlineStr">
        <is>
          <t>Project &amp; Program Delivery</t>
        </is>
      </c>
      <c r="N395" s="29" t="n"/>
      <c r="O395" s="29" t="n">
        <v>20</v>
      </c>
      <c r="P395" s="28" t="inlineStr">
        <is>
          <t>P3 / M2</t>
        </is>
      </c>
      <c r="Q395" s="29" t="inlineStr">
        <is>
          <t>Career / · Team Lead</t>
        </is>
      </c>
      <c r="R395" s="29" t="inlineStr">
        <is>
          <t>4 Enable</t>
        </is>
      </c>
      <c r="S395" s="29" t="inlineStr">
        <is>
          <t>4–7 yrs</t>
        </is>
      </c>
      <c r="T395" s="29" t="inlineStr">
        <is>
          <t>5–8 · 4–8</t>
        </is>
      </c>
      <c r="U395" s="29" t="inlineStr">
        <is>
          <t>Senior Project / Program Manager</t>
        </is>
      </c>
      <c r="V395" s="29" t="inlineStr">
        <is>
          <t>IRIS Vs Competitor Benchmark — PMI pathway + SaaS delivery ladder: Project Manager · PMP</t>
        </is>
      </c>
      <c r="W395" s="29" t="inlineStr">
        <is>
          <t>PMI PMBOK and Talent Triangle; CAPM · entry → PMP → PgMP; Scrum / SAFe</t>
        </is>
      </c>
      <c r="X395" s="29" t="inlineStr">
        <is>
          <t>Core 3 · Future 3 · Functional 3 · Leadership 2</t>
        </is>
      </c>
      <c r="Y395" s="52" t="n">
        <v>129</v>
      </c>
      <c r="Z395" s="53" t="inlineStr">
        <is>
          <t>IRIS1590</t>
        </is>
      </c>
      <c r="AA395" s="53" t="inlineStr">
        <is>
          <t>Employee</t>
        </is>
      </c>
      <c r="AB395" s="53" t="inlineStr">
        <is>
          <t>Active</t>
        </is>
      </c>
      <c r="AC395" s="53" t="inlineStr">
        <is>
          <t>Nivedita Wagh</t>
        </is>
      </c>
      <c r="AD395" s="54" t="n">
        <v>42598</v>
      </c>
      <c r="AE395" s="53" t="inlineStr">
        <is>
          <t>Project Lead</t>
        </is>
      </c>
      <c r="AF395" s="53" t="inlineStr">
        <is>
          <t>B.E</t>
        </is>
      </c>
      <c r="AG395" s="53" t="inlineStr">
        <is>
          <t>Pradip Dey</t>
        </is>
      </c>
      <c r="AH395" s="53" t="inlineStr">
        <is>
          <t>N-3</t>
        </is>
      </c>
      <c r="AI395" s="53" t="inlineStr">
        <is>
          <t>Manager</t>
        </is>
      </c>
      <c r="AJ395" s="53" t="inlineStr">
        <is>
          <t>2 years, 0 months, 0 days</t>
        </is>
      </c>
      <c r="AK395" s="53" t="inlineStr">
        <is>
          <t>10 years, 0 months, 9 days</t>
        </is>
      </c>
      <c r="AL395" s="53" t="inlineStr">
        <is>
          <t>Suptech</t>
        </is>
      </c>
      <c r="AM395" s="53" t="inlineStr">
        <is>
          <t>iFile</t>
        </is>
      </c>
      <c r="AN395" s="53" t="inlineStr">
        <is>
          <t>Technology</t>
        </is>
      </c>
      <c r="AO395" s="53" t="inlineStr">
        <is>
          <t>Project Management</t>
        </is>
      </c>
      <c r="AP395" s="53" t="inlineStr">
        <is>
          <t>No</t>
        </is>
      </c>
      <c r="AQ395" s="53" t="inlineStr">
        <is>
          <t>Product/Project</t>
        </is>
      </c>
      <c r="AR395" s="53" t="inlineStr">
        <is>
          <t>Project Management</t>
        </is>
      </c>
      <c r="AS395" s="53" t="inlineStr">
        <is>
          <t>Technical · BA, PM and QA</t>
        </is>
      </c>
      <c r="AT395" s="53" t="n">
        <v>20</v>
      </c>
      <c r="AU395" s="53" t="inlineStr">
        <is>
          <t>Covered</t>
        </is>
      </c>
      <c r="AV395" s="53" t="n"/>
      <c r="AW395" s="53" t="n"/>
      <c r="AX395" s="53" t="n"/>
      <c r="AY395" s="53" t="n"/>
      <c r="AZ395" s="53" t="n"/>
      <c r="BA395" s="53" t="n"/>
      <c r="BB395" s="53" t="n"/>
      <c r="BC395" s="53" t="n"/>
      <c r="BD395" s="53" t="n"/>
      <c r="BE395" s="53" t="n"/>
      <c r="BF395" s="53" t="n"/>
      <c r="BG395" s="53" t="n"/>
      <c r="BH395" s="53" t="n"/>
      <c r="BI395" s="53" t="n"/>
      <c r="BJ395" s="53" t="n"/>
      <c r="BK395" s="53" t="n"/>
      <c r="BL395" s="53" t="n"/>
      <c r="BM395" s="53" t="n"/>
      <c r="BN395" s="53" t="n"/>
      <c r="BO395" s="53" t="n"/>
      <c r="BP395" s="53" t="n"/>
      <c r="BQ395" s="53" t="n"/>
      <c r="BR395" s="53" t="n"/>
      <c r="BS395" s="53" t="n"/>
      <c r="BT395" s="53" t="n"/>
      <c r="BU395" s="53" t="n"/>
      <c r="BV395" s="53" t="n"/>
      <c r="BW395" s="53" t="n"/>
      <c r="BX395" s="53" t="n"/>
      <c r="BY395" s="53" t="n"/>
      <c r="BZ395" s="53" t="n"/>
      <c r="CA395" s="53" t="n"/>
      <c r="CB395" s="53" t="n"/>
      <c r="CC395" s="53" t="n"/>
      <c r="CD395" s="53" t="n"/>
      <c r="CE395" s="53" t="n"/>
      <c r="CF395" s="53" t="n"/>
      <c r="CG395" s="53" t="n"/>
      <c r="CH395" s="53" t="n"/>
      <c r="CI395" s="53" t="n"/>
      <c r="CJ395" s="53" t="n"/>
      <c r="CK395" s="53" t="n"/>
      <c r="CL395" s="53" t="n"/>
      <c r="CM395" s="53" t="n"/>
      <c r="CN395" s="53" t="n"/>
      <c r="CO395" s="53" t="n"/>
      <c r="CP395" s="53" t="n"/>
      <c r="CQ395" s="53" t="n"/>
      <c r="CR395" s="53" t="n"/>
      <c r="CS395" s="53" t="n"/>
      <c r="CT395" s="53" t="n"/>
      <c r="CU395" s="53" t="n"/>
      <c r="CV395" s="53" t="n"/>
      <c r="CW395" s="53" t="n"/>
      <c r="CX395" s="53" t="n"/>
      <c r="CY395" s="53" t="n"/>
      <c r="CZ395" s="53" t="n"/>
      <c r="DA395" s="53" t="n"/>
      <c r="DB395" s="53" t="n"/>
      <c r="DC395" s="53" t="n"/>
      <c r="DD395" s="53" t="inlineStr">
        <is>
          <t>IRIS1590</t>
        </is>
      </c>
      <c r="DE395" s="53" t="inlineStr">
        <is>
          <t>Employee</t>
        </is>
      </c>
      <c r="DF395" s="53" t="inlineStr">
        <is>
          <t>Active</t>
        </is>
      </c>
      <c r="DG395" s="53" t="inlineStr">
        <is>
          <t>Nivedita Wagh</t>
        </is>
      </c>
      <c r="DH395" s="54" t="n">
        <v>42598</v>
      </c>
      <c r="DI395" s="53" t="inlineStr">
        <is>
          <t>Project Lead</t>
        </is>
      </c>
      <c r="DJ395" s="53" t="inlineStr">
        <is>
          <t>Project &amp; Program Management</t>
        </is>
      </c>
      <c r="DK395" s="53" t="inlineStr">
        <is>
          <t>Project Management</t>
        </is>
      </c>
      <c r="DL395" s="53" t="inlineStr">
        <is>
          <t>Project Lead</t>
        </is>
      </c>
      <c r="DM395" s="53" t="inlineStr">
        <is>
          <t>L5 – Lead · IC</t>
        </is>
      </c>
      <c r="DN395" s="53" t="inlineStr">
        <is>
          <t>B.E</t>
        </is>
      </c>
      <c r="DO395" s="53" t="inlineStr">
        <is>
          <t>Pradip Dey</t>
        </is>
      </c>
      <c r="DP395" s="53" t="inlineStr">
        <is>
          <t>N-2</t>
        </is>
      </c>
      <c r="DQ395" s="53" t="inlineStr">
        <is>
          <t>Manager</t>
        </is>
      </c>
      <c r="DR395" s="53" t="inlineStr">
        <is>
          <t>2 years, 0 months, 0 days</t>
        </is>
      </c>
      <c r="DS395" s="53" t="inlineStr">
        <is>
          <t>9 years, 10 months, 4 days</t>
        </is>
      </c>
      <c r="DT395" s="53" t="inlineStr">
        <is>
          <t>11 years, 10 months, 4 days</t>
        </is>
      </c>
      <c r="DU395" s="53" t="n">
        <v>9.84429223744292</v>
      </c>
      <c r="DV395" s="53" t="inlineStr">
        <is>
          <t>Suptech</t>
        </is>
      </c>
      <c r="DW395" s="53" t="inlineStr">
        <is>
          <t>iFile</t>
        </is>
      </c>
      <c r="DX395" s="53" t="inlineStr">
        <is>
          <t>Technology</t>
        </is>
      </c>
      <c r="DY395" s="53" t="inlineStr">
        <is>
          <t>Project Management</t>
        </is>
      </c>
      <c r="DZ395" s="53" t="inlineStr">
        <is>
          <t>No</t>
        </is>
      </c>
      <c r="EA395" s="53" t="inlineStr">
        <is>
          <t>Product/Project</t>
        </is>
      </c>
      <c r="EB395" s="53" t="inlineStr">
        <is>
          <t>Project Management</t>
        </is>
      </c>
      <c r="EC395" s="53" t="inlineStr">
        <is>
          <t>Technical · BA, PM and QA</t>
        </is>
      </c>
      <c r="ED395" s="53" t="inlineStr">
        <is>
          <t>Hybrid</t>
        </is>
      </c>
      <c r="EE395" s="53" t="n"/>
      <c r="EF395" s="53" t="inlineStr">
        <is>
          <t>1. Saudi Stock Exchange upgrade project
Proactive communicaions and stakeholder management as per projects requirements
Timely completion of project work as per schedule
Demonstrable team capability upliftment · reduced dependency/improved delivery speed
Client engagement/negotiation as required
2. Bank of MAuritius
Proactive communicaions and stakeholder management 
Ensure operations support is provided as per SLA defined for the program
Ensure proactive maintenance activities carried out by team and metrics are being reviewed systematically for improvements
0 escalations in a year. Also, quick resolutions and RCA for improvements for high impact issues
Publishing of monthly operations report
3. Pre-sales, process adherence, &amp; Strategic Contributions
Projetc Mgmt skill building and initiatives
Ensure adoption of digital way of working across the organization
Prepare/review of metrics and continuous imporevement measures
Extend support for Other org level activities
4. PMP Certifications/AI
Initiate preparaiton for PMP
Leverage AI in day to day working - PM activities, prepration/reuse of requirement artefacts, test cases writing and automaiton etc.</t>
        </is>
      </c>
      <c r="EG395" s="53" t="inlineStr">
        <is>
          <t>Saudi Stock Exchnage project mgmt as per scope, schedule and cost
Operational support for the accounts - BOM
Process improvements
PMP completion
Digital way of working and measurement of metrics through the tools for the entire team</t>
        </is>
      </c>
      <c r="EH395" s="53" t="inlineStr">
        <is>
          <t>Meets Expectations</t>
        </is>
      </c>
      <c r="EI395" s="54" t="n">
        <v>45931</v>
      </c>
      <c r="EJ395" s="53" t="inlineStr">
        <is>
          <t>Project Lead</t>
        </is>
      </c>
      <c r="EK395" s="53" t="n"/>
      <c r="EL395" s="53" t="n">
        <v>3</v>
      </c>
      <c r="EM395" s="53" t="inlineStr">
        <is>
          <t>Medium</t>
        </is>
      </c>
      <c r="EN395" s="53" t="inlineStr">
        <is>
          <t>Reliable Specialist</t>
        </is>
      </c>
      <c r="EO395" s="53" t="n"/>
      <c r="EP395" s="53" t="inlineStr">
        <is>
          <t>N</t>
        </is>
      </c>
      <c r="EQ395" s="53" t="inlineStr">
        <is>
          <t>N</t>
        </is>
      </c>
      <c r="ER395" s="53" t="n"/>
      <c r="ES395" s="53" t="inlineStr">
        <is>
          <t>PMP, SupTech Domain, Agile Scrum</t>
        </is>
      </c>
      <c r="ET395" s="53" t="n"/>
      <c r="EU395" s="53" t="inlineStr">
        <is>
          <t>RMA,PFRDA</t>
        </is>
      </c>
      <c r="EV395" s="53" t="n"/>
      <c r="EW395" s="52" t="n"/>
      <c r="EX395" s="53" t="n"/>
      <c r="EY395" s="53" t="n"/>
      <c r="EZ395" s="53" t="n"/>
      <c r="FA395" s="53" t="n"/>
      <c r="FB395" s="53" t="n"/>
      <c r="FC395" s="53" t="n"/>
      <c r="FD395" s="53" t="n"/>
      <c r="FE395" s="57" t="inlineStr">
        <is>
          <t>1. Saudi Stock Exchange upgrade project
Proactive communicaions and stakeholder management as per projects requirements
Timely completion of project work as per schedule
Demonstrable team capability upliftment · reduced dependency/improved delivery speed
Client engagement/negotiation as required
2. Bank of MAuritius
Proactive communicaions and stakeholder management 
Ensure operations support is provided as per SLA defined for the program
Ensure proactive maintenance activities carried out by team and metrics are being reviewed systematically for improvements
0 escalations in a year. Also, quick resolutions and RCA for improvements for high impact issues
Publishing of monthly operations report
3. Pre-sales, process adherence, &amp; Strategic Contributions
Projetc Mgmt skill building and initiatives
Ensure adoption of digital way of working across the organization
Prepare/review of metrics and continuous imporevement measures
Extend support for Other org level activities
4. PMP Certifications/AI
Initiate preparaiton for PMP
Leverage AI in day to day working - PM activities, prepration/reuse of requirement artefacts, test cases writing and automaiton etc.</t>
        </is>
      </c>
      <c r="FF395" s="56" t="inlineStr">
        <is>
          <t>Saudi Stock Exchnage project mgmt as per scope, schedule and cost
Operational support for the accounts - BOM
Process improvements
PMP completion
Digital way of working and measurement of metrics through the tools for the entire team</t>
        </is>
      </c>
      <c r="FG395" s="56" t="n"/>
      <c r="FH395" s="56" t="inlineStr">
        <is>
          <t>Meets Expectations</t>
        </is>
      </c>
      <c r="FI395" s="56" t="n"/>
      <c r="FJ395" s="56" t="inlineStr">
        <is>
          <t>Received · manager annual, quarterly</t>
        </is>
      </c>
      <c r="FK395" s="56" t="inlineStr">
        <is>
          <t>Talent Mapping · iFile collated</t>
        </is>
      </c>
      <c r="FL395" s="56" t="n">
        <v>20</v>
      </c>
      <c r="FM395" s="32" t="inlineStr">
        <is>
          <t>Full survey answers not in the files received · How We Grow export needed · HR</t>
        </is>
      </c>
      <c r="FN395" s="56" t="inlineStr">
        <is>
          <t>—</t>
        </is>
      </c>
      <c r="FO395" s="56" t="inlineStr">
        <is>
          <t>—</t>
        </is>
      </c>
      <c r="FP395" s="56" t="inlineStr">
        <is>
          <t>—</t>
        </is>
      </c>
      <c r="FQ395" s="56" t="inlineStr">
        <is>
          <t>—</t>
        </is>
      </c>
      <c r="FR395" s="56" t="inlineStr">
        <is>
          <t>Complexity: Evidence reads like B1: Project planning, timelines, monitoring and resource planning for client projects → matches the start
Autonomy: Evidence reads like B2: Decides task allocation and client communication; defines timelines and priorities → moved up 0.5
Accountability: Evidence reads like B2: Project deliverables on time; answers for delayed timelines → moved up 0.5
Leadership: Evidence reads like B1: Allocates tasks and plans resources; 2 direct reports → matches the start
Business Impact: No move: the survey / manager mapping does not mark it business-critical or unique.</t>
        </is>
      </c>
      <c r="FS395" s="56" t="inlineStr">
        <is>
          <t>Common themes in role-holders' answers: business · understood · requirements · project
Common themes in role-holders' answers: management · timelines · delivery · coordination · gathering · requirement
Common themes in role-holders' answers: project · time
Common themes in role-holders' answers: client · timelines
Common themes in role-holders' answers: client · requirement
If the work is missed · role-holders' themes: client · potential.
Measured on · manager-set KRA themes: projects · support · maintain · reporting · on-time.</t>
        </is>
      </c>
      <c r="FT395" s="56" t="inlineStr">
        <is>
          <t>Self-identified: AI / automation · Project / programme management · Certification / formal course
For the next role: AI / automation · Project / programme management · Certification / formal course</t>
        </is>
      </c>
      <c r="FU395" s="32" t="inlineStr">
        <is>
          <t>Full survey answers not in the files received · How We Grow export needed · HR</t>
        </is>
      </c>
    </row>
    <row r="396" ht="90" customHeight="1">
      <c r="A396" s="51" t="inlineStr">
        <is>
          <t>◂ Back</t>
        </is>
      </c>
      <c r="B396" s="29" t="inlineStr">
        <is>
          <t>Mapped</t>
        </is>
      </c>
      <c r="C396" s="28" t="inlineStr">
        <is>
          <t>iFile</t>
        </is>
      </c>
      <c r="D396" s="29" t="inlineStr">
        <is>
          <t>IRIS1873</t>
        </is>
      </c>
      <c r="E396" s="29" t="inlineStr">
        <is>
          <t>Sayed Ibrahim</t>
        </is>
      </c>
      <c r="F396" s="29" t="inlineStr">
        <is>
          <t>Support</t>
        </is>
      </c>
      <c r="G396" s="29" t="inlineStr">
        <is>
          <t>Analyst</t>
        </is>
      </c>
      <c r="H396" s="29" t="inlineStr">
        <is>
          <t>Senior Support Executive</t>
        </is>
      </c>
      <c r="I396" s="29" t="inlineStr">
        <is>
          <t>L3 – Professional / Associate</t>
        </is>
      </c>
      <c r="J396" s="29" t="inlineStr">
        <is>
          <t>A3</t>
        </is>
      </c>
      <c r="K396" s="29" t="inlineStr">
        <is>
          <t>▲ Up</t>
        </is>
      </c>
      <c r="L396" s="29" t="inlineStr">
        <is>
          <t>Customer Success &amp; Support</t>
        </is>
      </c>
      <c r="M396" s="29" t="inlineStr">
        <is>
          <t>Application &amp; Product Support</t>
        </is>
      </c>
      <c r="N396" s="29" t="n"/>
      <c r="O396" s="29" t="n">
        <v>20</v>
      </c>
      <c r="P396" s="28" t="inlineStr">
        <is>
          <t>P2</t>
        </is>
      </c>
      <c r="Q396" s="29" t="inlineStr">
        <is>
          <t>Developing</t>
        </is>
      </c>
      <c r="R396" s="29" t="inlineStr">
        <is>
          <t>3 Apply</t>
        </is>
      </c>
      <c r="S396" s="29" t="inlineStr">
        <is>
          <t>2–4 yrs</t>
        </is>
      </c>
      <c r="T396" s="29" t="inlineStr">
        <is>
          <t>3–5 · 2–5</t>
        </is>
      </c>
      <c r="U396" s="29" t="inlineStr">
        <is>
          <t>Support / CS Executive</t>
        </is>
      </c>
      <c r="V396" s="29" t="inlineStr">
        <is>
          <t>IRIS Vs Competitor Benchmark — SaaS customer-success ladder: Associate CSM · Regnology: Product Support Specialist · Reg Reporting · IRIS Vs Competitor Benchmark — support tiers: L2 Application Support</t>
        </is>
      </c>
      <c r="W396" s="29" t="inlineStr">
        <is>
          <t>TSIA frameworks and benchmarks; ITIL 4 service desk; Gainsight customer-success practice</t>
        </is>
      </c>
      <c r="X396" s="29" t="inlineStr">
        <is>
          <t>Core 2 · Future 2 · Functional 3 · Leadership not scored</t>
        </is>
      </c>
      <c r="Y396" s="52" t="n">
        <v>171</v>
      </c>
      <c r="Z396" s="53" t="inlineStr">
        <is>
          <t>IRIS1873</t>
        </is>
      </c>
      <c r="AA396" s="53" t="inlineStr">
        <is>
          <t>Employee</t>
        </is>
      </c>
      <c r="AB396" s="53" t="inlineStr">
        <is>
          <t>Active</t>
        </is>
      </c>
      <c r="AC396" s="53" t="inlineStr">
        <is>
          <t>Sayed Ibrahim</t>
        </is>
      </c>
      <c r="AD396" s="54" t="n">
        <v>44105</v>
      </c>
      <c r="AE396" s="53" t="inlineStr">
        <is>
          <t>Analyst</t>
        </is>
      </c>
      <c r="AF396" s="53" t="inlineStr">
        <is>
          <t>MBA</t>
        </is>
      </c>
      <c r="AG396" s="53" t="inlineStr">
        <is>
          <t>Nivedita Wagh</t>
        </is>
      </c>
      <c r="AH396" s="53" t="inlineStr">
        <is>
          <t>N-4</t>
        </is>
      </c>
      <c r="AI396" s="53" t="inlineStr">
        <is>
          <t>Individual Contributor</t>
        </is>
      </c>
      <c r="AJ396" s="53" t="inlineStr">
        <is>
          <t>4 years, 11 months, 0 days</t>
        </is>
      </c>
      <c r="AK396" s="53" t="inlineStr">
        <is>
          <t>5 years, 10 months, 24 days</t>
        </is>
      </c>
      <c r="AL396" s="53" t="inlineStr">
        <is>
          <t>Suptech</t>
        </is>
      </c>
      <c r="AM396" s="53" t="inlineStr">
        <is>
          <t>iFile</t>
        </is>
      </c>
      <c r="AN396" s="53" t="inlineStr">
        <is>
          <t>Support</t>
        </is>
      </c>
      <c r="AO396" s="53" t="inlineStr">
        <is>
          <t>Product Support</t>
        </is>
      </c>
      <c r="AP396" s="53" t="inlineStr">
        <is>
          <t>Yes</t>
        </is>
      </c>
      <c r="AQ396" s="53" t="inlineStr">
        <is>
          <t>Product/Project</t>
        </is>
      </c>
      <c r="AR396" s="53" t="inlineStr">
        <is>
          <t>Tech Support</t>
        </is>
      </c>
      <c r="AS396" s="53" t="inlineStr">
        <is>
          <t>Non-technical</t>
        </is>
      </c>
      <c r="AT396" s="53" t="n">
        <v>20</v>
      </c>
      <c r="AU396" s="53" t="inlineStr">
        <is>
          <t>Covered</t>
        </is>
      </c>
      <c r="AV396" s="53" t="n"/>
      <c r="AW396" s="53" t="n"/>
      <c r="AX396" s="53" t="n"/>
      <c r="AY396" s="53" t="n"/>
      <c r="AZ396" s="53" t="n"/>
      <c r="BA396" s="53" t="n"/>
      <c r="BB396" s="53" t="n"/>
      <c r="BC396" s="53" t="n"/>
      <c r="BD396" s="53" t="n"/>
      <c r="BE396" s="53" t="n"/>
      <c r="BF396" s="53" t="n"/>
      <c r="BG396" s="53" t="n"/>
      <c r="BH396" s="53" t="n"/>
      <c r="BI396" s="53" t="n"/>
      <c r="BJ396" s="53" t="n"/>
      <c r="BK396" s="53" t="n"/>
      <c r="BL396" s="53" t="n"/>
      <c r="BM396" s="53" t="n"/>
      <c r="BN396" s="53" t="n"/>
      <c r="BO396" s="53" t="n"/>
      <c r="BP396" s="53" t="n"/>
      <c r="BQ396" s="53" t="n"/>
      <c r="BR396" s="53" t="n"/>
      <c r="BS396" s="53" t="n"/>
      <c r="BT396" s="53" t="n"/>
      <c r="BU396" s="53" t="n"/>
      <c r="BV396" s="53" t="n"/>
      <c r="BW396" s="53" t="n"/>
      <c r="BX396" s="53" t="n"/>
      <c r="BY396" s="53" t="n"/>
      <c r="BZ396" s="53" t="n"/>
      <c r="CA396" s="53" t="n"/>
      <c r="CB396" s="53" t="n"/>
      <c r="CC396" s="53" t="n"/>
      <c r="CD396" s="53" t="n"/>
      <c r="CE396" s="53" t="n"/>
      <c r="CF396" s="53" t="n"/>
      <c r="CG396" s="53" t="n"/>
      <c r="CH396" s="53" t="n"/>
      <c r="CI396" s="53" t="n"/>
      <c r="CJ396" s="53" t="n"/>
      <c r="CK396" s="53" t="n"/>
      <c r="CL396" s="53" t="n"/>
      <c r="CM396" s="53" t="n"/>
      <c r="CN396" s="53" t="n"/>
      <c r="CO396" s="53" t="n"/>
      <c r="CP396" s="53" t="n"/>
      <c r="CQ396" s="53" t="n"/>
      <c r="CR396" s="53" t="n"/>
      <c r="CS396" s="53" t="n"/>
      <c r="CT396" s="53" t="n"/>
      <c r="CU396" s="53" t="n"/>
      <c r="CV396" s="53" t="n"/>
      <c r="CW396" s="53" t="n"/>
      <c r="CX396" s="53" t="n"/>
      <c r="CY396" s="53" t="n"/>
      <c r="CZ396" s="53" t="n"/>
      <c r="DA396" s="53" t="n"/>
      <c r="DB396" s="53" t="n"/>
      <c r="DC396" s="53" t="n"/>
      <c r="DD396" s="53" t="inlineStr">
        <is>
          <t>IRIS1873</t>
        </is>
      </c>
      <c r="DE396" s="53" t="inlineStr">
        <is>
          <t>Employee</t>
        </is>
      </c>
      <c r="DF396" s="53" t="inlineStr">
        <is>
          <t>Active</t>
        </is>
      </c>
      <c r="DG396" s="53" t="inlineStr">
        <is>
          <t>Sayed Ibrahim</t>
        </is>
      </c>
      <c r="DH396" s="54" t="n">
        <v>44105</v>
      </c>
      <c r="DI396" s="53" t="inlineStr">
        <is>
          <t>Analyst</t>
        </is>
      </c>
      <c r="DJ396" s="53" t="inlineStr">
        <is>
          <t>Customer Success &amp; Support</t>
        </is>
      </c>
      <c r="DK396" s="53" t="inlineStr">
        <is>
          <t>Technical Support</t>
        </is>
      </c>
      <c r="DL396" s="53" t="inlineStr">
        <is>
          <t>Analyst</t>
        </is>
      </c>
      <c r="DM396" s="53" t="inlineStr">
        <is>
          <t>L3 – Professional / Associate</t>
        </is>
      </c>
      <c r="DN396" s="53" t="inlineStr">
        <is>
          <t>MBA</t>
        </is>
      </c>
      <c r="DO396" s="53" t="inlineStr">
        <is>
          <t>Nivedita Wagh</t>
        </is>
      </c>
      <c r="DP396" s="53" t="inlineStr">
        <is>
          <t>N-3</t>
        </is>
      </c>
      <c r="DQ396" s="53" t="inlineStr">
        <is>
          <t>Individual Contributor</t>
        </is>
      </c>
      <c r="DR396" s="53" t="inlineStr">
        <is>
          <t>4 years, 11 months, 0 days</t>
        </is>
      </c>
      <c r="DS396" s="53" t="inlineStr">
        <is>
          <t>5 years, 8 months, 19 days</t>
        </is>
      </c>
      <c r="DT396" s="53" t="inlineStr">
        <is>
          <t>10 years, 7 months, 19 days</t>
        </is>
      </c>
      <c r="DU396" s="53" t="n"/>
      <c r="DV396" s="53" t="inlineStr">
        <is>
          <t>Suptech</t>
        </is>
      </c>
      <c r="DW396" s="53" t="inlineStr">
        <is>
          <t>iFile</t>
        </is>
      </c>
      <c r="DX396" s="53" t="inlineStr">
        <is>
          <t>Support</t>
        </is>
      </c>
      <c r="DY396" s="53" t="inlineStr">
        <is>
          <t>Product Support</t>
        </is>
      </c>
      <c r="DZ396" s="53" t="inlineStr">
        <is>
          <t>Yes</t>
        </is>
      </c>
      <c r="EA396" s="53" t="inlineStr">
        <is>
          <t>Product/Project</t>
        </is>
      </c>
      <c r="EB396" s="53" t="inlineStr">
        <is>
          <t>Tech Support</t>
        </is>
      </c>
      <c r="EC396" s="53" t="inlineStr">
        <is>
          <t>Non-technical</t>
        </is>
      </c>
      <c r="ED396" s="53" t="inlineStr">
        <is>
          <t>Remote- Outside Mumbai</t>
        </is>
      </c>
      <c r="EE396" s="53" t="inlineStr">
        <is>
          <t>1.To gain Domain Knowledge, 2. To complate Data Analyst Course, 3. To make process degitize, 4. To maximise use of AI, 5. To achive good communication skills.</t>
        </is>
      </c>
      <c r="EF396" s="53"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EG396" s="53" t="inlineStr">
        <is>
          <t>Q1: Maintain client/customer satisfaction · CSAT of &gt;=4.2 / 5
Q1: Resolve &gt;=95% of assigned tickets/queries within SLA
Q1: Keep first-response time within agreed SLA on 100% of cases
Q1: Drive retention/renewal of assigned accounts to &gt;=90%</t>
        </is>
      </c>
      <c r="EH396" s="53" t="n">
        <v>3</v>
      </c>
      <c r="EI396" s="54" t="n">
        <v>45870</v>
      </c>
      <c r="EJ396" s="53" t="inlineStr">
        <is>
          <t>Financial Analyst</t>
        </is>
      </c>
      <c r="EK396" s="53" t="inlineStr">
        <is>
          <t>No</t>
        </is>
      </c>
      <c r="EL396" s="53" t="n">
        <v>3</v>
      </c>
      <c r="EM396" s="53" t="inlineStr">
        <is>
          <t>Medium</t>
        </is>
      </c>
      <c r="EN396" s="53" t="inlineStr">
        <is>
          <t>Core Contributor</t>
        </is>
      </c>
      <c r="EO396" s="53" t="inlineStr">
        <is>
          <t>No</t>
        </is>
      </c>
      <c r="EP396" s="53" t="inlineStr">
        <is>
          <t>Yes</t>
        </is>
      </c>
      <c r="EQ396" s="53" t="inlineStr">
        <is>
          <t>No</t>
        </is>
      </c>
      <c r="ER396" s="53" t="n"/>
      <c r="ES396" s="53" t="inlineStr">
        <is>
          <t>Customer success methods; communication &amp; de-escalation; product/domain depth; ticketing &amp; SLA tools</t>
        </is>
      </c>
      <c r="ET396" s="53" t="inlineStr">
        <is>
          <t>Transition to leadership: people management &amp; delegation, mentoring/coaching, project ownership &amp; stakeholder management, prioritisation under ambiguity, presentation &amp; influence skills</t>
        </is>
      </c>
      <c r="EU396" s="53" t="n"/>
      <c r="EV396" s="53" t="n"/>
      <c r="EW396" s="52" t="n"/>
      <c r="EX396" s="53" t="n"/>
      <c r="EY396" s="53" t="n"/>
      <c r="EZ396" s="53" t="n"/>
      <c r="FA396" s="53" t="n"/>
      <c r="FB396" s="53" t="n"/>
      <c r="FC396" s="53" t="n"/>
      <c r="FD396" s="53" t="n"/>
      <c r="FE396" s="57"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FF396" s="56" t="inlineStr">
        <is>
          <t>Q1: Maintain client/customer satisfaction · CSAT of &gt;=4.2 / 5
Q1: Resolve &gt;=95% of assigned tickets/queries within SLA
Q1: Keep first-response time within agreed SLA on 100% of cases
Q1: Drive retention/renewal of assigned accounts to &gt;=90%</t>
        </is>
      </c>
      <c r="FG396" s="56" t="inlineStr">
        <is>
          <t>1.To gain Domain Knowledge, 2. To complate Data Analyst Course, 3. To make process degitize, 4. To maximise use of AI, 5. To achive good communication skills.</t>
        </is>
      </c>
      <c r="FH396" s="56" t="inlineStr">
        <is>
          <t>3</t>
        </is>
      </c>
      <c r="FI396" s="56" t="n"/>
      <c r="FJ396" s="56" t="inlineStr">
        <is>
          <t>Received · manager annual, quarterly, self</t>
        </is>
      </c>
      <c r="FK396" s="56" t="inlineStr">
        <is>
          <t>Talent Mapping · iFile collated</t>
        </is>
      </c>
      <c r="FL396" s="56" t="n">
        <v>20</v>
      </c>
      <c r="FM396" s="32" t="inlineStr">
        <is>
          <t>Full survey answers not in the files received · How We Grow export needed · HR</t>
        </is>
      </c>
      <c r="FN396" s="56" t="inlineStr">
        <is>
          <t>—</t>
        </is>
      </c>
      <c r="FO396" s="56" t="inlineStr">
        <is>
          <t>—</t>
        </is>
      </c>
      <c r="FP396" s="56" t="inlineStr">
        <is>
          <t>—</t>
        </is>
      </c>
      <c r="FQ396" s="56" t="inlineStr">
        <is>
          <t>—</t>
        </is>
      </c>
      <c r="FR396" s="56" t="inlineStr">
        <is>
          <t>Complexity: Evidence reads like A2: Client demos, email query support, ticket monitoring and a weekly pivot-table ticket report → matches the start
Autonomy: Evidence reads like A2: Assigns tickets to appropriate agents and resolves validation errors; routine decisions → matches the start
Accountability: Evidence reads like A2: Timely monitoring and correct assignment of tickets; weekly open-ticket count report → matches the start
Leadership: Evidence reads like A1: Routes tickets to agents but no guidance or leadership described → matches the start
Business Impact: No survey or manager-mapping signal on criticality: kept at the start point.</t>
        </is>
      </c>
      <c r="FS396" s="56" t="inlineStr">
        <is>
          <t>Common themes in role-holders' answers: support · clients · provide · queries · issues · experience
Common themes in role-holders' answers: support · issue · customer · testing · coordination · client
Common themes in role-holders' answers: support · product · customer · provide · testing · deliver
Common themes in role-holders' answers: resolution · am · accountable · timely · client · quality
Common themes in role-holders' answers: issues · resolving · tickets · handle · erro · validation
If the work is missed · role-holders' themes: rework · incorrect · customer · client · dissatisfaction.
Measured on · manager-set KRA themes: resolve · accounts · maintain accurate · accurate up-to-date · escalations owned · tickets/queries sla.</t>
        </is>
      </c>
      <c r="FT396" s="56" t="inlineStr">
        <is>
          <t>Self-identified: Project / programme management · Data, SQL &amp; analytics · Broader exposure &amp; ownership
For the next role: Project / programme management · Data, SQL &amp; analytics · Broader exposure &amp; ownership</t>
        </is>
      </c>
      <c r="FU396" s="32" t="inlineStr">
        <is>
          <t>Full survey answers not in the files received · How We Grow export needed · HR</t>
        </is>
      </c>
    </row>
    <row r="397" ht="90" customHeight="1">
      <c r="A397" s="51" t="inlineStr">
        <is>
          <t>◂ Back</t>
        </is>
      </c>
      <c r="B397" s="29" t="inlineStr">
        <is>
          <t>Mapped</t>
        </is>
      </c>
      <c r="C397" s="28" t="inlineStr">
        <is>
          <t>iFile</t>
        </is>
      </c>
      <c r="D397" s="29" t="inlineStr">
        <is>
          <t>IRIS2482</t>
        </is>
      </c>
      <c r="E397" s="29" t="inlineStr">
        <is>
          <t>Aquib Shah</t>
        </is>
      </c>
      <c r="F397" s="29" t="inlineStr">
        <is>
          <t>Technology</t>
        </is>
      </c>
      <c r="G397" s="29" t="inlineStr">
        <is>
          <t>Trainee Software Engineer</t>
        </is>
      </c>
      <c r="H397" s="29" t="inlineStr">
        <is>
          <t>Software Engineer</t>
        </is>
      </c>
      <c r="I397" s="29" t="inlineStr">
        <is>
          <t>L2 – Trainee</t>
        </is>
      </c>
      <c r="J397" s="29" t="inlineStr">
        <is>
          <t>A2</t>
        </is>
      </c>
      <c r="K397" s="29" t="inlineStr">
        <is>
          <t>▲ Up</t>
        </is>
      </c>
      <c r="L397" s="29" t="inlineStr">
        <is>
          <t>Engineering &amp; Development</t>
        </is>
      </c>
      <c r="M397" s="29" t="inlineStr">
        <is>
          <t>Backend Development</t>
        </is>
      </c>
      <c r="N397" s="29" t="n"/>
      <c r="O397" s="29" t="n">
        <v>20</v>
      </c>
      <c r="P397" s="28" t="inlineStr">
        <is>
          <t>P1–P2</t>
        </is>
      </c>
      <c r="Q397" s="29" t="inlineStr">
        <is>
          <t>Entry / Developing</t>
        </is>
      </c>
      <c r="R397" s="29" t="inlineStr">
        <is>
          <t>2 Assist</t>
        </is>
      </c>
      <c r="S397" s="29" t="inlineStr">
        <is>
          <t>0–2 yrs</t>
        </is>
      </c>
      <c r="T397" s="29" t="inlineStr">
        <is>
          <t>1–3 · 0–3</t>
        </is>
      </c>
      <c r="U397" s="29" t="inlineStr">
        <is>
          <t>Associate Software Engineer / Software Engineer</t>
        </is>
      </c>
      <c r="V397" s="29" t="inlineStr">
        <is>
          <t>Workiva: Associate SE · Broadridge India: SE · Nasdaq / AxiomSL: SE · Salesforce: AMTS · Atlassian: P30 Junior · 0–2 yrs · Freshworks: SE</t>
        </is>
      </c>
      <c r="W397" s="29" t="inlineStr">
        <is>
          <t>SFIA 9 · software development, programming; OWASP secure coding; cloud vendor certifications</t>
        </is>
      </c>
      <c r="X397" s="29" t="inlineStr">
        <is>
          <t>Core 2 · Future 2 · Functional 2 · Leadership not scored</t>
        </is>
      </c>
      <c r="Y397" s="52" t="n">
        <v>456</v>
      </c>
      <c r="Z397" s="53" t="inlineStr">
        <is>
          <t>IRIS2482</t>
        </is>
      </c>
      <c r="AA397" s="53" t="inlineStr">
        <is>
          <t>Employee</t>
        </is>
      </c>
      <c r="AB397" s="53" t="inlineStr">
        <is>
          <t>Active</t>
        </is>
      </c>
      <c r="AC397" s="53" t="inlineStr">
        <is>
          <t>Aquib Shah</t>
        </is>
      </c>
      <c r="AD397" s="54" t="n">
        <v>46076</v>
      </c>
      <c r="AE397" s="53" t="inlineStr">
        <is>
          <t>Trainee Software Engineer</t>
        </is>
      </c>
      <c r="AF397" s="53" t="inlineStr">
        <is>
          <t>B.E</t>
        </is>
      </c>
      <c r="AG397" s="53" t="inlineStr">
        <is>
          <t>Nivedita Wagh</t>
        </is>
      </c>
      <c r="AH397" s="53" t="inlineStr">
        <is>
          <t>N-4</t>
        </is>
      </c>
      <c r="AI397" s="53" t="inlineStr">
        <is>
          <t>Individual Contributor</t>
        </is>
      </c>
      <c r="AJ397" s="53" t="inlineStr">
        <is>
          <t>1 years, 10 months, 0 days</t>
        </is>
      </c>
      <c r="AK397" s="53" t="inlineStr">
        <is>
          <t>0 years, 6 months, 2 days</t>
        </is>
      </c>
      <c r="AL397" s="53" t="inlineStr">
        <is>
          <t>Suptech</t>
        </is>
      </c>
      <c r="AM397" s="53" t="inlineStr">
        <is>
          <t>iFile</t>
        </is>
      </c>
      <c r="AN397" s="53" t="inlineStr">
        <is>
          <t>Technology</t>
        </is>
      </c>
      <c r="AO397" s="53" t="inlineStr">
        <is>
          <t>Development</t>
        </is>
      </c>
      <c r="AP397" s="53" t="inlineStr">
        <is>
          <t>Yes</t>
        </is>
      </c>
      <c r="AQ397" s="53" t="inlineStr">
        <is>
          <t>Product/Project</t>
        </is>
      </c>
      <c r="AR397" s="53" t="inlineStr">
        <is>
          <t>Java</t>
        </is>
      </c>
      <c r="AS397" s="53" t="inlineStr">
        <is>
          <t>Technical - Developer</t>
        </is>
      </c>
      <c r="AT397" s="53" t="n">
        <v>20</v>
      </c>
      <c r="AU397" s="53" t="inlineStr">
        <is>
          <t>Covered</t>
        </is>
      </c>
      <c r="AV397" s="53" t="n"/>
      <c r="AW397" s="53" t="n"/>
      <c r="AX397" s="53" t="n"/>
      <c r="AY397" s="53" t="n"/>
      <c r="AZ397" s="53" t="n"/>
      <c r="BA397" s="53" t="n"/>
      <c r="BB397" s="53" t="n"/>
      <c r="BC397" s="53" t="n"/>
      <c r="BD397" s="53" t="n"/>
      <c r="BE397" s="53" t="n"/>
      <c r="BF397" s="53" t="n"/>
      <c r="BG397" s="53" t="n"/>
      <c r="BH397" s="53" t="n"/>
      <c r="BI397" s="53" t="n"/>
      <c r="BJ397" s="53" t="n"/>
      <c r="BK397" s="53" t="n"/>
      <c r="BL397" s="53" t="n"/>
      <c r="BM397" s="53" t="n"/>
      <c r="BN397" s="53" t="n"/>
      <c r="BO397" s="53" t="n"/>
      <c r="BP397" s="53" t="n"/>
      <c r="BQ397" s="53" t="n"/>
      <c r="BR397" s="53" t="n"/>
      <c r="BS397" s="53" t="n"/>
      <c r="BT397" s="53" t="n"/>
      <c r="BU397" s="53" t="n"/>
      <c r="BV397" s="53" t="n"/>
      <c r="BW397" s="53" t="n"/>
      <c r="BX397" s="53" t="n"/>
      <c r="BY397" s="53" t="n"/>
      <c r="BZ397" s="53" t="n"/>
      <c r="CA397" s="53" t="n"/>
      <c r="CB397" s="53" t="n"/>
      <c r="CC397" s="53" t="n"/>
      <c r="CD397" s="53" t="n"/>
      <c r="CE397" s="53" t="n"/>
      <c r="CF397" s="53" t="n"/>
      <c r="CG397" s="53" t="n"/>
      <c r="CH397" s="53" t="n"/>
      <c r="CI397" s="53" t="n"/>
      <c r="CJ397" s="53" t="n"/>
      <c r="CK397" s="53" t="n"/>
      <c r="CL397" s="53" t="n"/>
      <c r="CM397" s="53" t="n"/>
      <c r="CN397" s="53" t="n"/>
      <c r="CO397" s="53" t="n"/>
      <c r="CP397" s="53" t="n"/>
      <c r="CQ397" s="53" t="n"/>
      <c r="CR397" s="53" t="n"/>
      <c r="CS397" s="53" t="n"/>
      <c r="CT397" s="53" t="n"/>
      <c r="CU397" s="53" t="n"/>
      <c r="CV397" s="53" t="n"/>
      <c r="CW397" s="53" t="n"/>
      <c r="CX397" s="53" t="n"/>
      <c r="CY397" s="53" t="n"/>
      <c r="CZ397" s="53" t="n"/>
      <c r="DA397" s="53" t="n"/>
      <c r="DB397" s="53" t="n"/>
      <c r="DC397" s="53" t="n"/>
      <c r="DD397" s="53" t="inlineStr">
        <is>
          <t>IRIS2482</t>
        </is>
      </c>
      <c r="DE397" s="53" t="inlineStr">
        <is>
          <t>Employee</t>
        </is>
      </c>
      <c r="DF397" s="53" t="inlineStr">
        <is>
          <t>Active</t>
        </is>
      </c>
      <c r="DG397" s="53" t="inlineStr">
        <is>
          <t>Aquib Shah</t>
        </is>
      </c>
      <c r="DH397" s="54" t="n">
        <v>46076</v>
      </c>
      <c r="DI397" s="53" t="inlineStr">
        <is>
          <t>Trainee Software Engineer</t>
        </is>
      </c>
      <c r="DJ397" s="53" t="inlineStr">
        <is>
          <t>Engineering &amp; Development</t>
        </is>
      </c>
      <c r="DK397" s="53" t="inlineStr">
        <is>
          <t>Backend Engineering · Java</t>
        </is>
      </c>
      <c r="DL397" s="53" t="inlineStr">
        <is>
          <t>Trainee Software Engineer</t>
        </is>
      </c>
      <c r="DM397" s="53" t="inlineStr">
        <is>
          <t>L2 – Trainee</t>
        </is>
      </c>
      <c r="DN397" s="53" t="inlineStr">
        <is>
          <t>B.E</t>
        </is>
      </c>
      <c r="DO397" s="53" t="inlineStr">
        <is>
          <t>Nivedita Wagh</t>
        </is>
      </c>
      <c r="DP397" s="53" t="inlineStr">
        <is>
          <t>N-3</t>
        </is>
      </c>
      <c r="DQ397" s="53" t="inlineStr">
        <is>
          <t>Individual Contributor</t>
        </is>
      </c>
      <c r="DR397" s="53" t="inlineStr">
        <is>
          <t>1 years, 10 months, 0 days</t>
        </is>
      </c>
      <c r="DS397" s="53" t="inlineStr">
        <is>
          <t>0 years, 3 months, 28 days</t>
        </is>
      </c>
      <c r="DT397" s="53" t="inlineStr">
        <is>
          <t>2 years, 1 months, 28 days</t>
        </is>
      </c>
      <c r="DU397" s="53" t="n"/>
      <c r="DV397" s="53" t="inlineStr">
        <is>
          <t>Suptech</t>
        </is>
      </c>
      <c r="DW397" s="53" t="inlineStr">
        <is>
          <t>iFile</t>
        </is>
      </c>
      <c r="DX397" s="53" t="inlineStr">
        <is>
          <t>Technology</t>
        </is>
      </c>
      <c r="DY397" s="53" t="inlineStr">
        <is>
          <t>Development</t>
        </is>
      </c>
      <c r="DZ397" s="53" t="inlineStr">
        <is>
          <t>Yes</t>
        </is>
      </c>
      <c r="EA397" s="53" t="inlineStr">
        <is>
          <t>Product/Project</t>
        </is>
      </c>
      <c r="EB397" s="53" t="inlineStr">
        <is>
          <t>Java</t>
        </is>
      </c>
      <c r="EC397" s="53" t="inlineStr">
        <is>
          <t>Technical - Developer</t>
        </is>
      </c>
      <c r="ED397" s="53" t="inlineStr">
        <is>
          <t>Work From Office - Turbhe</t>
        </is>
      </c>
      <c r="EE397" s="53" t="inlineStr">
        <is>
          <t>1.To gain Domain Knowledge, 2. To complate Data Analyst Course, 3. To make process degitize, 4. To maximise use of AI, 5. To achive good communication skills.</t>
        </is>
      </c>
      <c r="EF397"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397"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H397" s="53" t="n"/>
      <c r="EI397" s="53" t="n"/>
      <c r="EJ397" s="53" t="inlineStr">
        <is>
          <t>Trainee Software Engineer</t>
        </is>
      </c>
      <c r="EK397" s="53" t="inlineStr">
        <is>
          <t>No</t>
        </is>
      </c>
      <c r="EL397" s="53" t="n">
        <v>2</v>
      </c>
      <c r="EM397" s="53" t="inlineStr">
        <is>
          <t>Medium</t>
        </is>
      </c>
      <c r="EN397" s="53" t="inlineStr">
        <is>
          <t>High Impact / Growth Talent</t>
        </is>
      </c>
      <c r="EO397" s="53" t="inlineStr">
        <is>
          <t>No</t>
        </is>
      </c>
      <c r="EP397" s="53" t="inlineStr">
        <is>
          <t>Yes</t>
        </is>
      </c>
      <c r="EQ397" s="53" t="inlineStr">
        <is>
          <t>No</t>
        </is>
      </c>
      <c r="ER397" s="53" t="n"/>
      <c r="ES397" s="53" t="inlineStr">
        <is>
          <t>Advanced Java; secure coding &amp; code-quality practices; unit/automated testing; system design fundamentals</t>
        </is>
      </c>
      <c r="ET397" s="53" t="inlineStr">
        <is>
          <t>Transition to leadership: people management &amp; delegation, mentoring/coaching, project ownership &amp; stakeholder management, prioritisation under ambiguity, presentation &amp; influence skills</t>
        </is>
      </c>
      <c r="EU397" s="53" t="n"/>
      <c r="EV397" s="53" t="n"/>
      <c r="EW397" s="52" t="n"/>
      <c r="EX397" s="53" t="n"/>
      <c r="EY397" s="53" t="n"/>
      <c r="EZ397" s="53" t="n"/>
      <c r="FA397" s="53" t="n"/>
      <c r="FB397" s="53" t="n"/>
      <c r="FC397" s="53" t="n"/>
      <c r="FD397" s="53" t="n"/>
      <c r="FE397"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397"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FG397" s="56" t="inlineStr">
        <is>
          <t>1.To gain Domain Knowledge, 2. To complate Data Analyst Course, 3. To make process degitize, 4. To maximise use of AI, 5. To achive good communication skills.</t>
        </is>
      </c>
      <c r="FH397" s="56" t="n"/>
      <c r="FI397" s="56" t="n"/>
      <c r="FJ397" s="56" t="inlineStr">
        <is>
          <t>Received · manager annual, quarterly, self</t>
        </is>
      </c>
      <c r="FK397" s="56" t="inlineStr">
        <is>
          <t>Talent Mapping · iFile collated</t>
        </is>
      </c>
      <c r="FL397" s="56" t="n">
        <v>20</v>
      </c>
      <c r="FM397" s="32" t="inlineStr">
        <is>
          <t>Full survey answers not in the files received · How We Grow export needed · HR</t>
        </is>
      </c>
      <c r="FN397" s="56" t="inlineStr">
        <is>
          <t>—</t>
        </is>
      </c>
      <c r="FO397" s="56" t="inlineStr">
        <is>
          <t>—</t>
        </is>
      </c>
      <c r="FP397" s="56" t="inlineStr">
        <is>
          <t>—</t>
        </is>
      </c>
      <c r="FQ397" s="56" t="inlineStr">
        <is>
          <t>—</t>
        </is>
      </c>
      <c r="FR397" s="56" t="inlineStr">
        <is>
          <t>Business Impact: No survey or manager-mapping signal on criticality: kept at the start point.</t>
        </is>
      </c>
      <c r="FS397" s="56" t="inlineStr">
        <is>
          <t>Common themes in role-holders' answers: software · time · maintain · take · solutions · efficiency
Common themes in role-holders' answers: fixing · quality · bug · development · client · code
Common themes in role-holders' answers: solutions · bug · fixes · features
Common themes in role-holders' answers: quality · personally · reliable · delivering · am · accountable
Common themes in role-holders' answers: implement · solutions · issues · structure · design
If the work is missed · role-holders' themes: rework · incorrectly · issues · delays.
Measured on · manager-set KRA themes: improve · deliver · modules · committed · coverage · automated.</t>
        </is>
      </c>
      <c r="FT397" s="56" t="inlineStr">
        <is>
          <t>Self-identified: AI / automation · Technical depth &amp; architecture · Product &amp; tool knowledge
For the next role: AI / automation · Technical depth &amp; architecture · Product &amp; tool knowledge</t>
        </is>
      </c>
      <c r="FU397" s="32" t="inlineStr">
        <is>
          <t>Full survey answers not in the files received · How We Grow export needed · HR</t>
        </is>
      </c>
    </row>
    <row r="398" ht="90" customHeight="1">
      <c r="A398" s="51" t="inlineStr">
        <is>
          <t>◂ Back</t>
        </is>
      </c>
      <c r="B398" s="29" t="inlineStr">
        <is>
          <t>Mapped</t>
        </is>
      </c>
      <c r="C398" s="28" t="inlineStr">
        <is>
          <t>iFile</t>
        </is>
      </c>
      <c r="D398" s="29" t="inlineStr">
        <is>
          <t>IRIS2409</t>
        </is>
      </c>
      <c r="E398" s="29" t="inlineStr">
        <is>
          <t>Prabhakar Mhadse</t>
        </is>
      </c>
      <c r="F398" s="29" t="inlineStr">
        <is>
          <t>Technology</t>
        </is>
      </c>
      <c r="G398" s="29" t="inlineStr">
        <is>
          <t>Senior Software Engineer</t>
        </is>
      </c>
      <c r="H398" s="29" t="inlineStr">
        <is>
          <t>AI/ML Specialist – POD Lead</t>
        </is>
      </c>
      <c r="I398" s="29" t="inlineStr">
        <is>
          <t>L4 – Senior</t>
        </is>
      </c>
      <c r="J398" s="29" t="inlineStr">
        <is>
          <t>B1</t>
        </is>
      </c>
      <c r="K398" s="29" t="inlineStr">
        <is>
          <t>▲ Up</t>
        </is>
      </c>
      <c r="L398" s="29" t="inlineStr">
        <is>
          <t>Engineering &amp; Development</t>
        </is>
      </c>
      <c r="M398" s="29" t="inlineStr">
        <is>
          <t>AI / ML &amp; GenAI Engineering</t>
        </is>
      </c>
      <c r="N398" s="29" t="n"/>
      <c r="O398" s="29" t="n">
        <v>20</v>
      </c>
      <c r="P398" s="28" t="inlineStr">
        <is>
          <t>P3 / M2</t>
        </is>
      </c>
      <c r="Q398" s="29" t="inlineStr">
        <is>
          <t>Career / · Team Lead</t>
        </is>
      </c>
      <c r="R398" s="29" t="inlineStr">
        <is>
          <t>4 Enable</t>
        </is>
      </c>
      <c r="S398" s="29" t="inlineStr">
        <is>
          <t>4–7 yrs</t>
        </is>
      </c>
      <c r="T398" s="29" t="inlineStr">
        <is>
          <t>5–8 · 4–8</t>
        </is>
      </c>
      <c r="U398" s="29" t="inlineStr">
        <is>
          <t>Senior Software Engineer</t>
        </is>
      </c>
      <c r="V398" s="29" t="inlineStr">
        <is>
          <t>Workiva: SE / Senior SE · Broadridge India: Senior SE · Nasdaq / AxiomSL: Senior SE · Salesforce: MTS · Atlassian: P40 · Freshworks: Senior SE</t>
        </is>
      </c>
      <c r="W398" s="29" t="inlineStr">
        <is>
          <t>SFIA 9 · software development, programming; OWASP secure coding; cloud vendor certifications</t>
        </is>
      </c>
      <c r="X398" s="29" t="inlineStr">
        <is>
          <t>Core 3 · Future 3 · Functional 3 · Leadership 2</t>
        </is>
      </c>
      <c r="Y398" s="52" t="n">
        <v>388</v>
      </c>
      <c r="Z398" s="53" t="inlineStr">
        <is>
          <t>IRIS2409</t>
        </is>
      </c>
      <c r="AA398" s="53" t="inlineStr">
        <is>
          <t>Employee</t>
        </is>
      </c>
      <c r="AB398" s="53" t="inlineStr">
        <is>
          <t>Active</t>
        </is>
      </c>
      <c r="AC398" s="53" t="inlineStr">
        <is>
          <t>Prabhakar Mhadse</t>
        </is>
      </c>
      <c r="AD398" s="54" t="n">
        <v>45862</v>
      </c>
      <c r="AE398" s="53" t="inlineStr">
        <is>
          <t>Senior Software Engineer</t>
        </is>
      </c>
      <c r="AF398" s="53" t="inlineStr">
        <is>
          <t>ME</t>
        </is>
      </c>
      <c r="AG398" s="53" t="inlineStr">
        <is>
          <t>Pradip Dey</t>
        </is>
      </c>
      <c r="AH398" s="53" t="inlineStr">
        <is>
          <t>N-3</t>
        </is>
      </c>
      <c r="AI398" s="53" t="inlineStr">
        <is>
          <t>Manager</t>
        </is>
      </c>
      <c r="AJ398" s="53" t="inlineStr">
        <is>
          <t>7 years, 0 months, 0 days</t>
        </is>
      </c>
      <c r="AK398" s="53" t="inlineStr">
        <is>
          <t>1 years, 1 months, 1 days</t>
        </is>
      </c>
      <c r="AL398" s="53" t="inlineStr">
        <is>
          <t>Suptech</t>
        </is>
      </c>
      <c r="AM398" s="53" t="inlineStr">
        <is>
          <t>iFile</t>
        </is>
      </c>
      <c r="AN398" s="53" t="inlineStr">
        <is>
          <t>Technology</t>
        </is>
      </c>
      <c r="AO398" s="53" t="inlineStr">
        <is>
          <t>Development</t>
        </is>
      </c>
      <c r="AP398" s="53" t="inlineStr">
        <is>
          <t>Yes</t>
        </is>
      </c>
      <c r="AQ398" s="53" t="inlineStr">
        <is>
          <t>Product/Project</t>
        </is>
      </c>
      <c r="AR398" s="53" t="inlineStr">
        <is>
          <t>Python</t>
        </is>
      </c>
      <c r="AS398" s="53" t="inlineStr">
        <is>
          <t>Technical - Developer</t>
        </is>
      </c>
      <c r="AT398" s="53" t="n">
        <v>20</v>
      </c>
      <c r="AU398" s="53" t="inlineStr">
        <is>
          <t>Covered</t>
        </is>
      </c>
      <c r="AV398" s="53" t="n"/>
      <c r="AW398" s="53" t="n"/>
      <c r="AX398" s="53" t="n"/>
      <c r="AY398" s="53" t="n"/>
      <c r="AZ398" s="53" t="n"/>
      <c r="BA398" s="53" t="n"/>
      <c r="BB398" s="53" t="n"/>
      <c r="BC398" s="53" t="n"/>
      <c r="BD398" s="53" t="n"/>
      <c r="BE398" s="53" t="n"/>
      <c r="BF398" s="53" t="n"/>
      <c r="BG398" s="53" t="n"/>
      <c r="BH398" s="53" t="n"/>
      <c r="BI398" s="53" t="n"/>
      <c r="BJ398" s="53" t="n"/>
      <c r="BK398" s="53" t="n"/>
      <c r="BL398" s="53" t="n"/>
      <c r="BM398" s="53" t="n"/>
      <c r="BN398" s="53" t="n"/>
      <c r="BO398" s="53" t="n"/>
      <c r="BP398" s="53" t="n"/>
      <c r="BQ398" s="53" t="n"/>
      <c r="BR398" s="53" t="n"/>
      <c r="BS398" s="53" t="n"/>
      <c r="BT398" s="53" t="n"/>
      <c r="BU398" s="53" t="n"/>
      <c r="BV398" s="53" t="n"/>
      <c r="BW398" s="53" t="n"/>
      <c r="BX398" s="53" t="n"/>
      <c r="BY398" s="53" t="n"/>
      <c r="BZ398" s="53" t="n"/>
      <c r="CA398" s="53" t="n"/>
      <c r="CB398" s="53" t="n"/>
      <c r="CC398" s="53" t="n"/>
      <c r="CD398" s="53" t="n"/>
      <c r="CE398" s="53" t="n"/>
      <c r="CF398" s="53" t="n"/>
      <c r="CG398" s="53" t="n"/>
      <c r="CH398" s="53" t="n"/>
      <c r="CI398" s="53" t="n"/>
      <c r="CJ398" s="53" t="n"/>
      <c r="CK398" s="53" t="n"/>
      <c r="CL398" s="53" t="n"/>
      <c r="CM398" s="53" t="n"/>
      <c r="CN398" s="53" t="n"/>
      <c r="CO398" s="53" t="n"/>
      <c r="CP398" s="53" t="n"/>
      <c r="CQ398" s="53" t="n"/>
      <c r="CR398" s="53" t="n"/>
      <c r="CS398" s="53" t="n"/>
      <c r="CT398" s="53" t="n"/>
      <c r="CU398" s="53" t="n"/>
      <c r="CV398" s="53" t="n"/>
      <c r="CW398" s="53" t="n"/>
      <c r="CX398" s="53" t="n"/>
      <c r="CY398" s="53" t="n"/>
      <c r="CZ398" s="53" t="n"/>
      <c r="DA398" s="53" t="n"/>
      <c r="DB398" s="53" t="n"/>
      <c r="DC398" s="53" t="n"/>
      <c r="DD398" s="53" t="inlineStr">
        <is>
          <t>IRIS2409</t>
        </is>
      </c>
      <c r="DE398" s="53" t="inlineStr">
        <is>
          <t>Employee</t>
        </is>
      </c>
      <c r="DF398" s="53" t="inlineStr">
        <is>
          <t>Active</t>
        </is>
      </c>
      <c r="DG398" s="53" t="inlineStr">
        <is>
          <t>Prabhakar Mhadse</t>
        </is>
      </c>
      <c r="DH398" s="54" t="n">
        <v>45862</v>
      </c>
      <c r="DI398" s="53" t="inlineStr">
        <is>
          <t>Senior Software Engineer</t>
        </is>
      </c>
      <c r="DJ398" s="53" t="inlineStr">
        <is>
          <t>Engineering &amp; Development</t>
        </is>
      </c>
      <c r="DK398" s="53" t="inlineStr">
        <is>
          <t>Backend Engineering · Python</t>
        </is>
      </c>
      <c r="DL398" s="53" t="inlineStr">
        <is>
          <t>Senior Software Engineer</t>
        </is>
      </c>
      <c r="DM398" s="53" t="inlineStr">
        <is>
          <t>L4 – Senior</t>
        </is>
      </c>
      <c r="DN398" s="53" t="inlineStr">
        <is>
          <t>ME</t>
        </is>
      </c>
      <c r="DO398" s="53" t="inlineStr">
        <is>
          <t>Pradip Dey</t>
        </is>
      </c>
      <c r="DP398" s="53" t="inlineStr">
        <is>
          <t>N-2</t>
        </is>
      </c>
      <c r="DQ398" s="53" t="inlineStr">
        <is>
          <t>Manager</t>
        </is>
      </c>
      <c r="DR398" s="53" t="inlineStr">
        <is>
          <t>7 years, 0 months, 0 days</t>
        </is>
      </c>
      <c r="DS398" s="53" t="inlineStr">
        <is>
          <t>0 years, 10 months, 27 days</t>
        </is>
      </c>
      <c r="DT398" s="53" t="inlineStr">
        <is>
          <t>7 years, 10 months, 27 days</t>
        </is>
      </c>
      <c r="DU398" s="53" t="n">
        <v>0.907305936073059</v>
      </c>
      <c r="DV398" s="53" t="inlineStr">
        <is>
          <t>Suptech</t>
        </is>
      </c>
      <c r="DW398" s="53" t="inlineStr">
        <is>
          <t>iFile</t>
        </is>
      </c>
      <c r="DX398" s="53" t="inlineStr">
        <is>
          <t>Technology</t>
        </is>
      </c>
      <c r="DY398" s="53" t="inlineStr">
        <is>
          <t>Development</t>
        </is>
      </c>
      <c r="DZ398" s="53" t="inlineStr">
        <is>
          <t>Yes</t>
        </is>
      </c>
      <c r="EA398" s="53" t="inlineStr">
        <is>
          <t>Product/Project</t>
        </is>
      </c>
      <c r="EB398" s="53" t="inlineStr">
        <is>
          <t>Python</t>
        </is>
      </c>
      <c r="EC398" s="53" t="inlineStr">
        <is>
          <t>Technical - Developer</t>
        </is>
      </c>
      <c r="ED398" s="53" t="inlineStr">
        <is>
          <t>Work From Office - Turbhe</t>
        </is>
      </c>
      <c r="EE398" s="53" t="n"/>
      <c r="EF398" s="53" t="n"/>
      <c r="EG398" s="53" t="n"/>
      <c r="EH398" s="53" t="n"/>
      <c r="EI398" s="53" t="n"/>
      <c r="EJ398" s="53" t="inlineStr">
        <is>
          <t>Senior Software Engineer</t>
        </is>
      </c>
      <c r="EK398" s="53" t="n"/>
      <c r="EL398" s="53" t="n"/>
      <c r="EM398" s="53" t="n"/>
      <c r="EN398" s="53" t="n"/>
      <c r="EO398" s="53" t="n"/>
      <c r="EP398" s="53" t="n"/>
      <c r="EQ398" s="53" t="n"/>
      <c r="ER398" s="53" t="n"/>
      <c r="ES398" s="53" t="n"/>
      <c r="ET398" s="53" t="n"/>
      <c r="EU398" s="53" t="inlineStr">
        <is>
          <t>QCB,JCM,CBJ,SBC,SSM,CBRD,ACRA,QSE,MOCI,GRI,Pre-Sales,CMA-Oman,SCM,IRIS Noah,IRIS Bushchat</t>
        </is>
      </c>
      <c r="EV398" s="53" t="n"/>
      <c r="EW398" s="52" t="n"/>
      <c r="EX398" s="53" t="n"/>
      <c r="EY398" s="53" t="n"/>
      <c r="EZ398" s="53" t="n"/>
      <c r="FA398" s="53" t="n"/>
      <c r="FB398" s="53" t="n"/>
      <c r="FC398" s="53" t="n"/>
      <c r="FD398" s="53" t="n"/>
      <c r="FE398" s="55" t="inlineStr">
        <is>
          <t>KRAs not received · manager to supply</t>
        </is>
      </c>
      <c r="FF398" s="56" t="n"/>
      <c r="FG398" s="56" t="n"/>
      <c r="FH398" s="56" t="n"/>
      <c r="FI398" s="56" t="n"/>
      <c r="FJ398" s="32" t="inlineStr">
        <is>
          <t>KRAs not received · manager to supply</t>
        </is>
      </c>
      <c r="FK398" s="56" t="n"/>
      <c r="FL398" s="56" t="n">
        <v>20</v>
      </c>
      <c r="FM398" s="32" t="inlineStr">
        <is>
          <t>Full survey answers not in the files received · How We Grow export needed · HR</t>
        </is>
      </c>
      <c r="FN398" s="56" t="inlineStr">
        <is>
          <t>—</t>
        </is>
      </c>
      <c r="FO398" s="56" t="inlineStr">
        <is>
          <t>—</t>
        </is>
      </c>
      <c r="FP398" s="56" t="inlineStr">
        <is>
          <t>—</t>
        </is>
      </c>
      <c r="FQ398" s="56" t="inlineStr">
        <is>
          <t>—</t>
        </is>
      </c>
      <c r="FR398" s="56" t="inlineStr">
        <is>
          <t>Complexity: Evidence reads like A3: Builds AI solutions end to end in Python and deploys them with Docker/Podman → matches the start
Autonomy: Evidence reads like A2: Decides technical implementation of own work only → moved down 0.5
Accountability: Evidence reads like A2: own survey / KRA answers · summarised by the rater; not quoted → moved down 0.5
Leadership: Evidence reads like A1: No guiding described despite one report → moved down 0.5
Business Impact: No survey or manager-mapping signal on criticality: kept at the start point.</t>
        </is>
      </c>
      <c r="FS398" s="56" t="inlineStr">
        <is>
          <t>Common themes in sub-family holders, all levels' answers: business · ai · solutions · building · solve · enhance
Common themes in sub-family holders, all levels' answers: ai · technical · development · evaluation · research · system
Common themes in sub-family holders, all levels' answers: ai · solutions · anomaly · features · automated
Common themes in sub-family holders, all levels' answers: quality · ai · accountable · accuracy · reliability · solutions
Common themes in sub-family holders, all levels' answers: approach · research · ai · technical · quality
If the work is missed · role-holders' themes: delays · lead · incorrect · rework · quality.</t>
        </is>
      </c>
      <c r="FT398" s="56" t="inlineStr">
        <is>
          <t>Self-identified: Technical depth &amp; architecture
For the next role: Technical depth &amp; architecture</t>
        </is>
      </c>
      <c r="FU398" s="32" t="inlineStr">
        <is>
          <t>Full survey answers not in the files received · How We Grow export needed · HR</t>
        </is>
      </c>
    </row>
    <row r="399" ht="90" customHeight="1">
      <c r="A399" s="51" t="inlineStr">
        <is>
          <t>◂ Back</t>
        </is>
      </c>
      <c r="B399" s="29" t="inlineStr">
        <is>
          <t>Mapped</t>
        </is>
      </c>
      <c r="C399" s="28" t="inlineStr">
        <is>
          <t>iFile</t>
        </is>
      </c>
      <c r="D399" s="29" t="inlineStr">
        <is>
          <t>IRIS2483</t>
        </is>
      </c>
      <c r="E399" s="29" t="inlineStr">
        <is>
          <t>Soham Narsinge</t>
        </is>
      </c>
      <c r="F399" s="29" t="inlineStr">
        <is>
          <t>Technology</t>
        </is>
      </c>
      <c r="G399" s="29" t="inlineStr">
        <is>
          <t>Trainee Software Engineer</t>
        </is>
      </c>
      <c r="H399" s="29" t="inlineStr">
        <is>
          <t>AI/ML Engineer</t>
        </is>
      </c>
      <c r="I399" s="29" t="inlineStr">
        <is>
          <t>Not in current mapping files</t>
        </is>
      </c>
      <c r="J399" s="29" t="inlineStr">
        <is>
          <t>A2</t>
        </is>
      </c>
      <c r="K399" s="29" t="inlineStr">
        <is>
          <t>● Newly mapped</t>
        </is>
      </c>
      <c r="L399" s="29" t="inlineStr">
        <is>
          <t>Engineering &amp; Development</t>
        </is>
      </c>
      <c r="M399" s="29" t="inlineStr">
        <is>
          <t>AI / ML &amp; GenAI Engineering</t>
        </is>
      </c>
      <c r="N399" s="29" t="n"/>
      <c r="O399" s="29" t="n">
        <v>20</v>
      </c>
      <c r="P399" s="28" t="inlineStr">
        <is>
          <t>P1–P2</t>
        </is>
      </c>
      <c r="Q399" s="29" t="inlineStr">
        <is>
          <t>Entry / Developing</t>
        </is>
      </c>
      <c r="R399" s="29" t="inlineStr">
        <is>
          <t>2 Assist</t>
        </is>
      </c>
      <c r="S399" s="29" t="inlineStr">
        <is>
          <t>0–2 yrs</t>
        </is>
      </c>
      <c r="T399" s="29" t="inlineStr">
        <is>
          <t>1–3 · 0–3</t>
        </is>
      </c>
      <c r="U399" s="29" t="inlineStr">
        <is>
          <t>Associate Software Engineer / Software Engineer</t>
        </is>
      </c>
      <c r="V399" s="29" t="inlineStr">
        <is>
          <t>Workiva: Associate SE · Broadridge India: SE · Nasdaq / AxiomSL: SE · Salesforce: AMTS · Atlassian: P30 Junior · 0–2 yrs · Freshworks: SE</t>
        </is>
      </c>
      <c r="W399" s="29" t="inlineStr">
        <is>
          <t>SFIA 9 · software development, programming; OWASP secure coding; cloud vendor certifications</t>
        </is>
      </c>
      <c r="X399" s="29" t="inlineStr">
        <is>
          <t>Core 2 · Future 2 · Functional 2 · Leadership not scored</t>
        </is>
      </c>
      <c r="Y399" s="52" t="n">
        <v>458</v>
      </c>
      <c r="Z399" s="53" t="inlineStr">
        <is>
          <t>IRIS2483</t>
        </is>
      </c>
      <c r="AA399" s="53" t="inlineStr">
        <is>
          <t>Employee</t>
        </is>
      </c>
      <c r="AB399" s="53" t="inlineStr">
        <is>
          <t>Active</t>
        </is>
      </c>
      <c r="AC399" s="53" t="inlineStr">
        <is>
          <t>Soham Narsinge</t>
        </is>
      </c>
      <c r="AD399" s="54" t="n">
        <v>46083</v>
      </c>
      <c r="AE399" s="53" t="inlineStr">
        <is>
          <t>Trainee Software Engineer</t>
        </is>
      </c>
      <c r="AF399" s="53" t="inlineStr">
        <is>
          <t>B.E</t>
        </is>
      </c>
      <c r="AG399" s="53" t="inlineStr">
        <is>
          <t>Prabhakar Mhadse</t>
        </is>
      </c>
      <c r="AH399" s="53" t="inlineStr">
        <is>
          <t>N-4</t>
        </is>
      </c>
      <c r="AI399" s="53" t="inlineStr">
        <is>
          <t>Individual Contributor</t>
        </is>
      </c>
      <c r="AJ399" s="53" t="inlineStr">
        <is>
          <t>0 years, 8 months, 0 days</t>
        </is>
      </c>
      <c r="AK399" s="53" t="inlineStr">
        <is>
          <t>0 years, 5 months, 23 days</t>
        </is>
      </c>
      <c r="AL399" s="53" t="inlineStr">
        <is>
          <t>Suptech</t>
        </is>
      </c>
      <c r="AM399" s="53" t="inlineStr">
        <is>
          <t>iFile</t>
        </is>
      </c>
      <c r="AN399" s="53" t="inlineStr">
        <is>
          <t>Technology</t>
        </is>
      </c>
      <c r="AO399" s="53" t="inlineStr">
        <is>
          <t>Development</t>
        </is>
      </c>
      <c r="AP399" s="53" t="inlineStr">
        <is>
          <t>Yes</t>
        </is>
      </c>
      <c r="AQ399" s="53" t="inlineStr">
        <is>
          <t>Product/Project</t>
        </is>
      </c>
      <c r="AR399" s="53" t="inlineStr">
        <is>
          <t>Python</t>
        </is>
      </c>
      <c r="AS399" s="53" t="inlineStr">
        <is>
          <t>Technical - Developer</t>
        </is>
      </c>
      <c r="AT399" s="53" t="n">
        <v>20</v>
      </c>
      <c r="AU399" s="53" t="inlineStr">
        <is>
          <t>Covered</t>
        </is>
      </c>
      <c r="AV399" s="53" t="n"/>
      <c r="AW399" s="53" t="n"/>
      <c r="AX399" s="53" t="n"/>
      <c r="AY399" s="53" t="n"/>
      <c r="AZ399" s="53" t="n"/>
      <c r="BA399" s="53" t="n"/>
      <c r="BB399" s="53" t="n"/>
      <c r="BC399" s="53" t="n"/>
      <c r="BD399" s="53" t="n"/>
      <c r="BE399" s="53" t="n"/>
      <c r="BF399" s="53" t="n"/>
      <c r="BG399" s="53" t="n"/>
      <c r="BH399" s="53" t="n"/>
      <c r="BI399" s="53" t="n"/>
      <c r="BJ399" s="53" t="n"/>
      <c r="BK399" s="53" t="n"/>
      <c r="BL399" s="53" t="n"/>
      <c r="BM399" s="53" t="n"/>
      <c r="BN399" s="53" t="n"/>
      <c r="BO399" s="53" t="n"/>
      <c r="BP399" s="53" t="n"/>
      <c r="BQ399" s="53" t="n"/>
      <c r="BR399" s="53" t="n"/>
      <c r="BS399" s="53" t="n"/>
      <c r="BT399" s="53" t="n"/>
      <c r="BU399" s="53" t="n"/>
      <c r="BV399" s="53" t="n"/>
      <c r="BW399" s="53" t="n"/>
      <c r="BX399" s="53" t="n"/>
      <c r="BY399" s="53" t="n"/>
      <c r="BZ399" s="53" t="n"/>
      <c r="CA399" s="53" t="n"/>
      <c r="CB399" s="53" t="n"/>
      <c r="CC399" s="53" t="n"/>
      <c r="CD399" s="53" t="n"/>
      <c r="CE399" s="53" t="n"/>
      <c r="CF399" s="53" t="n"/>
      <c r="CG399" s="53" t="n"/>
      <c r="CH399" s="53" t="n"/>
      <c r="CI399" s="53" t="n"/>
      <c r="CJ399" s="53" t="n"/>
      <c r="CK399" s="53" t="n"/>
      <c r="CL399" s="53" t="n"/>
      <c r="CM399" s="53" t="n"/>
      <c r="CN399" s="53" t="n"/>
      <c r="CO399" s="53" t="n"/>
      <c r="CP399" s="53" t="n"/>
      <c r="CQ399" s="53" t="n"/>
      <c r="CR399" s="53" t="n"/>
      <c r="CS399" s="53" t="n"/>
      <c r="CT399" s="53" t="n"/>
      <c r="CU399" s="53" t="n"/>
      <c r="CV399" s="53" t="n"/>
      <c r="CW399" s="53" t="n"/>
      <c r="CX399" s="53" t="n"/>
      <c r="CY399" s="53" t="n"/>
      <c r="CZ399" s="53" t="n"/>
      <c r="DA399" s="53" t="n"/>
      <c r="DB399" s="53" t="n"/>
      <c r="DC399" s="53" t="n"/>
      <c r="DD399" s="53" t="n"/>
      <c r="DE399" s="53" t="n"/>
      <c r="DF399" s="53" t="n"/>
      <c r="DG399" s="53" t="n"/>
      <c r="DH399" s="53" t="n"/>
      <c r="DI399" s="53" t="n"/>
      <c r="DJ399" s="53" t="n"/>
      <c r="DK399" s="53" t="n"/>
      <c r="DL399" s="53" t="n"/>
      <c r="DM399" s="53" t="n"/>
      <c r="DN399" s="53" t="n"/>
      <c r="DO399" s="53" t="n"/>
      <c r="DP399" s="53" t="n"/>
      <c r="DQ399" s="53" t="n"/>
      <c r="DR399" s="53" t="n"/>
      <c r="DS399" s="53" t="n"/>
      <c r="DT399" s="53" t="n"/>
      <c r="DU399" s="53" t="n"/>
      <c r="DV399" s="53" t="n"/>
      <c r="DW399" s="53" t="n"/>
      <c r="DX399" s="53" t="n"/>
      <c r="DY399" s="53" t="n"/>
      <c r="DZ399" s="53" t="n"/>
      <c r="EA399" s="53" t="n"/>
      <c r="EB399" s="53" t="n"/>
      <c r="EC399" s="53" t="n"/>
      <c r="ED399" s="53" t="n"/>
      <c r="EE399" s="53" t="n"/>
      <c r="EF399" s="53" t="n"/>
      <c r="EG399" s="53" t="n"/>
      <c r="EH399" s="53" t="n"/>
      <c r="EI399" s="53" t="n"/>
      <c r="EJ399" s="53" t="n"/>
      <c r="EK399" s="53" t="n"/>
      <c r="EL399" s="53" t="n"/>
      <c r="EM399" s="53" t="n"/>
      <c r="EN399" s="53" t="n"/>
      <c r="EO399" s="53" t="n"/>
      <c r="EP399" s="53" t="n"/>
      <c r="EQ399" s="53" t="n"/>
      <c r="ER399" s="53" t="n"/>
      <c r="ES399" s="53" t="n"/>
      <c r="ET399" s="53" t="n"/>
      <c r="EU399" s="53" t="n"/>
      <c r="EV399" s="53" t="n"/>
      <c r="EW399" s="52" t="n"/>
      <c r="EX399" s="53" t="n"/>
      <c r="EY399" s="53" t="n"/>
      <c r="EZ399" s="53" t="n"/>
      <c r="FA399" s="53" t="n"/>
      <c r="FB399" s="53" t="n"/>
      <c r="FC399" s="53" t="n"/>
      <c r="FD399" s="53" t="n"/>
      <c r="FE399" s="55" t="inlineStr">
        <is>
          <t>KRAs not received · manager to supply</t>
        </is>
      </c>
      <c r="FF399" s="56" t="n"/>
      <c r="FG399" s="56" t="n"/>
      <c r="FH399" s="56" t="n"/>
      <c r="FI399" s="56" t="n"/>
      <c r="FJ399" s="32" t="inlineStr">
        <is>
          <t>KRAs not received · manager to supply</t>
        </is>
      </c>
      <c r="FK399" s="56" t="n"/>
      <c r="FL399" s="56" t="n">
        <v>20</v>
      </c>
      <c r="FM399" s="32" t="inlineStr">
        <is>
          <t>Full survey answers not in the files received · How We Grow export needed · HR</t>
        </is>
      </c>
      <c r="FN399" s="56" t="inlineStr">
        <is>
          <t>—</t>
        </is>
      </c>
      <c r="FO399" s="56" t="inlineStr">
        <is>
          <t>—</t>
        </is>
      </c>
      <c r="FP399" s="56" t="inlineStr">
        <is>
          <t>—</t>
        </is>
      </c>
      <c r="FQ399" s="56" t="inlineStr">
        <is>
          <t>—</t>
        </is>
      </c>
      <c r="FR399" s="56" t="inlineStr">
        <is>
          <t>Complexity: Evidence reads like A3: Builds AI POCs with RAG, OCR/VLMs, prompt engineering and model evaluation; regulatory research → moved up 1
Autonomy: Evidence reads like A2: Only quality testing of AI POCs named → moved up 0.5
Accountability: Evidence reads like A2: own survey / KRA answers · summarised by the rater; not quoted → moved up 0.5
Leadership: Evidence reads like A1: None described → matches the start
Business Impact: No survey or manager-mapping signal on criticality: kept at the start point.</t>
        </is>
      </c>
      <c r="FS399" s="56" t="inlineStr">
        <is>
          <t>Common themes in role-holders' answers: building · solve · business · solutions
Common themes in role-holders' answers: ai · solution · testing · technical
Common themes in role-holders' answers: ai · solutions
Common themes in role-holders' answers: testing · develop · quality · solutions · ai · accountable
If the work is missed · role-holders' themes: incorrect · lead · delays · rework.</t>
        </is>
      </c>
      <c r="FT399" s="56" t="inlineStr">
        <is>
          <t>Self-identified: AI / automation · Project / programme management · Technical depth &amp; architecture · Product &amp; tool knowledge · Broader exposure &amp; ownership
For the next role: AI / automation · Leadership &amp; people management · Project / programme management · Technical depth &amp; architecture · Product &amp; tool knowledge · Broader exposure &amp; ownership</t>
        </is>
      </c>
      <c r="FU399" s="32" t="inlineStr">
        <is>
          <t>Full survey answers not in the files received · How We Grow export needed · HR</t>
        </is>
      </c>
    </row>
    <row r="400" ht="90" customHeight="1">
      <c r="A400" s="51" t="inlineStr">
        <is>
          <t>◂ Back</t>
        </is>
      </c>
      <c r="B400" s="29" t="inlineStr">
        <is>
          <t>Mapped</t>
        </is>
      </c>
      <c r="C400" s="28" t="inlineStr">
        <is>
          <t>iFile</t>
        </is>
      </c>
      <c r="D400" s="29" t="inlineStr">
        <is>
          <t>IRIS1593</t>
        </is>
      </c>
      <c r="E400" s="29" t="inlineStr">
        <is>
          <t>Rajeev Kumar</t>
        </is>
      </c>
      <c r="F400" s="29" t="inlineStr">
        <is>
          <t>Design</t>
        </is>
      </c>
      <c r="G400" s="29" t="inlineStr">
        <is>
          <t>Senior UI Developer</t>
        </is>
      </c>
      <c r="H400" s="29" t="inlineStr">
        <is>
          <t>UI Specialist – POD Lead</t>
        </is>
      </c>
      <c r="I400" s="29" t="inlineStr">
        <is>
          <t>L4 – Senior</t>
        </is>
      </c>
      <c r="J400" s="29" t="inlineStr">
        <is>
          <t>B1</t>
        </is>
      </c>
      <c r="K400" s="29" t="inlineStr">
        <is>
          <t>▲ Up</t>
        </is>
      </c>
      <c r="L400" s="29" t="inlineStr">
        <is>
          <t>Engineering &amp; Development</t>
        </is>
      </c>
      <c r="M400" s="29" t="inlineStr">
        <is>
          <t>Front-End / UI Development</t>
        </is>
      </c>
      <c r="N400" s="29" t="n"/>
      <c r="O400" s="29" t="n">
        <v>20</v>
      </c>
      <c r="P400" s="28" t="inlineStr">
        <is>
          <t>P3 / M2</t>
        </is>
      </c>
      <c r="Q400" s="29" t="inlineStr">
        <is>
          <t>Career / · Team Lead</t>
        </is>
      </c>
      <c r="R400" s="29" t="inlineStr">
        <is>
          <t>4 Enable</t>
        </is>
      </c>
      <c r="S400" s="29" t="inlineStr">
        <is>
          <t>4–7 yrs</t>
        </is>
      </c>
      <c r="T400" s="29" t="inlineStr">
        <is>
          <t>5–8 · 4–8</t>
        </is>
      </c>
      <c r="U400" s="29" t="inlineStr">
        <is>
          <t>Senior Software Engineer</t>
        </is>
      </c>
      <c r="V400" s="29" t="inlineStr">
        <is>
          <t>Workiva: SE / Senior SE · Broadridge India: Senior SE · Nasdaq / AxiomSL: Senior SE · Salesforce: MTS · Atlassian: P40 · Freshworks: Senior SE</t>
        </is>
      </c>
      <c r="W400" s="29" t="inlineStr">
        <is>
          <t>SFIA 9 · software development, programming; OWASP secure coding; cloud vendor certifications</t>
        </is>
      </c>
      <c r="X400" s="29" t="inlineStr">
        <is>
          <t>Core 3 · Future 3 · Functional 3 · Leadership 2</t>
        </is>
      </c>
      <c r="Y400" s="52" t="n">
        <v>130</v>
      </c>
      <c r="Z400" s="53" t="inlineStr">
        <is>
          <t>IRIS1593</t>
        </is>
      </c>
      <c r="AA400" s="53" t="inlineStr">
        <is>
          <t>Employee</t>
        </is>
      </c>
      <c r="AB400" s="53" t="inlineStr">
        <is>
          <t>Active</t>
        </is>
      </c>
      <c r="AC400" s="53" t="inlineStr">
        <is>
          <t>Rajeev Kumar</t>
        </is>
      </c>
      <c r="AD400" s="54" t="n">
        <v>42605</v>
      </c>
      <c r="AE400" s="53" t="inlineStr">
        <is>
          <t>Senior UI Developer</t>
        </is>
      </c>
      <c r="AF400" s="53" t="inlineStr">
        <is>
          <t>MCA</t>
        </is>
      </c>
      <c r="AG400" s="53" t="inlineStr">
        <is>
          <t>Pradip Dey</t>
        </is>
      </c>
      <c r="AH400" s="53" t="inlineStr">
        <is>
          <t>N-3</t>
        </is>
      </c>
      <c r="AI400" s="53" t="inlineStr">
        <is>
          <t>Manager</t>
        </is>
      </c>
      <c r="AJ400" s="53" t="inlineStr">
        <is>
          <t>5 years, 6 months, 0 days</t>
        </is>
      </c>
      <c r="AK400" s="53" t="inlineStr">
        <is>
          <t>10 years, 0 months, 2 days</t>
        </is>
      </c>
      <c r="AL400" s="53" t="inlineStr">
        <is>
          <t>Suptech</t>
        </is>
      </c>
      <c r="AM400" s="53" t="inlineStr">
        <is>
          <t>iFile</t>
        </is>
      </c>
      <c r="AN400" s="53" t="inlineStr">
        <is>
          <t>Design</t>
        </is>
      </c>
      <c r="AO400" s="53" t="inlineStr">
        <is>
          <t>UI</t>
        </is>
      </c>
      <c r="AP400" s="53" t="inlineStr">
        <is>
          <t>No</t>
        </is>
      </c>
      <c r="AQ400" s="53" t="inlineStr">
        <is>
          <t>Product/Project</t>
        </is>
      </c>
      <c r="AR400" s="53" t="inlineStr">
        <is>
          <t>UI</t>
        </is>
      </c>
      <c r="AS400" s="53" t="inlineStr">
        <is>
          <t>Technical - Developer</t>
        </is>
      </c>
      <c r="AT400" s="53" t="n">
        <v>20</v>
      </c>
      <c r="AU400" s="53" t="inlineStr">
        <is>
          <t>Covered</t>
        </is>
      </c>
      <c r="AV400" s="53" t="n"/>
      <c r="AW400" s="53" t="n"/>
      <c r="AX400" s="53" t="n"/>
      <c r="AY400" s="53" t="n"/>
      <c r="AZ400" s="53" t="n"/>
      <c r="BA400" s="53" t="n"/>
      <c r="BB400" s="53" t="n"/>
      <c r="BC400" s="53" t="n"/>
      <c r="BD400" s="53" t="n"/>
      <c r="BE400" s="53" t="n"/>
      <c r="BF400" s="53" t="n"/>
      <c r="BG400" s="53" t="n"/>
      <c r="BH400" s="53" t="n"/>
      <c r="BI400" s="53" t="n"/>
      <c r="BJ400" s="53" t="n"/>
      <c r="BK400" s="53" t="n"/>
      <c r="BL400" s="53" t="n"/>
      <c r="BM400" s="53" t="n"/>
      <c r="BN400" s="53" t="n"/>
      <c r="BO400" s="53" t="n"/>
      <c r="BP400" s="53" t="n"/>
      <c r="BQ400" s="53" t="n"/>
      <c r="BR400" s="53" t="n"/>
      <c r="BS400" s="53" t="n"/>
      <c r="BT400" s="53" t="n"/>
      <c r="BU400" s="53" t="n"/>
      <c r="BV400" s="53" t="n"/>
      <c r="BW400" s="53" t="n"/>
      <c r="BX400" s="53" t="n"/>
      <c r="BY400" s="53" t="n"/>
      <c r="BZ400" s="53" t="n"/>
      <c r="CA400" s="53" t="n"/>
      <c r="CB400" s="53" t="n"/>
      <c r="CC400" s="53" t="n"/>
      <c r="CD400" s="53" t="n"/>
      <c r="CE400" s="53" t="n"/>
      <c r="CF400" s="53" t="n"/>
      <c r="CG400" s="53" t="n"/>
      <c r="CH400" s="53" t="n"/>
      <c r="CI400" s="53" t="n"/>
      <c r="CJ400" s="53" t="n"/>
      <c r="CK400" s="53" t="n"/>
      <c r="CL400" s="53" t="n"/>
      <c r="CM400" s="53" t="n"/>
      <c r="CN400" s="53" t="n"/>
      <c r="CO400" s="53" t="n"/>
      <c r="CP400" s="53" t="n"/>
      <c r="CQ400" s="53" t="n"/>
      <c r="CR400" s="53" t="n"/>
      <c r="CS400" s="53" t="n"/>
      <c r="CT400" s="53" t="n"/>
      <c r="CU400" s="53" t="n"/>
      <c r="CV400" s="53" t="n"/>
      <c r="CW400" s="53" t="n"/>
      <c r="CX400" s="53" t="n"/>
      <c r="CY400" s="53" t="n"/>
      <c r="CZ400" s="53" t="n"/>
      <c r="DA400" s="53" t="n"/>
      <c r="DB400" s="53" t="n"/>
      <c r="DC400" s="53" t="n"/>
      <c r="DD400" s="53" t="inlineStr">
        <is>
          <t>IRIS1593</t>
        </is>
      </c>
      <c r="DE400" s="53" t="inlineStr">
        <is>
          <t>Employee</t>
        </is>
      </c>
      <c r="DF400" s="53" t="inlineStr">
        <is>
          <t>Active</t>
        </is>
      </c>
      <c r="DG400" s="53" t="inlineStr">
        <is>
          <t>Rajeev Kumar</t>
        </is>
      </c>
      <c r="DH400" s="54" t="n">
        <v>42605</v>
      </c>
      <c r="DI400" s="53" t="inlineStr">
        <is>
          <t>Senior UI Developer</t>
        </is>
      </c>
      <c r="DJ400" s="53" t="inlineStr">
        <is>
          <t>Engineering &amp; Development</t>
        </is>
      </c>
      <c r="DK400" s="53" t="inlineStr">
        <is>
          <t>Frontend / UI Engineering</t>
        </is>
      </c>
      <c r="DL400" s="53" t="inlineStr">
        <is>
          <t>Senior UI Developer</t>
        </is>
      </c>
      <c r="DM400" s="53" t="inlineStr">
        <is>
          <t>L4 – Senior</t>
        </is>
      </c>
      <c r="DN400" s="53" t="inlineStr">
        <is>
          <t>MCA</t>
        </is>
      </c>
      <c r="DO400" s="53" t="inlineStr">
        <is>
          <t>Pradip Dey</t>
        </is>
      </c>
      <c r="DP400" s="53" t="inlineStr">
        <is>
          <t>N-2</t>
        </is>
      </c>
      <c r="DQ400" s="53" t="inlineStr">
        <is>
          <t>Manager</t>
        </is>
      </c>
      <c r="DR400" s="53" t="inlineStr">
        <is>
          <t>5 years, 6 months, 0 days</t>
        </is>
      </c>
      <c r="DS400" s="53" t="inlineStr">
        <is>
          <t>9 years, 9 months, 28 days</t>
        </is>
      </c>
      <c r="DT400" s="53" t="inlineStr">
        <is>
          <t>15 years, 3 months, 28 days</t>
        </is>
      </c>
      <c r="DU400" s="53" t="n">
        <v>9.826712328767121</v>
      </c>
      <c r="DV400" s="53" t="inlineStr">
        <is>
          <t>Suptech</t>
        </is>
      </c>
      <c r="DW400" s="53" t="inlineStr">
        <is>
          <t>iFile</t>
        </is>
      </c>
      <c r="DX400" s="53" t="inlineStr">
        <is>
          <t>Design</t>
        </is>
      </c>
      <c r="DY400" s="53" t="inlineStr">
        <is>
          <t>UI</t>
        </is>
      </c>
      <c r="DZ400" s="53" t="inlineStr">
        <is>
          <t>No</t>
        </is>
      </c>
      <c r="EA400" s="53" t="inlineStr">
        <is>
          <t>Product/Project</t>
        </is>
      </c>
      <c r="EB400" s="53" t="inlineStr">
        <is>
          <t>UI</t>
        </is>
      </c>
      <c r="EC400" s="53" t="inlineStr">
        <is>
          <t>Technical - Developer</t>
        </is>
      </c>
      <c r="ED400" s="53" t="inlineStr">
        <is>
          <t>Remote - Mumbai</t>
        </is>
      </c>
      <c r="EE400" s="53" t="n"/>
      <c r="EF400" s="53" t="inlineStr">
        <is>
          <t>1. UI/UX activities for projects/products 
Provide timely support for ongoing projects and product requirements 
Discuss with the leads and ensure prioritization of work in case of conflicts
Discuss with the clients/leads and ensure UI/UX expereince is getting better
Come out with ideas proactively to suggest and implement value additions · at least 4 in a year 
2. AI
Leverage AI in day to day working for UX/UI routine work as well as improvement ideas
Measure productivity improvement metrics and present to leads/team members</t>
        </is>
      </c>
      <c r="EG400" s="53" t="inlineStr">
        <is>
          <t>Bank of Jamaica demo readiness
QCB, GTA UAT
QAWAEM application UI refresh</t>
        </is>
      </c>
      <c r="EH400" s="53" t="inlineStr">
        <is>
          <t>Meets Expectations</t>
        </is>
      </c>
      <c r="EI400" s="54" t="n">
        <v>45931</v>
      </c>
      <c r="EJ400" s="53" t="inlineStr">
        <is>
          <t>Senior UI Developer</t>
        </is>
      </c>
      <c r="EK400" s="53" t="n"/>
      <c r="EL400" s="53" t="n">
        <v>3</v>
      </c>
      <c r="EM400" s="53" t="inlineStr">
        <is>
          <t>Medium</t>
        </is>
      </c>
      <c r="EN400" s="53" t="inlineStr">
        <is>
          <t>Core Contributor</t>
        </is>
      </c>
      <c r="EO400" s="53" t="n"/>
      <c r="EP400" s="53" t="inlineStr">
        <is>
          <t>N</t>
        </is>
      </c>
      <c r="EQ400" s="53" t="inlineStr">
        <is>
          <t>Y</t>
        </is>
      </c>
      <c r="ER400" s="53" t="n"/>
      <c r="ES400" s="53" t="inlineStr">
        <is>
          <t>UI/UX</t>
        </is>
      </c>
      <c r="ET400" s="53" t="n"/>
      <c r="EU400" s="53" t="inlineStr">
        <is>
          <t>RBI</t>
        </is>
      </c>
      <c r="EV400" s="53" t="n"/>
      <c r="EW400" s="52" t="n"/>
      <c r="EX400" s="53" t="n"/>
      <c r="EY400" s="53" t="n"/>
      <c r="EZ400" s="53" t="n"/>
      <c r="FA400" s="53" t="n"/>
      <c r="FB400" s="53" t="n"/>
      <c r="FC400" s="53" t="n"/>
      <c r="FD400" s="53" t="n"/>
      <c r="FE400" s="57" t="inlineStr">
        <is>
          <t>1. UI/UX activities for projects/products 
Provide timely support for ongoing projects and product requirements 
Discuss with the leads and ensure prioritization of work in case of conflicts
Discuss with the clients/leads and ensure UI/UX expereince is getting better
Come out with ideas proactively to suggest and implement value additions · at least 4 in a year   
2. AI
Leverage AI in day to day working for UX/UI routine work as well as improvement ideas
Measure productivity improvement metrics and present to leads/team members</t>
        </is>
      </c>
      <c r="FF400" s="56" t="inlineStr">
        <is>
          <t>Bank of Jamaica demo readiness
QCB, GTA UAT
QAWAEM application UI refresh</t>
        </is>
      </c>
      <c r="FG400" s="56" t="n"/>
      <c r="FH400" s="56" t="inlineStr">
        <is>
          <t>Meets Expectations</t>
        </is>
      </c>
      <c r="FI400" s="56" t="n"/>
      <c r="FJ400" s="56" t="inlineStr">
        <is>
          <t>Received · manager annual, quarterly</t>
        </is>
      </c>
      <c r="FK400" s="56" t="inlineStr">
        <is>
          <t>Talent Mapping · iFile collated</t>
        </is>
      </c>
      <c r="FL400" s="56" t="n">
        <v>20</v>
      </c>
      <c r="FM400" s="32" t="inlineStr">
        <is>
          <t>Full survey answers not in the files received · How We Grow export needed · HR</t>
        </is>
      </c>
      <c r="FN400" s="56" t="inlineStr">
        <is>
          <t>—</t>
        </is>
      </c>
      <c r="FO400" s="56" t="inlineStr">
        <is>
          <t>—</t>
        </is>
      </c>
      <c r="FP400" s="56" t="inlineStr">
        <is>
          <t>—</t>
        </is>
      </c>
      <c r="FQ400" s="56" t="inlineStr">
        <is>
          <t>—</t>
        </is>
      </c>
      <c r="FR400" s="56" t="inlineStr">
        <is>
          <t>Complexity: Evidence reads like A3: Designs interfaces and prototypes plus front-end build across different projects → matches the start
Autonomy: Evidence reads like A2: Says 'project initiative'; works to client requirement → moved down 0.5
Accountability: Evidence reads like A3: Claims whole responsibility for UI design and integration of applications → moved down 0.5
Leadership: Evidence reads like A2: Coordinates developers; 1 report in HR; no mentoring described → moved down 0.5
Business Impact: Moved +0.5: the survey / manager mapping marks it business-critical.</t>
        </is>
      </c>
      <c r="FS400" s="56" t="inlineStr">
        <is>
          <t>Common themes in sub-family holders, all levels' answers: core · purpose · business · improve · development · solutions
Common themes in sub-family holders, all levels' answers: ui · code · feature · development · design · testing
Common themes in sub-family holders, all levels' answers: features · user · app · ui · quality · software
Common themes in sub-family holders, all levels' answers: accountable · quality · development · am · reliability · personally
Common themes in sub-family holders, all levels' answers: decide · code · ui · decisions · implement
If the work is missed · role-holders' themes: impact · delays · rework · delivery.</t>
        </is>
      </c>
      <c r="FT400" s="56" t="inlineStr">
        <is>
          <t>Self-identified: AI / automation · Technical depth &amp; architecture
For the next role: AI / automation · Technical depth &amp; architecture</t>
        </is>
      </c>
      <c r="FU400" s="32" t="inlineStr">
        <is>
          <t>Full survey answers not in the files received · How We Grow export needed · HR</t>
        </is>
      </c>
    </row>
    <row r="401" ht="90" customHeight="1">
      <c r="A401" s="51" t="inlineStr">
        <is>
          <t>◂ Back</t>
        </is>
      </c>
      <c r="B401" s="29" t="inlineStr">
        <is>
          <t>Mapped</t>
        </is>
      </c>
      <c r="C401" s="28" t="inlineStr">
        <is>
          <t>iFile</t>
        </is>
      </c>
      <c r="D401" s="29" t="inlineStr">
        <is>
          <t>IRIS2300</t>
        </is>
      </c>
      <c r="E401" s="29" t="inlineStr">
        <is>
          <t>Kishori Rajigare</t>
        </is>
      </c>
      <c r="F401" s="29" t="inlineStr">
        <is>
          <t>Design</t>
        </is>
      </c>
      <c r="G401" s="29" t="inlineStr">
        <is>
          <t>UI Developer</t>
        </is>
      </c>
      <c r="H401" s="29" t="inlineStr">
        <is>
          <t>Senior UI Developer</t>
        </is>
      </c>
      <c r="I401" s="29" t="inlineStr">
        <is>
          <t>L3 – Professional / Associate</t>
        </is>
      </c>
      <c r="J401" s="29" t="inlineStr">
        <is>
          <t>A3</t>
        </is>
      </c>
      <c r="K401" s="29" t="inlineStr">
        <is>
          <t>▲ Up</t>
        </is>
      </c>
      <c r="L401" s="29" t="inlineStr">
        <is>
          <t>Engineering &amp; Development</t>
        </is>
      </c>
      <c r="M401" s="29" t="inlineStr">
        <is>
          <t>Front-End / UI Development</t>
        </is>
      </c>
      <c r="N401" s="29" t="n"/>
      <c r="O401" s="29" t="n">
        <v>20</v>
      </c>
      <c r="P401" s="28" t="inlineStr">
        <is>
          <t>P2</t>
        </is>
      </c>
      <c r="Q401" s="29" t="inlineStr">
        <is>
          <t>Developing</t>
        </is>
      </c>
      <c r="R401" s="29" t="inlineStr">
        <is>
          <t>3 Apply</t>
        </is>
      </c>
      <c r="S401" s="29" t="inlineStr">
        <is>
          <t>2–4 yrs</t>
        </is>
      </c>
      <c r="T401" s="29" t="inlineStr">
        <is>
          <t>3–5 · 2–5</t>
        </is>
      </c>
      <c r="U401" s="29" t="inlineStr">
        <is>
          <t>Software Engineer</t>
        </is>
      </c>
      <c r="V401" s="29" t="inlineStr">
        <is>
          <t>Workiva: SE · Broadridge India: SE · Nasdaq / AxiomSL: SE · Salesforce: MTS · Atlassian: P40 · 3–7 yrs · Freshworks: Senior SE</t>
        </is>
      </c>
      <c r="W401" s="29" t="inlineStr">
        <is>
          <t>SFIA 9 · software development, programming; OWASP secure coding; cloud vendor certifications</t>
        </is>
      </c>
      <c r="X401" s="29" t="inlineStr">
        <is>
          <t>Core 2 · Future 2 · Functional 3 · Leadership not scored</t>
        </is>
      </c>
      <c r="Y401" s="52" t="n">
        <v>338</v>
      </c>
      <c r="Z401" s="53" t="inlineStr">
        <is>
          <t>IRIS2300</t>
        </is>
      </c>
      <c r="AA401" s="53" t="inlineStr">
        <is>
          <t>Employee</t>
        </is>
      </c>
      <c r="AB401" s="53" t="inlineStr">
        <is>
          <t>Active</t>
        </is>
      </c>
      <c r="AC401" s="53" t="inlineStr">
        <is>
          <t>Kishori Rajigare</t>
        </is>
      </c>
      <c r="AD401" s="54" t="n">
        <v>45526</v>
      </c>
      <c r="AE401" s="53" t="inlineStr">
        <is>
          <t>UI Developer</t>
        </is>
      </c>
      <c r="AF401" s="53" t="inlineStr">
        <is>
          <t>B.SC</t>
        </is>
      </c>
      <c r="AG401" s="53" t="inlineStr">
        <is>
          <t>Rajeev Kumar</t>
        </is>
      </c>
      <c r="AH401" s="53" t="inlineStr">
        <is>
          <t>N-4</t>
        </is>
      </c>
      <c r="AI401" s="53" t="inlineStr">
        <is>
          <t>Individual Contributor</t>
        </is>
      </c>
      <c r="AJ401" s="53" t="inlineStr">
        <is>
          <t>4 years, 7 months, 0 days</t>
        </is>
      </c>
      <c r="AK401" s="53" t="inlineStr">
        <is>
          <t>2 years, 0 months, 3 days</t>
        </is>
      </c>
      <c r="AL401" s="53" t="inlineStr">
        <is>
          <t>Suptech</t>
        </is>
      </c>
      <c r="AM401" s="53" t="inlineStr">
        <is>
          <t>iFile</t>
        </is>
      </c>
      <c r="AN401" s="53" t="inlineStr">
        <is>
          <t>Design</t>
        </is>
      </c>
      <c r="AO401" s="53" t="inlineStr">
        <is>
          <t>UI</t>
        </is>
      </c>
      <c r="AP401" s="53" t="inlineStr">
        <is>
          <t>No</t>
        </is>
      </c>
      <c r="AQ401" s="53" t="inlineStr">
        <is>
          <t>Product/Project</t>
        </is>
      </c>
      <c r="AR401" s="53" t="inlineStr">
        <is>
          <t>UI</t>
        </is>
      </c>
      <c r="AS401" s="53" t="inlineStr">
        <is>
          <t>Technical - Developer</t>
        </is>
      </c>
      <c r="AT401" s="53" t="n">
        <v>20</v>
      </c>
      <c r="AU401" s="53" t="inlineStr">
        <is>
          <t>Covered</t>
        </is>
      </c>
      <c r="AV401" s="53" t="n"/>
      <c r="AW401" s="53" t="n"/>
      <c r="AX401" s="53" t="n"/>
      <c r="AY401" s="53" t="n"/>
      <c r="AZ401" s="53" t="n"/>
      <c r="BA401" s="53" t="n"/>
      <c r="BB401" s="53" t="n"/>
      <c r="BC401" s="53" t="n"/>
      <c r="BD401" s="53" t="n"/>
      <c r="BE401" s="53" t="n"/>
      <c r="BF401" s="53" t="n"/>
      <c r="BG401" s="53" t="n"/>
      <c r="BH401" s="53" t="n"/>
      <c r="BI401" s="53" t="n"/>
      <c r="BJ401" s="53" t="n"/>
      <c r="BK401" s="53" t="n"/>
      <c r="BL401" s="53" t="n"/>
      <c r="BM401" s="53" t="n"/>
      <c r="BN401" s="53" t="n"/>
      <c r="BO401" s="53" t="n"/>
      <c r="BP401" s="53" t="n"/>
      <c r="BQ401" s="53" t="n"/>
      <c r="BR401" s="53" t="n"/>
      <c r="BS401" s="53" t="n"/>
      <c r="BT401" s="53" t="n"/>
      <c r="BU401" s="53" t="n"/>
      <c r="BV401" s="53" t="n"/>
      <c r="BW401" s="53" t="n"/>
      <c r="BX401" s="53" t="n"/>
      <c r="BY401" s="53" t="n"/>
      <c r="BZ401" s="53" t="n"/>
      <c r="CA401" s="53" t="n"/>
      <c r="CB401" s="53" t="n"/>
      <c r="CC401" s="53" t="n"/>
      <c r="CD401" s="53" t="n"/>
      <c r="CE401" s="53" t="n"/>
      <c r="CF401" s="53" t="n"/>
      <c r="CG401" s="53" t="n"/>
      <c r="CH401" s="53" t="n"/>
      <c r="CI401" s="53" t="n"/>
      <c r="CJ401" s="53" t="n"/>
      <c r="CK401" s="53" t="n"/>
      <c r="CL401" s="53" t="n"/>
      <c r="CM401" s="53" t="n"/>
      <c r="CN401" s="53" t="n"/>
      <c r="CO401" s="53" t="n"/>
      <c r="CP401" s="53" t="n"/>
      <c r="CQ401" s="53" t="n"/>
      <c r="CR401" s="53" t="n"/>
      <c r="CS401" s="53" t="n"/>
      <c r="CT401" s="53" t="n"/>
      <c r="CU401" s="53" t="n"/>
      <c r="CV401" s="53" t="n"/>
      <c r="CW401" s="53" t="n"/>
      <c r="CX401" s="53" t="n"/>
      <c r="CY401" s="53" t="n"/>
      <c r="CZ401" s="53" t="n"/>
      <c r="DA401" s="53" t="n"/>
      <c r="DB401" s="53" t="n"/>
      <c r="DC401" s="53" t="n"/>
      <c r="DD401" s="53" t="inlineStr">
        <is>
          <t>IRIS2300</t>
        </is>
      </c>
      <c r="DE401" s="53" t="inlineStr">
        <is>
          <t>Employee</t>
        </is>
      </c>
      <c r="DF401" s="53" t="inlineStr">
        <is>
          <t>Active</t>
        </is>
      </c>
      <c r="DG401" s="53" t="inlineStr">
        <is>
          <t>Kishori Rajigare</t>
        </is>
      </c>
      <c r="DH401" s="54" t="n">
        <v>45526</v>
      </c>
      <c r="DI401" s="53" t="inlineStr">
        <is>
          <t>UI Developer</t>
        </is>
      </c>
      <c r="DJ401" s="53" t="inlineStr">
        <is>
          <t>Engineering &amp; Development</t>
        </is>
      </c>
      <c r="DK401" s="53" t="inlineStr">
        <is>
          <t>Frontend / UI Engineering</t>
        </is>
      </c>
      <c r="DL401" s="53" t="inlineStr">
        <is>
          <t>UI Developer</t>
        </is>
      </c>
      <c r="DM401" s="53" t="inlineStr">
        <is>
          <t>L3 – Professional / Associate</t>
        </is>
      </c>
      <c r="DN401" s="53" t="inlineStr">
        <is>
          <t>B.SC</t>
        </is>
      </c>
      <c r="DO401" s="53" t="inlineStr">
        <is>
          <t>Rajeev Kumar</t>
        </is>
      </c>
      <c r="DP401" s="53" t="inlineStr">
        <is>
          <t>N-3</t>
        </is>
      </c>
      <c r="DQ401" s="53" t="inlineStr">
        <is>
          <t>Individual Contributor</t>
        </is>
      </c>
      <c r="DR401" s="53" t="inlineStr">
        <is>
          <t>4 years, 7 months, 0 days</t>
        </is>
      </c>
      <c r="DS401" s="53" t="inlineStr">
        <is>
          <t>1 years, 9 months, 29 days</t>
        </is>
      </c>
      <c r="DT401" s="53" t="inlineStr">
        <is>
          <t>6 years, 4 months, 29 days</t>
        </is>
      </c>
      <c r="DU401" s="53" t="n"/>
      <c r="DV401" s="53" t="inlineStr">
        <is>
          <t>Suptech</t>
        </is>
      </c>
      <c r="DW401" s="53" t="inlineStr">
        <is>
          <t>iFile</t>
        </is>
      </c>
      <c r="DX401" s="53" t="inlineStr">
        <is>
          <t>Design</t>
        </is>
      </c>
      <c r="DY401" s="53" t="inlineStr">
        <is>
          <t>UI</t>
        </is>
      </c>
      <c r="DZ401" s="53" t="inlineStr">
        <is>
          <t>No</t>
        </is>
      </c>
      <c r="EA401" s="53" t="inlineStr">
        <is>
          <t>Product/Project</t>
        </is>
      </c>
      <c r="EB401" s="53" t="inlineStr">
        <is>
          <t>UI</t>
        </is>
      </c>
      <c r="EC401" s="53" t="inlineStr">
        <is>
          <t>Technical - Developer</t>
        </is>
      </c>
      <c r="ED401" s="53" t="inlineStr">
        <is>
          <t>Hybrid</t>
        </is>
      </c>
      <c r="EE401" s="53" t="inlineStr">
        <is>
          <t>1. Deliver all assigned UI features/screens for iFile
2. Maintain UI code quality - minimum critical bugs post-release 
3. Improve page load/render performance ui tools
4. Ensure 100% cross-browser and responsive-design compatibility for all UI deliverables
5. Complete unit/automated test coverage for new UI components 
6. Proactively identify and fix 2+ UI/UX inconsistencies or accessibility issues</t>
        </is>
      </c>
      <c r="EF401" s="53" t="inlineStr">
        <is>
          <t>1. Ensure delivery of all assigned UI features/screens for iFile with &gt;=95% adherence to sprint commitments and design specs
2. Maintain high UI code quality - zero critical bugs post-release and &lt;=2 rework cycles per component on average
3. Improve page load/render performance of key UI modules by &gt;=15% · measured via Lighthouse/performance audits
4. Ensure 100% cross-browser and responsive-design compatibility for all UI deliverables
5. Achieve unit/automated test coverage of &gt;=80% for all new UI components
6. Identify and resolve 2+ UI/UX inconsistencies or accessibility issues per quarter, validated by design/QA sign-off</t>
        </is>
      </c>
      <c r="EG401" s="53" t="inlineStr">
        <is>
          <t>Q1: Delivered assigned UI features/screens for iFile with &gt;=95% adherence to sprint commitments and design specs
Q1: Maintained UI code quality - zero critical bugs post-release, &lt;=2 rework cycles per component
Q1: Improved page load/render performance of key UI modules by &gt;=15%
Q1: Achieved &gt;=80% unit/automated test coverage for new UI components</t>
        </is>
      </c>
      <c r="EH401" s="53" t="n">
        <v>4</v>
      </c>
      <c r="EI401" s="54" t="n">
        <v>46188</v>
      </c>
      <c r="EJ401" s="53" t="inlineStr">
        <is>
          <t>UI Developer</t>
        </is>
      </c>
      <c r="EK401" s="53" t="inlineStr">
        <is>
          <t>No</t>
        </is>
      </c>
      <c r="EL401" s="53" t="n">
        <v>4</v>
      </c>
      <c r="EM401" s="53" t="inlineStr">
        <is>
          <t>High</t>
        </is>
      </c>
      <c r="EN401" s="53" t="inlineStr">
        <is>
          <t>Future Leader · High Performance / High Potential</t>
        </is>
      </c>
      <c r="EO401" s="53" t="inlineStr">
        <is>
          <t>Yes</t>
        </is>
      </c>
      <c r="EP401" s="53" t="inlineStr">
        <is>
          <t>Y</t>
        </is>
      </c>
      <c r="EQ401" s="53" t="inlineStr">
        <is>
          <t>Y</t>
        </is>
      </c>
      <c r="ER401" s="53" t="inlineStr">
        <is>
          <t>Not yet identified</t>
        </is>
      </c>
      <c r="ES401" s="53" t="inlineStr">
        <is>
          <t>Advanced UI; secure coding &amp; code-quality practices; unit/automated testing; system design fundamentals</t>
        </is>
      </c>
      <c r="ET401" s="53" t="inlineStr">
        <is>
          <t>Advanced UI/UX training: design systems &amp; component libraries, UX research &amp; usability testing fundamentals, interaction design &amp; prototyping · Figma, accessibility · WCAG standards, visual/interaction design leadership to guide UI direction for iFile.</t>
        </is>
      </c>
      <c r="EU401" s="53" t="inlineStr">
        <is>
          <t>Consistently strong performer. Delivers high-quality, well-tested UI work on iFile with minimal rework and dependable turnaround. Demonstrates growing ownership beyond assigned tasks and proactively raises UI/UX and accessibility improvements. Well regarded by peers and stakeholders; recommended for continued stretch assignments and leadership exposure.</t>
        </is>
      </c>
      <c r="EV401" s="53" t="n"/>
      <c r="EW401" s="52" t="n"/>
      <c r="EX401" s="53" t="n"/>
      <c r="EY401" s="53" t="n"/>
      <c r="EZ401" s="53" t="n"/>
      <c r="FA401" s="53" t="n"/>
      <c r="FB401" s="53" t="n"/>
      <c r="FC401" s="53" t="n"/>
      <c r="FD401" s="53" t="n"/>
      <c r="FE401" s="57" t="inlineStr">
        <is>
          <t>1. Ensure delivery of all assigned UI features/screens for iFile with &gt;=95% adherence to sprint commitments and design specs
2. Maintain high UI code quality - zero critical bugs post-release and &lt;=2 rework cycles per component on average
3. Improve page load/render performance of key UI modules by &gt;=15% · measured via Lighthouse/performance audits
4. Ensure 100% cross-browser and responsive-design compatibility for all UI deliverables
5. Achieve unit/automated test coverage of &gt;=80% for all new UI components
6. Identify and resolve 2+ UI/UX inconsistencies or accessibility issues per quarter, validated by design/QA sign-off</t>
        </is>
      </c>
      <c r="FF401" s="56" t="inlineStr">
        <is>
          <t>Q1: Delivered assigned UI features/screens for iFile with &gt;=95% adherence to sprint commitments and design specs
Q1: Maintained UI code quality - zero critical bugs post-release, &lt;=2 rework cycles per component
Q1: Improved page load/render performance of key UI modules by &gt;=15%
Q1: Achieved &gt;=80% unit/automated test coverage for new UI components</t>
        </is>
      </c>
      <c r="FG401" s="56" t="inlineStr">
        <is>
          <t>1. Deliver all assigned UI features/screens for iFile
2. Maintain UI code quality - minimum critical bugs post-release 
3. Improve page load/render performance ui tools
4. Ensure 100% cross-browser and responsive-design compatibility for all UI deliverables
5. Complete unit/automated test coverage for new UI components 
6. Proactively identify and fix 2+ UI/UX inconsistencies or accessibility issues</t>
        </is>
      </c>
      <c r="FH401" s="56" t="inlineStr">
        <is>
          <t>4</t>
        </is>
      </c>
      <c r="FI401" s="56" t="n"/>
      <c r="FJ401" s="56" t="inlineStr">
        <is>
          <t>Received · manager annual, quarterly, self</t>
        </is>
      </c>
      <c r="FK401" s="56" t="inlineStr">
        <is>
          <t>Talent Mapping · iFile collated</t>
        </is>
      </c>
      <c r="FL401" s="56" t="n">
        <v>20</v>
      </c>
      <c r="FM401" s="32" t="inlineStr">
        <is>
          <t>Full survey answers not in the files received · How We Grow export needed · HR</t>
        </is>
      </c>
      <c r="FN401" s="56" t="inlineStr">
        <is>
          <t>—</t>
        </is>
      </c>
      <c r="FO401" s="56" t="inlineStr">
        <is>
          <t>—</t>
        </is>
      </c>
      <c r="FP401" s="56" t="inlineStr">
        <is>
          <t>—</t>
        </is>
      </c>
      <c r="FQ401" s="56" t="inlineStr">
        <is>
          <t>—</t>
        </is>
      </c>
      <c r="FR401" s="56" t="inlineStr">
        <is>
          <t>Complexity: Evidence reads like A2: Implements designs as responsive UI components: standard front-end work → matches the start
Autonomy: Evidence reads like A2: Decides UI implementation only → matches the start
Accountability: Evidence reads like A2: Quality of own UI deliverables → matches the start
Leadership: Evidence reads like A1: No guidance or leadership of others described → matches the start
Business Impact: Moved +0.5: the survey / manager mapping marks it business-critical.</t>
        </is>
      </c>
      <c r="FS401" s="56" t="inlineStr">
        <is>
          <t>Common themes in role-holders' answers: core · purpose · web · improve · business · user-friendly
Common themes in role-holders' answers: ui · user · performance · design · development · testing
Common themes in role-holders' answers: user · app
Common themes in role-holders' answers: development · am · accountable · quality · ui · responsive user-friendly
Common themes in role-holders' answers: code · ui
If the work is missed · role-holders' themes: impact · delivery · performance · overall.
Measured on · manager-set KRA themes: components · sprint · code · coverage · quality · maintain.</t>
        </is>
      </c>
      <c r="FT401" s="56" t="inlineStr">
        <is>
          <t>Self-identified: Answered · no common topic
For the next role: Answered · no common topic</t>
        </is>
      </c>
      <c r="FU401" s="32" t="inlineStr">
        <is>
          <t>Full survey answers not in the files received · How We Grow export needed · HR</t>
        </is>
      </c>
    </row>
    <row r="402" ht="90" customHeight="1">
      <c r="A402" s="51" t="inlineStr">
        <is>
          <t>◂ Back</t>
        </is>
      </c>
      <c r="B402" s="29" t="inlineStr">
        <is>
          <t>Mapped</t>
        </is>
      </c>
      <c r="C402" s="28" t="inlineStr">
        <is>
          <t>iFile</t>
        </is>
      </c>
      <c r="D402" s="29" t="inlineStr">
        <is>
          <t>IRIS1955</t>
        </is>
      </c>
      <c r="E402" s="29" t="inlineStr">
        <is>
          <t>Akbar Basha</t>
        </is>
      </c>
      <c r="F402" s="29" t="inlineStr">
        <is>
          <t>Technology</t>
        </is>
      </c>
      <c r="G402" s="29" t="inlineStr">
        <is>
          <t>Senior Software Engineer</t>
        </is>
      </c>
      <c r="H402" s="29" t="inlineStr">
        <is>
          <t>Senior Database Engineer</t>
        </is>
      </c>
      <c r="I402" s="29" t="inlineStr">
        <is>
          <t>L4 – Senior</t>
        </is>
      </c>
      <c r="J402" s="29" t="inlineStr">
        <is>
          <t>A3</t>
        </is>
      </c>
      <c r="K402" s="29" t="inlineStr">
        <is>
          <t>• Same level</t>
        </is>
      </c>
      <c r="L402" s="29" t="inlineStr">
        <is>
          <t>Engineering &amp; Development</t>
        </is>
      </c>
      <c r="M402" s="29" t="inlineStr">
        <is>
          <t>Data Engineering &amp; Database Development</t>
        </is>
      </c>
      <c r="N402" s="29" t="inlineStr">
        <is>
          <t>• Confirm the reporting line — Manager</t>
        </is>
      </c>
      <c r="O402" s="29" t="n">
        <v>20</v>
      </c>
      <c r="P402" s="28" t="inlineStr">
        <is>
          <t>P2</t>
        </is>
      </c>
      <c r="Q402" s="29" t="inlineStr">
        <is>
          <t>Developing</t>
        </is>
      </c>
      <c r="R402" s="29" t="inlineStr">
        <is>
          <t>3 Apply</t>
        </is>
      </c>
      <c r="S402" s="29" t="inlineStr">
        <is>
          <t>2–4 yrs</t>
        </is>
      </c>
      <c r="T402" s="29" t="inlineStr">
        <is>
          <t>3–5 · 2–5</t>
        </is>
      </c>
      <c r="U402" s="29" t="inlineStr">
        <is>
          <t>Software Engineer</t>
        </is>
      </c>
      <c r="V402" s="29" t="inlineStr">
        <is>
          <t>Workiva: SE · Broadridge India: SE · Nasdaq / AxiomSL: SE · Salesforce: MTS · Atlassian: P40 · 3–7 yrs · Freshworks: Senior SE</t>
        </is>
      </c>
      <c r="W402" s="29" t="inlineStr">
        <is>
          <t>SFIA 9 · software development, programming; OWASP secure coding; cloud vendor certifications</t>
        </is>
      </c>
      <c r="X402" s="29" t="inlineStr">
        <is>
          <t>Core 2 · Future 2 · Functional 3 · Leadership not scored</t>
        </is>
      </c>
      <c r="Y402" s="52" t="n">
        <v>199</v>
      </c>
      <c r="Z402" s="53" t="inlineStr">
        <is>
          <t>IRIS1955</t>
        </is>
      </c>
      <c r="AA402" s="53" t="inlineStr">
        <is>
          <t>Employee</t>
        </is>
      </c>
      <c r="AB402" s="53" t="inlineStr">
        <is>
          <t>Active</t>
        </is>
      </c>
      <c r="AC402" s="53" t="inlineStr">
        <is>
          <t>Akbar Basha</t>
        </is>
      </c>
      <c r="AD402" s="54" t="n">
        <v>44466</v>
      </c>
      <c r="AE402" s="53" t="inlineStr">
        <is>
          <t>Senior Software Engineer</t>
        </is>
      </c>
      <c r="AF402" s="53" t="inlineStr">
        <is>
          <t>B.SC</t>
        </is>
      </c>
      <c r="AG402" s="53" t="inlineStr">
        <is>
          <t>Pradip Dey</t>
        </is>
      </c>
      <c r="AH402" s="53" t="inlineStr">
        <is>
          <t>N-3</t>
        </is>
      </c>
      <c r="AI402" s="53" t="inlineStr">
        <is>
          <t>Manager</t>
        </is>
      </c>
      <c r="AJ402" s="53" t="inlineStr">
        <is>
          <t>3 years, 0 months, 0 days</t>
        </is>
      </c>
      <c r="AK402" s="53" t="inlineStr">
        <is>
          <t>4 years, 10 months, 29 days</t>
        </is>
      </c>
      <c r="AL402" s="53" t="inlineStr">
        <is>
          <t>Suptech</t>
        </is>
      </c>
      <c r="AM402" s="53" t="inlineStr">
        <is>
          <t>iFile</t>
        </is>
      </c>
      <c r="AN402" s="53" t="inlineStr">
        <is>
          <t>Technology</t>
        </is>
      </c>
      <c r="AO402" s="53" t="inlineStr">
        <is>
          <t>Development</t>
        </is>
      </c>
      <c r="AP402" s="53" t="inlineStr">
        <is>
          <t>Yes</t>
        </is>
      </c>
      <c r="AQ402" s="53" t="inlineStr">
        <is>
          <t>Product/Project</t>
        </is>
      </c>
      <c r="AR402" s="53" t="inlineStr">
        <is>
          <t>Talend</t>
        </is>
      </c>
      <c r="AS402" s="53" t="inlineStr">
        <is>
          <t>Technical - Developer</t>
        </is>
      </c>
      <c r="AT402" s="53" t="n">
        <v>20</v>
      </c>
      <c r="AU402" s="53" t="inlineStr">
        <is>
          <t>Covered</t>
        </is>
      </c>
      <c r="AV402" s="53" t="n"/>
      <c r="AW402" s="53" t="n"/>
      <c r="AX402" s="53" t="n"/>
      <c r="AY402" s="53" t="n"/>
      <c r="AZ402" s="53" t="n"/>
      <c r="BA402" s="53" t="n"/>
      <c r="BB402" s="53" t="n"/>
      <c r="BC402" s="53" t="n"/>
      <c r="BD402" s="53" t="n"/>
      <c r="BE402" s="53" t="n"/>
      <c r="BF402" s="53" t="n"/>
      <c r="BG402" s="53" t="n"/>
      <c r="BH402" s="53" t="n"/>
      <c r="BI402" s="53" t="n"/>
      <c r="BJ402" s="53" t="n"/>
      <c r="BK402" s="53" t="n"/>
      <c r="BL402" s="53" t="n"/>
      <c r="BM402" s="53" t="n"/>
      <c r="BN402" s="53" t="n"/>
      <c r="BO402" s="53" t="n"/>
      <c r="BP402" s="53" t="n"/>
      <c r="BQ402" s="53" t="n"/>
      <c r="BR402" s="53" t="n"/>
      <c r="BS402" s="53" t="n"/>
      <c r="BT402" s="53" t="n"/>
      <c r="BU402" s="53" t="n"/>
      <c r="BV402" s="53" t="n"/>
      <c r="BW402" s="53" t="n"/>
      <c r="BX402" s="53" t="n"/>
      <c r="BY402" s="53" t="n"/>
      <c r="BZ402" s="53" t="n"/>
      <c r="CA402" s="53" t="n"/>
      <c r="CB402" s="53" t="n"/>
      <c r="CC402" s="53" t="n"/>
      <c r="CD402" s="53" t="n"/>
      <c r="CE402" s="53" t="n"/>
      <c r="CF402" s="53" t="n"/>
      <c r="CG402" s="53" t="n"/>
      <c r="CH402" s="53" t="n"/>
      <c r="CI402" s="53" t="n"/>
      <c r="CJ402" s="53" t="n"/>
      <c r="CK402" s="53" t="n"/>
      <c r="CL402" s="53" t="n"/>
      <c r="CM402" s="53" t="n"/>
      <c r="CN402" s="53" t="n"/>
      <c r="CO402" s="53" t="n"/>
      <c r="CP402" s="53" t="n"/>
      <c r="CQ402" s="53" t="n"/>
      <c r="CR402" s="53" t="n"/>
      <c r="CS402" s="53" t="n"/>
      <c r="CT402" s="53" t="n"/>
      <c r="CU402" s="53" t="n"/>
      <c r="CV402" s="53" t="n"/>
      <c r="CW402" s="53" t="n"/>
      <c r="CX402" s="53" t="n"/>
      <c r="CY402" s="53" t="n"/>
      <c r="CZ402" s="53" t="n"/>
      <c r="DA402" s="53" t="n"/>
      <c r="DB402" s="53" t="n"/>
      <c r="DC402" s="53" t="n"/>
      <c r="DD402" s="53" t="inlineStr">
        <is>
          <t>IRIS1955</t>
        </is>
      </c>
      <c r="DE402" s="53" t="inlineStr">
        <is>
          <t>Employee</t>
        </is>
      </c>
      <c r="DF402" s="53" t="inlineStr">
        <is>
          <t>Active</t>
        </is>
      </c>
      <c r="DG402" s="53" t="inlineStr">
        <is>
          <t>Akbar Basha</t>
        </is>
      </c>
      <c r="DH402" s="54" t="n">
        <v>44466</v>
      </c>
      <c r="DI402" s="53" t="inlineStr">
        <is>
          <t>Senior Software Engineer</t>
        </is>
      </c>
      <c r="DJ402" s="53" t="inlineStr">
        <is>
          <t>Engineering &amp; Development</t>
        </is>
      </c>
      <c r="DK402" s="53" t="inlineStr">
        <is>
          <t>Software Engineering</t>
        </is>
      </c>
      <c r="DL402" s="53" t="inlineStr">
        <is>
          <t>Senior Software Engineer</t>
        </is>
      </c>
      <c r="DM402" s="53" t="inlineStr">
        <is>
          <t>L4 – Senior</t>
        </is>
      </c>
      <c r="DN402" s="53" t="inlineStr">
        <is>
          <t>B.SC</t>
        </is>
      </c>
      <c r="DO402" s="53" t="inlineStr">
        <is>
          <t>Pradip Dey</t>
        </is>
      </c>
      <c r="DP402" s="53" t="inlineStr">
        <is>
          <t>N-2</t>
        </is>
      </c>
      <c r="DQ402" s="53" t="inlineStr">
        <is>
          <t>Manager</t>
        </is>
      </c>
      <c r="DR402" s="53" t="inlineStr">
        <is>
          <t>3 years, 0 months, 0 days</t>
        </is>
      </c>
      <c r="DS402" s="53" t="inlineStr">
        <is>
          <t>4 years, 8 months, 24 days</t>
        </is>
      </c>
      <c r="DT402" s="53" t="inlineStr">
        <is>
          <t>7 years, 8 months, 24 days</t>
        </is>
      </c>
      <c r="DU402" s="53" t="n">
        <v>4.7324200913242</v>
      </c>
      <c r="DV402" s="53" t="inlineStr">
        <is>
          <t>Suptech</t>
        </is>
      </c>
      <c r="DW402" s="53" t="inlineStr">
        <is>
          <t>iFile</t>
        </is>
      </c>
      <c r="DX402" s="53" t="inlineStr">
        <is>
          <t>Technology</t>
        </is>
      </c>
      <c r="DY402" s="53" t="inlineStr">
        <is>
          <t>Development</t>
        </is>
      </c>
      <c r="DZ402" s="53" t="inlineStr">
        <is>
          <t>Yes</t>
        </is>
      </c>
      <c r="EA402" s="53" t="inlineStr">
        <is>
          <t>Product/Project</t>
        </is>
      </c>
      <c r="EB402" s="53" t="inlineStr">
        <is>
          <t>Talend</t>
        </is>
      </c>
      <c r="EC402" s="53" t="inlineStr">
        <is>
          <t>Technical - Developer</t>
        </is>
      </c>
      <c r="ED402" s="53" t="inlineStr">
        <is>
          <t>Work From Office - Turbhe</t>
        </is>
      </c>
      <c r="EE402" s="53" t="n"/>
      <c r="EF402" s="53" t="n"/>
      <c r="EG402" s="53" t="n"/>
      <c r="EH402" s="53" t="n"/>
      <c r="EI402" s="53" t="n"/>
      <c r="EJ402" s="53" t="inlineStr">
        <is>
          <t>Senior Software Engineer</t>
        </is>
      </c>
      <c r="EK402" s="53" t="n"/>
      <c r="EL402" s="53" t="n"/>
      <c r="EM402" s="53" t="n"/>
      <c r="EN402" s="53" t="n"/>
      <c r="EO402" s="53" t="n"/>
      <c r="EP402" s="53" t="n"/>
      <c r="EQ402" s="53" t="n"/>
      <c r="ER402" s="53" t="n"/>
      <c r="ES402" s="53" t="n"/>
      <c r="ET402" s="53" t="n"/>
      <c r="EU402" s="53" t="inlineStr">
        <is>
          <t>IRIS Instant - MBRS</t>
        </is>
      </c>
      <c r="EV402" s="53" t="n"/>
      <c r="EW402" s="52" t="n"/>
      <c r="EX402" s="53" t="n"/>
      <c r="EY402" s="53" t="n"/>
      <c r="EZ402" s="53" t="n"/>
      <c r="FA402" s="53" t="n"/>
      <c r="FB402" s="53" t="n"/>
      <c r="FC402" s="53" t="n"/>
      <c r="FD402" s="53" t="n"/>
      <c r="FE402" s="55" t="inlineStr">
        <is>
          <t>KRAs not received · manager to supply</t>
        </is>
      </c>
      <c r="FF402" s="56" t="n"/>
      <c r="FG402" s="56" t="n"/>
      <c r="FH402" s="56" t="n"/>
      <c r="FI402" s="56" t="n"/>
      <c r="FJ402" s="32" t="inlineStr">
        <is>
          <t>KRAs not received · manager to supply</t>
        </is>
      </c>
      <c r="FK402" s="56" t="n"/>
      <c r="FL402" s="56" t="n">
        <v>20</v>
      </c>
      <c r="FM402" s="32" t="inlineStr">
        <is>
          <t>Full survey answers not in the files received · How We Grow export needed · HR</t>
        </is>
      </c>
      <c r="FN402" s="56" t="inlineStr">
        <is>
          <t>—</t>
        </is>
      </c>
      <c r="FO402" s="56" t="inlineStr">
        <is>
          <t>—</t>
        </is>
      </c>
      <c r="FP402" s="56" t="inlineStr">
        <is>
          <t>—</t>
        </is>
      </c>
      <c r="FQ402" s="56" t="inlineStr">
        <is>
          <t>—</t>
        </is>
      </c>
      <c r="FR402" s="56" t="inlineStr">
        <is>
          <t>Complexity: Evidence reads like A3: Builds AI/LLM solutions and POCs, supports RFP solutions, tests and deploys them → matches the start
Autonomy: Evidence reads like A3: Decides technical approach and fixes within agreed scope; major changes go to the manager → matches the start
Accountability: Evidence reads like A3: Quality and delivery of assigned AI solutions, some in production or client deliverables → moved down 0.5
Leadership: Evidence reads like A2: Shares technical knowledge with the team; no guiding of the one report described → moved down 0.5
Business Impact: No survey or manager-mapping signal on criticality: kept at the start point.</t>
        </is>
      </c>
      <c r="FS402" s="56" t="inlineStr">
        <is>
          <t>Common themes in role-holders' answers: business · support · data · solutions · build · reliable
Common themes in role-holders' answers: issue · support · development · data · resolution · deployment
Common themes in role-holders' answers: deliver · enhancements · solutions · product · data · models
Common themes in role-holders' answers: accountable · assigned · quality · solutions · personally · delivery
Common themes in role-holders' answers: issues · troubleshoot · independently · client · implement · technical
If the work is missed · role-holders' themes: issues · lead · incorrect · data.
Measured on · manager-set KRA themes: quality · deliver · project · timely · development · code.</t>
        </is>
      </c>
      <c r="FT402" s="56" t="inlineStr">
        <is>
          <t>Self-identified: AI / automation · Project / programme management · Technical depth &amp; architecture · Broader exposure &amp; ownership
For the next role: AI / automation · Project / programme management · Technical depth &amp; architecture · Broader exposure &amp; ownership</t>
        </is>
      </c>
      <c r="FU402" s="32" t="inlineStr">
        <is>
          <t>Full survey answers not in the files received · How We Grow export needed · HR</t>
        </is>
      </c>
    </row>
    <row r="403" ht="90" customHeight="1">
      <c r="A403" s="51" t="inlineStr">
        <is>
          <t>◂ Back</t>
        </is>
      </c>
      <c r="B403" s="29" t="inlineStr">
        <is>
          <t>Mapped</t>
        </is>
      </c>
      <c r="C403" s="28" t="inlineStr">
        <is>
          <t>iFile</t>
        </is>
      </c>
      <c r="D403" s="29" t="inlineStr">
        <is>
          <t>IRIS2484</t>
        </is>
      </c>
      <c r="E403" s="29" t="inlineStr">
        <is>
          <t>Vinay Gajula</t>
        </is>
      </c>
      <c r="F403" s="29" t="inlineStr">
        <is>
          <t>Technology</t>
        </is>
      </c>
      <c r="G403" s="29" t="inlineStr">
        <is>
          <t>Trainee Software Engineer</t>
        </is>
      </c>
      <c r="H403" s="29" t="inlineStr">
        <is>
          <t>Trainee AI/ML Engineer</t>
        </is>
      </c>
      <c r="I403" s="29" t="inlineStr">
        <is>
          <t>Not in current mapping files</t>
        </is>
      </c>
      <c r="J403" s="29" t="inlineStr">
        <is>
          <t>A1</t>
        </is>
      </c>
      <c r="K403" s="29" t="inlineStr">
        <is>
          <t>● Newly mapped</t>
        </is>
      </c>
      <c r="L403" s="29" t="inlineStr">
        <is>
          <t>Engineering &amp; Development</t>
        </is>
      </c>
      <c r="M403" s="29" t="inlineStr">
        <is>
          <t>AI / ML &amp; GenAI Engineering</t>
        </is>
      </c>
      <c r="N403" s="29" t="n"/>
      <c r="O403" s="29" t="n">
        <v>20</v>
      </c>
      <c r="P403" s="28" t="inlineStr">
        <is>
          <t>Entry / P1 · intern</t>
        </is>
      </c>
      <c r="Q403" s="29" t="inlineStr">
        <is>
          <t>Entry</t>
        </is>
      </c>
      <c r="R403" s="29" t="inlineStr">
        <is>
          <t>1 Follow</t>
        </is>
      </c>
      <c r="S403" s="29" t="inlineStr">
        <is>
          <t>0 yrs · fresher / intern</t>
        </is>
      </c>
      <c r="T403" s="29" t="inlineStr">
        <is>
          <t>—</t>
        </is>
      </c>
      <c r="U403" s="29" t="inlineStr">
        <is>
          <t>Associate Software Engineer</t>
        </is>
      </c>
      <c r="V403" s="29" t="inlineStr">
        <is>
          <t>—</t>
        </is>
      </c>
      <c r="W403" s="29" t="inlineStr">
        <is>
          <t>SFIA 9 · software development, programming; OWASP secure coding; cloud vendor certifications</t>
        </is>
      </c>
      <c r="X403" s="29" t="inlineStr">
        <is>
          <t>Core 1 · Future 1 · Functional 1 · Leadership not scored</t>
        </is>
      </c>
      <c r="Y403" s="52" t="n">
        <v>459</v>
      </c>
      <c r="Z403" s="53" t="inlineStr">
        <is>
          <t>IRIS2484</t>
        </is>
      </c>
      <c r="AA403" s="53" t="inlineStr">
        <is>
          <t>Employee</t>
        </is>
      </c>
      <c r="AB403" s="53" t="inlineStr">
        <is>
          <t>Active</t>
        </is>
      </c>
      <c r="AC403" s="53" t="inlineStr">
        <is>
          <t>Vinay Gajula</t>
        </is>
      </c>
      <c r="AD403" s="54" t="n">
        <v>46083</v>
      </c>
      <c r="AE403" s="53" t="inlineStr">
        <is>
          <t>Trainee Software Engineer</t>
        </is>
      </c>
      <c r="AF403" s="53" t="inlineStr">
        <is>
          <t>B.E</t>
        </is>
      </c>
      <c r="AG403" s="53" t="inlineStr">
        <is>
          <t>Akbar Basha</t>
        </is>
      </c>
      <c r="AH403" s="53" t="inlineStr">
        <is>
          <t>N-4</t>
        </is>
      </c>
      <c r="AI403" s="53" t="inlineStr">
        <is>
          <t>Individual Contributor</t>
        </is>
      </c>
      <c r="AJ403" s="53" t="inlineStr">
        <is>
          <t>0 years, 0 months, 0 days</t>
        </is>
      </c>
      <c r="AK403" s="53" t="inlineStr">
        <is>
          <t>0 years, 5 months, 23 days</t>
        </is>
      </c>
      <c r="AL403" s="53" t="inlineStr">
        <is>
          <t>Suptech</t>
        </is>
      </c>
      <c r="AM403" s="53" t="inlineStr">
        <is>
          <t>iFile</t>
        </is>
      </c>
      <c r="AN403" s="53" t="inlineStr">
        <is>
          <t>Technology</t>
        </is>
      </c>
      <c r="AO403" s="53" t="inlineStr">
        <is>
          <t>Development</t>
        </is>
      </c>
      <c r="AP403" s="53" t="inlineStr">
        <is>
          <t>Yes</t>
        </is>
      </c>
      <c r="AQ403" s="53" t="inlineStr">
        <is>
          <t>Product/Project</t>
        </is>
      </c>
      <c r="AR403" s="53" t="inlineStr">
        <is>
          <t>Python</t>
        </is>
      </c>
      <c r="AS403" s="53" t="inlineStr">
        <is>
          <t>Technical - Developer</t>
        </is>
      </c>
      <c r="AT403" s="53" t="n">
        <v>20</v>
      </c>
      <c r="AU403" s="53" t="inlineStr">
        <is>
          <t>Covered</t>
        </is>
      </c>
      <c r="AV403" s="53" t="n"/>
      <c r="AW403" s="53" t="n"/>
      <c r="AX403" s="53" t="n"/>
      <c r="AY403" s="53" t="n"/>
      <c r="AZ403" s="53" t="n"/>
      <c r="BA403" s="53" t="n"/>
      <c r="BB403" s="53" t="n"/>
      <c r="BC403" s="53" t="n"/>
      <c r="BD403" s="53" t="n"/>
      <c r="BE403" s="53" t="n"/>
      <c r="BF403" s="53" t="n"/>
      <c r="BG403" s="53" t="n"/>
      <c r="BH403" s="53" t="n"/>
      <c r="BI403" s="53" t="n"/>
      <c r="BJ403" s="53" t="n"/>
      <c r="BK403" s="53" t="n"/>
      <c r="BL403" s="53" t="n"/>
      <c r="BM403" s="53" t="n"/>
      <c r="BN403" s="53" t="n"/>
      <c r="BO403" s="53" t="n"/>
      <c r="BP403" s="53" t="n"/>
      <c r="BQ403" s="53" t="n"/>
      <c r="BR403" s="53" t="n"/>
      <c r="BS403" s="53" t="n"/>
      <c r="BT403" s="53" t="n"/>
      <c r="BU403" s="53" t="n"/>
      <c r="BV403" s="53" t="n"/>
      <c r="BW403" s="53" t="n"/>
      <c r="BX403" s="53" t="n"/>
      <c r="BY403" s="53" t="n"/>
      <c r="BZ403" s="53" t="n"/>
      <c r="CA403" s="53" t="n"/>
      <c r="CB403" s="53" t="n"/>
      <c r="CC403" s="53" t="n"/>
      <c r="CD403" s="53" t="n"/>
      <c r="CE403" s="53" t="n"/>
      <c r="CF403" s="53" t="n"/>
      <c r="CG403" s="53" t="n"/>
      <c r="CH403" s="53" t="n"/>
      <c r="CI403" s="53" t="n"/>
      <c r="CJ403" s="53" t="n"/>
      <c r="CK403" s="53" t="n"/>
      <c r="CL403" s="53" t="n"/>
      <c r="CM403" s="53" t="n"/>
      <c r="CN403" s="53" t="n"/>
      <c r="CO403" s="53" t="n"/>
      <c r="CP403" s="53" t="n"/>
      <c r="CQ403" s="53" t="n"/>
      <c r="CR403" s="53" t="n"/>
      <c r="CS403" s="53" t="n"/>
      <c r="CT403" s="53" t="n"/>
      <c r="CU403" s="53" t="n"/>
      <c r="CV403" s="53" t="n"/>
      <c r="CW403" s="53" t="n"/>
      <c r="CX403" s="53" t="n"/>
      <c r="CY403" s="53" t="n"/>
      <c r="CZ403" s="53" t="n"/>
      <c r="DA403" s="53" t="n"/>
      <c r="DB403" s="53" t="n"/>
      <c r="DC403" s="53" t="n"/>
      <c r="DD403" s="53" t="n"/>
      <c r="DE403" s="53" t="n"/>
      <c r="DF403" s="53" t="n"/>
      <c r="DG403" s="53" t="n"/>
      <c r="DH403" s="53" t="n"/>
      <c r="DI403" s="53" t="n"/>
      <c r="DJ403" s="53" t="n"/>
      <c r="DK403" s="53" t="n"/>
      <c r="DL403" s="53" t="n"/>
      <c r="DM403" s="53" t="n"/>
      <c r="DN403" s="53" t="n"/>
      <c r="DO403" s="53" t="n"/>
      <c r="DP403" s="53" t="n"/>
      <c r="DQ403" s="53" t="n"/>
      <c r="DR403" s="53" t="n"/>
      <c r="DS403" s="53" t="n"/>
      <c r="DT403" s="53" t="n"/>
      <c r="DU403" s="53" t="n"/>
      <c r="DV403" s="53" t="n"/>
      <c r="DW403" s="53" t="n"/>
      <c r="DX403" s="53" t="n"/>
      <c r="DY403" s="53" t="n"/>
      <c r="DZ403" s="53" t="n"/>
      <c r="EA403" s="53" t="n"/>
      <c r="EB403" s="53" t="n"/>
      <c r="EC403" s="53" t="n"/>
      <c r="ED403" s="53" t="n"/>
      <c r="EE403" s="53" t="n"/>
      <c r="EF403" s="53" t="n"/>
      <c r="EG403" s="53" t="n"/>
      <c r="EH403" s="53" t="n"/>
      <c r="EI403" s="53" t="n"/>
      <c r="EJ403" s="53" t="n"/>
      <c r="EK403" s="53" t="n"/>
      <c r="EL403" s="53" t="n"/>
      <c r="EM403" s="53" t="n"/>
      <c r="EN403" s="53" t="n"/>
      <c r="EO403" s="53" t="n"/>
      <c r="EP403" s="53" t="n"/>
      <c r="EQ403" s="53" t="n"/>
      <c r="ER403" s="53" t="n"/>
      <c r="ES403" s="53" t="n"/>
      <c r="ET403" s="53" t="n"/>
      <c r="EU403" s="53" t="n"/>
      <c r="EV403" s="53" t="n"/>
      <c r="EW403" s="52" t="n"/>
      <c r="EX403" s="53" t="n"/>
      <c r="EY403" s="53" t="n"/>
      <c r="EZ403" s="53" t="n"/>
      <c r="FA403" s="53" t="n"/>
      <c r="FB403" s="53" t="n"/>
      <c r="FC403" s="53" t="n"/>
      <c r="FD403" s="53" t="n"/>
      <c r="FE403" s="55" t="inlineStr">
        <is>
          <t>KRAs not received · manager to supply</t>
        </is>
      </c>
      <c r="FF403" s="56" t="n"/>
      <c r="FG403" s="56" t="n"/>
      <c r="FH403" s="56" t="n"/>
      <c r="FI403" s="56" t="n"/>
      <c r="FJ403" s="32" t="inlineStr">
        <is>
          <t>KRAs not received · manager to supply</t>
        </is>
      </c>
      <c r="FK403" s="56" t="n"/>
      <c r="FL403" s="56" t="n">
        <v>20</v>
      </c>
      <c r="FM403" s="32" t="inlineStr">
        <is>
          <t>Full survey answers not in the files received · How We Grow export needed · HR</t>
        </is>
      </c>
      <c r="FN403" s="56" t="inlineStr">
        <is>
          <t>—</t>
        </is>
      </c>
      <c r="FO403" s="56" t="inlineStr">
        <is>
          <t>—</t>
        </is>
      </c>
      <c r="FP403" s="56" t="inlineStr">
        <is>
          <t>—</t>
        </is>
      </c>
      <c r="FQ403" s="56" t="inlineStr">
        <is>
          <t>—</t>
        </is>
      </c>
      <c r="FR403" s="56" t="n"/>
      <c r="FS403" s="56" t="inlineStr">
        <is>
          <t>Common themes in sub-family holders, all levels' answers: business · ai · solutions · building · solve · enhance
Common themes in sub-family holders, all levels' answers: ai · technical · development · evaluation · research · system
Common themes in sub-family holders, all levels' answers: ai · solutions · anomaly · features · automated
Common themes in sub-family holders, all levels' answers: quality · ai · accountable · accuracy · reliability · solutions
Common themes in sub-family holders, all levels' answers: approach · research · ai · technical · quality
If the work is missed · role-holders' themes: delays · lead · incorrect · rework · quality.</t>
        </is>
      </c>
      <c r="FT403" s="56" t="inlineStr">
        <is>
          <t>Self-identified: AI / automation · Technical depth &amp; architecture · Product &amp; tool knowledge · Broader exposure &amp; ownership
For the next role: AI / automation · Technical depth &amp; architecture · Product &amp; tool knowledge · Broader exposure &amp; ownership</t>
        </is>
      </c>
      <c r="FU403" s="32" t="inlineStr">
        <is>
          <t>Full survey answers not in the files received · How We Grow export needed · HR</t>
        </is>
      </c>
    </row>
    <row r="404" ht="90" customHeight="1">
      <c r="A404" s="51" t="inlineStr">
        <is>
          <t>◂ Back</t>
        </is>
      </c>
      <c r="B404" s="29" t="inlineStr">
        <is>
          <t>Mapped</t>
        </is>
      </c>
      <c r="C404" s="28" t="inlineStr">
        <is>
          <t>iFile</t>
        </is>
      </c>
      <c r="D404" s="29" t="inlineStr">
        <is>
          <t>IRIS1982</t>
        </is>
      </c>
      <c r="E404" s="29" t="inlineStr">
        <is>
          <t>Apurva Kirtikar</t>
        </is>
      </c>
      <c r="F404" s="29" t="inlineStr">
        <is>
          <t>Sales</t>
        </is>
      </c>
      <c r="G404" s="29" t="inlineStr">
        <is>
          <t>Senior Manager- Pre sales</t>
        </is>
      </c>
      <c r="H404" s="29" t="inlineStr">
        <is>
          <t>Senior Account Executive – POD Lead</t>
        </is>
      </c>
      <c r="I404" s="29" t="inlineStr">
        <is>
          <t>L6 – Senior Manager</t>
        </is>
      </c>
      <c r="J404" s="29" t="inlineStr">
        <is>
          <t>B2</t>
        </is>
      </c>
      <c r="K404" s="29" t="inlineStr">
        <is>
          <t>▼ Down · protected</t>
        </is>
      </c>
      <c r="L404" s="29" t="inlineStr">
        <is>
          <t>Sales &amp; Business Development</t>
        </is>
      </c>
      <c r="M404" s="29" t="inlineStr">
        <is>
          <t>Sales Leadership</t>
        </is>
      </c>
      <c r="N404" s="29" t="n"/>
      <c r="O404" s="29" t="n">
        <v>20</v>
      </c>
      <c r="P404" s="28" t="inlineStr">
        <is>
          <t>P4 / M3</t>
        </is>
      </c>
      <c r="Q404" s="29" t="inlineStr">
        <is>
          <t>Senior / Manager</t>
        </is>
      </c>
      <c r="R404" s="29" t="inlineStr">
        <is>
          <t>4–5</t>
        </is>
      </c>
      <c r="S404" s="29" t="inlineStr">
        <is>
          <t>6–9 yrs</t>
        </is>
      </c>
      <c r="T404" s="29" t="inlineStr">
        <is>
          <t>7–10 · 6–11</t>
        </is>
      </c>
      <c r="U404" s="29" t="inlineStr">
        <is>
          <t>Senior Account Executive</t>
        </is>
      </c>
      <c r="V404" s="29" t="inlineStr">
        <is>
          <t>IRIS Vs Competitor Benchmark — SaaS sales ladder — IC: Mid-Market AE · IRIS Vs Competitor Benchmark — SaaS sales ladder — management: Sales Manager</t>
        </is>
      </c>
      <c r="W404" s="29" t="inlineStr">
        <is>
          <t>SaaS sales ladder · SDR → AE → Enterprise AE → VP / CRO; MEDDICC-style qualification</t>
        </is>
      </c>
      <c r="X404" s="29" t="inlineStr">
        <is>
          <t>Core 3 · Future 3 · Functional 4 · Leadership 3</t>
        </is>
      </c>
      <c r="Y404" s="52" t="n">
        <v>206</v>
      </c>
      <c r="Z404" s="53" t="inlineStr">
        <is>
          <t>IRIS1982</t>
        </is>
      </c>
      <c r="AA404" s="53" t="inlineStr">
        <is>
          <t>Employee</t>
        </is>
      </c>
      <c r="AB404" s="53" t="inlineStr">
        <is>
          <t>Active</t>
        </is>
      </c>
      <c r="AC404" s="53" t="inlineStr">
        <is>
          <t>Apurva Kirtikar</t>
        </is>
      </c>
      <c r="AD404" s="54" t="n">
        <v>44580</v>
      </c>
      <c r="AE404" s="53" t="inlineStr">
        <is>
          <t>Senior Manager- Pre sales</t>
        </is>
      </c>
      <c r="AF404" s="53" t="inlineStr">
        <is>
          <t>M.Com</t>
        </is>
      </c>
      <c r="AG404" s="53" t="inlineStr">
        <is>
          <t>Shailesh Gupta</t>
        </is>
      </c>
      <c r="AH404" s="53" t="inlineStr">
        <is>
          <t>N-2</t>
        </is>
      </c>
      <c r="AI404" s="53" t="inlineStr">
        <is>
          <t>Manager</t>
        </is>
      </c>
      <c r="AJ404" s="53" t="inlineStr">
        <is>
          <t>8 years, 0 months, 0 days</t>
        </is>
      </c>
      <c r="AK404" s="53" t="inlineStr">
        <is>
          <t>4 years, 7 months, 6 days</t>
        </is>
      </c>
      <c r="AL404" s="53" t="inlineStr">
        <is>
          <t>Suptech</t>
        </is>
      </c>
      <c r="AM404" s="53" t="inlineStr">
        <is>
          <t>iFile</t>
        </is>
      </c>
      <c r="AN404" s="53" t="inlineStr">
        <is>
          <t>Sales</t>
        </is>
      </c>
      <c r="AO404" s="53" t="inlineStr">
        <is>
          <t>Pre-Sales</t>
        </is>
      </c>
      <c r="AP404" s="53" t="inlineStr">
        <is>
          <t>No</t>
        </is>
      </c>
      <c r="AQ404" s="53" t="inlineStr">
        <is>
          <t>Sales, Marketing &amp; Support</t>
        </is>
      </c>
      <c r="AR404" s="53" t="inlineStr">
        <is>
          <t>Pre-Sales</t>
        </is>
      </c>
      <c r="AS404" s="53" t="inlineStr">
        <is>
          <t>Non-technical</t>
        </is>
      </c>
      <c r="AT404" s="53" t="n">
        <v>20</v>
      </c>
      <c r="AU404" s="53" t="inlineStr">
        <is>
          <t>Covered</t>
        </is>
      </c>
      <c r="AV404" s="53" t="n"/>
      <c r="AW404" s="53" t="n"/>
      <c r="AX404" s="53" t="n"/>
      <c r="AY404" s="53" t="n"/>
      <c r="AZ404" s="53" t="n"/>
      <c r="BA404" s="53" t="n"/>
      <c r="BB404" s="53" t="n"/>
      <c r="BC404" s="53" t="n"/>
      <c r="BD404" s="53" t="n"/>
      <c r="BE404" s="53" t="n"/>
      <c r="BF404" s="53" t="n"/>
      <c r="BG404" s="53" t="n"/>
      <c r="BH404" s="53" t="n"/>
      <c r="BI404" s="53" t="n"/>
      <c r="BJ404" s="53" t="n"/>
      <c r="BK404" s="53" t="n"/>
      <c r="BL404" s="53" t="n"/>
      <c r="BM404" s="53" t="n"/>
      <c r="BN404" s="53" t="n"/>
      <c r="BO404" s="53" t="n"/>
      <c r="BP404" s="53" t="n"/>
      <c r="BQ404" s="53" t="n"/>
      <c r="BR404" s="53" t="n"/>
      <c r="BS404" s="53" t="n"/>
      <c r="BT404" s="53" t="n"/>
      <c r="BU404" s="53" t="n"/>
      <c r="BV404" s="53" t="n"/>
      <c r="BW404" s="53" t="n"/>
      <c r="BX404" s="53" t="n"/>
      <c r="BY404" s="53" t="n"/>
      <c r="BZ404" s="53" t="n"/>
      <c r="CA404" s="53" t="n"/>
      <c r="CB404" s="53" t="n"/>
      <c r="CC404" s="53" t="n"/>
      <c r="CD404" s="53" t="n"/>
      <c r="CE404" s="53" t="n"/>
      <c r="CF404" s="53" t="n"/>
      <c r="CG404" s="53" t="n"/>
      <c r="CH404" s="53" t="n"/>
      <c r="CI404" s="53" t="n"/>
      <c r="CJ404" s="53" t="n"/>
      <c r="CK404" s="53" t="n"/>
      <c r="CL404" s="53" t="n"/>
      <c r="CM404" s="53" t="n"/>
      <c r="CN404" s="53" t="n"/>
      <c r="CO404" s="53" t="n"/>
      <c r="CP404" s="53" t="n"/>
      <c r="CQ404" s="53" t="n"/>
      <c r="CR404" s="53" t="n"/>
      <c r="CS404" s="53" t="n"/>
      <c r="CT404" s="53" t="n"/>
      <c r="CU404" s="53" t="n"/>
      <c r="CV404" s="53" t="n"/>
      <c r="CW404" s="53" t="n"/>
      <c r="CX404" s="53" t="n"/>
      <c r="CY404" s="53" t="n"/>
      <c r="CZ404" s="53" t="n"/>
      <c r="DA404" s="53" t="n"/>
      <c r="DB404" s="53" t="n"/>
      <c r="DC404" s="53" t="n"/>
      <c r="DD404" s="53" t="inlineStr">
        <is>
          <t>IRIS1982</t>
        </is>
      </c>
      <c r="DE404" s="53" t="inlineStr">
        <is>
          <t>Employee</t>
        </is>
      </c>
      <c r="DF404" s="53" t="inlineStr">
        <is>
          <t>Active</t>
        </is>
      </c>
      <c r="DG404" s="53" t="inlineStr">
        <is>
          <t>Apurva Kirtikar</t>
        </is>
      </c>
      <c r="DH404" s="54" t="n">
        <v>44580</v>
      </c>
      <c r="DI404" s="53" t="inlineStr">
        <is>
          <t>Senior Manager- Pre sales</t>
        </is>
      </c>
      <c r="DJ404" s="53" t="inlineStr">
        <is>
          <t>Sales &amp; Business Development</t>
        </is>
      </c>
      <c r="DK404" s="53" t="inlineStr">
        <is>
          <t>Pre-Sales / Solutions</t>
        </is>
      </c>
      <c r="DL404" s="53" t="inlineStr">
        <is>
          <t>Senior Manager- Pre sales</t>
        </is>
      </c>
      <c r="DM404" s="53" t="inlineStr">
        <is>
          <t>L6 – Senior Manager</t>
        </is>
      </c>
      <c r="DN404" s="53" t="inlineStr">
        <is>
          <t>M.Com</t>
        </is>
      </c>
      <c r="DO404" s="53" t="inlineStr">
        <is>
          <t>Shailesh Gupta</t>
        </is>
      </c>
      <c r="DP404" s="53" t="inlineStr">
        <is>
          <t>N-2</t>
        </is>
      </c>
      <c r="DQ404" s="53" t="inlineStr">
        <is>
          <t>Manager</t>
        </is>
      </c>
      <c r="DR404" s="53" t="inlineStr">
        <is>
          <t>8 years, 0 months, 0 days</t>
        </is>
      </c>
      <c r="DS404" s="53" t="inlineStr">
        <is>
          <t>4 years, 5 months, 1 days</t>
        </is>
      </c>
      <c r="DT404" s="53" t="inlineStr">
        <is>
          <t>12 years, 5 months, 1 days</t>
        </is>
      </c>
      <c r="DU404" s="53" t="n">
        <v>4.41940639269406</v>
      </c>
      <c r="DV404" s="53" t="inlineStr">
        <is>
          <t>Suptech</t>
        </is>
      </c>
      <c r="DW404" s="53" t="inlineStr">
        <is>
          <t>iFile</t>
        </is>
      </c>
      <c r="DX404" s="53" t="inlineStr">
        <is>
          <t>Sales</t>
        </is>
      </c>
      <c r="DY404" s="53" t="inlineStr">
        <is>
          <t>Pre-Sales</t>
        </is>
      </c>
      <c r="DZ404" s="53" t="inlineStr">
        <is>
          <t>No</t>
        </is>
      </c>
      <c r="EA404" s="53" t="inlineStr">
        <is>
          <t>Sales, Marketing &amp; Support</t>
        </is>
      </c>
      <c r="EB404" s="53" t="inlineStr">
        <is>
          <t>Pre-Sales</t>
        </is>
      </c>
      <c r="EC404" s="53" t="inlineStr">
        <is>
          <t>Non-technical</t>
        </is>
      </c>
      <c r="ED404" s="53" t="inlineStr">
        <is>
          <t>Hybrid</t>
        </is>
      </c>
      <c r="EE404" s="53" t="n"/>
      <c r="EF404" s="53" t="inlineStr">
        <is>
          <t>1. Maintain healthy win rate on qualified opportunities
2. Keep CRM hygiene at 100% · all opportunities &amp; activities logged &amp; current
3. Independently deliver 100% of Product Demos
4. Cordinate with relevant teams to publish 2 case studiesw/white papers/articles per month 
5. Clear Certification courses on relevant topics like Cloud, XBRL, Microservices etc. 1 per quarter requiring atleast 8 hours of course work.</t>
        </is>
      </c>
      <c r="EG404" s="53" t="inlineStr">
        <is>
          <t>Q1: Achieve assigned quarterly sales / revenue quota · target: 100% of number
Q1: Build and maintain qualified pipeline of &gt;=3x quota coverage
Q1: Maintain healthy win rate on qualified opportunities
Q1: Keep CRM hygiene at 100% · all opportunities &amp; activities logged &amp; current</t>
        </is>
      </c>
      <c r="EH404" s="53" t="n">
        <v>4</v>
      </c>
      <c r="EI404" s="54" t="n">
        <v>46113</v>
      </c>
      <c r="EJ404" s="53" t="inlineStr">
        <is>
          <t>Senior Manager- Pre sales</t>
        </is>
      </c>
      <c r="EK404" s="53" t="inlineStr">
        <is>
          <t>Yes</t>
        </is>
      </c>
      <c r="EL404" s="53" t="n">
        <v>4</v>
      </c>
      <c r="EM404" s="53" t="inlineStr">
        <is>
          <t>Medium</t>
        </is>
      </c>
      <c r="EN404" s="53" t="inlineStr">
        <is>
          <t>High Impact / Growth Talent</t>
        </is>
      </c>
      <c r="EO404" s="53" t="inlineStr">
        <is>
          <t>No</t>
        </is>
      </c>
      <c r="EP404" s="53" t="inlineStr">
        <is>
          <t>No</t>
        </is>
      </c>
      <c r="EQ404" s="53" t="n"/>
      <c r="ER404" s="53" t="n"/>
      <c r="ES404" s="53" t="inlineStr">
        <is>
          <t>SaaS/RegTech product &amp; domain knowledge, Knowledge of competition - product and pricing, Knowledge of Tech trends and AI</t>
        </is>
      </c>
      <c r="ET404" s="53" t="n"/>
      <c r="EU404" s="53" t="n"/>
      <c r="EV404" s="53" t="n"/>
      <c r="EW404" s="52" t="n"/>
      <c r="EX404" s="53" t="n"/>
      <c r="EY404" s="53" t="n"/>
      <c r="EZ404" s="53" t="n"/>
      <c r="FA404" s="53" t="n"/>
      <c r="FB404" s="53" t="n"/>
      <c r="FC404" s="53" t="n"/>
      <c r="FD404" s="53" t="n"/>
      <c r="FE404" s="57" t="inlineStr">
        <is>
          <t>1. Maintain healthy win rate · &gt;=20% on qualified opportunities
2. Keep CRM hygiene at 100% · all opportunities &amp; activities logged &amp; current
3. Independently deliver 100% of Product Demos
4. Cordinate with relevant teams to publish 2 case studiesw/white papers/articles per month 
5. Clear Certification courses on relevant topics like Cloud, XBRL, Microservices etc. 1 per quarter requiring atleast 8 hours of course work.</t>
        </is>
      </c>
      <c r="FF404" s="56" t="inlineStr">
        <is>
          <t>Q1: Achieve assigned quarterly sales / revenue quota · target: 100% of number
Q1: Build and maintain qualified pipeline of &gt;=3x quota coverage
Q1: Maintain healthy win rate · &gt;=20% on qualified opportunities
Q1: Keep CRM hygiene at 100% · all opportunities &amp; activities logged &amp; current</t>
        </is>
      </c>
      <c r="FG404" s="56" t="n"/>
      <c r="FH404" s="56" t="inlineStr">
        <is>
          <t>4</t>
        </is>
      </c>
      <c r="FI404" s="56" t="n"/>
      <c r="FJ404" s="56" t="inlineStr">
        <is>
          <t>Received · manager annual, quarterly</t>
        </is>
      </c>
      <c r="FK404" s="56" t="inlineStr">
        <is>
          <t>Talent Mapping · iFile collated</t>
        </is>
      </c>
      <c r="FL404" s="56" t="n">
        <v>20</v>
      </c>
      <c r="FM404" s="32" t="inlineStr">
        <is>
          <t>Full survey answers not in the files received · How We Grow export needed · HR</t>
        </is>
      </c>
      <c r="FN404" s="56" t="inlineStr">
        <is>
          <t>—</t>
        </is>
      </c>
      <c r="FO404" s="56" t="inlineStr">
        <is>
          <t>—</t>
        </is>
      </c>
      <c r="FP404" s="56" t="inlineStr">
        <is>
          <t>—</t>
        </is>
      </c>
      <c r="FQ404" s="56" t="inlineStr">
        <is>
          <t>—</t>
        </is>
      </c>
      <c r="FR404" s="56" t="inlineStr">
        <is>
          <t>Complexity: Evidence reads like B1: Manages iFile bids: RFP responses, solutioning and client demos in XBRL / SupTech domain → moved down 1
Autonomy: Evidence reads like B1: Decides how to respond to clients and to RFPs for iFile bids → moved down 1
Accountability: Evidence reads like B1: Ultimately responsible for timely iFile RFP submissions; also sales records and client meetings → moved down 0.2
Leadership: Evidence reads like A2: One direct report in HR data; only follow-ups with teams described → moved down 1
Business Impact: No survey or manager-mapping signal on criticality: kept at the start point.</t>
        </is>
      </c>
      <c r="FS404" s="56" t="inlineStr">
        <is>
          <t>Common themes in sub-family holders, all levels' answers: client · follow till · negotiations · details sdr · understand · call
Common themes in sub-family holders, all levels' answers: building · partner
Common themes in sub-family holders, all levels' answers: sales
Common themes in sub-family holders, all levels' answers: revenue · generation · sales
If the work is missed · role-holders' themes: revenue · opportunities · lost.</t>
        </is>
      </c>
      <c r="FT404" s="56" t="inlineStr">
        <is>
          <t>Self-identified: Broader exposure &amp; ownership
For the next role: Broader exposure &amp; ownership</t>
        </is>
      </c>
      <c r="FU404" s="32" t="inlineStr">
        <is>
          <t>Full survey answers not in the files received · How We Grow export needed · HR</t>
        </is>
      </c>
    </row>
    <row r="405" ht="90" customHeight="1">
      <c r="A405" s="51" t="inlineStr">
        <is>
          <t>◂ Back</t>
        </is>
      </c>
      <c r="B405" s="29" t="inlineStr">
        <is>
          <t>Mapped</t>
        </is>
      </c>
      <c r="C405" s="28" t="inlineStr">
        <is>
          <t>iFile</t>
        </is>
      </c>
      <c r="D405" s="29" t="inlineStr">
        <is>
          <t>IRIS2551</t>
        </is>
      </c>
      <c r="E405" s="29" t="inlineStr">
        <is>
          <t>Devam Khatri</t>
        </is>
      </c>
      <c r="F405" s="29" t="inlineStr">
        <is>
          <t>Sales</t>
        </is>
      </c>
      <c r="G405" s="29" t="inlineStr">
        <is>
          <t>Manager - Pre Sales</t>
        </is>
      </c>
      <c r="H405" s="29" t="inlineStr">
        <is>
          <t>Pre-Sales Specialist</t>
        </is>
      </c>
      <c r="I405" s="29" t="inlineStr">
        <is>
          <t>Not in current mapping files</t>
        </is>
      </c>
      <c r="J405" s="29" t="inlineStr">
        <is>
          <t>B1</t>
        </is>
      </c>
      <c r="K405" s="29" t="inlineStr">
        <is>
          <t>● Newly mapped</t>
        </is>
      </c>
      <c r="L405" s="29" t="inlineStr">
        <is>
          <t>Sales &amp; Business Development</t>
        </is>
      </c>
      <c r="M405" s="29" t="inlineStr">
        <is>
          <t>Pre-Sales &amp; Solution Demos</t>
        </is>
      </c>
      <c r="N405" s="29" t="n"/>
      <c r="O405" s="29" t="n">
        <v>20</v>
      </c>
      <c r="P405" s="28" t="inlineStr">
        <is>
          <t>P3 / M2</t>
        </is>
      </c>
      <c r="Q405" s="29" t="inlineStr">
        <is>
          <t>Career / · Team Lead</t>
        </is>
      </c>
      <c r="R405" s="29" t="inlineStr">
        <is>
          <t>4 Enable</t>
        </is>
      </c>
      <c r="S405" s="29" t="inlineStr">
        <is>
          <t>4–7 yrs</t>
        </is>
      </c>
      <c r="T405" s="29" t="inlineStr">
        <is>
          <t>5–8 · 4–8</t>
        </is>
      </c>
      <c r="U405" s="29" t="inlineStr">
        <is>
          <t>Account Executive</t>
        </is>
      </c>
      <c r="V405" s="29" t="inlineStr">
        <is>
          <t>IRIS Vs Competitor Benchmark — SaaS sales ladder — IC: Account Executive · SMB · IRIS Vs Competitor Benchmark — SaaS sales ladder — management: SDR Team Lead</t>
        </is>
      </c>
      <c r="W405" s="29" t="inlineStr">
        <is>
          <t>SaaS sales ladder · SDR → AE → Enterprise AE → VP / CRO; MEDDICC-style qualification</t>
        </is>
      </c>
      <c r="X405" s="29" t="inlineStr">
        <is>
          <t>Core 3 · Future 3 · Functional 3 · Leadership 1</t>
        </is>
      </c>
      <c r="Y405" s="52" t="n">
        <v>524</v>
      </c>
      <c r="Z405" s="53" t="inlineStr">
        <is>
          <t>IRIS2551</t>
        </is>
      </c>
      <c r="AA405" s="53" t="inlineStr">
        <is>
          <t>Employee</t>
        </is>
      </c>
      <c r="AB405" s="53" t="inlineStr">
        <is>
          <t>Active</t>
        </is>
      </c>
      <c r="AC405" s="53" t="inlineStr">
        <is>
          <t>Devam Khatri</t>
        </is>
      </c>
      <c r="AD405" s="54" t="n">
        <v>46237</v>
      </c>
      <c r="AE405" s="53" t="inlineStr">
        <is>
          <t>Manager - Pre Sales</t>
        </is>
      </c>
      <c r="AF405" s="53" t="inlineStr">
        <is>
          <t>MBA</t>
        </is>
      </c>
      <c r="AG405" s="53" t="inlineStr">
        <is>
          <t>Apurva Kirtikar</t>
        </is>
      </c>
      <c r="AH405" s="53" t="inlineStr">
        <is>
          <t>N-3</t>
        </is>
      </c>
      <c r="AI405" s="53" t="inlineStr">
        <is>
          <t>Individual Contributor</t>
        </is>
      </c>
      <c r="AJ405" s="53" t="inlineStr">
        <is>
          <t>5 years, 0 months, 0 days</t>
        </is>
      </c>
      <c r="AK405" s="53" t="inlineStr">
        <is>
          <t>0 years, 0 months, 22 days</t>
        </is>
      </c>
      <c r="AL405" s="53" t="inlineStr">
        <is>
          <t>Suptech</t>
        </is>
      </c>
      <c r="AM405" s="53" t="inlineStr">
        <is>
          <t>iFile</t>
        </is>
      </c>
      <c r="AN405" s="53" t="inlineStr">
        <is>
          <t>Sales</t>
        </is>
      </c>
      <c r="AO405" s="53" t="inlineStr">
        <is>
          <t>Pre-Sales</t>
        </is>
      </c>
      <c r="AP405" s="53" t="inlineStr">
        <is>
          <t>No</t>
        </is>
      </c>
      <c r="AQ405" s="53" t="inlineStr">
        <is>
          <t>Sales, Marketing &amp; Support</t>
        </is>
      </c>
      <c r="AR405" s="53" t="inlineStr">
        <is>
          <t>Pre-sales</t>
        </is>
      </c>
      <c r="AS405" s="53" t="inlineStr">
        <is>
          <t>Non-technical</t>
        </is>
      </c>
      <c r="AT405" s="53" t="n">
        <v>20</v>
      </c>
      <c r="AU405" s="53" t="inlineStr">
        <is>
          <t>Covered</t>
        </is>
      </c>
      <c r="AV405" s="53" t="n"/>
      <c r="AW405" s="53" t="n"/>
      <c r="AX405" s="53" t="n"/>
      <c r="AY405" s="53" t="n"/>
      <c r="AZ405" s="53" t="n"/>
      <c r="BA405" s="53" t="n"/>
      <c r="BB405" s="53" t="n"/>
      <c r="BC405" s="53" t="n"/>
      <c r="BD405" s="53" t="n"/>
      <c r="BE405" s="53" t="n"/>
      <c r="BF405" s="53" t="n"/>
      <c r="BG405" s="53" t="n"/>
      <c r="BH405" s="53" t="n"/>
      <c r="BI405" s="53" t="n"/>
      <c r="BJ405" s="53" t="n"/>
      <c r="BK405" s="53" t="n"/>
      <c r="BL405" s="53" t="n"/>
      <c r="BM405" s="53" t="n"/>
      <c r="BN405" s="53" t="n"/>
      <c r="BO405" s="53" t="n"/>
      <c r="BP405" s="53" t="n"/>
      <c r="BQ405" s="53" t="n"/>
      <c r="BR405" s="53" t="n"/>
      <c r="BS405" s="53" t="n"/>
      <c r="BT405" s="53" t="n"/>
      <c r="BU405" s="53" t="n"/>
      <c r="BV405" s="53" t="n"/>
      <c r="BW405" s="53" t="n"/>
      <c r="BX405" s="53" t="n"/>
      <c r="BY405" s="53" t="n"/>
      <c r="BZ405" s="53" t="n"/>
      <c r="CA405" s="53" t="n"/>
      <c r="CB405" s="53" t="n"/>
      <c r="CC405" s="53" t="n"/>
      <c r="CD405" s="53" t="n"/>
      <c r="CE405" s="53" t="n"/>
      <c r="CF405" s="53" t="n"/>
      <c r="CG405" s="53" t="n"/>
      <c r="CH405" s="53" t="n"/>
      <c r="CI405" s="53" t="n"/>
      <c r="CJ405" s="53" t="n"/>
      <c r="CK405" s="53" t="n"/>
      <c r="CL405" s="53" t="n"/>
      <c r="CM405" s="53" t="n"/>
      <c r="CN405" s="53" t="n"/>
      <c r="CO405" s="53" t="n"/>
      <c r="CP405" s="53" t="n"/>
      <c r="CQ405" s="53" t="n"/>
      <c r="CR405" s="53" t="n"/>
      <c r="CS405" s="53" t="n"/>
      <c r="CT405" s="53" t="n"/>
      <c r="CU405" s="53" t="n"/>
      <c r="CV405" s="53" t="n"/>
      <c r="CW405" s="53" t="n"/>
      <c r="CX405" s="53" t="n"/>
      <c r="CY405" s="53" t="n"/>
      <c r="CZ405" s="53" t="n"/>
      <c r="DA405" s="53" t="n"/>
      <c r="DB405" s="53" t="n"/>
      <c r="DC405" s="53" t="n"/>
      <c r="DD405" s="53" t="n"/>
      <c r="DE405" s="53" t="n"/>
      <c r="DF405" s="53" t="n"/>
      <c r="DG405" s="53" t="n"/>
      <c r="DH405" s="53" t="n"/>
      <c r="DI405" s="53" t="n"/>
      <c r="DJ405" s="53" t="n"/>
      <c r="DK405" s="53" t="n"/>
      <c r="DL405" s="53" t="n"/>
      <c r="DM405" s="53" t="n"/>
      <c r="DN405" s="53" t="n"/>
      <c r="DO405" s="53" t="n"/>
      <c r="DP405" s="53" t="n"/>
      <c r="DQ405" s="53" t="n"/>
      <c r="DR405" s="53" t="n"/>
      <c r="DS405" s="53" t="n"/>
      <c r="DT405" s="53" t="n"/>
      <c r="DU405" s="53" t="n"/>
      <c r="DV405" s="53" t="n"/>
      <c r="DW405" s="53" t="n"/>
      <c r="DX405" s="53" t="n"/>
      <c r="DY405" s="53" t="n"/>
      <c r="DZ405" s="53" t="n"/>
      <c r="EA405" s="53" t="n"/>
      <c r="EB405" s="53" t="n"/>
      <c r="EC405" s="53" t="n"/>
      <c r="ED405" s="53" t="n"/>
      <c r="EE405" s="53" t="n"/>
      <c r="EF405" s="53" t="n"/>
      <c r="EG405" s="53" t="n"/>
      <c r="EH405" s="53" t="n"/>
      <c r="EI405" s="53" t="n"/>
      <c r="EJ405" s="53" t="n"/>
      <c r="EK405" s="53" t="n"/>
      <c r="EL405" s="53" t="n"/>
      <c r="EM405" s="53" t="n"/>
      <c r="EN405" s="53" t="n"/>
      <c r="EO405" s="53" t="n"/>
      <c r="EP405" s="53" t="n"/>
      <c r="EQ405" s="53" t="n"/>
      <c r="ER405" s="53" t="n"/>
      <c r="ES405" s="53" t="n"/>
      <c r="ET405" s="53" t="n"/>
      <c r="EU405" s="53" t="n"/>
      <c r="EV405" s="53" t="n"/>
      <c r="EW405" s="52" t="n"/>
      <c r="EX405" s="53" t="n"/>
      <c r="EY405" s="53" t="n"/>
      <c r="EZ405" s="53" t="n"/>
      <c r="FA405" s="53" t="n"/>
      <c r="FB405" s="53" t="n"/>
      <c r="FC405" s="53" t="n"/>
      <c r="FD405" s="53" t="n"/>
      <c r="FE405" s="55" t="inlineStr">
        <is>
          <t>KRAs not received · manager to supply</t>
        </is>
      </c>
      <c r="FF405" s="56" t="n"/>
      <c r="FG405" s="56" t="n"/>
      <c r="FH405" s="56" t="n"/>
      <c r="FI405" s="56" t="n"/>
      <c r="FJ405" s="32" t="inlineStr">
        <is>
          <t>KRAs not received · manager to supply</t>
        </is>
      </c>
      <c r="FK405" s="56" t="n"/>
      <c r="FL405" s="56" t="n">
        <v>20</v>
      </c>
      <c r="FM405" s="32" t="inlineStr">
        <is>
          <t>Full survey answers not in the files received · How We Grow export needed · HR</t>
        </is>
      </c>
      <c r="FN405" s="56" t="inlineStr">
        <is>
          <t>—</t>
        </is>
      </c>
      <c r="FO405" s="56" t="inlineStr">
        <is>
          <t>—</t>
        </is>
      </c>
      <c r="FP405" s="56" t="inlineStr">
        <is>
          <t>—</t>
        </is>
      </c>
      <c r="FQ405" s="56" t="inlineStr">
        <is>
          <t>—</t>
        </is>
      </c>
      <c r="FR405" s="56" t="inlineStr">
        <is>
          <t>Complexity: Evidence reads like A3: Maps client requirements to product features; RFP responses, mapping documents and demos across several proposals → moved down 1
Autonomy: Evidence reads like A2: Decides NDA signing and lead follow-ups; nothing larger stated → moved down 1
Accountability: Evidence reads like A3: RFP submissions, weekly meeting and monthly tracker; misses escalate and cost revenue → moved down 1
Leadership: Evidence reads like A1: No guidance or leadership of others described → moved down 1
Business Impact: No survey or manager-mapping signal on criticality: kept at the start point.</t>
        </is>
      </c>
      <c r="FS405" s="56" t="n"/>
      <c r="FT405" s="56" t="inlineStr">
        <is>
          <t>Self-identified: Answered · no common topic
For the next role: Answered · no common topic</t>
        </is>
      </c>
      <c r="FU405" s="32" t="inlineStr">
        <is>
          <t>Full survey answers not in the files received · How We Grow export needed · HR</t>
        </is>
      </c>
    </row>
    <row r="406" ht="90" customHeight="1">
      <c r="A406" s="51" t="inlineStr">
        <is>
          <t>◂ Back</t>
        </is>
      </c>
      <c r="B406" s="29" t="inlineStr">
        <is>
          <t>Mapped</t>
        </is>
      </c>
      <c r="C406" s="28" t="inlineStr">
        <is>
          <t>Datatech</t>
        </is>
      </c>
      <c r="D406" s="29" t="inlineStr">
        <is>
          <t>IRISDT0001</t>
        </is>
      </c>
      <c r="E406" s="29" t="inlineStr">
        <is>
          <t>Shilpa Dhobale</t>
        </is>
      </c>
      <c r="F406" s="29" t="inlineStr">
        <is>
          <t>Datatech Business Head</t>
        </is>
      </c>
      <c r="G406" s="29" t="inlineStr">
        <is>
          <t>Business Head - DataTech</t>
        </is>
      </c>
      <c r="H406" s="29" t="inlineStr">
        <is>
          <t>Business Head – DataTech</t>
        </is>
      </c>
      <c r="I406" s="29" t="inlineStr">
        <is>
          <t>L7 – Head / Sr Director</t>
        </is>
      </c>
      <c r="J406" s="29" t="inlineStr">
        <is>
          <t>D2</t>
        </is>
      </c>
      <c r="K406" s="29" t="inlineStr">
        <is>
          <t>▲ Up</t>
        </is>
      </c>
      <c r="L406" s="29" t="inlineStr">
        <is>
          <t>Executive Leadership</t>
        </is>
      </c>
      <c r="M406" s="29" t="inlineStr">
        <is>
          <t>Business Head</t>
        </is>
      </c>
      <c r="N406" s="29" t="inlineStr">
        <is>
          <t>• Survey response or KRAs describing the work · nothing on file — Employee + manager
• Correct the experience record — HR</t>
        </is>
      </c>
      <c r="O406" s="29" t="n">
        <v>0</v>
      </c>
      <c r="P406" s="28" t="inlineStr">
        <is>
          <t>E3–E4</t>
        </is>
      </c>
      <c r="Q406" s="29" t="inlineStr">
        <is>
          <t>SVP</t>
        </is>
      </c>
      <c r="R406" s="29" t="inlineStr">
        <is>
          <t>7 Set strategy</t>
        </is>
      </c>
      <c r="S406" s="29" t="inlineStr">
        <is>
          <t>18–24 yrs</t>
        </is>
      </c>
      <c r="T406" s="29" t="inlineStr">
        <is>
          <t>—</t>
        </is>
      </c>
      <c r="U406" s="29" t="inlineStr">
        <is>
          <t>Associate Vice President</t>
        </is>
      </c>
      <c r="V406" s="29" t="inlineStr">
        <is>
          <t>IRIS Vs Market Benchmark — Aon Radford / Mercer executive codes: E3–E4 SVP · IRIS Vs Competitor Benchmark — regtech / SaaS executive titles: SVP</t>
        </is>
      </c>
      <c r="W406" s="29" t="inlineStr">
        <is>
          <t>Aon Radford executive levels E1–E6; Mercer ET1–ET3; Korn Ferry Leadership Architect</t>
        </is>
      </c>
      <c r="X406" s="29" t="inlineStr">
        <is>
          <t>Core 5 · Future 4 · Functional 4 · Leadership 5</t>
        </is>
      </c>
      <c r="Y406" s="52" t="n">
        <v>538</v>
      </c>
      <c r="Z406" s="53" t="inlineStr">
        <is>
          <t>IRISDT0001</t>
        </is>
      </c>
      <c r="AA406" s="53" t="inlineStr">
        <is>
          <t>Employee</t>
        </is>
      </c>
      <c r="AB406" s="53" t="inlineStr">
        <is>
          <t>Active</t>
        </is>
      </c>
      <c r="AC406" s="53" t="inlineStr">
        <is>
          <t>Shilpa Dhobale</t>
        </is>
      </c>
      <c r="AD406" s="54" t="n">
        <v>45627</v>
      </c>
      <c r="AE406" s="53" t="inlineStr">
        <is>
          <t>Business Head - DataTech</t>
        </is>
      </c>
      <c r="AF406" s="53" t="inlineStr">
        <is>
          <t>CWA</t>
        </is>
      </c>
      <c r="AG406" s="53" t="inlineStr">
        <is>
          <t>Balachandran K</t>
        </is>
      </c>
      <c r="AH406" s="53" t="inlineStr">
        <is>
          <t>N-1</t>
        </is>
      </c>
      <c r="AI406" s="53" t="inlineStr">
        <is>
          <t>Manager</t>
        </is>
      </c>
      <c r="AJ406" s="53" t="inlineStr">
        <is>
          <t>2 years, 0 months, 0 days</t>
        </is>
      </c>
      <c r="AK406" s="53" t="inlineStr">
        <is>
          <t>1 years, 8 months, 24 days</t>
        </is>
      </c>
      <c r="AL406" s="53" t="inlineStr">
        <is>
          <t>Datatech</t>
        </is>
      </c>
      <c r="AM406" s="53" t="inlineStr">
        <is>
          <t>Datatech</t>
        </is>
      </c>
      <c r="AN406" s="53" t="inlineStr">
        <is>
          <t>Datatech Business Head</t>
        </is>
      </c>
      <c r="AO406" s="53" t="inlineStr">
        <is>
          <t>Client Engagement</t>
        </is>
      </c>
      <c r="AP406" s="53" t="inlineStr">
        <is>
          <t>No</t>
        </is>
      </c>
      <c r="AQ406" s="53" t="inlineStr">
        <is>
          <t>Client Engagement</t>
        </is>
      </c>
      <c r="AR406" s="53" t="inlineStr">
        <is>
          <t>Product Management</t>
        </is>
      </c>
      <c r="AS406" s="53" t="inlineStr">
        <is>
          <t>Technical · BA, PM and QA</t>
        </is>
      </c>
      <c r="AT406" s="53" t="n">
        <v>0</v>
      </c>
      <c r="AU406" s="53" t="inlineStr">
        <is>
          <t>E-Top management</t>
        </is>
      </c>
      <c r="AV406" s="53" t="n"/>
      <c r="AW406" s="53" t="n"/>
      <c r="AX406" s="53" t="n"/>
      <c r="AY406" s="53" t="n"/>
      <c r="AZ406" s="53" t="n"/>
      <c r="BA406" s="53" t="n"/>
      <c r="BB406" s="53" t="n"/>
      <c r="BC406" s="53" t="n"/>
      <c r="BD406" s="53" t="n"/>
      <c r="BE406" s="53" t="n"/>
      <c r="BF406" s="53" t="n"/>
      <c r="BG406" s="53" t="n"/>
      <c r="BH406" s="53" t="n"/>
      <c r="BI406" s="53" t="n"/>
      <c r="BJ406" s="53" t="n"/>
      <c r="BK406" s="53" t="n"/>
      <c r="BL406" s="53" t="n"/>
      <c r="BM406" s="53" t="n"/>
      <c r="BN406" s="53" t="n"/>
      <c r="BO406" s="53" t="n"/>
      <c r="BP406" s="53" t="n"/>
      <c r="BQ406" s="53" t="n"/>
      <c r="BR406" s="53" t="n"/>
      <c r="BS406" s="53" t="n"/>
      <c r="BT406" s="53" t="n"/>
      <c r="BU406" s="53" t="n"/>
      <c r="BV406" s="53" t="n"/>
      <c r="BW406" s="53" t="n"/>
      <c r="BX406" s="53" t="n"/>
      <c r="BY406" s="53" t="n"/>
      <c r="BZ406" s="53" t="n"/>
      <c r="CA406" s="53" t="n"/>
      <c r="CB406" s="53" t="n"/>
      <c r="CC406" s="53" t="n"/>
      <c r="CD406" s="53" t="n"/>
      <c r="CE406" s="53" t="n"/>
      <c r="CF406" s="53" t="n"/>
      <c r="CG406" s="53" t="n"/>
      <c r="CH406" s="53" t="n"/>
      <c r="CI406" s="53" t="n"/>
      <c r="CJ406" s="53" t="n"/>
      <c r="CK406" s="53" t="n"/>
      <c r="CL406" s="53" t="n"/>
      <c r="CM406" s="53" t="n"/>
      <c r="CN406" s="53" t="n"/>
      <c r="CO406" s="53" t="n"/>
      <c r="CP406" s="53" t="n"/>
      <c r="CQ406" s="53" t="n"/>
      <c r="CR406" s="53" t="n"/>
      <c r="CS406" s="53" t="n"/>
      <c r="CT406" s="53" t="n"/>
      <c r="CU406" s="53" t="n"/>
      <c r="CV406" s="53" t="n"/>
      <c r="CW406" s="53" t="n"/>
      <c r="CX406" s="53" t="n"/>
      <c r="CY406" s="53" t="n"/>
      <c r="CZ406" s="53" t="n"/>
      <c r="DA406" s="53" t="n"/>
      <c r="DB406" s="53" t="n"/>
      <c r="DC406" s="53" t="n"/>
      <c r="DD406" s="53" t="inlineStr">
        <is>
          <t>IRIS2325</t>
        </is>
      </c>
      <c r="DE406" s="53" t="inlineStr">
        <is>
          <t>Employee</t>
        </is>
      </c>
      <c r="DF406" s="53" t="inlineStr">
        <is>
          <t>Active</t>
        </is>
      </c>
      <c r="DG406" s="53" t="inlineStr">
        <is>
          <t>Shilpa Dhobale</t>
        </is>
      </c>
      <c r="DH406" s="54" t="n">
        <v>45627</v>
      </c>
      <c r="DI406" s="53" t="inlineStr">
        <is>
          <t>Head - Product Excellence</t>
        </is>
      </c>
      <c r="DJ406" s="53" t="inlineStr">
        <is>
          <t>Customer Success &amp; Support</t>
        </is>
      </c>
      <c r="DK406" s="53" t="inlineStr">
        <is>
          <t>Client / Product Support</t>
        </is>
      </c>
      <c r="DL406" s="53" t="inlineStr">
        <is>
          <t>Head - Product Excellence</t>
        </is>
      </c>
      <c r="DM406" s="53" t="inlineStr">
        <is>
          <t>L7 – Head / Sr Director</t>
        </is>
      </c>
      <c r="DN406" s="53" t="inlineStr">
        <is>
          <t>CWA</t>
        </is>
      </c>
      <c r="DO406" s="53" t="inlineStr">
        <is>
          <t>Balachandran K</t>
        </is>
      </c>
      <c r="DP406" s="53" t="inlineStr">
        <is>
          <t>N-1</t>
        </is>
      </c>
      <c r="DQ406" s="53" t="inlineStr">
        <is>
          <t>Manager</t>
        </is>
      </c>
      <c r="DR406" s="53" t="inlineStr">
        <is>
          <t>2 years, 0 months, 0 days</t>
        </is>
      </c>
      <c r="DS406" s="53" t="inlineStr">
        <is>
          <t>1 years, 6 months, 19 days</t>
        </is>
      </c>
      <c r="DT406" s="53" t="inlineStr">
        <is>
          <t>3 years, 6 months, 19 days</t>
        </is>
      </c>
      <c r="DU406" s="53" t="n">
        <v>1.55205479452055</v>
      </c>
      <c r="DV406" s="53" t="inlineStr">
        <is>
          <t>Datatech</t>
        </is>
      </c>
      <c r="DW406" s="53" t="inlineStr">
        <is>
          <t>Datatech</t>
        </is>
      </c>
      <c r="DX406" s="53" t="inlineStr">
        <is>
          <t>Datatech Business Head</t>
        </is>
      </c>
      <c r="DY406" s="53" t="inlineStr">
        <is>
          <t>Client Engagement</t>
        </is>
      </c>
      <c r="DZ406" s="53" t="inlineStr">
        <is>
          <t>No</t>
        </is>
      </c>
      <c r="EA406" s="53" t="inlineStr">
        <is>
          <t>Client Engagement</t>
        </is>
      </c>
      <c r="EB406" s="53" t="inlineStr">
        <is>
          <t>Product Management</t>
        </is>
      </c>
      <c r="EC406" s="53" t="inlineStr">
        <is>
          <t>Technical · BA, PM and QA</t>
        </is>
      </c>
      <c r="ED406" s="53" t="inlineStr">
        <is>
          <t>Turbhe</t>
        </is>
      </c>
      <c r="EE406" s="53" t="n"/>
      <c r="EF406" s="53" t="n"/>
      <c r="EG406" s="53" t="n"/>
      <c r="EH406" s="53" t="n">
        <v>3</v>
      </c>
      <c r="EI406" s="53" t="n"/>
      <c r="EJ406" s="53" t="inlineStr">
        <is>
          <t>Business Head</t>
        </is>
      </c>
      <c r="EK406" s="53" t="inlineStr">
        <is>
          <t>No</t>
        </is>
      </c>
      <c r="EL406" s="53" t="n">
        <v>3</v>
      </c>
      <c r="EM406" s="53" t="n">
        <v>3</v>
      </c>
      <c r="EN406" s="53" t="inlineStr">
        <is>
          <t>Future Leader</t>
        </is>
      </c>
      <c r="EO406" s="53" t="inlineStr">
        <is>
          <t>No</t>
        </is>
      </c>
      <c r="EP406" s="53" t="inlineStr">
        <is>
          <t>No</t>
        </is>
      </c>
      <c r="EQ406" s="53" t="inlineStr">
        <is>
          <t>Yes</t>
        </is>
      </c>
      <c r="ER406" s="53" t="n"/>
      <c r="ES406" s="53" t="inlineStr">
        <is>
          <t>Leaderdership coaching and stakeholder management,</t>
        </is>
      </c>
      <c r="ET406" s="53" t="inlineStr">
        <is>
          <t>leadership coaching</t>
        </is>
      </c>
      <c r="EU406" s="53" t="n"/>
      <c r="EV406" s="53" t="inlineStr">
        <is>
          <t>All</t>
        </is>
      </c>
      <c r="EW406" s="52" t="n"/>
      <c r="EX406" s="53" t="n"/>
      <c r="EY406" s="53" t="n"/>
      <c r="EZ406" s="53" t="n"/>
      <c r="FA406" s="53" t="n"/>
      <c r="FB406" s="53" t="n"/>
      <c r="FC406" s="53" t="n"/>
      <c r="FD406" s="53" t="inlineStr">
        <is>
          <t>IRIS2325</t>
        </is>
      </c>
      <c r="FE406" s="55" t="inlineStr">
        <is>
          <t>KRAs not received · manager to supply</t>
        </is>
      </c>
      <c r="FF406" s="56" t="n"/>
      <c r="FG406" s="56" t="n"/>
      <c r="FH406" s="56" t="inlineStr">
        <is>
          <t>3</t>
        </is>
      </c>
      <c r="FI406" s="56" t="n"/>
      <c r="FJ406" s="32" t="inlineStr">
        <is>
          <t>KRAs not received · manager to supply</t>
        </is>
      </c>
      <c r="FK406" s="56" t="inlineStr">
        <is>
          <t>Talent Mapping · Datatech</t>
        </is>
      </c>
      <c r="FL406" s="56" t="n">
        <v>0</v>
      </c>
      <c r="FM406" s="32" t="inlineStr">
        <is>
          <t>No survey response on file</t>
        </is>
      </c>
      <c r="FN406" s="56" t="inlineStr">
        <is>
          <t>—</t>
        </is>
      </c>
      <c r="FO406" s="56" t="inlineStr">
        <is>
          <t>—</t>
        </is>
      </c>
      <c r="FP406" s="56" t="inlineStr">
        <is>
          <t>—</t>
        </is>
      </c>
      <c r="FQ406" s="56" t="inlineStr">
        <is>
          <t>—</t>
        </is>
      </c>
      <c r="FR406" s="56"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Moved +0.5: the survey / manager mapping marks it business-critical.</t>
        </is>
      </c>
      <c r="FS406" s="56" t="n"/>
      <c r="FT406" s="56" t="n"/>
      <c r="FU406" s="32" t="inlineStr">
        <is>
          <t>No survey response on file</t>
        </is>
      </c>
    </row>
    <row r="407" ht="90" customHeight="1">
      <c r="A407" s="51" t="inlineStr">
        <is>
          <t>◂ Back</t>
        </is>
      </c>
      <c r="B407" s="29" t="inlineStr">
        <is>
          <t>Mapped</t>
        </is>
      </c>
      <c r="C407" s="28" t="inlineStr">
        <is>
          <t>Datatech</t>
        </is>
      </c>
      <c r="D407" s="29" t="inlineStr">
        <is>
          <t>IRISDT0019</t>
        </is>
      </c>
      <c r="E407" s="29" t="inlineStr">
        <is>
          <t>Abhishek Gite</t>
        </is>
      </c>
      <c r="F407" s="29" t="inlineStr">
        <is>
          <t>Sales</t>
        </is>
      </c>
      <c r="G407" s="29" t="inlineStr">
        <is>
          <t>Head - Sales and Alliances</t>
        </is>
      </c>
      <c r="H407" s="29" t="inlineStr">
        <is>
          <t>Principal – Sales</t>
        </is>
      </c>
      <c r="I407" s="29" t="inlineStr">
        <is>
          <t>Not in current mapping files</t>
        </is>
      </c>
      <c r="J407" s="29" t="inlineStr">
        <is>
          <t>C1</t>
        </is>
      </c>
      <c r="K407" s="29" t="inlineStr">
        <is>
          <t>● Newly mapped</t>
        </is>
      </c>
      <c r="L407" s="29" t="inlineStr">
        <is>
          <t>Sales &amp; Business Development</t>
        </is>
      </c>
      <c r="M407" s="29" t="inlineStr">
        <is>
          <t>Sales Leadership</t>
        </is>
      </c>
      <c r="N407" s="29" t="inlineStr">
        <is>
          <t>• Survey response or KRAs describing the work · nothing on file — Employee + manager
• Confirm structure behind the senior title · org chart — Business head</t>
        </is>
      </c>
      <c r="O407" s="29" t="n">
        <v>0</v>
      </c>
      <c r="P407" s="28" t="inlineStr">
        <is>
          <t>P6 / M5</t>
        </is>
      </c>
      <c r="Q407" s="29" t="inlineStr">
        <is>
          <t>Principal / Director</t>
        </is>
      </c>
      <c r="R407" s="29" t="inlineStr">
        <is>
          <t>5–6</t>
        </is>
      </c>
      <c r="S407" s="29" t="inlineStr">
        <is>
          <t>10–14 yrs</t>
        </is>
      </c>
      <c r="T407" s="29" t="inlineStr">
        <is>
          <t>12–16 · 12–18</t>
        </is>
      </c>
      <c r="U407" s="29" t="inlineStr">
        <is>
          <t>—</t>
        </is>
      </c>
      <c r="V407" s="29" t="inlineStr">
        <is>
          <t>IRIS Vs Competitor Benchmark — SaaS sales ladder — IC: Strategic / Principal AE · IRIS Vs Competitor Benchmark — SaaS sales ladder — management: Regional Sales Head</t>
        </is>
      </c>
      <c r="W407" s="29" t="inlineStr">
        <is>
          <t>SaaS sales ladder · SDR → AE → Enterprise AE → VP / CRO; MEDDICC-style qualification</t>
        </is>
      </c>
      <c r="X407" s="29" t="inlineStr">
        <is>
          <t>Core 4 · Future 4 · Functional 4 · Leadership 4</t>
        </is>
      </c>
      <c r="Y407" s="52" t="n">
        <v>556</v>
      </c>
      <c r="Z407" s="53" t="inlineStr">
        <is>
          <t>IRISDT0019</t>
        </is>
      </c>
      <c r="AA407" s="53" t="inlineStr">
        <is>
          <t>Employee</t>
        </is>
      </c>
      <c r="AB407" s="53" t="inlineStr">
        <is>
          <t>Active</t>
        </is>
      </c>
      <c r="AC407" s="53" t="inlineStr">
        <is>
          <t>Abhishek Gite</t>
        </is>
      </c>
      <c r="AD407" s="54" t="n">
        <v>46174</v>
      </c>
      <c r="AE407" s="53" t="inlineStr">
        <is>
          <t>Head - Sales and Alliances</t>
        </is>
      </c>
      <c r="AF407" s="53" t="inlineStr">
        <is>
          <t>MBA</t>
        </is>
      </c>
      <c r="AG407" s="53" t="inlineStr">
        <is>
          <t>Shilpa Dhobale</t>
        </is>
      </c>
      <c r="AH407" s="53" t="inlineStr">
        <is>
          <t>N-2</t>
        </is>
      </c>
      <c r="AI407" s="53" t="inlineStr">
        <is>
          <t>Individual Contributor</t>
        </is>
      </c>
      <c r="AJ407" s="53" t="inlineStr">
        <is>
          <t>24 years, 0 months, 0 days</t>
        </is>
      </c>
      <c r="AK407" s="53" t="inlineStr">
        <is>
          <t>0 years, 2 months, 24 days</t>
        </is>
      </c>
      <c r="AL407" s="53" t="inlineStr">
        <is>
          <t>Datatech</t>
        </is>
      </c>
      <c r="AM407" s="53" t="inlineStr">
        <is>
          <t>Datatech</t>
        </is>
      </c>
      <c r="AN407" s="53" t="inlineStr">
        <is>
          <t>Sales</t>
        </is>
      </c>
      <c r="AO407" s="53" t="inlineStr">
        <is>
          <t>Sales</t>
        </is>
      </c>
      <c r="AP407" s="53" t="inlineStr">
        <is>
          <t>No</t>
        </is>
      </c>
      <c r="AQ407" s="53" t="inlineStr">
        <is>
          <t>Sales, Marketing &amp; Support</t>
        </is>
      </c>
      <c r="AR407" s="53" t="inlineStr">
        <is>
          <t>Sales</t>
        </is>
      </c>
      <c r="AS407" s="53" t="inlineStr">
        <is>
          <t>Non-technical</t>
        </is>
      </c>
      <c r="AT407" s="53" t="n">
        <v>0</v>
      </c>
      <c r="AU407" s="53" t="inlineStr">
        <is>
          <t>E-Top management</t>
        </is>
      </c>
      <c r="AV407" s="53" t="n"/>
      <c r="AW407" s="53" t="n"/>
      <c r="AX407" s="53" t="n"/>
      <c r="AY407" s="53" t="n"/>
      <c r="AZ407" s="53" t="n"/>
      <c r="BA407" s="53" t="n"/>
      <c r="BB407" s="53" t="n"/>
      <c r="BC407" s="53" t="n"/>
      <c r="BD407" s="53" t="n"/>
      <c r="BE407" s="53" t="n"/>
      <c r="BF407" s="53" t="n"/>
      <c r="BG407" s="53" t="n"/>
      <c r="BH407" s="53" t="n"/>
      <c r="BI407" s="53" t="n"/>
      <c r="BJ407" s="53" t="n"/>
      <c r="BK407" s="53" t="n"/>
      <c r="BL407" s="53" t="n"/>
      <c r="BM407" s="53" t="n"/>
      <c r="BN407" s="53" t="n"/>
      <c r="BO407" s="53" t="n"/>
      <c r="BP407" s="53" t="n"/>
      <c r="BQ407" s="53" t="n"/>
      <c r="BR407" s="53" t="n"/>
      <c r="BS407" s="53" t="n"/>
      <c r="BT407" s="53" t="n"/>
      <c r="BU407" s="53" t="n"/>
      <c r="BV407" s="53" t="n"/>
      <c r="BW407" s="53" t="n"/>
      <c r="BX407" s="53" t="n"/>
      <c r="BY407" s="53" t="n"/>
      <c r="BZ407" s="53" t="n"/>
      <c r="CA407" s="53" t="n"/>
      <c r="CB407" s="53" t="n"/>
      <c r="CC407" s="53" t="n"/>
      <c r="CD407" s="53" t="n"/>
      <c r="CE407" s="53" t="n"/>
      <c r="CF407" s="53" t="n"/>
      <c r="CG407" s="53" t="n"/>
      <c r="CH407" s="53" t="n"/>
      <c r="CI407" s="53" t="n"/>
      <c r="CJ407" s="53" t="n"/>
      <c r="CK407" s="53" t="n"/>
      <c r="CL407" s="53" t="n"/>
      <c r="CM407" s="53" t="n"/>
      <c r="CN407" s="53" t="n"/>
      <c r="CO407" s="53" t="n"/>
      <c r="CP407" s="53" t="n"/>
      <c r="CQ407" s="53" t="n"/>
      <c r="CR407" s="53" t="n"/>
      <c r="CS407" s="53" t="n"/>
      <c r="CT407" s="53" t="n"/>
      <c r="CU407" s="53" t="n"/>
      <c r="CV407" s="53" t="n"/>
      <c r="CW407" s="53" t="n"/>
      <c r="CX407" s="53" t="n"/>
      <c r="CY407" s="53" t="n"/>
      <c r="CZ407" s="53" t="n"/>
      <c r="DA407" s="53" t="n"/>
      <c r="DB407" s="53" t="n"/>
      <c r="DC407" s="53" t="n"/>
      <c r="DD407" s="53" t="n"/>
      <c r="DE407" s="53" t="inlineStr">
        <is>
          <t>Employee</t>
        </is>
      </c>
      <c r="DF407" s="53" t="inlineStr">
        <is>
          <t>Active</t>
        </is>
      </c>
      <c r="DG407" s="53" t="inlineStr">
        <is>
          <t>Abhishek Gite</t>
        </is>
      </c>
      <c r="DH407" s="53" t="n"/>
      <c r="DI407" s="53" t="inlineStr">
        <is>
          <t>Head - Sales and Alliances</t>
        </is>
      </c>
      <c r="DJ407" s="53" t="n"/>
      <c r="DK407" s="53" t="n"/>
      <c r="DL407" s="53" t="n"/>
      <c r="DM407" s="53" t="n"/>
      <c r="DN407" s="53" t="n"/>
      <c r="DO407" s="53" t="inlineStr">
        <is>
          <t>Shilpa Dhobale</t>
        </is>
      </c>
      <c r="DP407" s="53" t="n"/>
      <c r="DQ407" s="53" t="n"/>
      <c r="DR407" s="53" t="n"/>
      <c r="DS407" s="53" t="n"/>
      <c r="DT407" s="53" t="n"/>
      <c r="DU407" s="53" t="n"/>
      <c r="DV407" s="53" t="inlineStr">
        <is>
          <t>Datatech</t>
        </is>
      </c>
      <c r="DW407" s="53" t="inlineStr">
        <is>
          <t>Datatech</t>
        </is>
      </c>
      <c r="DX407" s="53" t="inlineStr">
        <is>
          <t>Sales</t>
        </is>
      </c>
      <c r="DY407" s="53" t="inlineStr">
        <is>
          <t>Sales</t>
        </is>
      </c>
      <c r="DZ407" s="53" t="inlineStr">
        <is>
          <t>No</t>
        </is>
      </c>
      <c r="EA407" s="53" t="inlineStr">
        <is>
          <t>Sales, Marketing &amp; Support</t>
        </is>
      </c>
      <c r="EB407" s="53" t="inlineStr">
        <is>
          <t>Sales</t>
        </is>
      </c>
      <c r="EC407" s="53" t="inlineStr">
        <is>
          <t>Non-technical</t>
        </is>
      </c>
      <c r="ED407" s="53" t="inlineStr">
        <is>
          <t>Turbhe</t>
        </is>
      </c>
      <c r="EE407" s="53" t="n"/>
      <c r="EF407" s="53" t="n"/>
      <c r="EG407" s="53" t="n"/>
      <c r="EH407" s="53" t="n">
        <v>3</v>
      </c>
      <c r="EI407" s="53" t="n"/>
      <c r="EJ407" s="53" t="inlineStr">
        <is>
          <t>Head - Sales and Alliances</t>
        </is>
      </c>
      <c r="EK407" s="53" t="inlineStr">
        <is>
          <t>No</t>
        </is>
      </c>
      <c r="EL407" s="53" t="n"/>
      <c r="EM407" s="53" t="n"/>
      <c r="EN407" s="53" t="inlineStr">
        <is>
          <t>Core Contributor</t>
        </is>
      </c>
      <c r="EO407" s="53" t="inlineStr">
        <is>
          <t>No</t>
        </is>
      </c>
      <c r="EP407" s="53" t="inlineStr">
        <is>
          <t>No</t>
        </is>
      </c>
      <c r="EQ407" s="53" t="n"/>
      <c r="ER407" s="53" t="n"/>
      <c r="ES407" s="53" t="n"/>
      <c r="ET407" s="53" t="n"/>
      <c r="EU407" s="53" t="n"/>
      <c r="EV407" s="53" t="n"/>
      <c r="EW407" s="52" t="n"/>
      <c r="EX407" s="53" t="n"/>
      <c r="EY407" s="53" t="n"/>
      <c r="EZ407" s="53" t="n"/>
      <c r="FA407" s="53" t="n"/>
      <c r="FB407" s="53" t="n"/>
      <c r="FC407" s="53" t="n"/>
      <c r="FD407" s="53" t="n"/>
      <c r="FE407" s="55" t="inlineStr">
        <is>
          <t>KRAs not received · manager to supply</t>
        </is>
      </c>
      <c r="FF407" s="56" t="n"/>
      <c r="FG407" s="56" t="n"/>
      <c r="FH407" s="56" t="inlineStr">
        <is>
          <t>3</t>
        </is>
      </c>
      <c r="FI407" s="56" t="n"/>
      <c r="FJ407" s="32" t="inlineStr">
        <is>
          <t>KRAs not received · manager to supply</t>
        </is>
      </c>
      <c r="FK407" s="56" t="inlineStr">
        <is>
          <t>Talent Mapping · Datatech</t>
        </is>
      </c>
      <c r="FL407" s="56" t="n">
        <v>0</v>
      </c>
      <c r="FM407" s="32" t="inlineStr">
        <is>
          <t>No survey response on file</t>
        </is>
      </c>
      <c r="FN407" s="56" t="inlineStr">
        <is>
          <t>—</t>
        </is>
      </c>
      <c r="FO407" s="56" t="inlineStr">
        <is>
          <t>—</t>
        </is>
      </c>
      <c r="FP407" s="56" t="inlineStr">
        <is>
          <t>—</t>
        </is>
      </c>
      <c r="FQ407" s="56" t="inlineStr">
        <is>
          <t>—</t>
        </is>
      </c>
      <c r="FR407" s="56"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FS407" s="56" t="inlineStr">
        <is>
          <t>Common themes in sub-family holders, all levels' answers: client · follow till · negotiations · details sdr · understand · call
Common themes in sub-family holders, all levels' answers: building · partner
Common themes in sub-family holders, all levels' answers: sales
Common themes in sub-family holders, all levels' answers: revenue · generation · sales
If the work is missed · role-holders' themes: revenue · opportunities · lost.</t>
        </is>
      </c>
      <c r="FT407" s="56" t="n"/>
      <c r="FU407" s="32" t="inlineStr">
        <is>
          <t>No survey response on file</t>
        </is>
      </c>
    </row>
    <row r="408" ht="90" customHeight="1">
      <c r="A408" s="51" t="inlineStr">
        <is>
          <t>◂ Back</t>
        </is>
      </c>
      <c r="B408" s="29" t="inlineStr">
        <is>
          <t>Mapped</t>
        </is>
      </c>
      <c r="C408" s="28" t="inlineStr">
        <is>
          <t>Datatech</t>
        </is>
      </c>
      <c r="D408" s="29" t="inlineStr">
        <is>
          <t>IRISDT0006</t>
        </is>
      </c>
      <c r="E408" s="29" t="inlineStr">
        <is>
          <t>Sanghamitra Saxena</t>
        </is>
      </c>
      <c r="F408" s="29" t="inlineStr">
        <is>
          <t>Technology</t>
        </is>
      </c>
      <c r="G408" s="29" t="inlineStr">
        <is>
          <t>Solution Architect</t>
        </is>
      </c>
      <c r="H408" s="29" t="inlineStr">
        <is>
          <t>Solution Architect</t>
        </is>
      </c>
      <c r="I408" s="29" t="inlineStr">
        <is>
          <t>L3 – Professional / Associate</t>
        </is>
      </c>
      <c r="J408" s="29" t="inlineStr">
        <is>
          <t>C1</t>
        </is>
      </c>
      <c r="K408" s="29" t="inlineStr">
        <is>
          <t>▲ Up</t>
        </is>
      </c>
      <c r="L408" s="29" t="inlineStr">
        <is>
          <t>Engineering &amp; Architecture</t>
        </is>
      </c>
      <c r="M408" s="29" t="inlineStr">
        <is>
          <t>Solution &amp; Technical Architecture</t>
        </is>
      </c>
      <c r="N408" s="29" t="inlineStr">
        <is>
          <t>• Survey response or KRAs describing the work · nothing on file — Employee + manager</t>
        </is>
      </c>
      <c r="O408" s="29" t="n">
        <v>0</v>
      </c>
      <c r="P408" s="28" t="inlineStr">
        <is>
          <t>P6 / M5</t>
        </is>
      </c>
      <c r="Q408" s="29" t="inlineStr">
        <is>
          <t>Principal / Director</t>
        </is>
      </c>
      <c r="R408" s="29" t="inlineStr">
        <is>
          <t>5–6</t>
        </is>
      </c>
      <c r="S408" s="29" t="inlineStr">
        <is>
          <t>10–14 yrs</t>
        </is>
      </c>
      <c r="T408" s="29" t="inlineStr">
        <is>
          <t>12–16 · 12–18</t>
        </is>
      </c>
      <c r="U408" s="29" t="inlineStr">
        <is>
          <t>Chief / Enterprise Architect</t>
        </is>
      </c>
      <c r="V408" s="29" t="inlineStr">
        <is>
          <t>Nasdaq / AxiomSL: Principal SE · Salesforce: PMTS · Atlassian: P60 Principal · 10+ yrs · Freshworks: Senior Staff SE · IRIS Vs Competitor Benchmark — engineering managers: Senior EM / Director</t>
        </is>
      </c>
      <c r="W408" s="29" t="inlineStr">
        <is>
          <t>SFIA 9 · solution architecture; TOGAF; AWS / Azure architect certifications</t>
        </is>
      </c>
      <c r="X408" s="29" t="inlineStr">
        <is>
          <t>Core 4 · Future 4 · Functional 4 · Leadership 4</t>
        </is>
      </c>
      <c r="Y408" s="52" t="n">
        <v>541</v>
      </c>
      <c r="Z408" s="53" t="inlineStr">
        <is>
          <t>IRISDT0006</t>
        </is>
      </c>
      <c r="AA408" s="53" t="inlineStr">
        <is>
          <t>Employee</t>
        </is>
      </c>
      <c r="AB408" s="53" t="inlineStr">
        <is>
          <t>Active</t>
        </is>
      </c>
      <c r="AC408" s="53" t="inlineStr">
        <is>
          <t>Sanghamitra Saxena</t>
        </is>
      </c>
      <c r="AD408" s="54" t="n">
        <v>45848</v>
      </c>
      <c r="AE408" s="53" t="inlineStr">
        <is>
          <t>Solution Architect</t>
        </is>
      </c>
      <c r="AF408" s="53" t="inlineStr">
        <is>
          <t>M.Tech</t>
        </is>
      </c>
      <c r="AG408" s="53" t="inlineStr">
        <is>
          <t>Shilpa Dhobale</t>
        </is>
      </c>
      <c r="AH408" s="53" t="inlineStr">
        <is>
          <t>N-2</t>
        </is>
      </c>
      <c r="AI408" s="53" t="inlineStr">
        <is>
          <t>Individual Contributor</t>
        </is>
      </c>
      <c r="AJ408" s="53" t="inlineStr">
        <is>
          <t>11 years, 4 months, 0 days</t>
        </is>
      </c>
      <c r="AK408" s="53" t="inlineStr">
        <is>
          <t>1 years, 1 months, 15 days</t>
        </is>
      </c>
      <c r="AL408" s="53" t="inlineStr">
        <is>
          <t>Datatech</t>
        </is>
      </c>
      <c r="AM408" s="53" t="inlineStr">
        <is>
          <t>Datatech</t>
        </is>
      </c>
      <c r="AN408" s="53" t="inlineStr">
        <is>
          <t>Technology</t>
        </is>
      </c>
      <c r="AO408" s="53" t="inlineStr">
        <is>
          <t>Development</t>
        </is>
      </c>
      <c r="AP408" s="53" t="inlineStr">
        <is>
          <t>Yes</t>
        </is>
      </c>
      <c r="AQ408" s="53" t="inlineStr">
        <is>
          <t>Product/Project</t>
        </is>
      </c>
      <c r="AR408" s="53" t="inlineStr">
        <is>
          <t>Python</t>
        </is>
      </c>
      <c r="AS408" s="53" t="inlineStr">
        <is>
          <t>Technical - Developer</t>
        </is>
      </c>
      <c r="AT408" s="53" t="n">
        <v>0</v>
      </c>
      <c r="AU408" s="53" t="inlineStr">
        <is>
          <t>Excluded</t>
        </is>
      </c>
      <c r="AV408" s="53" t="n"/>
      <c r="AW408" s="53" t="n"/>
      <c r="AX408" s="53" t="n"/>
      <c r="AY408" s="53" t="n"/>
      <c r="AZ408" s="53" t="n"/>
      <c r="BA408" s="53" t="n"/>
      <c r="BB408" s="53" t="n"/>
      <c r="BC408" s="53" t="n"/>
      <c r="BD408" s="53" t="n"/>
      <c r="BE408" s="53" t="n"/>
      <c r="BF408" s="53" t="n"/>
      <c r="BG408" s="53" t="n"/>
      <c r="BH408" s="53" t="n"/>
      <c r="BI408" s="53" t="n"/>
      <c r="BJ408" s="53" t="n"/>
      <c r="BK408" s="53" t="n"/>
      <c r="BL408" s="53" t="n"/>
      <c r="BM408" s="53" t="n"/>
      <c r="BN408" s="53" t="n"/>
      <c r="BO408" s="53" t="n"/>
      <c r="BP408" s="53" t="n"/>
      <c r="BQ408" s="53" t="n"/>
      <c r="BR408" s="53" t="n"/>
      <c r="BS408" s="53" t="n"/>
      <c r="BT408" s="53" t="n"/>
      <c r="BU408" s="53" t="n"/>
      <c r="BV408" s="53" t="n"/>
      <c r="BW408" s="53" t="n"/>
      <c r="BX408" s="53" t="n"/>
      <c r="BY408" s="53" t="n"/>
      <c r="BZ408" s="53" t="n"/>
      <c r="CA408" s="53" t="n"/>
      <c r="CB408" s="53" t="n"/>
      <c r="CC408" s="53" t="n"/>
      <c r="CD408" s="53" t="n"/>
      <c r="CE408" s="53" t="n"/>
      <c r="CF408" s="53" t="n"/>
      <c r="CG408" s="53" t="n"/>
      <c r="CH408" s="53" t="n"/>
      <c r="CI408" s="53" t="n"/>
      <c r="CJ408" s="53" t="n"/>
      <c r="CK408" s="53" t="n"/>
      <c r="CL408" s="53" t="n"/>
      <c r="CM408" s="53" t="n"/>
      <c r="CN408" s="53" t="n"/>
      <c r="CO408" s="53" t="n"/>
      <c r="CP408" s="53" t="n"/>
      <c r="CQ408" s="53" t="n"/>
      <c r="CR408" s="53" t="n"/>
      <c r="CS408" s="53" t="n"/>
      <c r="CT408" s="53" t="n"/>
      <c r="CU408" s="53" t="n"/>
      <c r="CV408" s="53" t="n"/>
      <c r="CW408" s="53" t="n"/>
      <c r="CX408" s="53" t="n"/>
      <c r="CY408" s="53" t="n"/>
      <c r="CZ408" s="53" t="n"/>
      <c r="DA408" s="53" t="n"/>
      <c r="DB408" s="53" t="n"/>
      <c r="DC408" s="53" t="n"/>
      <c r="DD408" s="53" t="inlineStr">
        <is>
          <t>IRIS2403</t>
        </is>
      </c>
      <c r="DE408" s="53" t="inlineStr">
        <is>
          <t>Employee</t>
        </is>
      </c>
      <c r="DF408" s="53" t="inlineStr">
        <is>
          <t>Active</t>
        </is>
      </c>
      <c r="DG408" s="53" t="inlineStr">
        <is>
          <t>Sanghamitra Saxena</t>
        </is>
      </c>
      <c r="DH408" s="54" t="n">
        <v>45848</v>
      </c>
      <c r="DI408" s="53" t="inlineStr">
        <is>
          <t>Solution Architect</t>
        </is>
      </c>
      <c r="DJ408" s="53" t="inlineStr">
        <is>
          <t>Engineering &amp; Architecture</t>
        </is>
      </c>
      <c r="DK408" s="53" t="inlineStr">
        <is>
          <t>Solution / Software Architecture</t>
        </is>
      </c>
      <c r="DL408" s="53" t="inlineStr">
        <is>
          <t>Solution Architect</t>
        </is>
      </c>
      <c r="DM408" s="53" t="inlineStr">
        <is>
          <t>L3 – Professional / Associate</t>
        </is>
      </c>
      <c r="DN408" s="53" t="inlineStr">
        <is>
          <t>M.Tech</t>
        </is>
      </c>
      <c r="DO408" s="53" t="inlineStr">
        <is>
          <t>Shilpa Dhobale</t>
        </is>
      </c>
      <c r="DP408" s="53" t="inlineStr">
        <is>
          <t>N-2</t>
        </is>
      </c>
      <c r="DQ408" s="53" t="inlineStr">
        <is>
          <t>Individual Contributor</t>
        </is>
      </c>
      <c r="DR408" s="53" t="inlineStr">
        <is>
          <t>11 years, 4 months, 0 days</t>
        </is>
      </c>
      <c r="DS408" s="53" t="inlineStr">
        <is>
          <t>0 years, 11 months, 10 days</t>
        </is>
      </c>
      <c r="DT408" s="53" t="inlineStr">
        <is>
          <t>12 years, 3 months, 10 days</t>
        </is>
      </c>
      <c r="DU408" s="53" t="n">
        <v>0.0136986301369863</v>
      </c>
      <c r="DV408" s="53" t="inlineStr">
        <is>
          <t>Datatech</t>
        </is>
      </c>
      <c r="DW408" s="53" t="inlineStr">
        <is>
          <t>Datatech</t>
        </is>
      </c>
      <c r="DX408" s="53" t="inlineStr">
        <is>
          <t>Technology</t>
        </is>
      </c>
      <c r="DY408" s="53" t="inlineStr">
        <is>
          <t>Development</t>
        </is>
      </c>
      <c r="DZ408" s="53" t="inlineStr">
        <is>
          <t>Yes</t>
        </is>
      </c>
      <c r="EA408" s="53" t="inlineStr">
        <is>
          <t>Product/Project</t>
        </is>
      </c>
      <c r="EB408" s="53" t="inlineStr">
        <is>
          <t>Python</t>
        </is>
      </c>
      <c r="EC408" s="53" t="inlineStr">
        <is>
          <t>Technical - Developer</t>
        </is>
      </c>
      <c r="ED408" s="53" t="inlineStr">
        <is>
          <t>Hyderabad</t>
        </is>
      </c>
      <c r="EE408" s="53" t="n"/>
      <c r="EF408" s="53" t="n"/>
      <c r="EG408" s="53" t="n"/>
      <c r="EH408" s="53" t="n">
        <v>3</v>
      </c>
      <c r="EI408" s="53" t="n"/>
      <c r="EJ408" s="53" t="inlineStr">
        <is>
          <t>Solution Architect</t>
        </is>
      </c>
      <c r="EK408" s="53" t="inlineStr">
        <is>
          <t>No</t>
        </is>
      </c>
      <c r="EL408" s="53" t="n">
        <v>3</v>
      </c>
      <c r="EM408" s="53" t="n">
        <v>3</v>
      </c>
      <c r="EN408" s="53" t="inlineStr">
        <is>
          <t>Future Leader</t>
        </is>
      </c>
      <c r="EO408" s="53" t="inlineStr">
        <is>
          <t>No</t>
        </is>
      </c>
      <c r="EP408" s="53" t="inlineStr">
        <is>
          <t>No</t>
        </is>
      </c>
      <c r="EQ408" s="53" t="inlineStr">
        <is>
          <t>Yes</t>
        </is>
      </c>
      <c r="ER408" s="53" t="n"/>
      <c r="ES408" s="53" t="n"/>
      <c r="ET408" s="53" t="n"/>
      <c r="EU408" s="53" t="n"/>
      <c r="EV408" s="53" t="inlineStr">
        <is>
          <t>All</t>
        </is>
      </c>
      <c r="EW408" s="52" t="n"/>
      <c r="EX408" s="53" t="n"/>
      <c r="EY408" s="53" t="n"/>
      <c r="EZ408" s="53" t="n"/>
      <c r="FA408" s="53" t="n"/>
      <c r="FB408" s="53" t="n"/>
      <c r="FC408" s="53" t="n"/>
      <c r="FD408" s="53" t="inlineStr">
        <is>
          <t>IRIS2403</t>
        </is>
      </c>
      <c r="FE408" s="55" t="inlineStr">
        <is>
          <t>KRAs not received · manager to supply</t>
        </is>
      </c>
      <c r="FF408" s="56" t="n"/>
      <c r="FG408" s="56" t="n"/>
      <c r="FH408" s="56" t="inlineStr">
        <is>
          <t>3</t>
        </is>
      </c>
      <c r="FI408" s="56" t="n"/>
      <c r="FJ408" s="32" t="inlineStr">
        <is>
          <t>KRAs not received · manager to supply</t>
        </is>
      </c>
      <c r="FK408" s="56" t="inlineStr">
        <is>
          <t>Talent Mapping · Datatech</t>
        </is>
      </c>
      <c r="FL408" s="56" t="n">
        <v>0</v>
      </c>
      <c r="FM408" s="32" t="inlineStr">
        <is>
          <t>No survey response on file</t>
        </is>
      </c>
      <c r="FN408" s="56" t="inlineStr">
        <is>
          <t>—</t>
        </is>
      </c>
      <c r="FO408" s="56" t="inlineStr">
        <is>
          <t>—</t>
        </is>
      </c>
      <c r="FP408" s="56" t="inlineStr">
        <is>
          <t>—</t>
        </is>
      </c>
      <c r="FQ408" s="56" t="inlineStr">
        <is>
          <t>—</t>
        </is>
      </c>
      <c r="FR408" s="56"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Moved +0.5: the survey / manager mapping marks it business-critical.</t>
        </is>
      </c>
      <c r="FS408" s="56" t="inlineStr">
        <is>
          <t>Common themes in sub-family holders, all levels' answers: technical · client · project · design · development · business
Common themes in sub-family holders, all levels' answers: client · technical · documentation · solution · architecture · management
Common themes in sub-family holders, all levels' answers: architecture · design · documentation · solution · technical · project
Common themes in sub-family holders, all levels' answers: technical · client · solution · architecture · design · am
Common themes in sub-family holders, all levels' answers: technical · approach · design · standards
If the work is missed · role-holders' themes: client · time · rework.</t>
        </is>
      </c>
      <c r="FT408" s="56" t="n"/>
      <c r="FU408" s="32" t="inlineStr">
        <is>
          <t>No survey response on file</t>
        </is>
      </c>
    </row>
    <row r="409" ht="90" customHeight="1">
      <c r="A409" s="51" t="inlineStr">
        <is>
          <t>◂ Back</t>
        </is>
      </c>
      <c r="B409" s="29" t="inlineStr">
        <is>
          <t>Mapped</t>
        </is>
      </c>
      <c r="C409" s="28" t="inlineStr">
        <is>
          <t>Datatech</t>
        </is>
      </c>
      <c r="D409" s="29" t="inlineStr">
        <is>
          <t>IRISDTC002</t>
        </is>
      </c>
      <c r="E409" s="29" t="inlineStr">
        <is>
          <t>Akshay Shetty</t>
        </is>
      </c>
      <c r="F409" s="29" t="inlineStr">
        <is>
          <t>Technology</t>
        </is>
      </c>
      <c r="G409" s="29" t="inlineStr">
        <is>
          <t>Consultant -Lead Developer</t>
        </is>
      </c>
      <c r="H409" s="29" t="inlineStr">
        <is>
          <t>Senior Technical Specialist – POD Lead</t>
        </is>
      </c>
      <c r="I409" s="29" t="inlineStr">
        <is>
          <t>L5 – Lead · IC</t>
        </is>
      </c>
      <c r="J409" s="29" t="inlineStr">
        <is>
          <t>B2</t>
        </is>
      </c>
      <c r="K409" s="29" t="inlineStr">
        <is>
          <t>▼ Down · protected</t>
        </is>
      </c>
      <c r="L409" s="29" t="inlineStr">
        <is>
          <t>Engineering &amp; Development</t>
        </is>
      </c>
      <c r="M409" s="29" t="inlineStr">
        <is>
          <t>Backend Development</t>
        </is>
      </c>
      <c r="N409" s="29" t="n"/>
      <c r="O409" s="29" t="n">
        <v>0</v>
      </c>
      <c r="P409" s="28" t="inlineStr">
        <is>
          <t>P4 / M3</t>
        </is>
      </c>
      <c r="Q409" s="29" t="inlineStr">
        <is>
          <t>Senior / Manager</t>
        </is>
      </c>
      <c r="R409" s="29" t="inlineStr">
        <is>
          <t>4–5</t>
        </is>
      </c>
      <c r="S409" s="29" t="inlineStr">
        <is>
          <t>6–9 yrs</t>
        </is>
      </c>
      <c r="T409" s="29" t="inlineStr">
        <is>
          <t>7–10 · 6–11</t>
        </is>
      </c>
      <c r="U409" s="29" t="inlineStr">
        <is>
          <t>Lead / Staff Engineer</t>
        </is>
      </c>
      <c r="V409" s="29" t="inlineStr">
        <is>
          <t>Workiva: Senior SE · Broadridge India: Lead SE · Nasdaq / AxiomSL: Senior SE · Salesforce: SMTS · Atlassian: P50 Senior · 6–12 yrs · Freshworks: Lead SE</t>
        </is>
      </c>
      <c r="W409" s="29" t="inlineStr">
        <is>
          <t>SFIA 9 · software development, programming; OWASP secure coding; cloud vendor certifications</t>
        </is>
      </c>
      <c r="X409" s="29" t="inlineStr">
        <is>
          <t>Core 3 · Future 3 · Functional 4 · Leadership 3</t>
        </is>
      </c>
      <c r="Y409" s="52" t="n">
        <v>547</v>
      </c>
      <c r="Z409" s="53" t="inlineStr">
        <is>
          <t>IRISDTC002</t>
        </is>
      </c>
      <c r="AA409" s="53" t="inlineStr">
        <is>
          <t>On Contract</t>
        </is>
      </c>
      <c r="AB409" s="53" t="inlineStr">
        <is>
          <t>Active</t>
        </is>
      </c>
      <c r="AC409" s="53" t="inlineStr">
        <is>
          <t>Akshay Shetty</t>
        </is>
      </c>
      <c r="AD409" s="54" t="n">
        <v>45974</v>
      </c>
      <c r="AE409" s="53" t="inlineStr">
        <is>
          <t>Consultant -Lead Developer</t>
        </is>
      </c>
      <c r="AF409" s="53" t="inlineStr">
        <is>
          <t>M.Sc</t>
        </is>
      </c>
      <c r="AG409" s="53" t="inlineStr">
        <is>
          <t>Shilpa Dhobale</t>
        </is>
      </c>
      <c r="AH409" s="53" t="inlineStr">
        <is>
          <t>N-2</t>
        </is>
      </c>
      <c r="AI409" s="53" t="inlineStr">
        <is>
          <t>Manager</t>
        </is>
      </c>
      <c r="AJ409" s="53" t="inlineStr">
        <is>
          <t>9 years, 3 months, 0 days</t>
        </is>
      </c>
      <c r="AK409" s="53" t="inlineStr">
        <is>
          <t>0 years, 9 months, 12 days</t>
        </is>
      </c>
      <c r="AL409" s="53" t="inlineStr">
        <is>
          <t>Datatech</t>
        </is>
      </c>
      <c r="AM409" s="53" t="inlineStr">
        <is>
          <t>Datatech</t>
        </is>
      </c>
      <c r="AN409" s="53" t="inlineStr">
        <is>
          <t>Technology</t>
        </is>
      </c>
      <c r="AO409" s="53" t="inlineStr">
        <is>
          <t>Development</t>
        </is>
      </c>
      <c r="AP409" s="53" t="inlineStr">
        <is>
          <t>Yes</t>
        </is>
      </c>
      <c r="AQ409" s="53" t="inlineStr">
        <is>
          <t>Product/Project</t>
        </is>
      </c>
      <c r="AR409" s="53" t="inlineStr">
        <is>
          <t>Python</t>
        </is>
      </c>
      <c r="AS409" s="53" t="inlineStr">
        <is>
          <t>Technical - Developer</t>
        </is>
      </c>
      <c r="AT409" s="53" t="n">
        <v>0</v>
      </c>
      <c r="AU409" s="53" t="inlineStr">
        <is>
          <t>Excluded</t>
        </is>
      </c>
      <c r="AV409" s="53" t="n"/>
      <c r="AW409" s="53" t="n"/>
      <c r="AX409" s="53" t="n"/>
      <c r="AY409" s="53" t="n"/>
      <c r="AZ409" s="53" t="n"/>
      <c r="BA409" s="53" t="n"/>
      <c r="BB409" s="53" t="n"/>
      <c r="BC409" s="53" t="n"/>
      <c r="BD409" s="53" t="n"/>
      <c r="BE409" s="53" t="n"/>
      <c r="BF409" s="53" t="n"/>
      <c r="BG409" s="53" t="n"/>
      <c r="BH409" s="53" t="n"/>
      <c r="BI409" s="53" t="n"/>
      <c r="BJ409" s="53" t="n"/>
      <c r="BK409" s="53" t="n"/>
      <c r="BL409" s="53" t="n"/>
      <c r="BM409" s="53" t="n"/>
      <c r="BN409" s="53" t="n"/>
      <c r="BO409" s="53" t="n"/>
      <c r="BP409" s="53" t="n"/>
      <c r="BQ409" s="53" t="n"/>
      <c r="BR409" s="53" t="n"/>
      <c r="BS409" s="53" t="n"/>
      <c r="BT409" s="53" t="n"/>
      <c r="BU409" s="53" t="n"/>
      <c r="BV409" s="53" t="n"/>
      <c r="BW409" s="53" t="n"/>
      <c r="BX409" s="53" t="n"/>
      <c r="BY409" s="53" t="n"/>
      <c r="BZ409" s="53" t="n"/>
      <c r="CA409" s="53" t="n"/>
      <c r="CB409" s="53" t="n"/>
      <c r="CC409" s="53" t="n"/>
      <c r="CD409" s="53" t="n"/>
      <c r="CE409" s="53" t="n"/>
      <c r="CF409" s="53" t="n"/>
      <c r="CG409" s="53" t="n"/>
      <c r="CH409" s="53" t="n"/>
      <c r="CI409" s="53" t="n"/>
      <c r="CJ409" s="53" t="n"/>
      <c r="CK409" s="53" t="n"/>
      <c r="CL409" s="53" t="n"/>
      <c r="CM409" s="53" t="n"/>
      <c r="CN409" s="53" t="n"/>
      <c r="CO409" s="53" t="n"/>
      <c r="CP409" s="53" t="n"/>
      <c r="CQ409" s="53" t="n"/>
      <c r="CR409" s="53" t="n"/>
      <c r="CS409" s="53" t="n"/>
      <c r="CT409" s="53" t="n"/>
      <c r="CU409" s="53" t="n"/>
      <c r="CV409" s="53" t="n"/>
      <c r="CW409" s="53" t="n"/>
      <c r="CX409" s="53" t="n"/>
      <c r="CY409" s="53" t="n"/>
      <c r="CZ409" s="53" t="n"/>
      <c r="DA409" s="53" t="n"/>
      <c r="DB409" s="53" t="n"/>
      <c r="DC409" s="53" t="n"/>
      <c r="DD409" s="53" t="inlineStr">
        <is>
          <t>IRISC319</t>
        </is>
      </c>
      <c r="DE409" s="53" t="inlineStr">
        <is>
          <t>On Contract</t>
        </is>
      </c>
      <c r="DF409" s="53" t="inlineStr">
        <is>
          <t>Active</t>
        </is>
      </c>
      <c r="DG409" s="53" t="inlineStr">
        <is>
          <t>Akshay Shetty</t>
        </is>
      </c>
      <c r="DH409" s="54" t="n">
        <v>45974</v>
      </c>
      <c r="DI409" s="53" t="inlineStr">
        <is>
          <t>Consultant -Lead Developer</t>
        </is>
      </c>
      <c r="DJ409" s="53" t="inlineStr">
        <is>
          <t>Engineering &amp; Development</t>
        </is>
      </c>
      <c r="DK409" s="53" t="inlineStr">
        <is>
          <t>Backend Engineering · Python</t>
        </is>
      </c>
      <c r="DL409" s="53" t="inlineStr">
        <is>
          <t>Consultant -Lead Developer</t>
        </is>
      </c>
      <c r="DM409" s="53" t="inlineStr">
        <is>
          <t>L5 – Lead · IC</t>
        </is>
      </c>
      <c r="DN409" s="53" t="inlineStr">
        <is>
          <t>M.Sc</t>
        </is>
      </c>
      <c r="DO409" s="53" t="inlineStr">
        <is>
          <t>Shilpa Dhobale</t>
        </is>
      </c>
      <c r="DP409" s="53" t="inlineStr">
        <is>
          <t>N-2</t>
        </is>
      </c>
      <c r="DQ409" s="53" t="inlineStr">
        <is>
          <t>Manager</t>
        </is>
      </c>
      <c r="DR409" s="53" t="inlineStr">
        <is>
          <t>9 years, 3 months, 0 days</t>
        </is>
      </c>
      <c r="DS409" s="53" t="inlineStr">
        <is>
          <t>0 years, 7 months, 7 days</t>
        </is>
      </c>
      <c r="DT409" s="53" t="inlineStr">
        <is>
          <t>9 years, 10 months, 7 days</t>
        </is>
      </c>
      <c r="DU409" s="53" t="n">
        <v>0.602511415525114</v>
      </c>
      <c r="DV409" s="53" t="inlineStr">
        <is>
          <t>Datatech</t>
        </is>
      </c>
      <c r="DW409" s="53" t="inlineStr">
        <is>
          <t>Datatech</t>
        </is>
      </c>
      <c r="DX409" s="53" t="inlineStr">
        <is>
          <t>Technology</t>
        </is>
      </c>
      <c r="DY409" s="53" t="inlineStr">
        <is>
          <t>Development</t>
        </is>
      </c>
      <c r="DZ409" s="53" t="inlineStr">
        <is>
          <t>Yes</t>
        </is>
      </c>
      <c r="EA409" s="53" t="inlineStr">
        <is>
          <t>Product/Project</t>
        </is>
      </c>
      <c r="EB409" s="53" t="inlineStr">
        <is>
          <t>Python</t>
        </is>
      </c>
      <c r="EC409" s="53" t="inlineStr">
        <is>
          <t>Technical - Developer</t>
        </is>
      </c>
      <c r="ED409" s="53" t="inlineStr">
        <is>
          <t>Turbhe + Hybrid</t>
        </is>
      </c>
      <c r="EE409" s="53" t="n"/>
      <c r="EF409" s="53" t="inlineStr">
        <is>
          <t>1.	End-to-end design and deployment of modules assigned covering complex or high-risk features
2.	Drive significant tech-debt or reliability improvement. Min 2 in the year
3.	Committed scope delivered per sprint — ≥ 85%. Averaged for quarter
4.	Crash-free sessions — ≥ 99.5% · shared with QA
5.	Change failure rate · % of releases causing an incident/hotfix — &lt; 10%
6.	Documentation kept current for shipped features — ≥ 90% of new modules documented
7.	Unit test coverage - ≥ 75% by end of year
8.	Critical/high vulnerabilities — criticals remediated in &lt; 5 days; no open criticals at quarter-end.
9.	Cross-functional coordination — score once per quarter.
10.	Adherence to ACCORD framework – every monthly sprint review cycle</t>
        </is>
      </c>
      <c r="EG409" s="53" t="inlineStr">
        <is>
          <t>1.	End-to-end design and deployment of modules assigned covering complex or high-risk features
2.	Drive 1 significant tech-debt or reliability improvement. 
3.	Committed scope delivered per sprint — ≥ 85%. Averaged for quarter
4.	Crash-free sessions — ≥ 99.5% · shared with QA
5.	Change failure rate · % of releases causing an incident/hotfix — &lt; 10%
6.	Documentation kept current for shipped features — ≥ 90% of new modules documented
7.	Unit test coverage - ≥ 50% by end of year
8.	Critical/high vulnerabilities — criticals remediated in &lt; 5 days; no open criticals at quarter-end.</t>
        </is>
      </c>
      <c r="EH409" s="53" t="n">
        <v>2</v>
      </c>
      <c r="EI409" s="53" t="n"/>
      <c r="EJ409" s="53" t="inlineStr">
        <is>
          <t>Consultant -Lead Developer</t>
        </is>
      </c>
      <c r="EK409" s="53" t="inlineStr">
        <is>
          <t>No</t>
        </is>
      </c>
      <c r="EL409" s="53" t="n">
        <v>2</v>
      </c>
      <c r="EM409" s="53" t="inlineStr">
        <is>
          <t>Low</t>
        </is>
      </c>
      <c r="EN409" s="53" t="inlineStr">
        <is>
          <t>Performance Risk</t>
        </is>
      </c>
      <c r="EO409" s="53" t="inlineStr">
        <is>
          <t>No</t>
        </is>
      </c>
      <c r="EP409" s="53" t="inlineStr">
        <is>
          <t>No</t>
        </is>
      </c>
      <c r="EQ409" s="53" t="inlineStr">
        <is>
          <t>No</t>
        </is>
      </c>
      <c r="ER409" s="53" t="n"/>
      <c r="ES409" s="53" t="inlineStr">
        <is>
          <t>Optimal use of AI
System Design Thinking
Flutter
Product Knowledge</t>
        </is>
      </c>
      <c r="ET409" s="53" t="n"/>
      <c r="EU409" s="53" t="n"/>
      <c r="EV409" s="53" t="inlineStr">
        <is>
          <t>Peridot App + backend</t>
        </is>
      </c>
      <c r="EW409" s="52" t="n"/>
      <c r="EX409" s="53" t="n"/>
      <c r="EY409" s="53" t="n"/>
      <c r="EZ409" s="53" t="n"/>
      <c r="FA409" s="53" t="n"/>
      <c r="FB409" s="53" t="n"/>
      <c r="FC409" s="53" t="n"/>
      <c r="FD409" s="53" t="inlineStr">
        <is>
          <t>IRISC319</t>
        </is>
      </c>
      <c r="FE409" s="57" t="inlineStr">
        <is>
          <t>1.	End-to-end design and deployment of modules assigned covering complex or high-risk features
2.	Drive significant tech-debt or reliability improvement. Min 2 in the year
3.	Committed scope delivered per sprint — ≥ 85%. Averaged for quarter
4.	Crash-free sessions — ≥ 99.5% · shared with QA
5.	Change failure rate · % of releases causing an incident/hotfix — &lt; 10%
6.	Documentation kept current for shipped features — ≥ 90% of new modules documented
7.	Unit test coverage - ≥ 75% by end of year
8.	Critical/high vulnerabilities — criticals remediated in &lt; 5 days; no open criticals at quarter-end.
9.	Cross-functional coordination — score once per quarter.
10.	Adherence to ACCORD framework – every monthly sprint review cycle</t>
        </is>
      </c>
      <c r="FF409" s="56" t="inlineStr">
        <is>
          <t>1.	End-to-end design and deployment of modules assigned covering complex or high-risk features
2.	Drive 1 significant tech-debt or reliability improvement. 
3.	Committed scope delivered per sprint — ≥ 85%. Averaged for quarter
4.	Crash-free sessions — ≥ 99.5% · shared with QA
5.	Change failure rate · % of releases causing an incident/hotfix — &lt; 10%
6.	Documentation kept current for shipped features — ≥ 90% of new modules documented
7.	Unit test coverage - ≥ 50% by end of year
8.	Critical/high vulnerabilities — criticals remediated in &lt; 5 days; no open criticals at quarter-end.</t>
        </is>
      </c>
      <c r="FG409" s="56" t="n"/>
      <c r="FH409" s="56" t="inlineStr">
        <is>
          <t>2</t>
        </is>
      </c>
      <c r="FI409" s="56" t="n"/>
      <c r="FJ409" s="56" t="inlineStr">
        <is>
          <t>Received · manager annual, quarterly</t>
        </is>
      </c>
      <c r="FK409" s="56" t="inlineStr">
        <is>
          <t>Talent Mapping · Datatech</t>
        </is>
      </c>
      <c r="FL409" s="56" t="n">
        <v>0</v>
      </c>
      <c r="FM409" s="32" t="inlineStr">
        <is>
          <t>No survey response on file</t>
        </is>
      </c>
      <c r="FN409" s="56" t="inlineStr">
        <is>
          <t>—</t>
        </is>
      </c>
      <c r="FO409" s="56" t="inlineStr">
        <is>
          <t>—</t>
        </is>
      </c>
      <c r="FP409" s="56" t="inlineStr">
        <is>
          <t>—</t>
        </is>
      </c>
      <c r="FQ409" s="56" t="inlineStr">
        <is>
          <t>—</t>
        </is>
      </c>
      <c r="FR409" s="56" t="inlineStr">
        <is>
          <t>Complexity: Evidence reads like B1: Manager note only: end-to-end design and deployment of assigned modules with complex or high-risk features → moved down 0.5
Autonomy: Evidence reads like A3: No survey; note implies design calls on own assigned modules, nothing wider → moved down 0.5
Accountability: Evidence reads like A3: Note: assigned modules end to end, change failure rate, vulnerability remediation → moved down 0.5
Leadership: Evidence reads like A3: 2 direct reports in HR data; no leadership activity described → moved down 0.5
Business Impact: No survey or manager-mapping signal on criticality: kept at the start point.</t>
        </is>
      </c>
      <c r="FS409" s="56" t="inlineStr">
        <is>
          <t>Common themes in role-holders' answers: solutions · technical · reliable · scalable · software · business
Common themes in role-holders' answers: delivery · technical · code · solution design · ownership · leadership
Common themes in role-holders' answers: documentation · features · software · produce · deliver
Common themes in role-holders' answers: design · am · accountable · solution · technical · delivery
Common themes in role-holders' answers: technical · approach · design · implementation · ai · code
If the work is missed · role-holders' themes: rework · client · impact · production · issues.
Measured on · manager-set KRA themes: modules · coverage · complete · components · committed · sprint.</t>
        </is>
      </c>
      <c r="FT409" s="56" t="n"/>
      <c r="FU409" s="32" t="inlineStr">
        <is>
          <t>No survey response on file</t>
        </is>
      </c>
    </row>
    <row r="410" ht="90" customHeight="1">
      <c r="A410" s="51" t="inlineStr">
        <is>
          <t>◂ Back</t>
        </is>
      </c>
      <c r="B410" s="29" t="inlineStr">
        <is>
          <t>Mapped</t>
        </is>
      </c>
      <c r="C410" s="28" t="inlineStr">
        <is>
          <t>Datatech</t>
        </is>
      </c>
      <c r="D410" s="29" t="inlineStr">
        <is>
          <t>IRISDT0002</t>
        </is>
      </c>
      <c r="E410" s="29" t="inlineStr">
        <is>
          <t>Niraj Santosh Patil</t>
        </is>
      </c>
      <c r="F410" s="29" t="inlineStr">
        <is>
          <t>Technology</t>
        </is>
      </c>
      <c r="G410" s="29" t="inlineStr">
        <is>
          <t>Junior Software Engineer</t>
        </is>
      </c>
      <c r="H410" s="29" t="inlineStr">
        <is>
          <t>Senior Software Engineer</t>
        </is>
      </c>
      <c r="I410" s="29" t="inlineStr">
        <is>
          <t>L2 – Trainee</t>
        </is>
      </c>
      <c r="J410" s="29" t="inlineStr">
        <is>
          <t>A3</t>
        </is>
      </c>
      <c r="K410" s="29" t="inlineStr">
        <is>
          <t>▲ Up</t>
        </is>
      </c>
      <c r="L410" s="29" t="inlineStr">
        <is>
          <t>Engineering &amp; Development</t>
        </is>
      </c>
      <c r="M410" s="29" t="inlineStr">
        <is>
          <t>Backend Development</t>
        </is>
      </c>
      <c r="N410" s="29" t="n"/>
      <c r="O410" s="29" t="n">
        <v>20</v>
      </c>
      <c r="P410" s="28" t="inlineStr">
        <is>
          <t>P2</t>
        </is>
      </c>
      <c r="Q410" s="29" t="inlineStr">
        <is>
          <t>Developing</t>
        </is>
      </c>
      <c r="R410" s="29" t="inlineStr">
        <is>
          <t>3 Apply</t>
        </is>
      </c>
      <c r="S410" s="29" t="inlineStr">
        <is>
          <t>2–4 yrs</t>
        </is>
      </c>
      <c r="T410" s="29" t="inlineStr">
        <is>
          <t>3–5 · 2–5</t>
        </is>
      </c>
      <c r="U410" s="29" t="inlineStr">
        <is>
          <t>Software Engineer</t>
        </is>
      </c>
      <c r="V410" s="29" t="inlineStr">
        <is>
          <t>Workiva: SE · Broadridge India: SE · Nasdaq / AxiomSL: SE · Salesforce: MTS · Atlassian: P40 · 3–7 yrs · Freshworks: Senior SE</t>
        </is>
      </c>
      <c r="W410" s="29" t="inlineStr">
        <is>
          <t>SFIA 9 · software development, programming; OWASP secure coding; cloud vendor certifications</t>
        </is>
      </c>
      <c r="X410" s="29" t="inlineStr">
        <is>
          <t>Core 2 · Future 2 · Functional 3 · Leadership not scored</t>
        </is>
      </c>
      <c r="Y410" s="52" t="n">
        <v>537</v>
      </c>
      <c r="Z410" s="53" t="inlineStr">
        <is>
          <t>IRISDT0002</t>
        </is>
      </c>
      <c r="AA410" s="53" t="inlineStr">
        <is>
          <t>Employee</t>
        </is>
      </c>
      <c r="AB410" s="53" t="inlineStr">
        <is>
          <t>Active</t>
        </is>
      </c>
      <c r="AC410" s="53" t="inlineStr">
        <is>
          <t>Niraj Santosh Patil</t>
        </is>
      </c>
      <c r="AD410" s="54" t="n">
        <v>45446</v>
      </c>
      <c r="AE410" s="53" t="inlineStr">
        <is>
          <t>Junior Software Engineer</t>
        </is>
      </c>
      <c r="AF410" s="53" t="inlineStr">
        <is>
          <t>B.Tech</t>
        </is>
      </c>
      <c r="AG410" s="53" t="inlineStr">
        <is>
          <t>Akshay Shetty</t>
        </is>
      </c>
      <c r="AH410" s="53" t="inlineStr">
        <is>
          <t>N-3</t>
        </is>
      </c>
      <c r="AI410" s="53" t="inlineStr">
        <is>
          <t>Individual Contributor</t>
        </is>
      </c>
      <c r="AJ410" s="53" t="inlineStr">
        <is>
          <t>0 years, 0 months, 0 days</t>
        </is>
      </c>
      <c r="AK410" s="53" t="inlineStr">
        <is>
          <t>2 years, 2 months, 22 days</t>
        </is>
      </c>
      <c r="AL410" s="53" t="inlineStr">
        <is>
          <t>Datatech</t>
        </is>
      </c>
      <c r="AM410" s="53" t="inlineStr">
        <is>
          <t>Datatech</t>
        </is>
      </c>
      <c r="AN410" s="53" t="inlineStr">
        <is>
          <t>Technology</t>
        </is>
      </c>
      <c r="AO410" s="53" t="inlineStr">
        <is>
          <t>Development</t>
        </is>
      </c>
      <c r="AP410" s="53" t="inlineStr">
        <is>
          <t>Yes</t>
        </is>
      </c>
      <c r="AQ410" s="53" t="inlineStr">
        <is>
          <t>Product/Project</t>
        </is>
      </c>
      <c r="AR410" s="53" t="inlineStr">
        <is>
          <t>Java</t>
        </is>
      </c>
      <c r="AS410" s="53" t="inlineStr">
        <is>
          <t>Technical - Developer</t>
        </is>
      </c>
      <c r="AT410" s="53" t="n">
        <v>20</v>
      </c>
      <c r="AU410" s="53" t="inlineStr">
        <is>
          <t>Covered</t>
        </is>
      </c>
      <c r="AV410" s="53" t="n"/>
      <c r="AW410" s="53" t="n"/>
      <c r="AX410" s="53" t="n"/>
      <c r="AY410" s="53" t="n"/>
      <c r="AZ410" s="53" t="n"/>
      <c r="BA410" s="53" t="n"/>
      <c r="BB410" s="53" t="n"/>
      <c r="BC410" s="53" t="n"/>
      <c r="BD410" s="53" t="n"/>
      <c r="BE410" s="53" t="n"/>
      <c r="BF410" s="53" t="n"/>
      <c r="BG410" s="53" t="n"/>
      <c r="BH410" s="53" t="n"/>
      <c r="BI410" s="53" t="n"/>
      <c r="BJ410" s="53" t="n"/>
      <c r="BK410" s="53" t="n"/>
      <c r="BL410" s="53" t="n"/>
      <c r="BM410" s="53" t="n"/>
      <c r="BN410" s="53" t="n"/>
      <c r="BO410" s="53" t="n"/>
      <c r="BP410" s="53" t="n"/>
      <c r="BQ410" s="53" t="n"/>
      <c r="BR410" s="53" t="n"/>
      <c r="BS410" s="53" t="n"/>
      <c r="BT410" s="53" t="n"/>
      <c r="BU410" s="53" t="n"/>
      <c r="BV410" s="53" t="n"/>
      <c r="BW410" s="53" t="n"/>
      <c r="BX410" s="53" t="n"/>
      <c r="BY410" s="53" t="n"/>
      <c r="BZ410" s="53" t="n"/>
      <c r="CA410" s="53" t="n"/>
      <c r="CB410" s="53" t="n"/>
      <c r="CC410" s="53" t="n"/>
      <c r="CD410" s="53" t="n"/>
      <c r="CE410" s="53" t="n"/>
      <c r="CF410" s="53" t="n"/>
      <c r="CG410" s="53" t="n"/>
      <c r="CH410" s="53" t="n"/>
      <c r="CI410" s="53" t="n"/>
      <c r="CJ410" s="53" t="n"/>
      <c r="CK410" s="53" t="n"/>
      <c r="CL410" s="53" t="n"/>
      <c r="CM410" s="53" t="n"/>
      <c r="CN410" s="53" t="n"/>
      <c r="CO410" s="53" t="n"/>
      <c r="CP410" s="53" t="n"/>
      <c r="CQ410" s="53" t="n"/>
      <c r="CR410" s="53" t="n"/>
      <c r="CS410" s="53" t="n"/>
      <c r="CT410" s="53" t="n"/>
      <c r="CU410" s="53" t="n"/>
      <c r="CV410" s="53" t="n"/>
      <c r="CW410" s="53" t="n"/>
      <c r="CX410" s="53" t="n"/>
      <c r="CY410" s="53" t="n"/>
      <c r="CZ410" s="53" t="n"/>
      <c r="DA410" s="53" t="n"/>
      <c r="DB410" s="53" t="n"/>
      <c r="DC410" s="53" t="n"/>
      <c r="DD410" s="53" t="inlineStr">
        <is>
          <t>IRIS2266</t>
        </is>
      </c>
      <c r="DE410" s="53" t="inlineStr">
        <is>
          <t>Employee</t>
        </is>
      </c>
      <c r="DF410" s="53" t="inlineStr">
        <is>
          <t>Active</t>
        </is>
      </c>
      <c r="DG410" s="53" t="inlineStr">
        <is>
          <t>Niraj Santosh Patil</t>
        </is>
      </c>
      <c r="DH410" s="54" t="n">
        <v>45446</v>
      </c>
      <c r="DI410" s="53" t="inlineStr">
        <is>
          <t>Trainee Software Engineer</t>
        </is>
      </c>
      <c r="DJ410" s="53" t="inlineStr">
        <is>
          <t>Engineering &amp; Development</t>
        </is>
      </c>
      <c r="DK410" s="53" t="inlineStr">
        <is>
          <t>Backend Engineering · Java</t>
        </is>
      </c>
      <c r="DL410" s="53" t="inlineStr">
        <is>
          <t>Trainee Software Engineer</t>
        </is>
      </c>
      <c r="DM410" s="53" t="inlineStr">
        <is>
          <t>L2 – Trainee</t>
        </is>
      </c>
      <c r="DN410" s="53" t="inlineStr">
        <is>
          <t>B.Tech</t>
        </is>
      </c>
      <c r="DO410" s="53" t="inlineStr">
        <is>
          <t>Akshay Shetty</t>
        </is>
      </c>
      <c r="DP410" s="53" t="inlineStr">
        <is>
          <t>N-3</t>
        </is>
      </c>
      <c r="DQ410" s="53" t="inlineStr">
        <is>
          <t>Individual Contributor</t>
        </is>
      </c>
      <c r="DR410" s="53" t="inlineStr">
        <is>
          <t>0 years, 0 months, 0 days</t>
        </is>
      </c>
      <c r="DS410" s="53" t="inlineStr">
        <is>
          <t>2 years, 0 months, 17 days</t>
        </is>
      </c>
      <c r="DT410" s="53" t="inlineStr">
        <is>
          <t>2 years, 0 months, 17 days</t>
        </is>
      </c>
      <c r="DU410" s="53" t="n"/>
      <c r="DV410" s="53" t="inlineStr">
        <is>
          <t>Datatech</t>
        </is>
      </c>
      <c r="DW410" s="53" t="inlineStr">
        <is>
          <t>Datatech</t>
        </is>
      </c>
      <c r="DX410" s="53" t="inlineStr">
        <is>
          <t>Technology</t>
        </is>
      </c>
      <c r="DY410" s="53" t="inlineStr">
        <is>
          <t>Development</t>
        </is>
      </c>
      <c r="DZ410" s="53" t="inlineStr">
        <is>
          <t>Yes</t>
        </is>
      </c>
      <c r="EA410" s="53" t="inlineStr">
        <is>
          <t>Product/Project</t>
        </is>
      </c>
      <c r="EB410" s="53" t="inlineStr">
        <is>
          <t>Java</t>
        </is>
      </c>
      <c r="EC410" s="53" t="inlineStr">
        <is>
          <t>Technical - Developer</t>
        </is>
      </c>
      <c r="ED410" s="53" t="inlineStr">
        <is>
          <t>Turbhe</t>
        </is>
      </c>
      <c r="EE410" s="53" t="n"/>
      <c r="EF410" s="53" t="inlineStr">
        <is>
          <t>1.	Committed scope delivered per sprint — ≥ 85%. Averaged for quarter
2.	Crash-free sessions — ≥ 99.5% · shared with QA
3.	Change failure rate · % of releases causing an incident/hotfix — &lt; 10%
4.	Documentation kept current for shipped features — ≥ 90% of new modules documented
5.	Unit test coverage - ≥ 75% by end of year
6.	Critical/high vulnerabilities — criticals remediated in &lt; 5 days; no open criticals at quarter-end.
7.	Cross-functional coordination — score once per quarter.
8.	Adherence to ACCORD framework – every monthly sprint review cycle</t>
        </is>
      </c>
      <c r="EG410" s="53" t="inlineStr">
        <is>
          <t>Engineering - Quarterly
1.	Committed scope delivered per sprint — ≥ 85%. Averaged for quarter
2.	Crash-free sessions — ≥ 99.5% · shared with QA
3.	Change failure rate · % of releases causing an incident/hotfix — &lt; 10%
4.	Documentation kept current for shipped features — ≥ 90% of new modules documented
5.	Unit test coverage - ≥ 35% for quarter
6.	Critical/high vulnerabilities — criticals remediated in &lt; 5 days; no open criticals at quarter-end.</t>
        </is>
      </c>
      <c r="EH410" s="53" t="n">
        <v>2</v>
      </c>
      <c r="EI410" s="53" t="n"/>
      <c r="EJ410" s="53" t="inlineStr">
        <is>
          <t>Trainee Software Engineer</t>
        </is>
      </c>
      <c r="EK410" s="53" t="inlineStr">
        <is>
          <t>No</t>
        </is>
      </c>
      <c r="EL410" s="53" t="n">
        <v>2</v>
      </c>
      <c r="EM410" s="53" t="inlineStr">
        <is>
          <t>Low</t>
        </is>
      </c>
      <c r="EN410" s="53" t="inlineStr">
        <is>
          <t>Performance Risk</t>
        </is>
      </c>
      <c r="EO410" s="53" t="inlineStr">
        <is>
          <t>No</t>
        </is>
      </c>
      <c r="EP410" s="53" t="inlineStr">
        <is>
          <t>No</t>
        </is>
      </c>
      <c r="EQ410" s="53" t="inlineStr">
        <is>
          <t>Yes</t>
        </is>
      </c>
      <c r="ER410" s="53" t="n"/>
      <c r="ES410" s="53" t="inlineStr">
        <is>
          <t>Optimal use of AI
System Design Thinking
Flutter, Django
Product Knowledge</t>
        </is>
      </c>
      <c r="ET410" s="53" t="n"/>
      <c r="EU410" s="53" t="n"/>
      <c r="EV410" s="53" t="inlineStr">
        <is>
          <t>Peridot App + backend</t>
        </is>
      </c>
      <c r="EW410" s="52" t="n"/>
      <c r="EX410" s="53" t="n"/>
      <c r="EY410" s="53" t="n"/>
      <c r="EZ410" s="53" t="n"/>
      <c r="FA410" s="53" t="n"/>
      <c r="FB410" s="53" t="n"/>
      <c r="FC410" s="53" t="n"/>
      <c r="FD410" s="53" t="inlineStr">
        <is>
          <t>IRIS2266</t>
        </is>
      </c>
      <c r="FE410" s="57" t="inlineStr">
        <is>
          <t>1.	Committed scope delivered per sprint — ≥ 85%. Averaged for quarter
2.	Crash-free sessions — ≥ 99.5% · shared with QA
3.	Change failure rate · % of releases causing an incident/hotfix — &lt; 10%
4.	Documentation kept current for shipped features — ≥ 90% of new modules documented
5.	Unit test coverage - ≥ 75% by end of year
6.	Critical/high vulnerabilities — criticals remediated in &lt; 5 days; no open criticals at quarter-end.
7.	Cross-functional coordination — score once per quarter.
8.	Adherence to ACCORD framework – every monthly sprint review cycle</t>
        </is>
      </c>
      <c r="FF410" s="56" t="inlineStr">
        <is>
          <t>Engineering - Quarterly
1.	Committed scope delivered per sprint — ≥ 85%. Averaged for quarter
2.	Crash-free sessions — ≥ 99.5% · shared with QA
3.	Change failure rate · % of releases causing an incident/hotfix — &lt; 10%
4.	Documentation kept current for shipped features — ≥ 90% of new modules documented
5.	Unit test coverage - ≥ 35% for quarter
6.	Critical/high vulnerabilities — criticals remediated in &lt; 5 days; no open criticals at quarter-end.</t>
        </is>
      </c>
      <c r="FG410" s="56" t="n"/>
      <c r="FH410" s="56" t="inlineStr">
        <is>
          <t>2</t>
        </is>
      </c>
      <c r="FI410" s="56" t="n"/>
      <c r="FJ410" s="56" t="inlineStr">
        <is>
          <t>Received · manager annual, quarterly</t>
        </is>
      </c>
      <c r="FK410" s="56" t="inlineStr">
        <is>
          <t>Talent Mapping · Datatech</t>
        </is>
      </c>
      <c r="FL410" s="56" t="n">
        <v>20</v>
      </c>
      <c r="FM410" s="32" t="inlineStr">
        <is>
          <t>Full survey answers not in the files received · How We Grow export needed · HR</t>
        </is>
      </c>
      <c r="FN410" s="56" t="inlineStr">
        <is>
          <t>—</t>
        </is>
      </c>
      <c r="FO410" s="56" t="inlineStr">
        <is>
          <t>—</t>
        </is>
      </c>
      <c r="FP410" s="56" t="inlineStr">
        <is>
          <t>—</t>
        </is>
      </c>
      <c r="FQ410" s="56" t="inlineStr">
        <is>
          <t>—</t>
        </is>
      </c>
      <c r="FR410" s="56"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Moved +0.5: the survey / manager mapping marks it business-critical.</t>
        </is>
      </c>
      <c r="FS410"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410" s="56" t="inlineStr">
        <is>
          <t>Self-identified: Technical depth &amp; architecture
For the next role: Technical depth &amp; architecture</t>
        </is>
      </c>
      <c r="FU410" s="32" t="inlineStr">
        <is>
          <t>Full survey answers not in the files received · How We Grow export needed · HR</t>
        </is>
      </c>
    </row>
    <row r="411" ht="90" customHeight="1">
      <c r="A411" s="51" t="inlineStr">
        <is>
          <t>◂ Back</t>
        </is>
      </c>
      <c r="B411" s="29" t="inlineStr">
        <is>
          <t>Mapped</t>
        </is>
      </c>
      <c r="C411" s="28" t="inlineStr">
        <is>
          <t>Datatech</t>
        </is>
      </c>
      <c r="D411" s="29" t="inlineStr">
        <is>
          <t>IRISDT0004</t>
        </is>
      </c>
      <c r="E411" s="29" t="inlineStr">
        <is>
          <t>Krishnadev Arya</t>
        </is>
      </c>
      <c r="F411" s="29" t="inlineStr">
        <is>
          <t>Technology</t>
        </is>
      </c>
      <c r="G411" s="29" t="inlineStr">
        <is>
          <t>Junior Software Engineer</t>
        </is>
      </c>
      <c r="H411" s="29" t="inlineStr">
        <is>
          <t>Software Engineer</t>
        </is>
      </c>
      <c r="I411" s="29" t="inlineStr">
        <is>
          <t>L3 – Professional / Associate</t>
        </is>
      </c>
      <c r="J411" s="29" t="inlineStr">
        <is>
          <t>A2</t>
        </is>
      </c>
      <c r="K411" s="29" t="inlineStr">
        <is>
          <t>• Same level</t>
        </is>
      </c>
      <c r="L411" s="29" t="inlineStr">
        <is>
          <t>Engineering &amp; Development</t>
        </is>
      </c>
      <c r="M411" s="29" t="inlineStr">
        <is>
          <t>Backend Development</t>
        </is>
      </c>
      <c r="N411" s="29" t="n"/>
      <c r="O411" s="29" t="n">
        <v>20</v>
      </c>
      <c r="P411" s="28" t="inlineStr">
        <is>
          <t>P1–P2</t>
        </is>
      </c>
      <c r="Q411" s="29" t="inlineStr">
        <is>
          <t>Entry / Developing</t>
        </is>
      </c>
      <c r="R411" s="29" t="inlineStr">
        <is>
          <t>2 Assist</t>
        </is>
      </c>
      <c r="S411" s="29" t="inlineStr">
        <is>
          <t>0–2 yrs</t>
        </is>
      </c>
      <c r="T411" s="29" t="inlineStr">
        <is>
          <t>1–3 · 0–3</t>
        </is>
      </c>
      <c r="U411" s="29" t="inlineStr">
        <is>
          <t>Associate Software Engineer / Software Engineer</t>
        </is>
      </c>
      <c r="V411" s="29" t="inlineStr">
        <is>
          <t>Workiva: Associate SE · Broadridge India: SE · Nasdaq / AxiomSL: SE · Salesforce: AMTS · Atlassian: P30 Junior · 0–2 yrs · Freshworks: SE</t>
        </is>
      </c>
      <c r="W411" s="29" t="inlineStr">
        <is>
          <t>SFIA 9 · software development, programming; OWASP secure coding; cloud vendor certifications</t>
        </is>
      </c>
      <c r="X411" s="29" t="inlineStr">
        <is>
          <t>Core 2 · Future 2 · Functional 2 · Leadership not scored</t>
        </is>
      </c>
      <c r="Y411" s="52" t="n">
        <v>540</v>
      </c>
      <c r="Z411" s="53" t="inlineStr">
        <is>
          <t>IRISDT0004</t>
        </is>
      </c>
      <c r="AA411" s="53" t="inlineStr">
        <is>
          <t>Employee</t>
        </is>
      </c>
      <c r="AB411" s="53" t="inlineStr">
        <is>
          <t>Active</t>
        </is>
      </c>
      <c r="AC411" s="53" t="inlineStr">
        <is>
          <t>Krishnadev Arya</t>
        </is>
      </c>
      <c r="AD411" s="54" t="n">
        <v>45666</v>
      </c>
      <c r="AE411" s="53" t="inlineStr">
        <is>
          <t>Junior Software Engineer</t>
        </is>
      </c>
      <c r="AF411" s="53" t="inlineStr">
        <is>
          <t>B.E</t>
        </is>
      </c>
      <c r="AG411" s="53" t="inlineStr">
        <is>
          <t>Akshay Shetty</t>
        </is>
      </c>
      <c r="AH411" s="53" t="inlineStr">
        <is>
          <t>N-3</t>
        </is>
      </c>
      <c r="AI411" s="53" t="inlineStr">
        <is>
          <t>Individual Contributor</t>
        </is>
      </c>
      <c r="AJ411" s="53" t="inlineStr">
        <is>
          <t>0 years, 0 months, 0 days</t>
        </is>
      </c>
      <c r="AK411" s="53" t="inlineStr">
        <is>
          <t>1 years, 7 months, 16 days</t>
        </is>
      </c>
      <c r="AL411" s="53" t="inlineStr">
        <is>
          <t>Datatech</t>
        </is>
      </c>
      <c r="AM411" s="53" t="inlineStr">
        <is>
          <t>Datatech</t>
        </is>
      </c>
      <c r="AN411" s="53" t="inlineStr">
        <is>
          <t>Technology</t>
        </is>
      </c>
      <c r="AO411" s="53" t="inlineStr">
        <is>
          <t>Development</t>
        </is>
      </c>
      <c r="AP411" s="53" t="inlineStr">
        <is>
          <t>Yes</t>
        </is>
      </c>
      <c r="AQ411" s="53" t="inlineStr">
        <is>
          <t>Product/Project</t>
        </is>
      </c>
      <c r="AR411" s="53" t="inlineStr">
        <is>
          <t>Java</t>
        </is>
      </c>
      <c r="AS411" s="53" t="inlineStr">
        <is>
          <t>Technical - Developer</t>
        </is>
      </c>
      <c r="AT411" s="53" t="n">
        <v>20</v>
      </c>
      <c r="AU411" s="53" t="inlineStr">
        <is>
          <t>Covered</t>
        </is>
      </c>
      <c r="AV411" s="53" t="n"/>
      <c r="AW411" s="53" t="n"/>
      <c r="AX411" s="53" t="n"/>
      <c r="AY411" s="53" t="n"/>
      <c r="AZ411" s="53" t="n"/>
      <c r="BA411" s="53" t="n"/>
      <c r="BB411" s="53" t="n"/>
      <c r="BC411" s="53" t="n"/>
      <c r="BD411" s="53" t="n"/>
      <c r="BE411" s="53" t="n"/>
      <c r="BF411" s="53" t="n"/>
      <c r="BG411" s="53" t="n"/>
      <c r="BH411" s="53" t="n"/>
      <c r="BI411" s="53" t="n"/>
      <c r="BJ411" s="53" t="n"/>
      <c r="BK411" s="53" t="n"/>
      <c r="BL411" s="53" t="n"/>
      <c r="BM411" s="53" t="n"/>
      <c r="BN411" s="53" t="n"/>
      <c r="BO411" s="53" t="n"/>
      <c r="BP411" s="53" t="n"/>
      <c r="BQ411" s="53" t="n"/>
      <c r="BR411" s="53" t="n"/>
      <c r="BS411" s="53" t="n"/>
      <c r="BT411" s="53" t="n"/>
      <c r="BU411" s="53" t="n"/>
      <c r="BV411" s="53" t="n"/>
      <c r="BW411" s="53" t="n"/>
      <c r="BX411" s="53" t="n"/>
      <c r="BY411" s="53" t="n"/>
      <c r="BZ411" s="53" t="n"/>
      <c r="CA411" s="53" t="n"/>
      <c r="CB411" s="53" t="n"/>
      <c r="CC411" s="53" t="n"/>
      <c r="CD411" s="53" t="n"/>
      <c r="CE411" s="53" t="n"/>
      <c r="CF411" s="53" t="n"/>
      <c r="CG411" s="53" t="n"/>
      <c r="CH411" s="53" t="n"/>
      <c r="CI411" s="53" t="n"/>
      <c r="CJ411" s="53" t="n"/>
      <c r="CK411" s="53" t="n"/>
      <c r="CL411" s="53" t="n"/>
      <c r="CM411" s="53" t="n"/>
      <c r="CN411" s="53" t="n"/>
      <c r="CO411" s="53" t="n"/>
      <c r="CP411" s="53" t="n"/>
      <c r="CQ411" s="53" t="n"/>
      <c r="CR411" s="53" t="n"/>
      <c r="CS411" s="53" t="n"/>
      <c r="CT411" s="53" t="n"/>
      <c r="CU411" s="53" t="n"/>
      <c r="CV411" s="53" t="n"/>
      <c r="CW411" s="53" t="n"/>
      <c r="CX411" s="53" t="n"/>
      <c r="CY411" s="53" t="n"/>
      <c r="CZ411" s="53" t="n"/>
      <c r="DA411" s="53" t="n"/>
      <c r="DB411" s="53" t="n"/>
      <c r="DC411" s="53" t="n"/>
      <c r="DD411" s="53" t="inlineStr">
        <is>
          <t>IRIS2332</t>
        </is>
      </c>
      <c r="DE411" s="53" t="inlineStr">
        <is>
          <t>Employee</t>
        </is>
      </c>
      <c r="DF411" s="53" t="inlineStr">
        <is>
          <t>Active</t>
        </is>
      </c>
      <c r="DG411" s="53" t="inlineStr">
        <is>
          <t>Krishnadev Arya</t>
        </is>
      </c>
      <c r="DH411" s="54" t="n">
        <v>45666</v>
      </c>
      <c r="DI411" s="53" t="inlineStr">
        <is>
          <t>Junior Software Engineer</t>
        </is>
      </c>
      <c r="DJ411" s="53" t="inlineStr">
        <is>
          <t>Engineering &amp; Development</t>
        </is>
      </c>
      <c r="DK411" s="53" t="inlineStr">
        <is>
          <t>Backend Engineering · Java</t>
        </is>
      </c>
      <c r="DL411" s="53" t="inlineStr">
        <is>
          <t>Junior Software Engineer</t>
        </is>
      </c>
      <c r="DM411" s="53" t="inlineStr">
        <is>
          <t>L3 – Professional / Associate</t>
        </is>
      </c>
      <c r="DN411" s="53" t="inlineStr">
        <is>
          <t>B.E</t>
        </is>
      </c>
      <c r="DO411" s="53" t="inlineStr">
        <is>
          <t>Akshay Shetty</t>
        </is>
      </c>
      <c r="DP411" s="53" t="inlineStr">
        <is>
          <t>N-3</t>
        </is>
      </c>
      <c r="DQ411" s="53" t="inlineStr">
        <is>
          <t>Individual Contributor</t>
        </is>
      </c>
      <c r="DR411" s="53" t="inlineStr">
        <is>
          <t>0 years, 0 months, 0 days</t>
        </is>
      </c>
      <c r="DS411" s="53" t="inlineStr">
        <is>
          <t>1 years, 5 months, 11 days</t>
        </is>
      </c>
      <c r="DT411" s="53" t="inlineStr">
        <is>
          <t>1 years, 5 months, 11 days</t>
        </is>
      </c>
      <c r="DU411" s="53" t="n"/>
      <c r="DV411" s="53" t="inlineStr">
        <is>
          <t>Datatech</t>
        </is>
      </c>
      <c r="DW411" s="53" t="inlineStr">
        <is>
          <t>Datatech</t>
        </is>
      </c>
      <c r="DX411" s="53" t="inlineStr">
        <is>
          <t>Technology</t>
        </is>
      </c>
      <c r="DY411" s="53" t="inlineStr">
        <is>
          <t>Development</t>
        </is>
      </c>
      <c r="DZ411" s="53" t="inlineStr">
        <is>
          <t>Yes</t>
        </is>
      </c>
      <c r="EA411" s="53" t="inlineStr">
        <is>
          <t>Product/Project</t>
        </is>
      </c>
      <c r="EB411" s="53" t="inlineStr">
        <is>
          <t>Java</t>
        </is>
      </c>
      <c r="EC411" s="53" t="inlineStr">
        <is>
          <t>Technical - Developer</t>
        </is>
      </c>
      <c r="ED411" s="53" t="inlineStr">
        <is>
          <t>Turbhe</t>
        </is>
      </c>
      <c r="EE411" s="53" t="n"/>
      <c r="EF411" s="53" t="inlineStr">
        <is>
          <t>1.	Committed scope delivered per sprint — ≥ 85%. Averaged for quarter
2.	Crash-free sessions — ≥ 99.5% · shared with QA
3.	Change failure rate · % of releases causing an incident/hotfix — &lt; 10%
4.	Documentation kept current for shipped features — ≥ 90% of new modules documented
5.	Unit test coverage - ≥ 75% by end of year
6.	Critical/high vulnerabilities — criticals remediated in &lt; 5 days; no open criticals at quarter-end.
7.	Cross-functional coordination — score once per quarter.
8.	Adherence to ACCORD framework – every monthly sprint review cycle</t>
        </is>
      </c>
      <c r="EG411" s="53" t="inlineStr">
        <is>
          <t>Engineering - Quarterly
1.	Committed scope delivered per sprint — ≥ 85%. Averaged for quarter
2.	Crash-free sessions — ≥ 99.5% · shared with QA
3.	Change failure rate · % of releases causing an incident/hotfix — &lt; 10%
4.	Documentation kept current for shipped features — ≥ 90% of new modules documented
5.	Unit test coverage - ≥ 35% for quarter
6.	Critical/high vulnerabilities — criticals remediated in &lt; 5 days; no open criticals at quarter-end.</t>
        </is>
      </c>
      <c r="EH411" s="53" t="n">
        <v>2</v>
      </c>
      <c r="EI411" s="53" t="n"/>
      <c r="EJ411" s="53" t="inlineStr">
        <is>
          <t>Junior Software Engineer</t>
        </is>
      </c>
      <c r="EK411" s="53" t="inlineStr">
        <is>
          <t>No</t>
        </is>
      </c>
      <c r="EL411" s="53" t="n">
        <v>2</v>
      </c>
      <c r="EM411" s="53" t="inlineStr">
        <is>
          <t>Low</t>
        </is>
      </c>
      <c r="EN411" s="53" t="inlineStr">
        <is>
          <t>Performance Risk</t>
        </is>
      </c>
      <c r="EO411" s="53" t="inlineStr">
        <is>
          <t>No</t>
        </is>
      </c>
      <c r="EP411" s="53" t="inlineStr">
        <is>
          <t>No</t>
        </is>
      </c>
      <c r="EQ411" s="53" t="inlineStr">
        <is>
          <t>Yes</t>
        </is>
      </c>
      <c r="ER411" s="53" t="n"/>
      <c r="ES411" s="53" t="inlineStr">
        <is>
          <t>Optimal use of AI
System Design Thinking
Flutter, Django
Product Knowledge</t>
        </is>
      </c>
      <c r="ET411" s="53" t="n"/>
      <c r="EU411" s="53" t="n"/>
      <c r="EV411" s="53" t="inlineStr">
        <is>
          <t>Peridot App + backend</t>
        </is>
      </c>
      <c r="EW411" s="52" t="n"/>
      <c r="EX411" s="53" t="n"/>
      <c r="EY411" s="53" t="n"/>
      <c r="EZ411" s="53" t="n"/>
      <c r="FA411" s="53" t="n"/>
      <c r="FB411" s="53" t="n"/>
      <c r="FC411" s="53" t="n"/>
      <c r="FD411" s="53" t="inlineStr">
        <is>
          <t>IRIS2332</t>
        </is>
      </c>
      <c r="FE411" s="57" t="inlineStr">
        <is>
          <t>1.	Committed scope delivered per sprint — ≥ 85%. Averaged for quarter
2.	Crash-free sessions — ≥ 99.5% · shared with QA
3.	Change failure rate · % of releases causing an incident/hotfix — &lt; 10%
4.	Documentation kept current for shipped features — ≥ 90% of new modules documented
5.	Unit test coverage - ≥ 75% by end of year
6.	Critical/high vulnerabilities — criticals remediated in &lt; 5 days; no open criticals at quarter-end.
7.	Cross-functional coordination — score once per quarter.
8.	Adherence to ACCORD framework – every monthly sprint review cycle</t>
        </is>
      </c>
      <c r="FF411" s="56" t="inlineStr">
        <is>
          <t>Engineering - Quarterly
1.	Committed scope delivered per sprint — ≥ 85%. Averaged for quarter
2.	Crash-free sessions — ≥ 99.5% · shared with QA
3.	Change failure rate · % of releases causing an incident/hotfix — &lt; 10%
4.	Documentation kept current for shipped features — ≥ 90% of new modules documented
5.	Unit test coverage - ≥ 35% for quarter
6.	Critical/high vulnerabilities — criticals remediated in &lt; 5 days; no open criticals at quarter-end.</t>
        </is>
      </c>
      <c r="FG411" s="56" t="n"/>
      <c r="FH411" s="56" t="inlineStr">
        <is>
          <t>2</t>
        </is>
      </c>
      <c r="FI411" s="56" t="n"/>
      <c r="FJ411" s="56" t="inlineStr">
        <is>
          <t>Received · manager annual, quarterly</t>
        </is>
      </c>
      <c r="FK411" s="56" t="inlineStr">
        <is>
          <t>Talent Mapping · Datatech</t>
        </is>
      </c>
      <c r="FL411" s="56" t="n">
        <v>20</v>
      </c>
      <c r="FM411" s="32" t="inlineStr">
        <is>
          <t>Full survey answers not in the files received · How We Grow export needed · HR</t>
        </is>
      </c>
      <c r="FN411" s="56" t="inlineStr">
        <is>
          <t>—</t>
        </is>
      </c>
      <c r="FO411" s="56" t="inlineStr">
        <is>
          <t>—</t>
        </is>
      </c>
      <c r="FP411" s="56" t="inlineStr">
        <is>
          <t>—</t>
        </is>
      </c>
      <c r="FQ411" s="56" t="inlineStr">
        <is>
          <t>—</t>
        </is>
      </c>
      <c r="FR411" s="56"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Moved +0.5: the survey / manager mapping marks it business-critical.</t>
        </is>
      </c>
      <c r="FS411" s="56" t="inlineStr">
        <is>
          <t>Common themes in role-holders' answers: software · time · maintain · take · solutions · efficiency
Common themes in role-holders' answers: fixing · quality · bug · development · client · code
Common themes in role-holders' answers: solutions · bug · fixes · features
Common themes in role-holders' answers: quality · personally · reliable · delivering · am · accountable
Common themes in role-holders' answers: implement · solutions · issues · structure · design
If the work is missed · role-holders' themes: rework · incorrectly · issues · delays.
Measured on · manager-set KRA themes: improve · deliver · modules · committed · coverage · automated.</t>
        </is>
      </c>
      <c r="FT411" s="56" t="inlineStr">
        <is>
          <t>Self-identified: Project / programme management · Broader exposure &amp; ownership
For the next role: Project / programme management · Broader exposure &amp; ownership</t>
        </is>
      </c>
      <c r="FU411" s="32" t="inlineStr">
        <is>
          <t>Full survey answers not in the files received · How We Grow export needed · HR</t>
        </is>
      </c>
    </row>
    <row r="412" ht="90" customHeight="1">
      <c r="A412" s="51" t="inlineStr">
        <is>
          <t>◂ Back</t>
        </is>
      </c>
      <c r="B412" s="29" t="inlineStr">
        <is>
          <t>Mapped</t>
        </is>
      </c>
      <c r="C412" s="28" t="inlineStr">
        <is>
          <t>Datatech</t>
        </is>
      </c>
      <c r="D412" s="29" t="inlineStr">
        <is>
          <t>IRISDT0009</t>
        </is>
      </c>
      <c r="E412" s="29" t="inlineStr">
        <is>
          <t>Ankita Pathak</t>
        </is>
      </c>
      <c r="F412" s="29" t="inlineStr">
        <is>
          <t>Marketing</t>
        </is>
      </c>
      <c r="G412" s="29" t="inlineStr">
        <is>
          <t>Manager Marketing</t>
        </is>
      </c>
      <c r="H412" s="29" t="inlineStr">
        <is>
          <t>Marketing Specialist – POD Lead</t>
        </is>
      </c>
      <c r="I412" s="29" t="inlineStr">
        <is>
          <t>L5 – Manager</t>
        </is>
      </c>
      <c r="J412" s="29" t="inlineStr">
        <is>
          <t>B2</t>
        </is>
      </c>
      <c r="K412" s="29" t="inlineStr">
        <is>
          <t>▼ Down · protected</t>
        </is>
      </c>
      <c r="L412" s="29" t="inlineStr">
        <is>
          <t>Marketing &amp; Communications</t>
        </is>
      </c>
      <c r="M412" s="29" t="inlineStr">
        <is>
          <t>Marketing Leadership</t>
        </is>
      </c>
      <c r="N412" s="29" t="n"/>
      <c r="O412" s="29" t="n">
        <v>20</v>
      </c>
      <c r="P412" s="28" t="inlineStr">
        <is>
          <t>P4 / M3</t>
        </is>
      </c>
      <c r="Q412" s="29" t="inlineStr">
        <is>
          <t>Senior / Manager</t>
        </is>
      </c>
      <c r="R412" s="29" t="inlineStr">
        <is>
          <t>4–5</t>
        </is>
      </c>
      <c r="S412" s="29" t="inlineStr">
        <is>
          <t>6–9 yrs</t>
        </is>
      </c>
      <c r="T412" s="29" t="inlineStr">
        <is>
          <t>7–10 · 6–11</t>
        </is>
      </c>
      <c r="U412" s="29" t="inlineStr">
        <is>
          <t>Senior Executive / Specialist</t>
        </is>
      </c>
      <c r="V412" s="29" t="inlineStr">
        <is>
          <t>IRIS Vs Market Benchmark — CIM proficiency scale: 3–4 · IRIS Vs Competitor Benchmark — SaaS marketing ladder: Marketing Manager</t>
        </is>
      </c>
      <c r="W412" s="29" t="inlineStr">
        <is>
          <t>CIM Global Professional Marketing Framework — proficiency Aware → Active learner → Able → Accomplished → Authoritative</t>
        </is>
      </c>
      <c r="X412" s="29" t="inlineStr">
        <is>
          <t>Core 3 · Future 3 · Functional 4 · Leadership 3</t>
        </is>
      </c>
      <c r="Y412" s="52" t="n">
        <v>544</v>
      </c>
      <c r="Z412" s="53" t="inlineStr">
        <is>
          <t>IRISDT0009</t>
        </is>
      </c>
      <c r="AA412" s="53" t="inlineStr">
        <is>
          <t>Employee</t>
        </is>
      </c>
      <c r="AB412" s="53" t="inlineStr">
        <is>
          <t>Active</t>
        </is>
      </c>
      <c r="AC412" s="53" t="inlineStr">
        <is>
          <t>Ankita Pathak</t>
        </is>
      </c>
      <c r="AD412" s="54" t="n">
        <v>45880</v>
      </c>
      <c r="AE412" s="53" t="inlineStr">
        <is>
          <t>Manager Marketing</t>
        </is>
      </c>
      <c r="AF412" s="53" t="inlineStr">
        <is>
          <t>PGDBM</t>
        </is>
      </c>
      <c r="AG412" s="53" t="inlineStr">
        <is>
          <t>Shilpa Dhobale</t>
        </is>
      </c>
      <c r="AH412" s="53" t="inlineStr">
        <is>
          <t>N-2</t>
        </is>
      </c>
      <c r="AI412" s="53" t="inlineStr">
        <is>
          <t>Manager</t>
        </is>
      </c>
      <c r="AJ412" s="53" t="inlineStr">
        <is>
          <t>4 years, 7 months, 0 days</t>
        </is>
      </c>
      <c r="AK412" s="53" t="inlineStr">
        <is>
          <t>1 years, 0 months, 14 days</t>
        </is>
      </c>
      <c r="AL412" s="53" t="inlineStr">
        <is>
          <t>Datatech</t>
        </is>
      </c>
      <c r="AM412" s="53" t="inlineStr">
        <is>
          <t>Datatech</t>
        </is>
      </c>
      <c r="AN412" s="53" t="inlineStr">
        <is>
          <t>Marketing</t>
        </is>
      </c>
      <c r="AO412" s="53" t="inlineStr">
        <is>
          <t>Marketing</t>
        </is>
      </c>
      <c r="AP412" s="53" t="inlineStr">
        <is>
          <t>No</t>
        </is>
      </c>
      <c r="AQ412" s="53" t="inlineStr">
        <is>
          <t>Sales, Marketing &amp; Support</t>
        </is>
      </c>
      <c r="AR412" s="53" t="inlineStr">
        <is>
          <t>Marketing</t>
        </is>
      </c>
      <c r="AS412" s="53" t="inlineStr">
        <is>
          <t>Non-technical</t>
        </is>
      </c>
      <c r="AT412" s="53" t="n">
        <v>20</v>
      </c>
      <c r="AU412" s="53" t="inlineStr">
        <is>
          <t>Covered</t>
        </is>
      </c>
      <c r="AV412" s="53" t="n"/>
      <c r="AW412" s="53" t="n"/>
      <c r="AX412" s="53" t="n"/>
      <c r="AY412" s="53" t="n"/>
      <c r="AZ412" s="53" t="n"/>
      <c r="BA412" s="53" t="n"/>
      <c r="BB412" s="53" t="n"/>
      <c r="BC412" s="53" t="n"/>
      <c r="BD412" s="53" t="n"/>
      <c r="BE412" s="53" t="n"/>
      <c r="BF412" s="53" t="n"/>
      <c r="BG412" s="53" t="n"/>
      <c r="BH412" s="53" t="n"/>
      <c r="BI412" s="53" t="n"/>
      <c r="BJ412" s="53" t="n"/>
      <c r="BK412" s="53" t="n"/>
      <c r="BL412" s="53" t="n"/>
      <c r="BM412" s="53" t="n"/>
      <c r="BN412" s="53" t="n"/>
      <c r="BO412" s="53" t="n"/>
      <c r="BP412" s="53" t="n"/>
      <c r="BQ412" s="53" t="n"/>
      <c r="BR412" s="53" t="n"/>
      <c r="BS412" s="53" t="n"/>
      <c r="BT412" s="53" t="n"/>
      <c r="BU412" s="53" t="n"/>
      <c r="BV412" s="53" t="n"/>
      <c r="BW412" s="53" t="n"/>
      <c r="BX412" s="53" t="n"/>
      <c r="BY412" s="53" t="n"/>
      <c r="BZ412" s="53" t="n"/>
      <c r="CA412" s="53" t="n"/>
      <c r="CB412" s="53" t="n"/>
      <c r="CC412" s="53" t="n"/>
      <c r="CD412" s="53" t="n"/>
      <c r="CE412" s="53" t="n"/>
      <c r="CF412" s="53" t="n"/>
      <c r="CG412" s="53" t="n"/>
      <c r="CH412" s="53" t="n"/>
      <c r="CI412" s="53" t="n"/>
      <c r="CJ412" s="53" t="n"/>
      <c r="CK412" s="53" t="n"/>
      <c r="CL412" s="53" t="n"/>
      <c r="CM412" s="53" t="n"/>
      <c r="CN412" s="53" t="n"/>
      <c r="CO412" s="53" t="n"/>
      <c r="CP412" s="53" t="n"/>
      <c r="CQ412" s="53" t="n"/>
      <c r="CR412" s="53" t="n"/>
      <c r="CS412" s="53" t="n"/>
      <c r="CT412" s="53" t="n"/>
      <c r="CU412" s="53" t="n"/>
      <c r="CV412" s="53" t="n"/>
      <c r="CW412" s="53" t="n"/>
      <c r="CX412" s="53" t="n"/>
      <c r="CY412" s="53" t="n"/>
      <c r="CZ412" s="53" t="n"/>
      <c r="DA412" s="53" t="n"/>
      <c r="DB412" s="53" t="n"/>
      <c r="DC412" s="53" t="n"/>
      <c r="DD412" s="53" t="inlineStr">
        <is>
          <t>IRIS2417</t>
        </is>
      </c>
      <c r="DE412" s="53" t="inlineStr">
        <is>
          <t>Employee</t>
        </is>
      </c>
      <c r="DF412" s="53" t="inlineStr">
        <is>
          <t>Active</t>
        </is>
      </c>
      <c r="DG412" s="53" t="inlineStr">
        <is>
          <t>Ankita Pathak</t>
        </is>
      </c>
      <c r="DH412" s="54" t="n">
        <v>45880</v>
      </c>
      <c r="DI412" s="53" t="inlineStr">
        <is>
          <t>Manager Marketing</t>
        </is>
      </c>
      <c r="DJ412" s="53" t="inlineStr">
        <is>
          <t>Marketing &amp; Communications</t>
        </is>
      </c>
      <c r="DK412" s="53" t="inlineStr">
        <is>
          <t>Demand Generation / Brand</t>
        </is>
      </c>
      <c r="DL412" s="53" t="inlineStr">
        <is>
          <t>Manager Marketing</t>
        </is>
      </c>
      <c r="DM412" s="53" t="inlineStr">
        <is>
          <t>L5 – Manager</t>
        </is>
      </c>
      <c r="DN412" s="53" t="inlineStr">
        <is>
          <t>PGDBM</t>
        </is>
      </c>
      <c r="DO412" s="53" t="inlineStr">
        <is>
          <t>Shilpa Dhobale</t>
        </is>
      </c>
      <c r="DP412" s="53" t="inlineStr">
        <is>
          <t>N-2</t>
        </is>
      </c>
      <c r="DQ412" s="53" t="inlineStr">
        <is>
          <t>Manager</t>
        </is>
      </c>
      <c r="DR412" s="53" t="inlineStr">
        <is>
          <t>4 years, 7 months, 0 days</t>
        </is>
      </c>
      <c r="DS412" s="53" t="inlineStr">
        <is>
          <t>0 years, 10 months, 9 days</t>
        </is>
      </c>
      <c r="DT412" s="53" t="inlineStr">
        <is>
          <t>5 years, 5 months, 9 days</t>
        </is>
      </c>
      <c r="DU412" s="53" t="n">
        <v>0.8579908675799089</v>
      </c>
      <c r="DV412" s="53" t="inlineStr">
        <is>
          <t>Datatech</t>
        </is>
      </c>
      <c r="DW412" s="53" t="inlineStr">
        <is>
          <t>Datatech</t>
        </is>
      </c>
      <c r="DX412" s="53" t="inlineStr">
        <is>
          <t>Marketing</t>
        </is>
      </c>
      <c r="DY412" s="53" t="inlineStr">
        <is>
          <t>Marketing</t>
        </is>
      </c>
      <c r="DZ412" s="53" t="inlineStr">
        <is>
          <t>No</t>
        </is>
      </c>
      <c r="EA412" s="53" t="inlineStr">
        <is>
          <t>Sales, Marketing &amp; Support</t>
        </is>
      </c>
      <c r="EB412" s="53" t="inlineStr">
        <is>
          <t>Marketing</t>
        </is>
      </c>
      <c r="EC412" s="53" t="inlineStr">
        <is>
          <t>Non-technical</t>
        </is>
      </c>
      <c r="ED412" s="53" t="inlineStr">
        <is>
          <t>Turbhe</t>
        </is>
      </c>
      <c r="EE412" s="53" t="n"/>
      <c r="EF412" s="53" t="n"/>
      <c r="EG412" s="53" t="n"/>
      <c r="EH412" s="53" t="n">
        <v>3</v>
      </c>
      <c r="EI412" s="53" t="n"/>
      <c r="EJ412" s="53" t="inlineStr">
        <is>
          <t>Manager Marketing</t>
        </is>
      </c>
      <c r="EK412" s="53" t="inlineStr">
        <is>
          <t>Yes</t>
        </is>
      </c>
      <c r="EL412" s="53" t="n">
        <v>3</v>
      </c>
      <c r="EM412" s="53" t="n">
        <v>3</v>
      </c>
      <c r="EN412" s="53" t="inlineStr">
        <is>
          <t>High Impact / Growth Talent</t>
        </is>
      </c>
      <c r="EO412" s="53" t="inlineStr">
        <is>
          <t>No</t>
        </is>
      </c>
      <c r="EP412" s="53" t="inlineStr">
        <is>
          <t>Yes</t>
        </is>
      </c>
      <c r="EQ412" s="53" t="inlineStr">
        <is>
          <t>Yes</t>
        </is>
      </c>
      <c r="ER412" s="53" t="n"/>
      <c r="ES412" s="53" t="inlineStr">
        <is>
          <t>Performance marketing, Leadership coaching</t>
        </is>
      </c>
      <c r="ET412" s="53" t="n"/>
      <c r="EU412" s="53" t="n"/>
      <c r="EV412" s="53" t="inlineStr">
        <is>
          <t>All</t>
        </is>
      </c>
      <c r="EW412" s="52" t="n"/>
      <c r="EX412" s="53" t="n"/>
      <c r="EY412" s="53" t="n"/>
      <c r="EZ412" s="53" t="n"/>
      <c r="FA412" s="53" t="n"/>
      <c r="FB412" s="53" t="n"/>
      <c r="FC412" s="53" t="n"/>
      <c r="FD412" s="53" t="inlineStr">
        <is>
          <t>IRIS2417</t>
        </is>
      </c>
      <c r="FE412" s="55" t="inlineStr">
        <is>
          <t>KRAs not received · manager to supply</t>
        </is>
      </c>
      <c r="FF412" s="56" t="n"/>
      <c r="FG412" s="56" t="n"/>
      <c r="FH412" s="56" t="inlineStr">
        <is>
          <t>3</t>
        </is>
      </c>
      <c r="FI412" s="56" t="n"/>
      <c r="FJ412" s="32" t="inlineStr">
        <is>
          <t>KRAs not received · manager to supply</t>
        </is>
      </c>
      <c r="FK412" s="56" t="inlineStr">
        <is>
          <t>Talent Mapping · Datatech</t>
        </is>
      </c>
      <c r="FL412" s="56" t="n">
        <v>20</v>
      </c>
      <c r="FM412" s="32" t="inlineStr">
        <is>
          <t>Full survey answers not in the files received · How We Grow export needed · HR</t>
        </is>
      </c>
      <c r="FN412" s="56" t="inlineStr">
        <is>
          <t>—</t>
        </is>
      </c>
      <c r="FO412" s="56" t="inlineStr">
        <is>
          <t>—</t>
        </is>
      </c>
      <c r="FP412" s="56" t="inlineStr">
        <is>
          <t>—</t>
        </is>
      </c>
      <c r="FQ412" s="56" t="inlineStr">
        <is>
          <t>—</t>
        </is>
      </c>
      <c r="FR412" s="56" t="inlineStr">
        <is>
          <t>Complexity: Evidence reads like B2: Builds MSME marketing from scratch: strategy, performance marketing, ASO, ORM, engagement journeys, analytics → matches the start
Autonomy: Evidence reads like B1: Decides campaigns and the content calendar; prioritises experiments for a small team → moved down 0.5
Accountability: Evidence reads like B1: Marketing strategy execution, user acquisition and engagement for IRIS MSME; three-person team → moved down 0.5
Leadership: Evidence reads like B1: 3 direct reports · HR; builds the function's processes; people management not described → matches the start
Business Impact: Moved +0.5: the survey / manager mapping marks it business-critical.</t>
        </is>
      </c>
      <c r="FS412" s="56" t="n"/>
      <c r="FT412" s="56" t="inlineStr">
        <is>
          <t>Self-identified: Strategy &amp; business acumen · Marketing &amp; content
For the next role: Leadership &amp; people management · Strategy &amp; business acumen · Marketing &amp; content</t>
        </is>
      </c>
      <c r="FU412" s="32" t="inlineStr">
        <is>
          <t>Full survey answers not in the files received · How We Grow export needed · HR</t>
        </is>
      </c>
    </row>
    <row r="413" ht="90" customHeight="1">
      <c r="A413" s="51" t="inlineStr">
        <is>
          <t>◂ Back</t>
        </is>
      </c>
      <c r="B413" s="29" t="inlineStr">
        <is>
          <t>Mapped</t>
        </is>
      </c>
      <c r="C413" s="28" t="inlineStr">
        <is>
          <t>Datatech</t>
        </is>
      </c>
      <c r="D413" s="29" t="inlineStr">
        <is>
          <t>IRISDTC001</t>
        </is>
      </c>
      <c r="E413" s="29" t="inlineStr">
        <is>
          <t>Lalit Subhash Dhamale</t>
        </is>
      </c>
      <c r="F413" s="29" t="inlineStr">
        <is>
          <t>Marketing</t>
        </is>
      </c>
      <c r="G413" s="29" t="inlineStr">
        <is>
          <t>Social Media &amp; ORM Specialist</t>
        </is>
      </c>
      <c r="H413" s="29" t="inlineStr">
        <is>
          <t>Senior Digital Marketing Associate</t>
        </is>
      </c>
      <c r="I413" s="29" t="inlineStr">
        <is>
          <t>Not in current mapping files</t>
        </is>
      </c>
      <c r="J413" s="29" t="inlineStr">
        <is>
          <t>A3</t>
        </is>
      </c>
      <c r="K413" s="29" t="inlineStr">
        <is>
          <t>● Newly mapped</t>
        </is>
      </c>
      <c r="L413" s="29" t="inlineStr">
        <is>
          <t>Marketing &amp; Communications</t>
        </is>
      </c>
      <c r="M413" s="29" t="inlineStr">
        <is>
          <t>Digital Marketing, Web &amp; Social</t>
        </is>
      </c>
      <c r="N413" s="29" t="n"/>
      <c r="O413" s="29" t="n">
        <v>20</v>
      </c>
      <c r="P413" s="28" t="inlineStr">
        <is>
          <t>P2</t>
        </is>
      </c>
      <c r="Q413" s="29" t="inlineStr">
        <is>
          <t>Developing</t>
        </is>
      </c>
      <c r="R413" s="29" t="inlineStr">
        <is>
          <t>3 Apply</t>
        </is>
      </c>
      <c r="S413" s="29" t="inlineStr">
        <is>
          <t>2–4 yrs</t>
        </is>
      </c>
      <c r="T413" s="29" t="inlineStr">
        <is>
          <t>3–5 · 2–5</t>
        </is>
      </c>
      <c r="U413" s="29" t="inlineStr">
        <is>
          <t>Marketing Executive</t>
        </is>
      </c>
      <c r="V413" s="29" t="inlineStr">
        <is>
          <t>IRIS Vs Market Benchmark — CIM proficiency scale: 2–3 · IRIS Vs Competitor Benchmark — SaaS marketing ladder: Marketing Specialist</t>
        </is>
      </c>
      <c r="W413" s="29" t="inlineStr">
        <is>
          <t>CIM Global Professional Marketing Framework — proficiency Aware → Active learner → Able → Accomplished → Authoritative</t>
        </is>
      </c>
      <c r="X413" s="29" t="inlineStr">
        <is>
          <t>Core 2 · Future 2 · Functional 3 · Leadership not scored</t>
        </is>
      </c>
      <c r="Y413" s="52" t="n">
        <v>555</v>
      </c>
      <c r="Z413" s="53" t="inlineStr">
        <is>
          <t>IRISDTC001</t>
        </is>
      </c>
      <c r="AA413" s="53" t="inlineStr">
        <is>
          <t>On Contract</t>
        </is>
      </c>
      <c r="AB413" s="53" t="inlineStr">
        <is>
          <t>Active</t>
        </is>
      </c>
      <c r="AC413" s="53" t="inlineStr">
        <is>
          <t>Lalit Subhash Dhamale</t>
        </is>
      </c>
      <c r="AD413" s="54" t="n">
        <v>46163</v>
      </c>
      <c r="AE413" s="53" t="inlineStr">
        <is>
          <t>Social Media &amp; ORM Specialist</t>
        </is>
      </c>
      <c r="AF413" s="53" t="inlineStr">
        <is>
          <t>Diploma in Chemical Engineering</t>
        </is>
      </c>
      <c r="AG413" s="53" t="inlineStr">
        <is>
          <t>Ankita Pathak</t>
        </is>
      </c>
      <c r="AH413" s="53" t="inlineStr">
        <is>
          <t>N-3</t>
        </is>
      </c>
      <c r="AI413" s="53" t="inlineStr">
        <is>
          <t>Individual Contributor</t>
        </is>
      </c>
      <c r="AJ413" s="53" t="inlineStr">
        <is>
          <t>2 years, 7 months, 0 days</t>
        </is>
      </c>
      <c r="AK413" s="53" t="inlineStr">
        <is>
          <t>0 years, 3 months, 4 days</t>
        </is>
      </c>
      <c r="AL413" s="53" t="inlineStr">
        <is>
          <t>Datatech</t>
        </is>
      </c>
      <c r="AM413" s="53" t="inlineStr">
        <is>
          <t>Datatech</t>
        </is>
      </c>
      <c r="AN413" s="53" t="inlineStr">
        <is>
          <t>Marketing</t>
        </is>
      </c>
      <c r="AO413" s="53" t="inlineStr">
        <is>
          <t>Marketing</t>
        </is>
      </c>
      <c r="AP413" s="53" t="inlineStr">
        <is>
          <t>No</t>
        </is>
      </c>
      <c r="AQ413" s="53" t="inlineStr">
        <is>
          <t>Sales, Marketing &amp; Support</t>
        </is>
      </c>
      <c r="AR413" s="53" t="inlineStr">
        <is>
          <t>Marketing</t>
        </is>
      </c>
      <c r="AS413" s="53" t="inlineStr">
        <is>
          <t>Non-technical</t>
        </is>
      </c>
      <c r="AT413" s="53" t="n">
        <v>20</v>
      </c>
      <c r="AU413" s="53" t="inlineStr">
        <is>
          <t>Covered</t>
        </is>
      </c>
      <c r="AV413" s="53" t="n"/>
      <c r="AW413" s="53" t="n"/>
      <c r="AX413" s="53" t="n"/>
      <c r="AY413" s="53" t="n"/>
      <c r="AZ413" s="53" t="n"/>
      <c r="BA413" s="53" t="n"/>
      <c r="BB413" s="53" t="n"/>
      <c r="BC413" s="53" t="n"/>
      <c r="BD413" s="53" t="n"/>
      <c r="BE413" s="53" t="n"/>
      <c r="BF413" s="53" t="n"/>
      <c r="BG413" s="53" t="n"/>
      <c r="BH413" s="53" t="n"/>
      <c r="BI413" s="53" t="n"/>
      <c r="BJ413" s="53" t="n"/>
      <c r="BK413" s="53" t="n"/>
      <c r="BL413" s="53" t="n"/>
      <c r="BM413" s="53" t="n"/>
      <c r="BN413" s="53" t="n"/>
      <c r="BO413" s="53" t="n"/>
      <c r="BP413" s="53" t="n"/>
      <c r="BQ413" s="53" t="n"/>
      <c r="BR413" s="53" t="n"/>
      <c r="BS413" s="53" t="n"/>
      <c r="BT413" s="53" t="n"/>
      <c r="BU413" s="53" t="n"/>
      <c r="BV413" s="53" t="n"/>
      <c r="BW413" s="53" t="n"/>
      <c r="BX413" s="53" t="n"/>
      <c r="BY413" s="53" t="n"/>
      <c r="BZ413" s="53" t="n"/>
      <c r="CA413" s="53" t="n"/>
      <c r="CB413" s="53" t="n"/>
      <c r="CC413" s="53" t="n"/>
      <c r="CD413" s="53" t="n"/>
      <c r="CE413" s="53" t="n"/>
      <c r="CF413" s="53" t="n"/>
      <c r="CG413" s="53" t="n"/>
      <c r="CH413" s="53" t="n"/>
      <c r="CI413" s="53" t="n"/>
      <c r="CJ413" s="53" t="n"/>
      <c r="CK413" s="53" t="n"/>
      <c r="CL413" s="53" t="n"/>
      <c r="CM413" s="53" t="n"/>
      <c r="CN413" s="53" t="n"/>
      <c r="CO413" s="53" t="n"/>
      <c r="CP413" s="53" t="n"/>
      <c r="CQ413" s="53" t="n"/>
      <c r="CR413" s="53" t="n"/>
      <c r="CS413" s="53" t="n"/>
      <c r="CT413" s="53" t="n"/>
      <c r="CU413" s="53" t="n"/>
      <c r="CV413" s="53" t="n"/>
      <c r="CW413" s="53" t="n"/>
      <c r="CX413" s="53" t="n"/>
      <c r="CY413" s="53" t="n"/>
      <c r="CZ413" s="53" t="n"/>
      <c r="DA413" s="53" t="n"/>
      <c r="DB413" s="53" t="n"/>
      <c r="DC413" s="53" t="n"/>
      <c r="DD413" s="53" t="n"/>
      <c r="DE413" s="53" t="inlineStr">
        <is>
          <t>On Contract</t>
        </is>
      </c>
      <c r="DF413" s="53" t="inlineStr">
        <is>
          <t>Active</t>
        </is>
      </c>
      <c r="DG413" s="53" t="inlineStr">
        <is>
          <t>Lalit Dhamale</t>
        </is>
      </c>
      <c r="DH413" s="53" t="n"/>
      <c r="DI413" s="53" t="inlineStr">
        <is>
          <t>Social Media &amp; ORM Specialist</t>
        </is>
      </c>
      <c r="DJ413" s="53" t="n"/>
      <c r="DK413" s="53" t="n"/>
      <c r="DL413" s="53" t="n"/>
      <c r="DM413" s="53" t="n"/>
      <c r="DN413" s="53" t="n"/>
      <c r="DO413" s="53" t="inlineStr">
        <is>
          <t>Ankita Pathak</t>
        </is>
      </c>
      <c r="DP413" s="53" t="n"/>
      <c r="DQ413" s="53" t="n"/>
      <c r="DR413" s="53" t="n"/>
      <c r="DS413" s="53" t="n"/>
      <c r="DT413" s="53" t="n"/>
      <c r="DU413" s="53" t="n"/>
      <c r="DV413" s="53" t="inlineStr">
        <is>
          <t>Datatech</t>
        </is>
      </c>
      <c r="DW413" s="53" t="inlineStr">
        <is>
          <t>Datatech</t>
        </is>
      </c>
      <c r="DX413" s="53" t="inlineStr">
        <is>
          <t>Marketing</t>
        </is>
      </c>
      <c r="DY413" s="53" t="inlineStr">
        <is>
          <t>Marketing</t>
        </is>
      </c>
      <c r="DZ413" s="53" t="inlineStr">
        <is>
          <t>No</t>
        </is>
      </c>
      <c r="EA413" s="53" t="inlineStr">
        <is>
          <t>Sales, Marketing &amp; Support</t>
        </is>
      </c>
      <c r="EB413" s="53" t="inlineStr">
        <is>
          <t>Marketing</t>
        </is>
      </c>
      <c r="EC413" s="53" t="inlineStr">
        <is>
          <t>Non-technical</t>
        </is>
      </c>
      <c r="ED413" s="53" t="inlineStr">
        <is>
          <t>Turbhe</t>
        </is>
      </c>
      <c r="EE413" s="53" t="n"/>
      <c r="EF413" s="53" t="inlineStr">
        <is>
          <t>a. Social Media Growth - 30%
b. Humans of MSME - 1 story per week, growth of 100%
c. Social Media Posts - 5 per week 
d. Ideation for B2B &amp; B2C posts 
e. Active LinkedIn &amp; Twitter engagement 
f. Customer Testimonials on SM
g. Creating viral/trend based content / Moment Marketing
h. App Store/ Play Store Reviews and Ratings - 90% replies within 24-48 Hrs. 
i. Jointly own ASO - experiments, image updation, etc.</t>
        </is>
      </c>
      <c r="EG413" s="53" t="n"/>
      <c r="EH413" s="53" t="n"/>
      <c r="EI413" s="53" t="inlineStr">
        <is>
          <t>46223</t>
        </is>
      </c>
      <c r="EJ413" s="53" t="inlineStr">
        <is>
          <t>Social Media &amp; ORM Executive</t>
        </is>
      </c>
      <c r="EK413" s="53" t="inlineStr">
        <is>
          <t>No</t>
        </is>
      </c>
      <c r="EL413" s="53" t="inlineStr">
        <is>
          <t>4</t>
        </is>
      </c>
      <c r="EM413" s="53" t="inlineStr">
        <is>
          <t>High</t>
        </is>
      </c>
      <c r="EN413" s="53" t="inlineStr">
        <is>
          <t>Reliable Specialist</t>
        </is>
      </c>
      <c r="EO413" s="53" t="inlineStr">
        <is>
          <t>No</t>
        </is>
      </c>
      <c r="EP413" s="53" t="inlineStr">
        <is>
          <t>Yes</t>
        </is>
      </c>
      <c r="EQ413" s="53" t="inlineStr">
        <is>
          <t>Yes</t>
        </is>
      </c>
      <c r="ER413" s="53" t="n"/>
      <c r="ES413" s="53" t="inlineStr">
        <is>
          <t>ASO Training</t>
        </is>
      </c>
      <c r="ET413" s="53" t="n"/>
      <c r="EU413" s="53" t="n"/>
      <c r="EV413" s="53" t="inlineStr">
        <is>
          <t>All</t>
        </is>
      </c>
      <c r="EW413" s="52" t="n"/>
      <c r="EX413" s="53" t="n"/>
      <c r="EY413" s="53" t="n"/>
      <c r="EZ413" s="53" t="n"/>
      <c r="FA413" s="53" t="n"/>
      <c r="FB413" s="53" t="n"/>
      <c r="FC413" s="53" t="inlineStr">
        <is>
          <t>Employee Category; Employee Status; Employee Name; Designation; Reporting Manager; Business Line; Product/Others; Department; Sub Functional Categorization; Core Development; Functional Categorization; Skill Sets; Technical/Non-technical; Location; Annual KRAs · objective Measurable Minimum 5 - set by Manager; Last Performance Discussion date; Correct Designation; Is a structural Change needed for better future; Quarterly Performance Rating; Potential Rating · High/Med/Low; 9-Box Placement; Ready for Promotion; Fast Tracker · Y/N; Critical Role · Y/N; Training Needs identified for current Role; Projects/Delivery/client Assigned</t>
        </is>
      </c>
      <c r="FD413" s="53" t="n"/>
      <c r="FE413" s="57" t="inlineStr">
        <is>
          <t>a. Social Media Growth - 30%
b. Humans of MSME - 1 story per week, growth of 100%
c. Social Media Posts - 5 per week 
d. Ideation for B2B &amp; B2C posts 
e. Active LinkedIn &amp; Twitter engagement 
f. Customer Testimonials on SM
g. Creating viral/trend based content / Moment Marketing
h. App Store/ Play Store Reviews and Ratings - 90% replies within 24-48 Hrs. 
i. Jointly own ASO - experiments, image updation, etc.</t>
        </is>
      </c>
      <c r="FF413" s="56" t="n"/>
      <c r="FG413" s="56" t="n"/>
      <c r="FH413" s="56" t="n"/>
      <c r="FI413" s="56" t="n"/>
      <c r="FJ413" s="56" t="inlineStr">
        <is>
          <t>Received · manager annual</t>
        </is>
      </c>
      <c r="FK413" s="56" t="inlineStr">
        <is>
          <t>Talent Mapping · Datatech</t>
        </is>
      </c>
      <c r="FL413" s="56" t="n">
        <v>20</v>
      </c>
      <c r="FM413" s="32" t="inlineStr">
        <is>
          <t>Full survey answers not in the files received · How We Grow export needed · HR</t>
        </is>
      </c>
      <c r="FN413" s="56" t="inlineStr">
        <is>
          <t>—</t>
        </is>
      </c>
      <c r="FO413" s="56" t="inlineStr">
        <is>
          <t>—</t>
        </is>
      </c>
      <c r="FP413" s="56" t="inlineStr">
        <is>
          <t>—</t>
        </is>
      </c>
      <c r="FQ413" s="56" t="inlineStr">
        <is>
          <t>—</t>
        </is>
      </c>
      <c r="FR413" s="56" t="inlineStr">
        <is>
          <t>Complexity: Evidence reads like A2: Creates social posts and reels, researches trends, tracks followers, reach and engagement for two brands → moved down 1
Autonomy: Evidence reads like A1: States that decisions need approval → moved down 1
Accountability: Evidence reads like A2: Accountable for social media posting and scheduling; errors are wrong captions or hashtags → moved down 1
Leadership: Evidence reads like A1: No guidance or leadership of others described → moved down 1
Business Impact: No survey or manager-mapping signal on criticality: kept at the start point.</t>
        </is>
      </c>
      <c r="FS413" s="56" t="n"/>
      <c r="FT413" s="56" t="inlineStr">
        <is>
          <t>Self-identified: Product &amp; tool knowledge · Marketing &amp; content
For the next role: Product &amp; tool knowledge · Marketing &amp; content</t>
        </is>
      </c>
      <c r="FU413" s="32" t="inlineStr">
        <is>
          <t>Full survey answers not in the files received · How We Grow export needed · HR</t>
        </is>
      </c>
    </row>
    <row r="414" ht="90" customHeight="1">
      <c r="A414" s="51" t="inlineStr">
        <is>
          <t>◂ Back</t>
        </is>
      </c>
      <c r="B414" s="29" t="inlineStr">
        <is>
          <t>Mapped</t>
        </is>
      </c>
      <c r="C414" s="28" t="inlineStr">
        <is>
          <t>Datatech</t>
        </is>
      </c>
      <c r="D414" s="29" t="inlineStr">
        <is>
          <t>IRISDT0007</t>
        </is>
      </c>
      <c r="E414" s="29" t="inlineStr">
        <is>
          <t>Vasundhara Lella</t>
        </is>
      </c>
      <c r="F414" s="29" t="inlineStr">
        <is>
          <t>Marketing</t>
        </is>
      </c>
      <c r="G414" s="29" t="inlineStr">
        <is>
          <t>Content Marketer</t>
        </is>
      </c>
      <c r="H414" s="29" t="inlineStr">
        <is>
          <t>Senior Content Marketing Associate</t>
        </is>
      </c>
      <c r="I414" s="29" t="inlineStr">
        <is>
          <t>L3 – Professional / Associate</t>
        </is>
      </c>
      <c r="J414" s="29" t="inlineStr">
        <is>
          <t>A3</t>
        </is>
      </c>
      <c r="K414" s="29" t="inlineStr">
        <is>
          <t>▲ Up</t>
        </is>
      </c>
      <c r="L414" s="29" t="inlineStr">
        <is>
          <t>Marketing &amp; Communications</t>
        </is>
      </c>
      <c r="M414" s="29" t="inlineStr">
        <is>
          <t>Content Marketing</t>
        </is>
      </c>
      <c r="N414" s="29" t="n"/>
      <c r="O414" s="29" t="n">
        <v>20</v>
      </c>
      <c r="P414" s="28" t="inlineStr">
        <is>
          <t>P2</t>
        </is>
      </c>
      <c r="Q414" s="29" t="inlineStr">
        <is>
          <t>Developing</t>
        </is>
      </c>
      <c r="R414" s="29" t="inlineStr">
        <is>
          <t>3 Apply</t>
        </is>
      </c>
      <c r="S414" s="29" t="inlineStr">
        <is>
          <t>2–4 yrs</t>
        </is>
      </c>
      <c r="T414" s="29" t="inlineStr">
        <is>
          <t>3–5 · 2–5</t>
        </is>
      </c>
      <c r="U414" s="29" t="inlineStr">
        <is>
          <t>Marketing Executive</t>
        </is>
      </c>
      <c r="V414" s="29" t="inlineStr">
        <is>
          <t>IRIS Vs Market Benchmark — CIM proficiency scale: 2–3 · IRIS Vs Competitor Benchmark — SaaS marketing ladder: Marketing Specialist</t>
        </is>
      </c>
      <c r="W414" s="29" t="inlineStr">
        <is>
          <t>CIM Global Professional Marketing Framework — proficiency Aware → Active learner → Able → Accomplished → Authoritative</t>
        </is>
      </c>
      <c r="X414" s="29" t="inlineStr">
        <is>
          <t>Core 2 · Future 2 · Functional 3 · Leadership not scored</t>
        </is>
      </c>
      <c r="Y414" s="52" t="n">
        <v>542</v>
      </c>
      <c r="Z414" s="53" t="inlineStr">
        <is>
          <t>IRISDT0007</t>
        </is>
      </c>
      <c r="AA414" s="53" t="inlineStr">
        <is>
          <t>Employee</t>
        </is>
      </c>
      <c r="AB414" s="53" t="inlineStr">
        <is>
          <t>Active</t>
        </is>
      </c>
      <c r="AC414" s="53" t="inlineStr">
        <is>
          <t>Vasundhara Lella</t>
        </is>
      </c>
      <c r="AD414" s="54" t="n">
        <v>45873</v>
      </c>
      <c r="AE414" s="53" t="inlineStr">
        <is>
          <t>Content Marketer</t>
        </is>
      </c>
      <c r="AF414" s="53" t="inlineStr">
        <is>
          <t>B.Tech</t>
        </is>
      </c>
      <c r="AG414" s="53" t="inlineStr">
        <is>
          <t>Ankita Pathak</t>
        </is>
      </c>
      <c r="AH414" s="53" t="inlineStr">
        <is>
          <t>N-3</t>
        </is>
      </c>
      <c r="AI414" s="53" t="inlineStr">
        <is>
          <t>Individual Contributor</t>
        </is>
      </c>
      <c r="AJ414" s="53" t="inlineStr">
        <is>
          <t>3 years, 3 months, 0 days</t>
        </is>
      </c>
      <c r="AK414" s="53" t="inlineStr">
        <is>
          <t>1 years, 0 months, 21 days</t>
        </is>
      </c>
      <c r="AL414" s="53" t="inlineStr">
        <is>
          <t>Datatech</t>
        </is>
      </c>
      <c r="AM414" s="53" t="inlineStr">
        <is>
          <t>Datatech</t>
        </is>
      </c>
      <c r="AN414" s="53" t="inlineStr">
        <is>
          <t>Marketing</t>
        </is>
      </c>
      <c r="AO414" s="53" t="inlineStr">
        <is>
          <t>Marketing</t>
        </is>
      </c>
      <c r="AP414" s="53" t="inlineStr">
        <is>
          <t>No</t>
        </is>
      </c>
      <c r="AQ414" s="53" t="inlineStr">
        <is>
          <t>Sales, Marketing &amp; Support</t>
        </is>
      </c>
      <c r="AR414" s="53" t="inlineStr">
        <is>
          <t>Marketing</t>
        </is>
      </c>
      <c r="AS414" s="53" t="inlineStr">
        <is>
          <t>Non-technical</t>
        </is>
      </c>
      <c r="AT414" s="53" t="n">
        <v>20</v>
      </c>
      <c r="AU414" s="53" t="inlineStr">
        <is>
          <t>Covered</t>
        </is>
      </c>
      <c r="AV414" s="53" t="n"/>
      <c r="AW414" s="53" t="n"/>
      <c r="AX414" s="53" t="n"/>
      <c r="AY414" s="53" t="n"/>
      <c r="AZ414" s="53" t="n"/>
      <c r="BA414" s="53" t="n"/>
      <c r="BB414" s="53" t="n"/>
      <c r="BC414" s="53" t="n"/>
      <c r="BD414" s="53" t="n"/>
      <c r="BE414" s="53" t="n"/>
      <c r="BF414" s="53" t="n"/>
      <c r="BG414" s="53" t="n"/>
      <c r="BH414" s="53" t="n"/>
      <c r="BI414" s="53" t="n"/>
      <c r="BJ414" s="53" t="n"/>
      <c r="BK414" s="53" t="n"/>
      <c r="BL414" s="53" t="n"/>
      <c r="BM414" s="53" t="n"/>
      <c r="BN414" s="53" t="n"/>
      <c r="BO414" s="53" t="n"/>
      <c r="BP414" s="53" t="n"/>
      <c r="BQ414" s="53" t="n"/>
      <c r="BR414" s="53" t="n"/>
      <c r="BS414" s="53" t="n"/>
      <c r="BT414" s="53" t="n"/>
      <c r="BU414" s="53" t="n"/>
      <c r="BV414" s="53" t="n"/>
      <c r="BW414" s="53" t="n"/>
      <c r="BX414" s="53" t="n"/>
      <c r="BY414" s="53" t="n"/>
      <c r="BZ414" s="53" t="n"/>
      <c r="CA414" s="53" t="n"/>
      <c r="CB414" s="53" t="n"/>
      <c r="CC414" s="53" t="n"/>
      <c r="CD414" s="53" t="n"/>
      <c r="CE414" s="53" t="n"/>
      <c r="CF414" s="53" t="n"/>
      <c r="CG414" s="53" t="n"/>
      <c r="CH414" s="53" t="n"/>
      <c r="CI414" s="53" t="n"/>
      <c r="CJ414" s="53" t="n"/>
      <c r="CK414" s="53" t="n"/>
      <c r="CL414" s="53" t="n"/>
      <c r="CM414" s="53" t="n"/>
      <c r="CN414" s="53" t="n"/>
      <c r="CO414" s="53" t="n"/>
      <c r="CP414" s="53" t="n"/>
      <c r="CQ414" s="53" t="n"/>
      <c r="CR414" s="53" t="n"/>
      <c r="CS414" s="53" t="n"/>
      <c r="CT414" s="53" t="n"/>
      <c r="CU414" s="53" t="n"/>
      <c r="CV414" s="53" t="n"/>
      <c r="CW414" s="53" t="n"/>
      <c r="CX414" s="53" t="n"/>
      <c r="CY414" s="53" t="n"/>
      <c r="CZ414" s="53" t="n"/>
      <c r="DA414" s="53" t="n"/>
      <c r="DB414" s="53" t="n"/>
      <c r="DC414" s="53" t="n"/>
      <c r="DD414" s="53" t="inlineStr">
        <is>
          <t>IRIS2414</t>
        </is>
      </c>
      <c r="DE414" s="53" t="inlineStr">
        <is>
          <t>Employee</t>
        </is>
      </c>
      <c r="DF414" s="53" t="inlineStr">
        <is>
          <t>Active</t>
        </is>
      </c>
      <c r="DG414" s="53" t="inlineStr">
        <is>
          <t>Vasundhara Lella</t>
        </is>
      </c>
      <c r="DH414" s="54" t="n">
        <v>45873</v>
      </c>
      <c r="DI414" s="53" t="inlineStr">
        <is>
          <t>Content Marketer</t>
        </is>
      </c>
      <c r="DJ414" s="53" t="inlineStr">
        <is>
          <t>Marketing &amp; Communications</t>
        </is>
      </c>
      <c r="DK414" s="53" t="inlineStr">
        <is>
          <t>Content Marketing</t>
        </is>
      </c>
      <c r="DL414" s="53" t="inlineStr">
        <is>
          <t>Content Marketer</t>
        </is>
      </c>
      <c r="DM414" s="53" t="inlineStr">
        <is>
          <t>L3 – Professional / Associate</t>
        </is>
      </c>
      <c r="DN414" s="53" t="inlineStr">
        <is>
          <t>B.Tech</t>
        </is>
      </c>
      <c r="DO414" s="53" t="inlineStr">
        <is>
          <t>Ankita Pathak</t>
        </is>
      </c>
      <c r="DP414" s="53" t="inlineStr">
        <is>
          <t>N-3</t>
        </is>
      </c>
      <c r="DQ414" s="53" t="inlineStr">
        <is>
          <t>Individual Contributor</t>
        </is>
      </c>
      <c r="DR414" s="53" t="inlineStr">
        <is>
          <t>3 years, 3 months, 0 days</t>
        </is>
      </c>
      <c r="DS414" s="53" t="inlineStr">
        <is>
          <t>0 years, 10 months, 16 days</t>
        </is>
      </c>
      <c r="DT414" s="53" t="inlineStr">
        <is>
          <t>4 years, 1 months, 16 days</t>
        </is>
      </c>
      <c r="DU414" s="53" t="n"/>
      <c r="DV414" s="53" t="inlineStr">
        <is>
          <t>Datatech</t>
        </is>
      </c>
      <c r="DW414" s="53" t="inlineStr">
        <is>
          <t>Datatech</t>
        </is>
      </c>
      <c r="DX414" s="53" t="inlineStr">
        <is>
          <t>Marketing</t>
        </is>
      </c>
      <c r="DY414" s="53" t="inlineStr">
        <is>
          <t>Marketing</t>
        </is>
      </c>
      <c r="DZ414" s="53" t="inlineStr">
        <is>
          <t>No</t>
        </is>
      </c>
      <c r="EA414" s="53" t="inlineStr">
        <is>
          <t>Sales, Marketing &amp; Support</t>
        </is>
      </c>
      <c r="EB414" s="53" t="inlineStr">
        <is>
          <t>Marketing</t>
        </is>
      </c>
      <c r="EC414" s="53" t="inlineStr">
        <is>
          <t>Non-technical</t>
        </is>
      </c>
      <c r="ED414" s="53" t="inlineStr">
        <is>
          <t>Hyderabad</t>
        </is>
      </c>
      <c r="EE414" s="53" t="n"/>
      <c r="EF414" s="53" t="inlineStr">
        <is>
          <t>a. Organic Traffic Growth - 30% 
b. Organic Keyword Growth - 50% 
c. AI visibility improved by 10 points 
d. Blogs published - 2 blogs a week  
e. Monthly Newsletter - once a month 
f. News &amp; Snippets added on website - 90% within 24-48 hrs of sharing 
g. MSME TV - 2 Webinars a month - Improve participation and registration rate 
h. Testimonials / Humans of MSME on website 
i. Increase in avg. time spent on blog pages. 
j. SemRush analysis - once a week.
k. PR articles published - 12 in a year.
l. Website content to be reviewed and updated regularly.
m. B2B website &amp; blogs - once a week.
n. Jointly own ASO - experiments, keyword updation, etc</t>
        </is>
      </c>
      <c r="EG414" s="53" t="n"/>
      <c r="EH414" s="53" t="n">
        <v>3</v>
      </c>
      <c r="EI414" s="54" t="n">
        <v>46223</v>
      </c>
      <c r="EJ414" s="53" t="inlineStr">
        <is>
          <t>Content &amp; SEO Executive</t>
        </is>
      </c>
      <c r="EK414" s="53" t="inlineStr">
        <is>
          <t>No</t>
        </is>
      </c>
      <c r="EL414" s="53" t="n">
        <v>3</v>
      </c>
      <c r="EM414" s="53" t="inlineStr">
        <is>
          <t>Medium</t>
        </is>
      </c>
      <c r="EN414" s="53" t="inlineStr">
        <is>
          <t>Performance Risk</t>
        </is>
      </c>
      <c r="EO414" s="53" t="inlineStr">
        <is>
          <t>No</t>
        </is>
      </c>
      <c r="EP414" s="53" t="inlineStr">
        <is>
          <t>No</t>
        </is>
      </c>
      <c r="EQ414" s="53" t="inlineStr">
        <is>
          <t>Yes</t>
        </is>
      </c>
      <c r="ER414" s="53" t="n"/>
      <c r="ES414" s="53" t="inlineStr">
        <is>
          <t>SEMRush certification course
SEO Course</t>
        </is>
      </c>
      <c r="ET414" s="53" t="n"/>
      <c r="EU414" s="53" t="n"/>
      <c r="EV414" s="53" t="inlineStr">
        <is>
          <t>All</t>
        </is>
      </c>
      <c r="EW414" s="52" t="n"/>
      <c r="EX414" s="53" t="n"/>
      <c r="EY414" s="53" t="n"/>
      <c r="EZ414" s="53" t="n"/>
      <c r="FA414" s="53" t="n"/>
      <c r="FB414" s="53" t="n"/>
      <c r="FC414" s="53" t="n"/>
      <c r="FD414" s="53" t="inlineStr">
        <is>
          <t>IRIS2414</t>
        </is>
      </c>
      <c r="FE414" s="57" t="inlineStr">
        <is>
          <t>a. Organic Traffic Growth - 30% 
b. Organic Keyword Growth - 50% 
c. AI visibility improved by 10 points 
d. Blogs published - 2 blogs a week  
e. Monthly Newsletter - once a month 
f. News &amp; Snippets added on website - 90% within 24-48 hrs of sharing 
g. MSME TV - 2 Webinars a month - Improve participation and registration rate 
h. Testimonials / Humans of MSME on website 
i. Increase in avg. time spent on blog pages. 
j. SemRush analysis - once a week.
k. PR articles published - 12 in a year.
l. Website content to be reviewed and updated regularly.
m. B2B website &amp; blogs - once a week.
n. Jointly own ASO - experiments, keyword updation, etc</t>
        </is>
      </c>
      <c r="FF414" s="56" t="n"/>
      <c r="FG414" s="56" t="n"/>
      <c r="FH414" s="56" t="inlineStr">
        <is>
          <t>3</t>
        </is>
      </c>
      <c r="FI414" s="56" t="n"/>
      <c r="FJ414" s="56" t="inlineStr">
        <is>
          <t>Received · manager annual</t>
        </is>
      </c>
      <c r="FK414" s="56" t="inlineStr">
        <is>
          <t>Talent Mapping · Datatech</t>
        </is>
      </c>
      <c r="FL414" s="56" t="n">
        <v>20</v>
      </c>
      <c r="FM414" s="32" t="inlineStr">
        <is>
          <t>Full survey answers not in the files received · How We Grow export needed · HR</t>
        </is>
      </c>
      <c r="FN414" s="56" t="inlineStr">
        <is>
          <t>—</t>
        </is>
      </c>
      <c r="FO414" s="56" t="inlineStr">
        <is>
          <t>—</t>
        </is>
      </c>
      <c r="FP414" s="56" t="inlineStr">
        <is>
          <t>—</t>
        </is>
      </c>
      <c r="FQ414" s="56" t="inlineStr">
        <is>
          <t>—</t>
        </is>
      </c>
      <c r="FR414" s="56" t="inlineStr">
        <is>
          <t>Complexity: Evidence reads like A2: Writes blogs, social and webinar content; tracks traffic in Semrush; newsletter and GST calendar → matches the start
Autonomy: Evidence reads like A2: States she needs approvals; drafts the monthly content plan and reworks posts herself → matches the start
Accountability: Evidence reads like A2: own survey / KRA answers · summarised by the rater; not quoted → matches the start
Leadership: Evidence reads like A1: No guiding or leading of others described → matches the start
Business Impact: Moved +0.5: the survey / manager mapping marks it business-critical.</t>
        </is>
      </c>
      <c r="FS414" s="56" t="inlineStr">
        <is>
          <t>Common themes in sub-family holders, all levels' answers: content · creation · brand · marketing · leads · through
Common themes in sub-family holders, all levels' answers: content · blogs · week · research · campaign · assets
Common themes in sub-family holders, all levels' answers: content · media · social · marketing · blogs · campaigns
Common themes in sub-family holders, all levels' answers: content · social media · website · accountable · marketing · brand
Common themes in sub-family holders, all levels' answers: seo · blogs · content
If the work is missed · role-holders' themes: ranking.</t>
        </is>
      </c>
      <c r="FT414" s="56" t="inlineStr">
        <is>
          <t>Self-identified: Marketing &amp; content
For the next role: Marketing &amp; content</t>
        </is>
      </c>
      <c r="FU414" s="32" t="inlineStr">
        <is>
          <t>Full survey answers not in the files received · How We Grow export needed · HR</t>
        </is>
      </c>
    </row>
    <row r="415" ht="90" customHeight="1">
      <c r="A415" s="51" t="inlineStr">
        <is>
          <t>◂ Back</t>
        </is>
      </c>
      <c r="B415" s="29" t="inlineStr">
        <is>
          <t>Mapped</t>
        </is>
      </c>
      <c r="C415" s="28" t="inlineStr">
        <is>
          <t>Datatech</t>
        </is>
      </c>
      <c r="D415" s="29" t="inlineStr">
        <is>
          <t>IRISDTC006</t>
        </is>
      </c>
      <c r="E415" s="29" t="inlineStr">
        <is>
          <t>Vaishnavi Dhuri</t>
        </is>
      </c>
      <c r="F415" s="29" t="inlineStr">
        <is>
          <t>Marketing</t>
        </is>
      </c>
      <c r="G415" s="29" t="inlineStr">
        <is>
          <t>Graphic Designer and Video Editor</t>
        </is>
      </c>
      <c r="H415" s="29" t="inlineStr">
        <is>
          <t>Designer</t>
        </is>
      </c>
      <c r="I415" s="29" t="inlineStr">
        <is>
          <t>Not in current mapping files</t>
        </is>
      </c>
      <c r="J415" s="29" t="inlineStr">
        <is>
          <t>A2</t>
        </is>
      </c>
      <c r="K415" s="29" t="inlineStr">
        <is>
          <t>● Newly mapped</t>
        </is>
      </c>
      <c r="L415" s="29" t="inlineStr">
        <is>
          <t>Design &amp; Creative</t>
        </is>
      </c>
      <c r="M415" s="29" t="inlineStr">
        <is>
          <t>Brand, Graphic &amp; Video Design</t>
        </is>
      </c>
      <c r="N415" s="29" t="inlineStr">
        <is>
          <t>• Total experience · outside + at IRIS — HR — HRIS
• Confirm prior experience · provisional placement — HR</t>
        </is>
      </c>
      <c r="O415" s="29" t="n">
        <v>20</v>
      </c>
      <c r="P415" s="28" t="inlineStr">
        <is>
          <t>P1–P2</t>
        </is>
      </c>
      <c r="Q415" s="29" t="inlineStr">
        <is>
          <t>Entry / Developing</t>
        </is>
      </c>
      <c r="R415" s="29" t="inlineStr">
        <is>
          <t>2 Assist</t>
        </is>
      </c>
      <c r="S415" s="29" t="inlineStr">
        <is>
          <t>0–2 yrs</t>
        </is>
      </c>
      <c r="T415" s="29" t="inlineStr">
        <is>
          <t>1–3 · 0–3</t>
        </is>
      </c>
      <c r="U415" s="29" t="inlineStr">
        <is>
          <t>Junior Designer / Designer</t>
        </is>
      </c>
      <c r="V415" s="29" t="inlineStr">
        <is>
          <t>IRIS Vs Competitor Benchmark — UX / design ladder: Junior Designer</t>
        </is>
      </c>
      <c r="W415" s="29" t="inlineStr">
        <is>
          <t>UX career ladder Junior → Designer → Senior → Lead → Principal; WCAG accessibility</t>
        </is>
      </c>
      <c r="X415" s="29" t="inlineStr">
        <is>
          <t>Core 2 · Future 2 · Functional 2 · Leadership not scored</t>
        </is>
      </c>
      <c r="Y415" s="52" t="n">
        <v>562</v>
      </c>
      <c r="Z415" s="53" t="inlineStr">
        <is>
          <t>IRISDTC006</t>
        </is>
      </c>
      <c r="AA415" s="53" t="inlineStr">
        <is>
          <t>On Contract</t>
        </is>
      </c>
      <c r="AB415" s="53" t="inlineStr">
        <is>
          <t>Active</t>
        </is>
      </c>
      <c r="AC415" s="53" t="inlineStr">
        <is>
          <t>Vaishnavi Dhuri</t>
        </is>
      </c>
      <c r="AD415" s="54" t="n">
        <v>46252</v>
      </c>
      <c r="AE415" s="53" t="inlineStr">
        <is>
          <t>Graphic Designer and Video Editor</t>
        </is>
      </c>
      <c r="AF415" s="53" t="inlineStr">
        <is>
          <t>Bachelor of Science</t>
        </is>
      </c>
      <c r="AG415" s="53" t="inlineStr">
        <is>
          <t>Ankita Pathak</t>
        </is>
      </c>
      <c r="AH415" s="53" t="inlineStr">
        <is>
          <t>N-3</t>
        </is>
      </c>
      <c r="AI415" s="53" t="inlineStr">
        <is>
          <t>Individual Contributor</t>
        </is>
      </c>
      <c r="AJ415" s="53" t="n"/>
      <c r="AK415" s="53" t="n"/>
      <c r="AL415" s="53" t="inlineStr">
        <is>
          <t>Datatech</t>
        </is>
      </c>
      <c r="AM415" s="53" t="inlineStr">
        <is>
          <t>Datatech</t>
        </is>
      </c>
      <c r="AN415" s="53" t="inlineStr">
        <is>
          <t>Marketing</t>
        </is>
      </c>
      <c r="AO415" s="53" t="inlineStr">
        <is>
          <t>Marketing</t>
        </is>
      </c>
      <c r="AP415" s="53" t="inlineStr">
        <is>
          <t>No</t>
        </is>
      </c>
      <c r="AQ415" s="53" t="inlineStr">
        <is>
          <t>Sales, Marketing &amp; Support</t>
        </is>
      </c>
      <c r="AR415" s="53" t="inlineStr">
        <is>
          <t>Marketing</t>
        </is>
      </c>
      <c r="AS415" s="53" t="inlineStr">
        <is>
          <t>Non-technical</t>
        </is>
      </c>
      <c r="AT415" s="53" t="n">
        <v>20</v>
      </c>
      <c r="AU415" s="53" t="inlineStr">
        <is>
          <t>Covered</t>
        </is>
      </c>
      <c r="AV415" s="53" t="n"/>
      <c r="AW415" s="53" t="n"/>
      <c r="AX415" s="53" t="n"/>
      <c r="AY415" s="53" t="n"/>
      <c r="AZ415" s="53" t="n"/>
      <c r="BA415" s="53" t="n"/>
      <c r="BB415" s="53" t="n"/>
      <c r="BC415" s="53" t="n"/>
      <c r="BD415" s="53" t="n"/>
      <c r="BE415" s="53" t="n"/>
      <c r="BF415" s="53" t="n"/>
      <c r="BG415" s="53" t="n"/>
      <c r="BH415" s="53" t="n"/>
      <c r="BI415" s="53" t="n"/>
      <c r="BJ415" s="53" t="n"/>
      <c r="BK415" s="53" t="n"/>
      <c r="BL415" s="53" t="n"/>
      <c r="BM415" s="53" t="n"/>
      <c r="BN415" s="53" t="n"/>
      <c r="BO415" s="53" t="n"/>
      <c r="BP415" s="53" t="n"/>
      <c r="BQ415" s="53" t="n"/>
      <c r="BR415" s="53" t="n"/>
      <c r="BS415" s="53" t="n"/>
      <c r="BT415" s="53" t="n"/>
      <c r="BU415" s="53" t="n"/>
      <c r="BV415" s="53" t="n"/>
      <c r="BW415" s="53" t="n"/>
      <c r="BX415" s="53" t="n"/>
      <c r="BY415" s="53" t="n"/>
      <c r="BZ415" s="53" t="n"/>
      <c r="CA415" s="53" t="n"/>
      <c r="CB415" s="53" t="n"/>
      <c r="CC415" s="53" t="n"/>
      <c r="CD415" s="53" t="n"/>
      <c r="CE415" s="53" t="n"/>
      <c r="CF415" s="53" t="n"/>
      <c r="CG415" s="53" t="n"/>
      <c r="CH415" s="53" t="n"/>
      <c r="CI415" s="53" t="n"/>
      <c r="CJ415" s="53" t="n"/>
      <c r="CK415" s="53" t="n"/>
      <c r="CL415" s="53" t="n"/>
      <c r="CM415" s="53" t="n"/>
      <c r="CN415" s="53" t="n"/>
      <c r="CO415" s="53" t="n"/>
      <c r="CP415" s="53" t="n"/>
      <c r="CQ415" s="53" t="n"/>
      <c r="CR415" s="53" t="n"/>
      <c r="CS415" s="53" t="n"/>
      <c r="CT415" s="53" t="n"/>
      <c r="CU415" s="53" t="n"/>
      <c r="CV415" s="53" t="n"/>
      <c r="CW415" s="53" t="n"/>
      <c r="CX415" s="53" t="n"/>
      <c r="CY415" s="53" t="n"/>
      <c r="CZ415" s="53" t="n"/>
      <c r="DA415" s="53" t="n"/>
      <c r="DB415" s="53" t="n"/>
      <c r="DC415" s="53" t="n"/>
      <c r="DD415" s="53" t="n"/>
      <c r="DE415" s="53" t="n"/>
      <c r="DF415" s="53" t="n"/>
      <c r="DG415" s="53" t="n"/>
      <c r="DH415" s="53" t="n"/>
      <c r="DI415" s="53" t="n"/>
      <c r="DJ415" s="53" t="n"/>
      <c r="DK415" s="53" t="n"/>
      <c r="DL415" s="53" t="n"/>
      <c r="DM415" s="53" t="n"/>
      <c r="DN415" s="53" t="n"/>
      <c r="DO415" s="53" t="n"/>
      <c r="DP415" s="53" t="n"/>
      <c r="DQ415" s="53" t="n"/>
      <c r="DR415" s="53" t="n"/>
      <c r="DS415" s="53" t="n"/>
      <c r="DT415" s="53" t="n"/>
      <c r="DU415" s="53" t="n"/>
      <c r="DV415" s="53" t="n"/>
      <c r="DW415" s="53" t="n"/>
      <c r="DX415" s="53" t="n"/>
      <c r="DY415" s="53" t="n"/>
      <c r="DZ415" s="53" t="n"/>
      <c r="EA415" s="53" t="n"/>
      <c r="EB415" s="53" t="n"/>
      <c r="EC415" s="53" t="n"/>
      <c r="ED415" s="53" t="n"/>
      <c r="EE415" s="53" t="n"/>
      <c r="EF415" s="53" t="n"/>
      <c r="EG415" s="53" t="n"/>
      <c r="EH415" s="53" t="n"/>
      <c r="EI415" s="53" t="n"/>
      <c r="EJ415" s="53" t="n"/>
      <c r="EK415" s="53" t="n"/>
      <c r="EL415" s="53" t="n"/>
      <c r="EM415" s="53" t="n"/>
      <c r="EN415" s="53" t="n"/>
      <c r="EO415" s="53" t="n"/>
      <c r="EP415" s="53" t="n"/>
      <c r="EQ415" s="53" t="n"/>
      <c r="ER415" s="53" t="n"/>
      <c r="ES415" s="53" t="n"/>
      <c r="ET415" s="53" t="n"/>
      <c r="EU415" s="53" t="n"/>
      <c r="EV415" s="53" t="n"/>
      <c r="EW415" s="52" t="n"/>
      <c r="EX415" s="53" t="n"/>
      <c r="EY415" s="53" t="n"/>
      <c r="EZ415" s="53" t="n"/>
      <c r="FA415" s="53" t="n"/>
      <c r="FB415" s="53" t="n"/>
      <c r="FC415" s="53" t="n"/>
      <c r="FD415" s="53" t="n"/>
      <c r="FE415" s="55" t="inlineStr">
        <is>
          <t>KRAs not received · manager to supply</t>
        </is>
      </c>
      <c r="FF415" s="56" t="n"/>
      <c r="FG415" s="56" t="n"/>
      <c r="FH415" s="56" t="n"/>
      <c r="FI415" s="56" t="n"/>
      <c r="FJ415" s="32" t="inlineStr">
        <is>
          <t>KRAs not received · manager to supply</t>
        </is>
      </c>
      <c r="FK415" s="56" t="n"/>
      <c r="FL415" s="56" t="n">
        <v>20</v>
      </c>
      <c r="FM415" s="32" t="inlineStr">
        <is>
          <t>Full survey answers not in the files received · How We Grow export needed · HR</t>
        </is>
      </c>
      <c r="FN415" s="56" t="inlineStr">
        <is>
          <t>—</t>
        </is>
      </c>
      <c r="FO415" s="56" t="inlineStr">
        <is>
          <t>—</t>
        </is>
      </c>
      <c r="FP415" s="56" t="inlineStr">
        <is>
          <t>—</t>
        </is>
      </c>
      <c r="FQ415" s="56" t="inlineStr">
        <is>
          <t>—</t>
        </is>
      </c>
      <c r="FR415" s="56" t="inlineStr">
        <is>
          <t>Complexity: Evidence reads like A2: Creates social media creatives and edits videos, including AI videos in After Effects → matches the start
Autonomy: Evidence reads like A1: States that approvals are needed; no independent decisions named → moved down 0.5
Accountability: Evidence reads like A2: Creatives delivered jointly with a co-worker; no personal accountability claimed → matches the start
Leadership: Evidence reads like A1: No guiding or leading of others described → matches the start
Business Impact: No survey or manager-mapping signal on criticality: kept at the start point.</t>
        </is>
      </c>
      <c r="FS415" s="56" t="inlineStr">
        <is>
          <t>Common themes in sub-family holders, all levels' answers: media · social · collaterals · designing · shobhan · reports
Common themes in sub-family holders, all levels' answers: sales · event · collaterals
Common themes in sub-family holders, all levels' answers: decks · assets · video · event · presentation · social
Common themes in sub-family holders, all levels' answers: visual · design · presentation · solution
Common themes in sub-family holders, all levels' answers: design
If the work is missed · role-holders' themes: sales.</t>
        </is>
      </c>
      <c r="FT415" s="56" t="inlineStr">
        <is>
          <t>Self-identified: Product &amp; tool knowledge · Marketing &amp; content
For the next role: Product &amp; tool knowledge · Marketing &amp; content</t>
        </is>
      </c>
      <c r="FU415" s="32" t="inlineStr">
        <is>
          <t>Full survey answers not in the files received · How We Grow export needed · HR</t>
        </is>
      </c>
    </row>
    <row r="416" ht="90" customHeight="1">
      <c r="A416" s="51" t="inlineStr">
        <is>
          <t>◂ Back</t>
        </is>
      </c>
      <c r="B416" s="29" t="inlineStr">
        <is>
          <t>Mapped</t>
        </is>
      </c>
      <c r="C416" s="28" t="inlineStr">
        <is>
          <t>Datatech</t>
        </is>
      </c>
      <c r="D416" s="29" t="inlineStr">
        <is>
          <t>IRISDT0008</t>
        </is>
      </c>
      <c r="E416" s="29" t="inlineStr">
        <is>
          <t>Nilesh Majumdar</t>
        </is>
      </c>
      <c r="F416" s="29" t="inlineStr">
        <is>
          <t>Product Management</t>
        </is>
      </c>
      <c r="G416" s="29" t="inlineStr">
        <is>
          <t>Senior Product Manager</t>
        </is>
      </c>
      <c r="H416" s="29" t="inlineStr">
        <is>
          <t>Product Manager</t>
        </is>
      </c>
      <c r="I416" s="29" t="inlineStr">
        <is>
          <t>L5 – Manager</t>
        </is>
      </c>
      <c r="J416" s="29" t="inlineStr">
        <is>
          <t>B2</t>
        </is>
      </c>
      <c r="K416" s="29" t="inlineStr">
        <is>
          <t>• Same level</t>
        </is>
      </c>
      <c r="L416" s="29" t="inlineStr">
        <is>
          <t>Product Management</t>
        </is>
      </c>
      <c r="M416" s="29" t="inlineStr">
        <is>
          <t>Product Management</t>
        </is>
      </c>
      <c r="N416" s="29" t="inlineStr">
        <is>
          <t>• Confirm structure behind the senior title · org chart — Business head</t>
        </is>
      </c>
      <c r="O416" s="29" t="n">
        <v>20</v>
      </c>
      <c r="P416" s="28" t="inlineStr">
        <is>
          <t>P4 / M3</t>
        </is>
      </c>
      <c r="Q416" s="29" t="inlineStr">
        <is>
          <t>Senior / Manager</t>
        </is>
      </c>
      <c r="R416" s="29" t="inlineStr">
        <is>
          <t>4–5</t>
        </is>
      </c>
      <c r="S416" s="29" t="inlineStr">
        <is>
          <t>6–9 yrs</t>
        </is>
      </c>
      <c r="T416" s="29" t="inlineStr">
        <is>
          <t>7–10 · 6–11</t>
        </is>
      </c>
      <c r="U416" s="29" t="inlineStr">
        <is>
          <t>Manager</t>
        </is>
      </c>
      <c r="V416" s="29" t="inlineStr">
        <is>
          <t>IRIS Vs Competitor Benchmark — SaaS product ladder: Senior PM</t>
        </is>
      </c>
      <c r="W416" s="29" t="inlineStr">
        <is>
          <t>Pragmatic Institute Framework · 37 activities, 7 categories; AIPMM</t>
        </is>
      </c>
      <c r="X416" s="29" t="inlineStr">
        <is>
          <t>Core 3 · Future 3 · Functional 4 · Leadership 3</t>
        </is>
      </c>
      <c r="Y416" s="52" t="n">
        <v>543</v>
      </c>
      <c r="Z416" s="53" t="inlineStr">
        <is>
          <t>IRISDT0008</t>
        </is>
      </c>
      <c r="AA416" s="53" t="inlineStr">
        <is>
          <t>Employee</t>
        </is>
      </c>
      <c r="AB416" s="53" t="inlineStr">
        <is>
          <t>Active</t>
        </is>
      </c>
      <c r="AC416" s="53" t="inlineStr">
        <is>
          <t>Nilesh Majumdar</t>
        </is>
      </c>
      <c r="AD416" s="54" t="n">
        <v>45873</v>
      </c>
      <c r="AE416" s="53" t="inlineStr">
        <is>
          <t>Senior Product Manager</t>
        </is>
      </c>
      <c r="AF416" s="53" t="inlineStr">
        <is>
          <t>MBA</t>
        </is>
      </c>
      <c r="AG416" s="53" t="inlineStr">
        <is>
          <t>Shilpa Dhobale</t>
        </is>
      </c>
      <c r="AH416" s="53" t="inlineStr">
        <is>
          <t>N-2</t>
        </is>
      </c>
      <c r="AI416" s="53" t="inlineStr">
        <is>
          <t>Manager</t>
        </is>
      </c>
      <c r="AJ416" s="53" t="inlineStr">
        <is>
          <t>6 years, 0 months, 0 days</t>
        </is>
      </c>
      <c r="AK416" s="53" t="inlineStr">
        <is>
          <t>1 years, 0 months, 21 days</t>
        </is>
      </c>
      <c r="AL416" s="53" t="inlineStr">
        <is>
          <t>Datatech</t>
        </is>
      </c>
      <c r="AM416" s="53" t="inlineStr">
        <is>
          <t>Datatech</t>
        </is>
      </c>
      <c r="AN416" s="53" t="inlineStr">
        <is>
          <t>Product Management</t>
        </is>
      </c>
      <c r="AO416" s="53" t="inlineStr">
        <is>
          <t>Client Engagement</t>
        </is>
      </c>
      <c r="AP416" s="53" t="inlineStr">
        <is>
          <t>No</t>
        </is>
      </c>
      <c r="AQ416" s="53" t="inlineStr">
        <is>
          <t>Client Engagement</t>
        </is>
      </c>
      <c r="AR416" s="53" t="inlineStr">
        <is>
          <t>Product Management</t>
        </is>
      </c>
      <c r="AS416" s="53" t="inlineStr">
        <is>
          <t>Technical · BA, PM and QA</t>
        </is>
      </c>
      <c r="AT416" s="53" t="n">
        <v>20</v>
      </c>
      <c r="AU416" s="53" t="inlineStr">
        <is>
          <t>Covered</t>
        </is>
      </c>
      <c r="AV416" s="53" t="n"/>
      <c r="AW416" s="53" t="n"/>
      <c r="AX416" s="53" t="n"/>
      <c r="AY416" s="53" t="n"/>
      <c r="AZ416" s="53" t="n"/>
      <c r="BA416" s="53" t="n"/>
      <c r="BB416" s="53" t="n"/>
      <c r="BC416" s="53" t="n"/>
      <c r="BD416" s="53" t="n"/>
      <c r="BE416" s="53" t="n"/>
      <c r="BF416" s="53" t="n"/>
      <c r="BG416" s="53" t="n"/>
      <c r="BH416" s="53" t="n"/>
      <c r="BI416" s="53" t="n"/>
      <c r="BJ416" s="53" t="n"/>
      <c r="BK416" s="53" t="n"/>
      <c r="BL416" s="53" t="n"/>
      <c r="BM416" s="53" t="n"/>
      <c r="BN416" s="53" t="n"/>
      <c r="BO416" s="53" t="n"/>
      <c r="BP416" s="53" t="n"/>
      <c r="BQ416" s="53" t="n"/>
      <c r="BR416" s="53" t="n"/>
      <c r="BS416" s="53" t="n"/>
      <c r="BT416" s="53" t="n"/>
      <c r="BU416" s="53" t="n"/>
      <c r="BV416" s="53" t="n"/>
      <c r="BW416" s="53" t="n"/>
      <c r="BX416" s="53" t="n"/>
      <c r="BY416" s="53" t="n"/>
      <c r="BZ416" s="53" t="n"/>
      <c r="CA416" s="53" t="n"/>
      <c r="CB416" s="53" t="n"/>
      <c r="CC416" s="53" t="n"/>
      <c r="CD416" s="53" t="n"/>
      <c r="CE416" s="53" t="n"/>
      <c r="CF416" s="53" t="n"/>
      <c r="CG416" s="53" t="n"/>
      <c r="CH416" s="53" t="n"/>
      <c r="CI416" s="53" t="n"/>
      <c r="CJ416" s="53" t="n"/>
      <c r="CK416" s="53" t="n"/>
      <c r="CL416" s="53" t="n"/>
      <c r="CM416" s="53" t="n"/>
      <c r="CN416" s="53" t="n"/>
      <c r="CO416" s="53" t="n"/>
      <c r="CP416" s="53" t="n"/>
      <c r="CQ416" s="53" t="n"/>
      <c r="CR416" s="53" t="n"/>
      <c r="CS416" s="53" t="n"/>
      <c r="CT416" s="53" t="n"/>
      <c r="CU416" s="53" t="n"/>
      <c r="CV416" s="53" t="n"/>
      <c r="CW416" s="53" t="n"/>
      <c r="CX416" s="53" t="n"/>
      <c r="CY416" s="53" t="n"/>
      <c r="CZ416" s="53" t="n"/>
      <c r="DA416" s="53" t="n"/>
      <c r="DB416" s="53" t="n"/>
      <c r="DC416" s="53" t="n"/>
      <c r="DD416" s="53" t="inlineStr">
        <is>
          <t>IRIS2415</t>
        </is>
      </c>
      <c r="DE416" s="53" t="inlineStr">
        <is>
          <t>Employee</t>
        </is>
      </c>
      <c r="DF416" s="53" t="inlineStr">
        <is>
          <t>Active</t>
        </is>
      </c>
      <c r="DG416" s="53" t="inlineStr">
        <is>
          <t>Nilesh Majumdar</t>
        </is>
      </c>
      <c r="DH416" s="54" t="n">
        <v>45873</v>
      </c>
      <c r="DI416" s="53" t="inlineStr">
        <is>
          <t>Senior Product Manager</t>
        </is>
      </c>
      <c r="DJ416" s="53" t="inlineStr">
        <is>
          <t>Product Management</t>
        </is>
      </c>
      <c r="DK416" s="53" t="inlineStr">
        <is>
          <t>Product Management</t>
        </is>
      </c>
      <c r="DL416" s="53" t="inlineStr">
        <is>
          <t>Senior Product Manager</t>
        </is>
      </c>
      <c r="DM416" s="53" t="inlineStr">
        <is>
          <t>L5 – Manager</t>
        </is>
      </c>
      <c r="DN416" s="53" t="inlineStr">
        <is>
          <t>MBA</t>
        </is>
      </c>
      <c r="DO416" s="53" t="inlineStr">
        <is>
          <t>Shilpa Dhobale</t>
        </is>
      </c>
      <c r="DP416" s="53" t="inlineStr">
        <is>
          <t>N-2</t>
        </is>
      </c>
      <c r="DQ416" s="53" t="inlineStr">
        <is>
          <t>Manager</t>
        </is>
      </c>
      <c r="DR416" s="53" t="inlineStr">
        <is>
          <t>6 years, 0 months, 0 days</t>
        </is>
      </c>
      <c r="DS416" s="53" t="inlineStr">
        <is>
          <t>0 years, 10 months, 16 days</t>
        </is>
      </c>
      <c r="DT416" s="53" t="inlineStr">
        <is>
          <t>6 years, 10 months, 16 days</t>
        </is>
      </c>
      <c r="DU416" s="53" t="n">
        <v>0.87716894977169</v>
      </c>
      <c r="DV416" s="53" t="inlineStr">
        <is>
          <t>Datatech</t>
        </is>
      </c>
      <c r="DW416" s="53" t="inlineStr">
        <is>
          <t>Datatech</t>
        </is>
      </c>
      <c r="DX416" s="53" t="inlineStr">
        <is>
          <t>Product Management</t>
        </is>
      </c>
      <c r="DY416" s="53" t="inlineStr">
        <is>
          <t>Client Engagement</t>
        </is>
      </c>
      <c r="DZ416" s="53" t="inlineStr">
        <is>
          <t>No</t>
        </is>
      </c>
      <c r="EA416" s="53" t="inlineStr">
        <is>
          <t>Client Engagement</t>
        </is>
      </c>
      <c r="EB416" s="53" t="inlineStr">
        <is>
          <t>Product Management</t>
        </is>
      </c>
      <c r="EC416" s="53" t="inlineStr">
        <is>
          <t>Technical · BA, PM and QA</t>
        </is>
      </c>
      <c r="ED416" s="53" t="inlineStr">
        <is>
          <t>Turbhe. Shifting to Kolkata for some time for personal reasons</t>
        </is>
      </c>
      <c r="EE416" s="53" t="n"/>
      <c r="EF416" s="53" t="n"/>
      <c r="EG416" s="53" t="n"/>
      <c r="EH416" s="53" t="n">
        <v>3</v>
      </c>
      <c r="EI416" s="53" t="n"/>
      <c r="EJ416" s="53" t="inlineStr">
        <is>
          <t>Senior Product Manager</t>
        </is>
      </c>
      <c r="EK416" s="53" t="inlineStr">
        <is>
          <t>No</t>
        </is>
      </c>
      <c r="EL416" s="53" t="n">
        <v>3</v>
      </c>
      <c r="EM416" s="53" t="n">
        <v>3</v>
      </c>
      <c r="EN416" s="53" t="inlineStr">
        <is>
          <t>Future Leader</t>
        </is>
      </c>
      <c r="EO416" s="53" t="inlineStr">
        <is>
          <t>No</t>
        </is>
      </c>
      <c r="EP416" s="53" t="inlineStr">
        <is>
          <t>Yes</t>
        </is>
      </c>
      <c r="EQ416" s="53" t="inlineStr">
        <is>
          <t>Yes</t>
        </is>
      </c>
      <c r="ER416" s="53" t="n"/>
      <c r="ES416" s="53" t="n"/>
      <c r="ET416" s="53" t="n"/>
      <c r="EU416" s="53" t="n"/>
      <c r="EV416" s="53" t="inlineStr">
        <is>
          <t>All</t>
        </is>
      </c>
      <c r="EW416" s="52" t="n"/>
      <c r="EX416" s="53" t="n"/>
      <c r="EY416" s="53" t="n"/>
      <c r="EZ416" s="53" t="n"/>
      <c r="FA416" s="53" t="n"/>
      <c r="FB416" s="53" t="n"/>
      <c r="FC416" s="53" t="n"/>
      <c r="FD416" s="53" t="inlineStr">
        <is>
          <t>IRIS2415</t>
        </is>
      </c>
      <c r="FE416" s="55" t="inlineStr">
        <is>
          <t>KRAs not received · manager to supply</t>
        </is>
      </c>
      <c r="FF416" s="56" t="n"/>
      <c r="FG416" s="56" t="n"/>
      <c r="FH416" s="56" t="inlineStr">
        <is>
          <t>3</t>
        </is>
      </c>
      <c r="FI416" s="56" t="n"/>
      <c r="FJ416" s="32" t="inlineStr">
        <is>
          <t>KRAs not received · manager to supply</t>
        </is>
      </c>
      <c r="FK416" s="56" t="inlineStr">
        <is>
          <t>Talent Mapping · Datatech</t>
        </is>
      </c>
      <c r="FL416" s="56" t="n">
        <v>20</v>
      </c>
      <c r="FM416" s="32" t="inlineStr">
        <is>
          <t>Full survey answers not in the files received · How We Grow export needed · HR</t>
        </is>
      </c>
      <c r="FN416" s="56" t="inlineStr">
        <is>
          <t>—</t>
        </is>
      </c>
      <c r="FO416" s="56" t="inlineStr">
        <is>
          <t>—</t>
        </is>
      </c>
      <c r="FP416" s="56" t="inlineStr">
        <is>
          <t>—</t>
        </is>
      </c>
      <c r="FQ416" s="56" t="inlineStr">
        <is>
          <t>—</t>
        </is>
      </c>
      <c r="FR416" s="56" t="inlineStr">
        <is>
          <t>Complexity: Evidence reads like B3: Runs several products for small businesses, lenders and corporates on regulated data; pricing, unit economics → matches the start
Autonomy: Evidence reads like B3: Sets the product roadmap and prioritises across products; decides what gets built → matches the start
Accountability: Evidence reads like B3: Owns product adoption, retention and product revenue; answerable for PMs' decisions → moved up 0.5
Leadership: Evidence reads like B2: Leads the PM team; six direct reports → matches the start
Business Impact: Moved +0.5: the survey / manager mapping marks it business-critical.</t>
        </is>
      </c>
      <c r="FS416" s="56" t="inlineStr">
        <is>
          <t>Common themes in role-holders' answers: product · market · delivery · business · revenue
Common themes in role-holders' answers: product · implementation · client · management · delivery
Common themes in role-holders' answers: product · revenue
Common themes in role-holders' answers: product · quality · delivery · revenue
Common themes in role-holders' answers: research
If the work is missed · role-holders' themes: delays · client · revenue.
Measured on · manager-set KRA themes: development participation · cash · market requirements · tech learning · support organizational · profitability.</t>
        </is>
      </c>
      <c r="FT416" s="56" t="inlineStr">
        <is>
          <t>Self-identified: Product &amp; tool knowledge · Broader exposure &amp; ownership
For the next role: Product &amp; tool knowledge · Broader exposure &amp; ownership</t>
        </is>
      </c>
      <c r="FU416" s="32" t="inlineStr">
        <is>
          <t>Full survey answers not in the files received · How We Grow export needed · HR</t>
        </is>
      </c>
    </row>
    <row r="417" ht="90" customHeight="1">
      <c r="A417" s="51" t="inlineStr">
        <is>
          <t>◂ Back</t>
        </is>
      </c>
      <c r="B417" s="29" t="inlineStr">
        <is>
          <t>Mapped</t>
        </is>
      </c>
      <c r="C417" s="28" t="inlineStr">
        <is>
          <t>Datatech</t>
        </is>
      </c>
      <c r="D417" s="29" t="inlineStr">
        <is>
          <t>IRISDT0010</t>
        </is>
      </c>
      <c r="E417" s="29" t="inlineStr">
        <is>
          <t>Piyush Raj</t>
        </is>
      </c>
      <c r="F417" s="29" t="inlineStr">
        <is>
          <t>Product Management</t>
        </is>
      </c>
      <c r="G417" s="29" t="inlineStr">
        <is>
          <t>Product Manager</t>
        </is>
      </c>
      <c r="H417" s="29" t="inlineStr">
        <is>
          <t>Product Manager</t>
        </is>
      </c>
      <c r="I417" s="29" t="inlineStr">
        <is>
          <t>L5 – Manager</t>
        </is>
      </c>
      <c r="J417" s="29" t="inlineStr">
        <is>
          <t>B2</t>
        </is>
      </c>
      <c r="K417" s="29" t="inlineStr">
        <is>
          <t>• Same level</t>
        </is>
      </c>
      <c r="L417" s="29" t="inlineStr">
        <is>
          <t>Product Management</t>
        </is>
      </c>
      <c r="M417" s="29" t="inlineStr">
        <is>
          <t>Product Management</t>
        </is>
      </c>
      <c r="N417" s="29" t="n"/>
      <c r="O417" s="29" t="n">
        <v>20</v>
      </c>
      <c r="P417" s="28" t="inlineStr">
        <is>
          <t>P4 / M3</t>
        </is>
      </c>
      <c r="Q417" s="29" t="inlineStr">
        <is>
          <t>Senior / Manager</t>
        </is>
      </c>
      <c r="R417" s="29" t="inlineStr">
        <is>
          <t>4–5</t>
        </is>
      </c>
      <c r="S417" s="29" t="inlineStr">
        <is>
          <t>6–9 yrs</t>
        </is>
      </c>
      <c r="T417" s="29" t="inlineStr">
        <is>
          <t>7–10 · 6–11</t>
        </is>
      </c>
      <c r="U417" s="29" t="inlineStr">
        <is>
          <t>Senior Product Manager</t>
        </is>
      </c>
      <c r="V417" s="29" t="inlineStr">
        <is>
          <t>IRIS Vs Competitor Benchmark — SaaS product ladder: Senior PM</t>
        </is>
      </c>
      <c r="W417" s="29" t="inlineStr">
        <is>
          <t>Pragmatic Institute Framework · 37 activities, 7 categories; AIPMM</t>
        </is>
      </c>
      <c r="X417" s="29" t="inlineStr">
        <is>
          <t>Core 3 · Future 3 · Functional 4 · Leadership 2</t>
        </is>
      </c>
      <c r="Y417" s="52" t="n">
        <v>545</v>
      </c>
      <c r="Z417" s="53" t="inlineStr">
        <is>
          <t>IRISDT0010</t>
        </is>
      </c>
      <c r="AA417" s="53" t="inlineStr">
        <is>
          <t>Employee</t>
        </is>
      </c>
      <c r="AB417" s="53" t="inlineStr">
        <is>
          <t>Active</t>
        </is>
      </c>
      <c r="AC417" s="53" t="inlineStr">
        <is>
          <t>Piyush Raj</t>
        </is>
      </c>
      <c r="AD417" s="54" t="n">
        <v>45894</v>
      </c>
      <c r="AE417" s="53" t="inlineStr">
        <is>
          <t>Product Manager</t>
        </is>
      </c>
      <c r="AF417" s="53" t="inlineStr">
        <is>
          <t>PGDM</t>
        </is>
      </c>
      <c r="AG417" s="53" t="inlineStr">
        <is>
          <t>Nilesh Majumdar</t>
        </is>
      </c>
      <c r="AH417" s="53" t="inlineStr">
        <is>
          <t>N-3</t>
        </is>
      </c>
      <c r="AI417" s="53" t="inlineStr">
        <is>
          <t>Individual Contributor</t>
        </is>
      </c>
      <c r="AJ417" s="53" t="inlineStr">
        <is>
          <t>7 years, 0 months, 0 days</t>
        </is>
      </c>
      <c r="AK417" s="53" t="inlineStr">
        <is>
          <t>1 years, 0 months, 0 days</t>
        </is>
      </c>
      <c r="AL417" s="53" t="inlineStr">
        <is>
          <t>Datatech</t>
        </is>
      </c>
      <c r="AM417" s="53" t="inlineStr">
        <is>
          <t>Datatech</t>
        </is>
      </c>
      <c r="AN417" s="53" t="inlineStr">
        <is>
          <t>Product Management</t>
        </is>
      </c>
      <c r="AO417" s="53" t="inlineStr">
        <is>
          <t>Client Engagement</t>
        </is>
      </c>
      <c r="AP417" s="53" t="inlineStr">
        <is>
          <t>No</t>
        </is>
      </c>
      <c r="AQ417" s="53" t="inlineStr">
        <is>
          <t>Client Engagement</t>
        </is>
      </c>
      <c r="AR417" s="53" t="inlineStr">
        <is>
          <t>Product Management</t>
        </is>
      </c>
      <c r="AS417" s="53" t="inlineStr">
        <is>
          <t>Technical · BA, PM and QA</t>
        </is>
      </c>
      <c r="AT417" s="53" t="n">
        <v>20</v>
      </c>
      <c r="AU417" s="53" t="inlineStr">
        <is>
          <t>Covered</t>
        </is>
      </c>
      <c r="AV417" s="53" t="n"/>
      <c r="AW417" s="53" t="n"/>
      <c r="AX417" s="53" t="n"/>
      <c r="AY417" s="53" t="n"/>
      <c r="AZ417" s="53" t="n"/>
      <c r="BA417" s="53" t="n"/>
      <c r="BB417" s="53" t="n"/>
      <c r="BC417" s="53" t="n"/>
      <c r="BD417" s="53" t="n"/>
      <c r="BE417" s="53" t="n"/>
      <c r="BF417" s="53" t="n"/>
      <c r="BG417" s="53" t="n"/>
      <c r="BH417" s="53" t="n"/>
      <c r="BI417" s="53" t="n"/>
      <c r="BJ417" s="53" t="n"/>
      <c r="BK417" s="53" t="n"/>
      <c r="BL417" s="53" t="n"/>
      <c r="BM417" s="53" t="n"/>
      <c r="BN417" s="53" t="n"/>
      <c r="BO417" s="53" t="n"/>
      <c r="BP417" s="53" t="n"/>
      <c r="BQ417" s="53" t="n"/>
      <c r="BR417" s="53" t="n"/>
      <c r="BS417" s="53" t="n"/>
      <c r="BT417" s="53" t="n"/>
      <c r="BU417" s="53" t="n"/>
      <c r="BV417" s="53" t="n"/>
      <c r="BW417" s="53" t="n"/>
      <c r="BX417" s="53" t="n"/>
      <c r="BY417" s="53" t="n"/>
      <c r="BZ417" s="53" t="n"/>
      <c r="CA417" s="53" t="n"/>
      <c r="CB417" s="53" t="n"/>
      <c r="CC417" s="53" t="n"/>
      <c r="CD417" s="53" t="n"/>
      <c r="CE417" s="53" t="n"/>
      <c r="CF417" s="53" t="n"/>
      <c r="CG417" s="53" t="n"/>
      <c r="CH417" s="53" t="n"/>
      <c r="CI417" s="53" t="n"/>
      <c r="CJ417" s="53" t="n"/>
      <c r="CK417" s="53" t="n"/>
      <c r="CL417" s="53" t="n"/>
      <c r="CM417" s="53" t="n"/>
      <c r="CN417" s="53" t="n"/>
      <c r="CO417" s="53" t="n"/>
      <c r="CP417" s="53" t="n"/>
      <c r="CQ417" s="53" t="n"/>
      <c r="CR417" s="53" t="n"/>
      <c r="CS417" s="53" t="n"/>
      <c r="CT417" s="53" t="n"/>
      <c r="CU417" s="53" t="n"/>
      <c r="CV417" s="53" t="n"/>
      <c r="CW417" s="53" t="n"/>
      <c r="CX417" s="53" t="n"/>
      <c r="CY417" s="53" t="n"/>
      <c r="CZ417" s="53" t="n"/>
      <c r="DA417" s="53" t="n"/>
      <c r="DB417" s="53" t="n"/>
      <c r="DC417" s="53" t="n"/>
      <c r="DD417" s="53" t="inlineStr">
        <is>
          <t>IRIS2425</t>
        </is>
      </c>
      <c r="DE417" s="53" t="inlineStr">
        <is>
          <t>Employee</t>
        </is>
      </c>
      <c r="DF417" s="53" t="inlineStr">
        <is>
          <t>Active</t>
        </is>
      </c>
      <c r="DG417" s="53" t="inlineStr">
        <is>
          <t>Piyush Raj</t>
        </is>
      </c>
      <c r="DH417" s="54" t="n">
        <v>45894</v>
      </c>
      <c r="DI417" s="53" t="inlineStr">
        <is>
          <t>Product Manager</t>
        </is>
      </c>
      <c r="DJ417" s="53" t="inlineStr">
        <is>
          <t>Product Management</t>
        </is>
      </c>
      <c r="DK417" s="53" t="inlineStr">
        <is>
          <t>Product Management</t>
        </is>
      </c>
      <c r="DL417" s="53" t="inlineStr">
        <is>
          <t>Product Manager</t>
        </is>
      </c>
      <c r="DM417" s="53" t="inlineStr">
        <is>
          <t>L5 – Manager</t>
        </is>
      </c>
      <c r="DN417" s="53" t="inlineStr">
        <is>
          <t>PGDM</t>
        </is>
      </c>
      <c r="DO417" s="53" t="inlineStr">
        <is>
          <t>Nilesh Majumdar</t>
        </is>
      </c>
      <c r="DP417" s="53" t="inlineStr">
        <is>
          <t>N-3</t>
        </is>
      </c>
      <c r="DQ417" s="53" t="inlineStr">
        <is>
          <t>Individual Contributor</t>
        </is>
      </c>
      <c r="DR417" s="53" t="inlineStr">
        <is>
          <t>7 years, 0 months, 0 days</t>
        </is>
      </c>
      <c r="DS417" s="53" t="inlineStr">
        <is>
          <t>0 years, 9 months, 26 days</t>
        </is>
      </c>
      <c r="DT417" s="53" t="inlineStr">
        <is>
          <t>7 years, 9 months, 26 days</t>
        </is>
      </c>
      <c r="DU417" s="53" t="n"/>
      <c r="DV417" s="53" t="inlineStr">
        <is>
          <t>Datatech</t>
        </is>
      </c>
      <c r="DW417" s="53" t="inlineStr">
        <is>
          <t>Datatech</t>
        </is>
      </c>
      <c r="DX417" s="53" t="inlineStr">
        <is>
          <t>Product Management</t>
        </is>
      </c>
      <c r="DY417" s="53" t="inlineStr">
        <is>
          <t>Client Engagement</t>
        </is>
      </c>
      <c r="DZ417" s="53" t="inlineStr">
        <is>
          <t>No</t>
        </is>
      </c>
      <c r="EA417" s="53" t="inlineStr">
        <is>
          <t>Client Engagement</t>
        </is>
      </c>
      <c r="EB417" s="53" t="inlineStr">
        <is>
          <t>Product Management</t>
        </is>
      </c>
      <c r="EC417" s="53" t="inlineStr">
        <is>
          <t>Technical · BA, PM and QA</t>
        </is>
      </c>
      <c r="ED417" s="53" t="inlineStr">
        <is>
          <t>Turbhe. Shifting to remote for health reasons</t>
        </is>
      </c>
      <c r="EE417" s="53" t="inlineStr">
        <is>
          <t>Full Analytics &amp; Engagement Instrumentation Coverage for Peridot- 100% of Peridot product surfaces instrumented and documented by Dec 2026, with zero string-literal event names remaining. 
Automation framework operational by Mar 2027 with 5 critical journeys covered-Manual regression effort per release reduced by 50%. 
Loan Operations Efficiency Improvement-Manual ops effort per application reduced by 30%. 
End-to-End Ownership of a 0→1 Feature-Feature shipped to production by Mar 2027 with a documented PRD, defined success metrics, and full analytics coverage at launch
AI for Product Management Certification with One AI use case developed into a decision-ready proposal · problem, feasibility, effort, expected impact and presented for roadmap consideration in Datatech by March 2027</t>
        </is>
      </c>
      <c r="EF417" s="53" t="inlineStr">
        <is>
          <t>"% of users · Existing + new who have completed the Onboarding/Acquisition since
launch of the new onboarding journey​ on 28th May 2026​ should be by March 2027 should be atleast 50% of the overall user base till then"
GSTIN attach rate in profile in D0 for every new users installing the app in the same day should be maintained between 25-35%
OTP Verified phone number attach rate in profile in D0 for every new users installing the app in the same day should be maintained between 25-35%
Reach % of sign-ups happen within 5 minutes of first launch should be atleast 75% by March'31 2027, with every month 6% of improvement
% of newly signed-up users move from onboarding to deeper engagement within ~7 days should be atleast 75%. Defintion if deeper engagement is atleast &gt;4 features fully engaged in current True Engagement definition + future additions under true engagement
% of sign-ups happen within 75 seconds of first launch should be atleast 15%
% of net-new onboarded MSMEs acquired via referral · since launch​ by March 27 of FY27 should be 10%</t>
        </is>
      </c>
      <c r="EG417" s="53" t="inlineStr">
        <is>
          <t>Launch the Phase 1 Onboarding MVP and attain atleast 1% of Onboarding out of the average MAUs in Q1
Attain atleast 0.5% in Q1
Attain atleast 0.5% in Q1
Launch the Phase 1 Registration/Signup Journey in Q1
Maintain the % above 50%
Maintain the % above 5%
Solution for the Phase 1 of the referral engine to support referral onboarding by Ops team on ground</t>
        </is>
      </c>
      <c r="EH417" s="53" t="n">
        <v>4</v>
      </c>
      <c r="EI417" s="54" t="n">
        <v>46205</v>
      </c>
      <c r="EJ417" s="53" t="inlineStr">
        <is>
          <t>Product Manager</t>
        </is>
      </c>
      <c r="EK417" s="53" t="inlineStr">
        <is>
          <t>No</t>
        </is>
      </c>
      <c r="EL417" s="53" t="n">
        <v>4</v>
      </c>
      <c r="EM417" s="53" t="inlineStr">
        <is>
          <t>High</t>
        </is>
      </c>
      <c r="EN417" s="53" t="inlineStr">
        <is>
          <t>High Impact / Growth Talent</t>
        </is>
      </c>
      <c r="EO417" s="53" t="inlineStr">
        <is>
          <t>No</t>
        </is>
      </c>
      <c r="EP417" s="53" t="inlineStr">
        <is>
          <t>Yes</t>
        </is>
      </c>
      <c r="EQ417" s="53" t="inlineStr">
        <is>
          <t>Yes</t>
        </is>
      </c>
      <c r="ER417" s="53" t="n"/>
      <c r="ES417" s="53" t="inlineStr">
        <is>
          <t>Data Analysis</t>
        </is>
      </c>
      <c r="ET417" s="53" t="n"/>
      <c r="EU417" s="53" t="n"/>
      <c r="EV417" s="53" t="inlineStr">
        <is>
          <t>Peridot App</t>
        </is>
      </c>
      <c r="EW417" s="52" t="n"/>
      <c r="EX417" s="53" t="n"/>
      <c r="EY417" s="53" t="n"/>
      <c r="EZ417" s="53" t="n"/>
      <c r="FA417" s="53" t="n"/>
      <c r="FB417" s="53" t="n"/>
      <c r="FC417" s="53" t="n"/>
      <c r="FD417" s="53" t="inlineStr">
        <is>
          <t>IRIS2425</t>
        </is>
      </c>
      <c r="FE417" s="57" t="inlineStr">
        <is>
          <t>"% of users · Existing + new who have completed the Onboarding/Acquisition since
launch of the new onboarding journey on 28th May 2026 should be by March 2027 should be atleast 50% of the overall user base till then"
GSTIN attach rate in profile in D0 for every new users installing the app in the same day should be maintained between 25-35%
OTP Verified phone number attach rate in profile in D0 for every new users installing the app in the same day should be maintained between 25-35%
Reach % of sign-ups happen within 5 minutes of first launch should be atleast 75% by March'31 2027, with every month 6% of improvement
% of newly signed-up users move from onboarding to deeper engagement within ~7 days should be atleast 75%. Defintion if deeper engagement is atleast &gt;4 features fully engaged in current True Engagement definition + future additions under true engagement
% of sign-ups happen within 75 seconds of first launch should be atleast 15%
% of net-new onboarded MSMEs acquired via referral · since launch by March 27 of FY27 should be 10%</t>
        </is>
      </c>
      <c r="FF417" s="56" t="inlineStr">
        <is>
          <t>Launch the Phase 1 Onboarding MVP and attain atleast 1% of Onboarding out of the average MAUs in Q1
Attain atleast 0.5% in Q1
Attain atleast 0.5% in Q1
Launch the Phase 1 Registration/Signup Journey in Q1
Maintain the % above 50%
Maintain the % above 5%
Solution for the Phase 1 of the referral engine to support referral onboarding by Ops team on ground</t>
        </is>
      </c>
      <c r="FG417" s="56" t="inlineStr">
        <is>
          <t>Full Analytics &amp; Engagement Instrumentation Coverage for Peridot- 100% of Peridot product surfaces instrumented and documented by Dec 2026, with zero string-literal event names remaining. 
Automation framework operational by Mar 2027 with 5 critical journeys covered-Manual regression effort per release reduced by 50%. 
Loan Operations Efficiency Improvement-Manual ops effort per application reduced by 30%. 
End-to-End Ownership of a 0→1 Feature-Feature shipped to production by Mar 2027 with a documented PRD, defined success metrics, and full analytics coverage at launch
AI for Product Management Certification with One AI use case developed into a decision-ready proposal · problem, feasibility, effort, expected impact and presented for roadmap consideration in Datatech  by March 2027</t>
        </is>
      </c>
      <c r="FH417" s="56" t="inlineStr">
        <is>
          <t>4</t>
        </is>
      </c>
      <c r="FI417" s="56" t="n"/>
      <c r="FJ417" s="56" t="inlineStr">
        <is>
          <t>Received · manager annual, quarterly, self</t>
        </is>
      </c>
      <c r="FK417" s="56" t="inlineStr">
        <is>
          <t>Talent Mapping · Datatech</t>
        </is>
      </c>
      <c r="FL417" s="56" t="n">
        <v>20</v>
      </c>
      <c r="FM417" s="32" t="inlineStr">
        <is>
          <t>Full survey answers not in the files received · How We Grow export needed · HR</t>
        </is>
      </c>
      <c r="FN417" s="56" t="inlineStr">
        <is>
          <t>—</t>
        </is>
      </c>
      <c r="FO417" s="56" t="inlineStr">
        <is>
          <t>—</t>
        </is>
      </c>
      <c r="FP417" s="56" t="inlineStr">
        <is>
          <t>—</t>
        </is>
      </c>
      <c r="FQ417" s="56" t="inlineStr">
        <is>
          <t>—</t>
        </is>
      </c>
      <c r="FR417" s="56" t="inlineStr">
        <is>
          <t>Business Impact: Moved +0.5: the survey / manager mapping marks it business-critical.</t>
        </is>
      </c>
      <c r="FS417" s="56" t="inlineStr">
        <is>
          <t>Common themes in sub-family holders, all levels' answers: product · market · business · customers · management · revenue
Common themes in sub-family holders, all levels' answers: product · roadmap · management · customer · research · implementation
Common themes in sub-family holders, all levels' answers: product · customer · client · feature · business · revenue
Common themes in sub-family holders, all levels' answers: product · if · delivery · customer · requirements · client
Common themes in sub-family holders, all levels' answers: research · priorities · approach · roadmap · product · stakeholders
If the work is missed · role-holders' themes: delays · customer · delayed · revenue.</t>
        </is>
      </c>
      <c r="FT417" s="56" t="inlineStr">
        <is>
          <t>Self-identified: AI / automation · Product &amp; tool knowledge · Client, sales &amp; stakeholders · Strategy &amp; business acumen · Broader exposure &amp; ownership
For the next role: AI / automation · Product &amp; tool knowledge · Client, sales &amp; stakeholders · Strategy &amp; business acumen · Broader exposure &amp; ownership</t>
        </is>
      </c>
      <c r="FU417" s="32" t="inlineStr">
        <is>
          <t>Full survey answers not in the files received · How We Grow export needed · HR</t>
        </is>
      </c>
    </row>
    <row r="418" ht="90" customHeight="1">
      <c r="A418" s="51" t="inlineStr">
        <is>
          <t>◂ Back</t>
        </is>
      </c>
      <c r="B418" s="29" t="inlineStr">
        <is>
          <t>Mapped</t>
        </is>
      </c>
      <c r="C418" s="28" t="inlineStr">
        <is>
          <t>Datatech</t>
        </is>
      </c>
      <c r="D418" s="29" t="inlineStr">
        <is>
          <t>IRISDT0024</t>
        </is>
      </c>
      <c r="E418" s="29" t="inlineStr">
        <is>
          <t>Ayushi Maurya</t>
        </is>
      </c>
      <c r="F418" s="29" t="inlineStr">
        <is>
          <t>Product Management</t>
        </is>
      </c>
      <c r="G418" s="29" t="inlineStr">
        <is>
          <t>Product Manager</t>
        </is>
      </c>
      <c r="H418" s="29" t="inlineStr">
        <is>
          <t>Associate Product Manager</t>
        </is>
      </c>
      <c r="I418" s="29" t="inlineStr">
        <is>
          <t>Not in current mapping files</t>
        </is>
      </c>
      <c r="J418" s="29" t="inlineStr">
        <is>
          <t>B1</t>
        </is>
      </c>
      <c r="K418" s="29" t="inlineStr">
        <is>
          <t>● Newly mapped</t>
        </is>
      </c>
      <c r="L418" s="29" t="inlineStr">
        <is>
          <t>Product Management</t>
        </is>
      </c>
      <c r="M418" s="29" t="inlineStr">
        <is>
          <t>Product Management</t>
        </is>
      </c>
      <c r="N418" s="29" t="inlineStr">
        <is>
          <t>• Total experience · outside + at IRIS — HR — HRIS
• Confirm prior experience · provisional placement — HR</t>
        </is>
      </c>
      <c r="O418" s="29" t="n">
        <v>20</v>
      </c>
      <c r="P418" s="28" t="inlineStr">
        <is>
          <t>P3 / M2</t>
        </is>
      </c>
      <c r="Q418" s="29" t="inlineStr">
        <is>
          <t>Career / · Team Lead</t>
        </is>
      </c>
      <c r="R418" s="29" t="inlineStr">
        <is>
          <t>4 Enable</t>
        </is>
      </c>
      <c r="S418" s="29" t="inlineStr">
        <is>
          <t>4–7 yrs</t>
        </is>
      </c>
      <c r="T418" s="29" t="inlineStr">
        <is>
          <t>5–8 · 4–8</t>
        </is>
      </c>
      <c r="U418" s="29" t="inlineStr">
        <is>
          <t>Product Manager</t>
        </is>
      </c>
      <c r="V418" s="29" t="inlineStr">
        <is>
          <t>IRIS Vs Competitor Benchmark — SaaS product ladder: Product Manager</t>
        </is>
      </c>
      <c r="W418" s="29" t="inlineStr">
        <is>
          <t>Pragmatic Institute Framework · 37 activities, 7 categories; AIPMM</t>
        </is>
      </c>
      <c r="X418" s="29" t="inlineStr">
        <is>
          <t>Core 3 · Future 3 · Functional 3 · Leadership 1</t>
        </is>
      </c>
      <c r="Y418" s="52" t="n">
        <v>564</v>
      </c>
      <c r="Z418" s="53" t="inlineStr">
        <is>
          <t>IRISDT0024</t>
        </is>
      </c>
      <c r="AA418" s="53" t="inlineStr">
        <is>
          <t>Employee</t>
        </is>
      </c>
      <c r="AB418" s="53" t="inlineStr">
        <is>
          <t>Active</t>
        </is>
      </c>
      <c r="AC418" s="53" t="inlineStr">
        <is>
          <t>Ayushi Maurya</t>
        </is>
      </c>
      <c r="AD418" s="54" t="n">
        <v>46268</v>
      </c>
      <c r="AE418" s="53" t="inlineStr">
        <is>
          <t>Product Manager</t>
        </is>
      </c>
      <c r="AF418" s="53" t="inlineStr">
        <is>
          <t>M.Tech</t>
        </is>
      </c>
      <c r="AG418" s="53" t="inlineStr">
        <is>
          <t>Nilesh Majumdar</t>
        </is>
      </c>
      <c r="AH418" s="53" t="inlineStr">
        <is>
          <t>N-3</t>
        </is>
      </c>
      <c r="AI418" s="53" t="inlineStr">
        <is>
          <t>Individual Contributor</t>
        </is>
      </c>
      <c r="AJ418" s="53" t="n"/>
      <c r="AK418" s="53" t="n"/>
      <c r="AL418" s="53" t="inlineStr">
        <is>
          <t>Datatech</t>
        </is>
      </c>
      <c r="AM418" s="53" t="inlineStr">
        <is>
          <t>Datatech</t>
        </is>
      </c>
      <c r="AN418" s="53" t="inlineStr">
        <is>
          <t>Product Management</t>
        </is>
      </c>
      <c r="AO418" s="53" t="inlineStr">
        <is>
          <t>Client Engagement</t>
        </is>
      </c>
      <c r="AP418" s="53" t="inlineStr">
        <is>
          <t>No</t>
        </is>
      </c>
      <c r="AQ418" s="53" t="inlineStr">
        <is>
          <t>Client Engagement</t>
        </is>
      </c>
      <c r="AR418" s="53" t="inlineStr">
        <is>
          <t>Product Management</t>
        </is>
      </c>
      <c r="AS418" s="53" t="inlineStr">
        <is>
          <t>Technical · BA, PM and QA</t>
        </is>
      </c>
      <c r="AT418" s="53" t="n">
        <v>20</v>
      </c>
      <c r="AU418" s="53" t="inlineStr">
        <is>
          <t>Covered</t>
        </is>
      </c>
      <c r="AV418" s="53" t="n"/>
      <c r="AW418" s="53" t="n"/>
      <c r="AX418" s="53" t="n"/>
      <c r="AY418" s="53" t="n"/>
      <c r="AZ418" s="53" t="n"/>
      <c r="BA418" s="53" t="n"/>
      <c r="BB418" s="53" t="n"/>
      <c r="BC418" s="53" t="n"/>
      <c r="BD418" s="53" t="n"/>
      <c r="BE418" s="53" t="n"/>
      <c r="BF418" s="53" t="n"/>
      <c r="BG418" s="53" t="n"/>
      <c r="BH418" s="53" t="n"/>
      <c r="BI418" s="53" t="n"/>
      <c r="BJ418" s="53" t="n"/>
      <c r="BK418" s="53" t="n"/>
      <c r="BL418" s="53" t="n"/>
      <c r="BM418" s="53" t="n"/>
      <c r="BN418" s="53" t="n"/>
      <c r="BO418" s="53" t="n"/>
      <c r="BP418" s="53" t="n"/>
      <c r="BQ418" s="53" t="n"/>
      <c r="BR418" s="53" t="n"/>
      <c r="BS418" s="53" t="n"/>
      <c r="BT418" s="53" t="n"/>
      <c r="BU418" s="53" t="n"/>
      <c r="BV418" s="53" t="n"/>
      <c r="BW418" s="53" t="n"/>
      <c r="BX418" s="53" t="n"/>
      <c r="BY418" s="53" t="n"/>
      <c r="BZ418" s="53" t="n"/>
      <c r="CA418" s="53" t="n"/>
      <c r="CB418" s="53" t="n"/>
      <c r="CC418" s="53" t="n"/>
      <c r="CD418" s="53" t="n"/>
      <c r="CE418" s="53" t="n"/>
      <c r="CF418" s="53" t="n"/>
      <c r="CG418" s="53" t="n"/>
      <c r="CH418" s="53" t="n"/>
      <c r="CI418" s="53" t="n"/>
      <c r="CJ418" s="53" t="n"/>
      <c r="CK418" s="53" t="n"/>
      <c r="CL418" s="53" t="n"/>
      <c r="CM418" s="53" t="n"/>
      <c r="CN418" s="53" t="n"/>
      <c r="CO418" s="53" t="n"/>
      <c r="CP418" s="53" t="n"/>
      <c r="CQ418" s="53" t="n"/>
      <c r="CR418" s="53" t="n"/>
      <c r="CS418" s="53" t="n"/>
      <c r="CT418" s="53" t="n"/>
      <c r="CU418" s="53" t="n"/>
      <c r="CV418" s="53" t="n"/>
      <c r="CW418" s="53" t="n"/>
      <c r="CX418" s="53" t="n"/>
      <c r="CY418" s="53" t="n"/>
      <c r="CZ418" s="53" t="n"/>
      <c r="DA418" s="53" t="n"/>
      <c r="DB418" s="53" t="n"/>
      <c r="DC418" s="53" t="n"/>
      <c r="DD418" s="53" t="n"/>
      <c r="DE418" s="53" t="n"/>
      <c r="DF418" s="53" t="n"/>
      <c r="DG418" s="53" t="n"/>
      <c r="DH418" s="53" t="n"/>
      <c r="DI418" s="53" t="n"/>
      <c r="DJ418" s="53" t="n"/>
      <c r="DK418" s="53" t="n"/>
      <c r="DL418" s="53" t="n"/>
      <c r="DM418" s="53" t="n"/>
      <c r="DN418" s="53" t="n"/>
      <c r="DO418" s="53" t="n"/>
      <c r="DP418" s="53" t="n"/>
      <c r="DQ418" s="53" t="n"/>
      <c r="DR418" s="53" t="n"/>
      <c r="DS418" s="53" t="n"/>
      <c r="DT418" s="53" t="n"/>
      <c r="DU418" s="53" t="n"/>
      <c r="DV418" s="53" t="n"/>
      <c r="DW418" s="53" t="n"/>
      <c r="DX418" s="53" t="n"/>
      <c r="DY418" s="53" t="n"/>
      <c r="DZ418" s="53" t="n"/>
      <c r="EA418" s="53" t="n"/>
      <c r="EB418" s="53" t="n"/>
      <c r="EC418" s="53" t="n"/>
      <c r="ED418" s="53" t="n"/>
      <c r="EE418" s="53" t="n"/>
      <c r="EF418" s="53" t="n"/>
      <c r="EG418" s="53" t="n"/>
      <c r="EH418" s="53" t="n"/>
      <c r="EI418" s="53" t="n"/>
      <c r="EJ418" s="53" t="n"/>
      <c r="EK418" s="53" t="n"/>
      <c r="EL418" s="53" t="n"/>
      <c r="EM418" s="53" t="n"/>
      <c r="EN418" s="53" t="n"/>
      <c r="EO418" s="53" t="n"/>
      <c r="EP418" s="53" t="n"/>
      <c r="EQ418" s="53" t="n"/>
      <c r="ER418" s="53" t="n"/>
      <c r="ES418" s="53" t="n"/>
      <c r="ET418" s="53" t="n"/>
      <c r="EU418" s="53" t="n"/>
      <c r="EV418" s="53" t="n"/>
      <c r="EW418" s="52" t="n"/>
      <c r="EX418" s="53" t="n"/>
      <c r="EY418" s="53" t="n"/>
      <c r="EZ418" s="53" t="n"/>
      <c r="FA418" s="53" t="n"/>
      <c r="FB418" s="53" t="n"/>
      <c r="FC418" s="53" t="n"/>
      <c r="FD418" s="53" t="n"/>
      <c r="FE418" s="55" t="inlineStr">
        <is>
          <t>KRAs not received · manager to supply</t>
        </is>
      </c>
      <c r="FF418" s="56" t="n"/>
      <c r="FG418" s="56" t="n"/>
      <c r="FH418" s="56" t="n"/>
      <c r="FI418" s="56" t="n"/>
      <c r="FJ418" s="32" t="inlineStr">
        <is>
          <t>KRAs not received · manager to supply</t>
        </is>
      </c>
      <c r="FK418" s="56" t="n"/>
      <c r="FL418" s="56" t="n">
        <v>20</v>
      </c>
      <c r="FM418" s="32" t="inlineStr">
        <is>
          <t>Full survey answers not in the files received · How We Grow export needed · HR</t>
        </is>
      </c>
      <c r="FN418" s="56" t="inlineStr">
        <is>
          <t>—</t>
        </is>
      </c>
      <c r="FO418" s="56" t="inlineStr">
        <is>
          <t>—</t>
        </is>
      </c>
      <c r="FP418" s="56" t="inlineStr">
        <is>
          <t>—</t>
        </is>
      </c>
      <c r="FQ418" s="56" t="inlineStr">
        <is>
          <t>—</t>
        </is>
      </c>
      <c r="FR418" s="56" t="inlineStr">
        <is>
          <t>Complexity: Evidence reads like A3: Primary and secondary research on new sectors, app engagement analysis, communication planning, sprint management → moved down 1
Autonomy: Evidence reads like A2: Only stated independent decision is communication experiments → moved down 1
Accountability: Evidence reads like A3: Accountable for app engagement and identifying the field for a new product launch → moved down 1
Leadership: Evidence reads like A1: No guidance or leadership of others described → moved down 1
Business Impact: No survey or manager-mapping signal on criticality: kept at the start point.</t>
        </is>
      </c>
      <c r="FS418" s="56" t="inlineStr">
        <is>
          <t>Common themes in role-holders' answers: product · management · customers · roadmap · shape · stakeholder
Common themes in role-holders' answers: research · demos · product · management · customer · analysis
Common themes in role-holders' answers: product
If the work is missed · role-holders' themes: delayed · roadmap · customer.</t>
        </is>
      </c>
      <c r="FT418" s="56" t="inlineStr">
        <is>
          <t>Self-identified: Broader exposure &amp; ownership
For the next role: Broader exposure &amp; ownership</t>
        </is>
      </c>
      <c r="FU418" s="32" t="inlineStr">
        <is>
          <t>Full survey answers not in the files received · How We Grow export needed · HR</t>
        </is>
      </c>
    </row>
    <row r="419" ht="90" customHeight="1">
      <c r="A419" s="51" t="inlineStr">
        <is>
          <t>◂ Back</t>
        </is>
      </c>
      <c r="B419" s="29" t="inlineStr">
        <is>
          <t>Mapped</t>
        </is>
      </c>
      <c r="C419" s="28" t="inlineStr">
        <is>
          <t>Datatech</t>
        </is>
      </c>
      <c r="D419" s="29" t="inlineStr">
        <is>
          <t>IRISDT0021</t>
        </is>
      </c>
      <c r="E419" s="29" t="inlineStr">
        <is>
          <t>Gaurav Bansal</t>
        </is>
      </c>
      <c r="F419" s="29" t="inlineStr">
        <is>
          <t>Product Management</t>
        </is>
      </c>
      <c r="G419" s="29" t="inlineStr">
        <is>
          <t>Product Manager</t>
        </is>
      </c>
      <c r="H419" s="29" t="inlineStr">
        <is>
          <t>Associate Product Manager</t>
        </is>
      </c>
      <c r="I419" s="29" t="inlineStr">
        <is>
          <t>Not in current mapping files</t>
        </is>
      </c>
      <c r="J419" s="29" t="inlineStr">
        <is>
          <t>B1</t>
        </is>
      </c>
      <c r="K419" s="29" t="inlineStr">
        <is>
          <t>● Newly mapped</t>
        </is>
      </c>
      <c r="L419" s="29" t="inlineStr">
        <is>
          <t>Product Management</t>
        </is>
      </c>
      <c r="M419" s="29" t="inlineStr">
        <is>
          <t>Product Management</t>
        </is>
      </c>
      <c r="N419" s="29" t="n"/>
      <c r="O419" s="29" t="n">
        <v>20</v>
      </c>
      <c r="P419" s="28" t="inlineStr">
        <is>
          <t>P3 / M2</t>
        </is>
      </c>
      <c r="Q419" s="29" t="inlineStr">
        <is>
          <t>Career / · Team Lead</t>
        </is>
      </c>
      <c r="R419" s="29" t="inlineStr">
        <is>
          <t>4 Enable</t>
        </is>
      </c>
      <c r="S419" s="29" t="inlineStr">
        <is>
          <t>4–7 yrs</t>
        </is>
      </c>
      <c r="T419" s="29" t="inlineStr">
        <is>
          <t>5–8 · 4–8</t>
        </is>
      </c>
      <c r="U419" s="29" t="inlineStr">
        <is>
          <t>Product Manager</t>
        </is>
      </c>
      <c r="V419" s="29" t="inlineStr">
        <is>
          <t>IRIS Vs Competitor Benchmark — SaaS product ladder: Product Manager</t>
        </is>
      </c>
      <c r="W419" s="29" t="inlineStr">
        <is>
          <t>Pragmatic Institute Framework · 37 activities, 7 categories; AIPMM</t>
        </is>
      </c>
      <c r="X419" s="29" t="inlineStr">
        <is>
          <t>Core 3 · Future 3 · Functional 3 · Leadership 1</t>
        </is>
      </c>
      <c r="Y419" s="52" t="n">
        <v>559</v>
      </c>
      <c r="Z419" s="53" t="inlineStr">
        <is>
          <t>IRISDT0021</t>
        </is>
      </c>
      <c r="AA419" s="53" t="inlineStr">
        <is>
          <t>Employee</t>
        </is>
      </c>
      <c r="AB419" s="53" t="inlineStr">
        <is>
          <t>Active</t>
        </is>
      </c>
      <c r="AC419" s="53" t="inlineStr">
        <is>
          <t>Gaurav Bansal</t>
        </is>
      </c>
      <c r="AD419" s="54" t="n">
        <v>46212</v>
      </c>
      <c r="AE419" s="53" t="inlineStr">
        <is>
          <t>Product Manager</t>
        </is>
      </c>
      <c r="AF419" s="53" t="inlineStr">
        <is>
          <t>B.Tech</t>
        </is>
      </c>
      <c r="AG419" s="53" t="inlineStr">
        <is>
          <t>Nilesh Majumdar</t>
        </is>
      </c>
      <c r="AH419" s="53" t="inlineStr">
        <is>
          <t>N-3</t>
        </is>
      </c>
      <c r="AI419" s="53" t="inlineStr">
        <is>
          <t>Individual Contributor</t>
        </is>
      </c>
      <c r="AJ419" s="53" t="inlineStr">
        <is>
          <t>2 years, 2 months, 0 days</t>
        </is>
      </c>
      <c r="AK419" s="53" t="inlineStr">
        <is>
          <t>0 years, 1 months, 16 days</t>
        </is>
      </c>
      <c r="AL419" s="53" t="inlineStr">
        <is>
          <t>Datatech</t>
        </is>
      </c>
      <c r="AM419" s="53" t="inlineStr">
        <is>
          <t>Datatech</t>
        </is>
      </c>
      <c r="AN419" s="53" t="inlineStr">
        <is>
          <t>Product Management</t>
        </is>
      </c>
      <c r="AO419" s="53" t="inlineStr">
        <is>
          <t>Client Engagement</t>
        </is>
      </c>
      <c r="AP419" s="53" t="inlineStr">
        <is>
          <t>No</t>
        </is>
      </c>
      <c r="AQ419" s="53" t="inlineStr">
        <is>
          <t>Client Engagement</t>
        </is>
      </c>
      <c r="AR419" s="53" t="inlineStr">
        <is>
          <t>Product Management</t>
        </is>
      </c>
      <c r="AS419" s="53" t="inlineStr">
        <is>
          <t>Technical · BA, PM and QA</t>
        </is>
      </c>
      <c r="AT419" s="53" t="n">
        <v>20</v>
      </c>
      <c r="AU419" s="53" t="inlineStr">
        <is>
          <t>Covered</t>
        </is>
      </c>
      <c r="AV419" s="53" t="n"/>
      <c r="AW419" s="53" t="n"/>
      <c r="AX419" s="53" t="n"/>
      <c r="AY419" s="53" t="n"/>
      <c r="AZ419" s="53" t="n"/>
      <c r="BA419" s="53" t="n"/>
      <c r="BB419" s="53" t="n"/>
      <c r="BC419" s="53" t="n"/>
      <c r="BD419" s="53" t="n"/>
      <c r="BE419" s="53" t="n"/>
      <c r="BF419" s="53" t="n"/>
      <c r="BG419" s="53" t="n"/>
      <c r="BH419" s="53" t="n"/>
      <c r="BI419" s="53" t="n"/>
      <c r="BJ419" s="53" t="n"/>
      <c r="BK419" s="53" t="n"/>
      <c r="BL419" s="53" t="n"/>
      <c r="BM419" s="53" t="n"/>
      <c r="BN419" s="53" t="n"/>
      <c r="BO419" s="53" t="n"/>
      <c r="BP419" s="53" t="n"/>
      <c r="BQ419" s="53" t="n"/>
      <c r="BR419" s="53" t="n"/>
      <c r="BS419" s="53" t="n"/>
      <c r="BT419" s="53" t="n"/>
      <c r="BU419" s="53" t="n"/>
      <c r="BV419" s="53" t="n"/>
      <c r="BW419" s="53" t="n"/>
      <c r="BX419" s="53" t="n"/>
      <c r="BY419" s="53" t="n"/>
      <c r="BZ419" s="53" t="n"/>
      <c r="CA419" s="53" t="n"/>
      <c r="CB419" s="53" t="n"/>
      <c r="CC419" s="53" t="n"/>
      <c r="CD419" s="53" t="n"/>
      <c r="CE419" s="53" t="n"/>
      <c r="CF419" s="53" t="n"/>
      <c r="CG419" s="53" t="n"/>
      <c r="CH419" s="53" t="n"/>
      <c r="CI419" s="53" t="n"/>
      <c r="CJ419" s="53" t="n"/>
      <c r="CK419" s="53" t="n"/>
      <c r="CL419" s="53" t="n"/>
      <c r="CM419" s="53" t="n"/>
      <c r="CN419" s="53" t="n"/>
      <c r="CO419" s="53" t="n"/>
      <c r="CP419" s="53" t="n"/>
      <c r="CQ419" s="53" t="n"/>
      <c r="CR419" s="53" t="n"/>
      <c r="CS419" s="53" t="n"/>
      <c r="CT419" s="53" t="n"/>
      <c r="CU419" s="53" t="n"/>
      <c r="CV419" s="53" t="n"/>
      <c r="CW419" s="53" t="n"/>
      <c r="CX419" s="53" t="n"/>
      <c r="CY419" s="53" t="n"/>
      <c r="CZ419" s="53" t="n"/>
      <c r="DA419" s="53" t="n"/>
      <c r="DB419" s="53" t="n"/>
      <c r="DC419" s="53" t="n"/>
      <c r="DD419" s="53" t="n"/>
      <c r="DE419" s="53" t="inlineStr">
        <is>
          <t>Employee</t>
        </is>
      </c>
      <c r="DF419" s="53" t="inlineStr">
        <is>
          <t>Active</t>
        </is>
      </c>
      <c r="DG419" s="53" t="inlineStr">
        <is>
          <t>Gaurav Bansal</t>
        </is>
      </c>
      <c r="DH419" s="53" t="n"/>
      <c r="DI419" s="53" t="inlineStr">
        <is>
          <t>Product Manager</t>
        </is>
      </c>
      <c r="DJ419" s="53" t="n"/>
      <c r="DK419" s="53" t="n"/>
      <c r="DL419" s="53" t="n"/>
      <c r="DM419" s="53" t="n"/>
      <c r="DN419" s="53" t="n"/>
      <c r="DO419" s="53" t="inlineStr">
        <is>
          <t>Nilesh Majumdar</t>
        </is>
      </c>
      <c r="DP419" s="53" t="n"/>
      <c r="DQ419" s="53" t="n"/>
      <c r="DR419" s="53" t="n"/>
      <c r="DS419" s="53" t="n"/>
      <c r="DT419" s="53" t="n"/>
      <c r="DU419" s="53" t="n"/>
      <c r="DV419" s="53" t="inlineStr">
        <is>
          <t>Datatech</t>
        </is>
      </c>
      <c r="DW419" s="53" t="inlineStr">
        <is>
          <t>Datatech</t>
        </is>
      </c>
      <c r="DX419" s="53" t="inlineStr">
        <is>
          <t>Product Management</t>
        </is>
      </c>
      <c r="DY419" s="53" t="inlineStr">
        <is>
          <t>Client Engagement</t>
        </is>
      </c>
      <c r="DZ419" s="53" t="inlineStr">
        <is>
          <t>No</t>
        </is>
      </c>
      <c r="EA419" s="53" t="inlineStr">
        <is>
          <t>Client Engagement</t>
        </is>
      </c>
      <c r="EB419" s="53" t="inlineStr">
        <is>
          <t>Product Management</t>
        </is>
      </c>
      <c r="EC419" s="53" t="inlineStr">
        <is>
          <t>Technical · BA, PM and QA</t>
        </is>
      </c>
      <c r="ED419" s="53" t="inlineStr">
        <is>
          <t>Bengaluru</t>
        </is>
      </c>
      <c r="EE419" s="53" t="n"/>
      <c r="EF419" s="53" t="n"/>
      <c r="EG419" s="53" t="n"/>
      <c r="EH419" s="53" t="n"/>
      <c r="EI419" s="53" t="n"/>
      <c r="EJ419" s="53" t="n"/>
      <c r="EK419" s="53" t="n"/>
      <c r="EL419" s="53" t="n"/>
      <c r="EM419" s="53" t="n"/>
      <c r="EN419" s="53" t="n"/>
      <c r="EO419" s="53" t="n"/>
      <c r="EP419" s="53" t="inlineStr">
        <is>
          <t>No</t>
        </is>
      </c>
      <c r="EQ419" s="53" t="n"/>
      <c r="ER419" s="53" t="n"/>
      <c r="ES419" s="53" t="n"/>
      <c r="ET419" s="53" t="n"/>
      <c r="EU419" s="53" t="n"/>
      <c r="EV419" s="53" t="inlineStr">
        <is>
          <t>All</t>
        </is>
      </c>
      <c r="EW419" s="52" t="n"/>
      <c r="EX419" s="53" t="n"/>
      <c r="EY419" s="53" t="n"/>
      <c r="EZ419" s="53" t="n"/>
      <c r="FA419" s="53" t="n"/>
      <c r="FB419" s="53" t="n"/>
      <c r="FC419" s="53" t="n"/>
      <c r="FD419" s="53" t="n"/>
      <c r="FE419" s="55" t="inlineStr">
        <is>
          <t>KRAs not received · manager to supply</t>
        </is>
      </c>
      <c r="FF419" s="56" t="n"/>
      <c r="FG419" s="56" t="n"/>
      <c r="FH419" s="56" t="n"/>
      <c r="FI419" s="56" t="n"/>
      <c r="FJ419" s="32" t="inlineStr">
        <is>
          <t>KRAs not received · manager to supply</t>
        </is>
      </c>
      <c r="FK419" s="56" t="n"/>
      <c r="FL419" s="56" t="n">
        <v>20</v>
      </c>
      <c r="FM419" s="32" t="inlineStr">
        <is>
          <t>Full survey answers not in the files received · How We Grow export needed · HR</t>
        </is>
      </c>
      <c r="FN419" s="56" t="inlineStr">
        <is>
          <t>—</t>
        </is>
      </c>
      <c r="FO419" s="56" t="inlineStr">
        <is>
          <t>—</t>
        </is>
      </c>
      <c r="FP419" s="56" t="inlineStr">
        <is>
          <t>—</t>
        </is>
      </c>
      <c r="FQ419" s="56" t="inlineStr">
        <is>
          <t>—</t>
        </is>
      </c>
      <c r="FR419" s="56" t="inlineStr">
        <is>
          <t>Complexity: Evidence reads like A3: Product work for the SCF vertical: research, target audience, performance tracking, QA; few specifics → moved down 0.5
Autonomy: Evidence reads like A3: Decides the target audience for the SCF product → moved down 0.5
Accountability: Evidence reads like B1: Owns the supply chain finance product and its monetisation → moved down 0.5
Leadership: Evidence reads like A1: Coordinates with sales, operations, dev and design; no guidance of others described → moved down 0.5
Business Impact: No survey or manager-mapping signal on criticality: kept at the start point.</t>
        </is>
      </c>
      <c r="FS419" s="56" t="inlineStr">
        <is>
          <t>Common themes in role-holders' answers: product · management · customers · roadmap · shape · stakeholder
Common themes in role-holders' answers: research · demos · product · management · customer · analysis
Common themes in role-holders' answers: product
If the work is missed · role-holders' themes: delayed · roadmap · customer.</t>
        </is>
      </c>
      <c r="FT419" s="56" t="inlineStr">
        <is>
          <t>Self-identified: Answered · no common topic
For the next role: Answered · no common topic</t>
        </is>
      </c>
      <c r="FU419" s="32" t="inlineStr">
        <is>
          <t>Full survey answers not in the files received · How We Grow export needed · HR</t>
        </is>
      </c>
    </row>
    <row r="420" ht="90" customHeight="1">
      <c r="A420" s="51" t="inlineStr">
        <is>
          <t>◂ Back</t>
        </is>
      </c>
      <c r="B420" s="29" t="inlineStr">
        <is>
          <t>Mapped</t>
        </is>
      </c>
      <c r="C420" s="28" t="inlineStr">
        <is>
          <t>Datatech</t>
        </is>
      </c>
      <c r="D420" s="29" t="inlineStr">
        <is>
          <t>IRISDT0014</t>
        </is>
      </c>
      <c r="E420" s="29" t="inlineStr">
        <is>
          <t>Supriya Patil</t>
        </is>
      </c>
      <c r="F420" s="29" t="inlineStr">
        <is>
          <t>Quality Assurance</t>
        </is>
      </c>
      <c r="G420" s="29" t="inlineStr">
        <is>
          <t>QA Engineer</t>
        </is>
      </c>
      <c r="H420" s="29" t="inlineStr">
        <is>
          <t>Senior QA Engineer</t>
        </is>
      </c>
      <c r="I420" s="29" t="inlineStr">
        <is>
          <t>L3 – Professional / Associate</t>
        </is>
      </c>
      <c r="J420" s="29" t="inlineStr">
        <is>
          <t>A3</t>
        </is>
      </c>
      <c r="K420" s="29" t="inlineStr">
        <is>
          <t>▲ Up</t>
        </is>
      </c>
      <c r="L420" s="29" t="inlineStr">
        <is>
          <t>Quality Assurance</t>
        </is>
      </c>
      <c r="M420" s="29" t="inlineStr">
        <is>
          <t>Functional &amp; Domain Testing</t>
        </is>
      </c>
      <c r="N420" s="29" t="n"/>
      <c r="O420" s="29" t="n">
        <v>20</v>
      </c>
      <c r="P420" s="28" t="inlineStr">
        <is>
          <t>P2</t>
        </is>
      </c>
      <c r="Q420" s="29" t="inlineStr">
        <is>
          <t>Developing</t>
        </is>
      </c>
      <c r="R420" s="29" t="inlineStr">
        <is>
          <t>3 Apply</t>
        </is>
      </c>
      <c r="S420" s="29" t="inlineStr">
        <is>
          <t>2–4 yrs</t>
        </is>
      </c>
      <c r="T420" s="29" t="inlineStr">
        <is>
          <t>3–5 · 2–5</t>
        </is>
      </c>
      <c r="U420" s="29" t="inlineStr">
        <is>
          <t>QA Engineer</t>
        </is>
      </c>
      <c r="V420" s="29" t="inlineStr">
        <is>
          <t>Workiva: SE · Broadridge India: SE · Nasdaq / AxiomSL: SE · IRIS Vs Market Benchmark — ISTQB certification pathway: Foundation</t>
        </is>
      </c>
      <c r="W420" s="29" t="inlineStr">
        <is>
          <t>ISTQB Foundation → Advanced → Expert; SFIA testing</t>
        </is>
      </c>
      <c r="X420" s="29" t="inlineStr">
        <is>
          <t>Core 2 · Future 2 · Functional 3 · Leadership not scored</t>
        </is>
      </c>
      <c r="Y420" s="52" t="n">
        <v>550</v>
      </c>
      <c r="Z420" s="53" t="inlineStr">
        <is>
          <t>IRISDT0014</t>
        </is>
      </c>
      <c r="AA420" s="53" t="inlineStr">
        <is>
          <t>Employee</t>
        </is>
      </c>
      <c r="AB420" s="53" t="inlineStr">
        <is>
          <t>Active</t>
        </is>
      </c>
      <c r="AC420" s="53" t="inlineStr">
        <is>
          <t>Supriya Patil</t>
        </is>
      </c>
      <c r="AD420" s="54" t="n">
        <v>46055</v>
      </c>
      <c r="AE420" s="53" t="inlineStr">
        <is>
          <t>QA Engineer</t>
        </is>
      </c>
      <c r="AF420" s="53" t="inlineStr">
        <is>
          <t>B.E</t>
        </is>
      </c>
      <c r="AG420" s="53" t="inlineStr">
        <is>
          <t>Nilesh Majumdar</t>
        </is>
      </c>
      <c r="AH420" s="53" t="inlineStr">
        <is>
          <t>N-3</t>
        </is>
      </c>
      <c r="AI420" s="53" t="inlineStr">
        <is>
          <t>Individual Contributor</t>
        </is>
      </c>
      <c r="AJ420" s="53" t="inlineStr">
        <is>
          <t>6 years, 8 months, 0 days</t>
        </is>
      </c>
      <c r="AK420" s="53" t="inlineStr">
        <is>
          <t>0 years, 6 months, 23 days</t>
        </is>
      </c>
      <c r="AL420" s="53" t="inlineStr">
        <is>
          <t>Datatech</t>
        </is>
      </c>
      <c r="AM420" s="53" t="inlineStr">
        <is>
          <t>Datatech</t>
        </is>
      </c>
      <c r="AN420" s="53" t="inlineStr">
        <is>
          <t>Quality Assurance</t>
        </is>
      </c>
      <c r="AO420" s="53" t="inlineStr">
        <is>
          <t>Quality Assurance</t>
        </is>
      </c>
      <c r="AP420" s="53" t="inlineStr">
        <is>
          <t>No</t>
        </is>
      </c>
      <c r="AQ420" s="53" t="inlineStr">
        <is>
          <t>Product/Project</t>
        </is>
      </c>
      <c r="AR420" s="53" t="inlineStr">
        <is>
          <t>Software Testing</t>
        </is>
      </c>
      <c r="AS420" s="53" t="inlineStr">
        <is>
          <t>Technical · BA, PM and QA</t>
        </is>
      </c>
      <c r="AT420" s="53" t="n">
        <v>20</v>
      </c>
      <c r="AU420" s="53" t="inlineStr">
        <is>
          <t>Covered</t>
        </is>
      </c>
      <c r="AV420" s="53" t="n"/>
      <c r="AW420" s="53" t="n"/>
      <c r="AX420" s="53" t="n"/>
      <c r="AY420" s="53" t="n"/>
      <c r="AZ420" s="53" t="n"/>
      <c r="BA420" s="53" t="n"/>
      <c r="BB420" s="53" t="n"/>
      <c r="BC420" s="53" t="n"/>
      <c r="BD420" s="53" t="n"/>
      <c r="BE420" s="53" t="n"/>
      <c r="BF420" s="53" t="n"/>
      <c r="BG420" s="53" t="n"/>
      <c r="BH420" s="53" t="n"/>
      <c r="BI420" s="53" t="n"/>
      <c r="BJ420" s="53" t="n"/>
      <c r="BK420" s="53" t="n"/>
      <c r="BL420" s="53" t="n"/>
      <c r="BM420" s="53" t="n"/>
      <c r="BN420" s="53" t="n"/>
      <c r="BO420" s="53" t="n"/>
      <c r="BP420" s="53" t="n"/>
      <c r="BQ420" s="53" t="n"/>
      <c r="BR420" s="53" t="n"/>
      <c r="BS420" s="53" t="n"/>
      <c r="BT420" s="53" t="n"/>
      <c r="BU420" s="53" t="n"/>
      <c r="BV420" s="53" t="n"/>
      <c r="BW420" s="53" t="n"/>
      <c r="BX420" s="53" t="n"/>
      <c r="BY420" s="53" t="n"/>
      <c r="BZ420" s="53" t="n"/>
      <c r="CA420" s="53" t="n"/>
      <c r="CB420" s="53" t="n"/>
      <c r="CC420" s="53" t="n"/>
      <c r="CD420" s="53" t="n"/>
      <c r="CE420" s="53" t="n"/>
      <c r="CF420" s="53" t="n"/>
      <c r="CG420" s="53" t="n"/>
      <c r="CH420" s="53" t="n"/>
      <c r="CI420" s="53" t="n"/>
      <c r="CJ420" s="53" t="n"/>
      <c r="CK420" s="53" t="n"/>
      <c r="CL420" s="53" t="n"/>
      <c r="CM420" s="53" t="n"/>
      <c r="CN420" s="53" t="n"/>
      <c r="CO420" s="53" t="n"/>
      <c r="CP420" s="53" t="n"/>
      <c r="CQ420" s="53" t="n"/>
      <c r="CR420" s="53" t="n"/>
      <c r="CS420" s="53" t="n"/>
      <c r="CT420" s="53" t="n"/>
      <c r="CU420" s="53" t="n"/>
      <c r="CV420" s="53" t="n"/>
      <c r="CW420" s="53" t="n"/>
      <c r="CX420" s="53" t="n"/>
      <c r="CY420" s="53" t="n"/>
      <c r="CZ420" s="53" t="n"/>
      <c r="DA420" s="53" t="n"/>
      <c r="DB420" s="53" t="n"/>
      <c r="DC420" s="53" t="n"/>
      <c r="DD420" s="53" t="inlineStr">
        <is>
          <t>IRIS2467</t>
        </is>
      </c>
      <c r="DE420" s="53" t="inlineStr">
        <is>
          <t>Employee</t>
        </is>
      </c>
      <c r="DF420" s="53" t="inlineStr">
        <is>
          <t>Active</t>
        </is>
      </c>
      <c r="DG420" s="53" t="inlineStr">
        <is>
          <t>Supriya Patil</t>
        </is>
      </c>
      <c r="DH420" s="54" t="n">
        <v>46055</v>
      </c>
      <c r="DI420" s="53" t="inlineStr">
        <is>
          <t>QA Engineer</t>
        </is>
      </c>
      <c r="DJ420" s="53" t="inlineStr">
        <is>
          <t>Quality Assurance</t>
        </is>
      </c>
      <c r="DK420" s="53" t="inlineStr">
        <is>
          <t>Quality Engineering</t>
        </is>
      </c>
      <c r="DL420" s="53" t="inlineStr">
        <is>
          <t>QA Engineer</t>
        </is>
      </c>
      <c r="DM420" s="53" t="inlineStr">
        <is>
          <t>L3 – Professional / Associate</t>
        </is>
      </c>
      <c r="DN420" s="53" t="inlineStr">
        <is>
          <t>B.E</t>
        </is>
      </c>
      <c r="DO420" s="53" t="inlineStr">
        <is>
          <t>Nilesh Majumdar</t>
        </is>
      </c>
      <c r="DP420" s="53" t="inlineStr">
        <is>
          <t>N-3</t>
        </is>
      </c>
      <c r="DQ420" s="53" t="inlineStr">
        <is>
          <t>Individual Contributor</t>
        </is>
      </c>
      <c r="DR420" s="53" t="inlineStr">
        <is>
          <t>6 years, 8 months, 0 days</t>
        </is>
      </c>
      <c r="DS420" s="53" t="inlineStr">
        <is>
          <t>0 years, 4 months, 18 days</t>
        </is>
      </c>
      <c r="DT420" s="53" t="inlineStr">
        <is>
          <t>7 years, 0 months, 18 days</t>
        </is>
      </c>
      <c r="DU420" s="53" t="n"/>
      <c r="DV420" s="53" t="inlineStr">
        <is>
          <t>Datatech</t>
        </is>
      </c>
      <c r="DW420" s="53" t="inlineStr">
        <is>
          <t>Datatech</t>
        </is>
      </c>
      <c r="DX420" s="53" t="inlineStr">
        <is>
          <t>Quality Assurance</t>
        </is>
      </c>
      <c r="DY420" s="53" t="inlineStr">
        <is>
          <t>Quality Assurance</t>
        </is>
      </c>
      <c r="DZ420" s="53" t="inlineStr">
        <is>
          <t>No</t>
        </is>
      </c>
      <c r="EA420" s="53" t="inlineStr">
        <is>
          <t>Product/Project</t>
        </is>
      </c>
      <c r="EB420" s="53" t="inlineStr">
        <is>
          <t>Software Testing</t>
        </is>
      </c>
      <c r="EC420" s="53" t="inlineStr">
        <is>
          <t>Technical · BA, PM and QA</t>
        </is>
      </c>
      <c r="ED420" s="53" t="inlineStr">
        <is>
          <t>Turbhe</t>
        </is>
      </c>
      <c r="EE420" s="53" t="n"/>
      <c r="EF420" s="53" t="inlineStr">
        <is>
          <t>1.	Defect Leakage Rate: defects found in production ÷ total defects for that release. Target: &lt; 5%. Reviewed per release, averaged quarterly.
2.	Defect Removal Efficiency · DRE: defects caught pre-release ÷ total defects × 100. Target: ≥ 90%.
3.	P0/P1 flow coverage: % of critical Peridot user journeys with executed test cases each release. Target: 100%.
4.	On-time QA sign-off: % of releases signed off within the planned QA window. Target: ≥ 95%.
5.	Test cases authored and reviewed before dev-complete for ≥ 80% of stories.
6.	Bug report quality: % of bugs with complete repro steps, logs, and environment · spot-audited. Target: ≥ 90%.
7.	Regression automation coverage: % of regression suite automated. Target: set up automation reach upto 25% by year-end.
8.	Improvement contributions - 2/3 process/tooling improvements or knowledge-sharing sessions over the year.
9. 2.	Crash-free sessions — ≥ 99.5% · shared with dev</t>
        </is>
      </c>
      <c r="EG420" s="53" t="inlineStr">
        <is>
          <t>1.	Defect Leakage Rate: defects found in production ÷ total defects for that release. Target: &lt; 5%. Reviewed per release, averaged quarterly.
2.	Defect Removal Efficiency · DRE: defects caught pre-release ÷ total defects × 100. Target: ≥ 90%.
3.	P0/P1 flow coverage: % of critical Peridot user journeys with executed test cases each release. Target: 100%.
4.	On-time QA sign-off: % of releases signed off within the planned QA window. Target: ≥ 95%.
5.	Identify automation tools and framework</t>
        </is>
      </c>
      <c r="EH420" s="53" t="n">
        <v>3</v>
      </c>
      <c r="EI420" s="53" t="inlineStr">
        <is>
          <t>Aprl 2026</t>
        </is>
      </c>
      <c r="EJ420" s="53" t="inlineStr">
        <is>
          <t>QA Engineer</t>
        </is>
      </c>
      <c r="EK420" s="53" t="inlineStr">
        <is>
          <t>No</t>
        </is>
      </c>
      <c r="EL420" s="53" t="n">
        <v>3</v>
      </c>
      <c r="EM420" s="53" t="inlineStr">
        <is>
          <t>Medium</t>
        </is>
      </c>
      <c r="EN420" s="53" t="inlineStr">
        <is>
          <t>Core Contributor</t>
        </is>
      </c>
      <c r="EO420" s="53" t="inlineStr">
        <is>
          <t>No</t>
        </is>
      </c>
      <c r="EP420" s="53" t="inlineStr">
        <is>
          <t>No</t>
        </is>
      </c>
      <c r="EQ420" s="53" t="inlineStr">
        <is>
          <t>Yes</t>
        </is>
      </c>
      <c r="ER420" s="53" t="n"/>
      <c r="ES420" s="53" t="inlineStr">
        <is>
          <t>AI for testing and automation</t>
        </is>
      </c>
      <c r="ET420" s="53" t="n"/>
      <c r="EU420" s="53" t="n"/>
      <c r="EV420" s="53" t="inlineStr">
        <is>
          <t>All</t>
        </is>
      </c>
      <c r="EW420" s="52" t="n"/>
      <c r="EX420" s="53" t="n"/>
      <c r="EY420" s="53" t="n"/>
      <c r="EZ420" s="53" t="n"/>
      <c r="FA420" s="53" t="n"/>
      <c r="FB420" s="53" t="n"/>
      <c r="FC420" s="53" t="n"/>
      <c r="FD420" s="53" t="inlineStr">
        <is>
          <t>IRIS2467</t>
        </is>
      </c>
      <c r="FE420" s="57" t="inlineStr">
        <is>
          <t>1.	Defect Leakage Rate: defects found in production ÷ total defects for that release. Target: &lt; 5%. Reviewed per release, averaged quarterly.
2.	Defect Removal Efficiency · DRE: defects caught pre-release ÷ total defects × 100. Target: ≥ 90%.
3.	P0/P1 flow coverage: % of critical Peridot user journeys with executed test cases each release. Target: 100%.
4.	On-time QA sign-off: % of releases signed off within the planned QA window. Target: ≥ 95%.
5.	Test cases authored and reviewed before dev-complete for ≥ 80% of stories.
6.	Bug report quality: % of bugs with complete repro steps, logs, and environment · spot-audited. Target: ≥ 90%.
7.	Regression automation coverage: % of regression suite automated. Target: set up automation reach upto 25%  by year-end.
8.	Improvement contributions - 2/3 process/tooling improvements or knowledge-sharing sessions over the year.
9. 2.	Crash-free sessions — ≥ 99.5% · shared with dev</t>
        </is>
      </c>
      <c r="FF420" s="56" t="inlineStr">
        <is>
          <t>1.	Defect Leakage Rate: defects found in production ÷ total defects for that release. Target: &lt; 5%. Reviewed per release, averaged quarterly.
2.	Defect Removal Efficiency · DRE: defects caught pre-release ÷ total defects × 100. Target: ≥ 90%.
3.	P0/P1 flow coverage: % of critical Peridot user journeys with executed test cases each release. Target: 100%.
4.	On-time QA sign-off: % of releases signed off within the planned QA window. Target: ≥ 95%.
5.	Identify automation tools and framework</t>
        </is>
      </c>
      <c r="FG420" s="56" t="n"/>
      <c r="FH420" s="56" t="inlineStr">
        <is>
          <t>3</t>
        </is>
      </c>
      <c r="FI420" s="56" t="n"/>
      <c r="FJ420" s="56" t="inlineStr">
        <is>
          <t>Received · manager annual, quarterly</t>
        </is>
      </c>
      <c r="FK420" s="56" t="inlineStr">
        <is>
          <t>Talent Mapping · Datatech</t>
        </is>
      </c>
      <c r="FL420" s="56" t="n">
        <v>20</v>
      </c>
      <c r="FM420" s="32" t="inlineStr">
        <is>
          <t>Full survey answers not in the files received · How We Grow export needed · HR</t>
        </is>
      </c>
      <c r="FN420" s="56" t="inlineStr">
        <is>
          <t>—</t>
        </is>
      </c>
      <c r="FO420" s="56" t="inlineStr">
        <is>
          <t>—</t>
        </is>
      </c>
      <c r="FP420" s="56" t="inlineStr">
        <is>
          <t>—</t>
        </is>
      </c>
      <c r="FQ420" s="56" t="inlineStr">
        <is>
          <t>—</t>
        </is>
      </c>
      <c r="FR420" s="56" t="inlineStr">
        <is>
          <t>Complexity: Evidence reads like A2: Analyses requirements, writes and executes test cases, logs and verifies bugs; manual, API, mobile testing → matches the start
Autonomy: Evidence reads like A2: Decides prioritisation of bug retests; escalates when needed → matches the start
Accountability: Evidence reads like A3: Owns sign-off decisions; a signed-off feature breaking in production reflects on own testing → moved up 0.5
Leadership: Evidence reads like A1: No guiding or leading of others described → matches the start
Business Impact: Moved +0.5: the survey / manager mapping marks it business-critical.</t>
        </is>
      </c>
      <c r="FS420" s="56"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FT420" s="56" t="inlineStr">
        <is>
          <t>Self-identified: AI / automation · Leadership &amp; people management · Technical depth &amp; architecture · Testing &amp; quality · Strategy &amp; business acumen · Broader exposure &amp; ownership
For the next role: AI / automation · Leadership &amp; people management · Technical depth &amp; architecture · Testing &amp; quality · Strategy &amp; business acumen · Broader exposure &amp; ownership</t>
        </is>
      </c>
      <c r="FU420" s="32" t="inlineStr">
        <is>
          <t>Full survey answers not in the files received · How We Grow export needed · HR</t>
        </is>
      </c>
    </row>
    <row r="421" ht="90" customHeight="1">
      <c r="A421" s="51" t="inlineStr">
        <is>
          <t>◂ Back</t>
        </is>
      </c>
      <c r="B421" s="29" t="inlineStr">
        <is>
          <t>Mapped</t>
        </is>
      </c>
      <c r="C421" s="28" t="inlineStr">
        <is>
          <t>Datatech</t>
        </is>
      </c>
      <c r="D421" s="29" t="inlineStr">
        <is>
          <t>IRISDT0020</t>
        </is>
      </c>
      <c r="E421" s="29" t="inlineStr">
        <is>
          <t>Utkarsh Sagar Bafana</t>
        </is>
      </c>
      <c r="F421" s="29" t="inlineStr">
        <is>
          <t>Technology</t>
        </is>
      </c>
      <c r="G421" s="29" t="inlineStr">
        <is>
          <t>UX Designer</t>
        </is>
      </c>
      <c r="H421" s="29" t="inlineStr">
        <is>
          <t>Senior Product Designer</t>
        </is>
      </c>
      <c r="I421" s="29" t="inlineStr">
        <is>
          <t>Not in current mapping files</t>
        </is>
      </c>
      <c r="J421" s="29" t="inlineStr">
        <is>
          <t>A3</t>
        </is>
      </c>
      <c r="K421" s="29" t="inlineStr">
        <is>
          <t>● Newly mapped</t>
        </is>
      </c>
      <c r="L421" s="29" t="inlineStr">
        <is>
          <t>Design &amp; Creative</t>
        </is>
      </c>
      <c r="M421" s="29" t="inlineStr">
        <is>
          <t>UX / UI Design</t>
        </is>
      </c>
      <c r="N421" s="29" t="n"/>
      <c r="O421" s="29" t="n">
        <v>20</v>
      </c>
      <c r="P421" s="28" t="inlineStr">
        <is>
          <t>P2</t>
        </is>
      </c>
      <c r="Q421" s="29" t="inlineStr">
        <is>
          <t>Developing</t>
        </is>
      </c>
      <c r="R421" s="29" t="inlineStr">
        <is>
          <t>3 Apply</t>
        </is>
      </c>
      <c r="S421" s="29" t="inlineStr">
        <is>
          <t>2–4 yrs</t>
        </is>
      </c>
      <c r="T421" s="29" t="inlineStr">
        <is>
          <t>3–5 · 2–5</t>
        </is>
      </c>
      <c r="U421" s="29" t="inlineStr">
        <is>
          <t>Designer</t>
        </is>
      </c>
      <c r="V421" s="29" t="inlineStr">
        <is>
          <t>IRIS Vs Competitor Benchmark — UX / design ladder: Designer</t>
        </is>
      </c>
      <c r="W421" s="29" t="inlineStr">
        <is>
          <t>UX career ladder Junior → Designer → Senior → Lead → Principal; WCAG accessibility</t>
        </is>
      </c>
      <c r="X421" s="29" t="inlineStr">
        <is>
          <t>Core 2 · Future 2 · Functional 3 · Leadership not scored</t>
        </is>
      </c>
      <c r="Y421" s="52" t="n">
        <v>558</v>
      </c>
      <c r="Z421" s="53" t="inlineStr">
        <is>
          <t>IRISDT0020</t>
        </is>
      </c>
      <c r="AA421" s="53" t="inlineStr">
        <is>
          <t>Employee</t>
        </is>
      </c>
      <c r="AB421" s="53" t="inlineStr">
        <is>
          <t>Active</t>
        </is>
      </c>
      <c r="AC421" s="53" t="inlineStr">
        <is>
          <t>Utkarsh Sagar Bafana</t>
        </is>
      </c>
      <c r="AD421" s="54" t="n">
        <v>46209</v>
      </c>
      <c r="AE421" s="53" t="inlineStr">
        <is>
          <t>UX Designer</t>
        </is>
      </c>
      <c r="AF421" s="53" t="inlineStr">
        <is>
          <t>Bachelors of Vocational Studies</t>
        </is>
      </c>
      <c r="AG421" s="53" t="inlineStr">
        <is>
          <t>Nilesh Majumdar</t>
        </is>
      </c>
      <c r="AH421" s="53" t="inlineStr">
        <is>
          <t>N-3</t>
        </is>
      </c>
      <c r="AI421" s="53" t="inlineStr">
        <is>
          <t>Individual Contributor</t>
        </is>
      </c>
      <c r="AJ421" s="53" t="inlineStr">
        <is>
          <t>4 years, 5 months, 4 days</t>
        </is>
      </c>
      <c r="AK421" s="53" t="inlineStr">
        <is>
          <t>0 years, 1 months, 19 days</t>
        </is>
      </c>
      <c r="AL421" s="53" t="inlineStr">
        <is>
          <t>Datatech</t>
        </is>
      </c>
      <c r="AM421" s="53" t="inlineStr">
        <is>
          <t>Datatech</t>
        </is>
      </c>
      <c r="AN421" s="53" t="inlineStr">
        <is>
          <t>Technology</t>
        </is>
      </c>
      <c r="AO421" s="53" t="inlineStr">
        <is>
          <t>Development</t>
        </is>
      </c>
      <c r="AP421" s="53" t="inlineStr">
        <is>
          <t>Yes</t>
        </is>
      </c>
      <c r="AQ421" s="53" t="inlineStr">
        <is>
          <t>Product/Project</t>
        </is>
      </c>
      <c r="AR421" s="53" t="inlineStr">
        <is>
          <t>UX Designer</t>
        </is>
      </c>
      <c r="AS421" s="53" t="inlineStr">
        <is>
          <t>Technical - Developer</t>
        </is>
      </c>
      <c r="AT421" s="53" t="n">
        <v>20</v>
      </c>
      <c r="AU421" s="53" t="inlineStr">
        <is>
          <t>Covered</t>
        </is>
      </c>
      <c r="AV421" s="53" t="n"/>
      <c r="AW421" s="53" t="n"/>
      <c r="AX421" s="53" t="n"/>
      <c r="AY421" s="53" t="n"/>
      <c r="AZ421" s="53" t="n"/>
      <c r="BA421" s="53" t="n"/>
      <c r="BB421" s="53" t="n"/>
      <c r="BC421" s="53" t="n"/>
      <c r="BD421" s="53" t="n"/>
      <c r="BE421" s="53" t="n"/>
      <c r="BF421" s="53" t="n"/>
      <c r="BG421" s="53" t="n"/>
      <c r="BH421" s="53" t="n"/>
      <c r="BI421" s="53" t="n"/>
      <c r="BJ421" s="53" t="n"/>
      <c r="BK421" s="53" t="n"/>
      <c r="BL421" s="53" t="n"/>
      <c r="BM421" s="53" t="n"/>
      <c r="BN421" s="53" t="n"/>
      <c r="BO421" s="53" t="n"/>
      <c r="BP421" s="53" t="n"/>
      <c r="BQ421" s="53" t="n"/>
      <c r="BR421" s="53" t="n"/>
      <c r="BS421" s="53" t="n"/>
      <c r="BT421" s="53" t="n"/>
      <c r="BU421" s="53" t="n"/>
      <c r="BV421" s="53" t="n"/>
      <c r="BW421" s="53" t="n"/>
      <c r="BX421" s="53" t="n"/>
      <c r="BY421" s="53" t="n"/>
      <c r="BZ421" s="53" t="n"/>
      <c r="CA421" s="53" t="n"/>
      <c r="CB421" s="53" t="n"/>
      <c r="CC421" s="53" t="n"/>
      <c r="CD421" s="53" t="n"/>
      <c r="CE421" s="53" t="n"/>
      <c r="CF421" s="53" t="n"/>
      <c r="CG421" s="53" t="n"/>
      <c r="CH421" s="53" t="n"/>
      <c r="CI421" s="53" t="n"/>
      <c r="CJ421" s="53" t="n"/>
      <c r="CK421" s="53" t="n"/>
      <c r="CL421" s="53" t="n"/>
      <c r="CM421" s="53" t="n"/>
      <c r="CN421" s="53" t="n"/>
      <c r="CO421" s="53" t="n"/>
      <c r="CP421" s="53" t="n"/>
      <c r="CQ421" s="53" t="n"/>
      <c r="CR421" s="53" t="n"/>
      <c r="CS421" s="53" t="n"/>
      <c r="CT421" s="53" t="n"/>
      <c r="CU421" s="53" t="n"/>
      <c r="CV421" s="53" t="n"/>
      <c r="CW421" s="53" t="n"/>
      <c r="CX421" s="53" t="n"/>
      <c r="CY421" s="53" t="n"/>
      <c r="CZ421" s="53" t="n"/>
      <c r="DA421" s="53" t="n"/>
      <c r="DB421" s="53" t="n"/>
      <c r="DC421" s="53" t="n"/>
      <c r="DD421" s="53" t="n"/>
      <c r="DE421" s="53" t="inlineStr">
        <is>
          <t>Employee</t>
        </is>
      </c>
      <c r="DF421" s="53" t="inlineStr">
        <is>
          <t>Active</t>
        </is>
      </c>
      <c r="DG421" s="53" t="inlineStr">
        <is>
          <t>Utkarsh Bafna</t>
        </is>
      </c>
      <c r="DH421" s="53" t="n"/>
      <c r="DI421" s="53" t="inlineStr">
        <is>
          <t>UX Designer</t>
        </is>
      </c>
      <c r="DJ421" s="53" t="n"/>
      <c r="DK421" s="53" t="n"/>
      <c r="DL421" s="53" t="n"/>
      <c r="DM421" s="53" t="n"/>
      <c r="DN421" s="53" t="n"/>
      <c r="DO421" s="53" t="inlineStr">
        <is>
          <t>Nilesh Majumdar</t>
        </is>
      </c>
      <c r="DP421" s="53" t="n"/>
      <c r="DQ421" s="53" t="n"/>
      <c r="DR421" s="53" t="n"/>
      <c r="DS421" s="53" t="n"/>
      <c r="DT421" s="53" t="n"/>
      <c r="DU421" s="53" t="n"/>
      <c r="DV421" s="53" t="inlineStr">
        <is>
          <t>Datatech</t>
        </is>
      </c>
      <c r="DW421" s="53" t="inlineStr">
        <is>
          <t>Datatech</t>
        </is>
      </c>
      <c r="DX421" s="53" t="inlineStr">
        <is>
          <t>Product Management</t>
        </is>
      </c>
      <c r="DY421" s="53" t="inlineStr">
        <is>
          <t>Client Engagement</t>
        </is>
      </c>
      <c r="DZ421" s="53" t="inlineStr">
        <is>
          <t>No</t>
        </is>
      </c>
      <c r="EA421" s="53" t="inlineStr">
        <is>
          <t>Client Engagement</t>
        </is>
      </c>
      <c r="EB421" s="53" t="inlineStr">
        <is>
          <t>Product Management</t>
        </is>
      </c>
      <c r="EC421" s="53" t="inlineStr">
        <is>
          <t>Technical · BA, PM and QA</t>
        </is>
      </c>
      <c r="ED421" s="53" t="inlineStr">
        <is>
          <t>Turbhe</t>
        </is>
      </c>
      <c r="EE421" s="53" t="n"/>
      <c r="EF421" s="53" t="n"/>
      <c r="EG421" s="53" t="n"/>
      <c r="EH421" s="53" t="n"/>
      <c r="EI421" s="53" t="n"/>
      <c r="EJ421" s="53" t="n"/>
      <c r="EK421" s="53" t="n"/>
      <c r="EL421" s="53" t="n"/>
      <c r="EM421" s="53" t="n"/>
      <c r="EN421" s="53" t="n"/>
      <c r="EO421" s="53" t="n"/>
      <c r="EP421" s="53" t="inlineStr">
        <is>
          <t>No</t>
        </is>
      </c>
      <c r="EQ421" s="53" t="n"/>
      <c r="ER421" s="53" t="n"/>
      <c r="ES421" s="53" t="n"/>
      <c r="ET421" s="53" t="n"/>
      <c r="EU421" s="53" t="n"/>
      <c r="EV421" s="53" t="inlineStr">
        <is>
          <t>All</t>
        </is>
      </c>
      <c r="EW421" s="52" t="n"/>
      <c r="EX421" s="53" t="n"/>
      <c r="EY421" s="53" t="n"/>
      <c r="EZ421" s="53" t="n"/>
      <c r="FA421" s="53" t="n"/>
      <c r="FB421" s="53" t="n"/>
      <c r="FC421" s="53" t="inlineStr">
        <is>
          <t>Employee Category; Employee Status; Employee Name; Designation; Reporting Manager; Business Line; Product/Others; Department; Sub Functional Categorization; Core Development; Functional Categorization; Skill Sets; Technical/Non-technical; Location; Fast Tracker · Y/N; Projects/Delivery/client Assigned</t>
        </is>
      </c>
      <c r="FD421" s="53" t="n"/>
      <c r="FE421" s="55" t="inlineStr">
        <is>
          <t>KRAs not received · manager to supply</t>
        </is>
      </c>
      <c r="FF421" s="56" t="n"/>
      <c r="FG421" s="56" t="n"/>
      <c r="FH421" s="56" t="n"/>
      <c r="FI421" s="56" t="n"/>
      <c r="FJ421" s="32" t="inlineStr">
        <is>
          <t>KRAs not received · manager to supply</t>
        </is>
      </c>
      <c r="FK421" s="56" t="n"/>
      <c r="FL421" s="56" t="n">
        <v>20</v>
      </c>
      <c r="FM421" s="32" t="inlineStr">
        <is>
          <t>Full survey answers not in the files received · How We Grow export needed · HR</t>
        </is>
      </c>
      <c r="FN421" s="56" t="inlineStr">
        <is>
          <t>—</t>
        </is>
      </c>
      <c r="FO421" s="56" t="inlineStr">
        <is>
          <t>—</t>
        </is>
      </c>
      <c r="FP421" s="56" t="inlineStr">
        <is>
          <t>—</t>
        </is>
      </c>
      <c r="FQ421" s="56" t="inlineStr">
        <is>
          <t>—</t>
        </is>
      </c>
      <c r="FR421" s="56" t="inlineStr">
        <is>
          <t>Complexity: Evidence reads like A2: Research, information architecture, wireframes, UI and interaction design in Figma; no harder cases shown → moved down 0.5
Autonomy: Evidence reads like A2: Only 'ideating solutions' named; changes design on feedback → moved down 0.5
Accountability: Evidence reads like A2: Wireframes and UI designs handed to developers → moved down 0.5
Leadership: Evidence reads like A1: None described → moved down 0.5
Business Impact: No survey or manager-mapping signal on criticality: kept at the start point.</t>
        </is>
      </c>
      <c r="FS421" s="56" t="n"/>
      <c r="FT421" s="56" t="inlineStr">
        <is>
          <t>Self-identified: Product &amp; tool knowledge
For the next role: Product &amp; tool knowledge</t>
        </is>
      </c>
      <c r="FU421" s="32" t="inlineStr">
        <is>
          <t>Full survey answers not in the files received · How We Grow export needed · HR</t>
        </is>
      </c>
    </row>
    <row r="422" ht="90" customHeight="1">
      <c r="A422" s="51" t="inlineStr">
        <is>
          <t>◂ Back</t>
        </is>
      </c>
      <c r="B422" s="29" t="inlineStr">
        <is>
          <t>Mapped</t>
        </is>
      </c>
      <c r="C422" s="28" t="inlineStr">
        <is>
          <t>Datatech</t>
        </is>
      </c>
      <c r="D422" s="29" t="inlineStr">
        <is>
          <t>IRISDTN001</t>
        </is>
      </c>
      <c r="E422" s="29" t="inlineStr">
        <is>
          <t>Riyanka Dey</t>
        </is>
      </c>
      <c r="F422" s="29" t="inlineStr">
        <is>
          <t>Technology</t>
        </is>
      </c>
      <c r="G422" s="29" t="inlineStr">
        <is>
          <t>Intern</t>
        </is>
      </c>
      <c r="H422" s="29" t="inlineStr">
        <is>
          <t>Intern – Product Operations &amp; Research</t>
        </is>
      </c>
      <c r="I422" s="29" t="inlineStr">
        <is>
          <t>Not in current mapping files</t>
        </is>
      </c>
      <c r="J422" s="29" t="inlineStr">
        <is>
          <t>A1</t>
        </is>
      </c>
      <c r="K422" s="29" t="inlineStr">
        <is>
          <t>● Newly mapped</t>
        </is>
      </c>
      <c r="L422" s="29" t="inlineStr">
        <is>
          <t>Product Management</t>
        </is>
      </c>
      <c r="M422" s="29" t="inlineStr">
        <is>
          <t>Product Operations &amp; Research</t>
        </is>
      </c>
      <c r="N422" s="29" t="n"/>
      <c r="O422" s="29" t="n">
        <v>20</v>
      </c>
      <c r="P422" s="28" t="inlineStr">
        <is>
          <t>Entry / P1 · intern</t>
        </is>
      </c>
      <c r="Q422" s="29" t="inlineStr">
        <is>
          <t>Entry</t>
        </is>
      </c>
      <c r="R422" s="29" t="inlineStr">
        <is>
          <t>1 Follow</t>
        </is>
      </c>
      <c r="S422" s="29" t="inlineStr">
        <is>
          <t>0 yrs · fresher / intern</t>
        </is>
      </c>
      <c r="T422" s="29" t="inlineStr">
        <is>
          <t>—</t>
        </is>
      </c>
      <c r="U422" s="29" t="inlineStr">
        <is>
          <t>Product Analyst</t>
        </is>
      </c>
      <c r="V422" s="29" t="inlineStr">
        <is>
          <t>—</t>
        </is>
      </c>
      <c r="W422" s="29" t="inlineStr">
        <is>
          <t>Pragmatic Institute Framework · 37 activities, 7 categories; AIPMM</t>
        </is>
      </c>
      <c r="X422" s="29" t="inlineStr">
        <is>
          <t>Core 1 · Future 1 · Functional 1 · Leadership not scored</t>
        </is>
      </c>
      <c r="Y422" s="52" t="n">
        <v>561</v>
      </c>
      <c r="Z422" s="53" t="inlineStr">
        <is>
          <t>IRISDTN001</t>
        </is>
      </c>
      <c r="AA422" s="53" t="inlineStr">
        <is>
          <t>Intern</t>
        </is>
      </c>
      <c r="AB422" s="53" t="inlineStr">
        <is>
          <t>Active</t>
        </is>
      </c>
      <c r="AC422" s="53" t="inlineStr">
        <is>
          <t>Riyanka Dey</t>
        </is>
      </c>
      <c r="AD422" s="54" t="n">
        <v>46240</v>
      </c>
      <c r="AE422" s="53" t="inlineStr">
        <is>
          <t>Intern</t>
        </is>
      </c>
      <c r="AF422" s="53" t="inlineStr">
        <is>
          <t>B.E</t>
        </is>
      </c>
      <c r="AG422" s="53" t="inlineStr">
        <is>
          <t>Nilesh Majumdar</t>
        </is>
      </c>
      <c r="AH422" s="53" t="inlineStr">
        <is>
          <t>N-3</t>
        </is>
      </c>
      <c r="AI422" s="53" t="inlineStr">
        <is>
          <t>Individual Contributor</t>
        </is>
      </c>
      <c r="AJ422" s="53" t="inlineStr">
        <is>
          <t>0 years, 6 months, 0 days</t>
        </is>
      </c>
      <c r="AK422" s="53" t="inlineStr">
        <is>
          <t>0 years, 0 months, 19 days</t>
        </is>
      </c>
      <c r="AL422" s="53" t="inlineStr">
        <is>
          <t>Datatech</t>
        </is>
      </c>
      <c r="AM422" s="53" t="inlineStr">
        <is>
          <t>Datatech</t>
        </is>
      </c>
      <c r="AN422" s="53" t="inlineStr">
        <is>
          <t>Technology</t>
        </is>
      </c>
      <c r="AO422" s="53" t="inlineStr">
        <is>
          <t>Development</t>
        </is>
      </c>
      <c r="AP422" s="53" t="n"/>
      <c r="AQ422" s="53" t="n"/>
      <c r="AR422" s="53" t="inlineStr">
        <is>
          <t>Data Analyst</t>
        </is>
      </c>
      <c r="AS422" s="53" t="n"/>
      <c r="AT422" s="53" t="n">
        <v>20</v>
      </c>
      <c r="AU422" s="53" t="inlineStr">
        <is>
          <t>Covered</t>
        </is>
      </c>
      <c r="AV422" s="53" t="n"/>
      <c r="AW422" s="53" t="n"/>
      <c r="AX422" s="53" t="n"/>
      <c r="AY422" s="53" t="n"/>
      <c r="AZ422" s="53" t="n"/>
      <c r="BA422" s="53" t="n"/>
      <c r="BB422" s="53" t="n"/>
      <c r="BC422" s="53" t="n"/>
      <c r="BD422" s="53" t="n"/>
      <c r="BE422" s="53" t="n"/>
      <c r="BF422" s="53" t="n"/>
      <c r="BG422" s="53" t="n"/>
      <c r="BH422" s="53" t="n"/>
      <c r="BI422" s="53" t="n"/>
      <c r="BJ422" s="53" t="n"/>
      <c r="BK422" s="53" t="n"/>
      <c r="BL422" s="53" t="n"/>
      <c r="BM422" s="53" t="n"/>
      <c r="BN422" s="53" t="n"/>
      <c r="BO422" s="53" t="n"/>
      <c r="BP422" s="53" t="n"/>
      <c r="BQ422" s="53" t="n"/>
      <c r="BR422" s="53" t="n"/>
      <c r="BS422" s="53" t="n"/>
      <c r="BT422" s="53" t="n"/>
      <c r="BU422" s="53" t="n"/>
      <c r="BV422" s="53" t="n"/>
      <c r="BW422" s="53" t="n"/>
      <c r="BX422" s="53" t="n"/>
      <c r="BY422" s="53" t="n"/>
      <c r="BZ422" s="53" t="n"/>
      <c r="CA422" s="53" t="n"/>
      <c r="CB422" s="53" t="n"/>
      <c r="CC422" s="53" t="n"/>
      <c r="CD422" s="53" t="n"/>
      <c r="CE422" s="53" t="n"/>
      <c r="CF422" s="53" t="n"/>
      <c r="CG422" s="53" t="n"/>
      <c r="CH422" s="53" t="n"/>
      <c r="CI422" s="53" t="n"/>
      <c r="CJ422" s="53" t="n"/>
      <c r="CK422" s="53" t="n"/>
      <c r="CL422" s="53" t="n"/>
      <c r="CM422" s="53" t="n"/>
      <c r="CN422" s="53" t="n"/>
      <c r="CO422" s="53" t="n"/>
      <c r="CP422" s="53" t="n"/>
      <c r="CQ422" s="53" t="n"/>
      <c r="CR422" s="53" t="n"/>
      <c r="CS422" s="53" t="n"/>
      <c r="CT422" s="53" t="n"/>
      <c r="CU422" s="53" t="n"/>
      <c r="CV422" s="53" t="n"/>
      <c r="CW422" s="53" t="n"/>
      <c r="CX422" s="53" t="n"/>
      <c r="CY422" s="53" t="n"/>
      <c r="CZ422" s="53" t="n"/>
      <c r="DA422" s="53" t="n"/>
      <c r="DB422" s="53" t="n"/>
      <c r="DC422" s="53" t="n"/>
      <c r="DD422" s="53" t="n"/>
      <c r="DE422" s="53" t="n"/>
      <c r="DF422" s="53" t="n"/>
      <c r="DG422" s="53" t="n"/>
      <c r="DH422" s="53" t="n"/>
      <c r="DI422" s="53" t="n"/>
      <c r="DJ422" s="53" t="n"/>
      <c r="DK422" s="53" t="n"/>
      <c r="DL422" s="53" t="n"/>
      <c r="DM422" s="53" t="n"/>
      <c r="DN422" s="53" t="n"/>
      <c r="DO422" s="53" t="n"/>
      <c r="DP422" s="53" t="n"/>
      <c r="DQ422" s="53" t="n"/>
      <c r="DR422" s="53" t="n"/>
      <c r="DS422" s="53" t="n"/>
      <c r="DT422" s="53" t="n"/>
      <c r="DU422" s="53" t="n"/>
      <c r="DV422" s="53" t="n"/>
      <c r="DW422" s="53" t="n"/>
      <c r="DX422" s="53" t="n"/>
      <c r="DY422" s="53" t="n"/>
      <c r="DZ422" s="53" t="n"/>
      <c r="EA422" s="53" t="n"/>
      <c r="EB422" s="53" t="n"/>
      <c r="EC422" s="53" t="n"/>
      <c r="ED422" s="53" t="n"/>
      <c r="EE422" s="53" t="n"/>
      <c r="EF422" s="53" t="n"/>
      <c r="EG422" s="53" t="n"/>
      <c r="EH422" s="53" t="n"/>
      <c r="EI422" s="53" t="n"/>
      <c r="EJ422" s="53" t="n"/>
      <c r="EK422" s="53" t="n"/>
      <c r="EL422" s="53" t="n"/>
      <c r="EM422" s="53" t="n"/>
      <c r="EN422" s="53" t="n"/>
      <c r="EO422" s="53" t="n"/>
      <c r="EP422" s="53" t="n"/>
      <c r="EQ422" s="53" t="n"/>
      <c r="ER422" s="53" t="n"/>
      <c r="ES422" s="53" t="n"/>
      <c r="ET422" s="53" t="n"/>
      <c r="EU422" s="53" t="n"/>
      <c r="EV422" s="53" t="n"/>
      <c r="EW422" s="52" t="n"/>
      <c r="EX422" s="53" t="n"/>
      <c r="EY422" s="53" t="n"/>
      <c r="EZ422" s="53" t="n"/>
      <c r="FA422" s="53" t="n"/>
      <c r="FB422" s="53" t="n"/>
      <c r="FC422" s="53" t="n"/>
      <c r="FD422" s="53" t="n"/>
      <c r="FE422" s="55" t="inlineStr">
        <is>
          <t>KRAs not received · manager to supply</t>
        </is>
      </c>
      <c r="FF422" s="56" t="n"/>
      <c r="FG422" s="56" t="n"/>
      <c r="FH422" s="56" t="n"/>
      <c r="FI422" s="56" t="n"/>
      <c r="FJ422" s="32" t="inlineStr">
        <is>
          <t>KRAs not received · manager to supply</t>
        </is>
      </c>
      <c r="FK422" s="56" t="n"/>
      <c r="FL422" s="56" t="n">
        <v>20</v>
      </c>
      <c r="FM422" s="32" t="inlineStr">
        <is>
          <t>Full survey answers not in the files received · How We Grow export needed · HR</t>
        </is>
      </c>
      <c r="FN422" s="56" t="inlineStr">
        <is>
          <t>—</t>
        </is>
      </c>
      <c r="FO422" s="56" t="inlineStr">
        <is>
          <t>—</t>
        </is>
      </c>
      <c r="FP422" s="56" t="inlineStr">
        <is>
          <t>—</t>
        </is>
      </c>
      <c r="FQ422" s="56" t="inlineStr">
        <is>
          <t>—</t>
        </is>
      </c>
      <c r="FR422" s="56" t="n"/>
      <c r="FS422" s="56" t="n"/>
      <c r="FT422" s="56" t="inlineStr">
        <is>
          <t>Self-identified: Domain, regulatory &amp; XBRL · Product &amp; tool knowledge · Strategy &amp; business acumen · Broader exposure &amp; ownership
For the next role: Domain, regulatory &amp; XBRL · Product &amp; tool knowledge · Strategy &amp; business acumen · Broader exposure &amp; ownership</t>
        </is>
      </c>
      <c r="FU422" s="32" t="inlineStr">
        <is>
          <t>Full survey answers not in the files received · How We Grow export needed · HR</t>
        </is>
      </c>
    </row>
    <row r="423" ht="90" customHeight="1">
      <c r="A423" s="51" t="inlineStr">
        <is>
          <t>◂ Back</t>
        </is>
      </c>
      <c r="B423" s="29" t="inlineStr">
        <is>
          <t>Mapped</t>
        </is>
      </c>
      <c r="C423" s="28" t="inlineStr">
        <is>
          <t>Datatech</t>
        </is>
      </c>
      <c r="D423" s="29" t="inlineStr">
        <is>
          <t>IRISDT0011</t>
        </is>
      </c>
      <c r="E423" s="29" t="inlineStr">
        <is>
          <t>Raghin Nair</t>
        </is>
      </c>
      <c r="F423" s="29" t="inlineStr">
        <is>
          <t>Datatech - Outreach</t>
        </is>
      </c>
      <c r="G423" s="29" t="inlineStr">
        <is>
          <t>Program Lead</t>
        </is>
      </c>
      <c r="H423" s="29" t="inlineStr">
        <is>
          <t>Program Manager – Outreach</t>
        </is>
      </c>
      <c r="I423" s="29" t="inlineStr">
        <is>
          <t>L5 – Lead · IC</t>
        </is>
      </c>
      <c r="J423" s="29" t="inlineStr">
        <is>
          <t>B2</t>
        </is>
      </c>
      <c r="K423" s="29" t="inlineStr">
        <is>
          <t>▼ Down · protected</t>
        </is>
      </c>
      <c r="L423" s="29" t="inlineStr">
        <is>
          <t>Sales &amp; Business Development</t>
        </is>
      </c>
      <c r="M423" s="29" t="inlineStr">
        <is>
          <t>Field Outreach &amp; Programme Sales</t>
        </is>
      </c>
      <c r="N423" s="29" t="n"/>
      <c r="O423" s="29" t="n">
        <v>20</v>
      </c>
      <c r="P423" s="28" t="inlineStr">
        <is>
          <t>P4 / M3</t>
        </is>
      </c>
      <c r="Q423" s="29" t="inlineStr">
        <is>
          <t>Senior / Manager</t>
        </is>
      </c>
      <c r="R423" s="29" t="inlineStr">
        <is>
          <t>4–5</t>
        </is>
      </c>
      <c r="S423" s="29" t="inlineStr">
        <is>
          <t>6–9 yrs</t>
        </is>
      </c>
      <c r="T423" s="29" t="inlineStr">
        <is>
          <t>7–10 · 6–11</t>
        </is>
      </c>
      <c r="U423" s="29" t="inlineStr">
        <is>
          <t>Manager</t>
        </is>
      </c>
      <c r="V423" s="29" t="inlineStr">
        <is>
          <t>IRIS Vs Competitor Benchmark — SaaS sales ladder — IC: Mid-Market AE · IRIS Vs Competitor Benchmark — SaaS sales ladder — management: Sales Manager</t>
        </is>
      </c>
      <c r="W423" s="29" t="inlineStr">
        <is>
          <t>SaaS sales ladder · SDR → AE → Enterprise AE → VP / CRO; MEDDICC-style qualification</t>
        </is>
      </c>
      <c r="X423" s="29" t="inlineStr">
        <is>
          <t>Core 3 · Future 3 · Functional 4 · Leadership 3</t>
        </is>
      </c>
      <c r="Y423" s="52" t="n">
        <v>546</v>
      </c>
      <c r="Z423" s="53" t="inlineStr">
        <is>
          <t>IRISDT0011</t>
        </is>
      </c>
      <c r="AA423" s="53" t="inlineStr">
        <is>
          <t>Employee</t>
        </is>
      </c>
      <c r="AB423" s="53" t="inlineStr">
        <is>
          <t>Active</t>
        </is>
      </c>
      <c r="AC423" s="53" t="inlineStr">
        <is>
          <t>Raghin Nair</t>
        </is>
      </c>
      <c r="AD423" s="54" t="n">
        <v>45946</v>
      </c>
      <c r="AE423" s="53" t="inlineStr">
        <is>
          <t>Program Lead</t>
        </is>
      </c>
      <c r="AF423" s="53" t="inlineStr">
        <is>
          <t>B.Com</t>
        </is>
      </c>
      <c r="AG423" s="53" t="inlineStr">
        <is>
          <t>Shilpa Dhobale</t>
        </is>
      </c>
      <c r="AH423" s="53" t="inlineStr">
        <is>
          <t>N-2</t>
        </is>
      </c>
      <c r="AI423" s="53" t="inlineStr">
        <is>
          <t>Manager</t>
        </is>
      </c>
      <c r="AJ423" s="53" t="inlineStr">
        <is>
          <t>18 years, 6 months, 0 days</t>
        </is>
      </c>
      <c r="AK423" s="53" t="inlineStr">
        <is>
          <t>0 years, 10 months, 9 days</t>
        </is>
      </c>
      <c r="AL423" s="53" t="inlineStr">
        <is>
          <t>Datatech</t>
        </is>
      </c>
      <c r="AM423" s="53" t="inlineStr">
        <is>
          <t>Datatech</t>
        </is>
      </c>
      <c r="AN423" s="53" t="inlineStr">
        <is>
          <t>Datatech - Outreach</t>
        </is>
      </c>
      <c r="AO423" s="53" t="inlineStr">
        <is>
          <t>Sales</t>
        </is>
      </c>
      <c r="AP423" s="53" t="inlineStr">
        <is>
          <t>No</t>
        </is>
      </c>
      <c r="AQ423" s="53" t="inlineStr">
        <is>
          <t>Sales, Marketing &amp; Support</t>
        </is>
      </c>
      <c r="AR423" s="53" t="inlineStr">
        <is>
          <t>Sales</t>
        </is>
      </c>
      <c r="AS423" s="53" t="inlineStr">
        <is>
          <t>Technical · BA, PM and QA</t>
        </is>
      </c>
      <c r="AT423" s="53" t="n">
        <v>20</v>
      </c>
      <c r="AU423" s="53" t="inlineStr">
        <is>
          <t>Covered</t>
        </is>
      </c>
      <c r="AV423" s="53" t="n"/>
      <c r="AW423" s="53" t="n"/>
      <c r="AX423" s="53" t="n"/>
      <c r="AY423" s="53" t="n"/>
      <c r="AZ423" s="53" t="n"/>
      <c r="BA423" s="53" t="n"/>
      <c r="BB423" s="53" t="n"/>
      <c r="BC423" s="53" t="n"/>
      <c r="BD423" s="53" t="n"/>
      <c r="BE423" s="53" t="n"/>
      <c r="BF423" s="53" t="n"/>
      <c r="BG423" s="53" t="n"/>
      <c r="BH423" s="53" t="n"/>
      <c r="BI423" s="53" t="n"/>
      <c r="BJ423" s="53" t="n"/>
      <c r="BK423" s="53" t="n"/>
      <c r="BL423" s="53" t="n"/>
      <c r="BM423" s="53" t="n"/>
      <c r="BN423" s="53" t="n"/>
      <c r="BO423" s="53" t="n"/>
      <c r="BP423" s="53" t="n"/>
      <c r="BQ423" s="53" t="n"/>
      <c r="BR423" s="53" t="n"/>
      <c r="BS423" s="53" t="n"/>
      <c r="BT423" s="53" t="n"/>
      <c r="BU423" s="53" t="n"/>
      <c r="BV423" s="53" t="n"/>
      <c r="BW423" s="53" t="n"/>
      <c r="BX423" s="53" t="n"/>
      <c r="BY423" s="53" t="n"/>
      <c r="BZ423" s="53" t="n"/>
      <c r="CA423" s="53" t="n"/>
      <c r="CB423" s="53" t="n"/>
      <c r="CC423" s="53" t="n"/>
      <c r="CD423" s="53" t="n"/>
      <c r="CE423" s="53" t="n"/>
      <c r="CF423" s="53" t="n"/>
      <c r="CG423" s="53" t="n"/>
      <c r="CH423" s="53" t="n"/>
      <c r="CI423" s="53" t="n"/>
      <c r="CJ423" s="53" t="n"/>
      <c r="CK423" s="53" t="n"/>
      <c r="CL423" s="53" t="n"/>
      <c r="CM423" s="53" t="n"/>
      <c r="CN423" s="53" t="n"/>
      <c r="CO423" s="53" t="n"/>
      <c r="CP423" s="53" t="n"/>
      <c r="CQ423" s="53" t="n"/>
      <c r="CR423" s="53" t="n"/>
      <c r="CS423" s="53" t="n"/>
      <c r="CT423" s="53" t="n"/>
      <c r="CU423" s="53" t="n"/>
      <c r="CV423" s="53" t="n"/>
      <c r="CW423" s="53" t="n"/>
      <c r="CX423" s="53" t="n"/>
      <c r="CY423" s="53" t="n"/>
      <c r="CZ423" s="53" t="n"/>
      <c r="DA423" s="53" t="n"/>
      <c r="DB423" s="53" t="n"/>
      <c r="DC423" s="53" t="n"/>
      <c r="DD423" s="53" t="inlineStr">
        <is>
          <t>IRIS2439</t>
        </is>
      </c>
      <c r="DE423" s="53" t="inlineStr">
        <is>
          <t>Employee</t>
        </is>
      </c>
      <c r="DF423" s="53" t="inlineStr">
        <is>
          <t>Active</t>
        </is>
      </c>
      <c r="DG423" s="53" t="inlineStr">
        <is>
          <t>Raghin Nair</t>
        </is>
      </c>
      <c r="DH423" s="54" t="n">
        <v>45946</v>
      </c>
      <c r="DI423" s="53" t="inlineStr">
        <is>
          <t>Program Lead</t>
        </is>
      </c>
      <c r="DJ423" s="53" t="inlineStr">
        <is>
          <t>Project &amp; Program Management</t>
        </is>
      </c>
      <c r="DK423" s="53" t="inlineStr">
        <is>
          <t>Program Management</t>
        </is>
      </c>
      <c r="DL423" s="53" t="inlineStr">
        <is>
          <t>Program Lead</t>
        </is>
      </c>
      <c r="DM423" s="53" t="inlineStr">
        <is>
          <t>L5 – Lead · IC</t>
        </is>
      </c>
      <c r="DN423" s="53" t="inlineStr">
        <is>
          <t>B.Com</t>
        </is>
      </c>
      <c r="DO423" s="53" t="inlineStr">
        <is>
          <t>Shilpa Dhobale</t>
        </is>
      </c>
      <c r="DP423" s="53" t="inlineStr">
        <is>
          <t>N-2</t>
        </is>
      </c>
      <c r="DQ423" s="53" t="inlineStr">
        <is>
          <t>Manager</t>
        </is>
      </c>
      <c r="DR423" s="53" t="inlineStr">
        <is>
          <t>18 years, 6 months, 0 days</t>
        </is>
      </c>
      <c r="DS423" s="53" t="inlineStr">
        <is>
          <t>0 years, 8 months, 4 days</t>
        </is>
      </c>
      <c r="DT423" s="53" t="inlineStr">
        <is>
          <t>19 years, 2 months, 4 days</t>
        </is>
      </c>
      <c r="DU423" s="53" t="n">
        <v>0.677625570776256</v>
      </c>
      <c r="DV423" s="53" t="inlineStr">
        <is>
          <t>Datatech</t>
        </is>
      </c>
      <c r="DW423" s="53" t="inlineStr">
        <is>
          <t>Datatech</t>
        </is>
      </c>
      <c r="DX423" s="53" t="inlineStr">
        <is>
          <t>Datatech - Outreach</t>
        </is>
      </c>
      <c r="DY423" s="53" t="inlineStr">
        <is>
          <t>Client Engagement</t>
        </is>
      </c>
      <c r="DZ423" s="53" t="inlineStr">
        <is>
          <t>No</t>
        </is>
      </c>
      <c r="EA423" s="53" t="inlineStr">
        <is>
          <t>Client Engagement</t>
        </is>
      </c>
      <c r="EB423" s="53" t="inlineStr">
        <is>
          <t>Product Management</t>
        </is>
      </c>
      <c r="EC423" s="53" t="inlineStr">
        <is>
          <t>Technical · BA, PM and QA</t>
        </is>
      </c>
      <c r="ED423" s="53" t="inlineStr">
        <is>
          <t>Turbhe</t>
        </is>
      </c>
      <c r="EE423" s="53" t="n"/>
      <c r="EF423" s="53" t="n"/>
      <c r="EG423" s="53" t="n"/>
      <c r="EH423" s="53" t="n">
        <v>3</v>
      </c>
      <c r="EI423" s="53" t="n"/>
      <c r="EJ423" s="53" t="inlineStr">
        <is>
          <t>Program Lead</t>
        </is>
      </c>
      <c r="EK423" s="53" t="inlineStr">
        <is>
          <t>Yes</t>
        </is>
      </c>
      <c r="EL423" s="53" t="n">
        <v>3</v>
      </c>
      <c r="EM423" s="53" t="n">
        <v>3</v>
      </c>
      <c r="EN423" s="53" t="inlineStr">
        <is>
          <t>Core Contributor</t>
        </is>
      </c>
      <c r="EO423" s="53" t="inlineStr">
        <is>
          <t>No</t>
        </is>
      </c>
      <c r="EP423" s="53" t="inlineStr">
        <is>
          <t>No</t>
        </is>
      </c>
      <c r="EQ423" s="53" t="inlineStr">
        <is>
          <t>Yes</t>
        </is>
      </c>
      <c r="ER423" s="53" t="n"/>
      <c r="ES423" s="53" t="n"/>
      <c r="ET423" s="53" t="n"/>
      <c r="EU423" s="53" t="n"/>
      <c r="EV423" s="53" t="inlineStr">
        <is>
          <t>All</t>
        </is>
      </c>
      <c r="EW423" s="52" t="n"/>
      <c r="EX423" s="53" t="n"/>
      <c r="EY423" s="53" t="n"/>
      <c r="EZ423" s="53" t="n"/>
      <c r="FA423" s="53" t="n"/>
      <c r="FB423" s="53" t="n"/>
      <c r="FC423" s="53" t="n"/>
      <c r="FD423" s="53" t="inlineStr">
        <is>
          <t>IRIS2439</t>
        </is>
      </c>
      <c r="FE423" s="55" t="inlineStr">
        <is>
          <t>KRAs not received · manager to supply</t>
        </is>
      </c>
      <c r="FF423" s="56" t="n"/>
      <c r="FG423" s="56" t="n"/>
      <c r="FH423" s="56" t="inlineStr">
        <is>
          <t>3</t>
        </is>
      </c>
      <c r="FI423" s="56" t="n"/>
      <c r="FJ423" s="32" t="inlineStr">
        <is>
          <t>KRAs not received · manager to supply</t>
        </is>
      </c>
      <c r="FK423" s="56" t="inlineStr">
        <is>
          <t>Talent Mapping · Datatech</t>
        </is>
      </c>
      <c r="FL423" s="56" t="n">
        <v>20</v>
      </c>
      <c r="FM423" s="32" t="inlineStr">
        <is>
          <t>Full survey answers not in the files received · How We Grow export needed · HR</t>
        </is>
      </c>
      <c r="FN423" s="56" t="inlineStr">
        <is>
          <t>—</t>
        </is>
      </c>
      <c r="FO423" s="56" t="inlineStr">
        <is>
          <t>—</t>
        </is>
      </c>
      <c r="FP423" s="56" t="inlineStr">
        <is>
          <t>—</t>
        </is>
      </c>
      <c r="FQ423" s="56" t="inlineStr">
        <is>
          <t>—</t>
        </is>
      </c>
      <c r="FR423" s="56" t="inlineStr">
        <is>
          <t>Complexity: Evidence reads like B1: Runs MSME programme sales and operations with product / marketing and partner coordination → moved down 0.5
Autonomy: Evidence reads like B1: States 'operational decisions' for programme and team; nothing on budget or pricing → moved down 0.5
Accountability: Evidence reads like B2: Programme growth, team performance and business targets → matches the start
Leadership: Evidence reads like B2: Lists team management and team performance; 6 direct reports → matches the start
Business Impact: Moved +0.5: the survey / manager mapping marks it business-critical.</t>
        </is>
      </c>
      <c r="FS423" s="56" t="inlineStr">
        <is>
          <t>Common themes in sub-family holders, all levels' answers: msme · business · relationships · building · partners · services
Common themes in sub-family holders, all levels' answers: business · loan · management · development · relationship · lead
Common themes in sub-family holders, all levels' answers: sales · business
Common themes in sub-family holders, all levels' answers: business · am · opportunities · accountable · msme · loan
Common themes in sub-family holders, all levels' answers: leads · identify · business · potential · follow · sales
If the work is missed · role-holders' themes: business · customer · lead · delays.</t>
        </is>
      </c>
      <c r="FT423" s="56" t="inlineStr">
        <is>
          <t>Self-identified: Data, SQL &amp; analytics · Client, sales &amp; stakeholders · Strategy &amp; business acumen
For the next role: Data, SQL &amp; analytics · Client, sales &amp; stakeholders · Strategy &amp; business acumen</t>
        </is>
      </c>
      <c r="FU423" s="32" t="inlineStr">
        <is>
          <t>Full survey answers not in the files received · How We Grow export needed · HR</t>
        </is>
      </c>
    </row>
    <row r="424" ht="90" customHeight="1">
      <c r="A424" s="51" t="inlineStr">
        <is>
          <t>◂ Back</t>
        </is>
      </c>
      <c r="B424" s="29" t="inlineStr">
        <is>
          <t>Mapped</t>
        </is>
      </c>
      <c r="C424" s="28" t="inlineStr">
        <is>
          <t>Datatech</t>
        </is>
      </c>
      <c r="D424" s="29" t="inlineStr">
        <is>
          <t>IRISDT0012</t>
        </is>
      </c>
      <c r="E424" s="29" t="inlineStr">
        <is>
          <t>Jeevan Khokale</t>
        </is>
      </c>
      <c r="F424" s="29" t="inlineStr">
        <is>
          <t>Datatech - Outreach</t>
        </is>
      </c>
      <c r="G424" s="29" t="inlineStr">
        <is>
          <t>Program Manager</t>
        </is>
      </c>
      <c r="H424" s="29" t="inlineStr">
        <is>
          <t>Senior Program Specialist – POD Lead</t>
        </is>
      </c>
      <c r="I424" s="29" t="inlineStr">
        <is>
          <t>L5 – Manager</t>
        </is>
      </c>
      <c r="J424" s="29" t="inlineStr">
        <is>
          <t>B2</t>
        </is>
      </c>
      <c r="K424" s="29" t="inlineStr">
        <is>
          <t>• Same level</t>
        </is>
      </c>
      <c r="L424" s="29" t="inlineStr">
        <is>
          <t>Sales &amp; Business Development</t>
        </is>
      </c>
      <c r="M424" s="29" t="inlineStr">
        <is>
          <t>Field Outreach &amp; Programme Sales</t>
        </is>
      </c>
      <c r="N424" s="29" t="n"/>
      <c r="O424" s="29" t="n">
        <v>20</v>
      </c>
      <c r="P424" s="28" t="inlineStr">
        <is>
          <t>P4 / M3</t>
        </is>
      </c>
      <c r="Q424" s="29" t="inlineStr">
        <is>
          <t>Senior / Manager</t>
        </is>
      </c>
      <c r="R424" s="29" t="inlineStr">
        <is>
          <t>4–5</t>
        </is>
      </c>
      <c r="S424" s="29" t="inlineStr">
        <is>
          <t>6–9 yrs</t>
        </is>
      </c>
      <c r="T424" s="29" t="inlineStr">
        <is>
          <t>7–10 · 6–11</t>
        </is>
      </c>
      <c r="U424" s="29" t="inlineStr">
        <is>
          <t>Senior Account Executive</t>
        </is>
      </c>
      <c r="V424" s="29" t="inlineStr">
        <is>
          <t>IRIS Vs Competitor Benchmark — SaaS sales ladder — IC: Mid-Market AE · IRIS Vs Competitor Benchmark — SaaS sales ladder — management: Sales Manager</t>
        </is>
      </c>
      <c r="W424" s="29" t="inlineStr">
        <is>
          <t>SaaS sales ladder · SDR → AE → Enterprise AE → VP / CRO; MEDDICC-style qualification</t>
        </is>
      </c>
      <c r="X424" s="29" t="inlineStr">
        <is>
          <t>Core 3 · Future 3 · Functional 4 · Leadership 3</t>
        </is>
      </c>
      <c r="Y424" s="52" t="n">
        <v>548</v>
      </c>
      <c r="Z424" s="53" t="inlineStr">
        <is>
          <t>IRISDT0012</t>
        </is>
      </c>
      <c r="AA424" s="53" t="inlineStr">
        <is>
          <t>Employee</t>
        </is>
      </c>
      <c r="AB424" s="53" t="inlineStr">
        <is>
          <t>Active</t>
        </is>
      </c>
      <c r="AC424" s="53" t="inlineStr">
        <is>
          <t>Jeevan Khokale</t>
        </is>
      </c>
      <c r="AD424" s="54" t="n">
        <v>46027</v>
      </c>
      <c r="AE424" s="53" t="inlineStr">
        <is>
          <t>Program Manager</t>
        </is>
      </c>
      <c r="AF424" s="53" t="inlineStr">
        <is>
          <t>MBA</t>
        </is>
      </c>
      <c r="AG424" s="53" t="inlineStr">
        <is>
          <t>Raghin Nair</t>
        </is>
      </c>
      <c r="AH424" s="53" t="inlineStr">
        <is>
          <t>N-3</t>
        </is>
      </c>
      <c r="AI424" s="53" t="inlineStr">
        <is>
          <t>Manager</t>
        </is>
      </c>
      <c r="AJ424" s="53" t="inlineStr">
        <is>
          <t>7 years, 3 months, 0 days</t>
        </is>
      </c>
      <c r="AK424" s="53" t="inlineStr">
        <is>
          <t>0 years, 7 months, 20 days</t>
        </is>
      </c>
      <c r="AL424" s="53" t="inlineStr">
        <is>
          <t>Datatech</t>
        </is>
      </c>
      <c r="AM424" s="53" t="inlineStr">
        <is>
          <t>Datatech</t>
        </is>
      </c>
      <c r="AN424" s="53" t="inlineStr">
        <is>
          <t>Datatech - Outreach</t>
        </is>
      </c>
      <c r="AO424" s="53" t="inlineStr">
        <is>
          <t>Sales</t>
        </is>
      </c>
      <c r="AP424" s="53" t="inlineStr">
        <is>
          <t>No</t>
        </is>
      </c>
      <c r="AQ424" s="53" t="inlineStr">
        <is>
          <t>Sales, Marketing &amp; Support</t>
        </is>
      </c>
      <c r="AR424" s="53" t="inlineStr">
        <is>
          <t>Sales</t>
        </is>
      </c>
      <c r="AS424" s="53" t="inlineStr">
        <is>
          <t>Non-technical</t>
        </is>
      </c>
      <c r="AT424" s="53" t="n">
        <v>20</v>
      </c>
      <c r="AU424" s="53" t="inlineStr">
        <is>
          <t>Covered</t>
        </is>
      </c>
      <c r="AV424" s="53" t="n"/>
      <c r="AW424" s="53" t="n"/>
      <c r="AX424" s="53" t="n"/>
      <c r="AY424" s="53" t="n"/>
      <c r="AZ424" s="53" t="n"/>
      <c r="BA424" s="53" t="n"/>
      <c r="BB424" s="53" t="n"/>
      <c r="BC424" s="53" t="n"/>
      <c r="BD424" s="53" t="n"/>
      <c r="BE424" s="53" t="n"/>
      <c r="BF424" s="53" t="n"/>
      <c r="BG424" s="53" t="n"/>
      <c r="BH424" s="53" t="n"/>
      <c r="BI424" s="53" t="n"/>
      <c r="BJ424" s="53" t="n"/>
      <c r="BK424" s="53" t="n"/>
      <c r="BL424" s="53" t="n"/>
      <c r="BM424" s="53" t="n"/>
      <c r="BN424" s="53" t="n"/>
      <c r="BO424" s="53" t="n"/>
      <c r="BP424" s="53" t="n"/>
      <c r="BQ424" s="53" t="n"/>
      <c r="BR424" s="53" t="n"/>
      <c r="BS424" s="53" t="n"/>
      <c r="BT424" s="53" t="n"/>
      <c r="BU424" s="53" t="n"/>
      <c r="BV424" s="53" t="n"/>
      <c r="BW424" s="53" t="n"/>
      <c r="BX424" s="53" t="n"/>
      <c r="BY424" s="53" t="n"/>
      <c r="BZ424" s="53" t="n"/>
      <c r="CA424" s="53" t="n"/>
      <c r="CB424" s="53" t="n"/>
      <c r="CC424" s="53" t="n"/>
      <c r="CD424" s="53" t="n"/>
      <c r="CE424" s="53" t="n"/>
      <c r="CF424" s="53" t="n"/>
      <c r="CG424" s="53" t="n"/>
      <c r="CH424" s="53" t="n"/>
      <c r="CI424" s="53" t="n"/>
      <c r="CJ424" s="53" t="n"/>
      <c r="CK424" s="53" t="n"/>
      <c r="CL424" s="53" t="n"/>
      <c r="CM424" s="53" t="n"/>
      <c r="CN424" s="53" t="n"/>
      <c r="CO424" s="53" t="n"/>
      <c r="CP424" s="53" t="n"/>
      <c r="CQ424" s="53" t="n"/>
      <c r="CR424" s="53" t="n"/>
      <c r="CS424" s="53" t="n"/>
      <c r="CT424" s="53" t="n"/>
      <c r="CU424" s="53" t="n"/>
      <c r="CV424" s="53" t="n"/>
      <c r="CW424" s="53" t="n"/>
      <c r="CX424" s="53" t="n"/>
      <c r="CY424" s="53" t="n"/>
      <c r="CZ424" s="53" t="n"/>
      <c r="DA424" s="53" t="n"/>
      <c r="DB424" s="53" t="n"/>
      <c r="DC424" s="53" t="n"/>
      <c r="DD424" s="53" t="inlineStr">
        <is>
          <t>IRIS2460</t>
        </is>
      </c>
      <c r="DE424" s="53" t="inlineStr">
        <is>
          <t>Employee</t>
        </is>
      </c>
      <c r="DF424" s="53" t="inlineStr">
        <is>
          <t>Active</t>
        </is>
      </c>
      <c r="DG424" s="53" t="inlineStr">
        <is>
          <t>Jeevan Khokale</t>
        </is>
      </c>
      <c r="DH424" s="54" t="n">
        <v>46027</v>
      </c>
      <c r="DI424" s="53" t="inlineStr">
        <is>
          <t>Program Manager</t>
        </is>
      </c>
      <c r="DJ424" s="53" t="inlineStr">
        <is>
          <t>Project &amp; Program Management</t>
        </is>
      </c>
      <c r="DK424" s="53" t="inlineStr">
        <is>
          <t>Program Management</t>
        </is>
      </c>
      <c r="DL424" s="53" t="inlineStr">
        <is>
          <t>Program Manager</t>
        </is>
      </c>
      <c r="DM424" s="53" t="inlineStr">
        <is>
          <t>L5 – Manager</t>
        </is>
      </c>
      <c r="DN424" s="53" t="inlineStr">
        <is>
          <t>MBA</t>
        </is>
      </c>
      <c r="DO424" s="53" t="inlineStr">
        <is>
          <t>Raghin Nair</t>
        </is>
      </c>
      <c r="DP424" s="53" t="inlineStr">
        <is>
          <t>N-3</t>
        </is>
      </c>
      <c r="DQ424" s="53" t="inlineStr">
        <is>
          <t>Manager</t>
        </is>
      </c>
      <c r="DR424" s="53" t="inlineStr">
        <is>
          <t>7 years, 3 months, 0 days</t>
        </is>
      </c>
      <c r="DS424" s="53" t="inlineStr">
        <is>
          <t>0 years, 5 months, 15 days</t>
        </is>
      </c>
      <c r="DT424" s="53" t="inlineStr">
        <is>
          <t>7 years, 8 months, 15 days</t>
        </is>
      </c>
      <c r="DU424" s="53" t="n">
        <v>0.457762557077626</v>
      </c>
      <c r="DV424" s="53" t="inlineStr">
        <is>
          <t>Datatech</t>
        </is>
      </c>
      <c r="DW424" s="53" t="inlineStr">
        <is>
          <t>Datatech</t>
        </is>
      </c>
      <c r="DX424" s="53" t="inlineStr">
        <is>
          <t>Datatech - Outreach</t>
        </is>
      </c>
      <c r="DY424" s="53" t="inlineStr">
        <is>
          <t>Sales</t>
        </is>
      </c>
      <c r="DZ424" s="53" t="inlineStr">
        <is>
          <t>No</t>
        </is>
      </c>
      <c r="EA424" s="53" t="inlineStr">
        <is>
          <t>Sales, Marketing &amp; Support</t>
        </is>
      </c>
      <c r="EB424" s="53" t="inlineStr">
        <is>
          <t>Sales</t>
        </is>
      </c>
      <c r="EC424" s="53" t="inlineStr">
        <is>
          <t>Non-technical</t>
        </is>
      </c>
      <c r="ED424" s="53" t="inlineStr">
        <is>
          <t>Bengaluru</t>
        </is>
      </c>
      <c r="EE424" s="53" t="n"/>
      <c r="EF424" s="53" t="inlineStr">
        <is>
          <t>1. MSME Onboarding - Onboard minimum 70 MSMEs per month, 210 per quarter  - Weightage: 20%
2. Business Loan Applications - Submit 90 loan applications per quarter  - Weightage: 20%
3. BHR Sales - Sell 30 BHR units per quarter - Weightage: 20%
4. Government/DIC Connect - Maintain active contact with named government stakeholders; minimum 1 touchpoint/month, logged - Weightage: 20%
5. Team Management - Lakshmikanth achieves 85% of his own quarterly target - Weightage: 20%</t>
        </is>
      </c>
      <c r="EG424" s="53" t="inlineStr">
        <is>
          <t>1. MSME Onboarding - Target: 210 MSMEs this quarter
2. Business Loan Applications - Target: 90 applications this quarter
3. BHR Sales - Target: 30 BHR units this quarter
4. Government/DIC Connect - Minimum 1 touchpoint/month, logged
5. Team Management - Lakshmikanth achieves 85% of his quarterly target</t>
        </is>
      </c>
      <c r="EH424" s="53" t="n">
        <v>3</v>
      </c>
      <c r="EI424" s="54" t="n">
        <v>46199</v>
      </c>
      <c r="EJ424" s="53" t="inlineStr">
        <is>
          <t>Program Manager</t>
        </is>
      </c>
      <c r="EK424" s="53" t="inlineStr">
        <is>
          <t>No</t>
        </is>
      </c>
      <c r="EL424" s="53" t="n">
        <v>3</v>
      </c>
      <c r="EM424" s="53" t="inlineStr">
        <is>
          <t>Medium</t>
        </is>
      </c>
      <c r="EN424" s="53" t="inlineStr">
        <is>
          <t>Core Contributor</t>
        </is>
      </c>
      <c r="EO424" s="53" t="inlineStr">
        <is>
          <t>No</t>
        </is>
      </c>
      <c r="EP424" s="53" t="inlineStr">
        <is>
          <t>Yes</t>
        </is>
      </c>
      <c r="EQ424" s="53" t="inlineStr">
        <is>
          <t>No</t>
        </is>
      </c>
      <c r="ER424" s="53" t="n"/>
      <c r="ES424" s="53" t="inlineStr">
        <is>
          <t>Product knowledge · loan/BHR products; Objection handling; Sales approach/pitch technique</t>
        </is>
      </c>
      <c r="ET424" s="53" t="inlineStr">
        <is>
          <t>Target role: Onground Team Lead · formalizing existing informal management of Lakshmikanth. Development: team-lead training - performance management, coaching juniors, structured 1:1s. Review date: 31-08-2026</t>
        </is>
      </c>
      <c r="EU424" s="53" t="n"/>
      <c r="EV424" s="53" t="inlineStr">
        <is>
          <t>Peridot App</t>
        </is>
      </c>
      <c r="EW424" s="52" t="n"/>
      <c r="EX424" s="53" t="n"/>
      <c r="EY424" s="53" t="n"/>
      <c r="EZ424" s="53" t="n"/>
      <c r="FA424" s="53" t="n"/>
      <c r="FB424" s="53" t="n"/>
      <c r="FC424" s="53" t="n"/>
      <c r="FD424" s="53" t="inlineStr">
        <is>
          <t>IRIS2460</t>
        </is>
      </c>
      <c r="FE424" s="57" t="inlineStr">
        <is>
          <t>1. MSME Onboarding - Onboard minimum 70 MSMEs per month, 210 per quarter  - Weightage: 20%
2. Business Loan Applications - Submit 90 loan applications per quarter  - Weightage: 20%
3. BHR Sales - Sell 30 BHR units per quarter - Weightage: 20%
4. Government/DIC Connect - Maintain active contact with named government stakeholders; minimum 1 touchpoint/month, logged - Weightage: 20%
5. Team Management - Lakshmikanth achieves 85% of his own quarterly target - Weightage: 20%</t>
        </is>
      </c>
      <c r="FF424" s="56" t="inlineStr">
        <is>
          <t>1. MSME Onboarding - Target: 210 MSMEs this quarter
2. Business Loan Applications - Target: 90 applications this quarter
3. BHR Sales - Target: 30 BHR units this quarter
4. Government/DIC Connect - Minimum 1 touchpoint/month, logged
5. Team Management - Lakshmikanth achieves 85% of his quarterly target</t>
        </is>
      </c>
      <c r="FG424" s="56" t="n"/>
      <c r="FH424" s="56" t="inlineStr">
        <is>
          <t>3</t>
        </is>
      </c>
      <c r="FI424" s="56" t="n"/>
      <c r="FJ424" s="56" t="inlineStr">
        <is>
          <t>Received · manager annual, quarterly</t>
        </is>
      </c>
      <c r="FK424" s="56" t="inlineStr">
        <is>
          <t>Talent Mapping · Datatech</t>
        </is>
      </c>
      <c r="FL424" s="56" t="n">
        <v>20</v>
      </c>
      <c r="FM424" s="32" t="inlineStr">
        <is>
          <t>Full survey answers not in the files received · How We Grow export needed · HR</t>
        </is>
      </c>
      <c r="FN424" s="56" t="inlineStr">
        <is>
          <t>—</t>
        </is>
      </c>
      <c r="FO424" s="56" t="inlineStr">
        <is>
          <t>—</t>
        </is>
      </c>
      <c r="FP424" s="56" t="inlineStr">
        <is>
          <t>—</t>
        </is>
      </c>
      <c r="FQ424" s="56" t="inlineStr">
        <is>
          <t>—</t>
        </is>
      </c>
      <c r="FR424" s="56" t="inlineStr">
        <is>
          <t>Complexity: Evidence reads like A3: Combines MSME sales, DIC / association engagement, channel partners; verifies GST / Udyam data → moved down 1
Autonomy: Evidence reads like A2: Identifies and approaches prospects, initiates conversations, follows up leads → moved down 1
Accountability: Evidence reads like A3: Customer acquisition and customer relationships; missed work loses business → moved down 0.8
Leadership: Evidence reads like A2: No guidance of others described; HR shows 1 report → moved down 1
Business Impact: No survey or manager-mapping signal on criticality: kept at the start point.</t>
        </is>
      </c>
      <c r="FS424" s="56" t="inlineStr">
        <is>
          <t>Common themes in sub-family holders, all levels' answers: msme · business · relationships · building · partners · services
Common themes in sub-family holders, all levels' answers: business · loan · management · development · relationship · lead
Common themes in sub-family holders, all levels' answers: sales · business
Common themes in sub-family holders, all levels' answers: business · am · opportunities · accountable · msme · loan
Common themes in sub-family holders, all levels' answers: leads · identify · business · potential · follow · sales
If the work is missed · role-holders' themes: business · customer · lead · delays.</t>
        </is>
      </c>
      <c r="FT424" s="56" t="inlineStr">
        <is>
          <t>Self-identified: Leadership &amp; people management · Project / programme management · Strategy &amp; business acumen · Broader exposure &amp; ownership
For the next role: Leadership &amp; people management · Project / programme management · Strategy &amp; business acumen · Broader exposure &amp; ownership</t>
        </is>
      </c>
      <c r="FU424" s="32" t="inlineStr">
        <is>
          <t>Full survey answers not in the files received · How We Grow export needed · HR</t>
        </is>
      </c>
    </row>
    <row r="425" ht="90" customHeight="1">
      <c r="A425" s="51" t="inlineStr">
        <is>
          <t>◂ Back</t>
        </is>
      </c>
      <c r="B425" s="29" t="inlineStr">
        <is>
          <t>Mapped</t>
        </is>
      </c>
      <c r="C425" s="28" t="inlineStr">
        <is>
          <t>Datatech</t>
        </is>
      </c>
      <c r="D425" s="29" t="inlineStr">
        <is>
          <t>IRISDT0017</t>
        </is>
      </c>
      <c r="E425" s="29" t="inlineStr">
        <is>
          <t>Lakshmikantha RN</t>
        </is>
      </c>
      <c r="F425" s="29" t="inlineStr">
        <is>
          <t>Datatech - Outreach</t>
        </is>
      </c>
      <c r="G425" s="29" t="inlineStr">
        <is>
          <t>Program Executive - MSME</t>
        </is>
      </c>
      <c r="H425" s="29" t="inlineStr">
        <is>
          <t>Senior Program Executive</t>
        </is>
      </c>
      <c r="I425" s="29" t="inlineStr">
        <is>
          <t>L3 – Professional / Associate</t>
        </is>
      </c>
      <c r="J425" s="29" t="inlineStr">
        <is>
          <t>A3</t>
        </is>
      </c>
      <c r="K425" s="29" t="inlineStr">
        <is>
          <t>▲ Up</t>
        </is>
      </c>
      <c r="L425" s="29" t="inlineStr">
        <is>
          <t>Sales &amp; Business Development</t>
        </is>
      </c>
      <c r="M425" s="29" t="inlineStr">
        <is>
          <t>Field Outreach &amp; Programme Sales</t>
        </is>
      </c>
      <c r="N425" s="29" t="n"/>
      <c r="O425" s="29" t="n">
        <v>20</v>
      </c>
      <c r="P425" s="28" t="inlineStr">
        <is>
          <t>P2</t>
        </is>
      </c>
      <c r="Q425" s="29" t="inlineStr">
        <is>
          <t>Developing</t>
        </is>
      </c>
      <c r="R425" s="29" t="inlineStr">
        <is>
          <t>3 Apply</t>
        </is>
      </c>
      <c r="S425" s="29" t="inlineStr">
        <is>
          <t>2–4 yrs</t>
        </is>
      </c>
      <c r="T425" s="29" t="inlineStr">
        <is>
          <t>3–5 · 2–5</t>
        </is>
      </c>
      <c r="U425" s="29" t="inlineStr">
        <is>
          <t>SDR / Inside Sales</t>
        </is>
      </c>
      <c r="V425" s="29" t="inlineStr">
        <is>
          <t>IRIS Vs Competitor Benchmark — SaaS sales ladder — IC: Senior SDR</t>
        </is>
      </c>
      <c r="W425" s="29" t="inlineStr">
        <is>
          <t>SaaS sales ladder · SDR → AE → Enterprise AE → VP / CRO; MEDDICC-style qualification</t>
        </is>
      </c>
      <c r="X425" s="29" t="inlineStr">
        <is>
          <t>Core 2 · Future 2 · Functional 3 · Leadership not scored</t>
        </is>
      </c>
      <c r="Y425" s="52" t="n">
        <v>552</v>
      </c>
      <c r="Z425" s="53" t="inlineStr">
        <is>
          <t>IRISDT0017</t>
        </is>
      </c>
      <c r="AA425" s="53" t="inlineStr">
        <is>
          <t>Employee</t>
        </is>
      </c>
      <c r="AB425" s="53" t="inlineStr">
        <is>
          <t>Active</t>
        </is>
      </c>
      <c r="AC425" s="53" t="inlineStr">
        <is>
          <t>Lakshmikantha RN</t>
        </is>
      </c>
      <c r="AD425" s="54" t="n">
        <v>46086</v>
      </c>
      <c r="AE425" s="53" t="inlineStr">
        <is>
          <t>Program Executive - MSME</t>
        </is>
      </c>
      <c r="AF425" s="53" t="inlineStr">
        <is>
          <t>MBA</t>
        </is>
      </c>
      <c r="AG425" s="53" t="inlineStr">
        <is>
          <t>Jeevan Khokale</t>
        </is>
      </c>
      <c r="AH425" s="53" t="inlineStr">
        <is>
          <t>N-4</t>
        </is>
      </c>
      <c r="AI425" s="53" t="inlineStr">
        <is>
          <t>Individual Contributor</t>
        </is>
      </c>
      <c r="AJ425" s="53" t="inlineStr">
        <is>
          <t>2 years, 4 months, 0 days</t>
        </is>
      </c>
      <c r="AK425" s="53" t="inlineStr">
        <is>
          <t>0 years, 5 months, 20 days</t>
        </is>
      </c>
      <c r="AL425" s="53" t="inlineStr">
        <is>
          <t>Datatech</t>
        </is>
      </c>
      <c r="AM425" s="53" t="inlineStr">
        <is>
          <t>Datatech</t>
        </is>
      </c>
      <c r="AN425" s="53" t="inlineStr">
        <is>
          <t>Datatech - Outreach</t>
        </is>
      </c>
      <c r="AO425" s="53" t="inlineStr">
        <is>
          <t>Sales</t>
        </is>
      </c>
      <c r="AP425" s="53" t="inlineStr">
        <is>
          <t>No</t>
        </is>
      </c>
      <c r="AQ425" s="53" t="inlineStr">
        <is>
          <t>Sales, Marketing &amp; Support</t>
        </is>
      </c>
      <c r="AR425" s="53" t="inlineStr">
        <is>
          <t>Sales</t>
        </is>
      </c>
      <c r="AS425" s="53" t="inlineStr">
        <is>
          <t>Non-technical</t>
        </is>
      </c>
      <c r="AT425" s="53" t="n">
        <v>20</v>
      </c>
      <c r="AU425" s="53" t="inlineStr">
        <is>
          <t>Covered</t>
        </is>
      </c>
      <c r="AV425" s="53" t="n"/>
      <c r="AW425" s="53" t="n"/>
      <c r="AX425" s="53" t="n"/>
      <c r="AY425" s="53" t="n"/>
      <c r="AZ425" s="53" t="n"/>
      <c r="BA425" s="53" t="n"/>
      <c r="BB425" s="53" t="n"/>
      <c r="BC425" s="53" t="n"/>
      <c r="BD425" s="53" t="n"/>
      <c r="BE425" s="53" t="n"/>
      <c r="BF425" s="53" t="n"/>
      <c r="BG425" s="53" t="n"/>
      <c r="BH425" s="53" t="n"/>
      <c r="BI425" s="53" t="n"/>
      <c r="BJ425" s="53" t="n"/>
      <c r="BK425" s="53" t="n"/>
      <c r="BL425" s="53" t="n"/>
      <c r="BM425" s="53" t="n"/>
      <c r="BN425" s="53" t="n"/>
      <c r="BO425" s="53" t="n"/>
      <c r="BP425" s="53" t="n"/>
      <c r="BQ425" s="53" t="n"/>
      <c r="BR425" s="53" t="n"/>
      <c r="BS425" s="53" t="n"/>
      <c r="BT425" s="53" t="n"/>
      <c r="BU425" s="53" t="n"/>
      <c r="BV425" s="53" t="n"/>
      <c r="BW425" s="53" t="n"/>
      <c r="BX425" s="53" t="n"/>
      <c r="BY425" s="53" t="n"/>
      <c r="BZ425" s="53" t="n"/>
      <c r="CA425" s="53" t="n"/>
      <c r="CB425" s="53" t="n"/>
      <c r="CC425" s="53" t="n"/>
      <c r="CD425" s="53" t="n"/>
      <c r="CE425" s="53" t="n"/>
      <c r="CF425" s="53" t="n"/>
      <c r="CG425" s="53" t="n"/>
      <c r="CH425" s="53" t="n"/>
      <c r="CI425" s="53" t="n"/>
      <c r="CJ425" s="53" t="n"/>
      <c r="CK425" s="53" t="n"/>
      <c r="CL425" s="53" t="n"/>
      <c r="CM425" s="53" t="n"/>
      <c r="CN425" s="53" t="n"/>
      <c r="CO425" s="53" t="n"/>
      <c r="CP425" s="53" t="n"/>
      <c r="CQ425" s="53" t="n"/>
      <c r="CR425" s="53" t="n"/>
      <c r="CS425" s="53" t="n"/>
      <c r="CT425" s="53" t="n"/>
      <c r="CU425" s="53" t="n"/>
      <c r="CV425" s="53" t="n"/>
      <c r="CW425" s="53" t="n"/>
      <c r="CX425" s="53" t="n"/>
      <c r="CY425" s="53" t="n"/>
      <c r="CZ425" s="53" t="n"/>
      <c r="DA425" s="53" t="n"/>
      <c r="DB425" s="53" t="n"/>
      <c r="DC425" s="53" t="n"/>
      <c r="DD425" s="53" t="inlineStr">
        <is>
          <t>IRIS2490</t>
        </is>
      </c>
      <c r="DE425" s="53" t="inlineStr">
        <is>
          <t>Employee</t>
        </is>
      </c>
      <c r="DF425" s="53" t="inlineStr">
        <is>
          <t>Active</t>
        </is>
      </c>
      <c r="DG425" s="53" t="inlineStr">
        <is>
          <t>Lakshmikantha RN</t>
        </is>
      </c>
      <c r="DH425" s="54" t="n">
        <v>46086</v>
      </c>
      <c r="DI425" s="53" t="inlineStr">
        <is>
          <t>Program Executive - MSME</t>
        </is>
      </c>
      <c r="DJ425" s="53" t="inlineStr">
        <is>
          <t>Project &amp; Program Management</t>
        </is>
      </c>
      <c r="DK425" s="53" t="inlineStr">
        <is>
          <t>Program Management</t>
        </is>
      </c>
      <c r="DL425" s="53" t="inlineStr">
        <is>
          <t>Program Executive - MSME</t>
        </is>
      </c>
      <c r="DM425" s="53" t="inlineStr">
        <is>
          <t>L3 – Professional / Associate</t>
        </is>
      </c>
      <c r="DN425" s="53" t="inlineStr">
        <is>
          <t>MBA</t>
        </is>
      </c>
      <c r="DO425" s="53" t="inlineStr">
        <is>
          <t>Jeevan Khokale</t>
        </is>
      </c>
      <c r="DP425" s="53" t="inlineStr">
        <is>
          <t>N-4</t>
        </is>
      </c>
      <c r="DQ425" s="53" t="inlineStr">
        <is>
          <t>Individual Contributor</t>
        </is>
      </c>
      <c r="DR425" s="53" t="inlineStr">
        <is>
          <t>2 years, 4 months, 0 days</t>
        </is>
      </c>
      <c r="DS425" s="53" t="inlineStr">
        <is>
          <t>0 years, 3 months, 15 days</t>
        </is>
      </c>
      <c r="DT425" s="53" t="inlineStr">
        <is>
          <t>2 years, 7 months, 15 days</t>
        </is>
      </c>
      <c r="DU425" s="53" t="n"/>
      <c r="DV425" s="53" t="inlineStr">
        <is>
          <t>Datatech</t>
        </is>
      </c>
      <c r="DW425" s="53" t="inlineStr">
        <is>
          <t>Datatech</t>
        </is>
      </c>
      <c r="DX425" s="53" t="inlineStr">
        <is>
          <t>Datatech - Outreach</t>
        </is>
      </c>
      <c r="DY425" s="53" t="inlineStr">
        <is>
          <t>Sales</t>
        </is>
      </c>
      <c r="DZ425" s="53" t="inlineStr">
        <is>
          <t>No</t>
        </is>
      </c>
      <c r="EA425" s="53" t="inlineStr">
        <is>
          <t>Sales, Marketing &amp; Support</t>
        </is>
      </c>
      <c r="EB425" s="53" t="inlineStr">
        <is>
          <t>Sales</t>
        </is>
      </c>
      <c r="EC425" s="53" t="inlineStr">
        <is>
          <t>Non-technical</t>
        </is>
      </c>
      <c r="ED425" s="53" t="inlineStr">
        <is>
          <t>Bengaluru</t>
        </is>
      </c>
      <c r="EE425" s="53" t="n"/>
      <c r="EF425" s="53" t="inlineStr">
        <is>
          <t>1. MSME Onboarding - Onboard minimum 70 MSMEs per month, 210 per quarter- Weightage: 40%
2. Business Loan Applications - Submit 60 loan applications to bank per quarter - Weightage: 35%
3. BHR Sales - Sell 30 BHR units per quarter - Weightage: 25% · Reports to Jeevan; no government-connect KRA</t>
        </is>
      </c>
      <c r="EG425" s="53" t="inlineStr">
        <is>
          <t>1. MSME Onboarding - Target: 210 MSMEs this quarter
2. Business Loan Applications - Target: 60 applications this quarter
3. BHR Sales - Target: 30 BHR units this quarter</t>
        </is>
      </c>
      <c r="EH425" s="53" t="n">
        <v>3</v>
      </c>
      <c r="EI425" s="54" t="n">
        <v>46199</v>
      </c>
      <c r="EJ425" s="53" t="inlineStr">
        <is>
          <t>Program Executive - MSME</t>
        </is>
      </c>
      <c r="EK425" s="53" t="inlineStr">
        <is>
          <t>No</t>
        </is>
      </c>
      <c r="EL425" s="53" t="n">
        <v>3</v>
      </c>
      <c r="EM425" s="53" t="inlineStr">
        <is>
          <t>Medium</t>
        </is>
      </c>
      <c r="EN425" s="53" t="inlineStr">
        <is>
          <t>Core Contributor</t>
        </is>
      </c>
      <c r="EO425" s="53" t="inlineStr">
        <is>
          <t>No</t>
        </is>
      </c>
      <c r="EP425" s="53" t="inlineStr">
        <is>
          <t>Yes</t>
        </is>
      </c>
      <c r="EQ425" s="53" t="inlineStr">
        <is>
          <t>No</t>
        </is>
      </c>
      <c r="ER425" s="53" t="n"/>
      <c r="ES425" s="53" t="inlineStr">
        <is>
          <t>Product knowledge · loan/BHR products; Objection handling; Sales approach/pitch technique</t>
        </is>
      </c>
      <c r="ET425" s="53" t="inlineStr">
        <is>
          <t>Target role: Senior Field Associate · interim step. Development: deepen product/sales skill first, before layering on management scope. Review date: 31-08-2026</t>
        </is>
      </c>
      <c r="EU425" s="53" t="n"/>
      <c r="EV425" s="53" t="inlineStr">
        <is>
          <t>Peridot App</t>
        </is>
      </c>
      <c r="EW425" s="52" t="n"/>
      <c r="EX425" s="53" t="n"/>
      <c r="EY425" s="53" t="n"/>
      <c r="EZ425" s="53" t="n"/>
      <c r="FA425" s="53" t="n"/>
      <c r="FB425" s="53" t="n"/>
      <c r="FC425" s="53" t="n"/>
      <c r="FD425" s="53" t="inlineStr">
        <is>
          <t>IRIS2490</t>
        </is>
      </c>
      <c r="FE425" s="57" t="inlineStr">
        <is>
          <t>1. MSME Onboarding - Onboard minimum 70 MSMEs per month, 210 per quarter- Weightage: 40%
2. Business Loan Applications - Submit 60 loan applications to bank per quarter  - Weightage: 35%
3. BHR Sales - Sell 30 BHR units per quarter - Weightage: 25% · Reports to Jeevan; no government-connect KRA</t>
        </is>
      </c>
      <c r="FF425" s="56" t="inlineStr">
        <is>
          <t>1. MSME Onboarding - Target: 210 MSMEs this quarter
2. Business Loan Applications - Target: 60 applications this quarter
3. BHR Sales - Target: 30 BHR units this quarter</t>
        </is>
      </c>
      <c r="FG425" s="56" t="n"/>
      <c r="FH425" s="56" t="inlineStr">
        <is>
          <t>3</t>
        </is>
      </c>
      <c r="FI425" s="56" t="n"/>
      <c r="FJ425" s="56" t="inlineStr">
        <is>
          <t>Received · manager annual, quarterly</t>
        </is>
      </c>
      <c r="FK425" s="56" t="inlineStr">
        <is>
          <t>Talent Mapping · Datatech</t>
        </is>
      </c>
      <c r="FL425" s="56" t="n">
        <v>20</v>
      </c>
      <c r="FM425" s="32" t="inlineStr">
        <is>
          <t>Full survey answers not in the files received · How We Grow export needed · HR</t>
        </is>
      </c>
      <c r="FN425" s="56" t="inlineStr">
        <is>
          <t>—</t>
        </is>
      </c>
      <c r="FO425" s="56" t="inlineStr">
        <is>
          <t>—</t>
        </is>
      </c>
      <c r="FP425" s="56" t="inlineStr">
        <is>
          <t>—</t>
        </is>
      </c>
      <c r="FQ425" s="56" t="inlineStr">
        <is>
          <t>—</t>
        </is>
      </c>
      <c r="FR425" s="56" t="inlineStr">
        <is>
          <t>Complexity: Evidence reads like A2: own survey / KRA answers · summarised by the rater; not quoted → matches the start
Autonomy: Evidence reads like A2: Plans own field visits, initial discussions and follow-ups → matches the start
Accountability: Evidence reads like A2: Own onboardings, leads, partner follow-ups and timely activity reports → matches the start
Leadership: Evidence reads like A1: No guidance or leadership of others described → matches the start
Business Impact: No survey or manager-mapping signal on criticality: kept at the start point.</t>
        </is>
      </c>
      <c r="FS425" s="56" t="inlineStr">
        <is>
          <t>Common themes in role-holders' answers: partners · business · services · msme
Common themes in role-holders' answers: leads
If the work is missed · role-holders' themes: sales · customer.
Measured on · manager-set KRA themes: month quarter · minimum msmes · applications quarter · business · bhr units · onboard minimum.</t>
        </is>
      </c>
      <c r="FT425" s="56" t="inlineStr">
        <is>
          <t>Self-identified: Leadership &amp; people management · Client, sales &amp; stakeholders
For the next role: Leadership &amp; people management · Client, sales &amp; stakeholders</t>
        </is>
      </c>
      <c r="FU425" s="32" t="inlineStr">
        <is>
          <t>Full survey answers not in the files received · How We Grow export needed · HR</t>
        </is>
      </c>
    </row>
    <row r="426" ht="90" customHeight="1">
      <c r="A426" s="51" t="inlineStr">
        <is>
          <t>◂ Back</t>
        </is>
      </c>
      <c r="B426" s="29" t="inlineStr">
        <is>
          <t>Mapped</t>
        </is>
      </c>
      <c r="C426" s="28" t="inlineStr">
        <is>
          <t>Datatech</t>
        </is>
      </c>
      <c r="D426" s="29" t="inlineStr">
        <is>
          <t>IRISDT0013</t>
        </is>
      </c>
      <c r="E426" s="29" t="inlineStr">
        <is>
          <t>Bharati Durgaprasad Paranjape</t>
        </is>
      </c>
      <c r="F426" s="29" t="inlineStr">
        <is>
          <t>Datatech - Outreach</t>
        </is>
      </c>
      <c r="G426" s="29" t="inlineStr">
        <is>
          <t>Program Executive - MSME</t>
        </is>
      </c>
      <c r="H426" s="29" t="inlineStr">
        <is>
          <t>Senior Program Executive</t>
        </is>
      </c>
      <c r="I426" s="29" t="inlineStr">
        <is>
          <t>L3 – Professional / Associate</t>
        </is>
      </c>
      <c r="J426" s="29" t="inlineStr">
        <is>
          <t>A3</t>
        </is>
      </c>
      <c r="K426" s="29" t="inlineStr">
        <is>
          <t>▲ Up</t>
        </is>
      </c>
      <c r="L426" s="29" t="inlineStr">
        <is>
          <t>Sales &amp; Business Development</t>
        </is>
      </c>
      <c r="M426" s="29" t="inlineStr">
        <is>
          <t>Field Outreach &amp; Programme Sales</t>
        </is>
      </c>
      <c r="N426" s="29" t="n"/>
      <c r="O426" s="29" t="n">
        <v>19</v>
      </c>
      <c r="P426" s="28" t="inlineStr">
        <is>
          <t>P2</t>
        </is>
      </c>
      <c r="Q426" s="29" t="inlineStr">
        <is>
          <t>Developing</t>
        </is>
      </c>
      <c r="R426" s="29" t="inlineStr">
        <is>
          <t>3 Apply</t>
        </is>
      </c>
      <c r="S426" s="29" t="inlineStr">
        <is>
          <t>2–4 yrs</t>
        </is>
      </c>
      <c r="T426" s="29" t="inlineStr">
        <is>
          <t>3–5 · 2–5</t>
        </is>
      </c>
      <c r="U426" s="29" t="inlineStr">
        <is>
          <t>SDR / Inside Sales</t>
        </is>
      </c>
      <c r="V426" s="29" t="inlineStr">
        <is>
          <t>IRIS Vs Competitor Benchmark — SaaS sales ladder — IC: Senior SDR</t>
        </is>
      </c>
      <c r="W426" s="29" t="inlineStr">
        <is>
          <t>SaaS sales ladder · SDR → AE → Enterprise AE → VP / CRO; MEDDICC-style qualification</t>
        </is>
      </c>
      <c r="X426" s="29" t="inlineStr">
        <is>
          <t>Core 2 · Future 2 · Functional 3 · Leadership not scored</t>
        </is>
      </c>
      <c r="Y426" s="52" t="n">
        <v>549</v>
      </c>
      <c r="Z426" s="53" t="inlineStr">
        <is>
          <t>IRISDT0013</t>
        </is>
      </c>
      <c r="AA426" s="53" t="inlineStr">
        <is>
          <t>Employee</t>
        </is>
      </c>
      <c r="AB426" s="53" t="inlineStr">
        <is>
          <t>Active</t>
        </is>
      </c>
      <c r="AC426" s="53" t="inlineStr">
        <is>
          <t>Bharati Durgaprasad Paranjape</t>
        </is>
      </c>
      <c r="AD426" s="54" t="n">
        <v>46027</v>
      </c>
      <c r="AE426" s="53" t="inlineStr">
        <is>
          <t>Program Executive - MSME</t>
        </is>
      </c>
      <c r="AF426" s="53" t="inlineStr">
        <is>
          <t>MA</t>
        </is>
      </c>
      <c r="AG426" s="53" t="inlineStr">
        <is>
          <t>Raghin Nair</t>
        </is>
      </c>
      <c r="AH426" s="53" t="inlineStr">
        <is>
          <t>N-3</t>
        </is>
      </c>
      <c r="AI426" s="53" t="inlineStr">
        <is>
          <t>Individual Contributor</t>
        </is>
      </c>
      <c r="AJ426" s="53" t="inlineStr">
        <is>
          <t>3 years, 8 months, 0 days</t>
        </is>
      </c>
      <c r="AK426" s="53" t="inlineStr">
        <is>
          <t>0 years, 7 months, 20 days</t>
        </is>
      </c>
      <c r="AL426" s="53" t="inlineStr">
        <is>
          <t>Datatech</t>
        </is>
      </c>
      <c r="AM426" s="53" t="inlineStr">
        <is>
          <t>Datatech</t>
        </is>
      </c>
      <c r="AN426" s="53" t="inlineStr">
        <is>
          <t>Datatech - Outreach</t>
        </is>
      </c>
      <c r="AO426" s="53" t="inlineStr">
        <is>
          <t>Sales</t>
        </is>
      </c>
      <c r="AP426" s="53" t="inlineStr">
        <is>
          <t>No</t>
        </is>
      </c>
      <c r="AQ426" s="53" t="inlineStr">
        <is>
          <t>Sales, Marketing &amp; Support</t>
        </is>
      </c>
      <c r="AR426" s="53" t="inlineStr">
        <is>
          <t>Sales</t>
        </is>
      </c>
      <c r="AS426" s="53" t="inlineStr">
        <is>
          <t>Non-technical</t>
        </is>
      </c>
      <c r="AT426" s="53" t="n">
        <v>20</v>
      </c>
      <c r="AU426" s="53" t="inlineStr">
        <is>
          <t>Covered</t>
        </is>
      </c>
      <c r="AV426" s="53" t="n"/>
      <c r="AW426" s="53" t="n"/>
      <c r="AX426" s="53" t="n"/>
      <c r="AY426" s="53" t="n"/>
      <c r="AZ426" s="53" t="n"/>
      <c r="BA426" s="53" t="n"/>
      <c r="BB426" s="53" t="n"/>
      <c r="BC426" s="53" t="n"/>
      <c r="BD426" s="53" t="n"/>
      <c r="BE426" s="53" t="n"/>
      <c r="BF426" s="53" t="n"/>
      <c r="BG426" s="53" t="n"/>
      <c r="BH426" s="53" t="n"/>
      <c r="BI426" s="53" t="n"/>
      <c r="BJ426" s="53" t="n"/>
      <c r="BK426" s="53" t="n"/>
      <c r="BL426" s="53" t="n"/>
      <c r="BM426" s="53" t="n"/>
      <c r="BN426" s="53" t="n"/>
      <c r="BO426" s="53" t="n"/>
      <c r="BP426" s="53" t="n"/>
      <c r="BQ426" s="53" t="n"/>
      <c r="BR426" s="53" t="n"/>
      <c r="BS426" s="53" t="n"/>
      <c r="BT426" s="53" t="n"/>
      <c r="BU426" s="53" t="n"/>
      <c r="BV426" s="53" t="n"/>
      <c r="BW426" s="53" t="n"/>
      <c r="BX426" s="53" t="n"/>
      <c r="BY426" s="53" t="n"/>
      <c r="BZ426" s="53" t="n"/>
      <c r="CA426" s="53" t="n"/>
      <c r="CB426" s="53" t="n"/>
      <c r="CC426" s="53" t="n"/>
      <c r="CD426" s="53" t="n"/>
      <c r="CE426" s="53" t="n"/>
      <c r="CF426" s="53" t="n"/>
      <c r="CG426" s="53" t="n"/>
      <c r="CH426" s="53" t="n"/>
      <c r="CI426" s="53" t="n"/>
      <c r="CJ426" s="53" t="n"/>
      <c r="CK426" s="53" t="n"/>
      <c r="CL426" s="53" t="n"/>
      <c r="CM426" s="53" t="n"/>
      <c r="CN426" s="53" t="n"/>
      <c r="CO426" s="53" t="n"/>
      <c r="CP426" s="53" t="n"/>
      <c r="CQ426" s="53" t="n"/>
      <c r="CR426" s="53" t="n"/>
      <c r="CS426" s="53" t="n"/>
      <c r="CT426" s="53" t="n"/>
      <c r="CU426" s="53" t="n"/>
      <c r="CV426" s="53" t="n"/>
      <c r="CW426" s="53" t="n"/>
      <c r="CX426" s="53" t="n"/>
      <c r="CY426" s="53" t="n"/>
      <c r="CZ426" s="53" t="n"/>
      <c r="DA426" s="53" t="n"/>
      <c r="DB426" s="53" t="n"/>
      <c r="DC426" s="53" t="n"/>
      <c r="DD426" s="53" t="inlineStr">
        <is>
          <t>IRIS2461</t>
        </is>
      </c>
      <c r="DE426" s="53" t="inlineStr">
        <is>
          <t>Employee</t>
        </is>
      </c>
      <c r="DF426" s="53" t="inlineStr">
        <is>
          <t>Active</t>
        </is>
      </c>
      <c r="DG426" s="53" t="inlineStr">
        <is>
          <t>Bharati Durgaprasad Paranjape</t>
        </is>
      </c>
      <c r="DH426" s="54" t="n">
        <v>46027</v>
      </c>
      <c r="DI426" s="53" t="inlineStr">
        <is>
          <t>Program Executive - MSME</t>
        </is>
      </c>
      <c r="DJ426" s="53" t="inlineStr">
        <is>
          <t>Project &amp; Program Management</t>
        </is>
      </c>
      <c r="DK426" s="53" t="inlineStr">
        <is>
          <t>Program Management</t>
        </is>
      </c>
      <c r="DL426" s="53" t="inlineStr">
        <is>
          <t>Program Executive - MSME</t>
        </is>
      </c>
      <c r="DM426" s="53" t="inlineStr">
        <is>
          <t>L3 – Professional / Associate</t>
        </is>
      </c>
      <c r="DN426" s="53" t="inlineStr">
        <is>
          <t>MA</t>
        </is>
      </c>
      <c r="DO426" s="53" t="inlineStr">
        <is>
          <t>Raghin Nair</t>
        </is>
      </c>
      <c r="DP426" s="53" t="inlineStr">
        <is>
          <t>N-3</t>
        </is>
      </c>
      <c r="DQ426" s="53" t="inlineStr">
        <is>
          <t>Individual Contributor</t>
        </is>
      </c>
      <c r="DR426" s="53" t="inlineStr">
        <is>
          <t>3 years, 8 months, 0 days</t>
        </is>
      </c>
      <c r="DS426" s="53" t="inlineStr">
        <is>
          <t>0 years, 5 months, 15 days</t>
        </is>
      </c>
      <c r="DT426" s="53" t="inlineStr">
        <is>
          <t>4 years, 1 months, 15 days</t>
        </is>
      </c>
      <c r="DU426" s="53" t="n"/>
      <c r="DV426" s="53" t="inlineStr">
        <is>
          <t>Datatech</t>
        </is>
      </c>
      <c r="DW426" s="53" t="inlineStr">
        <is>
          <t>Datatech</t>
        </is>
      </c>
      <c r="DX426" s="53" t="inlineStr">
        <is>
          <t>Datatech - Outreach</t>
        </is>
      </c>
      <c r="DY426" s="53" t="inlineStr">
        <is>
          <t>Sales</t>
        </is>
      </c>
      <c r="DZ426" s="53" t="inlineStr">
        <is>
          <t>No</t>
        </is>
      </c>
      <c r="EA426" s="53" t="inlineStr">
        <is>
          <t>Sales, Marketing &amp; Support</t>
        </is>
      </c>
      <c r="EB426" s="53" t="inlineStr">
        <is>
          <t>Sales</t>
        </is>
      </c>
      <c r="EC426" s="53" t="inlineStr">
        <is>
          <t>Non-technical</t>
        </is>
      </c>
      <c r="ED426" s="53" t="inlineStr">
        <is>
          <t>Panaji</t>
        </is>
      </c>
      <c r="EE426" s="53" t="n"/>
      <c r="EF426" s="53" t="inlineStr">
        <is>
          <t>1. MSME Onboarding - Onboard minimum 30 MSMEs per month, 90 per quarter  - Weightage: 30%
2. Business Loan Applications - Submit 35 loan applications per month, 115 per quarter  Weightage: 30%
3. BHR Sales - Sell 50 BHR units per quarter - Weightage: 30%
4. Government/MOU Connect - Maintain active contact with named government stakeholders; minimum 1 touchpoint/month, logged - Weightage: 10%</t>
        </is>
      </c>
      <c r="EG426" s="53" t="inlineStr">
        <is>
          <t>1. MSME Onboarding - Target: 90 MSMEs this quarter
2. Business Loan Applications - Target: 115 applications this quarter
3. BHR Sales - Target: 50 BHR units this quarter
4. Government/MOU Connect - Minimum 1 touchpoint/month, logged</t>
        </is>
      </c>
      <c r="EH426" s="53" t="n">
        <v>3</v>
      </c>
      <c r="EI426" s="54" t="n">
        <v>46199</v>
      </c>
      <c r="EJ426" s="53" t="inlineStr">
        <is>
          <t>Program Executive - MSME</t>
        </is>
      </c>
      <c r="EK426" s="53" t="inlineStr">
        <is>
          <t>No</t>
        </is>
      </c>
      <c r="EL426" s="53" t="n">
        <v>3</v>
      </c>
      <c r="EM426" s="53" t="inlineStr">
        <is>
          <t>Medium</t>
        </is>
      </c>
      <c r="EN426" s="53" t="inlineStr">
        <is>
          <t>Emerging Talent</t>
        </is>
      </c>
      <c r="EO426" s="53" t="inlineStr">
        <is>
          <t>No</t>
        </is>
      </c>
      <c r="EP426" s="53" t="inlineStr">
        <is>
          <t>No</t>
        </is>
      </c>
      <c r="EQ426" s="53" t="inlineStr">
        <is>
          <t>No</t>
        </is>
      </c>
      <c r="ER426" s="53" t="n"/>
      <c r="ES426" s="53" t="inlineStr">
        <is>
          <t>Product knowledge · loan/BHR products; Objection handling; Sales approach/pitch technique</t>
        </is>
      </c>
      <c r="ET426" s="53" t="inlineStr">
        <is>
          <t>Target role: Senior Field Associate · interim step. Development: deepen product/sales skill first, before layering on management scope. Review date: 31-08-2026</t>
        </is>
      </c>
      <c r="EU426" s="53" t="n"/>
      <c r="EV426" s="53" t="inlineStr">
        <is>
          <t>Peridot App</t>
        </is>
      </c>
      <c r="EW426" s="52" t="n"/>
      <c r="EX426" s="53" t="n"/>
      <c r="EY426" s="53" t="n"/>
      <c r="EZ426" s="53" t="n"/>
      <c r="FA426" s="53" t="n"/>
      <c r="FB426" s="53" t="n"/>
      <c r="FC426" s="53" t="n"/>
      <c r="FD426" s="53" t="inlineStr">
        <is>
          <t>IRIS2461</t>
        </is>
      </c>
      <c r="FE426" s="57" t="inlineStr">
        <is>
          <t>1. MSME Onboarding - Onboard minimum 30 MSMEs per month, 90 per quarter  - Weightage: 30%
2. Business Loan Applications - Submit 35 loan applications per month, 115 per quarter  Weightage: 30%
3. BHR Sales - Sell 50 BHR units per quarter - Weightage: 30%
4. Government/MOU Connect - Maintain active contact with named government stakeholders; minimum 1 touchpoint/month, logged - Weightage: 10%</t>
        </is>
      </c>
      <c r="FF426" s="56" t="inlineStr">
        <is>
          <t>1. MSME Onboarding - Target: 90 MSMEs this quarter
2. Business Loan Applications - Target: 115 applications this quarter
3. BHR Sales - Target: 50 BHR units this quarter
4. Government/MOU Connect - Minimum 1 touchpoint/month, logged</t>
        </is>
      </c>
      <c r="FG426" s="56" t="n"/>
      <c r="FH426" s="56" t="inlineStr">
        <is>
          <t>3</t>
        </is>
      </c>
      <c r="FI426" s="56" t="n"/>
      <c r="FJ426" s="56" t="inlineStr">
        <is>
          <t>Received · manager annual, quarterly</t>
        </is>
      </c>
      <c r="FK426" s="56" t="inlineStr">
        <is>
          <t>Talent Mapping · Datatech</t>
        </is>
      </c>
      <c r="FL426" s="56" t="n">
        <v>19</v>
      </c>
      <c r="FM426" s="32" t="inlineStr">
        <is>
          <t>Full survey answers not in the files received · How We Grow export needed · HR</t>
        </is>
      </c>
      <c r="FN426" s="56" t="inlineStr">
        <is>
          <t>—</t>
        </is>
      </c>
      <c r="FO426" s="56" t="inlineStr">
        <is>
          <t>—</t>
        </is>
      </c>
      <c r="FP426" s="56" t="inlineStr">
        <is>
          <t>—</t>
        </is>
      </c>
      <c r="FQ426" s="56" t="inlineStr">
        <is>
          <t>—</t>
        </is>
      </c>
      <c r="FR426" s="56" t="inlineStr">
        <is>
          <t>Complexity: Evidence reads like A2: Engages government officers and industry bodies to sell company services; little detail → matches the start
Autonomy: Evidence reads like A2: Decides own engagement and sales activity; nothing beyond own work → matches the start
Accountability: Evidence reads like A2: States only 'engagement' as accountability → matches the start
Leadership: Evidence reads like A1: No guidance or leadership of others described → matches the start
Business Impact: No survey or manager-mapping signal on criticality: kept at the start point.</t>
        </is>
      </c>
      <c r="FS426" s="56" t="inlineStr">
        <is>
          <t>Common themes in role-holders' answers: partners · business · services · msme
Common themes in role-holders' answers: leads
If the work is missed · role-holders' themes: sales · customer.
Measured on · manager-set KRA themes: month quarter · minimum msmes · applications quarter · business · bhr units · onboard minimum.</t>
        </is>
      </c>
      <c r="FT426" s="56" t="inlineStr">
        <is>
          <t>Self-identified: Client, sales &amp; stakeholders
For the next role: Client, sales &amp; stakeholders</t>
        </is>
      </c>
      <c r="FU426" s="32" t="inlineStr">
        <is>
          <t>Full survey answers not in the files received · How We Grow export needed · HR</t>
        </is>
      </c>
    </row>
    <row r="427" ht="90" customHeight="1">
      <c r="A427" s="51" t="inlineStr">
        <is>
          <t>◂ Back</t>
        </is>
      </c>
      <c r="B427" s="29" t="inlineStr">
        <is>
          <t>Mapped</t>
        </is>
      </c>
      <c r="C427" s="28" t="inlineStr">
        <is>
          <t>Datatech</t>
        </is>
      </c>
      <c r="D427" s="29" t="inlineStr">
        <is>
          <t>IRISDT0003</t>
        </is>
      </c>
      <c r="E427" s="29" t="inlineStr">
        <is>
          <t>Nalini Niranjan Damisetti</t>
        </is>
      </c>
      <c r="F427" s="29" t="inlineStr">
        <is>
          <t>Datatech - Outreach</t>
        </is>
      </c>
      <c r="G427" s="29" t="inlineStr">
        <is>
          <t>Program Coordinator</t>
        </is>
      </c>
      <c r="H427" s="29" t="inlineStr">
        <is>
          <t>Senior Program Executive</t>
        </is>
      </c>
      <c r="I427" s="29" t="inlineStr">
        <is>
          <t>L3 – Professional / Associate</t>
        </is>
      </c>
      <c r="J427" s="29" t="inlineStr">
        <is>
          <t>A3</t>
        </is>
      </c>
      <c r="K427" s="29" t="inlineStr">
        <is>
          <t>▲ Up</t>
        </is>
      </c>
      <c r="L427" s="29" t="inlineStr">
        <is>
          <t>Sales &amp; Business Development</t>
        </is>
      </c>
      <c r="M427" s="29" t="inlineStr">
        <is>
          <t>Field Outreach &amp; Programme Sales</t>
        </is>
      </c>
      <c r="N427" s="29" t="n"/>
      <c r="O427" s="29" t="n">
        <v>20</v>
      </c>
      <c r="P427" s="28" t="inlineStr">
        <is>
          <t>P2</t>
        </is>
      </c>
      <c r="Q427" s="29" t="inlineStr">
        <is>
          <t>Developing</t>
        </is>
      </c>
      <c r="R427" s="29" t="inlineStr">
        <is>
          <t>3 Apply</t>
        </is>
      </c>
      <c r="S427" s="29" t="inlineStr">
        <is>
          <t>2–4 yrs</t>
        </is>
      </c>
      <c r="T427" s="29" t="inlineStr">
        <is>
          <t>3–5 · 2–5</t>
        </is>
      </c>
      <c r="U427" s="29" t="inlineStr">
        <is>
          <t>SDR / Inside Sales</t>
        </is>
      </c>
      <c r="V427" s="29" t="inlineStr">
        <is>
          <t>IRIS Vs Competitor Benchmark — SaaS sales ladder — IC: Senior SDR</t>
        </is>
      </c>
      <c r="W427" s="29" t="inlineStr">
        <is>
          <t>SaaS sales ladder · SDR → AE → Enterprise AE → VP / CRO; MEDDICC-style qualification</t>
        </is>
      </c>
      <c r="X427" s="29" t="inlineStr">
        <is>
          <t>Core 2 · Future 2 · Functional 3 · Leadership not scored</t>
        </is>
      </c>
      <c r="Y427" s="52" t="n">
        <v>539</v>
      </c>
      <c r="Z427" s="53" t="inlineStr">
        <is>
          <t>IRISDT0003</t>
        </is>
      </c>
      <c r="AA427" s="53" t="inlineStr">
        <is>
          <t>Employee</t>
        </is>
      </c>
      <c r="AB427" s="53" t="inlineStr">
        <is>
          <t>Active</t>
        </is>
      </c>
      <c r="AC427" s="53" t="inlineStr">
        <is>
          <t>Nalini Niranjan Damisetti</t>
        </is>
      </c>
      <c r="AD427" s="54" t="n">
        <v>45628</v>
      </c>
      <c r="AE427" s="53" t="inlineStr">
        <is>
          <t>Program Coordinator</t>
        </is>
      </c>
      <c r="AF427" s="53" t="inlineStr">
        <is>
          <t>PGDM</t>
        </is>
      </c>
      <c r="AG427" s="53" t="inlineStr">
        <is>
          <t>Raghin Nair</t>
        </is>
      </c>
      <c r="AH427" s="53" t="inlineStr">
        <is>
          <t>N-3</t>
        </is>
      </c>
      <c r="AI427" s="53" t="inlineStr">
        <is>
          <t>Individual Contributor</t>
        </is>
      </c>
      <c r="AJ427" s="53" t="inlineStr">
        <is>
          <t>5 years, 6 months, 0 days</t>
        </is>
      </c>
      <c r="AK427" s="53" t="inlineStr">
        <is>
          <t>1 years, 8 months, 23 days</t>
        </is>
      </c>
      <c r="AL427" s="53" t="inlineStr">
        <is>
          <t>Datatech</t>
        </is>
      </c>
      <c r="AM427" s="53" t="inlineStr">
        <is>
          <t>Datatech</t>
        </is>
      </c>
      <c r="AN427" s="53" t="inlineStr">
        <is>
          <t>Datatech - Outreach</t>
        </is>
      </c>
      <c r="AO427" s="53" t="inlineStr">
        <is>
          <t>Sales</t>
        </is>
      </c>
      <c r="AP427" s="53" t="inlineStr">
        <is>
          <t>No</t>
        </is>
      </c>
      <c r="AQ427" s="53" t="inlineStr">
        <is>
          <t>Sales, Marketing &amp; Support</t>
        </is>
      </c>
      <c r="AR427" s="53" t="inlineStr">
        <is>
          <t>Sales</t>
        </is>
      </c>
      <c r="AS427" s="53" t="inlineStr">
        <is>
          <t>Non-technical</t>
        </is>
      </c>
      <c r="AT427" s="53" t="n">
        <v>20</v>
      </c>
      <c r="AU427" s="53" t="inlineStr">
        <is>
          <t>Covered</t>
        </is>
      </c>
      <c r="AV427" s="53" t="n"/>
      <c r="AW427" s="53" t="n"/>
      <c r="AX427" s="53" t="n"/>
      <c r="AY427" s="53" t="n"/>
      <c r="AZ427" s="53" t="n"/>
      <c r="BA427" s="53" t="n"/>
      <c r="BB427" s="53" t="n"/>
      <c r="BC427" s="53" t="n"/>
      <c r="BD427" s="53" t="n"/>
      <c r="BE427" s="53" t="n"/>
      <c r="BF427" s="53" t="n"/>
      <c r="BG427" s="53" t="n"/>
      <c r="BH427" s="53" t="n"/>
      <c r="BI427" s="53" t="n"/>
      <c r="BJ427" s="53" t="n"/>
      <c r="BK427" s="53" t="n"/>
      <c r="BL427" s="53" t="n"/>
      <c r="BM427" s="53" t="n"/>
      <c r="BN427" s="53" t="n"/>
      <c r="BO427" s="53" t="n"/>
      <c r="BP427" s="53" t="n"/>
      <c r="BQ427" s="53" t="n"/>
      <c r="BR427" s="53" t="n"/>
      <c r="BS427" s="53" t="n"/>
      <c r="BT427" s="53" t="n"/>
      <c r="BU427" s="53" t="n"/>
      <c r="BV427" s="53" t="n"/>
      <c r="BW427" s="53" t="n"/>
      <c r="BX427" s="53" t="n"/>
      <c r="BY427" s="53" t="n"/>
      <c r="BZ427" s="53" t="n"/>
      <c r="CA427" s="53" t="n"/>
      <c r="CB427" s="53" t="n"/>
      <c r="CC427" s="53" t="n"/>
      <c r="CD427" s="53" t="n"/>
      <c r="CE427" s="53" t="n"/>
      <c r="CF427" s="53" t="n"/>
      <c r="CG427" s="53" t="n"/>
      <c r="CH427" s="53" t="n"/>
      <c r="CI427" s="53" t="n"/>
      <c r="CJ427" s="53" t="n"/>
      <c r="CK427" s="53" t="n"/>
      <c r="CL427" s="53" t="n"/>
      <c r="CM427" s="53" t="n"/>
      <c r="CN427" s="53" t="n"/>
      <c r="CO427" s="53" t="n"/>
      <c r="CP427" s="53" t="n"/>
      <c r="CQ427" s="53" t="n"/>
      <c r="CR427" s="53" t="n"/>
      <c r="CS427" s="53" t="n"/>
      <c r="CT427" s="53" t="n"/>
      <c r="CU427" s="53" t="n"/>
      <c r="CV427" s="53" t="n"/>
      <c r="CW427" s="53" t="n"/>
      <c r="CX427" s="53" t="n"/>
      <c r="CY427" s="53" t="n"/>
      <c r="CZ427" s="53" t="n"/>
      <c r="DA427" s="53" t="n"/>
      <c r="DB427" s="53" t="n"/>
      <c r="DC427" s="53" t="n"/>
      <c r="DD427" s="53" t="inlineStr">
        <is>
          <t>IRIS2326</t>
        </is>
      </c>
      <c r="DE427" s="53" t="inlineStr">
        <is>
          <t>Employee</t>
        </is>
      </c>
      <c r="DF427" s="53" t="inlineStr">
        <is>
          <t>Active</t>
        </is>
      </c>
      <c r="DG427" s="53" t="inlineStr">
        <is>
          <t>Nalini Niranjan Damisetti</t>
        </is>
      </c>
      <c r="DH427" s="54" t="n">
        <v>45628</v>
      </c>
      <c r="DI427" s="53" t="inlineStr">
        <is>
          <t>Program Coordinator</t>
        </is>
      </c>
      <c r="DJ427" s="53" t="inlineStr">
        <is>
          <t>Executive Leadership</t>
        </is>
      </c>
      <c r="DK427" s="53" t="inlineStr">
        <is>
          <t>Business / Functional Leadership</t>
        </is>
      </c>
      <c r="DL427" s="53" t="inlineStr">
        <is>
          <t>Program Coordinator</t>
        </is>
      </c>
      <c r="DM427" s="53" t="inlineStr">
        <is>
          <t>L3 – Professional / Associate</t>
        </is>
      </c>
      <c r="DN427" s="53" t="inlineStr">
        <is>
          <t>PGDM</t>
        </is>
      </c>
      <c r="DO427" s="53" t="inlineStr">
        <is>
          <t>Raghin Nair</t>
        </is>
      </c>
      <c r="DP427" s="53" t="inlineStr">
        <is>
          <t>N-3</t>
        </is>
      </c>
      <c r="DQ427" s="53" t="inlineStr">
        <is>
          <t>Manager</t>
        </is>
      </c>
      <c r="DR427" s="53" t="inlineStr">
        <is>
          <t>5 years, 6 months, 0 days</t>
        </is>
      </c>
      <c r="DS427" s="53" t="inlineStr">
        <is>
          <t>1 years, 6 months, 18 days</t>
        </is>
      </c>
      <c r="DT427" s="53" t="inlineStr">
        <is>
          <t>7 years, 0 months, 18 days</t>
        </is>
      </c>
      <c r="DU427" s="53" t="n">
        <v>1.54931506849315</v>
      </c>
      <c r="DV427" s="53" t="inlineStr">
        <is>
          <t>Datatech</t>
        </is>
      </c>
      <c r="DW427" s="53" t="inlineStr">
        <is>
          <t>Datatech</t>
        </is>
      </c>
      <c r="DX427" s="53" t="inlineStr">
        <is>
          <t>Datatech - Outreach</t>
        </is>
      </c>
      <c r="DY427" s="53" t="inlineStr">
        <is>
          <t>Sales</t>
        </is>
      </c>
      <c r="DZ427" s="53" t="inlineStr">
        <is>
          <t>No</t>
        </is>
      </c>
      <c r="EA427" s="53" t="inlineStr">
        <is>
          <t>Sales, Marketing &amp; Support</t>
        </is>
      </c>
      <c r="EB427" s="53" t="inlineStr">
        <is>
          <t>Sales</t>
        </is>
      </c>
      <c r="EC427" s="53" t="inlineStr">
        <is>
          <t>Non-technical</t>
        </is>
      </c>
      <c r="ED427" s="53" t="inlineStr">
        <is>
          <t>Hyderabad</t>
        </is>
      </c>
      <c r="EE427" s="53" t="n"/>
      <c r="EF427" s="53" t="inlineStr">
        <is>
          <t>1. MSME Onboarding - Onboard minimum 70 MSMEs per month, 210 per quarter  - Weightage: 30%
2. Business Loan Applications - Submit 25 loan applications per month, 90 per quarter  Weightage: 30%
3. BHR Sales - Sell 30 BHR units per quarter - Weightage: 30%
4. Government/MOU Connect - Maintain active contact with named government stakeholders; minimum 1 touchpoint/month, logged - Weightage: 10%</t>
        </is>
      </c>
      <c r="EG427" s="53" t="inlineStr">
        <is>
          <t>1. MSME Onboarding - Target: 70 MSMEs this quarter
2. Business Loan Applications - Target: 90 applications this quarter
3. BHR Sales - Target: 30 BHR units this quarter
4. Government/MOU Connect - Minimum 1 touchpoint/month, logged</t>
        </is>
      </c>
      <c r="EH427" s="53" t="n">
        <v>3</v>
      </c>
      <c r="EI427" s="54" t="n">
        <v>46199</v>
      </c>
      <c r="EJ427" s="53" t="inlineStr">
        <is>
          <t>Program Coordinator</t>
        </is>
      </c>
      <c r="EK427" s="53" t="inlineStr">
        <is>
          <t>No</t>
        </is>
      </c>
      <c r="EL427" s="53" t="n">
        <v>3</v>
      </c>
      <c r="EM427" s="53" t="inlineStr">
        <is>
          <t>Medium</t>
        </is>
      </c>
      <c r="EN427" s="53" t="inlineStr">
        <is>
          <t>Performance Risk</t>
        </is>
      </c>
      <c r="EO427" s="53" t="inlineStr">
        <is>
          <t>No</t>
        </is>
      </c>
      <c r="EP427" s="53" t="inlineStr">
        <is>
          <t>No</t>
        </is>
      </c>
      <c r="EQ427" s="53" t="inlineStr">
        <is>
          <t>No</t>
        </is>
      </c>
      <c r="ER427" s="53" t="n"/>
      <c r="ES427" s="53" t="inlineStr">
        <is>
          <t>Objection handling · converting hesitant MSMEs; BHR selling</t>
        </is>
      </c>
      <c r="ET427" s="53" t="n"/>
      <c r="EU427" s="53" t="n"/>
      <c r="EV427" s="53" t="inlineStr">
        <is>
          <t>Peridot App</t>
        </is>
      </c>
      <c r="EW427" s="52" t="n"/>
      <c r="EX427" s="53" t="n"/>
      <c r="EY427" s="53" t="n"/>
      <c r="EZ427" s="53" t="n"/>
      <c r="FA427" s="53" t="n"/>
      <c r="FB427" s="53" t="n"/>
      <c r="FC427" s="53" t="n"/>
      <c r="FD427" s="53" t="inlineStr">
        <is>
          <t>IRIS2326</t>
        </is>
      </c>
      <c r="FE427" s="57" t="inlineStr">
        <is>
          <t>1. MSME Onboarding - Onboard minimum 70 MSMEs per month, 210 per quarter  - Weightage: 30%
2. Business Loan Applications - Submit 25 loan applications per month, 90 per quarter  Weightage: 30%
3. BHR Sales - Sell 30 BHR units per quarter - Weightage: 30%
4. Government/MOU Connect - Maintain active contact with named government stakeholders; minimum 1 touchpoint/month, logged - Weightage: 10%</t>
        </is>
      </c>
      <c r="FF427" s="56" t="inlineStr">
        <is>
          <t>1. MSME Onboarding - Target: 70 MSMEs this quarter
2. Business Loan Applications - Target: 90 applications this quarter
3. BHR Sales - Target: 30 BHR units this quarter
4. Government/MOU Connect - Minimum 1 touchpoint/month, logged</t>
        </is>
      </c>
      <c r="FG427" s="56" t="n"/>
      <c r="FH427" s="56" t="inlineStr">
        <is>
          <t>3</t>
        </is>
      </c>
      <c r="FI427" s="56" t="n"/>
      <c r="FJ427" s="56" t="inlineStr">
        <is>
          <t>Received · manager annual, quarterly</t>
        </is>
      </c>
      <c r="FK427" s="56" t="inlineStr">
        <is>
          <t>Talent Mapping · Datatech</t>
        </is>
      </c>
      <c r="FL427" s="56" t="n">
        <v>20</v>
      </c>
      <c r="FM427" s="32" t="inlineStr">
        <is>
          <t>Full survey answers not in the files received · How We Grow export needed · HR</t>
        </is>
      </c>
      <c r="FN427" s="56" t="inlineStr">
        <is>
          <t>—</t>
        </is>
      </c>
      <c r="FO427" s="56" t="inlineStr">
        <is>
          <t>—</t>
        </is>
      </c>
      <c r="FP427" s="56" t="inlineStr">
        <is>
          <t>—</t>
        </is>
      </c>
      <c r="FQ427" s="56" t="inlineStr">
        <is>
          <t>—</t>
        </is>
      </c>
      <c r="FR427" s="56" t="inlineStr">
        <is>
          <t>Complexity: Evidence reads like A2: Processes MSME loan leads as DSA for several lenders; checks GST, CIBIL, banking → matches the start
Autonomy: Evidence reads like A2: Only decision named is punching in leads → matches the start
Accountability: Evidence reads like A2: Names loan disbursement; missed work loses the customer or adds backlog → matches the start
Leadership: Evidence reads like A1: No guidance or leadership of others described → matches the start
Business Impact: No survey or manager-mapping signal on criticality: kept at the start point.</t>
        </is>
      </c>
      <c r="FS427" s="56" t="inlineStr">
        <is>
          <t>Common themes in role-holders' answers: partners · business · services · msme
Common themes in role-holders' answers: leads
If the work is missed · role-holders' themes: sales · customer.
Measured on · manager-set KRA themes: month quarter · minimum msmes · applications quarter · business · bhr units · onboard minimum.</t>
        </is>
      </c>
      <c r="FT427" s="56" t="inlineStr">
        <is>
          <t>Self-identified: Answered · no common topic
For the next role: Answered · no common topic</t>
        </is>
      </c>
      <c r="FU427" s="32" t="inlineStr">
        <is>
          <t>Full survey answers not in the files received · How We Grow export needed · HR</t>
        </is>
      </c>
    </row>
    <row r="428" ht="90" customHeight="1">
      <c r="A428" s="51" t="inlineStr">
        <is>
          <t>◂ Back</t>
        </is>
      </c>
      <c r="B428" s="29" t="inlineStr">
        <is>
          <t>Mapped</t>
        </is>
      </c>
      <c r="C428" s="28" t="inlineStr">
        <is>
          <t>Datatech</t>
        </is>
      </c>
      <c r="D428" s="29" t="inlineStr">
        <is>
          <t>IRISDT0015</t>
        </is>
      </c>
      <c r="E428" s="29" t="inlineStr">
        <is>
          <t>Jothi Pillai</t>
        </is>
      </c>
      <c r="F428" s="29" t="inlineStr">
        <is>
          <t>Datatech - Outreach</t>
        </is>
      </c>
      <c r="G428" s="29" t="inlineStr">
        <is>
          <t>Operations Executive</t>
        </is>
      </c>
      <c r="H428" s="29" t="inlineStr">
        <is>
          <t>Program Executive</t>
        </is>
      </c>
      <c r="I428" s="29" t="inlineStr">
        <is>
          <t>L3 – Professional / Associate</t>
        </is>
      </c>
      <c r="J428" s="29" t="inlineStr">
        <is>
          <t>A2</t>
        </is>
      </c>
      <c r="K428" s="29" t="inlineStr">
        <is>
          <t>• Same level</t>
        </is>
      </c>
      <c r="L428" s="29" t="inlineStr">
        <is>
          <t>Sales &amp; Business Development</t>
        </is>
      </c>
      <c r="M428" s="29" t="inlineStr">
        <is>
          <t>Field Outreach &amp; Programme Sales</t>
        </is>
      </c>
      <c r="N428" s="29" t="n"/>
      <c r="O428" s="29" t="n">
        <v>0</v>
      </c>
      <c r="P428" s="28" t="inlineStr">
        <is>
          <t>P1–P2</t>
        </is>
      </c>
      <c r="Q428" s="29" t="inlineStr">
        <is>
          <t>Entry / Developing</t>
        </is>
      </c>
      <c r="R428" s="29" t="inlineStr">
        <is>
          <t>2 Assist</t>
        </is>
      </c>
      <c r="S428" s="29" t="inlineStr">
        <is>
          <t>0–2 yrs</t>
        </is>
      </c>
      <c r="T428" s="29" t="inlineStr">
        <is>
          <t>1–3 · 0–3</t>
        </is>
      </c>
      <c r="U428" s="29" t="inlineStr">
        <is>
          <t>SDR · entry / SDR / Inside Sales</t>
        </is>
      </c>
      <c r="V428" s="29" t="inlineStr">
        <is>
          <t>IRIS Vs Competitor Benchmark — SaaS sales ladder — IC: SDR / BDR</t>
        </is>
      </c>
      <c r="W428" s="29" t="inlineStr">
        <is>
          <t>SaaS sales ladder · SDR → AE → Enterprise AE → VP / CRO; MEDDICC-style qualification</t>
        </is>
      </c>
      <c r="X428" s="29" t="inlineStr">
        <is>
          <t>Core 2 · Future 2 · Functional 2 · Leadership not scored</t>
        </is>
      </c>
      <c r="Y428" s="52" t="n">
        <v>551</v>
      </c>
      <c r="Z428" s="53" t="inlineStr">
        <is>
          <t>IRISDT0015</t>
        </is>
      </c>
      <c r="AA428" s="53" t="inlineStr">
        <is>
          <t>Employee</t>
        </is>
      </c>
      <c r="AB428" s="53" t="inlineStr">
        <is>
          <t>Active</t>
        </is>
      </c>
      <c r="AC428" s="53" t="inlineStr">
        <is>
          <t>Jothi Pillai</t>
        </is>
      </c>
      <c r="AD428" s="54" t="n">
        <v>46083</v>
      </c>
      <c r="AE428" s="53" t="inlineStr">
        <is>
          <t>Operations Executive</t>
        </is>
      </c>
      <c r="AF428" s="53" t="inlineStr">
        <is>
          <t>B.Com</t>
        </is>
      </c>
      <c r="AG428" s="53" t="inlineStr">
        <is>
          <t>Raghin Nair</t>
        </is>
      </c>
      <c r="AH428" s="53" t="inlineStr">
        <is>
          <t>N-3</t>
        </is>
      </c>
      <c r="AI428" s="53" t="inlineStr">
        <is>
          <t>Individual Contributor</t>
        </is>
      </c>
      <c r="AJ428" s="53" t="inlineStr">
        <is>
          <t>0 years, 7 months, 0 days</t>
        </is>
      </c>
      <c r="AK428" s="53" t="inlineStr">
        <is>
          <t>0 years, 5 months, 23 days</t>
        </is>
      </c>
      <c r="AL428" s="53" t="inlineStr">
        <is>
          <t>Datatech</t>
        </is>
      </c>
      <c r="AM428" s="53" t="inlineStr">
        <is>
          <t>Datatech</t>
        </is>
      </c>
      <c r="AN428" s="53" t="inlineStr">
        <is>
          <t>Datatech - Outreach</t>
        </is>
      </c>
      <c r="AO428" s="53" t="inlineStr">
        <is>
          <t>Sales</t>
        </is>
      </c>
      <c r="AP428" s="53" t="inlineStr">
        <is>
          <t>No</t>
        </is>
      </c>
      <c r="AQ428" s="53" t="inlineStr">
        <is>
          <t>Sales, Marketing &amp; Support</t>
        </is>
      </c>
      <c r="AR428" s="53" t="inlineStr">
        <is>
          <t>Sales</t>
        </is>
      </c>
      <c r="AS428" s="53" t="inlineStr">
        <is>
          <t>Non-technical</t>
        </is>
      </c>
      <c r="AT428" s="53" t="n">
        <v>0</v>
      </c>
      <c r="AU428" s="53" t="inlineStr">
        <is>
          <t>Excluded</t>
        </is>
      </c>
      <c r="AV428" s="53" t="n"/>
      <c r="AW428" s="53" t="n"/>
      <c r="AX428" s="53" t="n"/>
      <c r="AY428" s="53" t="n"/>
      <c r="AZ428" s="53" t="n"/>
      <c r="BA428" s="53" t="n"/>
      <c r="BB428" s="53" t="n"/>
      <c r="BC428" s="53" t="n"/>
      <c r="BD428" s="53" t="n"/>
      <c r="BE428" s="53" t="n"/>
      <c r="BF428" s="53" t="n"/>
      <c r="BG428" s="53" t="n"/>
      <c r="BH428" s="53" t="n"/>
      <c r="BI428" s="53" t="n"/>
      <c r="BJ428" s="53" t="n"/>
      <c r="BK428" s="53" t="n"/>
      <c r="BL428" s="53" t="n"/>
      <c r="BM428" s="53" t="n"/>
      <c r="BN428" s="53" t="n"/>
      <c r="BO428" s="53" t="n"/>
      <c r="BP428" s="53" t="n"/>
      <c r="BQ428" s="53" t="n"/>
      <c r="BR428" s="53" t="n"/>
      <c r="BS428" s="53" t="n"/>
      <c r="BT428" s="53" t="n"/>
      <c r="BU428" s="53" t="n"/>
      <c r="BV428" s="53" t="n"/>
      <c r="BW428" s="53" t="n"/>
      <c r="BX428" s="53" t="n"/>
      <c r="BY428" s="53" t="n"/>
      <c r="BZ428" s="53" t="n"/>
      <c r="CA428" s="53" t="n"/>
      <c r="CB428" s="53" t="n"/>
      <c r="CC428" s="53" t="n"/>
      <c r="CD428" s="53" t="n"/>
      <c r="CE428" s="53" t="n"/>
      <c r="CF428" s="53" t="n"/>
      <c r="CG428" s="53" t="n"/>
      <c r="CH428" s="53" t="n"/>
      <c r="CI428" s="53" t="n"/>
      <c r="CJ428" s="53" t="n"/>
      <c r="CK428" s="53" t="n"/>
      <c r="CL428" s="53" t="n"/>
      <c r="CM428" s="53" t="n"/>
      <c r="CN428" s="53" t="n"/>
      <c r="CO428" s="53" t="n"/>
      <c r="CP428" s="53" t="n"/>
      <c r="CQ428" s="53" t="n"/>
      <c r="CR428" s="53" t="n"/>
      <c r="CS428" s="53" t="n"/>
      <c r="CT428" s="53" t="n"/>
      <c r="CU428" s="53" t="n"/>
      <c r="CV428" s="53" t="n"/>
      <c r="CW428" s="53" t="n"/>
      <c r="CX428" s="53" t="n"/>
      <c r="CY428" s="53" t="n"/>
      <c r="CZ428" s="53" t="n"/>
      <c r="DA428" s="53" t="n"/>
      <c r="DB428" s="53" t="n"/>
      <c r="DC428" s="53" t="n"/>
      <c r="DD428" s="53" t="inlineStr">
        <is>
          <t>IRIS2486</t>
        </is>
      </c>
      <c r="DE428" s="53" t="inlineStr">
        <is>
          <t>Employee</t>
        </is>
      </c>
      <c r="DF428" s="53" t="inlineStr">
        <is>
          <t>Active</t>
        </is>
      </c>
      <c r="DG428" s="53" t="inlineStr">
        <is>
          <t>Jothi Pillai</t>
        </is>
      </c>
      <c r="DH428" s="54" t="n">
        <v>46083</v>
      </c>
      <c r="DI428" s="53" t="inlineStr">
        <is>
          <t>Operations Executive</t>
        </is>
      </c>
      <c r="DJ428" s="53" t="inlineStr">
        <is>
          <t>Sales &amp; Business Development</t>
        </is>
      </c>
      <c r="DK428" s="53" t="inlineStr">
        <is>
          <t>Sales Development · SDR</t>
        </is>
      </c>
      <c r="DL428" s="53" t="inlineStr">
        <is>
          <t>Operations Executive</t>
        </is>
      </c>
      <c r="DM428" s="53" t="inlineStr">
        <is>
          <t>L3 – Professional / Associate</t>
        </is>
      </c>
      <c r="DN428" s="53" t="inlineStr">
        <is>
          <t>B.Com</t>
        </is>
      </c>
      <c r="DO428" s="53" t="inlineStr">
        <is>
          <t>Raghin Nair</t>
        </is>
      </c>
      <c r="DP428" s="53" t="inlineStr">
        <is>
          <t>N-3</t>
        </is>
      </c>
      <c r="DQ428" s="53" t="inlineStr">
        <is>
          <t>Individual Contributor</t>
        </is>
      </c>
      <c r="DR428" s="53" t="inlineStr">
        <is>
          <t>0 years, 7 months, 0 days</t>
        </is>
      </c>
      <c r="DS428" s="53" t="inlineStr">
        <is>
          <t>0 years, 3 months, 18 days</t>
        </is>
      </c>
      <c r="DT428" s="53" t="inlineStr">
        <is>
          <t>0 years, 10 months, 18 days</t>
        </is>
      </c>
      <c r="DU428" s="53" t="n"/>
      <c r="DV428" s="53" t="inlineStr">
        <is>
          <t>Datatech</t>
        </is>
      </c>
      <c r="DW428" s="53" t="inlineStr">
        <is>
          <t>Datatech</t>
        </is>
      </c>
      <c r="DX428" s="53" t="inlineStr">
        <is>
          <t>Datatech - Outreach</t>
        </is>
      </c>
      <c r="DY428" s="53" t="inlineStr">
        <is>
          <t>Sales</t>
        </is>
      </c>
      <c r="DZ428" s="53" t="inlineStr">
        <is>
          <t>No</t>
        </is>
      </c>
      <c r="EA428" s="53" t="inlineStr">
        <is>
          <t>Sales, Marketing &amp; Support</t>
        </is>
      </c>
      <c r="EB428" s="53" t="inlineStr">
        <is>
          <t>Sales</t>
        </is>
      </c>
      <c r="EC428" s="53" t="inlineStr">
        <is>
          <t>Non-technical</t>
        </is>
      </c>
      <c r="ED428" s="53" t="inlineStr">
        <is>
          <t>Turbhe</t>
        </is>
      </c>
      <c r="EE428" s="53" t="n"/>
      <c r="EF428" s="53" t="inlineStr">
        <is>
          <t>1. Business Loan Applications - Achieve 40% Submit-to-Bank ratio, ramping quarter over quarter to 40% · Baseline: ~10% - Weightage: 55%
2. BHR Sales - Sell 240 BHR units per quarter - Weightage: 45%</t>
        </is>
      </c>
      <c r="EG428" s="53" t="inlineStr">
        <is>
          <t>1. Business Loan Applications - Submit-to-Bank ratio target this quarter: 40%
2. BHR Sales - Target: 60 BHR units this quarter</t>
        </is>
      </c>
      <c r="EH428" s="53" t="n">
        <v>2</v>
      </c>
      <c r="EI428" s="54" t="n">
        <v>46225</v>
      </c>
      <c r="EJ428" s="53" t="inlineStr">
        <is>
          <t>Operations Executive</t>
        </is>
      </c>
      <c r="EK428" s="53" t="inlineStr">
        <is>
          <t>No</t>
        </is>
      </c>
      <c r="EL428" s="53" t="n">
        <v>2</v>
      </c>
      <c r="EM428" s="53" t="inlineStr">
        <is>
          <t>Low</t>
        </is>
      </c>
      <c r="EN428" s="53" t="inlineStr">
        <is>
          <t>Underperformer / Exit Risk</t>
        </is>
      </c>
      <c r="EO428" s="53" t="inlineStr">
        <is>
          <t>No</t>
        </is>
      </c>
      <c r="EP428" s="53" t="inlineStr">
        <is>
          <t>No</t>
        </is>
      </c>
      <c r="EQ428" s="53" t="inlineStr">
        <is>
          <t>Yes</t>
        </is>
      </c>
      <c r="ER428" s="53" t="n"/>
      <c r="ES428" s="53" t="inlineStr">
        <is>
          <t>Prioritization/pipeline management; Objection handling; Product knowledge; Sales approach/confidence on calls</t>
        </is>
      </c>
      <c r="ET428" s="53" t="n"/>
      <c r="EU428" s="53" t="n"/>
      <c r="EV428" s="53" t="inlineStr">
        <is>
          <t>Peridot App</t>
        </is>
      </c>
      <c r="EW428" s="52" t="n"/>
      <c r="EX428" s="53" t="n"/>
      <c r="EY428" s="53" t="n"/>
      <c r="EZ428" s="53" t="n"/>
      <c r="FA428" s="53" t="n"/>
      <c r="FB428" s="53" t="n"/>
      <c r="FC428" s="53" t="n"/>
      <c r="FD428" s="53" t="inlineStr">
        <is>
          <t>IRIS2486</t>
        </is>
      </c>
      <c r="FE428" s="57" t="inlineStr">
        <is>
          <t>1. Business Loan Applications - Achieve 40% Submit-to-Bank ratio, ramping quarter over quarter to 40% · Baseline: ~10% - Weightage: 55%
2. BHR Sales - Sell 240 BHR units per quarter - Weightage: 45%</t>
        </is>
      </c>
      <c r="FF428" s="56" t="inlineStr">
        <is>
          <t>1. Business Loan Applications - Submit-to-Bank ratio target this quarter: 40%
2. BHR Sales - Target: 60 BHR units this quarter</t>
        </is>
      </c>
      <c r="FG428" s="56" t="n"/>
      <c r="FH428" s="56" t="inlineStr">
        <is>
          <t>2</t>
        </is>
      </c>
      <c r="FI428" s="56" t="n"/>
      <c r="FJ428" s="56" t="inlineStr">
        <is>
          <t>Received · manager annual, quarterly</t>
        </is>
      </c>
      <c r="FK428" s="56" t="inlineStr">
        <is>
          <t>Talent Mapping · Datatech</t>
        </is>
      </c>
      <c r="FL428" s="56" t="n">
        <v>0</v>
      </c>
      <c r="FM428" s="32" t="inlineStr">
        <is>
          <t>No survey response on file</t>
        </is>
      </c>
      <c r="FN428" s="56" t="inlineStr">
        <is>
          <t>—</t>
        </is>
      </c>
      <c r="FO428" s="56" t="inlineStr">
        <is>
          <t>—</t>
        </is>
      </c>
      <c r="FP428" s="56" t="inlineStr">
        <is>
          <t>—</t>
        </is>
      </c>
      <c r="FQ428" s="56" t="inlineStr">
        <is>
          <t>—</t>
        </is>
      </c>
      <c r="FR428" s="56" t="inlineStr">
        <is>
          <t>Complexity: Evidence reads like A2: Manager KRA only: bank submission of loan applications and BHR unit sales → matches the start
Autonomy: Evidence: no survey answers or KRAs on file → rating stays at the start
Accountability: Evidence reads like A2: Individual KRA targets: 40% submit-to-bank ratio, 60 BHR units a quarter → matches the start
Leadership: Evidence reads like A1: KRAs are 100% individual targets; no people responsibility → matches the start
Business Impact: Moved +0.5: the survey / manager mapping marks it business-critical.</t>
        </is>
      </c>
      <c r="FS428" s="56" t="inlineStr">
        <is>
          <t>Common themes in sub-family holders, all levels' answers: msme · business · relationships · building · partners · services
Common themes in sub-family holders, all levels' answers: business · loan · management · development · relationship · lead
Common themes in sub-family holders, all levels' answers: sales · business
Common themes in sub-family holders, all levels' answers: business · am · opportunities · accountable · msme · loan
Common themes in sub-family holders, all levels' answers: leads · identify · business · potential · follow · sales
If the work is missed · role-holders' themes: business · customer · lead · delays.
Measured on · manager-set KRA themes: ramping quarter · weightage bhr · applications achieve · sales · sell · ratio ramping.</t>
        </is>
      </c>
      <c r="FT428" s="56" t="n"/>
      <c r="FU428" s="32" t="inlineStr">
        <is>
          <t>No survey response on file</t>
        </is>
      </c>
    </row>
    <row r="429" ht="90" customHeight="1">
      <c r="A429" s="51" t="inlineStr">
        <is>
          <t>◂ Back</t>
        </is>
      </c>
      <c r="B429" s="29" t="inlineStr">
        <is>
          <t>Mapped</t>
        </is>
      </c>
      <c r="C429" s="28" t="inlineStr">
        <is>
          <t>Datatech</t>
        </is>
      </c>
      <c r="D429" s="29" t="inlineStr">
        <is>
          <t>IRISDTC004</t>
        </is>
      </c>
      <c r="E429" s="29" t="inlineStr">
        <is>
          <t>Sameeksha More</t>
        </is>
      </c>
      <c r="F429" s="29" t="inlineStr">
        <is>
          <t>Datatech - Outreach</t>
        </is>
      </c>
      <c r="G429" s="29" t="inlineStr">
        <is>
          <t>MIS Associate</t>
        </is>
      </c>
      <c r="H429" s="29" t="inlineStr">
        <is>
          <t>MIS Associate</t>
        </is>
      </c>
      <c r="I429" s="29" t="inlineStr">
        <is>
          <t>Not in current mapping files</t>
        </is>
      </c>
      <c r="J429" s="29" t="inlineStr">
        <is>
          <t>A2</t>
        </is>
      </c>
      <c r="K429" s="29" t="inlineStr">
        <is>
          <t>● Newly mapped</t>
        </is>
      </c>
      <c r="L429" s="29" t="inlineStr">
        <is>
          <t>Data &amp; Analytics</t>
        </is>
      </c>
      <c r="M429" s="29" t="inlineStr">
        <is>
          <t>MIS &amp; Business Reporting</t>
        </is>
      </c>
      <c r="N429" s="29" t="n"/>
      <c r="O429" s="29" t="n">
        <v>20</v>
      </c>
      <c r="P429" s="28" t="inlineStr">
        <is>
          <t>P1–P2</t>
        </is>
      </c>
      <c r="Q429" s="29" t="inlineStr">
        <is>
          <t>Entry / Developing</t>
        </is>
      </c>
      <c r="R429" s="29" t="inlineStr">
        <is>
          <t>2 Assist</t>
        </is>
      </c>
      <c r="S429" s="29" t="inlineStr">
        <is>
          <t>0–2 yrs</t>
        </is>
      </c>
      <c r="T429" s="29" t="inlineStr">
        <is>
          <t>1–3 · 0–3</t>
        </is>
      </c>
      <c r="U429" s="29" t="inlineStr">
        <is>
          <t>Junior Data Analyst / Data Analyst</t>
        </is>
      </c>
      <c r="V429" s="29" t="inlineStr">
        <is>
          <t>Atlassian company-wide P-levels: P30 Analyst · IRIS Vs Competitor Benchmark — data analyst ladder: Data Analyst I</t>
        </is>
      </c>
      <c r="W429" s="29" t="inlineStr">
        <is>
          <t>DAMA-DMBOK · 11 knowledge areas around data governance</t>
        </is>
      </c>
      <c r="X429" s="29" t="inlineStr">
        <is>
          <t>Core 2 · Future 2 · Functional 2 · Leadership not scored</t>
        </is>
      </c>
      <c r="Y429" s="52" t="n">
        <v>557</v>
      </c>
      <c r="Z429" s="53" t="inlineStr">
        <is>
          <t>IRISDTC004</t>
        </is>
      </c>
      <c r="AA429" s="53" t="inlineStr">
        <is>
          <t>On Contract</t>
        </is>
      </c>
      <c r="AB429" s="53" t="inlineStr">
        <is>
          <t>Active</t>
        </is>
      </c>
      <c r="AC429" s="53" t="inlineStr">
        <is>
          <t>Sameeksha More</t>
        </is>
      </c>
      <c r="AD429" s="54" t="n">
        <v>46181</v>
      </c>
      <c r="AE429" s="53" t="inlineStr">
        <is>
          <t>MIS Associate</t>
        </is>
      </c>
      <c r="AF429" s="53" t="inlineStr">
        <is>
          <t>Diploma In Computer Technology</t>
        </is>
      </c>
      <c r="AG429" s="53" t="inlineStr">
        <is>
          <t>Raghin Nair</t>
        </is>
      </c>
      <c r="AH429" s="53" t="inlineStr">
        <is>
          <t>N-3</t>
        </is>
      </c>
      <c r="AI429" s="53" t="inlineStr">
        <is>
          <t>Individual Contributor</t>
        </is>
      </c>
      <c r="AJ429" s="53" t="inlineStr">
        <is>
          <t>0 years, 3 months, 0 days</t>
        </is>
      </c>
      <c r="AK429" s="53" t="inlineStr">
        <is>
          <t>0 years, 2 months, 17 days</t>
        </is>
      </c>
      <c r="AL429" s="53" t="inlineStr">
        <is>
          <t>Datatech</t>
        </is>
      </c>
      <c r="AM429" s="53" t="inlineStr">
        <is>
          <t>Datatech</t>
        </is>
      </c>
      <c r="AN429" s="53" t="inlineStr">
        <is>
          <t>Datatech - Outreach</t>
        </is>
      </c>
      <c r="AO429" s="53" t="inlineStr">
        <is>
          <t>Sales</t>
        </is>
      </c>
      <c r="AP429" s="53" t="inlineStr">
        <is>
          <t>No</t>
        </is>
      </c>
      <c r="AQ429" s="53" t="inlineStr">
        <is>
          <t>Sales, Marketing &amp; Support</t>
        </is>
      </c>
      <c r="AR429" s="53" t="inlineStr">
        <is>
          <t>Sales</t>
        </is>
      </c>
      <c r="AS429" s="53" t="inlineStr">
        <is>
          <t>Non-technical</t>
        </is>
      </c>
      <c r="AT429" s="53" t="n">
        <v>20</v>
      </c>
      <c r="AU429" s="53" t="inlineStr">
        <is>
          <t>Covered</t>
        </is>
      </c>
      <c r="AV429" s="53" t="n"/>
      <c r="AW429" s="53" t="n"/>
      <c r="AX429" s="53" t="n"/>
      <c r="AY429" s="53" t="n"/>
      <c r="AZ429" s="53" t="n"/>
      <c r="BA429" s="53" t="n"/>
      <c r="BB429" s="53" t="n"/>
      <c r="BC429" s="53" t="n"/>
      <c r="BD429" s="53" t="n"/>
      <c r="BE429" s="53" t="n"/>
      <c r="BF429" s="53" t="n"/>
      <c r="BG429" s="53" t="n"/>
      <c r="BH429" s="53" t="n"/>
      <c r="BI429" s="53" t="n"/>
      <c r="BJ429" s="53" t="n"/>
      <c r="BK429" s="53" t="n"/>
      <c r="BL429" s="53" t="n"/>
      <c r="BM429" s="53" t="n"/>
      <c r="BN429" s="53" t="n"/>
      <c r="BO429" s="53" t="n"/>
      <c r="BP429" s="53" t="n"/>
      <c r="BQ429" s="53" t="n"/>
      <c r="BR429" s="53" t="n"/>
      <c r="BS429" s="53" t="n"/>
      <c r="BT429" s="53" t="n"/>
      <c r="BU429" s="53" t="n"/>
      <c r="BV429" s="53" t="n"/>
      <c r="BW429" s="53" t="n"/>
      <c r="BX429" s="53" t="n"/>
      <c r="BY429" s="53" t="n"/>
      <c r="BZ429" s="53" t="n"/>
      <c r="CA429" s="53" t="n"/>
      <c r="CB429" s="53" t="n"/>
      <c r="CC429" s="53" t="n"/>
      <c r="CD429" s="53" t="n"/>
      <c r="CE429" s="53" t="n"/>
      <c r="CF429" s="53" t="n"/>
      <c r="CG429" s="53" t="n"/>
      <c r="CH429" s="53" t="n"/>
      <c r="CI429" s="53" t="n"/>
      <c r="CJ429" s="53" t="n"/>
      <c r="CK429" s="53" t="n"/>
      <c r="CL429" s="53" t="n"/>
      <c r="CM429" s="53" t="n"/>
      <c r="CN429" s="53" t="n"/>
      <c r="CO429" s="53" t="n"/>
      <c r="CP429" s="53" t="n"/>
      <c r="CQ429" s="53" t="n"/>
      <c r="CR429" s="53" t="n"/>
      <c r="CS429" s="53" t="n"/>
      <c r="CT429" s="53" t="n"/>
      <c r="CU429" s="53" t="n"/>
      <c r="CV429" s="53" t="n"/>
      <c r="CW429" s="53" t="n"/>
      <c r="CX429" s="53" t="n"/>
      <c r="CY429" s="53" t="n"/>
      <c r="CZ429" s="53" t="n"/>
      <c r="DA429" s="53" t="n"/>
      <c r="DB429" s="53" t="n"/>
      <c r="DC429" s="53" t="n"/>
      <c r="DD429" s="53" t="n"/>
      <c r="DE429" s="53" t="inlineStr">
        <is>
          <t>On Contract</t>
        </is>
      </c>
      <c r="DF429" s="53" t="inlineStr">
        <is>
          <t>Active</t>
        </is>
      </c>
      <c r="DG429" s="53" t="inlineStr">
        <is>
          <t>Sameeksha More</t>
        </is>
      </c>
      <c r="DH429" s="53" t="n"/>
      <c r="DI429" s="53" t="inlineStr">
        <is>
          <t>MIS Associate</t>
        </is>
      </c>
      <c r="DJ429" s="53" t="n"/>
      <c r="DK429" s="53" t="n"/>
      <c r="DL429" s="53" t="n"/>
      <c r="DM429" s="53" t="n"/>
      <c r="DN429" s="53" t="n"/>
      <c r="DO429" s="53" t="inlineStr">
        <is>
          <t>Raghin Nair</t>
        </is>
      </c>
      <c r="DP429" s="53" t="n"/>
      <c r="DQ429" s="53" t="n"/>
      <c r="DR429" s="53" t="n"/>
      <c r="DS429" s="53" t="n"/>
      <c r="DT429" s="53" t="n"/>
      <c r="DU429" s="53" t="n"/>
      <c r="DV429" s="53" t="inlineStr">
        <is>
          <t>Datatech</t>
        </is>
      </c>
      <c r="DW429" s="53" t="inlineStr">
        <is>
          <t>Datatech</t>
        </is>
      </c>
      <c r="DX429" s="53" t="inlineStr">
        <is>
          <t>Datatech - Outreach</t>
        </is>
      </c>
      <c r="DY429" s="53" t="inlineStr">
        <is>
          <t>Sales</t>
        </is>
      </c>
      <c r="DZ429" s="53" t="inlineStr">
        <is>
          <t>No</t>
        </is>
      </c>
      <c r="EA429" s="53" t="inlineStr">
        <is>
          <t>Sales, Marketing &amp; Support</t>
        </is>
      </c>
      <c r="EB429" s="53" t="inlineStr">
        <is>
          <t>Support</t>
        </is>
      </c>
      <c r="EC429" s="53" t="inlineStr">
        <is>
          <t>Non-technical</t>
        </is>
      </c>
      <c r="ED429" s="53" t="inlineStr">
        <is>
          <t>Turbhe</t>
        </is>
      </c>
      <c r="EE429" s="53" t="n"/>
      <c r="EF429" s="53" t="inlineStr">
        <is>
          <t>1. Accuracy - Maintain report error rate below 20% - Weightage: 50%
2. Turnaround Time · TAT - Deliver reports within 24 hours of request, no exceptions - Weightage: 50%</t>
        </is>
      </c>
      <c r="EG429" s="53" t="inlineStr">
        <is>
          <t>Same accuracy/TAT standard as annual, adjusted for this quarter's expected report volume: 12 reports
1. Accuracy - error rate below 20%
2. TAT - within 24 hours/days of request</t>
        </is>
      </c>
      <c r="EH429" s="53" t="n">
        <v>4</v>
      </c>
      <c r="EI429" s="53" t="n"/>
      <c r="EJ429" s="53" t="inlineStr">
        <is>
          <t>MIS Associate</t>
        </is>
      </c>
      <c r="EK429" s="53" t="inlineStr">
        <is>
          <t>No</t>
        </is>
      </c>
      <c r="EL429" s="53" t="n">
        <v>4</v>
      </c>
      <c r="EM429" s="53" t="inlineStr">
        <is>
          <t>Medium</t>
        </is>
      </c>
      <c r="EN429" s="53" t="inlineStr">
        <is>
          <t>Core Contributor</t>
        </is>
      </c>
      <c r="EO429" s="53" t="inlineStr">
        <is>
          <t>No</t>
        </is>
      </c>
      <c r="EP429" s="53" t="inlineStr">
        <is>
          <t>Yes</t>
        </is>
      </c>
      <c r="EQ429" s="53" t="inlineStr">
        <is>
          <t>Yes</t>
        </is>
      </c>
      <c r="ER429" s="53" t="n"/>
      <c r="ES429" s="53" t="n"/>
      <c r="ET429" s="53" t="inlineStr">
        <is>
          <t>Decision: Contract extension · not conversion at this point for 6-12 months.</t>
        </is>
      </c>
      <c r="EU429" s="53" t="n"/>
      <c r="EV429" s="53" t="inlineStr">
        <is>
          <t>All</t>
        </is>
      </c>
      <c r="EW429" s="52" t="n"/>
      <c r="EX429" s="53" t="n"/>
      <c r="EY429" s="53" t="n"/>
      <c r="EZ429" s="53" t="n"/>
      <c r="FA429" s="53" t="n"/>
      <c r="FB429" s="53" t="n"/>
      <c r="FC429" s="53" t="n"/>
      <c r="FD429" s="53" t="n"/>
      <c r="FE429" s="57" t="inlineStr">
        <is>
          <t>1. Accuracy - Maintain report error rate below 20% - Weightage: 50%
2. Turnaround Time · TAT - Deliver reports within 24 hours of request, no exceptions - Weightage: 50%</t>
        </is>
      </c>
      <c r="FF429" s="56" t="inlineStr">
        <is>
          <t>Same accuracy/TAT standard as annual, adjusted for this quarter's expected report volume: 12 reports
1. Accuracy - error rate below 20%
2. TAT - within 24 hours/days of request</t>
        </is>
      </c>
      <c r="FG429" s="56" t="n"/>
      <c r="FH429" s="56" t="inlineStr">
        <is>
          <t>4</t>
        </is>
      </c>
      <c r="FI429" s="56" t="n"/>
      <c r="FJ429" s="56" t="inlineStr">
        <is>
          <t>Received · manager annual, quarterly</t>
        </is>
      </c>
      <c r="FK429" s="56" t="inlineStr">
        <is>
          <t>Talent Mapping · Datatech</t>
        </is>
      </c>
      <c r="FL429" s="56" t="n">
        <v>20</v>
      </c>
      <c r="FM429" s="32" t="inlineStr">
        <is>
          <t>Full survey answers not in the files received · How We Grow export needed · HR</t>
        </is>
      </c>
      <c r="FN429" s="56" t="inlineStr">
        <is>
          <t>—</t>
        </is>
      </c>
      <c r="FO429" s="56" t="inlineStr">
        <is>
          <t>—</t>
        </is>
      </c>
      <c r="FP429" s="56" t="inlineStr">
        <is>
          <t>—</t>
        </is>
      </c>
      <c r="FQ429" s="56" t="inlineStr">
        <is>
          <t>—</t>
        </is>
      </c>
      <c r="FR429" s="56" t="inlineStr">
        <is>
          <t>Complexity: Evidence reads like A2: Excel reporting, dashboards, data cleaning and CRM support for loan operations → matches the start
Autonomy: Evidence reads like A2: Decides data organisation, report formatting, cleaning and updates → matches the start
Accountability: Evidence reads like A2: Accuracy and timeliness of own reports and data → matches the start
Leadership: Evidence reads like A1: No guidance or leadership of others described → matches the start
Business Impact: Moved +0.5: the survey / manager mapping marks it business-critical.</t>
        </is>
      </c>
      <c r="FS429" s="56" t="n"/>
      <c r="FT429" s="56" t="inlineStr">
        <is>
          <t>Self-identified: Technical depth &amp; architecture · Data, SQL &amp; analytics
For the next role: Technical depth &amp; architecture · Data, SQL &amp; analytics</t>
        </is>
      </c>
      <c r="FU429" s="32" t="inlineStr">
        <is>
          <t>Full survey answers not in the files received · How We Grow export needed · HR</t>
        </is>
      </c>
    </row>
    <row r="430" ht="90" customHeight="1">
      <c r="A430" s="51" t="inlineStr">
        <is>
          <t>◂ Back</t>
        </is>
      </c>
      <c r="B430" s="29" t="inlineStr">
        <is>
          <t>Mapped</t>
        </is>
      </c>
      <c r="C430" s="28" t="inlineStr">
        <is>
          <t>Datatech</t>
        </is>
      </c>
      <c r="D430" s="29" t="inlineStr">
        <is>
          <t>IRISDTC003</t>
        </is>
      </c>
      <c r="E430" s="29" t="inlineStr">
        <is>
          <t>Vaibhav Dukare</t>
        </is>
      </c>
      <c r="F430" s="29" t="inlineStr">
        <is>
          <t>Datatech - Outreach</t>
        </is>
      </c>
      <c r="G430" s="29" t="inlineStr">
        <is>
          <t>Customer Engagement Executive</t>
        </is>
      </c>
      <c r="H430" s="29" t="inlineStr">
        <is>
          <t>Program Executive</t>
        </is>
      </c>
      <c r="I430" s="29" t="inlineStr">
        <is>
          <t>L3 – Professional / Associate</t>
        </is>
      </c>
      <c r="J430" s="29" t="inlineStr">
        <is>
          <t>A2</t>
        </is>
      </c>
      <c r="K430" s="29" t="inlineStr">
        <is>
          <t>• Same level</t>
        </is>
      </c>
      <c r="L430" s="29" t="inlineStr">
        <is>
          <t>Sales &amp; Business Development</t>
        </is>
      </c>
      <c r="M430" s="29" t="inlineStr">
        <is>
          <t>Field Outreach &amp; Programme Sales</t>
        </is>
      </c>
      <c r="N430" s="29" t="n"/>
      <c r="O430" s="29" t="n">
        <v>19</v>
      </c>
      <c r="P430" s="28" t="inlineStr">
        <is>
          <t>P1–P2</t>
        </is>
      </c>
      <c r="Q430" s="29" t="inlineStr">
        <is>
          <t>Entry / Developing</t>
        </is>
      </c>
      <c r="R430" s="29" t="inlineStr">
        <is>
          <t>2 Assist</t>
        </is>
      </c>
      <c r="S430" s="29" t="inlineStr">
        <is>
          <t>0–2 yrs</t>
        </is>
      </c>
      <c r="T430" s="29" t="inlineStr">
        <is>
          <t>1–3 · 0–3</t>
        </is>
      </c>
      <c r="U430" s="29" t="inlineStr">
        <is>
          <t>SDR · entry / SDR / Inside Sales</t>
        </is>
      </c>
      <c r="V430" s="29" t="inlineStr">
        <is>
          <t>IRIS Vs Competitor Benchmark — SaaS sales ladder — IC: SDR / BDR</t>
        </is>
      </c>
      <c r="W430" s="29" t="inlineStr">
        <is>
          <t>SaaS sales ladder · SDR → AE → Enterprise AE → VP / CRO; MEDDICC-style qualification</t>
        </is>
      </c>
      <c r="X430" s="29" t="inlineStr">
        <is>
          <t>Core 2 · Future 2 · Functional 2 · Leadership not scored</t>
        </is>
      </c>
      <c r="Y430" s="52" t="n">
        <v>554</v>
      </c>
      <c r="Z430" s="53" t="inlineStr">
        <is>
          <t>IRISDTC003</t>
        </is>
      </c>
      <c r="AA430" s="53" t="inlineStr">
        <is>
          <t>On Contract</t>
        </is>
      </c>
      <c r="AB430" s="53" t="inlineStr">
        <is>
          <t>Active</t>
        </is>
      </c>
      <c r="AC430" s="53" t="inlineStr">
        <is>
          <t>Vaibhav Dukare</t>
        </is>
      </c>
      <c r="AD430" s="54" t="n">
        <v>46114</v>
      </c>
      <c r="AE430" s="53" t="inlineStr">
        <is>
          <t>Customer Engagement Executive</t>
        </is>
      </c>
      <c r="AF430" s="53" t="inlineStr">
        <is>
          <t>B.E</t>
        </is>
      </c>
      <c r="AG430" s="53" t="inlineStr">
        <is>
          <t>Raghin Nair</t>
        </is>
      </c>
      <c r="AH430" s="53" t="inlineStr">
        <is>
          <t>N-3</t>
        </is>
      </c>
      <c r="AI430" s="53" t="inlineStr">
        <is>
          <t>Individual Contributor</t>
        </is>
      </c>
      <c r="AJ430" s="53" t="inlineStr">
        <is>
          <t>1 years, 2 months, 0 days</t>
        </is>
      </c>
      <c r="AK430" s="53" t="inlineStr">
        <is>
          <t>0 years, 2 months, 13 days</t>
        </is>
      </c>
      <c r="AL430" s="53" t="inlineStr">
        <is>
          <t>Datatech</t>
        </is>
      </c>
      <c r="AM430" s="53" t="inlineStr">
        <is>
          <t>Datatech</t>
        </is>
      </c>
      <c r="AN430" s="53" t="inlineStr">
        <is>
          <t>Datatech - Outreach</t>
        </is>
      </c>
      <c r="AO430" s="53" t="inlineStr">
        <is>
          <t>Sales</t>
        </is>
      </c>
      <c r="AP430" s="53" t="inlineStr">
        <is>
          <t>No</t>
        </is>
      </c>
      <c r="AQ430" s="53" t="inlineStr">
        <is>
          <t>Sales, Marketing &amp; Support</t>
        </is>
      </c>
      <c r="AR430" s="53" t="inlineStr">
        <is>
          <t>Sales</t>
        </is>
      </c>
      <c r="AS430" s="53" t="inlineStr">
        <is>
          <t>Non-technical</t>
        </is>
      </c>
      <c r="AT430" s="53" t="n">
        <v>20</v>
      </c>
      <c r="AU430" s="53" t="inlineStr">
        <is>
          <t>Covered</t>
        </is>
      </c>
      <c r="AV430" s="53" t="n"/>
      <c r="AW430" s="53" t="n"/>
      <c r="AX430" s="53" t="n"/>
      <c r="AY430" s="53" t="n"/>
      <c r="AZ430" s="53" t="n"/>
      <c r="BA430" s="53" t="n"/>
      <c r="BB430" s="53" t="n"/>
      <c r="BC430" s="53" t="n"/>
      <c r="BD430" s="53" t="n"/>
      <c r="BE430" s="53" t="n"/>
      <c r="BF430" s="53" t="n"/>
      <c r="BG430" s="53" t="n"/>
      <c r="BH430" s="53" t="n"/>
      <c r="BI430" s="53" t="n"/>
      <c r="BJ430" s="53" t="n"/>
      <c r="BK430" s="53" t="n"/>
      <c r="BL430" s="53" t="n"/>
      <c r="BM430" s="53" t="n"/>
      <c r="BN430" s="53" t="n"/>
      <c r="BO430" s="53" t="n"/>
      <c r="BP430" s="53" t="n"/>
      <c r="BQ430" s="53" t="n"/>
      <c r="BR430" s="53" t="n"/>
      <c r="BS430" s="53" t="n"/>
      <c r="BT430" s="53" t="n"/>
      <c r="BU430" s="53" t="n"/>
      <c r="BV430" s="53" t="n"/>
      <c r="BW430" s="53" t="n"/>
      <c r="BX430" s="53" t="n"/>
      <c r="BY430" s="53" t="n"/>
      <c r="BZ430" s="53" t="n"/>
      <c r="CA430" s="53" t="n"/>
      <c r="CB430" s="53" t="n"/>
      <c r="CC430" s="53" t="n"/>
      <c r="CD430" s="53" t="n"/>
      <c r="CE430" s="53" t="n"/>
      <c r="CF430" s="53" t="n"/>
      <c r="CG430" s="53" t="n"/>
      <c r="CH430" s="53" t="n"/>
      <c r="CI430" s="53" t="n"/>
      <c r="CJ430" s="53" t="n"/>
      <c r="CK430" s="53" t="n"/>
      <c r="CL430" s="53" t="n"/>
      <c r="CM430" s="53" t="n"/>
      <c r="CN430" s="53" t="n"/>
      <c r="CO430" s="53" t="n"/>
      <c r="CP430" s="53" t="n"/>
      <c r="CQ430" s="53" t="n"/>
      <c r="CR430" s="53" t="n"/>
      <c r="CS430" s="53" t="n"/>
      <c r="CT430" s="53" t="n"/>
      <c r="CU430" s="53" t="n"/>
      <c r="CV430" s="53" t="n"/>
      <c r="CW430" s="53" t="n"/>
      <c r="CX430" s="53" t="n"/>
      <c r="CY430" s="53" t="n"/>
      <c r="CZ430" s="53" t="n"/>
      <c r="DA430" s="53" t="n"/>
      <c r="DB430" s="53" t="n"/>
      <c r="DC430" s="53" t="n"/>
      <c r="DD430" s="53" t="inlineStr">
        <is>
          <t>IRISC346</t>
        </is>
      </c>
      <c r="DE430" s="53" t="inlineStr">
        <is>
          <t>On Contract</t>
        </is>
      </c>
      <c r="DF430" s="53" t="inlineStr">
        <is>
          <t>Active</t>
        </is>
      </c>
      <c r="DG430" s="53" t="inlineStr">
        <is>
          <t>Vaibhav Dukare</t>
        </is>
      </c>
      <c r="DH430" s="54" t="n">
        <v>46114</v>
      </c>
      <c r="DI430" s="53" t="inlineStr">
        <is>
          <t>Customer Engagement Executive</t>
        </is>
      </c>
      <c r="DJ430" s="53" t="inlineStr">
        <is>
          <t>Sales &amp; Business Development</t>
        </is>
      </c>
      <c r="DK430" s="53" t="inlineStr">
        <is>
          <t>Sales Development · SDR</t>
        </is>
      </c>
      <c r="DL430" s="53" t="inlineStr">
        <is>
          <t>Customer Engagement Executive</t>
        </is>
      </c>
      <c r="DM430" s="53" t="inlineStr">
        <is>
          <t>L3 – Professional / Associate</t>
        </is>
      </c>
      <c r="DN430" s="53" t="inlineStr">
        <is>
          <t>B.E</t>
        </is>
      </c>
      <c r="DO430" s="53" t="inlineStr">
        <is>
          <t>Raghin Nair</t>
        </is>
      </c>
      <c r="DP430" s="53" t="inlineStr">
        <is>
          <t>N-3</t>
        </is>
      </c>
      <c r="DQ430" s="53" t="inlineStr">
        <is>
          <t>Individual Contributor</t>
        </is>
      </c>
      <c r="DR430" s="53" t="inlineStr">
        <is>
          <t>1 years, 2 months, 0 days</t>
        </is>
      </c>
      <c r="DS430" s="53" t="inlineStr">
        <is>
          <t>0 years, 2 months, 18 days</t>
        </is>
      </c>
      <c r="DT430" s="53" t="inlineStr">
        <is>
          <t>1 years, 4 months, 18 days</t>
        </is>
      </c>
      <c r="DU430" s="53" t="n"/>
      <c r="DV430" s="53" t="inlineStr">
        <is>
          <t>Datatech</t>
        </is>
      </c>
      <c r="DW430" s="53" t="inlineStr">
        <is>
          <t>Datatech</t>
        </is>
      </c>
      <c r="DX430" s="53" t="inlineStr">
        <is>
          <t>Datatech - Outreach</t>
        </is>
      </c>
      <c r="DY430" s="53" t="inlineStr">
        <is>
          <t>Sales</t>
        </is>
      </c>
      <c r="DZ430" s="53" t="inlineStr">
        <is>
          <t>No</t>
        </is>
      </c>
      <c r="EA430" s="53" t="inlineStr">
        <is>
          <t>Sales, Marketing &amp; Support</t>
        </is>
      </c>
      <c r="EB430" s="53" t="inlineStr">
        <is>
          <t>Sales</t>
        </is>
      </c>
      <c r="EC430" s="53" t="inlineStr">
        <is>
          <t>Non-technical</t>
        </is>
      </c>
      <c r="ED430" s="53" t="inlineStr">
        <is>
          <t>Turbhe</t>
        </is>
      </c>
      <c r="EE430" s="53" t="n"/>
      <c r="EF430" s="53" t="inlineStr">
        <is>
          <t>1. Business Loan Applications - Achieve 40% Submit-to-Bank ratio, ramping quarter over quarter to 40% · Baseline: ~10% - Weightage: 55%
2. BHR Sales - Sell 240 BHR units per quarter - Weightage: 45%</t>
        </is>
      </c>
      <c r="EG430" s="53" t="inlineStr">
        <is>
          <t>1. Business Loan Applications - Submit-to-Bank ratio target this quarter: 40%
2. BHR Sales - Target: 60 BHR units this quarter</t>
        </is>
      </c>
      <c r="EH430" s="53" t="n">
        <v>3</v>
      </c>
      <c r="EI430" s="54" t="n">
        <v>46225</v>
      </c>
      <c r="EJ430" s="53" t="inlineStr">
        <is>
          <t>Customer Engagement Executive</t>
        </is>
      </c>
      <c r="EK430" s="53" t="inlineStr">
        <is>
          <t>No</t>
        </is>
      </c>
      <c r="EL430" s="53" t="n">
        <v>3</v>
      </c>
      <c r="EM430" s="53" t="inlineStr">
        <is>
          <t>Medium</t>
        </is>
      </c>
      <c r="EN430" s="53" t="inlineStr">
        <is>
          <t>Core Contributor</t>
        </is>
      </c>
      <c r="EO430" s="53" t="inlineStr">
        <is>
          <t>No</t>
        </is>
      </c>
      <c r="EP430" s="53" t="inlineStr">
        <is>
          <t>Yes</t>
        </is>
      </c>
      <c r="EQ430" s="53" t="inlineStr">
        <is>
          <t>Yes</t>
        </is>
      </c>
      <c r="ER430" s="53" t="n"/>
      <c r="ES430" s="53" t="inlineStr">
        <is>
          <t>Prioritization/pipeline management - case prioritization, knowing when to move on vs. push further on a stuck file</t>
        </is>
      </c>
      <c r="ET430" s="53" t="inlineStr">
        <is>
          <t>Target role: Senior Telecaller / potential Team Lead - Mumbai calling team, contingent on closing prioritization/pipeline-management gap.</t>
        </is>
      </c>
      <c r="EU430" s="53" t="n"/>
      <c r="EV430" s="53" t="inlineStr">
        <is>
          <t>Peridot App</t>
        </is>
      </c>
      <c r="EW430" s="52" t="n"/>
      <c r="EX430" s="53" t="n"/>
      <c r="EY430" s="53" t="n"/>
      <c r="EZ430" s="53" t="n"/>
      <c r="FA430" s="53" t="n"/>
      <c r="FB430" s="53" t="n"/>
      <c r="FC430" s="53" t="n"/>
      <c r="FD430" s="53" t="inlineStr">
        <is>
          <t>IRISC346</t>
        </is>
      </c>
      <c r="FE430" s="57" t="inlineStr">
        <is>
          <t>1. Business Loan Applications - Achieve 40% Submit-to-Bank ratio, ramping quarter over quarter to 40% · Baseline: ~10% - Weightage: 55%
2. BHR Sales - Sell 240 BHR units per quarter - Weightage: 45%</t>
        </is>
      </c>
      <c r="FF430" s="56" t="inlineStr">
        <is>
          <t>1. Business Loan Applications - Submit-to-Bank ratio target this quarter: 40%
2. BHR Sales - Target: 60 BHR units this quarter</t>
        </is>
      </c>
      <c r="FG430" s="56" t="n"/>
      <c r="FH430" s="56" t="inlineStr">
        <is>
          <t>3</t>
        </is>
      </c>
      <c r="FI430" s="56" t="n"/>
      <c r="FJ430" s="56" t="inlineStr">
        <is>
          <t>Received · manager annual, quarterly</t>
        </is>
      </c>
      <c r="FK430" s="56" t="inlineStr">
        <is>
          <t>Talent Mapping · Datatech</t>
        </is>
      </c>
      <c r="FL430" s="56" t="n">
        <v>19</v>
      </c>
      <c r="FM430" s="32" t="inlineStr">
        <is>
          <t>Full survey answers not in the files received · How We Grow export needed · HR</t>
        </is>
      </c>
      <c r="FN430" s="56" t="inlineStr">
        <is>
          <t>—</t>
        </is>
      </c>
      <c r="FO430" s="56" t="inlineStr">
        <is>
          <t>—</t>
        </is>
      </c>
      <c r="FP430" s="56" t="inlineStr">
        <is>
          <t>—</t>
        </is>
      </c>
      <c r="FQ430" s="56" t="inlineStr">
        <is>
          <t>—</t>
        </is>
      </c>
      <c r="FR430" s="56" t="inlineStr">
        <is>
          <t>Complexity: Evidence reads like A2: Cold calls MSMEs, files loan applications on Peridot, maintains Excel sheet → matches the start
Autonomy: Evidence reads like A2: Decision answer vague · 'Sales', 'moderate load'; routine customer guidance only → matches the start
Accountability: Evidence reads like A2: Own loan applications and Business Health Report leads for MSMEs → matches the start
Leadership: Evidence reads like A1: No guidance or leadership of others described → matches the start
Business Impact: Moved +0.5: the survey / manager mapping marks it business-critical.</t>
        </is>
      </c>
      <c r="FS430" s="56" t="inlineStr">
        <is>
          <t>Common themes in sub-family holders, all levels' answers: msme · business · relationships · building · partners · services
Common themes in sub-family holders, all levels' answers: business · loan · management · development · relationship · lead
Common themes in sub-family holders, all levels' answers: sales · business
Common themes in sub-family holders, all levels' answers: business · am · opportunities · accountable · msme · loan
Common themes in sub-family holders, all levels' answers: leads · identify · business · potential · follow · sales
If the work is missed · role-holders' themes: business · customer · lead · delays.
Measured on · manager-set KRA themes: ramping quarter · weightage bhr · applications achieve · sales · sell · ratio ramping.</t>
        </is>
      </c>
      <c r="FT430" s="56" t="inlineStr">
        <is>
          <t>Self-identified: Client, sales &amp; stakeholders
For the next role: Client, sales &amp; stakeholders</t>
        </is>
      </c>
      <c r="FU430" s="32" t="inlineStr">
        <is>
          <t>Full survey answers not in the files received · How We Grow export needed · HR</t>
        </is>
      </c>
    </row>
    <row r="431" ht="90" customHeight="1">
      <c r="A431" s="51" t="inlineStr">
        <is>
          <t>◂ Back</t>
        </is>
      </c>
      <c r="B431" s="29" t="inlineStr">
        <is>
          <t>Mapped</t>
        </is>
      </c>
      <c r="C431" s="28" t="inlineStr">
        <is>
          <t>Datatech</t>
        </is>
      </c>
      <c r="D431" s="29" t="inlineStr">
        <is>
          <t>IRISDT0023</t>
        </is>
      </c>
      <c r="E431" s="29" t="inlineStr">
        <is>
          <t>Sachinam Sawant</t>
        </is>
      </c>
      <c r="F431" s="29" t="inlineStr">
        <is>
          <t>Product Management</t>
        </is>
      </c>
      <c r="G431" s="29" t="inlineStr">
        <is>
          <t>Regulatory &amp; Policy Lead</t>
        </is>
      </c>
      <c r="H431" s="29" t="inlineStr">
        <is>
          <t>Product Manager</t>
        </is>
      </c>
      <c r="I431" s="29" t="inlineStr">
        <is>
          <t>Not in current mapping files</t>
        </is>
      </c>
      <c r="J431" s="29" t="inlineStr">
        <is>
          <t>B2</t>
        </is>
      </c>
      <c r="K431" s="29" t="inlineStr">
        <is>
          <t>● Newly mapped</t>
        </is>
      </c>
      <c r="L431" s="29" t="inlineStr">
        <is>
          <t>Product Management</t>
        </is>
      </c>
      <c r="M431" s="29" t="inlineStr">
        <is>
          <t>Product Management</t>
        </is>
      </c>
      <c r="N431" s="29" t="inlineStr">
        <is>
          <t>• Total experience · outside + at IRIS — HR — HRIS
• Confirm prior experience · provisional placement — HR</t>
        </is>
      </c>
      <c r="O431" s="29" t="n">
        <v>20</v>
      </c>
      <c r="P431" s="28" t="inlineStr">
        <is>
          <t>P4 / M3</t>
        </is>
      </c>
      <c r="Q431" s="29" t="inlineStr">
        <is>
          <t>Senior / Manager</t>
        </is>
      </c>
      <c r="R431" s="29" t="inlineStr">
        <is>
          <t>4–5</t>
        </is>
      </c>
      <c r="S431" s="29" t="inlineStr">
        <is>
          <t>6–9 yrs</t>
        </is>
      </c>
      <c r="T431" s="29" t="inlineStr">
        <is>
          <t>7–10 · 6–11</t>
        </is>
      </c>
      <c r="U431" s="29" t="inlineStr">
        <is>
          <t>Senior Product Manager</t>
        </is>
      </c>
      <c r="V431" s="29" t="inlineStr">
        <is>
          <t>IRIS Vs Competitor Benchmark — SaaS product ladder: Senior PM</t>
        </is>
      </c>
      <c r="W431" s="29" t="inlineStr">
        <is>
          <t>Pragmatic Institute Framework · 37 activities, 7 categories; AIPMM</t>
        </is>
      </c>
      <c r="X431" s="29" t="inlineStr">
        <is>
          <t>Core 3 · Future 3 · Functional 4 · Leadership 2</t>
        </is>
      </c>
      <c r="Y431" s="52" t="n">
        <v>563</v>
      </c>
      <c r="Z431" s="53" t="inlineStr">
        <is>
          <t>IRISDT0023</t>
        </is>
      </c>
      <c r="AA431" s="53" t="inlineStr">
        <is>
          <t>Employee</t>
        </is>
      </c>
      <c r="AB431" s="53" t="inlineStr">
        <is>
          <t>Active</t>
        </is>
      </c>
      <c r="AC431" s="53" t="inlineStr">
        <is>
          <t>Sachinam Sawant</t>
        </is>
      </c>
      <c r="AD431" s="54" t="n">
        <v>46254</v>
      </c>
      <c r="AE431" s="53" t="inlineStr">
        <is>
          <t>Regulatory &amp; Policy Lead</t>
        </is>
      </c>
      <c r="AF431" s="53" t="inlineStr">
        <is>
          <t>CA</t>
        </is>
      </c>
      <c r="AG431" s="53" t="inlineStr">
        <is>
          <t>Shilpa Dhobale</t>
        </is>
      </c>
      <c r="AH431" s="53" t="inlineStr">
        <is>
          <t>N-2</t>
        </is>
      </c>
      <c r="AI431" s="53" t="inlineStr">
        <is>
          <t>Individual Contributor</t>
        </is>
      </c>
      <c r="AJ431" s="53" t="n"/>
      <c r="AK431" s="53" t="inlineStr">
        <is>
          <t>0 years, 0 months, 5 days</t>
        </is>
      </c>
      <c r="AL431" s="53" t="inlineStr">
        <is>
          <t>Datatech</t>
        </is>
      </c>
      <c r="AM431" s="53" t="inlineStr">
        <is>
          <t>Datatech</t>
        </is>
      </c>
      <c r="AN431" s="53" t="inlineStr">
        <is>
          <t>Product Management</t>
        </is>
      </c>
      <c r="AO431" s="53" t="inlineStr">
        <is>
          <t>Client Engagement</t>
        </is>
      </c>
      <c r="AP431" s="53" t="inlineStr">
        <is>
          <t>No</t>
        </is>
      </c>
      <c r="AQ431" s="53" t="inlineStr">
        <is>
          <t>Client Engagement</t>
        </is>
      </c>
      <c r="AR431" s="53" t="inlineStr">
        <is>
          <t>Product Management</t>
        </is>
      </c>
      <c r="AS431" s="53" t="inlineStr">
        <is>
          <t>Technical · BA, PM and QA</t>
        </is>
      </c>
      <c r="AT431" s="53" t="n">
        <v>20</v>
      </c>
      <c r="AU431" s="53" t="inlineStr">
        <is>
          <t>Covered</t>
        </is>
      </c>
      <c r="AV431" s="53" t="n"/>
      <c r="AW431" s="53" t="n"/>
      <c r="AX431" s="53" t="n"/>
      <c r="AY431" s="53" t="n"/>
      <c r="AZ431" s="53" t="n"/>
      <c r="BA431" s="53" t="n"/>
      <c r="BB431" s="53" t="n"/>
      <c r="BC431" s="53" t="n"/>
      <c r="BD431" s="53" t="n"/>
      <c r="BE431" s="53" t="n"/>
      <c r="BF431" s="53" t="n"/>
      <c r="BG431" s="53" t="n"/>
      <c r="BH431" s="53" t="n"/>
      <c r="BI431" s="53" t="n"/>
      <c r="BJ431" s="53" t="n"/>
      <c r="BK431" s="53" t="n"/>
      <c r="BL431" s="53" t="n"/>
      <c r="BM431" s="53" t="n"/>
      <c r="BN431" s="53" t="n"/>
      <c r="BO431" s="53" t="n"/>
      <c r="BP431" s="53" t="n"/>
      <c r="BQ431" s="53" t="n"/>
      <c r="BR431" s="53" t="n"/>
      <c r="BS431" s="53" t="n"/>
      <c r="BT431" s="53" t="n"/>
      <c r="BU431" s="53" t="n"/>
      <c r="BV431" s="53" t="n"/>
      <c r="BW431" s="53" t="n"/>
      <c r="BX431" s="53" t="n"/>
      <c r="BY431" s="53" t="n"/>
      <c r="BZ431" s="53" t="n"/>
      <c r="CA431" s="53" t="n"/>
      <c r="CB431" s="53" t="n"/>
      <c r="CC431" s="53" t="n"/>
      <c r="CD431" s="53" t="n"/>
      <c r="CE431" s="53" t="n"/>
      <c r="CF431" s="53" t="n"/>
      <c r="CG431" s="53" t="n"/>
      <c r="CH431" s="53" t="n"/>
      <c r="CI431" s="53" t="n"/>
      <c r="CJ431" s="53" t="n"/>
      <c r="CK431" s="53" t="n"/>
      <c r="CL431" s="53" t="n"/>
      <c r="CM431" s="53" t="n"/>
      <c r="CN431" s="53" t="n"/>
      <c r="CO431" s="53" t="n"/>
      <c r="CP431" s="53" t="n"/>
      <c r="CQ431" s="53" t="n"/>
      <c r="CR431" s="53" t="n"/>
      <c r="CS431" s="53" t="n"/>
      <c r="CT431" s="53" t="n"/>
      <c r="CU431" s="53" t="n"/>
      <c r="CV431" s="53" t="n"/>
      <c r="CW431" s="53" t="n"/>
      <c r="CX431" s="53" t="n"/>
      <c r="CY431" s="53" t="n"/>
      <c r="CZ431" s="53" t="n"/>
      <c r="DA431" s="53" t="n"/>
      <c r="DB431" s="53" t="n"/>
      <c r="DC431" s="53" t="n"/>
      <c r="DD431" s="53" t="n"/>
      <c r="DE431" s="53" t="n"/>
      <c r="DF431" s="53" t="n"/>
      <c r="DG431" s="53" t="n"/>
      <c r="DH431" s="53" t="n"/>
      <c r="DI431" s="53" t="n"/>
      <c r="DJ431" s="53" t="n"/>
      <c r="DK431" s="53" t="n"/>
      <c r="DL431" s="53" t="n"/>
      <c r="DM431" s="53" t="n"/>
      <c r="DN431" s="53" t="n"/>
      <c r="DO431" s="53" t="n"/>
      <c r="DP431" s="53" t="n"/>
      <c r="DQ431" s="53" t="n"/>
      <c r="DR431" s="53" t="n"/>
      <c r="DS431" s="53" t="n"/>
      <c r="DT431" s="53" t="n"/>
      <c r="DU431" s="53" t="n"/>
      <c r="DV431" s="53" t="n"/>
      <c r="DW431" s="53" t="n"/>
      <c r="DX431" s="53" t="n"/>
      <c r="DY431" s="53" t="n"/>
      <c r="DZ431" s="53" t="n"/>
      <c r="EA431" s="53" t="n"/>
      <c r="EB431" s="53" t="n"/>
      <c r="EC431" s="53" t="n"/>
      <c r="ED431" s="53" t="n"/>
      <c r="EE431" s="53" t="n"/>
      <c r="EF431" s="53" t="n"/>
      <c r="EG431" s="53" t="n"/>
      <c r="EH431" s="53" t="n"/>
      <c r="EI431" s="53" t="n"/>
      <c r="EJ431" s="53" t="n"/>
      <c r="EK431" s="53" t="n"/>
      <c r="EL431" s="53" t="n"/>
      <c r="EM431" s="53" t="n"/>
      <c r="EN431" s="53" t="n"/>
      <c r="EO431" s="53" t="n"/>
      <c r="EP431" s="53" t="n"/>
      <c r="EQ431" s="53" t="n"/>
      <c r="ER431" s="53" t="n"/>
      <c r="ES431" s="53" t="n"/>
      <c r="ET431" s="53" t="n"/>
      <c r="EU431" s="53" t="n"/>
      <c r="EV431" s="53" t="n"/>
      <c r="EW431" s="52" t="n"/>
      <c r="EX431" s="53" t="n"/>
      <c r="EY431" s="53" t="n"/>
      <c r="EZ431" s="53" t="n"/>
      <c r="FA431" s="53" t="n"/>
      <c r="FB431" s="53" t="n"/>
      <c r="FC431" s="53" t="n"/>
      <c r="FD431" s="53" t="n"/>
      <c r="FE431" s="55" t="inlineStr">
        <is>
          <t>KRAs not received · manager to supply</t>
        </is>
      </c>
      <c r="FF431" s="56" t="n"/>
      <c r="FG431" s="56" t="n"/>
      <c r="FH431" s="56" t="n"/>
      <c r="FI431" s="56" t="n"/>
      <c r="FJ431" s="32" t="inlineStr">
        <is>
          <t>KRAs not received · manager to supply</t>
        </is>
      </c>
      <c r="FK431" s="56" t="n"/>
      <c r="FL431" s="56" t="n">
        <v>20</v>
      </c>
      <c r="FM431" s="32" t="inlineStr">
        <is>
          <t>Full survey answers not in the files received · How We Grow export needed · HR</t>
        </is>
      </c>
      <c r="FN431" s="56" t="inlineStr">
        <is>
          <t>—</t>
        </is>
      </c>
      <c r="FO431" s="56" t="inlineStr">
        <is>
          <t>—</t>
        </is>
      </c>
      <c r="FP431" s="56" t="inlineStr">
        <is>
          <t>—</t>
        </is>
      </c>
      <c r="FQ431" s="56" t="inlineStr">
        <is>
          <t>—</t>
        </is>
      </c>
      <c r="FR431" s="56" t="inlineStr">
        <is>
          <t>Complexity: Evidence reads like B1: Interprets regulatory law changes, specifies software changes to developers, tests output, liaises with GSTIN → moved down 0.5
Autonomy: Evidence reads like A2: Only stated independent decision is attending knowledge webinars → moved down 0.5
Accountability: Evidence reads like A3: A wrong reading of the law leads to compliance problems for users → moved down 0.5
Leadership: Evidence reads like A1: Communicates with developers; no guidance or leadership of others described → moved down 0.5
Business Impact: No survey or manager-mapping signal on criticality: kept at the start point.</t>
        </is>
      </c>
      <c r="FS431" s="56" t="inlineStr">
        <is>
          <t>Common themes in sub-family holders, all levels' answers: product · market · business · customers · management · revenue
Common themes in sub-family holders, all levels' answers: product · roadmap · management · customer · research · implementation
Common themes in sub-family holders, all levels' answers: product · customer · client · feature · business · revenue
Common themes in sub-family holders, all levels' answers: product · if · delivery · customer · requirements · client
Common themes in sub-family holders, all levels' answers: research · priorities · approach · roadmap · product · stakeholders
If the work is missed · role-holders' themes: delays · customer · delayed · revenue.</t>
        </is>
      </c>
      <c r="FT431" s="56" t="inlineStr">
        <is>
          <t>Self-identified: Broader exposure &amp; ownership
For the next role: Broader exposure &amp; ownership</t>
        </is>
      </c>
      <c r="FU431" s="32" t="inlineStr">
        <is>
          <t>Full survey answers not in the files received · How We Grow export needed · HR</t>
        </is>
      </c>
    </row>
    <row r="432" ht="90" customHeight="1">
      <c r="A432" s="51" t="inlineStr">
        <is>
          <t>◂ Back</t>
        </is>
      </c>
      <c r="B432" s="29" t="inlineStr">
        <is>
          <t>Mapped</t>
        </is>
      </c>
      <c r="C432" s="28" t="inlineStr">
        <is>
          <t>Datatech</t>
        </is>
      </c>
      <c r="D432" s="29" t="inlineStr">
        <is>
          <t>IRISDT0018</t>
        </is>
      </c>
      <c r="E432" s="29" t="inlineStr">
        <is>
          <t>Shivam Dhumal</t>
        </is>
      </c>
      <c r="F432" s="29" t="inlineStr">
        <is>
          <t>Technology</t>
        </is>
      </c>
      <c r="G432" s="29" t="inlineStr">
        <is>
          <t>Software Engineer</t>
        </is>
      </c>
      <c r="H432" s="29" t="inlineStr">
        <is>
          <t>Senior Software Engineer</t>
        </is>
      </c>
      <c r="I432" s="29" t="inlineStr">
        <is>
          <t>L3 – Professional / Associate</t>
        </is>
      </c>
      <c r="J432" s="29" t="inlineStr">
        <is>
          <t>A3</t>
        </is>
      </c>
      <c r="K432" s="29" t="inlineStr">
        <is>
          <t>▲ Up</t>
        </is>
      </c>
      <c r="L432" s="29" t="inlineStr">
        <is>
          <t>Engineering &amp; Development</t>
        </is>
      </c>
      <c r="M432" s="29" t="inlineStr">
        <is>
          <t>Backend Development</t>
        </is>
      </c>
      <c r="N432" s="29" t="n"/>
      <c r="O432" s="29" t="n">
        <v>20</v>
      </c>
      <c r="P432" s="28" t="inlineStr">
        <is>
          <t>P2</t>
        </is>
      </c>
      <c r="Q432" s="29" t="inlineStr">
        <is>
          <t>Developing</t>
        </is>
      </c>
      <c r="R432" s="29" t="inlineStr">
        <is>
          <t>3 Apply</t>
        </is>
      </c>
      <c r="S432" s="29" t="inlineStr">
        <is>
          <t>2–4 yrs</t>
        </is>
      </c>
      <c r="T432" s="29" t="inlineStr">
        <is>
          <t>3–5 · 2–5</t>
        </is>
      </c>
      <c r="U432" s="29" t="inlineStr">
        <is>
          <t>Software Engineer</t>
        </is>
      </c>
      <c r="V432" s="29" t="inlineStr">
        <is>
          <t>Workiva: SE · Broadridge India: SE · Nasdaq / AxiomSL: SE · Salesforce: MTS · Atlassian: P40 · 3–7 yrs · Freshworks: Senior SE</t>
        </is>
      </c>
      <c r="W432" s="29" t="inlineStr">
        <is>
          <t>SFIA 9 · software development, programming; OWASP secure coding; cloud vendor certifications</t>
        </is>
      </c>
      <c r="X432" s="29" t="inlineStr">
        <is>
          <t>Core 2 · Future 2 · Functional 3 · Leadership not scored</t>
        </is>
      </c>
      <c r="Y432" s="52" t="n">
        <v>553</v>
      </c>
      <c r="Z432" s="53" t="inlineStr">
        <is>
          <t>IRISDT0018</t>
        </is>
      </c>
      <c r="AA432" s="53" t="inlineStr">
        <is>
          <t>Employee</t>
        </is>
      </c>
      <c r="AB432" s="53" t="inlineStr">
        <is>
          <t>Active</t>
        </is>
      </c>
      <c r="AC432" s="53" t="inlineStr">
        <is>
          <t>Shivam Dhumal</t>
        </is>
      </c>
      <c r="AD432" s="54" t="n">
        <v>46114</v>
      </c>
      <c r="AE432" s="53" t="inlineStr">
        <is>
          <t>Software Engineer</t>
        </is>
      </c>
      <c r="AF432" s="53" t="inlineStr">
        <is>
          <t>B.Tech</t>
        </is>
      </c>
      <c r="AG432" s="53" t="inlineStr">
        <is>
          <t>Shilpa Dhobale</t>
        </is>
      </c>
      <c r="AH432" s="53" t="inlineStr">
        <is>
          <t>N-2</t>
        </is>
      </c>
      <c r="AI432" s="53" t="inlineStr">
        <is>
          <t>Individual Contributor</t>
        </is>
      </c>
      <c r="AJ432" s="53" t="inlineStr">
        <is>
          <t>4 years, 1 months, 0 days</t>
        </is>
      </c>
      <c r="AK432" s="53" t="inlineStr">
        <is>
          <t>0 years, 4 months, 23 days</t>
        </is>
      </c>
      <c r="AL432" s="53" t="inlineStr">
        <is>
          <t>Datatech</t>
        </is>
      </c>
      <c r="AM432" s="53" t="inlineStr">
        <is>
          <t>Datatech</t>
        </is>
      </c>
      <c r="AN432" s="53" t="inlineStr">
        <is>
          <t>Technology</t>
        </is>
      </c>
      <c r="AO432" s="53" t="inlineStr">
        <is>
          <t>Development</t>
        </is>
      </c>
      <c r="AP432" s="53" t="inlineStr">
        <is>
          <t>Yes</t>
        </is>
      </c>
      <c r="AQ432" s="53" t="inlineStr">
        <is>
          <t>Product/Project</t>
        </is>
      </c>
      <c r="AR432" s="53" t="inlineStr">
        <is>
          <t>Python</t>
        </is>
      </c>
      <c r="AS432" s="53" t="inlineStr">
        <is>
          <t>Technical - Developer</t>
        </is>
      </c>
      <c r="AT432" s="53" t="n">
        <v>20</v>
      </c>
      <c r="AU432" s="53" t="inlineStr">
        <is>
          <t>Covered</t>
        </is>
      </c>
      <c r="AV432" s="53" t="n"/>
      <c r="AW432" s="53" t="n"/>
      <c r="AX432" s="53" t="n"/>
      <c r="AY432" s="53" t="n"/>
      <c r="AZ432" s="53" t="n"/>
      <c r="BA432" s="53" t="n"/>
      <c r="BB432" s="53" t="n"/>
      <c r="BC432" s="53" t="n"/>
      <c r="BD432" s="53" t="n"/>
      <c r="BE432" s="53" t="n"/>
      <c r="BF432" s="53" t="n"/>
      <c r="BG432" s="53" t="n"/>
      <c r="BH432" s="53" t="n"/>
      <c r="BI432" s="53" t="n"/>
      <c r="BJ432" s="53" t="n"/>
      <c r="BK432" s="53" t="n"/>
      <c r="BL432" s="53" t="n"/>
      <c r="BM432" s="53" t="n"/>
      <c r="BN432" s="53" t="n"/>
      <c r="BO432" s="53" t="n"/>
      <c r="BP432" s="53" t="n"/>
      <c r="BQ432" s="53" t="n"/>
      <c r="BR432" s="53" t="n"/>
      <c r="BS432" s="53" t="n"/>
      <c r="BT432" s="53" t="n"/>
      <c r="BU432" s="53" t="n"/>
      <c r="BV432" s="53" t="n"/>
      <c r="BW432" s="53" t="n"/>
      <c r="BX432" s="53" t="n"/>
      <c r="BY432" s="53" t="n"/>
      <c r="BZ432" s="53" t="n"/>
      <c r="CA432" s="53" t="n"/>
      <c r="CB432" s="53" t="n"/>
      <c r="CC432" s="53" t="n"/>
      <c r="CD432" s="53" t="n"/>
      <c r="CE432" s="53" t="n"/>
      <c r="CF432" s="53" t="n"/>
      <c r="CG432" s="53" t="n"/>
      <c r="CH432" s="53" t="n"/>
      <c r="CI432" s="53" t="n"/>
      <c r="CJ432" s="53" t="n"/>
      <c r="CK432" s="53" t="n"/>
      <c r="CL432" s="53" t="n"/>
      <c r="CM432" s="53" t="n"/>
      <c r="CN432" s="53" t="n"/>
      <c r="CO432" s="53" t="n"/>
      <c r="CP432" s="53" t="n"/>
      <c r="CQ432" s="53" t="n"/>
      <c r="CR432" s="53" t="n"/>
      <c r="CS432" s="53" t="n"/>
      <c r="CT432" s="53" t="n"/>
      <c r="CU432" s="53" t="n"/>
      <c r="CV432" s="53" t="n"/>
      <c r="CW432" s="53" t="n"/>
      <c r="CX432" s="53" t="n"/>
      <c r="CY432" s="53" t="n"/>
      <c r="CZ432" s="53" t="n"/>
      <c r="DA432" s="53" t="n"/>
      <c r="DB432" s="53" t="n"/>
      <c r="DC432" s="53" t="n"/>
      <c r="DD432" s="53" t="inlineStr">
        <is>
          <t>IRIS2503</t>
        </is>
      </c>
      <c r="DE432" s="53" t="inlineStr">
        <is>
          <t>Employee</t>
        </is>
      </c>
      <c r="DF432" s="53" t="inlineStr">
        <is>
          <t>Active</t>
        </is>
      </c>
      <c r="DG432" s="53" t="inlineStr">
        <is>
          <t>Shivam Dhumal</t>
        </is>
      </c>
      <c r="DH432" s="54" t="n">
        <v>46114</v>
      </c>
      <c r="DI432" s="53" t="inlineStr">
        <is>
          <t>Software Engineer</t>
        </is>
      </c>
      <c r="DJ432" s="53" t="inlineStr">
        <is>
          <t>Engineering &amp; Development</t>
        </is>
      </c>
      <c r="DK432" s="53" t="inlineStr">
        <is>
          <t>Backend Engineering · Python</t>
        </is>
      </c>
      <c r="DL432" s="53" t="inlineStr">
        <is>
          <t>Software Engineer</t>
        </is>
      </c>
      <c r="DM432" s="53" t="inlineStr">
        <is>
          <t>L3 – Professional / Associate</t>
        </is>
      </c>
      <c r="DN432" s="53" t="inlineStr">
        <is>
          <t>B.Tech</t>
        </is>
      </c>
      <c r="DO432" s="53" t="inlineStr">
        <is>
          <t>Shilpa Dhobale</t>
        </is>
      </c>
      <c r="DP432" s="53" t="inlineStr">
        <is>
          <t>N-2</t>
        </is>
      </c>
      <c r="DQ432" s="53" t="inlineStr">
        <is>
          <t>Individual Contributor</t>
        </is>
      </c>
      <c r="DR432" s="53" t="inlineStr">
        <is>
          <t>4 years, 1 months, 0 days</t>
        </is>
      </c>
      <c r="DS432" s="53" t="inlineStr">
        <is>
          <t>0 years, 2 months, 18 days</t>
        </is>
      </c>
      <c r="DT432" s="53" t="inlineStr">
        <is>
          <t>4 years, 3 months, 18 days</t>
        </is>
      </c>
      <c r="DU432" s="53" t="n"/>
      <c r="DV432" s="53" t="inlineStr">
        <is>
          <t>Datatech</t>
        </is>
      </c>
      <c r="DW432" s="53" t="inlineStr">
        <is>
          <t>Datatech</t>
        </is>
      </c>
      <c r="DX432" s="53" t="inlineStr">
        <is>
          <t>Technology</t>
        </is>
      </c>
      <c r="DY432" s="53" t="inlineStr">
        <is>
          <t>Development</t>
        </is>
      </c>
      <c r="DZ432" s="53" t="inlineStr">
        <is>
          <t>Yes</t>
        </is>
      </c>
      <c r="EA432" s="53" t="inlineStr">
        <is>
          <t>Product/Project</t>
        </is>
      </c>
      <c r="EB432" s="53" t="inlineStr">
        <is>
          <t>Python</t>
        </is>
      </c>
      <c r="EC432" s="53" t="inlineStr">
        <is>
          <t>Technical - Developer</t>
        </is>
      </c>
      <c r="ED432" s="53" t="inlineStr">
        <is>
          <t>Turbhe</t>
        </is>
      </c>
      <c r="EE432" s="53" t="n"/>
      <c r="EF432" s="53" t="inlineStr">
        <is>
          <t>1.	Committed scope delivered per sprint — ≥ 85%. Averaged for quarter
2.	Crash-free sessions — ≥ 99.5% · shared with QA
3.	Change failure rate · % of releases causing an incident/hotfix — &lt; 10%
4.	Documentation kept current for shipped features — ≥ 90% of new modules documented
5.	Unit test coverage - ≥ 75% by end of year
6.	Critical/high vulnerabilities — criticals remediated in &lt; 5 days; no open criticals at quarter-end.
7.	Cross-functional coordination — score once per quarter.
8.	Adherence to ACCORD framework – every monthly sprint review cycle</t>
        </is>
      </c>
      <c r="EG432" s="53" t="inlineStr">
        <is>
          <t>Engineering - Quarterly
1.	Committed scope delivered per sprint — ≥ 85%. Averaged for quarter
2.	Crash-free sessions — ≥ 99.5% · shared with QA
3.	Change failure rate · % of releases causing an incident/hotfix — &lt; 10%
4.	Documentation kept current for shipped features — ≥ 90% of new modules documented
5.	Unit test coverage - ≥ 35% for quarter
6.	Critical/high vulnerabilities — criticals remediated in &lt; 5 days; no open criticals at quarter-end.</t>
        </is>
      </c>
      <c r="EH432" s="53" t="n">
        <v>3</v>
      </c>
      <c r="EI432" s="53" t="n"/>
      <c r="EJ432" s="53" t="inlineStr">
        <is>
          <t>Software Engineer</t>
        </is>
      </c>
      <c r="EK432" s="53" t="inlineStr">
        <is>
          <t>No</t>
        </is>
      </c>
      <c r="EL432" s="53" t="n">
        <v>3</v>
      </c>
      <c r="EM432" s="53" t="inlineStr">
        <is>
          <t>Medium</t>
        </is>
      </c>
      <c r="EN432" s="53" t="inlineStr">
        <is>
          <t>Emerging Talent</t>
        </is>
      </c>
      <c r="EO432" s="53" t="inlineStr">
        <is>
          <t>No</t>
        </is>
      </c>
      <c r="EP432" s="53" t="inlineStr">
        <is>
          <t>Yes</t>
        </is>
      </c>
      <c r="EQ432" s="53" t="inlineStr">
        <is>
          <t>Yes</t>
        </is>
      </c>
      <c r="ER432" s="53" t="n"/>
      <c r="ES432" s="53" t="inlineStr">
        <is>
          <t>Solution Architecture and System Design</t>
        </is>
      </c>
      <c r="ET432" s="53" t="n"/>
      <c r="EU432" s="53" t="n"/>
      <c r="EV432" s="53" t="inlineStr">
        <is>
          <t>Peridot Backend</t>
        </is>
      </c>
      <c r="EW432" s="52" t="n"/>
      <c r="EX432" s="53" t="n"/>
      <c r="EY432" s="53" t="n"/>
      <c r="EZ432" s="53" t="n"/>
      <c r="FA432" s="53" t="n"/>
      <c r="FB432" s="53" t="n"/>
      <c r="FC432" s="53" t="n"/>
      <c r="FD432" s="53" t="inlineStr">
        <is>
          <t>IRIS2503</t>
        </is>
      </c>
      <c r="FE432" s="57" t="inlineStr">
        <is>
          <t>1.	Committed scope delivered per sprint — ≥ 85%. Averaged for quarter
2.	Crash-free sessions — ≥ 99.5% · shared with QA
3.	Change failure rate · % of releases causing an incident/hotfix — &lt; 10%
4.	Documentation kept current for shipped features — ≥ 90% of new modules documented
5.	Unit test coverage - ≥ 75% by end of year
6.	Critical/high vulnerabilities — criticals remediated in &lt; 5 days; no open criticals at quarter-end.
7.	Cross-functional coordination — score once per quarter.
8.	Adherence to ACCORD framework – every monthly sprint review cycle</t>
        </is>
      </c>
      <c r="FF432" s="56" t="inlineStr">
        <is>
          <t>Engineering - Quarterly
1.	Committed scope delivered per sprint — ≥ 85%. Averaged for quarter
2.	Crash-free sessions — ≥ 99.5% · shared with QA
3.	Change failure rate · % of releases causing an incident/hotfix — &lt; 10%
4.	Documentation kept current for shipped features — ≥ 90% of new modules documented
5.	Unit test coverage - ≥ 35% for quarter
6.	Critical/high vulnerabilities — criticals remediated in &lt; 5 days; no open criticals at quarter-end.</t>
        </is>
      </c>
      <c r="FG432" s="56" t="n"/>
      <c r="FH432" s="56" t="inlineStr">
        <is>
          <t>3</t>
        </is>
      </c>
      <c r="FI432" s="56" t="n"/>
      <c r="FJ432" s="56" t="inlineStr">
        <is>
          <t>Received · manager annual, quarterly</t>
        </is>
      </c>
      <c r="FK432" s="56" t="inlineStr">
        <is>
          <t>Talent Mapping · Datatech</t>
        </is>
      </c>
      <c r="FL432" s="56" t="n">
        <v>20</v>
      </c>
      <c r="FM432" s="32" t="inlineStr">
        <is>
          <t>Full survey answers not in the files received · How We Grow export needed · HR</t>
        </is>
      </c>
      <c r="FN432" s="56" t="inlineStr">
        <is>
          <t>—</t>
        </is>
      </c>
      <c r="FO432" s="56" t="inlineStr">
        <is>
          <t>—</t>
        </is>
      </c>
      <c r="FP432" s="56" t="inlineStr">
        <is>
          <t>—</t>
        </is>
      </c>
      <c r="FQ432" s="56" t="inlineStr">
        <is>
          <t>—</t>
        </is>
      </c>
      <c r="FR432" s="56" t="inlineStr">
        <is>
          <t>Business Impact: Moved +0.5: the survey / manager mapping marks it business-critical.</t>
        </is>
      </c>
      <c r="FS432"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432" s="56" t="inlineStr">
        <is>
          <t>Self-identified: Leadership &amp; people management · Project / programme management · Technical depth &amp; architecture · Broader exposure &amp; ownership
For the next role: Leadership &amp; people management · Project / programme management · Technical depth &amp; architecture · Broader exposure &amp; ownership</t>
        </is>
      </c>
      <c r="FU432" s="32" t="inlineStr">
        <is>
          <t>Full survey answers not in the files received · How We Grow export needed · HR</t>
        </is>
      </c>
    </row>
    <row r="433" ht="90" customHeight="1">
      <c r="A433" s="51" t="inlineStr">
        <is>
          <t>◂ Back</t>
        </is>
      </c>
      <c r="B433" s="29" t="inlineStr">
        <is>
          <t>Mapped</t>
        </is>
      </c>
      <c r="C433" s="28" t="inlineStr">
        <is>
          <t>Datatech</t>
        </is>
      </c>
      <c r="D433" s="29" t="inlineStr">
        <is>
          <t>IRISDTC005</t>
        </is>
      </c>
      <c r="E433" s="29" t="inlineStr">
        <is>
          <t>Smita Londhe</t>
        </is>
      </c>
      <c r="F433" s="29" t="inlineStr">
        <is>
          <t>Quality Assurance</t>
        </is>
      </c>
      <c r="G433" s="29" t="inlineStr">
        <is>
          <t>QA Engineer</t>
        </is>
      </c>
      <c r="H433" s="29" t="inlineStr">
        <is>
          <t>Senior QA Automation Engineer</t>
        </is>
      </c>
      <c r="I433" s="29" t="inlineStr">
        <is>
          <t>Not in current mapping files</t>
        </is>
      </c>
      <c r="J433" s="29" t="inlineStr">
        <is>
          <t>A3</t>
        </is>
      </c>
      <c r="K433" s="29" t="inlineStr">
        <is>
          <t>● Newly mapped</t>
        </is>
      </c>
      <c r="L433" s="29" t="inlineStr">
        <is>
          <t>Quality Assurance</t>
        </is>
      </c>
      <c r="M433" s="29" t="inlineStr">
        <is>
          <t>Test Automation</t>
        </is>
      </c>
      <c r="N433" s="29" t="inlineStr">
        <is>
          <t>• Correct the experience record — HR</t>
        </is>
      </c>
      <c r="O433" s="29" t="n">
        <v>20</v>
      </c>
      <c r="P433" s="28" t="inlineStr">
        <is>
          <t>P2</t>
        </is>
      </c>
      <c r="Q433" s="29" t="inlineStr">
        <is>
          <t>Developing</t>
        </is>
      </c>
      <c r="R433" s="29" t="inlineStr">
        <is>
          <t>3 Apply</t>
        </is>
      </c>
      <c r="S433" s="29" t="inlineStr">
        <is>
          <t>2–4 yrs</t>
        </is>
      </c>
      <c r="T433" s="29" t="inlineStr">
        <is>
          <t>3–5 · 2–5</t>
        </is>
      </c>
      <c r="U433" s="29" t="inlineStr">
        <is>
          <t>QA Engineer</t>
        </is>
      </c>
      <c r="V433" s="29" t="inlineStr">
        <is>
          <t>Workiva: SE · Broadridge India: SE · Nasdaq / AxiomSL: SE · IRIS Vs Market Benchmark — ISTQB certification pathway: Foundation</t>
        </is>
      </c>
      <c r="W433" s="29" t="inlineStr">
        <is>
          <t>ISTQB Foundation → Advanced → Expert; SFIA testing</t>
        </is>
      </c>
      <c r="X433" s="29" t="inlineStr">
        <is>
          <t>Core 2 · Future 2 · Functional 3 · Leadership not scored</t>
        </is>
      </c>
      <c r="Y433" s="52" t="n">
        <v>560</v>
      </c>
      <c r="Z433" s="53" t="inlineStr">
        <is>
          <t>IRISDTC005</t>
        </is>
      </c>
      <c r="AA433" s="53" t="inlineStr">
        <is>
          <t>On Contract</t>
        </is>
      </c>
      <c r="AB433" s="53" t="inlineStr">
        <is>
          <t>Active</t>
        </is>
      </c>
      <c r="AC433" s="53" t="inlineStr">
        <is>
          <t>Smita Londhe</t>
        </is>
      </c>
      <c r="AD433" s="54" t="n">
        <v>46237</v>
      </c>
      <c r="AE433" s="53" t="inlineStr">
        <is>
          <t>QA Engineer</t>
        </is>
      </c>
      <c r="AF433" s="53" t="inlineStr">
        <is>
          <t>M.E</t>
        </is>
      </c>
      <c r="AG433" s="53" t="inlineStr">
        <is>
          <t>Shilpa Dhobale</t>
        </is>
      </c>
      <c r="AH433" s="53" t="inlineStr">
        <is>
          <t>N-2</t>
        </is>
      </c>
      <c r="AI433" s="53" t="inlineStr">
        <is>
          <t>Individual Contributor</t>
        </is>
      </c>
      <c r="AJ433" s="53" t="inlineStr">
        <is>
          <t>3 years, 7 months, 0 days</t>
        </is>
      </c>
      <c r="AK433" s="53" t="inlineStr">
        <is>
          <t>0 years, 0 months, 22 days</t>
        </is>
      </c>
      <c r="AL433" s="53" t="inlineStr">
        <is>
          <t>Datatech</t>
        </is>
      </c>
      <c r="AM433" s="53" t="inlineStr">
        <is>
          <t>Datatech</t>
        </is>
      </c>
      <c r="AN433" s="53" t="inlineStr">
        <is>
          <t>Quality Assurance</t>
        </is>
      </c>
      <c r="AO433" s="53" t="inlineStr">
        <is>
          <t>Quality Assurance</t>
        </is>
      </c>
      <c r="AP433" s="53" t="inlineStr">
        <is>
          <t>No</t>
        </is>
      </c>
      <c r="AQ433" s="53" t="inlineStr">
        <is>
          <t>Product/Project</t>
        </is>
      </c>
      <c r="AR433" s="53" t="inlineStr">
        <is>
          <t>Software Testing</t>
        </is>
      </c>
      <c r="AS433" s="53" t="inlineStr">
        <is>
          <t>Technical · BA, PM and QA</t>
        </is>
      </c>
      <c r="AT433" s="53" t="n">
        <v>20</v>
      </c>
      <c r="AU433" s="53" t="inlineStr">
        <is>
          <t>Covered</t>
        </is>
      </c>
      <c r="AV433" s="53" t="n"/>
      <c r="AW433" s="53" t="n"/>
      <c r="AX433" s="53" t="n"/>
      <c r="AY433" s="53" t="n"/>
      <c r="AZ433" s="53" t="n"/>
      <c r="BA433" s="53" t="n"/>
      <c r="BB433" s="53" t="n"/>
      <c r="BC433" s="53" t="n"/>
      <c r="BD433" s="53" t="n"/>
      <c r="BE433" s="53" t="n"/>
      <c r="BF433" s="53" t="n"/>
      <c r="BG433" s="53" t="n"/>
      <c r="BH433" s="53" t="n"/>
      <c r="BI433" s="53" t="n"/>
      <c r="BJ433" s="53" t="n"/>
      <c r="BK433" s="53" t="n"/>
      <c r="BL433" s="53" t="n"/>
      <c r="BM433" s="53" t="n"/>
      <c r="BN433" s="53" t="n"/>
      <c r="BO433" s="53" t="n"/>
      <c r="BP433" s="53" t="n"/>
      <c r="BQ433" s="53" t="n"/>
      <c r="BR433" s="53" t="n"/>
      <c r="BS433" s="53" t="n"/>
      <c r="BT433" s="53" t="n"/>
      <c r="BU433" s="53" t="n"/>
      <c r="BV433" s="53" t="n"/>
      <c r="BW433" s="53" t="n"/>
      <c r="BX433" s="53" t="n"/>
      <c r="BY433" s="53" t="n"/>
      <c r="BZ433" s="53" t="n"/>
      <c r="CA433" s="53" t="n"/>
      <c r="CB433" s="53" t="n"/>
      <c r="CC433" s="53" t="n"/>
      <c r="CD433" s="53" t="n"/>
      <c r="CE433" s="53" t="n"/>
      <c r="CF433" s="53" t="n"/>
      <c r="CG433" s="53" t="n"/>
      <c r="CH433" s="53" t="n"/>
      <c r="CI433" s="53" t="n"/>
      <c r="CJ433" s="53" t="n"/>
      <c r="CK433" s="53" t="n"/>
      <c r="CL433" s="53" t="n"/>
      <c r="CM433" s="53" t="n"/>
      <c r="CN433" s="53" t="n"/>
      <c r="CO433" s="53" t="n"/>
      <c r="CP433" s="53" t="n"/>
      <c r="CQ433" s="53" t="n"/>
      <c r="CR433" s="53" t="n"/>
      <c r="CS433" s="53" t="n"/>
      <c r="CT433" s="53" t="n"/>
      <c r="CU433" s="53" t="n"/>
      <c r="CV433" s="53" t="n"/>
      <c r="CW433" s="53" t="n"/>
      <c r="CX433" s="53" t="n"/>
      <c r="CY433" s="53" t="n"/>
      <c r="CZ433" s="53" t="n"/>
      <c r="DA433" s="53" t="n"/>
      <c r="DB433" s="53" t="n"/>
      <c r="DC433" s="53" t="n"/>
      <c r="DD433" s="53" t="n"/>
      <c r="DE433" s="53" t="n"/>
      <c r="DF433" s="53" t="n"/>
      <c r="DG433" s="53" t="n"/>
      <c r="DH433" s="53" t="n"/>
      <c r="DI433" s="53" t="n"/>
      <c r="DJ433" s="53" t="n"/>
      <c r="DK433" s="53" t="n"/>
      <c r="DL433" s="53" t="n"/>
      <c r="DM433" s="53" t="n"/>
      <c r="DN433" s="53" t="n"/>
      <c r="DO433" s="53" t="n"/>
      <c r="DP433" s="53" t="n"/>
      <c r="DQ433" s="53" t="n"/>
      <c r="DR433" s="53" t="n"/>
      <c r="DS433" s="53" t="n"/>
      <c r="DT433" s="53" t="n"/>
      <c r="DU433" s="53" t="n"/>
      <c r="DV433" s="53" t="n"/>
      <c r="DW433" s="53" t="n"/>
      <c r="DX433" s="53" t="n"/>
      <c r="DY433" s="53" t="n"/>
      <c r="DZ433" s="53" t="n"/>
      <c r="EA433" s="53" t="n"/>
      <c r="EB433" s="53" t="n"/>
      <c r="EC433" s="53" t="n"/>
      <c r="ED433" s="53" t="n"/>
      <c r="EE433" s="53" t="n"/>
      <c r="EF433" s="53" t="n"/>
      <c r="EG433" s="53" t="n"/>
      <c r="EH433" s="53" t="n"/>
      <c r="EI433" s="53" t="n"/>
      <c r="EJ433" s="53" t="n"/>
      <c r="EK433" s="53" t="n"/>
      <c r="EL433" s="53" t="n"/>
      <c r="EM433" s="53" t="n"/>
      <c r="EN433" s="53" t="n"/>
      <c r="EO433" s="53" t="n"/>
      <c r="EP433" s="53" t="n"/>
      <c r="EQ433" s="53" t="n"/>
      <c r="ER433" s="53" t="n"/>
      <c r="ES433" s="53" t="n"/>
      <c r="ET433" s="53" t="n"/>
      <c r="EU433" s="53" t="n"/>
      <c r="EV433" s="53" t="n"/>
      <c r="EW433" s="52" t="n"/>
      <c r="EX433" s="53" t="n"/>
      <c r="EY433" s="53" t="n"/>
      <c r="EZ433" s="53" t="n"/>
      <c r="FA433" s="53" t="n"/>
      <c r="FB433" s="53" t="n"/>
      <c r="FC433" s="53" t="n"/>
      <c r="FD433" s="53" t="n"/>
      <c r="FE433" s="55" t="inlineStr">
        <is>
          <t>KRAs not received · manager to supply</t>
        </is>
      </c>
      <c r="FF433" s="56" t="n"/>
      <c r="FG433" s="56" t="n"/>
      <c r="FH433" s="56" t="n"/>
      <c r="FI433" s="56" t="n"/>
      <c r="FJ433" s="32" t="inlineStr">
        <is>
          <t>KRAs not received · manager to supply</t>
        </is>
      </c>
      <c r="FK433" s="56" t="n"/>
      <c r="FL433" s="56" t="n">
        <v>20</v>
      </c>
      <c r="FM433" s="32" t="inlineStr">
        <is>
          <t>Full survey answers not in the files received · How We Grow export needed · HR</t>
        </is>
      </c>
      <c r="FN433" s="56" t="inlineStr">
        <is>
          <t>—</t>
        </is>
      </c>
      <c r="FO433" s="56" t="inlineStr">
        <is>
          <t>—</t>
        </is>
      </c>
      <c r="FP433" s="56" t="inlineStr">
        <is>
          <t>—</t>
        </is>
      </c>
      <c r="FQ433" s="56" t="inlineStr">
        <is>
          <t>—</t>
        </is>
      </c>
      <c r="FR433" s="56" t="inlineStr">
        <is>
          <t>Complexity: Evidence reads like A2: Manual, API, mobile, functional and regression testing with some automation; described generically → matches the start
Autonomy: Evidence reads like A2: States 'scope and defect decision' only; no detail → matches the start
Accountability: Evidence reads like A3: Accountable for release validation and QA sign-off before production → moved up 0.5
Leadership: Evidence reads like A1: No guiding or leading of others described → matches the start
Business Impact: No survey or manager-mapping signal on criticality: kept at the start point.</t>
        </is>
      </c>
      <c r="FS433" s="56" t="inlineStr">
        <is>
          <t>Common themes in role-holders' answers: early · product · quality · automation · tests · testing
Common themes in role-holders' answers: testing · scripts · defects · testcase · automation · report
Common themes in role-holders' answers: reports · software · scripts · quality · test
Common themes in role-holders' answers: test · automation · quality · accountable · defect · identification
Common themes in role-holders' answers: testing
If the work is missed · role-holders' themes: testing · product · defects.
Measured on · manager-set KRA themes: test coverage · business · automation · knowledge · activities · comprehensive.</t>
        </is>
      </c>
      <c r="FT433" s="56" t="inlineStr">
        <is>
          <t>Self-identified: AI / automation · Technical depth &amp; architecture · Data, SQL &amp; analytics · Product &amp; tool knowledge · Broader exposure &amp; ownership
For the next role: AI / automation · Technical depth &amp; architecture · Testing &amp; quality · Data, SQL &amp; analytics · Product &amp; tool knowledge · Broader exposure &amp; ownership</t>
        </is>
      </c>
      <c r="FU433" s="32" t="inlineStr">
        <is>
          <t>Full survey answers not in the files received · How We Grow export needed · HR</t>
        </is>
      </c>
    </row>
    <row r="434" ht="90" customHeight="1">
      <c r="A434" s="51" t="inlineStr">
        <is>
          <t>◂ Back</t>
        </is>
      </c>
      <c r="B434" s="29" t="inlineStr">
        <is>
          <t>Mapped</t>
        </is>
      </c>
      <c r="C434" s="28" t="inlineStr">
        <is>
          <t>iFile</t>
        </is>
      </c>
      <c r="D434" s="29" t="inlineStr">
        <is>
          <t>IRIS0362</t>
        </is>
      </c>
      <c r="E434" s="29" t="inlineStr">
        <is>
          <t>Rahul Dhamne</t>
        </is>
      </c>
      <c r="F434" s="29" t="inlineStr">
        <is>
          <t>XBRL Consulting</t>
        </is>
      </c>
      <c r="G434" s="29" t="inlineStr">
        <is>
          <t>Head Consulting</t>
        </is>
      </c>
      <c r="H434" s="29" t="inlineStr">
        <is>
          <t>Head – Consulting</t>
        </is>
      </c>
      <c r="I434" s="29" t="inlineStr">
        <is>
          <t>L7 – Head / Sr Director</t>
        </is>
      </c>
      <c r="J434" s="29" t="inlineStr">
        <is>
          <t>C2</t>
        </is>
      </c>
      <c r="K434" s="29" t="inlineStr">
        <is>
          <t>• Same level</t>
        </is>
      </c>
      <c r="L434" s="29" t="inlineStr">
        <is>
          <t>Executive Leadership</t>
        </is>
      </c>
      <c r="M434" s="29" t="inlineStr">
        <is>
          <t>Business Head</t>
        </is>
      </c>
      <c r="N434" s="29" t="inlineStr">
        <is>
          <t>• Survey response or KRAs describing the work · nothing on file — Employee + manager</t>
        </is>
      </c>
      <c r="O434" s="29" t="n">
        <v>0</v>
      </c>
      <c r="P434" s="28" t="inlineStr">
        <is>
          <t>P7 / M6</t>
        </is>
      </c>
      <c r="Q434" s="29" t="inlineStr">
        <is>
          <t>— / Senior Director</t>
        </is>
      </c>
      <c r="R434" s="29" t="inlineStr">
        <is>
          <t>6 Initiate, influence</t>
        </is>
      </c>
      <c r="S434" s="29" t="inlineStr">
        <is>
          <t>12–17 yrs</t>
        </is>
      </c>
      <c r="T434" s="29" t="inlineStr">
        <is>
          <t>—</t>
        </is>
      </c>
      <c r="U434" s="29" t="inlineStr">
        <is>
          <t>Senior Head / General Manager</t>
        </is>
      </c>
      <c r="V434" s="29" t="inlineStr">
        <is>
          <t>Big Four: Director</t>
        </is>
      </c>
      <c r="W434" s="29" t="inlineStr">
        <is>
          <t>XBRL US GAAP Certificate · AICPA &amp; XBRL US; XBRL International specifications; IFRS / US GAAP / Ind AS</t>
        </is>
      </c>
      <c r="X434" s="29" t="inlineStr">
        <is>
          <t>Core 4 · Future 4 · Functional 5 · Leadership 4</t>
        </is>
      </c>
      <c r="Y434" s="52" t="n">
        <v>49</v>
      </c>
      <c r="Z434" s="53" t="inlineStr">
        <is>
          <t>IRIS0362</t>
        </is>
      </c>
      <c r="AA434" s="53" t="inlineStr">
        <is>
          <t>Employee</t>
        </is>
      </c>
      <c r="AB434" s="53" t="inlineStr">
        <is>
          <t>Active</t>
        </is>
      </c>
      <c r="AC434" s="53" t="inlineStr">
        <is>
          <t>Rahul Dhamne</t>
        </is>
      </c>
      <c r="AD434" s="54" t="n">
        <v>40247</v>
      </c>
      <c r="AE434" s="53" t="inlineStr">
        <is>
          <t>Head Consulting</t>
        </is>
      </c>
      <c r="AF434" s="53" t="inlineStr">
        <is>
          <t>CA</t>
        </is>
      </c>
      <c r="AG434" s="53" t="inlineStr">
        <is>
          <t>Balachandran K</t>
        </is>
      </c>
      <c r="AH434" s="53" t="inlineStr">
        <is>
          <t>N-1</t>
        </is>
      </c>
      <c r="AI434" s="53" t="inlineStr">
        <is>
          <t>Manager</t>
        </is>
      </c>
      <c r="AJ434" s="53" t="inlineStr">
        <is>
          <t>0 years, 5 months, 0 days</t>
        </is>
      </c>
      <c r="AK434" s="53" t="inlineStr">
        <is>
          <t>16 years, 5 months, 15 days</t>
        </is>
      </c>
      <c r="AL434" s="53" t="inlineStr">
        <is>
          <t>Suptech</t>
        </is>
      </c>
      <c r="AM434" s="53" t="inlineStr">
        <is>
          <t>iFile</t>
        </is>
      </c>
      <c r="AN434" s="53" t="inlineStr">
        <is>
          <t>XBRL Consulting</t>
        </is>
      </c>
      <c r="AO434" s="53" t="inlineStr">
        <is>
          <t>Consulting</t>
        </is>
      </c>
      <c r="AP434" s="53" t="inlineStr">
        <is>
          <t>No</t>
        </is>
      </c>
      <c r="AQ434" s="53" t="inlineStr">
        <is>
          <t>Professional Services</t>
        </is>
      </c>
      <c r="AR434" s="53" t="inlineStr">
        <is>
          <t>XBRL Domain</t>
        </is>
      </c>
      <c r="AS434" s="53" t="inlineStr">
        <is>
          <t>Non-technical</t>
        </is>
      </c>
      <c r="AT434" s="53" t="n">
        <v>0</v>
      </c>
      <c r="AU434" s="53" t="inlineStr">
        <is>
          <t>E-Top management</t>
        </is>
      </c>
      <c r="AV434" s="53" t="n"/>
      <c r="AW434" s="53" t="n"/>
      <c r="AX434" s="53" t="n"/>
      <c r="AY434" s="53" t="n"/>
      <c r="AZ434" s="53" t="n"/>
      <c r="BA434" s="53" t="n"/>
      <c r="BB434" s="53" t="n"/>
      <c r="BC434" s="53" t="n"/>
      <c r="BD434" s="53" t="n"/>
      <c r="BE434" s="53" t="n"/>
      <c r="BF434" s="53" t="n"/>
      <c r="BG434" s="53" t="n"/>
      <c r="BH434" s="53" t="n"/>
      <c r="BI434" s="53" t="n"/>
      <c r="BJ434" s="53" t="n"/>
      <c r="BK434" s="53" t="n"/>
      <c r="BL434" s="53" t="n"/>
      <c r="BM434" s="53" t="n"/>
      <c r="BN434" s="53" t="n"/>
      <c r="BO434" s="53" t="n"/>
      <c r="BP434" s="53" t="n"/>
      <c r="BQ434" s="53" t="n"/>
      <c r="BR434" s="53" t="n"/>
      <c r="BS434" s="53" t="n"/>
      <c r="BT434" s="53" t="n"/>
      <c r="BU434" s="53" t="n"/>
      <c r="BV434" s="53" t="n"/>
      <c r="BW434" s="53" t="n"/>
      <c r="BX434" s="53" t="n"/>
      <c r="BY434" s="53" t="n"/>
      <c r="BZ434" s="53" t="n"/>
      <c r="CA434" s="53" t="n"/>
      <c r="CB434" s="53" t="n"/>
      <c r="CC434" s="53" t="n"/>
      <c r="CD434" s="53" t="n"/>
      <c r="CE434" s="53" t="n"/>
      <c r="CF434" s="53" t="n"/>
      <c r="CG434" s="53" t="n"/>
      <c r="CH434" s="53" t="n"/>
      <c r="CI434" s="53" t="n"/>
      <c r="CJ434" s="53" t="n"/>
      <c r="CK434" s="53" t="n"/>
      <c r="CL434" s="53" t="n"/>
      <c r="CM434" s="53" t="n"/>
      <c r="CN434" s="53" t="n"/>
      <c r="CO434" s="53" t="n"/>
      <c r="CP434" s="53" t="n"/>
      <c r="CQ434" s="53" t="n"/>
      <c r="CR434" s="53" t="n"/>
      <c r="CS434" s="53" t="n"/>
      <c r="CT434" s="53" t="n"/>
      <c r="CU434" s="53" t="n"/>
      <c r="CV434" s="53" t="n"/>
      <c r="CW434" s="53" t="n"/>
      <c r="CX434" s="53" t="n"/>
      <c r="CY434" s="53" t="n"/>
      <c r="CZ434" s="53" t="n"/>
      <c r="DA434" s="53" t="n"/>
      <c r="DB434" s="53" t="n"/>
      <c r="DC434" s="53" t="n"/>
      <c r="DD434" s="53" t="inlineStr">
        <is>
          <t>IRIS0362</t>
        </is>
      </c>
      <c r="DE434" s="53" t="inlineStr">
        <is>
          <t>Employee</t>
        </is>
      </c>
      <c r="DF434" s="53" t="inlineStr">
        <is>
          <t>Active</t>
        </is>
      </c>
      <c r="DG434" s="53" t="inlineStr">
        <is>
          <t>Rahul Dhamne</t>
        </is>
      </c>
      <c r="DH434" s="54" t="n">
        <v>40247</v>
      </c>
      <c r="DI434" s="53" t="inlineStr">
        <is>
          <t>Head Consulting</t>
        </is>
      </c>
      <c r="DJ434" s="53" t="inlineStr">
        <is>
          <t>Consulting &amp; Professional Services</t>
        </is>
      </c>
      <c r="DK434" s="53" t="inlineStr">
        <is>
          <t>XBRL / Regulatory Reporting</t>
        </is>
      </c>
      <c r="DL434" s="53" t="inlineStr">
        <is>
          <t>Head Consulting</t>
        </is>
      </c>
      <c r="DM434" s="53" t="inlineStr">
        <is>
          <t>L7 – Head / Sr Director</t>
        </is>
      </c>
      <c r="DN434" s="53" t="inlineStr">
        <is>
          <t>CA</t>
        </is>
      </c>
      <c r="DO434" s="53" t="inlineStr">
        <is>
          <t>Balachandran K</t>
        </is>
      </c>
      <c r="DP434" s="53" t="inlineStr">
        <is>
          <t>N-1</t>
        </is>
      </c>
      <c r="DQ434" s="53" t="inlineStr">
        <is>
          <t>Manager</t>
        </is>
      </c>
      <c r="DR434" s="53" t="inlineStr">
        <is>
          <t>0 years, 5 months, 0 days</t>
        </is>
      </c>
      <c r="DS434" s="53" t="inlineStr">
        <is>
          <t>16 years, 3 months, 10 days
16 years, 5 months, 1 days</t>
        </is>
      </c>
      <c r="DT434" s="53" t="inlineStr">
        <is>
          <t>16 years, 8 months, 10 days
16 years, 10 months, 1 days</t>
        </is>
      </c>
      <c r="DU434" s="53" t="inlineStr">
        <is>
          <t>16.277397260274</t>
        </is>
      </c>
      <c r="DV434" s="53" t="inlineStr">
        <is>
          <t>Suptech</t>
        </is>
      </c>
      <c r="DW434" s="53" t="inlineStr">
        <is>
          <t>iFile</t>
        </is>
      </c>
      <c r="DX434" s="53" t="inlineStr">
        <is>
          <t>XBRL Consulting</t>
        </is>
      </c>
      <c r="DY434" s="53" t="inlineStr">
        <is>
          <t>Consulting</t>
        </is>
      </c>
      <c r="DZ434" s="53" t="inlineStr">
        <is>
          <t>No</t>
        </is>
      </c>
      <c r="EA434" s="53" t="inlineStr">
        <is>
          <t>Professional Services</t>
        </is>
      </c>
      <c r="EB434" s="53" t="inlineStr">
        <is>
          <t>XBRL Domain</t>
        </is>
      </c>
      <c r="EC434" s="53" t="inlineStr">
        <is>
          <t>Non-technical</t>
        </is>
      </c>
      <c r="ED434" s="53" t="inlineStr">
        <is>
          <t>Work From Office - Turbhe</t>
        </is>
      </c>
      <c r="EE434" s="53" t="n"/>
      <c r="EF434" s="53" t="inlineStr">
        <is>
          <t>N/A – span owner · assessor</t>
        </is>
      </c>
      <c r="EG434" s="53" t="inlineStr">
        <is>
          <t>N/A – span owner · assessor</t>
        </is>
      </c>
      <c r="EH434" s="53" t="inlineStr">
        <is>
          <t>N/A – span owner · assessor</t>
        </is>
      </c>
      <c r="EI434" s="53" t="inlineStr">
        <is>
          <t>N/A – span owner · assessor</t>
        </is>
      </c>
      <c r="EJ434" s="53" t="inlineStr">
        <is>
          <t>Head Consulting</t>
        </is>
      </c>
      <c r="EK434" s="53" t="inlineStr">
        <is>
          <t>No change</t>
        </is>
      </c>
      <c r="EL434" s="53" t="inlineStr">
        <is>
          <t>N/A – span owner · assessor</t>
        </is>
      </c>
      <c r="EM434" s="53" t="inlineStr">
        <is>
          <t>N/A – span owner · assessor</t>
        </is>
      </c>
      <c r="EN434" s="53" t="inlineStr">
        <is>
          <t>N/A – span owner · assessor</t>
        </is>
      </c>
      <c r="EO434" s="53" t="n"/>
      <c r="EP434" s="53" t="n"/>
      <c r="EQ434" s="53" t="n"/>
      <c r="ER434" s="53" t="inlineStr">
        <is>
          <t>N/A – span owner · assessor</t>
        </is>
      </c>
      <c r="ES434" s="53" t="inlineStr">
        <is>
          <t>XBRL taxonomy &amp; regulatory updates; domain/accounting refreshers; quality &amp; accuracy practices; tooling proficiency | People management: goal-setting &amp; feedback, 1:1 coaching, performance conversations</t>
        </is>
      </c>
      <c r="ET434" s="53" t="inlineStr">
        <is>
          <t>Leadership development: strategic thinking, cross-functional influence, financial/business acumen, succession &amp; talent development, change management, executive communication</t>
        </is>
      </c>
      <c r="EU434" s="53" t="n"/>
      <c r="EV434" s="53" t="n"/>
      <c r="EW434" s="52" t="n"/>
      <c r="EX434" s="53" t="n"/>
      <c r="EY434" s="53" t="n"/>
      <c r="EZ434" s="53" t="n"/>
      <c r="FA434" s="53" t="n"/>
      <c r="FB434" s="53" t="n"/>
      <c r="FC434" s="53" t="inlineStr">
        <is>
          <t>EXP Current IRIS; Total Experience; Avg Exp in IRIS; Annual KRAs · objective Measurable Minimum 5 - set by Manager; Quarterly KRAs; Tentative Rating for Q1 · Scale 1-5; Last Performance Discussion date; Correct Designation; Is a structural Change needed for better future; Quarterly Performance Rating; Potential Rating · High/Med/Low; 9-Box Placement; Name of Successor Identified; Training Needs identified for current Role; Training Needs identified if · If promotion Ready</t>
        </is>
      </c>
      <c r="FD434" s="53" t="n"/>
      <c r="FE434" s="57" t="inlineStr">
        <is>
          <t>N/A – span owner · assessor</t>
        </is>
      </c>
      <c r="FF434" s="56" t="inlineStr">
        <is>
          <t>N/A – span owner · assessor</t>
        </is>
      </c>
      <c r="FG434" s="56" t="n"/>
      <c r="FH434" s="56" t="inlineStr">
        <is>
          <t>N/A – span owner · assessor</t>
        </is>
      </c>
      <c r="FI434" s="56" t="n"/>
      <c r="FJ434" s="56" t="inlineStr">
        <is>
          <t>Received · manager annual, quarterly</t>
        </is>
      </c>
      <c r="FK434" s="56" t="inlineStr">
        <is>
          <t>Talent Mapping · iFile collated</t>
        </is>
      </c>
      <c r="FL434" s="56" t="n">
        <v>0</v>
      </c>
      <c r="FM434" s="32" t="inlineStr">
        <is>
          <t>No survey response on file</t>
        </is>
      </c>
      <c r="FN434" s="56" t="inlineStr">
        <is>
          <t>—</t>
        </is>
      </c>
      <c r="FO434" s="56" t="inlineStr">
        <is>
          <t>—</t>
        </is>
      </c>
      <c r="FP434" s="56" t="inlineStr">
        <is>
          <t>—</t>
        </is>
      </c>
      <c r="FQ434" s="56" t="inlineStr">
        <is>
          <t>—</t>
        </is>
      </c>
      <c r="FR434" s="56"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FS434" s="56" t="n"/>
      <c r="FT434" s="56" t="n"/>
      <c r="FU434" s="32" t="inlineStr">
        <is>
          <t>No survey response on file</t>
        </is>
      </c>
    </row>
    <row r="435" ht="90" customHeight="1">
      <c r="A435" s="51" t="inlineStr">
        <is>
          <t>◂ Back</t>
        </is>
      </c>
      <c r="B435" s="29" t="inlineStr">
        <is>
          <t>Mapped</t>
        </is>
      </c>
      <c r="C435" s="28" t="inlineStr">
        <is>
          <t>iFile</t>
        </is>
      </c>
      <c r="D435" s="29" t="inlineStr">
        <is>
          <t>IRIS2306</t>
        </is>
      </c>
      <c r="E435" s="29" t="inlineStr">
        <is>
          <t>Akshay Jain</t>
        </is>
      </c>
      <c r="F435" s="29" t="inlineStr">
        <is>
          <t>XBRL Consulting</t>
        </is>
      </c>
      <c r="G435" s="29" t="inlineStr">
        <is>
          <t>Lead Consultant</t>
        </is>
      </c>
      <c r="H435" s="29" t="inlineStr">
        <is>
          <t>Senior Taxonomy Specialist</t>
        </is>
      </c>
      <c r="I435" s="29" t="inlineStr">
        <is>
          <t>L5 – Lead · IC</t>
        </is>
      </c>
      <c r="J435" s="29" t="inlineStr">
        <is>
          <t>B2</t>
        </is>
      </c>
      <c r="K435" s="29" t="inlineStr">
        <is>
          <t>▼ Down · protected</t>
        </is>
      </c>
      <c r="L435" s="29" t="inlineStr">
        <is>
          <t>Consulting &amp; Professional Services</t>
        </is>
      </c>
      <c r="M435" s="29" t="inlineStr">
        <is>
          <t>Taxonomy Design &amp; Regulatory Consulting</t>
        </is>
      </c>
      <c r="N435" s="29" t="n"/>
      <c r="O435" s="29" t="n">
        <v>14</v>
      </c>
      <c r="P435" s="28" t="inlineStr">
        <is>
          <t>P4 / M3</t>
        </is>
      </c>
      <c r="Q435" s="29" t="inlineStr">
        <is>
          <t>Senior / Manager</t>
        </is>
      </c>
      <c r="R435" s="29" t="inlineStr">
        <is>
          <t>4–5</t>
        </is>
      </c>
      <c r="S435" s="29" t="inlineStr">
        <is>
          <t>6–9 yrs</t>
        </is>
      </c>
      <c r="T435" s="29" t="inlineStr">
        <is>
          <t>7–10 · 6–11</t>
        </is>
      </c>
      <c r="U435" s="29" t="inlineStr">
        <is>
          <t>Senior Consultant / Team Lead</t>
        </is>
      </c>
      <c r="V435" s="29" t="inlineStr">
        <is>
          <t>Big Four: Manager · IRIS Vs Market Benchmark — XBRL US credential pathway: Certificate + review authority</t>
        </is>
      </c>
      <c r="W435" s="29" t="inlineStr">
        <is>
          <t>XBRL US GAAP Certificate · AICPA &amp; XBRL US; XBRL International specifications; IFRS / US GAAP / Ind AS</t>
        </is>
      </c>
      <c r="X435" s="29" t="inlineStr">
        <is>
          <t>Core 3 · Future 3 · Functional 4 · Leadership 2</t>
        </is>
      </c>
      <c r="Y435" s="52" t="n">
        <v>341</v>
      </c>
      <c r="Z435" s="53" t="inlineStr">
        <is>
          <t>IRIS2306</t>
        </is>
      </c>
      <c r="AA435" s="53" t="inlineStr">
        <is>
          <t>Employee</t>
        </is>
      </c>
      <c r="AB435" s="53" t="inlineStr">
        <is>
          <t>Active</t>
        </is>
      </c>
      <c r="AC435" s="53" t="inlineStr">
        <is>
          <t>Akshay Jain</t>
        </is>
      </c>
      <c r="AD435" s="54" t="n">
        <v>45547</v>
      </c>
      <c r="AE435" s="53" t="inlineStr">
        <is>
          <t>Lead Consultant</t>
        </is>
      </c>
      <c r="AF435" s="53" t="inlineStr">
        <is>
          <t>CWA</t>
        </is>
      </c>
      <c r="AG435" s="53" t="inlineStr">
        <is>
          <t>Rahul Dhamne</t>
        </is>
      </c>
      <c r="AH435" s="53" t="inlineStr">
        <is>
          <t>N-2</t>
        </is>
      </c>
      <c r="AI435" s="53" t="inlineStr">
        <is>
          <t>Individual Contributor</t>
        </is>
      </c>
      <c r="AJ435" s="53" t="inlineStr">
        <is>
          <t>11 years, 9 months, 0 days</t>
        </is>
      </c>
      <c r="AK435" s="53" t="inlineStr">
        <is>
          <t>1 years, 11 months, 13 days</t>
        </is>
      </c>
      <c r="AL435" s="53" t="inlineStr">
        <is>
          <t>Suptech</t>
        </is>
      </c>
      <c r="AM435" s="53" t="inlineStr">
        <is>
          <t>iFile</t>
        </is>
      </c>
      <c r="AN435" s="53" t="inlineStr">
        <is>
          <t>XBRL Consulting</t>
        </is>
      </c>
      <c r="AO435" s="53" t="inlineStr">
        <is>
          <t>Consulting</t>
        </is>
      </c>
      <c r="AP435" s="53" t="inlineStr">
        <is>
          <t>No</t>
        </is>
      </c>
      <c r="AQ435" s="53" t="inlineStr">
        <is>
          <t>Professional Services</t>
        </is>
      </c>
      <c r="AR435" s="53" t="inlineStr">
        <is>
          <t>XBRL Domain</t>
        </is>
      </c>
      <c r="AS435" s="53" t="inlineStr">
        <is>
          <t>Non-technical</t>
        </is>
      </c>
      <c r="AT435" s="53" t="n">
        <v>20</v>
      </c>
      <c r="AU435" s="53" t="inlineStr">
        <is>
          <t>Covered</t>
        </is>
      </c>
      <c r="AV435" s="53" t="n"/>
      <c r="AW435" s="53" t="n"/>
      <c r="AX435" s="53" t="n"/>
      <c r="AY435" s="53" t="n"/>
      <c r="AZ435" s="53" t="n"/>
      <c r="BA435" s="53" t="n"/>
      <c r="BB435" s="53" t="n"/>
      <c r="BC435" s="53" t="n"/>
      <c r="BD435" s="53" t="n"/>
      <c r="BE435" s="53" t="n"/>
      <c r="BF435" s="53" t="n"/>
      <c r="BG435" s="53" t="n"/>
      <c r="BH435" s="53" t="n"/>
      <c r="BI435" s="53" t="n"/>
      <c r="BJ435" s="53" t="n"/>
      <c r="BK435" s="53" t="n"/>
      <c r="BL435" s="53" t="n"/>
      <c r="BM435" s="53" t="n"/>
      <c r="BN435" s="53" t="n"/>
      <c r="BO435" s="53" t="n"/>
      <c r="BP435" s="53" t="n"/>
      <c r="BQ435" s="53" t="n"/>
      <c r="BR435" s="53" t="n"/>
      <c r="BS435" s="53" t="n"/>
      <c r="BT435" s="53" t="n"/>
      <c r="BU435" s="53" t="n"/>
      <c r="BV435" s="53" t="n"/>
      <c r="BW435" s="53" t="n"/>
      <c r="BX435" s="53" t="n"/>
      <c r="BY435" s="53" t="n"/>
      <c r="BZ435" s="53" t="n"/>
      <c r="CA435" s="53" t="n"/>
      <c r="CB435" s="53" t="n"/>
      <c r="CC435" s="53" t="n"/>
      <c r="CD435" s="53" t="n"/>
      <c r="CE435" s="53" t="n"/>
      <c r="CF435" s="53" t="n"/>
      <c r="CG435" s="53" t="n"/>
      <c r="CH435" s="53" t="n"/>
      <c r="CI435" s="53" t="n"/>
      <c r="CJ435" s="53" t="n"/>
      <c r="CK435" s="53" t="n"/>
      <c r="CL435" s="53" t="n"/>
      <c r="CM435" s="53" t="n"/>
      <c r="CN435" s="53" t="n"/>
      <c r="CO435" s="53" t="n"/>
      <c r="CP435" s="53" t="n"/>
      <c r="CQ435" s="53" t="n"/>
      <c r="CR435" s="53" t="n"/>
      <c r="CS435" s="53" t="n"/>
      <c r="CT435" s="53" t="n"/>
      <c r="CU435" s="53" t="n"/>
      <c r="CV435" s="53" t="n"/>
      <c r="CW435" s="53" t="n"/>
      <c r="CX435" s="53" t="n"/>
      <c r="CY435" s="53" t="n"/>
      <c r="CZ435" s="53" t="n"/>
      <c r="DA435" s="53" t="n"/>
      <c r="DB435" s="53" t="n"/>
      <c r="DC435" s="53" t="n"/>
      <c r="DD435" s="53" t="inlineStr">
        <is>
          <t>IRIS2306</t>
        </is>
      </c>
      <c r="DE435" s="53" t="inlineStr">
        <is>
          <t>Employee</t>
        </is>
      </c>
      <c r="DF435" s="53" t="inlineStr">
        <is>
          <t>Active</t>
        </is>
      </c>
      <c r="DG435" s="53" t="inlineStr">
        <is>
          <t>Akshay Jain</t>
        </is>
      </c>
      <c r="DH435" s="54" t="n">
        <v>45547</v>
      </c>
      <c r="DI435" s="53" t="inlineStr">
        <is>
          <t>Lead Consultant</t>
        </is>
      </c>
      <c r="DJ435" s="53" t="inlineStr">
        <is>
          <t>Consulting &amp; Professional Services</t>
        </is>
      </c>
      <c r="DK435" s="53" t="inlineStr">
        <is>
          <t>XBRL / Regulatory Reporting</t>
        </is>
      </c>
      <c r="DL435" s="53" t="inlineStr">
        <is>
          <t>Lead Consultant</t>
        </is>
      </c>
      <c r="DM435" s="53" t="inlineStr">
        <is>
          <t>L5 – Lead · IC</t>
        </is>
      </c>
      <c r="DN435" s="53" t="inlineStr">
        <is>
          <t>CWA</t>
        </is>
      </c>
      <c r="DO435" s="53" t="inlineStr">
        <is>
          <t>Rahul Dhamne</t>
        </is>
      </c>
      <c r="DP435" s="53" t="inlineStr">
        <is>
          <t>N-2</t>
        </is>
      </c>
      <c r="DQ435" s="53" t="inlineStr">
        <is>
          <t>Individual Contributor</t>
        </is>
      </c>
      <c r="DR435" s="53" t="inlineStr">
        <is>
          <t>11 years, 9 months, 0 days</t>
        </is>
      </c>
      <c r="DS435" s="53" t="inlineStr">
        <is>
          <t>1 years, 9 months, 8 days</t>
        </is>
      </c>
      <c r="DT435" s="53" t="inlineStr">
        <is>
          <t>13 years, 6 months, 8 days</t>
        </is>
      </c>
      <c r="DU435" s="53" t="n"/>
      <c r="DV435" s="53" t="inlineStr">
        <is>
          <t>Suptech</t>
        </is>
      </c>
      <c r="DW435" s="53" t="inlineStr">
        <is>
          <t>iFile</t>
        </is>
      </c>
      <c r="DX435" s="53" t="inlineStr">
        <is>
          <t>XBRL Consulting</t>
        </is>
      </c>
      <c r="DY435" s="53" t="inlineStr">
        <is>
          <t>Consulting</t>
        </is>
      </c>
      <c r="DZ435" s="53" t="inlineStr">
        <is>
          <t>No</t>
        </is>
      </c>
      <c r="EA435" s="53" t="inlineStr">
        <is>
          <t>Professional Services</t>
        </is>
      </c>
      <c r="EB435" s="53" t="inlineStr">
        <is>
          <t>XBRL Domain</t>
        </is>
      </c>
      <c r="EC435" s="53" t="inlineStr">
        <is>
          <t>Non-technical</t>
        </is>
      </c>
      <c r="ED435" s="53" t="inlineStr">
        <is>
          <t>Work From Office - Turbhe</t>
        </is>
      </c>
      <c r="EE435" s="53" t="n"/>
      <c r="EF435" s="53"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EG435" s="53"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EH435" s="53" t="inlineStr">
        <is>
          <t>5 – Outstanding</t>
        </is>
      </c>
      <c r="EI435" s="53" t="inlineStr">
        <is>
          <t>Last appraisal in Oct 2025</t>
        </is>
      </c>
      <c r="EJ435" s="53" t="inlineStr">
        <is>
          <t>Lead Consultant</t>
        </is>
      </c>
      <c r="EK435" s="53" t="inlineStr">
        <is>
          <t>No change</t>
        </is>
      </c>
      <c r="EL435" s="53" t="n">
        <v>4</v>
      </c>
      <c r="EM435" s="53" t="inlineStr">
        <is>
          <t>High</t>
        </is>
      </c>
      <c r="EN435" s="53" t="inlineStr">
        <is>
          <t>Future Leader</t>
        </is>
      </c>
      <c r="EO435" s="53" t="n"/>
      <c r="EP435" s="53" t="inlineStr">
        <is>
          <t>yes</t>
        </is>
      </c>
      <c r="EQ435" s="53" t="n"/>
      <c r="ER435" s="53" t="inlineStr">
        <is>
          <t>To be identified</t>
        </is>
      </c>
      <c r="ES435" s="53" t="inlineStr">
        <is>
          <t>XBRL taxonomy &amp; regulatory updates; domain/accounting refreshers; quality &amp; accuracy practices; tooling proficiency</t>
        </is>
      </c>
      <c r="ET435" s="53" t="inlineStr">
        <is>
          <t>Transition to leadership: people management &amp; delegation, mentoring/coaching, project ownership &amp; stakeholder management, prioritisation under ambiguity, presentation &amp; influence skills</t>
        </is>
      </c>
      <c r="EU435" s="53" t="n"/>
      <c r="EV435" s="53" t="n"/>
      <c r="EW435" s="52" t="n"/>
      <c r="EX435" s="53" t="n"/>
      <c r="EY435" s="53" t="n"/>
      <c r="EZ435" s="53" t="n"/>
      <c r="FA435" s="53" t="n"/>
      <c r="FB435" s="53" t="n"/>
      <c r="FC435" s="53" t="n"/>
      <c r="FD435" s="53" t="n"/>
      <c r="FE435" s="57"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FF435" s="56"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FG435" s="56" t="n"/>
      <c r="FH435" s="56" t="inlineStr">
        <is>
          <t>5 – Outstanding</t>
        </is>
      </c>
      <c r="FI435" s="56" t="n"/>
      <c r="FJ435" s="56" t="inlineStr">
        <is>
          <t>Received · manager annual, quarterly</t>
        </is>
      </c>
      <c r="FK435" s="56" t="inlineStr">
        <is>
          <t>Talent Mapping · iFile collated</t>
        </is>
      </c>
      <c r="FL435" s="56" t="n">
        <v>14</v>
      </c>
      <c r="FM435" s="32" t="inlineStr">
        <is>
          <t>Full survey answers not in the files received · How We Grow export needed · HR</t>
        </is>
      </c>
      <c r="FN435" s="56" t="inlineStr">
        <is>
          <t>—</t>
        </is>
      </c>
      <c r="FO435" s="56" t="inlineStr">
        <is>
          <t>—</t>
        </is>
      </c>
      <c r="FP435" s="56" t="inlineStr">
        <is>
          <t>—</t>
        </is>
      </c>
      <c r="FQ435" s="56" t="inlineStr">
        <is>
          <t>—</t>
        </is>
      </c>
      <c r="FR435" s="56" t="inlineStr">
        <is>
          <t>Complexity: Evidence reads like A3: Requirement gathering, data dictionary development, testing and R&amp;D; one-line answers → moved down 0.5
Autonomy: Evidence reads like A2: Decides the data dictionary; nothing wider described → moved down 0.5
Accountability: Evidence reads like A2: Accountable for the data dictionary; errors mean rework and escalation → moved down 0.5
Leadership: Evidence reads like A1: No leading, mentoring or team described despite Lead title → moved down 0.5
Business Impact: No survey or manager-mapping signal on criticality: kept at the start point.</t>
        </is>
      </c>
      <c r="FS435" s="56" t="inlineStr">
        <is>
          <t>Common themes in role-holders' answers: taxonomy
Measured on · manager-set KRA themes: ifile business · analyst contribute · resolve · domain delivery · serve analyst · milestones on-time.</t>
        </is>
      </c>
      <c r="FT435" s="56" t="n"/>
      <c r="FU435" s="32" t="inlineStr">
        <is>
          <t>Full survey answers not in the files received · How We Grow export needed · HR</t>
        </is>
      </c>
    </row>
    <row r="436" ht="90" customHeight="1">
      <c r="A436" s="51" t="inlineStr">
        <is>
          <t>◂ Back</t>
        </is>
      </c>
      <c r="B436" s="29" t="inlineStr">
        <is>
          <t>Mapped</t>
        </is>
      </c>
      <c r="C436" s="28" t="inlineStr">
        <is>
          <t>iFile</t>
        </is>
      </c>
      <c r="D436" s="29" t="inlineStr">
        <is>
          <t>IRIS0448</t>
        </is>
      </c>
      <c r="E436" s="29" t="inlineStr">
        <is>
          <t>Kulanand Rupani</t>
        </is>
      </c>
      <c r="F436" s="29" t="inlineStr">
        <is>
          <t>XBRL Consulting</t>
        </is>
      </c>
      <c r="G436" s="29" t="inlineStr">
        <is>
          <t>Consultant</t>
        </is>
      </c>
      <c r="H436" s="29" t="inlineStr">
        <is>
          <t>Senior Taxonomy Specialist</t>
        </is>
      </c>
      <c r="I436" s="29" t="inlineStr">
        <is>
          <t>L3 – Professional / Associate</t>
        </is>
      </c>
      <c r="J436" s="29" t="inlineStr">
        <is>
          <t>B2</t>
        </is>
      </c>
      <c r="K436" s="29" t="inlineStr">
        <is>
          <t>▲ Up</t>
        </is>
      </c>
      <c r="L436" s="29" t="inlineStr">
        <is>
          <t>Consulting &amp; Professional Services</t>
        </is>
      </c>
      <c r="M436" s="29" t="inlineStr">
        <is>
          <t>Taxonomy Design &amp; Regulatory Consulting</t>
        </is>
      </c>
      <c r="N436" s="29" t="inlineStr">
        <is>
          <t>• Confirm the reporting line — Manager</t>
        </is>
      </c>
      <c r="O436" s="29" t="n">
        <v>20</v>
      </c>
      <c r="P436" s="28" t="inlineStr">
        <is>
          <t>P4 / M3</t>
        </is>
      </c>
      <c r="Q436" s="29" t="inlineStr">
        <is>
          <t>Senior / Manager</t>
        </is>
      </c>
      <c r="R436" s="29" t="inlineStr">
        <is>
          <t>4–5</t>
        </is>
      </c>
      <c r="S436" s="29" t="inlineStr">
        <is>
          <t>6–9 yrs</t>
        </is>
      </c>
      <c r="T436" s="29" t="inlineStr">
        <is>
          <t>7–10 · 6–11</t>
        </is>
      </c>
      <c r="U436" s="29" t="inlineStr">
        <is>
          <t>Senior Consultant / Team Lead</t>
        </is>
      </c>
      <c r="V436" s="29" t="inlineStr">
        <is>
          <t>Big Four: Manager · IRIS Vs Market Benchmark — XBRL US credential pathway: Certificate + review authority</t>
        </is>
      </c>
      <c r="W436" s="29" t="inlineStr">
        <is>
          <t>XBRL US GAAP Certificate · AICPA &amp; XBRL US; XBRL International specifications; IFRS / US GAAP / Ind AS</t>
        </is>
      </c>
      <c r="X436" s="29" t="inlineStr">
        <is>
          <t>Core 3 · Future 3 · Functional 4 · Leadership 2</t>
        </is>
      </c>
      <c r="Y436" s="52" t="n">
        <v>59</v>
      </c>
      <c r="Z436" s="53" t="inlineStr">
        <is>
          <t>IRIS0448</t>
        </is>
      </c>
      <c r="AA436" s="53" t="inlineStr">
        <is>
          <t>Employee</t>
        </is>
      </c>
      <c r="AB436" s="53" t="inlineStr">
        <is>
          <t>Active</t>
        </is>
      </c>
      <c r="AC436" s="53" t="inlineStr">
        <is>
          <t>Kulanand Rupani</t>
        </is>
      </c>
      <c r="AD436" s="54" t="n">
        <v>40378</v>
      </c>
      <c r="AE436" s="53" t="inlineStr">
        <is>
          <t>Consultant</t>
        </is>
      </c>
      <c r="AF436" s="53" t="inlineStr">
        <is>
          <t>ICWA</t>
        </is>
      </c>
      <c r="AG436" s="53" t="inlineStr">
        <is>
          <t>Rahul Dhamne</t>
        </is>
      </c>
      <c r="AH436" s="53" t="inlineStr">
        <is>
          <t>N-2</t>
        </is>
      </c>
      <c r="AI436" s="53" t="inlineStr">
        <is>
          <t>Individual Contributor</t>
        </is>
      </c>
      <c r="AJ436" s="53" t="inlineStr">
        <is>
          <t>0 years, 0 months, 0 days</t>
        </is>
      </c>
      <c r="AK436" s="53" t="inlineStr">
        <is>
          <t>16 years, 1 months, 6 days</t>
        </is>
      </c>
      <c r="AL436" s="53" t="inlineStr">
        <is>
          <t>Suptech</t>
        </is>
      </c>
      <c r="AM436" s="53" t="inlineStr">
        <is>
          <t>iFile</t>
        </is>
      </c>
      <c r="AN436" s="53" t="inlineStr">
        <is>
          <t>XBRL Consulting</t>
        </is>
      </c>
      <c r="AO436" s="53" t="inlineStr">
        <is>
          <t>Consulting</t>
        </is>
      </c>
      <c r="AP436" s="53" t="inlineStr">
        <is>
          <t>No</t>
        </is>
      </c>
      <c r="AQ436" s="53" t="inlineStr">
        <is>
          <t>Professional Services</t>
        </is>
      </c>
      <c r="AR436" s="53" t="inlineStr">
        <is>
          <t>XBRL Domain</t>
        </is>
      </c>
      <c r="AS436" s="53" t="inlineStr">
        <is>
          <t>Non-technical</t>
        </is>
      </c>
      <c r="AT436" s="53" t="n">
        <v>20</v>
      </c>
      <c r="AU436" s="53" t="inlineStr">
        <is>
          <t>Covered</t>
        </is>
      </c>
      <c r="AV436" s="53" t="n"/>
      <c r="AW436" s="53" t="n"/>
      <c r="AX436" s="53" t="n"/>
      <c r="AY436" s="53" t="n"/>
      <c r="AZ436" s="53" t="n"/>
      <c r="BA436" s="53" t="n"/>
      <c r="BB436" s="53" t="n"/>
      <c r="BC436" s="53" t="n"/>
      <c r="BD436" s="53" t="n"/>
      <c r="BE436" s="53" t="n"/>
      <c r="BF436" s="53" t="n"/>
      <c r="BG436" s="53" t="n"/>
      <c r="BH436" s="53" t="n"/>
      <c r="BI436" s="53" t="n"/>
      <c r="BJ436" s="53" t="n"/>
      <c r="BK436" s="53" t="n"/>
      <c r="BL436" s="53" t="n"/>
      <c r="BM436" s="53" t="n"/>
      <c r="BN436" s="53" t="n"/>
      <c r="BO436" s="53" t="n"/>
      <c r="BP436" s="53" t="n"/>
      <c r="BQ436" s="53" t="n"/>
      <c r="BR436" s="53" t="n"/>
      <c r="BS436" s="53" t="n"/>
      <c r="BT436" s="53" t="n"/>
      <c r="BU436" s="53" t="n"/>
      <c r="BV436" s="53" t="n"/>
      <c r="BW436" s="53" t="n"/>
      <c r="BX436" s="53" t="n"/>
      <c r="BY436" s="53" t="n"/>
      <c r="BZ436" s="53" t="n"/>
      <c r="CA436" s="53" t="n"/>
      <c r="CB436" s="53" t="n"/>
      <c r="CC436" s="53" t="n"/>
      <c r="CD436" s="53" t="n"/>
      <c r="CE436" s="53" t="n"/>
      <c r="CF436" s="53" t="n"/>
      <c r="CG436" s="53" t="n"/>
      <c r="CH436" s="53" t="n"/>
      <c r="CI436" s="53" t="n"/>
      <c r="CJ436" s="53" t="n"/>
      <c r="CK436" s="53" t="n"/>
      <c r="CL436" s="53" t="n"/>
      <c r="CM436" s="53" t="n"/>
      <c r="CN436" s="53" t="n"/>
      <c r="CO436" s="53" t="n"/>
      <c r="CP436" s="53" t="n"/>
      <c r="CQ436" s="53" t="n"/>
      <c r="CR436" s="53" t="n"/>
      <c r="CS436" s="53" t="n"/>
      <c r="CT436" s="53" t="n"/>
      <c r="CU436" s="53" t="n"/>
      <c r="CV436" s="53" t="n"/>
      <c r="CW436" s="53" t="n"/>
      <c r="CX436" s="53" t="n"/>
      <c r="CY436" s="53" t="n"/>
      <c r="CZ436" s="53" t="n"/>
      <c r="DA436" s="53" t="n"/>
      <c r="DB436" s="53" t="n"/>
      <c r="DC436" s="53" t="n"/>
      <c r="DD436" s="53" t="inlineStr">
        <is>
          <t>IRIS0448</t>
        </is>
      </c>
      <c r="DE436" s="53" t="inlineStr">
        <is>
          <t>Employee</t>
        </is>
      </c>
      <c r="DF436" s="53" t="inlineStr">
        <is>
          <t>Active</t>
        </is>
      </c>
      <c r="DG436" s="53" t="inlineStr">
        <is>
          <t>Kulanand Rupani</t>
        </is>
      </c>
      <c r="DH436" s="54" t="n">
        <v>40378</v>
      </c>
      <c r="DI436" s="53" t="inlineStr">
        <is>
          <t>Consultant</t>
        </is>
      </c>
      <c r="DJ436" s="53" t="inlineStr">
        <is>
          <t>Consulting &amp; Professional Services</t>
        </is>
      </c>
      <c r="DK436" s="53" t="inlineStr">
        <is>
          <t>XBRL / Regulatory Reporting</t>
        </is>
      </c>
      <c r="DL436" s="53" t="inlineStr">
        <is>
          <t>Consultant</t>
        </is>
      </c>
      <c r="DM436" s="53" t="inlineStr">
        <is>
          <t>L3 – Professional / Associate</t>
        </is>
      </c>
      <c r="DN436" s="53" t="inlineStr">
        <is>
          <t>ICWA</t>
        </is>
      </c>
      <c r="DO436" s="53" t="inlineStr">
        <is>
          <t>Jayshree Margi</t>
        </is>
      </c>
      <c r="DP436" s="53" t="inlineStr">
        <is>
          <t>N-3</t>
        </is>
      </c>
      <c r="DQ436" s="53" t="inlineStr">
        <is>
          <t>Individual Contributor</t>
        </is>
      </c>
      <c r="DR436" s="53" t="inlineStr">
        <is>
          <t>0 years, 0 months, 0 days</t>
        </is>
      </c>
      <c r="DS436" s="53" t="inlineStr">
        <is>
          <t>15 years, 11 months, 1 days</t>
        </is>
      </c>
      <c r="DT436" s="53" t="inlineStr">
        <is>
          <t>15 years, 11 months, 1 days</t>
        </is>
      </c>
      <c r="DU436" s="53" t="n"/>
      <c r="DV436" s="53" t="inlineStr">
        <is>
          <t>Suptech</t>
        </is>
      </c>
      <c r="DW436" s="53" t="inlineStr">
        <is>
          <t>iFile</t>
        </is>
      </c>
      <c r="DX436" s="53" t="inlineStr">
        <is>
          <t>XBRL Consulting</t>
        </is>
      </c>
      <c r="DY436" s="53" t="inlineStr">
        <is>
          <t>Consulting</t>
        </is>
      </c>
      <c r="DZ436" s="53" t="inlineStr">
        <is>
          <t>No</t>
        </is>
      </c>
      <c r="EA436" s="53" t="inlineStr">
        <is>
          <t>Professional Services</t>
        </is>
      </c>
      <c r="EB436" s="53" t="inlineStr">
        <is>
          <t>XBRL Domain</t>
        </is>
      </c>
      <c r="EC436" s="53" t="inlineStr">
        <is>
          <t>Non-technical</t>
        </is>
      </c>
      <c r="ED436" s="53" t="inlineStr">
        <is>
          <t>Remote - Mumbai</t>
        </is>
      </c>
      <c r="EE436" s="53" t="n"/>
      <c r="EF436" s="53"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EG436" s="53"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EH436" s="53" t="inlineStr">
        <is>
          <t>3 – Meets Expectations</t>
        </is>
      </c>
      <c r="EI436" s="53" t="inlineStr">
        <is>
          <t>Last appraisal in Oct 2025</t>
        </is>
      </c>
      <c r="EJ436" s="53" t="inlineStr">
        <is>
          <t>Consultant</t>
        </is>
      </c>
      <c r="EK436" s="53" t="inlineStr">
        <is>
          <t>No change</t>
        </is>
      </c>
      <c r="EL436" s="53" t="n">
        <v>3</v>
      </c>
      <c r="EM436" s="53" t="inlineStr">
        <is>
          <t>Medium</t>
        </is>
      </c>
      <c r="EN436" s="53" t="inlineStr">
        <is>
          <t>Trusted Professional</t>
        </is>
      </c>
      <c r="EO436" s="53" t="n"/>
      <c r="EP436" s="53" t="inlineStr">
        <is>
          <t>No</t>
        </is>
      </c>
      <c r="EQ436" s="53" t="n"/>
      <c r="ER436" s="53" t="inlineStr">
        <is>
          <t>To be identified</t>
        </is>
      </c>
      <c r="ES436" s="53" t="inlineStr">
        <is>
          <t>XBRL taxonomy &amp; regulatory updates; domain/accounting refreshers; quality &amp; accuracy practices; tooling proficiency</t>
        </is>
      </c>
      <c r="ET436" s="53" t="inlineStr">
        <is>
          <t>Transition to leadership: people management &amp; delegation, mentoring/coaching, project ownership &amp; stakeholder management, prioritisation under ambiguity, presentation &amp; influence skills</t>
        </is>
      </c>
      <c r="EU436" s="53" t="n"/>
      <c r="EV436" s="53" t="n"/>
      <c r="EW436" s="52" t="n"/>
      <c r="EX436" s="53" t="n"/>
      <c r="EY436" s="53" t="n"/>
      <c r="EZ436" s="53" t="n"/>
      <c r="FA436" s="53" t="n"/>
      <c r="FB436" s="53" t="n"/>
      <c r="FC436" s="53" t="n"/>
      <c r="FD436" s="53" t="n"/>
      <c r="FE436" s="57"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FF436" s="56"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FG436" s="56" t="n"/>
      <c r="FH436" s="56" t="inlineStr">
        <is>
          <t>3 – Meets Expectations</t>
        </is>
      </c>
      <c r="FI436" s="56" t="n"/>
      <c r="FJ436" s="56" t="inlineStr">
        <is>
          <t>Received · manager annual, quarterly</t>
        </is>
      </c>
      <c r="FK436" s="56" t="inlineStr">
        <is>
          <t>Talent Mapping · iFile collated</t>
        </is>
      </c>
      <c r="FL436" s="56" t="n">
        <v>20</v>
      </c>
      <c r="FM436" s="32" t="inlineStr">
        <is>
          <t>Full survey answers not in the files received · How We Grow export needed · HR</t>
        </is>
      </c>
      <c r="FN436" s="56" t="inlineStr">
        <is>
          <t>—</t>
        </is>
      </c>
      <c r="FO436" s="56" t="inlineStr">
        <is>
          <t>—</t>
        </is>
      </c>
      <c r="FP436" s="56" t="inlineStr">
        <is>
          <t>—</t>
        </is>
      </c>
      <c r="FQ436" s="56" t="inlineStr">
        <is>
          <t>—</t>
        </is>
      </c>
      <c r="FR436" s="56" t="inlineStr">
        <is>
          <t>Complexity: Evidence reads like B2: Leads RBI CIMS taxonomy: new returns, change requests, modelling, validation, technical problem-solving → moved up 1
Autonomy: Evidence reads like B2: Plans and prioritises taxonomy work, assigns work within team, makes technical and implementation decisions → moved up 1
Accountability: Evidence reads like B2: Personally accountable for overall delivery of RBI CIMS taxonomy returns and change requests → moved up 1
Leadership: Evidence reads like B1: Leads the taxonomy team and assigns its work; no formal reports in HR data → moved up 1
Business Impact: No survey or manager-mapping signal on criticality: kept at the start point.</t>
        </is>
      </c>
      <c r="FS436" s="56" t="inlineStr">
        <is>
          <t>Common themes in role-holders' answers: taxonomy
Measured on · manager-set KRA themes: ifile business · analyst contribute · resolve · domain delivery · serve analyst · milestones on-time.</t>
        </is>
      </c>
      <c r="FT436" s="56" t="inlineStr">
        <is>
          <t>Self-identified: AI / automation · Technical depth &amp; architecture · Domain, regulatory &amp; XBRL
For the next role: AI / automation · Leadership &amp; people management · Project / programme management · Technical depth &amp; architecture · Domain, regulatory &amp; XBRL</t>
        </is>
      </c>
      <c r="FU436" s="32" t="inlineStr">
        <is>
          <t>Full survey answers not in the files received · How We Grow export needed · HR</t>
        </is>
      </c>
    </row>
    <row r="437" ht="90" customHeight="1">
      <c r="A437" s="51" t="inlineStr">
        <is>
          <t>◂ Back</t>
        </is>
      </c>
      <c r="B437" s="29" t="inlineStr">
        <is>
          <t>Mapped</t>
        </is>
      </c>
      <c r="C437" s="28" t="inlineStr">
        <is>
          <t>iFile</t>
        </is>
      </c>
      <c r="D437" s="29" t="inlineStr">
        <is>
          <t>IRIS1035</t>
        </is>
      </c>
      <c r="E437" s="29" t="inlineStr">
        <is>
          <t>Shraddha Bagul</t>
        </is>
      </c>
      <c r="F437" s="29" t="inlineStr">
        <is>
          <t>XBRL Consulting</t>
        </is>
      </c>
      <c r="G437" s="29" t="inlineStr">
        <is>
          <t>Lead Consultant</t>
        </is>
      </c>
      <c r="H437" s="29" t="inlineStr">
        <is>
          <t>Senior Manager – Taxonomy Consulting</t>
        </is>
      </c>
      <c r="I437" s="29" t="inlineStr">
        <is>
          <t>L5 – Lead · IC</t>
        </is>
      </c>
      <c r="J437" s="29" t="inlineStr">
        <is>
          <t>B2</t>
        </is>
      </c>
      <c r="K437" s="29" t="inlineStr">
        <is>
          <t>• Same level</t>
        </is>
      </c>
      <c r="L437" s="29" t="inlineStr">
        <is>
          <t>Consulting &amp; Professional Services</t>
        </is>
      </c>
      <c r="M437" s="29" t="inlineStr">
        <is>
          <t>Taxonomy Design &amp; Regulatory Consulting</t>
        </is>
      </c>
      <c r="N437" s="29" t="n"/>
      <c r="O437" s="29" t="n">
        <v>20</v>
      </c>
      <c r="P437" s="28" t="inlineStr">
        <is>
          <t>P4 / M3</t>
        </is>
      </c>
      <c r="Q437" s="29" t="inlineStr">
        <is>
          <t>Senior / Manager</t>
        </is>
      </c>
      <c r="R437" s="29" t="inlineStr">
        <is>
          <t>4–5</t>
        </is>
      </c>
      <c r="S437" s="29" t="inlineStr">
        <is>
          <t>6–9 yrs</t>
        </is>
      </c>
      <c r="T437" s="29" t="inlineStr">
        <is>
          <t>7–10 · 6–11</t>
        </is>
      </c>
      <c r="U437" s="29" t="inlineStr">
        <is>
          <t>Senior Manager</t>
        </is>
      </c>
      <c r="V437" s="29" t="inlineStr">
        <is>
          <t>Big Four: Manager · IRIS Vs Market Benchmark — XBRL US credential pathway: Certificate + review authority</t>
        </is>
      </c>
      <c r="W437" s="29" t="inlineStr">
        <is>
          <t>XBRL US GAAP Certificate · AICPA &amp; XBRL US; XBRL International specifications; IFRS / US GAAP / Ind AS</t>
        </is>
      </c>
      <c r="X437" s="29" t="inlineStr">
        <is>
          <t>Core 3 · Future 3 · Functional 4 · Leadership 3</t>
        </is>
      </c>
      <c r="Y437" s="52" t="n">
        <v>105</v>
      </c>
      <c r="Z437" s="53" t="inlineStr">
        <is>
          <t>IRIS1035</t>
        </is>
      </c>
      <c r="AA437" s="53" t="inlineStr">
        <is>
          <t>Employee</t>
        </is>
      </c>
      <c r="AB437" s="53" t="inlineStr">
        <is>
          <t>Active</t>
        </is>
      </c>
      <c r="AC437" s="53" t="inlineStr">
        <is>
          <t>Shraddha Bagul</t>
        </is>
      </c>
      <c r="AD437" s="54" t="n">
        <v>40891</v>
      </c>
      <c r="AE437" s="53" t="inlineStr">
        <is>
          <t>Lead Consultant</t>
        </is>
      </c>
      <c r="AF437" s="53" t="inlineStr">
        <is>
          <t>CA</t>
        </is>
      </c>
      <c r="AG437" s="53" t="inlineStr">
        <is>
          <t>Rahul Dhamne</t>
        </is>
      </c>
      <c r="AH437" s="53" t="inlineStr">
        <is>
          <t>N-2</t>
        </is>
      </c>
      <c r="AI437" s="53" t="inlineStr">
        <is>
          <t>Manager</t>
        </is>
      </c>
      <c r="AJ437" s="53" t="inlineStr">
        <is>
          <t>0 years, 0 months, 0 days</t>
        </is>
      </c>
      <c r="AK437" s="53" t="inlineStr">
        <is>
          <t>14 years, 8 months, 11 days</t>
        </is>
      </c>
      <c r="AL437" s="53" t="inlineStr">
        <is>
          <t>Suptech</t>
        </is>
      </c>
      <c r="AM437" s="53" t="inlineStr">
        <is>
          <t>iFile</t>
        </is>
      </c>
      <c r="AN437" s="53" t="inlineStr">
        <is>
          <t>XBRL Consulting</t>
        </is>
      </c>
      <c r="AO437" s="53" t="inlineStr">
        <is>
          <t>Consulting</t>
        </is>
      </c>
      <c r="AP437" s="53" t="inlineStr">
        <is>
          <t>No</t>
        </is>
      </c>
      <c r="AQ437" s="53" t="inlineStr">
        <is>
          <t>Professional Services</t>
        </is>
      </c>
      <c r="AR437" s="53" t="inlineStr">
        <is>
          <t>XBRL Domain</t>
        </is>
      </c>
      <c r="AS437" s="53" t="inlineStr">
        <is>
          <t>Non-technical</t>
        </is>
      </c>
      <c r="AT437" s="53" t="n">
        <v>20</v>
      </c>
      <c r="AU437" s="53" t="inlineStr">
        <is>
          <t>Covered</t>
        </is>
      </c>
      <c r="AV437" s="53" t="n"/>
      <c r="AW437" s="53" t="n"/>
      <c r="AX437" s="53" t="n"/>
      <c r="AY437" s="53" t="n"/>
      <c r="AZ437" s="53" t="n"/>
      <c r="BA437" s="53" t="n"/>
      <c r="BB437" s="53" t="n"/>
      <c r="BC437" s="53" t="n"/>
      <c r="BD437" s="53" t="n"/>
      <c r="BE437" s="53" t="n"/>
      <c r="BF437" s="53" t="n"/>
      <c r="BG437" s="53" t="n"/>
      <c r="BH437" s="53" t="n"/>
      <c r="BI437" s="53" t="n"/>
      <c r="BJ437" s="53" t="n"/>
      <c r="BK437" s="53" t="n"/>
      <c r="BL437" s="53" t="n"/>
      <c r="BM437" s="53" t="n"/>
      <c r="BN437" s="53" t="n"/>
      <c r="BO437" s="53" t="n"/>
      <c r="BP437" s="53" t="n"/>
      <c r="BQ437" s="53" t="n"/>
      <c r="BR437" s="53" t="n"/>
      <c r="BS437" s="53" t="n"/>
      <c r="BT437" s="53" t="n"/>
      <c r="BU437" s="53" t="n"/>
      <c r="BV437" s="53" t="n"/>
      <c r="BW437" s="53" t="n"/>
      <c r="BX437" s="53" t="n"/>
      <c r="BY437" s="53" t="n"/>
      <c r="BZ437" s="53" t="n"/>
      <c r="CA437" s="53" t="n"/>
      <c r="CB437" s="53" t="n"/>
      <c r="CC437" s="53" t="n"/>
      <c r="CD437" s="53" t="n"/>
      <c r="CE437" s="53" t="n"/>
      <c r="CF437" s="53" t="n"/>
      <c r="CG437" s="53" t="n"/>
      <c r="CH437" s="53" t="n"/>
      <c r="CI437" s="53" t="n"/>
      <c r="CJ437" s="53" t="n"/>
      <c r="CK437" s="53" t="n"/>
      <c r="CL437" s="53" t="n"/>
      <c r="CM437" s="53" t="n"/>
      <c r="CN437" s="53" t="n"/>
      <c r="CO437" s="53" t="n"/>
      <c r="CP437" s="53" t="n"/>
      <c r="CQ437" s="53" t="n"/>
      <c r="CR437" s="53" t="n"/>
      <c r="CS437" s="53" t="n"/>
      <c r="CT437" s="53" t="n"/>
      <c r="CU437" s="53" t="n"/>
      <c r="CV437" s="53" t="n"/>
      <c r="CW437" s="53" t="n"/>
      <c r="CX437" s="53" t="n"/>
      <c r="CY437" s="53" t="n"/>
      <c r="CZ437" s="53" t="n"/>
      <c r="DA437" s="53" t="n"/>
      <c r="DB437" s="53" t="n"/>
      <c r="DC437" s="53" t="n"/>
      <c r="DD437" s="53" t="inlineStr">
        <is>
          <t>IRIS1035</t>
        </is>
      </c>
      <c r="DE437" s="53" t="inlineStr">
        <is>
          <t>Employee</t>
        </is>
      </c>
      <c r="DF437" s="53" t="inlineStr">
        <is>
          <t>Active</t>
        </is>
      </c>
      <c r="DG437" s="53" t="inlineStr">
        <is>
          <t>Shraddha Bagul</t>
        </is>
      </c>
      <c r="DH437" s="54" t="n">
        <v>40891</v>
      </c>
      <c r="DI437" s="53" t="inlineStr">
        <is>
          <t>Lead Consultant</t>
        </is>
      </c>
      <c r="DJ437" s="53" t="inlineStr">
        <is>
          <t>Consulting &amp; Professional Services</t>
        </is>
      </c>
      <c r="DK437" s="53" t="inlineStr">
        <is>
          <t>XBRL / Regulatory Reporting</t>
        </is>
      </c>
      <c r="DL437" s="53" t="inlineStr">
        <is>
          <t>Lead Consultant</t>
        </is>
      </c>
      <c r="DM437" s="53" t="inlineStr">
        <is>
          <t>L5 – Lead · IC</t>
        </is>
      </c>
      <c r="DN437" s="53" t="inlineStr">
        <is>
          <t>CA</t>
        </is>
      </c>
      <c r="DO437" s="53" t="inlineStr">
        <is>
          <t>Rahul Dhamne</t>
        </is>
      </c>
      <c r="DP437" s="53" t="inlineStr">
        <is>
          <t>N-2</t>
        </is>
      </c>
      <c r="DQ437" s="53" t="inlineStr">
        <is>
          <t>Manager</t>
        </is>
      </c>
      <c r="DR437" s="53" t="inlineStr">
        <is>
          <t>0 years, 0 months, 0 days</t>
        </is>
      </c>
      <c r="DS437" s="53" t="inlineStr">
        <is>
          <t>14 years, 6 months, 6 days</t>
        </is>
      </c>
      <c r="DT437" s="53" t="inlineStr">
        <is>
          <t>14 years, 6 months, 6 days</t>
        </is>
      </c>
      <c r="DU437" s="53" t="n">
        <v>14.5164383561644</v>
      </c>
      <c r="DV437" s="53" t="inlineStr">
        <is>
          <t>Suptech</t>
        </is>
      </c>
      <c r="DW437" s="53" t="inlineStr">
        <is>
          <t>iFile</t>
        </is>
      </c>
      <c r="DX437" s="53" t="inlineStr">
        <is>
          <t>XBRL Consulting</t>
        </is>
      </c>
      <c r="DY437" s="53" t="inlineStr">
        <is>
          <t>Consulting</t>
        </is>
      </c>
      <c r="DZ437" s="53" t="inlineStr">
        <is>
          <t>No</t>
        </is>
      </c>
      <c r="EA437" s="53" t="inlineStr">
        <is>
          <t>Professional Services</t>
        </is>
      </c>
      <c r="EB437" s="53" t="inlineStr">
        <is>
          <t>XBRL Domain</t>
        </is>
      </c>
      <c r="EC437" s="53" t="inlineStr">
        <is>
          <t>Non-technical</t>
        </is>
      </c>
      <c r="ED437" s="53" t="inlineStr">
        <is>
          <t>Work From Office - Turbhe</t>
        </is>
      </c>
      <c r="EE437" s="53" t="n"/>
      <c r="EF437" s="53"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EG437" s="53"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EH437" s="53" t="inlineStr">
        <is>
          <t>5 – Outstanding</t>
        </is>
      </c>
      <c r="EI437" s="53" t="inlineStr">
        <is>
          <t>Last appraisal in Oct 2025</t>
        </is>
      </c>
      <c r="EJ437" s="53" t="inlineStr">
        <is>
          <t>Lead Consultant</t>
        </is>
      </c>
      <c r="EK437" s="53" t="inlineStr">
        <is>
          <t>No change</t>
        </is>
      </c>
      <c r="EL437" s="53" t="n">
        <v>5</v>
      </c>
      <c r="EM437" s="53" t="inlineStr">
        <is>
          <t>High</t>
        </is>
      </c>
      <c r="EN437" s="53" t="inlineStr">
        <is>
          <t>Future Leader</t>
        </is>
      </c>
      <c r="EO437" s="53" t="n"/>
      <c r="EP437" s="53" t="inlineStr">
        <is>
          <t>yes</t>
        </is>
      </c>
      <c r="EQ437" s="53" t="n"/>
      <c r="ER437" s="53" t="inlineStr">
        <is>
          <t>To be identified</t>
        </is>
      </c>
      <c r="ES437" s="53" t="inlineStr">
        <is>
          <t>XBRL taxonomy &amp; regulatory updates; domain/accounting refreshers; quality &amp; accuracy practices; tooling proficiency | People management: goal-setting &amp; feedback, 1:1 coaching, performance conversations</t>
        </is>
      </c>
      <c r="ET437" s="53" t="inlineStr">
        <is>
          <t>Leadership development: strategic thinking, cross-functional influence, financial/business acumen, succession &amp; talent development, change management, executive communication</t>
        </is>
      </c>
      <c r="EU437" s="53" t="inlineStr">
        <is>
          <t>QCB,PFRDA,RMA,Texting - All iFile projects</t>
        </is>
      </c>
      <c r="EV437" s="53" t="n"/>
      <c r="EW437" s="52" t="n"/>
      <c r="EX437" s="53" t="n"/>
      <c r="EY437" s="53" t="n"/>
      <c r="EZ437" s="53" t="n"/>
      <c r="FA437" s="53" t="n"/>
      <c r="FB437" s="53" t="n"/>
      <c r="FC437" s="53" t="n"/>
      <c r="FD437" s="53" t="n"/>
      <c r="FE437" s="57"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FF437" s="56"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FG437" s="56" t="n"/>
      <c r="FH437" s="56" t="inlineStr">
        <is>
          <t>5 – Outstanding</t>
        </is>
      </c>
      <c r="FI437" s="56" t="n"/>
      <c r="FJ437" s="56" t="inlineStr">
        <is>
          <t>Received · manager annual, quarterly</t>
        </is>
      </c>
      <c r="FK437" s="56" t="inlineStr">
        <is>
          <t>Talent Mapping · iFile collated</t>
        </is>
      </c>
      <c r="FL437" s="56" t="n">
        <v>20</v>
      </c>
      <c r="FM437" s="32" t="inlineStr">
        <is>
          <t>Full survey answers not in the files received · How We Grow export needed · HR</t>
        </is>
      </c>
      <c r="FN437" s="56" t="inlineStr">
        <is>
          <t>—</t>
        </is>
      </c>
      <c r="FO437" s="56" t="inlineStr">
        <is>
          <t>—</t>
        </is>
      </c>
      <c r="FP437" s="56" t="inlineStr">
        <is>
          <t>—</t>
        </is>
      </c>
      <c r="FQ437" s="56" t="inlineStr">
        <is>
          <t>—</t>
        </is>
      </c>
      <c r="FR437" s="56" t="inlineStr">
        <is>
          <t>Complexity: Evidence reads like B2: own survey / KRA answers · summarised by the rater; not quoted → matches the start
Autonomy: Evidence reads like B2: Decides project and resource plans and taxonomy modelling → matches the start
Accountability: Evidence reads like B2: Taxonomy packages, RFP responses and on-time project delivery through a 13-person team → matches the start
Leadership: Evidence reads like B2: 13 direct reports; resource planning and training team members → matches the start
Business Impact: No survey or manager-mapping signal on criticality: kept at the start point.</t>
        </is>
      </c>
      <c r="FS437" s="56" t="inlineStr">
        <is>
          <t>Common themes in sub-family holders, all levels' answers: xbrl · requirements · taxonomy · business · data · convert
Common themes in sub-family holders, all levels' answers: client · taxonomy · requirement · development · testing · training
Common themes in sub-family holders, all levels' answers: taxonomy · xbrl · output · srs · taxonomies · accurate
Common themes in sub-family holders, all levels' answers: taxonomy · xbrl · quality · srs · development · testing
Common themes in sub-family holders, all levels' answers: taxonomy · modelling · testing · formula · data · plan
If the work is missed · role-holders' themes: rework · client · escalation · time · retesting.
Measured on · manager-set KRA themes: ifile business · analyst contribute · resolve · domain delivery · serve analyst · milestones on-time.</t>
        </is>
      </c>
      <c r="FT437" s="56" t="inlineStr">
        <is>
          <t>Self-identified: AI / automation · Communication &amp; presentation
For the next role: AI / automation · Communication &amp; presentation</t>
        </is>
      </c>
      <c r="FU437" s="32" t="inlineStr">
        <is>
          <t>Full survey answers not in the files received · How We Grow export needed · HR</t>
        </is>
      </c>
    </row>
    <row r="438" ht="90" customHeight="1">
      <c r="A438" s="51" t="inlineStr">
        <is>
          <t>◂ Back</t>
        </is>
      </c>
      <c r="B438" s="29" t="inlineStr">
        <is>
          <t>Mapped</t>
        </is>
      </c>
      <c r="C438" s="28" t="inlineStr">
        <is>
          <t>iFile</t>
        </is>
      </c>
      <c r="D438" s="29" t="inlineStr">
        <is>
          <t>IRIS0828</t>
        </is>
      </c>
      <c r="E438" s="29" t="inlineStr">
        <is>
          <t>Anirudh Singh Bartwal</t>
        </is>
      </c>
      <c r="F438" s="29" t="inlineStr">
        <is>
          <t>XBRL Consulting</t>
        </is>
      </c>
      <c r="G438" s="29" t="inlineStr">
        <is>
          <t>Senior consultant</t>
        </is>
      </c>
      <c r="H438" s="29" t="inlineStr">
        <is>
          <t>Senior Taxonomy Specialist</t>
        </is>
      </c>
      <c r="I438" s="29" t="inlineStr">
        <is>
          <t>L4 – Senior</t>
        </is>
      </c>
      <c r="J438" s="29" t="inlineStr">
        <is>
          <t>B1</t>
        </is>
      </c>
      <c r="K438" s="29" t="inlineStr">
        <is>
          <t>▲ Up</t>
        </is>
      </c>
      <c r="L438" s="29" t="inlineStr">
        <is>
          <t>Consulting &amp; Professional Services</t>
        </is>
      </c>
      <c r="M438" s="29" t="inlineStr">
        <is>
          <t>Taxonomy Design &amp; Regulatory Consulting</t>
        </is>
      </c>
      <c r="N438" s="29" t="n"/>
      <c r="O438" s="29" t="n">
        <v>20</v>
      </c>
      <c r="P438" s="28" t="inlineStr">
        <is>
          <t>P3 / M2</t>
        </is>
      </c>
      <c r="Q438" s="29" t="inlineStr">
        <is>
          <t>Career / · Team Lead</t>
        </is>
      </c>
      <c r="R438" s="29" t="inlineStr">
        <is>
          <t>4 Enable</t>
        </is>
      </c>
      <c r="S438" s="29" t="inlineStr">
        <is>
          <t>4–7 yrs</t>
        </is>
      </c>
      <c r="T438" s="29" t="inlineStr">
        <is>
          <t>5–8 · 4–8</t>
        </is>
      </c>
      <c r="U438" s="29" t="inlineStr">
        <is>
          <t>Senior Consultant / Team Lead</t>
        </is>
      </c>
      <c r="V438" s="29" t="inlineStr">
        <is>
          <t>Big Four: Senior Consultant · IRIS Vs Market Benchmark — XBRL US credential pathway: Certificate + specialist taxonomy</t>
        </is>
      </c>
      <c r="W438" s="29" t="inlineStr">
        <is>
          <t>XBRL US GAAP Certificate · AICPA &amp; XBRL US; XBRL International specifications; IFRS / US GAAP / Ind AS</t>
        </is>
      </c>
      <c r="X438" s="29" t="inlineStr">
        <is>
          <t>Core 3 · Future 3 · Functional 3 · Leadership 1</t>
        </is>
      </c>
      <c r="Y438" s="52" t="n">
        <v>94</v>
      </c>
      <c r="Z438" s="53" t="inlineStr">
        <is>
          <t>IRIS0828</t>
        </is>
      </c>
      <c r="AA438" s="53" t="inlineStr">
        <is>
          <t>Employee</t>
        </is>
      </c>
      <c r="AB438" s="53" t="inlineStr">
        <is>
          <t>Active</t>
        </is>
      </c>
      <c r="AC438" s="53" t="inlineStr">
        <is>
          <t>Anirudh Singh Bartwal</t>
        </is>
      </c>
      <c r="AD438" s="54" t="n">
        <v>40777</v>
      </c>
      <c r="AE438" s="53" t="inlineStr">
        <is>
          <t>Senior consultant</t>
        </is>
      </c>
      <c r="AF438" s="53" t="inlineStr">
        <is>
          <t>B.Com</t>
        </is>
      </c>
      <c r="AG438" s="53" t="inlineStr">
        <is>
          <t>Shraddha Bagul</t>
        </is>
      </c>
      <c r="AH438" s="53" t="inlineStr">
        <is>
          <t>N-3</t>
        </is>
      </c>
      <c r="AI438" s="53" t="inlineStr">
        <is>
          <t>Individual Contributor</t>
        </is>
      </c>
      <c r="AJ438" s="53" t="inlineStr">
        <is>
          <t>1 years, 8 months, 0 days</t>
        </is>
      </c>
      <c r="AK438" s="53" t="inlineStr">
        <is>
          <t>15 years, 0 months, 3 days</t>
        </is>
      </c>
      <c r="AL438" s="53" t="inlineStr">
        <is>
          <t>Suptech</t>
        </is>
      </c>
      <c r="AM438" s="53" t="inlineStr">
        <is>
          <t>iFile</t>
        </is>
      </c>
      <c r="AN438" s="53" t="inlineStr">
        <is>
          <t>XBRL Consulting</t>
        </is>
      </c>
      <c r="AO438" s="53" t="inlineStr">
        <is>
          <t>Consulting</t>
        </is>
      </c>
      <c r="AP438" s="53" t="inlineStr">
        <is>
          <t>No</t>
        </is>
      </c>
      <c r="AQ438" s="53" t="inlineStr">
        <is>
          <t>Professional Services</t>
        </is>
      </c>
      <c r="AR438" s="53" t="inlineStr">
        <is>
          <t>XBRL Domain</t>
        </is>
      </c>
      <c r="AS438" s="53" t="inlineStr">
        <is>
          <t>Non-technical</t>
        </is>
      </c>
      <c r="AT438" s="53" t="n">
        <v>20</v>
      </c>
      <c r="AU438" s="53" t="inlineStr">
        <is>
          <t>Covered</t>
        </is>
      </c>
      <c r="AV438" s="53" t="n"/>
      <c r="AW438" s="53" t="n"/>
      <c r="AX438" s="53" t="n"/>
      <c r="AY438" s="53" t="n"/>
      <c r="AZ438" s="53" t="n"/>
      <c r="BA438" s="53" t="n"/>
      <c r="BB438" s="53" t="n"/>
      <c r="BC438" s="53" t="n"/>
      <c r="BD438" s="53" t="n"/>
      <c r="BE438" s="53" t="n"/>
      <c r="BF438" s="53" t="n"/>
      <c r="BG438" s="53" t="n"/>
      <c r="BH438" s="53" t="n"/>
      <c r="BI438" s="53" t="n"/>
      <c r="BJ438" s="53" t="n"/>
      <c r="BK438" s="53" t="n"/>
      <c r="BL438" s="53" t="n"/>
      <c r="BM438" s="53" t="n"/>
      <c r="BN438" s="53" t="n"/>
      <c r="BO438" s="53" t="n"/>
      <c r="BP438" s="53" t="n"/>
      <c r="BQ438" s="53" t="n"/>
      <c r="BR438" s="53" t="n"/>
      <c r="BS438" s="53" t="n"/>
      <c r="BT438" s="53" t="n"/>
      <c r="BU438" s="53" t="n"/>
      <c r="BV438" s="53" t="n"/>
      <c r="BW438" s="53" t="n"/>
      <c r="BX438" s="53" t="n"/>
      <c r="BY438" s="53" t="n"/>
      <c r="BZ438" s="53" t="n"/>
      <c r="CA438" s="53" t="n"/>
      <c r="CB438" s="53" t="n"/>
      <c r="CC438" s="53" t="n"/>
      <c r="CD438" s="53" t="n"/>
      <c r="CE438" s="53" t="n"/>
      <c r="CF438" s="53" t="n"/>
      <c r="CG438" s="53" t="n"/>
      <c r="CH438" s="53" t="n"/>
      <c r="CI438" s="53" t="n"/>
      <c r="CJ438" s="53" t="n"/>
      <c r="CK438" s="53" t="n"/>
      <c r="CL438" s="53" t="n"/>
      <c r="CM438" s="53" t="n"/>
      <c r="CN438" s="53" t="n"/>
      <c r="CO438" s="53" t="n"/>
      <c r="CP438" s="53" t="n"/>
      <c r="CQ438" s="53" t="n"/>
      <c r="CR438" s="53" t="n"/>
      <c r="CS438" s="53" t="n"/>
      <c r="CT438" s="53" t="n"/>
      <c r="CU438" s="53" t="n"/>
      <c r="CV438" s="53" t="n"/>
      <c r="CW438" s="53" t="n"/>
      <c r="CX438" s="53" t="n"/>
      <c r="CY438" s="53" t="n"/>
      <c r="CZ438" s="53" t="n"/>
      <c r="DA438" s="53" t="n"/>
      <c r="DB438" s="53" t="n"/>
      <c r="DC438" s="53" t="n"/>
      <c r="DD438" s="53" t="inlineStr">
        <is>
          <t>IRIS0828</t>
        </is>
      </c>
      <c r="DE438" s="53" t="inlineStr">
        <is>
          <t>Employee</t>
        </is>
      </c>
      <c r="DF438" s="53" t="inlineStr">
        <is>
          <t>Active</t>
        </is>
      </c>
      <c r="DG438" s="53" t="inlineStr">
        <is>
          <t>Anirudh Singh Bartwal</t>
        </is>
      </c>
      <c r="DH438" s="54" t="n">
        <v>40777</v>
      </c>
      <c r="DI438" s="53" t="inlineStr">
        <is>
          <t>Senior consultant</t>
        </is>
      </c>
      <c r="DJ438" s="53" t="inlineStr">
        <is>
          <t>Consulting &amp; Professional Services</t>
        </is>
      </c>
      <c r="DK438" s="53" t="inlineStr">
        <is>
          <t>XBRL / Regulatory Reporting</t>
        </is>
      </c>
      <c r="DL438" s="53" t="inlineStr">
        <is>
          <t>Senior consultant</t>
        </is>
      </c>
      <c r="DM438" s="53" t="inlineStr">
        <is>
          <t>L4 – Senior</t>
        </is>
      </c>
      <c r="DN438" s="53" t="inlineStr">
        <is>
          <t>B.Com</t>
        </is>
      </c>
      <c r="DO438" s="53" t="inlineStr">
        <is>
          <t>Shraddha Bagul</t>
        </is>
      </c>
      <c r="DP438" s="53" t="inlineStr">
        <is>
          <t>N-3</t>
        </is>
      </c>
      <c r="DQ438" s="53" t="inlineStr">
        <is>
          <t>Individual Contributor</t>
        </is>
      </c>
      <c r="DR438" s="53" t="inlineStr">
        <is>
          <t>1 years, 8 months, 0 days</t>
        </is>
      </c>
      <c r="DS438" s="53" t="inlineStr">
        <is>
          <t>14 years, 9 months, 29 days</t>
        </is>
      </c>
      <c r="DT438" s="53" t="inlineStr">
        <is>
          <t>16 years, 5 months, 29 days</t>
        </is>
      </c>
      <c r="DU438" s="53" t="n"/>
      <c r="DV438" s="53" t="inlineStr">
        <is>
          <t>Suptech</t>
        </is>
      </c>
      <c r="DW438" s="53" t="inlineStr">
        <is>
          <t>iFile</t>
        </is>
      </c>
      <c r="DX438" s="53" t="inlineStr">
        <is>
          <t>XBRL Consulting</t>
        </is>
      </c>
      <c r="DY438" s="53" t="inlineStr">
        <is>
          <t>Consulting</t>
        </is>
      </c>
      <c r="DZ438" s="53" t="inlineStr">
        <is>
          <t>No</t>
        </is>
      </c>
      <c r="EA438" s="53" t="inlineStr">
        <is>
          <t>Professional Services</t>
        </is>
      </c>
      <c r="EB438" s="53" t="inlineStr">
        <is>
          <t>XBRL Domain</t>
        </is>
      </c>
      <c r="EC438" s="53" t="inlineStr">
        <is>
          <t>Non-technical</t>
        </is>
      </c>
      <c r="ED438" s="53" t="inlineStr">
        <is>
          <t>Work From Office - Turbhe</t>
        </is>
      </c>
      <c r="EE438" s="53" t="n"/>
      <c r="EF438" s="53"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EG438" s="53" t="inlineStr">
        <is>
          <t>1. Complete Q1 taxonomy build/test tasks on schedule · &gt;=95% on-time.
2. Close assigned iFILE support tickets within SLA.
3. Finish Q1 Excel/Webform test cycles with defect leakage &lt;2%.</t>
        </is>
      </c>
      <c r="EH438" s="53" t="inlineStr">
        <is>
          <t>3 – Meets Expectations</t>
        </is>
      </c>
      <c r="EI438" s="53" t="inlineStr">
        <is>
          <t>Last appraisal in Oct 2025</t>
        </is>
      </c>
      <c r="EJ438" s="53" t="inlineStr">
        <is>
          <t>Senior consultant</t>
        </is>
      </c>
      <c r="EK438" s="53" t="inlineStr">
        <is>
          <t>No change</t>
        </is>
      </c>
      <c r="EL438" s="53" t="n">
        <v>3</v>
      </c>
      <c r="EM438" s="53" t="inlineStr">
        <is>
          <t>Medium</t>
        </is>
      </c>
      <c r="EN438" s="53" t="inlineStr">
        <is>
          <t>Trusted Professional</t>
        </is>
      </c>
      <c r="EO438" s="53" t="n"/>
      <c r="EP438" s="53" t="inlineStr">
        <is>
          <t>No</t>
        </is>
      </c>
      <c r="EQ438" s="53" t="n"/>
      <c r="ER438" s="53" t="inlineStr">
        <is>
          <t>To be identified</t>
        </is>
      </c>
      <c r="ES438" s="53" t="inlineStr">
        <is>
          <t>XBRL taxonomy &amp; regulatory updates; domain/accounting refreshers; quality &amp; accuracy practices; tooling proficiency</t>
        </is>
      </c>
      <c r="ET438" s="53" t="inlineStr">
        <is>
          <t>Transition to leadership: people management &amp; delegation, mentoring/coaching, project ownership &amp; stakeholder management, prioritisation under ambiguity, presentation &amp; influence skills</t>
        </is>
      </c>
      <c r="EU438" s="53" t="n"/>
      <c r="EV438" s="53" t="n"/>
      <c r="EW438" s="52" t="n"/>
      <c r="EX438" s="53" t="n"/>
      <c r="EY438" s="53" t="n"/>
      <c r="EZ438" s="53" t="n"/>
      <c r="FA438" s="53" t="n"/>
      <c r="FB438" s="53" t="n"/>
      <c r="FC438" s="53" t="n"/>
      <c r="FD438" s="53" t="n"/>
      <c r="FE438" s="57"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FF438" s="56" t="inlineStr">
        <is>
          <t>1. Complete Q1 taxonomy build/test tasks on schedule · &gt;=95% on-time.
2. Close assigned iFILE support tickets within SLA · &gt;=90%.
3. Finish Q1 Excel/Webform test cycles with defect leakage &lt;2%.</t>
        </is>
      </c>
      <c r="FG438" s="56" t="n"/>
      <c r="FH438" s="56" t="inlineStr">
        <is>
          <t>3 – Meets Expectations</t>
        </is>
      </c>
      <c r="FI438" s="56" t="n"/>
      <c r="FJ438" s="56" t="inlineStr">
        <is>
          <t>Received · manager annual, quarterly</t>
        </is>
      </c>
      <c r="FK438" s="56" t="inlineStr">
        <is>
          <t>Talent Mapping · iFile collated</t>
        </is>
      </c>
      <c r="FL438" s="56" t="n">
        <v>20</v>
      </c>
      <c r="FM438" s="32" t="inlineStr">
        <is>
          <t>Full survey answers not in the files received · How We Grow export needed · HR</t>
        </is>
      </c>
      <c r="FN438" s="56" t="inlineStr">
        <is>
          <t>—</t>
        </is>
      </c>
      <c r="FO438" s="56" t="inlineStr">
        <is>
          <t>—</t>
        </is>
      </c>
      <c r="FP438" s="56" t="inlineStr">
        <is>
          <t>—</t>
        </is>
      </c>
      <c r="FQ438" s="56" t="inlineStr">
        <is>
          <t>—</t>
        </is>
      </c>
      <c r="FR438" s="56" t="inlineStr">
        <is>
          <t>Complexity: Evidence reads like A3: Taxonomy modelling with business rules, table linkbase issues, software testing and test data → moved down 1
Autonomy: Evidence reads like A3: Decides taxonomy modelling and business rule development → moved down 1
Accountability: Evidence reads like A2: Business rule taxonomy of own development; errors mean rework and delivery delay → moved down 1
Leadership: Evidence reads like A3: Training new joinees is a listed responsibility → moved down 0.5
Business Impact: No survey or manager-mapping signal on criticality: kept at the start point.</t>
        </is>
      </c>
      <c r="FS438" s="56" t="inlineStr">
        <is>
          <t>Common themes in role-holders' answers: xbrl · financial · taxonomies · requirements · regulators
Common themes in role-holders' answers: taxonomy development · training · client · requirement · support
Common themes in role-holders' answers: taxonomy · xbrl
If the work is missed · role-holders' themes: rework.
Measured on · manager-set KRA themes: resolve · business · excel webform · deliver assigned · defect · critical.</t>
        </is>
      </c>
      <c r="FT438" s="56" t="inlineStr">
        <is>
          <t>Self-identified: Client, sales &amp; stakeholders · Communication &amp; presentation
For the next role: Client, sales &amp; stakeholders · Communication &amp; presentation</t>
        </is>
      </c>
      <c r="FU438" s="32" t="inlineStr">
        <is>
          <t>Full survey answers not in the files received · How We Grow export needed · HR</t>
        </is>
      </c>
    </row>
    <row r="439" ht="90" customHeight="1">
      <c r="A439" s="51" t="inlineStr">
        <is>
          <t>◂ Back</t>
        </is>
      </c>
      <c r="B439" s="29" t="inlineStr">
        <is>
          <t>Mapped</t>
        </is>
      </c>
      <c r="C439" s="28" t="inlineStr">
        <is>
          <t>iFile</t>
        </is>
      </c>
      <c r="D439" s="29" t="inlineStr">
        <is>
          <t>IRIS2457</t>
        </is>
      </c>
      <c r="E439" s="29" t="inlineStr">
        <is>
          <t>Mayuri Ashok Mhetar</t>
        </is>
      </c>
      <c r="F439" s="29" t="inlineStr">
        <is>
          <t>XBRL Consulting</t>
        </is>
      </c>
      <c r="G439" s="29" t="inlineStr">
        <is>
          <t>XBRL Conversion Specialist</t>
        </is>
      </c>
      <c r="H439" s="29" t="inlineStr">
        <is>
          <t>Senior Financial Analyst</t>
        </is>
      </c>
      <c r="I439" s="29" t="inlineStr">
        <is>
          <t>L3 – Professional / Associate</t>
        </is>
      </c>
      <c r="J439" s="29" t="inlineStr">
        <is>
          <t>A3</t>
        </is>
      </c>
      <c r="K439" s="29" t="inlineStr">
        <is>
          <t>▲ Up</t>
        </is>
      </c>
      <c r="L439" s="29" t="inlineStr">
        <is>
          <t>Consulting &amp; Professional Services</t>
        </is>
      </c>
      <c r="M439" s="29" t="inlineStr">
        <is>
          <t>XBRL Tagging, Conversion &amp; Filing</t>
        </is>
      </c>
      <c r="N439" s="29" t="n"/>
      <c r="O439" s="29" t="n">
        <v>20</v>
      </c>
      <c r="P439" s="28" t="inlineStr">
        <is>
          <t>P2</t>
        </is>
      </c>
      <c r="Q439" s="29" t="inlineStr">
        <is>
          <t>Developing</t>
        </is>
      </c>
      <c r="R439" s="29" t="inlineStr">
        <is>
          <t>3 Apply</t>
        </is>
      </c>
      <c r="S439" s="29" t="inlineStr">
        <is>
          <t>2–4 yrs</t>
        </is>
      </c>
      <c r="T439" s="29" t="inlineStr">
        <is>
          <t>3–5 · 2–5</t>
        </is>
      </c>
      <c r="U439" s="29" t="inlineStr">
        <is>
          <t>Senior Analyst / Associate</t>
        </is>
      </c>
      <c r="V439" s="29" t="inlineStr">
        <is>
          <t>DataTracks: Senior Associate · 2–5 yrs · Big Four: Consultant · IRIS Vs Market Benchmark — XBRL US credential pathway: XBRL US GAAP Certificate</t>
        </is>
      </c>
      <c r="W439" s="29" t="inlineStr">
        <is>
          <t>XBRL US GAAP Certificate · AICPA &amp; XBRL US; XBRL International specifications; IFRS / US GAAP / Ind AS</t>
        </is>
      </c>
      <c r="X439" s="29" t="inlineStr">
        <is>
          <t>Core 2 · Future 2 · Functional 3 · Leadership not scored</t>
        </is>
      </c>
      <c r="Y439" s="52" t="n">
        <v>427</v>
      </c>
      <c r="Z439" s="53" t="inlineStr">
        <is>
          <t>IRIS2457</t>
        </is>
      </c>
      <c r="AA439" s="53" t="inlineStr">
        <is>
          <t>Employee</t>
        </is>
      </c>
      <c r="AB439" s="53" t="inlineStr">
        <is>
          <t>Active</t>
        </is>
      </c>
      <c r="AC439" s="53" t="inlineStr">
        <is>
          <t>Mayuri Ashok Mhetar</t>
        </is>
      </c>
      <c r="AD439" s="54" t="n">
        <v>46023</v>
      </c>
      <c r="AE439" s="53" t="inlineStr">
        <is>
          <t>XBRL Conversion Specialist</t>
        </is>
      </c>
      <c r="AF439" s="53" t="inlineStr">
        <is>
          <t>B.Com</t>
        </is>
      </c>
      <c r="AG439" s="53" t="inlineStr">
        <is>
          <t>Shraddha Bagul</t>
        </is>
      </c>
      <c r="AH439" s="53" t="inlineStr">
        <is>
          <t>N-3</t>
        </is>
      </c>
      <c r="AI439" s="53" t="inlineStr">
        <is>
          <t>Individual Contributor</t>
        </is>
      </c>
      <c r="AJ439" s="53" t="inlineStr">
        <is>
          <t>2 years, 6 months, 0 days</t>
        </is>
      </c>
      <c r="AK439" s="53" t="inlineStr">
        <is>
          <t>0 years, 7 months, 24 days</t>
        </is>
      </c>
      <c r="AL439" s="53" t="inlineStr">
        <is>
          <t>Suptech</t>
        </is>
      </c>
      <c r="AM439" s="53" t="inlineStr">
        <is>
          <t>iFile</t>
        </is>
      </c>
      <c r="AN439" s="53" t="inlineStr">
        <is>
          <t>XBRL Consulting</t>
        </is>
      </c>
      <c r="AO439" s="53" t="inlineStr">
        <is>
          <t>Consulting</t>
        </is>
      </c>
      <c r="AP439" s="53" t="inlineStr">
        <is>
          <t>No</t>
        </is>
      </c>
      <c r="AQ439" s="53" t="inlineStr">
        <is>
          <t>Professional Services</t>
        </is>
      </c>
      <c r="AR439" s="53" t="inlineStr">
        <is>
          <t>XBRL Domain</t>
        </is>
      </c>
      <c r="AS439" s="53" t="inlineStr">
        <is>
          <t>Non-technical</t>
        </is>
      </c>
      <c r="AT439" s="53" t="n">
        <v>20</v>
      </c>
      <c r="AU439" s="53" t="inlineStr">
        <is>
          <t>Covered</t>
        </is>
      </c>
      <c r="AV439" s="53" t="n"/>
      <c r="AW439" s="53" t="n"/>
      <c r="AX439" s="53" t="n"/>
      <c r="AY439" s="53" t="n"/>
      <c r="AZ439" s="53" t="n"/>
      <c r="BA439" s="53" t="n"/>
      <c r="BB439" s="53" t="n"/>
      <c r="BC439" s="53" t="n"/>
      <c r="BD439" s="53" t="n"/>
      <c r="BE439" s="53" t="n"/>
      <c r="BF439" s="53" t="n"/>
      <c r="BG439" s="53" t="n"/>
      <c r="BH439" s="53" t="n"/>
      <c r="BI439" s="53" t="n"/>
      <c r="BJ439" s="53" t="n"/>
      <c r="BK439" s="53" t="n"/>
      <c r="BL439" s="53" t="n"/>
      <c r="BM439" s="53" t="n"/>
      <c r="BN439" s="53" t="n"/>
      <c r="BO439" s="53" t="n"/>
      <c r="BP439" s="53" t="n"/>
      <c r="BQ439" s="53" t="n"/>
      <c r="BR439" s="53" t="n"/>
      <c r="BS439" s="53" t="n"/>
      <c r="BT439" s="53" t="n"/>
      <c r="BU439" s="53" t="n"/>
      <c r="BV439" s="53" t="n"/>
      <c r="BW439" s="53" t="n"/>
      <c r="BX439" s="53" t="n"/>
      <c r="BY439" s="53" t="n"/>
      <c r="BZ439" s="53" t="n"/>
      <c r="CA439" s="53" t="n"/>
      <c r="CB439" s="53" t="n"/>
      <c r="CC439" s="53" t="n"/>
      <c r="CD439" s="53" t="n"/>
      <c r="CE439" s="53" t="n"/>
      <c r="CF439" s="53" t="n"/>
      <c r="CG439" s="53" t="n"/>
      <c r="CH439" s="53" t="n"/>
      <c r="CI439" s="53" t="n"/>
      <c r="CJ439" s="53" t="n"/>
      <c r="CK439" s="53" t="n"/>
      <c r="CL439" s="53" t="n"/>
      <c r="CM439" s="53" t="n"/>
      <c r="CN439" s="53" t="n"/>
      <c r="CO439" s="53" t="n"/>
      <c r="CP439" s="53" t="n"/>
      <c r="CQ439" s="53" t="n"/>
      <c r="CR439" s="53" t="n"/>
      <c r="CS439" s="53" t="n"/>
      <c r="CT439" s="53" t="n"/>
      <c r="CU439" s="53" t="n"/>
      <c r="CV439" s="53" t="n"/>
      <c r="CW439" s="53" t="n"/>
      <c r="CX439" s="53" t="n"/>
      <c r="CY439" s="53" t="n"/>
      <c r="CZ439" s="53" t="n"/>
      <c r="DA439" s="53" t="n"/>
      <c r="DB439" s="53" t="n"/>
      <c r="DC439" s="53" t="n"/>
      <c r="DD439" s="53" t="inlineStr">
        <is>
          <t>IRIS2457</t>
        </is>
      </c>
      <c r="DE439" s="53" t="inlineStr">
        <is>
          <t>Employee</t>
        </is>
      </c>
      <c r="DF439" s="53" t="inlineStr">
        <is>
          <t>Active</t>
        </is>
      </c>
      <c r="DG439" s="53" t="inlineStr">
        <is>
          <t>Mayuri Ashok Mhetar</t>
        </is>
      </c>
      <c r="DH439" s="54" t="n">
        <v>46023</v>
      </c>
      <c r="DI439" s="53" t="inlineStr">
        <is>
          <t>XBRL Conversion Specialist</t>
        </is>
      </c>
      <c r="DJ439" s="53" t="inlineStr">
        <is>
          <t>Consulting &amp; Professional Services</t>
        </is>
      </c>
      <c r="DK439" s="53" t="inlineStr">
        <is>
          <t>XBRL / Regulatory Reporting</t>
        </is>
      </c>
      <c r="DL439" s="53" t="inlineStr">
        <is>
          <t>XBRL Conversion Specialist</t>
        </is>
      </c>
      <c r="DM439" s="53" t="inlineStr">
        <is>
          <t>L3 – Professional / Associate</t>
        </is>
      </c>
      <c r="DN439" s="53" t="inlineStr">
        <is>
          <t>B.Com</t>
        </is>
      </c>
      <c r="DO439" s="53" t="inlineStr">
        <is>
          <t>Shraddha Bagul</t>
        </is>
      </c>
      <c r="DP439" s="53" t="inlineStr">
        <is>
          <t>N-3</t>
        </is>
      </c>
      <c r="DQ439" s="53" t="inlineStr">
        <is>
          <t>Individual Contributor</t>
        </is>
      </c>
      <c r="DR439" s="53" t="inlineStr">
        <is>
          <t>2 years, 6 months, 0 days</t>
        </is>
      </c>
      <c r="DS439" s="53" t="inlineStr">
        <is>
          <t>0 years, 5 months, 19 days</t>
        </is>
      </c>
      <c r="DT439" s="53" t="inlineStr">
        <is>
          <t>2 years, 11 months, 19 days</t>
        </is>
      </c>
      <c r="DU439" s="53" t="n"/>
      <c r="DV439" s="53" t="inlineStr">
        <is>
          <t>Suptech</t>
        </is>
      </c>
      <c r="DW439" s="53" t="inlineStr">
        <is>
          <t>iFile</t>
        </is>
      </c>
      <c r="DX439" s="53" t="inlineStr">
        <is>
          <t>XBRL Consulting</t>
        </is>
      </c>
      <c r="DY439" s="53" t="inlineStr">
        <is>
          <t>Consulting</t>
        </is>
      </c>
      <c r="DZ439" s="53" t="inlineStr">
        <is>
          <t>No</t>
        </is>
      </c>
      <c r="EA439" s="53" t="inlineStr">
        <is>
          <t>Professional Services</t>
        </is>
      </c>
      <c r="EB439" s="53" t="inlineStr">
        <is>
          <t>XBRL Domain</t>
        </is>
      </c>
      <c r="EC439" s="53" t="inlineStr">
        <is>
          <t>Non-technical</t>
        </is>
      </c>
      <c r="ED439" s="53" t="inlineStr">
        <is>
          <t>Work From Office - Turbhe</t>
        </is>
      </c>
      <c r="EE439" s="53" t="n"/>
      <c r="EF439" s="53"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EG439" s="53" t="inlineStr">
        <is>
          <t>1. Complete Q1 taxonomy build/test tasks on schedule · &gt;=95% on-time.
2. Close assigned iFILE support tickets within SLA.
3. Finish Q1 Excel/Webform test cycles with defect leakage &lt;2%.</t>
        </is>
      </c>
      <c r="EH439" s="53" t="inlineStr">
        <is>
          <t>3 – Meets Expectations</t>
        </is>
      </c>
      <c r="EI439" s="53" t="inlineStr">
        <is>
          <t>Last appraisal in Oct 2025</t>
        </is>
      </c>
      <c r="EJ439" s="53" t="inlineStr">
        <is>
          <t>XBRL Conversion Specialist</t>
        </is>
      </c>
      <c r="EK439" s="53" t="inlineStr">
        <is>
          <t>No change</t>
        </is>
      </c>
      <c r="EL439" s="53" t="n">
        <v>3</v>
      </c>
      <c r="EM439" s="53" t="inlineStr">
        <is>
          <t>Medium</t>
        </is>
      </c>
      <c r="EN439" s="53" t="inlineStr">
        <is>
          <t>Core Contributor</t>
        </is>
      </c>
      <c r="EO439" s="53" t="n"/>
      <c r="EP439" s="53" t="inlineStr">
        <is>
          <t>No</t>
        </is>
      </c>
      <c r="EQ439" s="53" t="n"/>
      <c r="ER439" s="53" t="inlineStr">
        <is>
          <t>To be identified</t>
        </is>
      </c>
      <c r="ES439" s="53" t="inlineStr">
        <is>
          <t>XBRL taxonomy &amp; regulatory updates; domain/accounting refreshers; quality &amp; accuracy practices; tooling proficiency</t>
        </is>
      </c>
      <c r="ET439" s="53" t="inlineStr">
        <is>
          <t>Transition to leadership: people management &amp; delegation, mentoring/coaching, project ownership &amp; stakeholder management, prioritisation under ambiguity, presentation &amp; influence skills</t>
        </is>
      </c>
      <c r="EU439" s="53" t="n"/>
      <c r="EV439" s="53" t="n"/>
      <c r="EW439" s="52" t="n"/>
      <c r="EX439" s="53" t="n"/>
      <c r="EY439" s="53" t="n"/>
      <c r="EZ439" s="53" t="n"/>
      <c r="FA439" s="53" t="n"/>
      <c r="FB439" s="53" t="n"/>
      <c r="FC439" s="53" t="n"/>
      <c r="FD439" s="53" t="n"/>
      <c r="FE439" s="57"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FF439" s="56" t="inlineStr">
        <is>
          <t>1. Complete Q1 taxonomy build/test tasks on schedule · &gt;=95% on-time.
2. Close assigned iFILE support tickets within SLA · &gt;=90%.
3. Finish Q1 Excel/Webform test cycles with defect leakage &lt;2%.</t>
        </is>
      </c>
      <c r="FG439" s="56" t="n"/>
      <c r="FH439" s="56" t="inlineStr">
        <is>
          <t>3 – Meets Expectations</t>
        </is>
      </c>
      <c r="FI439" s="56" t="n"/>
      <c r="FJ439" s="56" t="inlineStr">
        <is>
          <t>Received · manager annual, quarterly</t>
        </is>
      </c>
      <c r="FK439" s="56" t="inlineStr">
        <is>
          <t>Talent Mapping · iFile collated</t>
        </is>
      </c>
      <c r="FL439" s="56" t="n">
        <v>20</v>
      </c>
      <c r="FM439" s="32" t="inlineStr">
        <is>
          <t>Full survey answers not in the files received · How We Grow export needed · HR</t>
        </is>
      </c>
      <c r="FN439" s="56" t="inlineStr">
        <is>
          <t>—</t>
        </is>
      </c>
      <c r="FO439" s="56" t="inlineStr">
        <is>
          <t>—</t>
        </is>
      </c>
      <c r="FP439" s="56" t="inlineStr">
        <is>
          <t>—</t>
        </is>
      </c>
      <c r="FQ439" s="56" t="inlineStr">
        <is>
          <t>—</t>
        </is>
      </c>
      <c r="FR439" s="56" t="inlineStr">
        <is>
          <t>Complexity: Evidence reads like A2: iFile webform and formula testing, test scenarios and scenario-specific test data creation → matches the start
Autonomy: Evidence reads like A2: Decides test data scenarios and how to validate formula calculations → matches the start
Accountability: Evidence reads like A2: Own testing of iFile and formula functionality; missed defects cause development rework → matches the start
Leadership: Evidence reads like A1: None described → matches the start
Business Impact: No survey or manager-mapping signal on criticality: kept at the start point.</t>
        </is>
      </c>
      <c r="FS439" s="56"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FT439" s="56" t="inlineStr">
        <is>
          <t>Self-identified: Testing &amp; quality · Broader exposure &amp; ownership
For the next role: Testing &amp; quality · Product &amp; tool knowledge · Broader exposure &amp; ownership</t>
        </is>
      </c>
      <c r="FU439" s="32" t="inlineStr">
        <is>
          <t>Full survey answers not in the files received · How We Grow export needed · HR</t>
        </is>
      </c>
    </row>
    <row r="440" ht="90" customHeight="1">
      <c r="A440" s="51" t="inlineStr">
        <is>
          <t>◂ Back</t>
        </is>
      </c>
      <c r="B440" s="29" t="inlineStr">
        <is>
          <t>Mapped</t>
        </is>
      </c>
      <c r="C440" s="28" t="inlineStr">
        <is>
          <t>iFile</t>
        </is>
      </c>
      <c r="D440" s="29" t="inlineStr">
        <is>
          <t>IRIS2458</t>
        </is>
      </c>
      <c r="E440" s="29" t="inlineStr">
        <is>
          <t>Musaf Shaikh</t>
        </is>
      </c>
      <c r="F440" s="29" t="inlineStr">
        <is>
          <t>XBRL Consulting</t>
        </is>
      </c>
      <c r="G440" s="29" t="inlineStr">
        <is>
          <t>XBRL Conversion Specialist</t>
        </is>
      </c>
      <c r="H440" s="29" t="inlineStr">
        <is>
          <t>Senior Financial Analyst</t>
        </is>
      </c>
      <c r="I440" s="29" t="inlineStr">
        <is>
          <t>L3 – Professional / Associate</t>
        </is>
      </c>
      <c r="J440" s="29" t="inlineStr">
        <is>
          <t>A3</t>
        </is>
      </c>
      <c r="K440" s="29" t="inlineStr">
        <is>
          <t>▲ Up</t>
        </is>
      </c>
      <c r="L440" s="29" t="inlineStr">
        <is>
          <t>Consulting &amp; Professional Services</t>
        </is>
      </c>
      <c r="M440" s="29" t="inlineStr">
        <is>
          <t>XBRL Tagging, Conversion &amp; Filing</t>
        </is>
      </c>
      <c r="N440" s="29" t="n"/>
      <c r="O440" s="29" t="n">
        <v>0</v>
      </c>
      <c r="P440" s="28" t="inlineStr">
        <is>
          <t>P2</t>
        </is>
      </c>
      <c r="Q440" s="29" t="inlineStr">
        <is>
          <t>Developing</t>
        </is>
      </c>
      <c r="R440" s="29" t="inlineStr">
        <is>
          <t>3 Apply</t>
        </is>
      </c>
      <c r="S440" s="29" t="inlineStr">
        <is>
          <t>2–4 yrs</t>
        </is>
      </c>
      <c r="T440" s="29" t="inlineStr">
        <is>
          <t>3–5 · 2–5</t>
        </is>
      </c>
      <c r="U440" s="29" t="inlineStr">
        <is>
          <t>Senior Analyst / Associate</t>
        </is>
      </c>
      <c r="V440" s="29" t="inlineStr">
        <is>
          <t>DataTracks: Senior Associate · 2–5 yrs · Big Four: Consultant · IRIS Vs Market Benchmark — XBRL US credential pathway: XBRL US GAAP Certificate</t>
        </is>
      </c>
      <c r="W440" s="29" t="inlineStr">
        <is>
          <t>XBRL US GAAP Certificate · AICPA &amp; XBRL US; XBRL International specifications; IFRS / US GAAP / Ind AS</t>
        </is>
      </c>
      <c r="X440" s="29" t="inlineStr">
        <is>
          <t>Core 2 · Future 2 · Functional 3 · Leadership not scored</t>
        </is>
      </c>
      <c r="Y440" s="52" t="n">
        <v>428</v>
      </c>
      <c r="Z440" s="53" t="inlineStr">
        <is>
          <t>IRIS2458</t>
        </is>
      </c>
      <c r="AA440" s="53" t="inlineStr">
        <is>
          <t>Employee</t>
        </is>
      </c>
      <c r="AB440" s="53" t="inlineStr">
        <is>
          <t>Active</t>
        </is>
      </c>
      <c r="AC440" s="53" t="inlineStr">
        <is>
          <t>Musaf Shaikh</t>
        </is>
      </c>
      <c r="AD440" s="54" t="n">
        <v>46023</v>
      </c>
      <c r="AE440" s="53" t="inlineStr">
        <is>
          <t>XBRL Conversion Specialist</t>
        </is>
      </c>
      <c r="AF440" s="53" t="inlineStr">
        <is>
          <t>B.Com</t>
        </is>
      </c>
      <c r="AG440" s="53" t="inlineStr">
        <is>
          <t>Shraddha Bagul</t>
        </is>
      </c>
      <c r="AH440" s="53" t="inlineStr">
        <is>
          <t>N-3</t>
        </is>
      </c>
      <c r="AI440" s="53" t="inlineStr">
        <is>
          <t>Individual Contributor</t>
        </is>
      </c>
      <c r="AJ440" s="53" t="inlineStr">
        <is>
          <t>1 years, 6 months, 0 days</t>
        </is>
      </c>
      <c r="AK440" s="53" t="inlineStr">
        <is>
          <t>0 years, 7 months, 24 days</t>
        </is>
      </c>
      <c r="AL440" s="53" t="inlineStr">
        <is>
          <t>Suptech</t>
        </is>
      </c>
      <c r="AM440" s="53" t="inlineStr">
        <is>
          <t>iFile</t>
        </is>
      </c>
      <c r="AN440" s="53" t="inlineStr">
        <is>
          <t>XBRL Consulting</t>
        </is>
      </c>
      <c r="AO440" s="53" t="inlineStr">
        <is>
          <t>Consulting</t>
        </is>
      </c>
      <c r="AP440" s="53" t="inlineStr">
        <is>
          <t>No</t>
        </is>
      </c>
      <c r="AQ440" s="53" t="inlineStr">
        <is>
          <t>Professional Services</t>
        </is>
      </c>
      <c r="AR440" s="53" t="inlineStr">
        <is>
          <t>XBRL Domain</t>
        </is>
      </c>
      <c r="AS440" s="53" t="inlineStr">
        <is>
          <t>Non-technical</t>
        </is>
      </c>
      <c r="AT440" s="53" t="n">
        <v>0</v>
      </c>
      <c r="AU440" s="53" t="inlineStr">
        <is>
          <t>Excluded</t>
        </is>
      </c>
      <c r="AV440" s="53" t="n"/>
      <c r="AW440" s="53" t="n"/>
      <c r="AX440" s="53" t="n"/>
      <c r="AY440" s="53" t="n"/>
      <c r="AZ440" s="53" t="n"/>
      <c r="BA440" s="53" t="n"/>
      <c r="BB440" s="53" t="n"/>
      <c r="BC440" s="53" t="n"/>
      <c r="BD440" s="53" t="n"/>
      <c r="BE440" s="53" t="n"/>
      <c r="BF440" s="53" t="n"/>
      <c r="BG440" s="53" t="n"/>
      <c r="BH440" s="53" t="n"/>
      <c r="BI440" s="53" t="n"/>
      <c r="BJ440" s="53" t="n"/>
      <c r="BK440" s="53" t="n"/>
      <c r="BL440" s="53" t="n"/>
      <c r="BM440" s="53" t="n"/>
      <c r="BN440" s="53" t="n"/>
      <c r="BO440" s="53" t="n"/>
      <c r="BP440" s="53" t="n"/>
      <c r="BQ440" s="53" t="n"/>
      <c r="BR440" s="53" t="n"/>
      <c r="BS440" s="53" t="n"/>
      <c r="BT440" s="53" t="n"/>
      <c r="BU440" s="53" t="n"/>
      <c r="BV440" s="53" t="n"/>
      <c r="BW440" s="53" t="n"/>
      <c r="BX440" s="53" t="n"/>
      <c r="BY440" s="53" t="n"/>
      <c r="BZ440" s="53" t="n"/>
      <c r="CA440" s="53" t="n"/>
      <c r="CB440" s="53" t="n"/>
      <c r="CC440" s="53" t="n"/>
      <c r="CD440" s="53" t="n"/>
      <c r="CE440" s="53" t="n"/>
      <c r="CF440" s="53" t="n"/>
      <c r="CG440" s="53" t="n"/>
      <c r="CH440" s="53" t="n"/>
      <c r="CI440" s="53" t="n"/>
      <c r="CJ440" s="53" t="n"/>
      <c r="CK440" s="53" t="n"/>
      <c r="CL440" s="53" t="n"/>
      <c r="CM440" s="53" t="n"/>
      <c r="CN440" s="53" t="n"/>
      <c r="CO440" s="53" t="n"/>
      <c r="CP440" s="53" t="n"/>
      <c r="CQ440" s="53" t="n"/>
      <c r="CR440" s="53" t="n"/>
      <c r="CS440" s="53" t="n"/>
      <c r="CT440" s="53" t="n"/>
      <c r="CU440" s="53" t="n"/>
      <c r="CV440" s="53" t="n"/>
      <c r="CW440" s="53" t="n"/>
      <c r="CX440" s="53" t="n"/>
      <c r="CY440" s="53" t="n"/>
      <c r="CZ440" s="53" t="n"/>
      <c r="DA440" s="53" t="n"/>
      <c r="DB440" s="53" t="n"/>
      <c r="DC440" s="53" t="n"/>
      <c r="DD440" s="53" t="inlineStr">
        <is>
          <t>IRIS2458</t>
        </is>
      </c>
      <c r="DE440" s="53" t="inlineStr">
        <is>
          <t>Employee</t>
        </is>
      </c>
      <c r="DF440" s="53" t="inlineStr">
        <is>
          <t>Active</t>
        </is>
      </c>
      <c r="DG440" s="53" t="inlineStr">
        <is>
          <t>Musaf Shaikh</t>
        </is>
      </c>
      <c r="DH440" s="54" t="n">
        <v>46023</v>
      </c>
      <c r="DI440" s="53" t="inlineStr">
        <is>
          <t>XBRL Conversion Specialist</t>
        </is>
      </c>
      <c r="DJ440" s="53" t="inlineStr">
        <is>
          <t>Consulting &amp; Professional Services</t>
        </is>
      </c>
      <c r="DK440" s="53" t="inlineStr">
        <is>
          <t>XBRL / Regulatory Reporting</t>
        </is>
      </c>
      <c r="DL440" s="53" t="inlineStr">
        <is>
          <t>XBRL Conversion Specialist</t>
        </is>
      </c>
      <c r="DM440" s="53" t="inlineStr">
        <is>
          <t>L3 – Professional / Associate</t>
        </is>
      </c>
      <c r="DN440" s="53" t="inlineStr">
        <is>
          <t>B.Com</t>
        </is>
      </c>
      <c r="DO440" s="53" t="inlineStr">
        <is>
          <t>Shraddha Bagul</t>
        </is>
      </c>
      <c r="DP440" s="53" t="inlineStr">
        <is>
          <t>N-3</t>
        </is>
      </c>
      <c r="DQ440" s="53" t="inlineStr">
        <is>
          <t>Individual Contributor</t>
        </is>
      </c>
      <c r="DR440" s="53" t="inlineStr">
        <is>
          <t>1 years, 6 months, 0 days</t>
        </is>
      </c>
      <c r="DS440" s="53" t="inlineStr">
        <is>
          <t>0 years, 5 months, 19 days</t>
        </is>
      </c>
      <c r="DT440" s="53" t="inlineStr">
        <is>
          <t>1 years, 11 months, 19 days</t>
        </is>
      </c>
      <c r="DU440" s="53" t="n"/>
      <c r="DV440" s="53" t="inlineStr">
        <is>
          <t>Suptech</t>
        </is>
      </c>
      <c r="DW440" s="53" t="inlineStr">
        <is>
          <t>iFile</t>
        </is>
      </c>
      <c r="DX440" s="53" t="inlineStr">
        <is>
          <t>XBRL Consulting</t>
        </is>
      </c>
      <c r="DY440" s="53" t="inlineStr">
        <is>
          <t>Consulting</t>
        </is>
      </c>
      <c r="DZ440" s="53" t="inlineStr">
        <is>
          <t>No</t>
        </is>
      </c>
      <c r="EA440" s="53" t="inlineStr">
        <is>
          <t>Professional Services</t>
        </is>
      </c>
      <c r="EB440" s="53" t="inlineStr">
        <is>
          <t>XBRL Domain</t>
        </is>
      </c>
      <c r="EC440" s="53" t="inlineStr">
        <is>
          <t>Non-technical</t>
        </is>
      </c>
      <c r="ED440" s="53" t="inlineStr">
        <is>
          <t>Work From Office - Turbhe</t>
        </is>
      </c>
      <c r="EE440" s="53" t="n"/>
      <c r="EF440" s="53"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EG440" s="53" t="inlineStr">
        <is>
          <t>1. Complete Q1 IRIS Instant release-testing cycles at full coverage · defect leakage &lt;2%.
2. Meet Q1 conversion turnaround &amp; accuracy targets.
3. Resolve &gt;=90% of client support queries within SLA.</t>
        </is>
      </c>
      <c r="EH440" s="53" t="inlineStr">
        <is>
          <t>3 – Meets Expectations</t>
        </is>
      </c>
      <c r="EI440" s="53" t="inlineStr">
        <is>
          <t>Last appraisal in Oct 2025</t>
        </is>
      </c>
      <c r="EJ440" s="53" t="inlineStr">
        <is>
          <t>XBRL Conversion Specialist</t>
        </is>
      </c>
      <c r="EK440" s="53" t="inlineStr">
        <is>
          <t>No change</t>
        </is>
      </c>
      <c r="EL440" s="53" t="n">
        <v>3</v>
      </c>
      <c r="EM440" s="53" t="inlineStr">
        <is>
          <t>Medium</t>
        </is>
      </c>
      <c r="EN440" s="53" t="inlineStr">
        <is>
          <t>Core Contributor</t>
        </is>
      </c>
      <c r="EO440" s="53" t="n"/>
      <c r="EP440" s="53" t="inlineStr">
        <is>
          <t>No</t>
        </is>
      </c>
      <c r="EQ440" s="53" t="n"/>
      <c r="ER440" s="53" t="inlineStr">
        <is>
          <t>To be identified</t>
        </is>
      </c>
      <c r="ES440" s="53" t="inlineStr">
        <is>
          <t>XBRL taxonomy &amp; regulatory updates; domain/accounting refreshers; quality &amp; accuracy practices; tooling proficiency</t>
        </is>
      </c>
      <c r="ET440" s="53" t="inlineStr">
        <is>
          <t>Transition to leadership: people management &amp; delegation, mentoring/coaching, project ownership &amp; stakeholder management, prioritisation under ambiguity, presentation &amp; influence skills</t>
        </is>
      </c>
      <c r="EU440" s="53" t="n"/>
      <c r="EV440" s="53" t="n"/>
      <c r="EW440" s="52" t="n"/>
      <c r="EX440" s="53" t="n"/>
      <c r="EY440" s="53" t="n"/>
      <c r="EZ440" s="53" t="n"/>
      <c r="FA440" s="53" t="n"/>
      <c r="FB440" s="53" t="n"/>
      <c r="FC440" s="53" t="n"/>
      <c r="FD440" s="53" t="n"/>
      <c r="FE440" s="57"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FF440" s="56" t="inlineStr">
        <is>
          <t>1. Complete Q1 IRIS Instant release-testing cycles at full coverage · defect leakage &lt;2%.
2. Meet Q1 conversion turnaround &amp; accuracy targets · &gt;=98%.
3. Resolve &gt;=90% of client support queries within SLA.</t>
        </is>
      </c>
      <c r="FG440" s="56" t="n"/>
      <c r="FH440" s="56" t="inlineStr">
        <is>
          <t>3 – Meets Expectations</t>
        </is>
      </c>
      <c r="FI440" s="56" t="n"/>
      <c r="FJ440" s="56" t="inlineStr">
        <is>
          <t>Received · manager annual, quarterly</t>
        </is>
      </c>
      <c r="FK440" s="56" t="inlineStr">
        <is>
          <t>Talent Mapping · iFile collated</t>
        </is>
      </c>
      <c r="FL440" s="56" t="n">
        <v>0</v>
      </c>
      <c r="FM440" s="32" t="inlineStr">
        <is>
          <t>No survey response on file</t>
        </is>
      </c>
      <c r="FN440" s="56" t="inlineStr">
        <is>
          <t>—</t>
        </is>
      </c>
      <c r="FO440" s="56" t="inlineStr">
        <is>
          <t>—</t>
        </is>
      </c>
      <c r="FP440" s="56" t="inlineStr">
        <is>
          <t>—</t>
        </is>
      </c>
      <c r="FQ440" s="56" t="inlineStr">
        <is>
          <t>—</t>
        </is>
      </c>
      <c r="FR440" s="56" t="inlineStr">
        <is>
          <t>Complexity: Evidence reads like A2: KRA note only: outsourced XBRL conversions and IRIS Instant release testing to set targets → matches the start
Autonomy: Evidence reads like A2: KRA note only: works to set accuracy, turnaround and SLA standards; no decisions described → matches the start
Accountability: Evidence reads like A2: KRA note only: accuracy, turnaround and SLA on own conversions and client queries → matches the start
Leadership: Evidence reads like A1: KRA note lists no people responsibilities → matches the start
Business Impact: No survey or manager-mapping signal on criticality: kept at the start point.</t>
        </is>
      </c>
      <c r="FS440" s="56"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FT440" s="56" t="n"/>
      <c r="FU440" s="32" t="inlineStr">
        <is>
          <t>No survey response on file</t>
        </is>
      </c>
    </row>
    <row r="441" ht="90" customHeight="1">
      <c r="A441" s="51" t="inlineStr">
        <is>
          <t>◂ Back</t>
        </is>
      </c>
      <c r="B441" s="29" t="inlineStr">
        <is>
          <t>Mapped</t>
        </is>
      </c>
      <c r="C441" s="28" t="inlineStr">
        <is>
          <t>iFile</t>
        </is>
      </c>
      <c r="D441" s="29" t="inlineStr">
        <is>
          <t>IRIS2088</t>
        </is>
      </c>
      <c r="E441" s="29" t="inlineStr">
        <is>
          <t>Pawan Khot</t>
        </is>
      </c>
      <c r="F441" s="29" t="inlineStr">
        <is>
          <t>XBRL Consulting</t>
        </is>
      </c>
      <c r="G441" s="29" t="inlineStr">
        <is>
          <t>Image Processing Specialist</t>
        </is>
      </c>
      <c r="H441" s="29" t="inlineStr">
        <is>
          <t>Senior Taxonomy Analyst</t>
        </is>
      </c>
      <c r="I441" s="29" t="inlineStr">
        <is>
          <t>Not in current mapping files</t>
        </is>
      </c>
      <c r="J441" s="29" t="inlineStr">
        <is>
          <t>A3</t>
        </is>
      </c>
      <c r="K441" s="29" t="inlineStr">
        <is>
          <t>● Newly mapped</t>
        </is>
      </c>
      <c r="L441" s="29" t="inlineStr">
        <is>
          <t>Consulting &amp; Professional Services</t>
        </is>
      </c>
      <c r="M441" s="29" t="inlineStr">
        <is>
          <t>Taxonomy Design &amp; Regulatory Consulting</t>
        </is>
      </c>
      <c r="N441" s="29" t="n"/>
      <c r="O441" s="29" t="n">
        <v>20</v>
      </c>
      <c r="P441" s="28" t="inlineStr">
        <is>
          <t>P2</t>
        </is>
      </c>
      <c r="Q441" s="29" t="inlineStr">
        <is>
          <t>Developing</t>
        </is>
      </c>
      <c r="R441" s="29" t="inlineStr">
        <is>
          <t>3 Apply</t>
        </is>
      </c>
      <c r="S441" s="29" t="inlineStr">
        <is>
          <t>2–4 yrs</t>
        </is>
      </c>
      <c r="T441" s="29" t="inlineStr">
        <is>
          <t>3–5 · 2–5</t>
        </is>
      </c>
      <c r="U441" s="29" t="inlineStr">
        <is>
          <t>Senior Analyst / Associate</t>
        </is>
      </c>
      <c r="V441" s="29" t="inlineStr">
        <is>
          <t>DataTracks: Senior Associate · 2–5 yrs · Big Four: Consultant · IRIS Vs Market Benchmark — XBRL US credential pathway: XBRL US GAAP Certificate</t>
        </is>
      </c>
      <c r="W441" s="29" t="inlineStr">
        <is>
          <t>XBRL US GAAP Certificate · AICPA &amp; XBRL US; XBRL International specifications; IFRS / US GAAP / Ind AS</t>
        </is>
      </c>
      <c r="X441" s="29" t="inlineStr">
        <is>
          <t>Core 2 · Future 2 · Functional 3 · Leadership not scored</t>
        </is>
      </c>
      <c r="Y441" s="52" t="n">
        <v>257</v>
      </c>
      <c r="Z441" s="53" t="inlineStr">
        <is>
          <t>IRIS2088</t>
        </is>
      </c>
      <c r="AA441" s="53" t="inlineStr">
        <is>
          <t>Employee</t>
        </is>
      </c>
      <c r="AB441" s="53" t="inlineStr">
        <is>
          <t>Active</t>
        </is>
      </c>
      <c r="AC441" s="53" t="inlineStr">
        <is>
          <t>Pawan Khot</t>
        </is>
      </c>
      <c r="AD441" s="54" t="n">
        <v>44928</v>
      </c>
      <c r="AE441" s="53" t="inlineStr">
        <is>
          <t>Image Processing Specialist</t>
        </is>
      </c>
      <c r="AF441" s="53" t="inlineStr">
        <is>
          <t>B.Com</t>
        </is>
      </c>
      <c r="AG441" s="53" t="inlineStr">
        <is>
          <t>Shraddha Bagul</t>
        </is>
      </c>
      <c r="AH441" s="53" t="inlineStr">
        <is>
          <t>N-3</t>
        </is>
      </c>
      <c r="AI441" s="53" t="inlineStr">
        <is>
          <t>Individual Contributor</t>
        </is>
      </c>
      <c r="AJ441" s="53" t="inlineStr">
        <is>
          <t>0 years, 0 months, 0 days</t>
        </is>
      </c>
      <c r="AK441" s="53" t="inlineStr">
        <is>
          <t>3 years, 7 months, 23 days</t>
        </is>
      </c>
      <c r="AL441" s="53" t="inlineStr">
        <is>
          <t>Suptech</t>
        </is>
      </c>
      <c r="AM441" s="53" t="inlineStr">
        <is>
          <t>iFile</t>
        </is>
      </c>
      <c r="AN441" s="53" t="inlineStr">
        <is>
          <t>XBRL Consulting</t>
        </is>
      </c>
      <c r="AO441" s="53" t="inlineStr">
        <is>
          <t>Consulting</t>
        </is>
      </c>
      <c r="AP441" s="53" t="inlineStr">
        <is>
          <t>No</t>
        </is>
      </c>
      <c r="AQ441" s="53" t="inlineStr">
        <is>
          <t>Professional Services</t>
        </is>
      </c>
      <c r="AR441" s="53" t="inlineStr">
        <is>
          <t>XBRL Domain</t>
        </is>
      </c>
      <c r="AS441" s="53" t="inlineStr">
        <is>
          <t>Non-technical</t>
        </is>
      </c>
      <c r="AT441" s="53" t="n">
        <v>20</v>
      </c>
      <c r="AU441" s="53" t="inlineStr">
        <is>
          <t>Covered</t>
        </is>
      </c>
      <c r="AV441" s="53" t="n"/>
      <c r="AW441" s="53" t="n"/>
      <c r="AX441" s="53" t="n"/>
      <c r="AY441" s="53" t="n"/>
      <c r="AZ441" s="53" t="n"/>
      <c r="BA441" s="53" t="n"/>
      <c r="BB441" s="53" t="n"/>
      <c r="BC441" s="53" t="n"/>
      <c r="BD441" s="53" t="n"/>
      <c r="BE441" s="53" t="n"/>
      <c r="BF441" s="53" t="n"/>
      <c r="BG441" s="53" t="n"/>
      <c r="BH441" s="53" t="n"/>
      <c r="BI441" s="53" t="n"/>
      <c r="BJ441" s="53" t="n"/>
      <c r="BK441" s="53" t="n"/>
      <c r="BL441" s="53" t="n"/>
      <c r="BM441" s="53" t="n"/>
      <c r="BN441" s="53" t="n"/>
      <c r="BO441" s="53" t="n"/>
      <c r="BP441" s="53" t="n"/>
      <c r="BQ441" s="53" t="n"/>
      <c r="BR441" s="53" t="n"/>
      <c r="BS441" s="53" t="n"/>
      <c r="BT441" s="53" t="n"/>
      <c r="BU441" s="53" t="n"/>
      <c r="BV441" s="53" t="n"/>
      <c r="BW441" s="53" t="n"/>
      <c r="BX441" s="53" t="n"/>
      <c r="BY441" s="53" t="n"/>
      <c r="BZ441" s="53" t="n"/>
      <c r="CA441" s="53" t="n"/>
      <c r="CB441" s="53" t="n"/>
      <c r="CC441" s="53" t="n"/>
      <c r="CD441" s="53" t="n"/>
      <c r="CE441" s="53" t="n"/>
      <c r="CF441" s="53" t="n"/>
      <c r="CG441" s="53" t="n"/>
      <c r="CH441" s="53" t="n"/>
      <c r="CI441" s="53" t="n"/>
      <c r="CJ441" s="53" t="n"/>
      <c r="CK441" s="53" t="n"/>
      <c r="CL441" s="53" t="n"/>
      <c r="CM441" s="53" t="n"/>
      <c r="CN441" s="53" t="n"/>
      <c r="CO441" s="53" t="n"/>
      <c r="CP441" s="53" t="n"/>
      <c r="CQ441" s="53" t="n"/>
      <c r="CR441" s="53" t="n"/>
      <c r="CS441" s="53" t="n"/>
      <c r="CT441" s="53" t="n"/>
      <c r="CU441" s="53" t="n"/>
      <c r="CV441" s="53" t="n"/>
      <c r="CW441" s="53" t="n"/>
      <c r="CX441" s="53" t="n"/>
      <c r="CY441" s="53" t="n"/>
      <c r="CZ441" s="53" t="n"/>
      <c r="DA441" s="53" t="n"/>
      <c r="DB441" s="53" t="n"/>
      <c r="DC441" s="53" t="n"/>
      <c r="DD441" s="53" t="n"/>
      <c r="DE441" s="53" t="n"/>
      <c r="DF441" s="53" t="n"/>
      <c r="DG441" s="53" t="n"/>
      <c r="DH441" s="53" t="n"/>
      <c r="DI441" s="53" t="n"/>
      <c r="DJ441" s="53" t="n"/>
      <c r="DK441" s="53" t="n"/>
      <c r="DL441" s="53" t="n"/>
      <c r="DM441" s="53" t="n"/>
      <c r="DN441" s="53" t="n"/>
      <c r="DO441" s="53" t="n"/>
      <c r="DP441" s="53" t="n"/>
      <c r="DQ441" s="53" t="n"/>
      <c r="DR441" s="53" t="n"/>
      <c r="DS441" s="53" t="n"/>
      <c r="DT441" s="53" t="n"/>
      <c r="DU441" s="53" t="n"/>
      <c r="DV441" s="53" t="n"/>
      <c r="DW441" s="53" t="n"/>
      <c r="DX441" s="53" t="n"/>
      <c r="DY441" s="53" t="n"/>
      <c r="DZ441" s="53" t="n"/>
      <c r="EA441" s="53" t="n"/>
      <c r="EB441" s="53" t="n"/>
      <c r="EC441" s="53" t="n"/>
      <c r="ED441" s="53" t="n"/>
      <c r="EE441" s="53" t="n"/>
      <c r="EF441" s="53" t="n"/>
      <c r="EG441" s="53" t="n"/>
      <c r="EH441" s="53" t="n"/>
      <c r="EI441" s="53" t="n"/>
      <c r="EJ441" s="53" t="n"/>
      <c r="EK441" s="53" t="n"/>
      <c r="EL441" s="53" t="n"/>
      <c r="EM441" s="53" t="n"/>
      <c r="EN441" s="53" t="n"/>
      <c r="EO441" s="53" t="n"/>
      <c r="EP441" s="53" t="n"/>
      <c r="EQ441" s="53" t="n"/>
      <c r="ER441" s="53" t="n"/>
      <c r="ES441" s="53" t="n"/>
      <c r="ET441" s="53" t="n"/>
      <c r="EU441" s="53" t="n"/>
      <c r="EV441" s="53" t="n"/>
      <c r="EW441" s="52" t="n"/>
      <c r="EX441" s="53" t="n"/>
      <c r="EY441" s="53" t="n"/>
      <c r="EZ441" s="53" t="n"/>
      <c r="FA441" s="53" t="n"/>
      <c r="FB441" s="53" t="n"/>
      <c r="FC441" s="53" t="n"/>
      <c r="FD441" s="53" t="n"/>
      <c r="FE441" s="55" t="inlineStr">
        <is>
          <t>KRAs not received · manager to supply</t>
        </is>
      </c>
      <c r="FF441" s="56" t="n"/>
      <c r="FG441" s="56" t="n"/>
      <c r="FH441" s="56" t="n"/>
      <c r="FI441" s="56" t="n"/>
      <c r="FJ441" s="32" t="inlineStr">
        <is>
          <t>KRAs not received · manager to supply</t>
        </is>
      </c>
      <c r="FK441" s="56" t="n"/>
      <c r="FL441" s="56" t="n">
        <v>20</v>
      </c>
      <c r="FM441" s="32" t="inlineStr">
        <is>
          <t>Full survey answers not in the files received · How We Grow export needed · HR</t>
        </is>
      </c>
      <c r="FN441" s="56" t="inlineStr">
        <is>
          <t>—</t>
        </is>
      </c>
      <c r="FO441" s="56" t="inlineStr">
        <is>
          <t>—</t>
        </is>
      </c>
      <c r="FP441" s="56" t="inlineStr">
        <is>
          <t>—</t>
        </is>
      </c>
      <c r="FQ441" s="56" t="inlineStr">
        <is>
          <t>—</t>
        </is>
      </c>
      <c r="FR441" s="56" t="inlineStr">
        <is>
          <t>Complexity: Evidence reads like A2: Analyses company reports and tags them into XBRL using Mtool and Excel → moved down 0.5
Autonomy: Evidence reads like A2: Decides tagging only → moved down 0.5
Accountability: Evidence reads like A2: All company data properly tagged and quality of own output reports → moved down 0.5
Leadership: Evidence reads like A1: None described → moved down 0.5
Business Impact: No survey or manager-mapping signal on criticality: kept at the start point.</t>
        </is>
      </c>
      <c r="FS441" s="56" t="inlineStr">
        <is>
          <t>Common themes in role-holders' answers: taxonomy · xbrl · client · data · convert · consultant
Common themes in role-holders' answers: client · testing · taxonomy · requirement · support · development
Common themes in role-holders' answers: taxonomy · xbrl · output · structured
Common themes in role-holders' answers: taxonomy · development · testing · tagging · quality · creation
Common themes in role-holders' answers: testing · formula · validations · tagging · creation · taxonomy
If the work is missed · role-holders' themes: rework · client · escalation · retesting · time.
Measured on · manager-set KRA themes: resolve · defect · deliver · complete · modules · testing.</t>
        </is>
      </c>
      <c r="FT441" s="56" t="inlineStr">
        <is>
          <t>Self-identified: Data, SQL &amp; analytics · Domain, regulatory &amp; XBRL
For the next role: Data, SQL &amp; analytics · Domain, regulatory &amp; XBRL</t>
        </is>
      </c>
      <c r="FU441" s="32" t="inlineStr">
        <is>
          <t>Full survey answers not in the files received · How We Grow export needed · HR</t>
        </is>
      </c>
    </row>
    <row r="442" ht="90" customHeight="1">
      <c r="A442" s="51" t="inlineStr">
        <is>
          <t>◂ Back</t>
        </is>
      </c>
      <c r="B442" s="29" t="inlineStr">
        <is>
          <t>Mapped</t>
        </is>
      </c>
      <c r="C442" s="28" t="inlineStr">
        <is>
          <t>iFile</t>
        </is>
      </c>
      <c r="D442" s="29" t="inlineStr">
        <is>
          <t>IRISC339</t>
        </is>
      </c>
      <c r="E442" s="29" t="inlineStr">
        <is>
          <t>Pranali Khanavkar</t>
        </is>
      </c>
      <c r="F442" s="29" t="inlineStr">
        <is>
          <t>XBRL Consulting</t>
        </is>
      </c>
      <c r="G442" s="29" t="inlineStr">
        <is>
          <t>Consultant</t>
        </is>
      </c>
      <c r="H442" s="29" t="inlineStr">
        <is>
          <t>Senior Taxonomy Analyst</t>
        </is>
      </c>
      <c r="I442" s="29" t="inlineStr">
        <is>
          <t>L3 – Professional / Associate</t>
        </is>
      </c>
      <c r="J442" s="29" t="inlineStr">
        <is>
          <t>A3</t>
        </is>
      </c>
      <c r="K442" s="29" t="inlineStr">
        <is>
          <t>▲ Up</t>
        </is>
      </c>
      <c r="L442" s="29" t="inlineStr">
        <is>
          <t>Consulting &amp; Professional Services</t>
        </is>
      </c>
      <c r="M442" s="29" t="inlineStr">
        <is>
          <t>Taxonomy Design &amp; Regulatory Consulting</t>
        </is>
      </c>
      <c r="N442" s="29" t="inlineStr">
        <is>
          <t>• Correct the experience record — HR</t>
        </is>
      </c>
      <c r="O442" s="29" t="n">
        <v>20</v>
      </c>
      <c r="P442" s="28" t="inlineStr">
        <is>
          <t>P2</t>
        </is>
      </c>
      <c r="Q442" s="29" t="inlineStr">
        <is>
          <t>Developing</t>
        </is>
      </c>
      <c r="R442" s="29" t="inlineStr">
        <is>
          <t>3 Apply</t>
        </is>
      </c>
      <c r="S442" s="29" t="inlineStr">
        <is>
          <t>2–4 yrs</t>
        </is>
      </c>
      <c r="T442" s="29" t="inlineStr">
        <is>
          <t>3–5 · 2–5</t>
        </is>
      </c>
      <c r="U442" s="29" t="inlineStr">
        <is>
          <t>Senior Analyst / Associate</t>
        </is>
      </c>
      <c r="V442" s="29" t="inlineStr">
        <is>
          <t>DataTracks: Senior Associate · 2–5 yrs · Big Four: Consultant · IRIS Vs Market Benchmark — XBRL US credential pathway: XBRL US GAAP Certificate</t>
        </is>
      </c>
      <c r="W442" s="29" t="inlineStr">
        <is>
          <t>XBRL US GAAP Certificate · AICPA &amp; XBRL US; XBRL International specifications; IFRS / US GAAP / Ind AS</t>
        </is>
      </c>
      <c r="X442" s="29" t="inlineStr">
        <is>
          <t>Core 2 · Future 2 · Functional 3 · Leadership not scored</t>
        </is>
      </c>
      <c r="Y442" s="52" t="n">
        <v>447</v>
      </c>
      <c r="Z442" s="53" t="inlineStr">
        <is>
          <t>IRISC339</t>
        </is>
      </c>
      <c r="AA442" s="53" t="inlineStr">
        <is>
          <t>On Contract</t>
        </is>
      </c>
      <c r="AB442" s="53" t="inlineStr">
        <is>
          <t>Active</t>
        </is>
      </c>
      <c r="AC442" s="53" t="inlineStr">
        <is>
          <t>Pranali Khanavkar</t>
        </is>
      </c>
      <c r="AD442" s="54" t="n">
        <v>46055</v>
      </c>
      <c r="AE442" s="53" t="inlineStr">
        <is>
          <t>Consultant</t>
        </is>
      </c>
      <c r="AF442" s="53" t="inlineStr">
        <is>
          <t>B.Com</t>
        </is>
      </c>
      <c r="AG442" s="53" t="inlineStr">
        <is>
          <t>Shraddha Bagul</t>
        </is>
      </c>
      <c r="AH442" s="53" t="inlineStr">
        <is>
          <t>N-3</t>
        </is>
      </c>
      <c r="AI442" s="53" t="inlineStr">
        <is>
          <t>Individual Contributor</t>
        </is>
      </c>
      <c r="AJ442" s="53" t="inlineStr">
        <is>
          <t>7 years, 2 months, 0 days</t>
        </is>
      </c>
      <c r="AK442" s="53" t="inlineStr">
        <is>
          <t>0 years, 6 months, 23 days</t>
        </is>
      </c>
      <c r="AL442" s="53" t="inlineStr">
        <is>
          <t>Suptech</t>
        </is>
      </c>
      <c r="AM442" s="53" t="inlineStr">
        <is>
          <t>iFile</t>
        </is>
      </c>
      <c r="AN442" s="53" t="inlineStr">
        <is>
          <t>XBRL Consulting</t>
        </is>
      </c>
      <c r="AO442" s="53" t="inlineStr">
        <is>
          <t>Consulting</t>
        </is>
      </c>
      <c r="AP442" s="53" t="inlineStr">
        <is>
          <t>No</t>
        </is>
      </c>
      <c r="AQ442" s="53" t="inlineStr">
        <is>
          <t>Professional Services</t>
        </is>
      </c>
      <c r="AR442" s="53" t="inlineStr">
        <is>
          <t>XBRL Domain</t>
        </is>
      </c>
      <c r="AS442" s="53" t="inlineStr">
        <is>
          <t>Non-technical</t>
        </is>
      </c>
      <c r="AT442" s="53" t="n">
        <v>20</v>
      </c>
      <c r="AU442" s="53" t="inlineStr">
        <is>
          <t>Covered</t>
        </is>
      </c>
      <c r="AV442" s="53" t="n"/>
      <c r="AW442" s="53" t="n"/>
      <c r="AX442" s="53" t="n"/>
      <c r="AY442" s="53" t="n"/>
      <c r="AZ442" s="53" t="n"/>
      <c r="BA442" s="53" t="n"/>
      <c r="BB442" s="53" t="n"/>
      <c r="BC442" s="53" t="n"/>
      <c r="BD442" s="53" t="n"/>
      <c r="BE442" s="53" t="n"/>
      <c r="BF442" s="53" t="n"/>
      <c r="BG442" s="53" t="n"/>
      <c r="BH442" s="53" t="n"/>
      <c r="BI442" s="53" t="n"/>
      <c r="BJ442" s="53" t="n"/>
      <c r="BK442" s="53" t="n"/>
      <c r="BL442" s="53" t="n"/>
      <c r="BM442" s="53" t="n"/>
      <c r="BN442" s="53" t="n"/>
      <c r="BO442" s="53" t="n"/>
      <c r="BP442" s="53" t="n"/>
      <c r="BQ442" s="53" t="n"/>
      <c r="BR442" s="53" t="n"/>
      <c r="BS442" s="53" t="n"/>
      <c r="BT442" s="53" t="n"/>
      <c r="BU442" s="53" t="n"/>
      <c r="BV442" s="53" t="n"/>
      <c r="BW442" s="53" t="n"/>
      <c r="BX442" s="53" t="n"/>
      <c r="BY442" s="53" t="n"/>
      <c r="BZ442" s="53" t="n"/>
      <c r="CA442" s="53" t="n"/>
      <c r="CB442" s="53" t="n"/>
      <c r="CC442" s="53" t="n"/>
      <c r="CD442" s="53" t="n"/>
      <c r="CE442" s="53" t="n"/>
      <c r="CF442" s="53" t="n"/>
      <c r="CG442" s="53" t="n"/>
      <c r="CH442" s="53" t="n"/>
      <c r="CI442" s="53" t="n"/>
      <c r="CJ442" s="53" t="n"/>
      <c r="CK442" s="53" t="n"/>
      <c r="CL442" s="53" t="n"/>
      <c r="CM442" s="53" t="n"/>
      <c r="CN442" s="53" t="n"/>
      <c r="CO442" s="53" t="n"/>
      <c r="CP442" s="53" t="n"/>
      <c r="CQ442" s="53" t="n"/>
      <c r="CR442" s="53" t="n"/>
      <c r="CS442" s="53" t="n"/>
      <c r="CT442" s="53" t="n"/>
      <c r="CU442" s="53" t="n"/>
      <c r="CV442" s="53" t="n"/>
      <c r="CW442" s="53" t="n"/>
      <c r="CX442" s="53" t="n"/>
      <c r="CY442" s="53" t="n"/>
      <c r="CZ442" s="53" t="n"/>
      <c r="DA442" s="53" t="n"/>
      <c r="DB442" s="53" t="n"/>
      <c r="DC442" s="53" t="n"/>
      <c r="DD442" s="53" t="inlineStr">
        <is>
          <t>IRISC339</t>
        </is>
      </c>
      <c r="DE442" s="53" t="inlineStr">
        <is>
          <t>On Contract</t>
        </is>
      </c>
      <c r="DF442" s="53" t="inlineStr">
        <is>
          <t>Active</t>
        </is>
      </c>
      <c r="DG442" s="53" t="inlineStr">
        <is>
          <t>Pranali Khanavkar</t>
        </is>
      </c>
      <c r="DH442" s="54" t="n">
        <v>46055</v>
      </c>
      <c r="DI442" s="53" t="inlineStr">
        <is>
          <t>Consultant</t>
        </is>
      </c>
      <c r="DJ442" s="53" t="inlineStr">
        <is>
          <t>Consulting &amp; Professional Services</t>
        </is>
      </c>
      <c r="DK442" s="53" t="inlineStr">
        <is>
          <t>XBRL / Regulatory Reporting</t>
        </is>
      </c>
      <c r="DL442" s="53" t="inlineStr">
        <is>
          <t>Consultant</t>
        </is>
      </c>
      <c r="DM442" s="53" t="inlineStr">
        <is>
          <t>L3 – Professional / Associate</t>
        </is>
      </c>
      <c r="DN442" s="53" t="inlineStr">
        <is>
          <t>B.Com</t>
        </is>
      </c>
      <c r="DO442" s="53" t="inlineStr">
        <is>
          <t>Shraddha Bagul</t>
        </is>
      </c>
      <c r="DP442" s="53" t="inlineStr">
        <is>
          <t>N-3</t>
        </is>
      </c>
      <c r="DQ442" s="53" t="inlineStr">
        <is>
          <t>Individual Contributor</t>
        </is>
      </c>
      <c r="DR442" s="53" t="inlineStr">
        <is>
          <t>7 years, 2 months, 0 days</t>
        </is>
      </c>
      <c r="DS442" s="53" t="inlineStr">
        <is>
          <t>0 years, 4 months, 18 days</t>
        </is>
      </c>
      <c r="DT442" s="53" t="inlineStr">
        <is>
          <t>7 years, 6 months, 18 days</t>
        </is>
      </c>
      <c r="DU442" s="53" t="n"/>
      <c r="DV442" s="53" t="inlineStr">
        <is>
          <t>Suptech</t>
        </is>
      </c>
      <c r="DW442" s="53" t="inlineStr">
        <is>
          <t>iFile</t>
        </is>
      </c>
      <c r="DX442" s="53" t="inlineStr">
        <is>
          <t>XBRL Consulting</t>
        </is>
      </c>
      <c r="DY442" s="53" t="inlineStr">
        <is>
          <t>Consulting</t>
        </is>
      </c>
      <c r="DZ442" s="53" t="inlineStr">
        <is>
          <t>No</t>
        </is>
      </c>
      <c r="EA442" s="53" t="inlineStr">
        <is>
          <t>Professional Services</t>
        </is>
      </c>
      <c r="EB442" s="53" t="inlineStr">
        <is>
          <t>XBRL Domain</t>
        </is>
      </c>
      <c r="EC442" s="53" t="inlineStr">
        <is>
          <t>Non-technical</t>
        </is>
      </c>
      <c r="ED442" s="53" t="inlineStr">
        <is>
          <t>Remote - Mumbai</t>
        </is>
      </c>
      <c r="EE442" s="53" t="n"/>
      <c r="EF442" s="53"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EG442" s="53" t="inlineStr">
        <is>
          <t>1. Complete Q1 IRIS Instant release-testing cycles at full coverage · defect leakage &lt;2%.
2. Meet Q1 conversion turnaround &amp; accuracy targets.
3. Resolve &gt;=90% of client support queries within SLA.</t>
        </is>
      </c>
      <c r="EH442" s="53" t="inlineStr">
        <is>
          <t>3 – Meets Expectations</t>
        </is>
      </c>
      <c r="EI442" s="53" t="n"/>
      <c r="EJ442" s="53" t="inlineStr">
        <is>
          <t>XBRL Conversion Specialist</t>
        </is>
      </c>
      <c r="EK442" s="53" t="inlineStr">
        <is>
          <t>No change</t>
        </is>
      </c>
      <c r="EL442" s="53" t="n">
        <v>3</v>
      </c>
      <c r="EM442" s="53" t="inlineStr">
        <is>
          <t>Low</t>
        </is>
      </c>
      <c r="EN442" s="53" t="inlineStr">
        <is>
          <t>Core Contributor</t>
        </is>
      </c>
      <c r="EO442" s="53" t="n"/>
      <c r="EP442" s="53" t="inlineStr">
        <is>
          <t>No</t>
        </is>
      </c>
      <c r="EQ442" s="53" t="n"/>
      <c r="ER442" s="53" t="inlineStr">
        <is>
          <t>To be identified</t>
        </is>
      </c>
      <c r="ES442" s="53" t="inlineStr">
        <is>
          <t>XBRL taxonomy &amp; regulatory updates; domain/accounting refreshers; quality &amp; accuracy practices; tooling proficiency</t>
        </is>
      </c>
      <c r="ET442" s="53" t="inlineStr">
        <is>
          <t>Transition to leadership: people management &amp; delegation, mentoring/coaching, project ownership &amp; stakeholder management, prioritisation under ambiguity, presentation &amp; influence skills</t>
        </is>
      </c>
      <c r="EU442" s="53" t="n"/>
      <c r="EV442" s="53" t="n"/>
      <c r="EW442" s="52" t="n"/>
      <c r="EX442" s="53" t="n"/>
      <c r="EY442" s="53" t="n"/>
      <c r="EZ442" s="53" t="n"/>
      <c r="FA442" s="53" t="n"/>
      <c r="FB442" s="53" t="n"/>
      <c r="FC442" s="53" t="n"/>
      <c r="FD442" s="53" t="n"/>
      <c r="FE442" s="57"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FF442" s="56" t="inlineStr">
        <is>
          <t>1. Complete Q1 IRIS Instant release-testing cycles at full coverage · defect leakage &lt;2%.
2. Meet Q1 conversion turnaround &amp; accuracy targets · &gt;=98%.
3. Resolve &gt;=90% of client support queries within SLA.</t>
        </is>
      </c>
      <c r="FG442" s="56" t="n"/>
      <c r="FH442" s="56" t="inlineStr">
        <is>
          <t>3 – Meets Expectations</t>
        </is>
      </c>
      <c r="FI442" s="56" t="n"/>
      <c r="FJ442" s="56" t="inlineStr">
        <is>
          <t>Received · manager annual, quarterly</t>
        </is>
      </c>
      <c r="FK442" s="56" t="inlineStr">
        <is>
          <t>Talent Mapping · iFile collated</t>
        </is>
      </c>
      <c r="FL442" s="56" t="n">
        <v>20</v>
      </c>
      <c r="FM442" s="32" t="inlineStr">
        <is>
          <t>Full survey answers not in the files received · How We Grow export needed · HR</t>
        </is>
      </c>
      <c r="FN442" s="56" t="inlineStr">
        <is>
          <t>—</t>
        </is>
      </c>
      <c r="FO442" s="56" t="inlineStr">
        <is>
          <t>—</t>
        </is>
      </c>
      <c r="FP442" s="56" t="inlineStr">
        <is>
          <t>—</t>
        </is>
      </c>
      <c r="FQ442" s="56" t="inlineStr">
        <is>
          <t>—</t>
        </is>
      </c>
      <c r="FR442" s="56" t="inlineStr">
        <is>
          <t>Complexity: Evidence reads like A2: iXBRL tagging, MBRS validation checks and ACRA testing; standard conversion work → matches the start
Autonomy: Evidence reads like A2: Decides data validation; rates own latitude as 'moderate' → matches the start
Accountability: Evidence reads like A2: Quality check and accuracy of own tagging; poor QC causes client escalation → matches the start
Leadership: Evidence reads like A1: None described → matches the start
Business Impact: No survey or manager-mapping signal on criticality: kept at the start point.</t>
        </is>
      </c>
      <c r="FS442" s="56" t="inlineStr">
        <is>
          <t>Common themes in role-holders' answers: taxonomy · xbrl · client · data · convert · consultant
Common themes in role-holders' answers: client · testing · taxonomy · requirement · support · development
Common themes in role-holders' answers: taxonomy · xbrl · output · structured
Common themes in role-holders' answers: taxonomy · development · testing · tagging · quality · creation
Common themes in role-holders' answers: testing · formula · validations · tagging · creation · taxonomy
If the work is missed · role-holders' themes: rework · client · escalation · retesting · time.
Measured on · manager-set KRA themes: resolve · defect · deliver · complete · modules · testing.</t>
        </is>
      </c>
      <c r="FT442" s="56" t="inlineStr">
        <is>
          <t>Self-identified: AI / automation · Product &amp; tool knowledge
For the next role: AI / automation · Product &amp; tool knowledge</t>
        </is>
      </c>
      <c r="FU442" s="32" t="inlineStr">
        <is>
          <t>Full survey answers not in the files received · How We Grow export needed · HR</t>
        </is>
      </c>
    </row>
    <row r="443" ht="90" customHeight="1">
      <c r="A443" s="51" t="inlineStr">
        <is>
          <t>◂ Back</t>
        </is>
      </c>
      <c r="B443" s="29" t="inlineStr">
        <is>
          <t>Mapped</t>
        </is>
      </c>
      <c r="C443" s="28" t="inlineStr">
        <is>
          <t>iFile</t>
        </is>
      </c>
      <c r="D443" s="29" t="inlineStr">
        <is>
          <t>IRISC343</t>
        </is>
      </c>
      <c r="E443" s="29" t="inlineStr">
        <is>
          <t>Tuku Deb</t>
        </is>
      </c>
      <c r="F443" s="29" t="inlineStr">
        <is>
          <t>XBRL Consulting</t>
        </is>
      </c>
      <c r="G443" s="29" t="inlineStr">
        <is>
          <t>XBRL Conversion Specialist</t>
        </is>
      </c>
      <c r="H443" s="29" t="inlineStr">
        <is>
          <t>Senior Financial Analyst</t>
        </is>
      </c>
      <c r="I443" s="29" t="inlineStr">
        <is>
          <t>L3 – Professional / Associate</t>
        </is>
      </c>
      <c r="J443" s="29" t="inlineStr">
        <is>
          <t>A3</t>
        </is>
      </c>
      <c r="K443" s="29" t="inlineStr">
        <is>
          <t>▲ Up</t>
        </is>
      </c>
      <c r="L443" s="29" t="inlineStr">
        <is>
          <t>Consulting &amp; Professional Services</t>
        </is>
      </c>
      <c r="M443" s="29" t="inlineStr">
        <is>
          <t>XBRL Tagging, Conversion &amp; Filing</t>
        </is>
      </c>
      <c r="N443" s="29" t="n"/>
      <c r="O443" s="29" t="n">
        <v>20</v>
      </c>
      <c r="P443" s="28" t="inlineStr">
        <is>
          <t>P2</t>
        </is>
      </c>
      <c r="Q443" s="29" t="inlineStr">
        <is>
          <t>Developing</t>
        </is>
      </c>
      <c r="R443" s="29" t="inlineStr">
        <is>
          <t>3 Apply</t>
        </is>
      </c>
      <c r="S443" s="29" t="inlineStr">
        <is>
          <t>2–4 yrs</t>
        </is>
      </c>
      <c r="T443" s="29" t="inlineStr">
        <is>
          <t>3–5 · 2–5</t>
        </is>
      </c>
      <c r="U443" s="29" t="inlineStr">
        <is>
          <t>Senior Analyst / Associate</t>
        </is>
      </c>
      <c r="V443" s="29" t="inlineStr">
        <is>
          <t>DataTracks: Senior Associate · 2–5 yrs · Big Four: Consultant · IRIS Vs Market Benchmark — XBRL US credential pathway: XBRL US GAAP Certificate</t>
        </is>
      </c>
      <c r="W443" s="29" t="inlineStr">
        <is>
          <t>XBRL US GAAP Certificate · AICPA &amp; XBRL US; XBRL International specifications; IFRS / US GAAP / Ind AS</t>
        </is>
      </c>
      <c r="X443" s="29" t="inlineStr">
        <is>
          <t>Core 2 · Future 2 · Functional 3 · Leadership not scored</t>
        </is>
      </c>
      <c r="Y443" s="52" t="n">
        <v>457</v>
      </c>
      <c r="Z443" s="53" t="inlineStr">
        <is>
          <t>IRISC343</t>
        </is>
      </c>
      <c r="AA443" s="53" t="inlineStr">
        <is>
          <t>On Contract</t>
        </is>
      </c>
      <c r="AB443" s="53" t="inlineStr">
        <is>
          <t>Active</t>
        </is>
      </c>
      <c r="AC443" s="53" t="inlineStr">
        <is>
          <t>Tuku Deb</t>
        </is>
      </c>
      <c r="AD443" s="54" t="n">
        <v>46076</v>
      </c>
      <c r="AE443" s="53" t="inlineStr">
        <is>
          <t>XBRL Conversion Specialist</t>
        </is>
      </c>
      <c r="AF443" s="53" t="inlineStr">
        <is>
          <t>PGDM</t>
        </is>
      </c>
      <c r="AG443" s="53" t="inlineStr">
        <is>
          <t>Shraddha Bagul</t>
        </is>
      </c>
      <c r="AH443" s="53" t="inlineStr">
        <is>
          <t>N-3</t>
        </is>
      </c>
      <c r="AI443" s="53" t="inlineStr">
        <is>
          <t>Individual Contributor</t>
        </is>
      </c>
      <c r="AJ443" s="53" t="inlineStr">
        <is>
          <t>2 years, 3 months, 0 days</t>
        </is>
      </c>
      <c r="AK443" s="53" t="inlineStr">
        <is>
          <t>0 years, 6 months, 2 days</t>
        </is>
      </c>
      <c r="AL443" s="53" t="inlineStr">
        <is>
          <t>Suptech</t>
        </is>
      </c>
      <c r="AM443" s="53" t="inlineStr">
        <is>
          <t>iFile</t>
        </is>
      </c>
      <c r="AN443" s="53" t="inlineStr">
        <is>
          <t>XBRL Consulting</t>
        </is>
      </c>
      <c r="AO443" s="53" t="inlineStr">
        <is>
          <t>Consulting</t>
        </is>
      </c>
      <c r="AP443" s="53" t="inlineStr">
        <is>
          <t>No</t>
        </is>
      </c>
      <c r="AQ443" s="53" t="inlineStr">
        <is>
          <t>Professional Services</t>
        </is>
      </c>
      <c r="AR443" s="53" t="inlineStr">
        <is>
          <t>XBRL Domain</t>
        </is>
      </c>
      <c r="AS443" s="53" t="inlineStr">
        <is>
          <t>Non-technical</t>
        </is>
      </c>
      <c r="AT443" s="53" t="n">
        <v>20</v>
      </c>
      <c r="AU443" s="53" t="inlineStr">
        <is>
          <t>Covered</t>
        </is>
      </c>
      <c r="AV443" s="53" t="n"/>
      <c r="AW443" s="53" t="n"/>
      <c r="AX443" s="53" t="n"/>
      <c r="AY443" s="53" t="n"/>
      <c r="AZ443" s="53" t="n"/>
      <c r="BA443" s="53" t="n"/>
      <c r="BB443" s="53" t="n"/>
      <c r="BC443" s="53" t="n"/>
      <c r="BD443" s="53" t="n"/>
      <c r="BE443" s="53" t="n"/>
      <c r="BF443" s="53" t="n"/>
      <c r="BG443" s="53" t="n"/>
      <c r="BH443" s="53" t="n"/>
      <c r="BI443" s="53" t="n"/>
      <c r="BJ443" s="53" t="n"/>
      <c r="BK443" s="53" t="n"/>
      <c r="BL443" s="53" t="n"/>
      <c r="BM443" s="53" t="n"/>
      <c r="BN443" s="53" t="n"/>
      <c r="BO443" s="53" t="n"/>
      <c r="BP443" s="53" t="n"/>
      <c r="BQ443" s="53" t="n"/>
      <c r="BR443" s="53" t="n"/>
      <c r="BS443" s="53" t="n"/>
      <c r="BT443" s="53" t="n"/>
      <c r="BU443" s="53" t="n"/>
      <c r="BV443" s="53" t="n"/>
      <c r="BW443" s="53" t="n"/>
      <c r="BX443" s="53" t="n"/>
      <c r="BY443" s="53" t="n"/>
      <c r="BZ443" s="53" t="n"/>
      <c r="CA443" s="53" t="n"/>
      <c r="CB443" s="53" t="n"/>
      <c r="CC443" s="53" t="n"/>
      <c r="CD443" s="53" t="n"/>
      <c r="CE443" s="53" t="n"/>
      <c r="CF443" s="53" t="n"/>
      <c r="CG443" s="53" t="n"/>
      <c r="CH443" s="53" t="n"/>
      <c r="CI443" s="53" t="n"/>
      <c r="CJ443" s="53" t="n"/>
      <c r="CK443" s="53" t="n"/>
      <c r="CL443" s="53" t="n"/>
      <c r="CM443" s="53" t="n"/>
      <c r="CN443" s="53" t="n"/>
      <c r="CO443" s="53" t="n"/>
      <c r="CP443" s="53" t="n"/>
      <c r="CQ443" s="53" t="n"/>
      <c r="CR443" s="53" t="n"/>
      <c r="CS443" s="53" t="n"/>
      <c r="CT443" s="53" t="n"/>
      <c r="CU443" s="53" t="n"/>
      <c r="CV443" s="53" t="n"/>
      <c r="CW443" s="53" t="n"/>
      <c r="CX443" s="53" t="n"/>
      <c r="CY443" s="53" t="n"/>
      <c r="CZ443" s="53" t="n"/>
      <c r="DA443" s="53" t="n"/>
      <c r="DB443" s="53" t="n"/>
      <c r="DC443" s="53" t="n"/>
      <c r="DD443" s="53" t="inlineStr">
        <is>
          <t>IRISC343</t>
        </is>
      </c>
      <c r="DE443" s="53" t="inlineStr">
        <is>
          <t>On Contract</t>
        </is>
      </c>
      <c r="DF443" s="53" t="inlineStr">
        <is>
          <t>Active</t>
        </is>
      </c>
      <c r="DG443" s="53" t="inlineStr">
        <is>
          <t>Tuku Deb</t>
        </is>
      </c>
      <c r="DH443" s="54" t="n">
        <v>46076</v>
      </c>
      <c r="DI443" s="53" t="inlineStr">
        <is>
          <t>XBRL Conversion Specialist</t>
        </is>
      </c>
      <c r="DJ443" s="53" t="inlineStr">
        <is>
          <t>Consulting &amp; Professional Services</t>
        </is>
      </c>
      <c r="DK443" s="53" t="inlineStr">
        <is>
          <t>XBRL / Regulatory Reporting</t>
        </is>
      </c>
      <c r="DL443" s="53" t="inlineStr">
        <is>
          <t>XBRL Conversion Specialist</t>
        </is>
      </c>
      <c r="DM443" s="53" t="inlineStr">
        <is>
          <t>L3 – Professional / Associate</t>
        </is>
      </c>
      <c r="DN443" s="53" t="inlineStr">
        <is>
          <t>PGDM</t>
        </is>
      </c>
      <c r="DO443" s="53" t="inlineStr">
        <is>
          <t>Shraddha Bagul</t>
        </is>
      </c>
      <c r="DP443" s="53" t="inlineStr">
        <is>
          <t>N-3</t>
        </is>
      </c>
      <c r="DQ443" s="53" t="inlineStr">
        <is>
          <t>Individual Contributor</t>
        </is>
      </c>
      <c r="DR443" s="53" t="inlineStr">
        <is>
          <t>2 years, 3 months, 0 days</t>
        </is>
      </c>
      <c r="DS443" s="53" t="inlineStr">
        <is>
          <t>0 years, 3 months, 28 days</t>
        </is>
      </c>
      <c r="DT443" s="53" t="inlineStr">
        <is>
          <t>2 years, 6 months, 28 days</t>
        </is>
      </c>
      <c r="DU443" s="53" t="n"/>
      <c r="DV443" s="53" t="inlineStr">
        <is>
          <t>Suptech</t>
        </is>
      </c>
      <c r="DW443" s="53" t="inlineStr">
        <is>
          <t>iFile</t>
        </is>
      </c>
      <c r="DX443" s="53" t="inlineStr">
        <is>
          <t>XBRL Consulting</t>
        </is>
      </c>
      <c r="DY443" s="53" t="inlineStr">
        <is>
          <t>Consulting</t>
        </is>
      </c>
      <c r="DZ443" s="53" t="inlineStr">
        <is>
          <t>No</t>
        </is>
      </c>
      <c r="EA443" s="53" t="inlineStr">
        <is>
          <t>Professional Services</t>
        </is>
      </c>
      <c r="EB443" s="53" t="inlineStr">
        <is>
          <t>XBRL Domain</t>
        </is>
      </c>
      <c r="EC443" s="53" t="inlineStr">
        <is>
          <t>Non-technical</t>
        </is>
      </c>
      <c r="ED443" s="53" t="inlineStr">
        <is>
          <t>Work From Office - Turbhe</t>
        </is>
      </c>
      <c r="EE443" s="53" t="n"/>
      <c r="EF443" s="53"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EG443" s="53" t="inlineStr">
        <is>
          <t>1. Complete Q1 IRIS Instant release-testing cycles at full coverage · defect leakage &lt;2%.
2. Meet Q1 conversion turnaround &amp; accuracy targets.
3. Resolve &gt;=90% of client support queries within SLA.</t>
        </is>
      </c>
      <c r="EH443" s="53" t="inlineStr">
        <is>
          <t>3 – Meets Expectations</t>
        </is>
      </c>
      <c r="EI443" s="53" t="n"/>
      <c r="EJ443" s="53" t="inlineStr">
        <is>
          <t>XBRL Conversion Specialist</t>
        </is>
      </c>
      <c r="EK443" s="53" t="inlineStr">
        <is>
          <t>No change</t>
        </is>
      </c>
      <c r="EL443" s="53" t="n">
        <v>3</v>
      </c>
      <c r="EM443" s="53" t="inlineStr">
        <is>
          <t>Medium</t>
        </is>
      </c>
      <c r="EN443" s="53" t="inlineStr">
        <is>
          <t>Core Contributor</t>
        </is>
      </c>
      <c r="EO443" s="53" t="n"/>
      <c r="EP443" s="53" t="inlineStr">
        <is>
          <t>No</t>
        </is>
      </c>
      <c r="EQ443" s="53" t="n"/>
      <c r="ER443" s="53" t="inlineStr">
        <is>
          <t>To be identified</t>
        </is>
      </c>
      <c r="ES443" s="53" t="inlineStr">
        <is>
          <t>XBRL taxonomy &amp; regulatory updates; domain/accounting refreshers; quality &amp; accuracy practices; tooling proficiency</t>
        </is>
      </c>
      <c r="ET443" s="53" t="inlineStr">
        <is>
          <t>Transition to leadership: people management &amp; delegation, mentoring/coaching, project ownership &amp; stakeholder management, prioritisation under ambiguity, presentation &amp; influence skills</t>
        </is>
      </c>
      <c r="EU443" s="53" t="inlineStr">
        <is>
          <t>RBI,CBJ</t>
        </is>
      </c>
      <c r="EV443" s="53" t="n"/>
      <c r="EW443" s="52" t="n"/>
      <c r="EX443" s="53" t="n"/>
      <c r="EY443" s="53" t="n"/>
      <c r="EZ443" s="53" t="n"/>
      <c r="FA443" s="53" t="n"/>
      <c r="FB443" s="53" t="n"/>
      <c r="FC443" s="53" t="n"/>
      <c r="FD443" s="53" t="n"/>
      <c r="FE443" s="57"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FF443" s="56" t="inlineStr">
        <is>
          <t>1. Complete Q1 IRIS Instant release-testing cycles at full coverage · defect leakage &lt;2%.
2. Meet Q1 conversion turnaround &amp; accuracy targets · &gt;=98%.
3. Resolve &gt;=90% of client support queries within SLA.</t>
        </is>
      </c>
      <c r="FG443" s="56" t="n"/>
      <c r="FH443" s="56" t="inlineStr">
        <is>
          <t>3 – Meets Expectations</t>
        </is>
      </c>
      <c r="FI443" s="56" t="n"/>
      <c r="FJ443" s="56" t="inlineStr">
        <is>
          <t>Received · manager annual, quarterly</t>
        </is>
      </c>
      <c r="FK443" s="56" t="inlineStr">
        <is>
          <t>Talent Mapping · iFile collated</t>
        </is>
      </c>
      <c r="FL443" s="56" t="n">
        <v>20</v>
      </c>
      <c r="FM443" s="32" t="inlineStr">
        <is>
          <t>Full survey answers not in the files received · How We Grow export needed · HR</t>
        </is>
      </c>
      <c r="FN443" s="56" t="inlineStr">
        <is>
          <t>—</t>
        </is>
      </c>
      <c r="FO443" s="56" t="inlineStr">
        <is>
          <t>—</t>
        </is>
      </c>
      <c r="FP443" s="56" t="inlineStr">
        <is>
          <t>—</t>
        </is>
      </c>
      <c r="FQ443" s="56" t="inlineStr">
        <is>
          <t>—</t>
        </is>
      </c>
      <c r="FR443" s="56" t="inlineStr">
        <is>
          <t>Complexity: Evidence reads like A2: XBRL tagging and data validation of client financial reports in IRIS Instant → matches the start
Autonomy: Evidence reads like A2: Identifies issues and raises them → matches the start
Accountability: Evidence reads like A2: own survey / KRA answers · summarised by the rater; not quoted → matches the start
Leadership: Evidence reads like A1: None described → matches the start
Business Impact: No survey or manager-mapping signal on criticality: kept at the start point.</t>
        </is>
      </c>
      <c r="FS443" s="56" t="inlineStr">
        <is>
          <t>Common themes in role-holders' answers: financial · accurately · tagging · reporting · us · core
Common themes in role-holders' answers: tagging · quality · validation · filing · resolution · financial
Common themes in role-holders' answers: financial · files · reports · tagging · accurate · tagged
Common themes in role-holders' answers: tagging · accountable · am · quality · accuracy · validation
Common themes in role-holders' answers: tagging · validation · independently · issues · appropriate · assigned
If the work is missed · role-holders' themes: rework · delays · errors · incorrect · additional.
Measured on · manager-set KRA themes: resolve · full · coverage · cycles · defect · xbrl.</t>
        </is>
      </c>
      <c r="FT443" s="56" t="inlineStr">
        <is>
          <t>Self-identified: AI / automation · Technical depth &amp; architecture · Data, SQL &amp; analytics
For the next role: AI / automation · Technical depth &amp; architecture · Data, SQL &amp; analytics</t>
        </is>
      </c>
      <c r="FU443" s="32" t="inlineStr">
        <is>
          <t>Full survey answers not in the files received · How We Grow export needed · HR</t>
        </is>
      </c>
    </row>
    <row r="444" ht="90" customHeight="1">
      <c r="A444" s="51" t="inlineStr">
        <is>
          <t>◂ Back</t>
        </is>
      </c>
      <c r="B444" s="29" t="inlineStr">
        <is>
          <t>Mapped</t>
        </is>
      </c>
      <c r="C444" s="28" t="inlineStr">
        <is>
          <t>iFile</t>
        </is>
      </c>
      <c r="D444" s="29" t="inlineStr">
        <is>
          <t>IRIS2247</t>
        </is>
      </c>
      <c r="E444" s="29" t="inlineStr">
        <is>
          <t>Unnati Kamble</t>
        </is>
      </c>
      <c r="F444" s="29" t="inlineStr">
        <is>
          <t>XBRL Consulting</t>
        </is>
      </c>
      <c r="G444" s="29" t="inlineStr">
        <is>
          <t>Consultant</t>
        </is>
      </c>
      <c r="H444" s="29" t="inlineStr">
        <is>
          <t>Senior Taxonomy Analyst</t>
        </is>
      </c>
      <c r="I444" s="29" t="inlineStr">
        <is>
          <t>L3 – Professional / Associate</t>
        </is>
      </c>
      <c r="J444" s="29" t="inlineStr">
        <is>
          <t>A3</t>
        </is>
      </c>
      <c r="K444" s="29" t="inlineStr">
        <is>
          <t>▲ Up</t>
        </is>
      </c>
      <c r="L444" s="29" t="inlineStr">
        <is>
          <t>Consulting &amp; Professional Services</t>
        </is>
      </c>
      <c r="M444" s="29" t="inlineStr">
        <is>
          <t>Taxonomy Design &amp; Regulatory Consulting</t>
        </is>
      </c>
      <c r="N444" s="29" t="n"/>
      <c r="O444" s="29" t="n">
        <v>19</v>
      </c>
      <c r="P444" s="28" t="inlineStr">
        <is>
          <t>P2</t>
        </is>
      </c>
      <c r="Q444" s="29" t="inlineStr">
        <is>
          <t>Developing</t>
        </is>
      </c>
      <c r="R444" s="29" t="inlineStr">
        <is>
          <t>3 Apply</t>
        </is>
      </c>
      <c r="S444" s="29" t="inlineStr">
        <is>
          <t>2–4 yrs</t>
        </is>
      </c>
      <c r="T444" s="29" t="inlineStr">
        <is>
          <t>3–5 · 2–5</t>
        </is>
      </c>
      <c r="U444" s="29" t="inlineStr">
        <is>
          <t>Senior Analyst / Associate</t>
        </is>
      </c>
      <c r="V444" s="29" t="inlineStr">
        <is>
          <t>DataTracks: Senior Associate · 2–5 yrs · Big Four: Consultant · IRIS Vs Market Benchmark — XBRL US credential pathway: XBRL US GAAP Certificate</t>
        </is>
      </c>
      <c r="W444" s="29" t="inlineStr">
        <is>
          <t>XBRL US GAAP Certificate · AICPA &amp; XBRL US; XBRL International specifications; IFRS / US GAAP / Ind AS</t>
        </is>
      </c>
      <c r="X444" s="29" t="inlineStr">
        <is>
          <t>Core 2 · Future 2 · Functional 3 · Leadership not scored</t>
        </is>
      </c>
      <c r="Y444" s="52" t="n">
        <v>315</v>
      </c>
      <c r="Z444" s="53" t="inlineStr">
        <is>
          <t>IRIS2247</t>
        </is>
      </c>
      <c r="AA444" s="53" t="inlineStr">
        <is>
          <t>Employee</t>
        </is>
      </c>
      <c r="AB444" s="53" t="inlineStr">
        <is>
          <t>Active</t>
        </is>
      </c>
      <c r="AC444" s="53" t="inlineStr">
        <is>
          <t>Unnati Kamble</t>
        </is>
      </c>
      <c r="AD444" s="54" t="n">
        <v>45421</v>
      </c>
      <c r="AE444" s="53" t="inlineStr">
        <is>
          <t>Consultant</t>
        </is>
      </c>
      <c r="AF444" s="53" t="inlineStr">
        <is>
          <t>CA</t>
        </is>
      </c>
      <c r="AG444" s="53" t="inlineStr">
        <is>
          <t>Shraddha Bagul</t>
        </is>
      </c>
      <c r="AH444" s="53" t="inlineStr">
        <is>
          <t>N-3</t>
        </is>
      </c>
      <c r="AI444" s="53" t="inlineStr">
        <is>
          <t>Individual Contributor</t>
        </is>
      </c>
      <c r="AJ444" s="53" t="inlineStr">
        <is>
          <t>5 years, 1 months, 0 days</t>
        </is>
      </c>
      <c r="AK444" s="53" t="inlineStr">
        <is>
          <t>2 years, 3 months, 16 days</t>
        </is>
      </c>
      <c r="AL444" s="53" t="inlineStr">
        <is>
          <t>Suptech</t>
        </is>
      </c>
      <c r="AM444" s="53" t="inlineStr">
        <is>
          <t>iFile</t>
        </is>
      </c>
      <c r="AN444" s="53" t="inlineStr">
        <is>
          <t>XBRL Consulting</t>
        </is>
      </c>
      <c r="AO444" s="53" t="inlineStr">
        <is>
          <t>Consulting</t>
        </is>
      </c>
      <c r="AP444" s="53" t="inlineStr">
        <is>
          <t>No</t>
        </is>
      </c>
      <c r="AQ444" s="53" t="inlineStr">
        <is>
          <t>Professional Services</t>
        </is>
      </c>
      <c r="AR444" s="53" t="inlineStr">
        <is>
          <t>XBRL Domain</t>
        </is>
      </c>
      <c r="AS444" s="53" t="inlineStr">
        <is>
          <t>Non-technical</t>
        </is>
      </c>
      <c r="AT444" s="53" t="n">
        <v>20</v>
      </c>
      <c r="AU444" s="53" t="inlineStr">
        <is>
          <t>Covered</t>
        </is>
      </c>
      <c r="AV444" s="53" t="n"/>
      <c r="AW444" s="53" t="n"/>
      <c r="AX444" s="53" t="n"/>
      <c r="AY444" s="53" t="n"/>
      <c r="AZ444" s="53" t="n"/>
      <c r="BA444" s="53" t="n"/>
      <c r="BB444" s="53" t="n"/>
      <c r="BC444" s="53" t="n"/>
      <c r="BD444" s="53" t="n"/>
      <c r="BE444" s="53" t="n"/>
      <c r="BF444" s="53" t="n"/>
      <c r="BG444" s="53" t="n"/>
      <c r="BH444" s="53" t="n"/>
      <c r="BI444" s="53" t="n"/>
      <c r="BJ444" s="53" t="n"/>
      <c r="BK444" s="53" t="n"/>
      <c r="BL444" s="53" t="n"/>
      <c r="BM444" s="53" t="n"/>
      <c r="BN444" s="53" t="n"/>
      <c r="BO444" s="53" t="n"/>
      <c r="BP444" s="53" t="n"/>
      <c r="BQ444" s="53" t="n"/>
      <c r="BR444" s="53" t="n"/>
      <c r="BS444" s="53" t="n"/>
      <c r="BT444" s="53" t="n"/>
      <c r="BU444" s="53" t="n"/>
      <c r="BV444" s="53" t="n"/>
      <c r="BW444" s="53" t="n"/>
      <c r="BX444" s="53" t="n"/>
      <c r="BY444" s="53" t="n"/>
      <c r="BZ444" s="53" t="n"/>
      <c r="CA444" s="53" t="n"/>
      <c r="CB444" s="53" t="n"/>
      <c r="CC444" s="53" t="n"/>
      <c r="CD444" s="53" t="n"/>
      <c r="CE444" s="53" t="n"/>
      <c r="CF444" s="53" t="n"/>
      <c r="CG444" s="53" t="n"/>
      <c r="CH444" s="53" t="n"/>
      <c r="CI444" s="53" t="n"/>
      <c r="CJ444" s="53" t="n"/>
      <c r="CK444" s="53" t="n"/>
      <c r="CL444" s="53" t="n"/>
      <c r="CM444" s="53" t="n"/>
      <c r="CN444" s="53" t="n"/>
      <c r="CO444" s="53" t="n"/>
      <c r="CP444" s="53" t="n"/>
      <c r="CQ444" s="53" t="n"/>
      <c r="CR444" s="53" t="n"/>
      <c r="CS444" s="53" t="n"/>
      <c r="CT444" s="53" t="n"/>
      <c r="CU444" s="53" t="n"/>
      <c r="CV444" s="53" t="n"/>
      <c r="CW444" s="53" t="n"/>
      <c r="CX444" s="53" t="n"/>
      <c r="CY444" s="53" t="n"/>
      <c r="CZ444" s="53" t="n"/>
      <c r="DA444" s="53" t="n"/>
      <c r="DB444" s="53" t="n"/>
      <c r="DC444" s="53" t="n"/>
      <c r="DD444" s="53" t="inlineStr">
        <is>
          <t>IRIS2247</t>
        </is>
      </c>
      <c r="DE444" s="53" t="inlineStr">
        <is>
          <t>Employee</t>
        </is>
      </c>
      <c r="DF444" s="53" t="inlineStr">
        <is>
          <t>Active</t>
        </is>
      </c>
      <c r="DG444" s="53" t="inlineStr">
        <is>
          <t>Unnati Kamble</t>
        </is>
      </c>
      <c r="DH444" s="54" t="n">
        <v>45421</v>
      </c>
      <c r="DI444" s="53" t="inlineStr">
        <is>
          <t>Consultant</t>
        </is>
      </c>
      <c r="DJ444" s="53" t="inlineStr">
        <is>
          <t>Consulting &amp; Professional Services</t>
        </is>
      </c>
      <c r="DK444" s="53" t="inlineStr">
        <is>
          <t>XBRL / Regulatory Reporting</t>
        </is>
      </c>
      <c r="DL444" s="53" t="inlineStr">
        <is>
          <t>Consultant</t>
        </is>
      </c>
      <c r="DM444" s="53" t="inlineStr">
        <is>
          <t>L3 – Professional / Associate</t>
        </is>
      </c>
      <c r="DN444" s="53" t="inlineStr">
        <is>
          <t>CA</t>
        </is>
      </c>
      <c r="DO444" s="53" t="inlineStr">
        <is>
          <t>Shraddha Bagul</t>
        </is>
      </c>
      <c r="DP444" s="53" t="inlineStr">
        <is>
          <t>N-3</t>
        </is>
      </c>
      <c r="DQ444" s="53" t="inlineStr">
        <is>
          <t>Individual Contributor</t>
        </is>
      </c>
      <c r="DR444" s="53" t="inlineStr">
        <is>
          <t>5 years, 1 months, 0 days</t>
        </is>
      </c>
      <c r="DS444" s="53" t="inlineStr">
        <is>
          <t>2 years, 1 months, 11 days</t>
        </is>
      </c>
      <c r="DT444" s="53" t="inlineStr">
        <is>
          <t>7 years, 2 months, 11 days</t>
        </is>
      </c>
      <c r="DU444" s="53" t="n"/>
      <c r="DV444" s="53" t="inlineStr">
        <is>
          <t>Suptech</t>
        </is>
      </c>
      <c r="DW444" s="53" t="inlineStr">
        <is>
          <t>iFile</t>
        </is>
      </c>
      <c r="DX444" s="53" t="inlineStr">
        <is>
          <t>XBRL Consulting</t>
        </is>
      </c>
      <c r="DY444" s="53" t="inlineStr">
        <is>
          <t>Consulting</t>
        </is>
      </c>
      <c r="DZ444" s="53" t="inlineStr">
        <is>
          <t>No</t>
        </is>
      </c>
      <c r="EA444" s="53" t="inlineStr">
        <is>
          <t>Professional Services</t>
        </is>
      </c>
      <c r="EB444" s="53" t="inlineStr">
        <is>
          <t>XBRL Domain</t>
        </is>
      </c>
      <c r="EC444" s="53" t="inlineStr">
        <is>
          <t>Non-technical</t>
        </is>
      </c>
      <c r="ED444" s="53" t="inlineStr">
        <is>
          <t>Hybrid</t>
        </is>
      </c>
      <c r="EE444" s="53" t="n"/>
      <c r="EF444" s="53"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EG444" s="53" t="inlineStr">
        <is>
          <t>1. Complete Q1 taxonomy build/test tasks on schedule · &gt;=95% on-time.
2. Close assigned iFILE support tickets within SLA.
3. Finish Q1 Excel/Webform test cycles with defect leakage &lt;2%.</t>
        </is>
      </c>
      <c r="EH444" s="53" t="inlineStr">
        <is>
          <t>3 – Meets Expectations</t>
        </is>
      </c>
      <c r="EI444" s="53" t="inlineStr">
        <is>
          <t>Last appraisal in Oct 2025</t>
        </is>
      </c>
      <c r="EJ444" s="53" t="inlineStr">
        <is>
          <t>Consultant</t>
        </is>
      </c>
      <c r="EK444" s="53" t="inlineStr">
        <is>
          <t>No change</t>
        </is>
      </c>
      <c r="EL444" s="53" t="n">
        <v>3</v>
      </c>
      <c r="EM444" s="53" t="inlineStr">
        <is>
          <t>Low</t>
        </is>
      </c>
      <c r="EN444" s="53" t="inlineStr">
        <is>
          <t>Misplaced Talent / Enigma</t>
        </is>
      </c>
      <c r="EO444" s="53" t="n"/>
      <c r="EP444" s="53" t="inlineStr">
        <is>
          <t>No</t>
        </is>
      </c>
      <c r="EQ444" s="53" t="n"/>
      <c r="ER444" s="53" t="inlineStr">
        <is>
          <t>To be identified</t>
        </is>
      </c>
      <c r="ES444" s="53" t="inlineStr">
        <is>
          <t>XBRL taxonomy &amp; regulatory updates; domain/accounting refreshers; quality &amp; accuracy practices; tooling proficiency</t>
        </is>
      </c>
      <c r="ET444" s="53" t="inlineStr">
        <is>
          <t>Transition to leadership: people management &amp; delegation, mentoring/coaching, project ownership &amp; stakeholder management, prioritisation under ambiguity, presentation &amp; influence skills</t>
        </is>
      </c>
      <c r="EU444" s="53" t="inlineStr">
        <is>
          <t>RBI</t>
        </is>
      </c>
      <c r="EV444" s="53" t="n"/>
      <c r="EW444" s="52" t="n"/>
      <c r="EX444" s="53" t="n"/>
      <c r="EY444" s="53" t="n"/>
      <c r="EZ444" s="53" t="n"/>
      <c r="FA444" s="53" t="n"/>
      <c r="FB444" s="53" t="n"/>
      <c r="FC444" s="53" t="n"/>
      <c r="FD444" s="53" t="n"/>
      <c r="FE444" s="57"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FF444" s="56" t="inlineStr">
        <is>
          <t>1. Complete Q1 taxonomy build/test tasks on schedule · &gt;=95% on-time.
2. Close assigned iFILE support tickets within SLA · &gt;=90%.
3. Finish Q1 Excel/Webform test cycles with defect leakage &lt;2%.</t>
        </is>
      </c>
      <c r="FG444" s="56" t="n"/>
      <c r="FH444" s="56" t="inlineStr">
        <is>
          <t>3 – Meets Expectations</t>
        </is>
      </c>
      <c r="FI444" s="56" t="n"/>
      <c r="FJ444" s="56" t="inlineStr">
        <is>
          <t>Received · manager annual, quarterly</t>
        </is>
      </c>
      <c r="FK444" s="56" t="inlineStr">
        <is>
          <t>Talent Mapping · iFile collated</t>
        </is>
      </c>
      <c r="FL444" s="56" t="n">
        <v>19</v>
      </c>
      <c r="FM444" s="32" t="inlineStr">
        <is>
          <t>Full survey answers not in the files received · How We Grow export needed · HR</t>
        </is>
      </c>
      <c r="FN444" s="56" t="inlineStr">
        <is>
          <t>—</t>
        </is>
      </c>
      <c r="FO444" s="56" t="inlineStr">
        <is>
          <t>—</t>
        </is>
      </c>
      <c r="FP444" s="56" t="inlineStr">
        <is>
          <t>—</t>
        </is>
      </c>
      <c r="FQ444" s="56" t="inlineStr">
        <is>
          <t>—</t>
        </is>
      </c>
      <c r="FR444" s="56" t="inlineStr">
        <is>
          <t>Complexity: Evidence reads like A3: Analyses regulator data points, develops SRS and CMS, creates validations, tests front end across regulations → matches the start
Autonomy: Evidence reads like A2: Decides tagging and creating validations within assigned projects → moved down 0.5
Accountability: Evidence reads like A2: Accountable for own tagging and validations; errors cause escalations and rework → moved down 0.5
Leadership: Evidence reads like A1: None described → moved down 0.5
Business Impact: No survey or manager-mapping signal on criticality: kept at the start point.</t>
        </is>
      </c>
      <c r="FS444" s="56" t="inlineStr">
        <is>
          <t>Common themes in role-holders' answers: taxonomy · xbrl · client · data · convert · consultant
Common themes in role-holders' answers: client · testing · taxonomy · requirement · support · development
Common themes in role-holders' answers: taxonomy · xbrl · output · structured
Common themes in role-holders' answers: taxonomy · development · testing · tagging · quality · creation
Common themes in role-holders' answers: testing · formula · validations · tagging · creation · taxonomy
If the work is missed · role-holders' themes: rework · client · escalation · retesting · time.
Measured on · manager-set KRA themes: resolve · defect · deliver · complete · modules · testing.</t>
        </is>
      </c>
      <c r="FT444" s="56" t="inlineStr">
        <is>
          <t>Self-identified: AI / automation
For the next role: AI / automation</t>
        </is>
      </c>
      <c r="FU444" s="32" t="inlineStr">
        <is>
          <t>Full survey answers not in the files received · How We Grow export needed · HR</t>
        </is>
      </c>
    </row>
    <row r="445" ht="90" customHeight="1">
      <c r="A445" s="51" t="inlineStr">
        <is>
          <t>◂ Back</t>
        </is>
      </c>
      <c r="B445" s="29" t="inlineStr">
        <is>
          <t>Mapped</t>
        </is>
      </c>
      <c r="C445" s="28" t="inlineStr">
        <is>
          <t>iFile</t>
        </is>
      </c>
      <c r="D445" s="29" t="inlineStr">
        <is>
          <t>IRIS2144</t>
        </is>
      </c>
      <c r="E445" s="29" t="inlineStr">
        <is>
          <t>Vaishnavi Deshpande</t>
        </is>
      </c>
      <c r="F445" s="29" t="inlineStr">
        <is>
          <t>XBRL Consulting</t>
        </is>
      </c>
      <c r="G445" s="29" t="inlineStr">
        <is>
          <t>Consultant</t>
        </is>
      </c>
      <c r="H445" s="29" t="inlineStr">
        <is>
          <t>Taxonomy Specialist</t>
        </is>
      </c>
      <c r="I445" s="29" t="inlineStr">
        <is>
          <t>L3 – Professional / Associate</t>
        </is>
      </c>
      <c r="J445" s="29" t="inlineStr">
        <is>
          <t>A3</t>
        </is>
      </c>
      <c r="K445" s="29" t="inlineStr">
        <is>
          <t>▲ Up</t>
        </is>
      </c>
      <c r="L445" s="29" t="inlineStr">
        <is>
          <t>Consulting &amp; Professional Services</t>
        </is>
      </c>
      <c r="M445" s="29" t="inlineStr">
        <is>
          <t>Taxonomy Design &amp; Regulatory Consulting</t>
        </is>
      </c>
      <c r="N445" s="29" t="n"/>
      <c r="O445" s="29" t="n">
        <v>20</v>
      </c>
      <c r="P445" s="28" t="inlineStr">
        <is>
          <t>P2</t>
        </is>
      </c>
      <c r="Q445" s="29" t="inlineStr">
        <is>
          <t>Developing</t>
        </is>
      </c>
      <c r="R445" s="29" t="inlineStr">
        <is>
          <t>3 Apply</t>
        </is>
      </c>
      <c r="S445" s="29" t="inlineStr">
        <is>
          <t>2–4 yrs</t>
        </is>
      </c>
      <c r="T445" s="29" t="inlineStr">
        <is>
          <t>3–5 · 2–5</t>
        </is>
      </c>
      <c r="U445" s="29" t="inlineStr">
        <is>
          <t>Consultant / Senior Associate</t>
        </is>
      </c>
      <c r="V445" s="29" t="inlineStr">
        <is>
          <t>DataTracks: Senior Associate · 2–5 yrs · Big Four: Consultant · IRIS Vs Market Benchmark — XBRL US credential pathway: XBRL US GAAP Certificate</t>
        </is>
      </c>
      <c r="W445" s="29" t="inlineStr">
        <is>
          <t>XBRL US GAAP Certificate · AICPA &amp; XBRL US; XBRL International specifications; IFRS / US GAAP / Ind AS</t>
        </is>
      </c>
      <c r="X445" s="29" t="inlineStr">
        <is>
          <t>Core 2 · Future 2 · Functional 3 · Leadership not scored</t>
        </is>
      </c>
      <c r="Y445" s="52" t="n">
        <v>275</v>
      </c>
      <c r="Z445" s="53" t="inlineStr">
        <is>
          <t>IRIS2144</t>
        </is>
      </c>
      <c r="AA445" s="53" t="inlineStr">
        <is>
          <t>Employee</t>
        </is>
      </c>
      <c r="AB445" s="53" t="inlineStr">
        <is>
          <t>Active</t>
        </is>
      </c>
      <c r="AC445" s="53" t="inlineStr">
        <is>
          <t>Vaishnavi Deshpande</t>
        </is>
      </c>
      <c r="AD445" s="54" t="n">
        <v>45078</v>
      </c>
      <c r="AE445" s="53" t="inlineStr">
        <is>
          <t>Consultant</t>
        </is>
      </c>
      <c r="AF445" s="53" t="inlineStr">
        <is>
          <t>Cost Accountant</t>
        </is>
      </c>
      <c r="AG445" s="53" t="inlineStr">
        <is>
          <t>Shraddha Bagul</t>
        </is>
      </c>
      <c r="AH445" s="53" t="inlineStr">
        <is>
          <t>N-3</t>
        </is>
      </c>
      <c r="AI445" s="53" t="inlineStr">
        <is>
          <t>Individual Contributor</t>
        </is>
      </c>
      <c r="AJ445" s="53" t="inlineStr">
        <is>
          <t>5 years, 11 months, 0 days</t>
        </is>
      </c>
      <c r="AK445" s="53" t="inlineStr">
        <is>
          <t>3 years, 2 months, 24 days</t>
        </is>
      </c>
      <c r="AL445" s="53" t="inlineStr">
        <is>
          <t>Suptech</t>
        </is>
      </c>
      <c r="AM445" s="53" t="inlineStr">
        <is>
          <t>iFile</t>
        </is>
      </c>
      <c r="AN445" s="53" t="inlineStr">
        <is>
          <t>XBRL Consulting</t>
        </is>
      </c>
      <c r="AO445" s="53" t="inlineStr">
        <is>
          <t>Consulting</t>
        </is>
      </c>
      <c r="AP445" s="53" t="inlineStr">
        <is>
          <t>No</t>
        </is>
      </c>
      <c r="AQ445" s="53" t="inlineStr">
        <is>
          <t>Professional Services</t>
        </is>
      </c>
      <c r="AR445" s="53" t="inlineStr">
        <is>
          <t>XBRL Domain</t>
        </is>
      </c>
      <c r="AS445" s="53" t="inlineStr">
        <is>
          <t>Non-technical</t>
        </is>
      </c>
      <c r="AT445" s="53" t="n">
        <v>20</v>
      </c>
      <c r="AU445" s="53" t="inlineStr">
        <is>
          <t>Covered</t>
        </is>
      </c>
      <c r="AV445" s="53" t="n"/>
      <c r="AW445" s="53" t="n"/>
      <c r="AX445" s="53" t="n"/>
      <c r="AY445" s="53" t="n"/>
      <c r="AZ445" s="53" t="n"/>
      <c r="BA445" s="53" t="n"/>
      <c r="BB445" s="53" t="n"/>
      <c r="BC445" s="53" t="n"/>
      <c r="BD445" s="53" t="n"/>
      <c r="BE445" s="53" t="n"/>
      <c r="BF445" s="53" t="n"/>
      <c r="BG445" s="53" t="n"/>
      <c r="BH445" s="53" t="n"/>
      <c r="BI445" s="53" t="n"/>
      <c r="BJ445" s="53" t="n"/>
      <c r="BK445" s="53" t="n"/>
      <c r="BL445" s="53" t="n"/>
      <c r="BM445" s="53" t="n"/>
      <c r="BN445" s="53" t="n"/>
      <c r="BO445" s="53" t="n"/>
      <c r="BP445" s="53" t="n"/>
      <c r="BQ445" s="53" t="n"/>
      <c r="BR445" s="53" t="n"/>
      <c r="BS445" s="53" t="n"/>
      <c r="BT445" s="53" t="n"/>
      <c r="BU445" s="53" t="n"/>
      <c r="BV445" s="53" t="n"/>
      <c r="BW445" s="53" t="n"/>
      <c r="BX445" s="53" t="n"/>
      <c r="BY445" s="53" t="n"/>
      <c r="BZ445" s="53" t="n"/>
      <c r="CA445" s="53" t="n"/>
      <c r="CB445" s="53" t="n"/>
      <c r="CC445" s="53" t="n"/>
      <c r="CD445" s="53" t="n"/>
      <c r="CE445" s="53" t="n"/>
      <c r="CF445" s="53" t="n"/>
      <c r="CG445" s="53" t="n"/>
      <c r="CH445" s="53" t="n"/>
      <c r="CI445" s="53" t="n"/>
      <c r="CJ445" s="53" t="n"/>
      <c r="CK445" s="53" t="n"/>
      <c r="CL445" s="53" t="n"/>
      <c r="CM445" s="53" t="n"/>
      <c r="CN445" s="53" t="n"/>
      <c r="CO445" s="53" t="n"/>
      <c r="CP445" s="53" t="n"/>
      <c r="CQ445" s="53" t="n"/>
      <c r="CR445" s="53" t="n"/>
      <c r="CS445" s="53" t="n"/>
      <c r="CT445" s="53" t="n"/>
      <c r="CU445" s="53" t="n"/>
      <c r="CV445" s="53" t="n"/>
      <c r="CW445" s="53" t="n"/>
      <c r="CX445" s="53" t="n"/>
      <c r="CY445" s="53" t="n"/>
      <c r="CZ445" s="53" t="n"/>
      <c r="DA445" s="53" t="n"/>
      <c r="DB445" s="53" t="n"/>
      <c r="DC445" s="53" t="n"/>
      <c r="DD445" s="53" t="inlineStr">
        <is>
          <t>IRIS2144</t>
        </is>
      </c>
      <c r="DE445" s="53" t="inlineStr">
        <is>
          <t>Employee</t>
        </is>
      </c>
      <c r="DF445" s="53" t="inlineStr">
        <is>
          <t>Active</t>
        </is>
      </c>
      <c r="DG445" s="53" t="inlineStr">
        <is>
          <t>Vaishnavi Deshpande</t>
        </is>
      </c>
      <c r="DH445" s="54" t="n">
        <v>45078</v>
      </c>
      <c r="DI445" s="53" t="inlineStr">
        <is>
          <t>Consultant</t>
        </is>
      </c>
      <c r="DJ445" s="53" t="inlineStr">
        <is>
          <t>Consulting &amp; Professional Services</t>
        </is>
      </c>
      <c r="DK445" s="53" t="inlineStr">
        <is>
          <t>XBRL / Regulatory Reporting</t>
        </is>
      </c>
      <c r="DL445" s="53" t="inlineStr">
        <is>
          <t>Consultant</t>
        </is>
      </c>
      <c r="DM445" s="53" t="inlineStr">
        <is>
          <t>L3 – Professional / Associate</t>
        </is>
      </c>
      <c r="DN445" s="53" t="inlineStr">
        <is>
          <t>Cost Accountant</t>
        </is>
      </c>
      <c r="DO445" s="53" t="inlineStr">
        <is>
          <t>Shraddha Bagul</t>
        </is>
      </c>
      <c r="DP445" s="53" t="inlineStr">
        <is>
          <t>N-3</t>
        </is>
      </c>
      <c r="DQ445" s="53" t="inlineStr">
        <is>
          <t>Individual Contributor</t>
        </is>
      </c>
      <c r="DR445" s="53" t="inlineStr">
        <is>
          <t>5 years, 11 months, 0 days</t>
        </is>
      </c>
      <c r="DS445" s="53" t="inlineStr">
        <is>
          <t>3 years, 0 months, 19 days</t>
        </is>
      </c>
      <c r="DT445" s="53" t="inlineStr">
        <is>
          <t>8 years, 11 months, 19 days</t>
        </is>
      </c>
      <c r="DU445" s="53" t="n"/>
      <c r="DV445" s="53" t="inlineStr">
        <is>
          <t>Suptech</t>
        </is>
      </c>
      <c r="DW445" s="53" t="inlineStr">
        <is>
          <t>iFile</t>
        </is>
      </c>
      <c r="DX445" s="53" t="inlineStr">
        <is>
          <t>XBRL Consulting</t>
        </is>
      </c>
      <c r="DY445" s="53" t="inlineStr">
        <is>
          <t>Consulting</t>
        </is>
      </c>
      <c r="DZ445" s="53" t="inlineStr">
        <is>
          <t>No</t>
        </is>
      </c>
      <c r="EA445" s="53" t="inlineStr">
        <is>
          <t>Professional Services</t>
        </is>
      </c>
      <c r="EB445" s="53" t="inlineStr">
        <is>
          <t>XBRL Domain</t>
        </is>
      </c>
      <c r="EC445" s="53" t="inlineStr">
        <is>
          <t>Non-technical</t>
        </is>
      </c>
      <c r="ED445" s="53" t="inlineStr">
        <is>
          <t>Remote- Outside Mumbai</t>
        </is>
      </c>
      <c r="EE445" s="53" t="n"/>
      <c r="EF445" s="53"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EG445" s="53" t="inlineStr">
        <is>
          <t>1. Complete Q1 taxonomy build/test tasks on schedule · &gt;=95% on-time.
2. Close assigned iFILE support tickets within SLA.
3. Finish Q1 Excel/Webform test cycles with defect leakage &lt;2%.</t>
        </is>
      </c>
      <c r="EH445" s="53" t="inlineStr">
        <is>
          <t>4 - Exceeds Expectations</t>
        </is>
      </c>
      <c r="EI445" s="53" t="inlineStr">
        <is>
          <t>Last appraisal in Oct 2025</t>
        </is>
      </c>
      <c r="EJ445" s="53" t="inlineStr">
        <is>
          <t>Consultant</t>
        </is>
      </c>
      <c r="EK445" s="53" t="inlineStr">
        <is>
          <t>No change</t>
        </is>
      </c>
      <c r="EL445" s="53" t="n">
        <v>4</v>
      </c>
      <c r="EM445" s="53" t="inlineStr">
        <is>
          <t>High</t>
        </is>
      </c>
      <c r="EN445" s="53" t="inlineStr">
        <is>
          <t>High Impact / Growth Talent</t>
        </is>
      </c>
      <c r="EO445" s="53" t="n"/>
      <c r="EP445" s="53" t="inlineStr">
        <is>
          <t>No</t>
        </is>
      </c>
      <c r="EQ445" s="53" t="n"/>
      <c r="ER445" s="53" t="inlineStr">
        <is>
          <t>To be identified</t>
        </is>
      </c>
      <c r="ES445" s="53" t="inlineStr">
        <is>
          <t>XBRL taxonomy &amp; regulatory updates; domain/accounting refreshers; quality &amp; accuracy practices; tooling proficiency</t>
        </is>
      </c>
      <c r="ET445" s="53" t="inlineStr">
        <is>
          <t>Transition to leadership: people management &amp; delegation, mentoring/coaching, project ownership &amp; stakeholder management, prioritisation under ambiguity, presentation &amp; influence skills</t>
        </is>
      </c>
      <c r="EU445" s="53" t="inlineStr">
        <is>
          <t>Testing - All iFIle projects</t>
        </is>
      </c>
      <c r="EV445" s="53" t="n"/>
      <c r="EW445" s="52" t="n"/>
      <c r="EX445" s="53" t="n"/>
      <c r="EY445" s="53" t="n"/>
      <c r="EZ445" s="53" t="n"/>
      <c r="FA445" s="53" t="n"/>
      <c r="FB445" s="53" t="n"/>
      <c r="FC445" s="53" t="n"/>
      <c r="FD445" s="53" t="n"/>
      <c r="FE445" s="57"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FF445" s="56" t="inlineStr">
        <is>
          <t>1. Complete Q1 taxonomy build/test tasks on schedule · &gt;=95% on-time.
2. Close assigned iFILE support tickets within SLA · &gt;=90%.
3. Finish Q1 Excel/Webform test cycles with defect leakage &lt;2%.</t>
        </is>
      </c>
      <c r="FG445" s="56" t="n"/>
      <c r="FH445" s="56" t="inlineStr">
        <is>
          <t>4 - Exceeds Expectations</t>
        </is>
      </c>
      <c r="FI445" s="56" t="n"/>
      <c r="FJ445" s="56" t="inlineStr">
        <is>
          <t>Received · manager annual, quarterly</t>
        </is>
      </c>
      <c r="FK445" s="56" t="inlineStr">
        <is>
          <t>Talent Mapping · iFile collated</t>
        </is>
      </c>
      <c r="FL445" s="56" t="n">
        <v>20</v>
      </c>
      <c r="FM445" s="32" t="inlineStr">
        <is>
          <t>Full survey answers not in the files received · How We Grow export needed · HR</t>
        </is>
      </c>
      <c r="FN445" s="56" t="inlineStr">
        <is>
          <t>—</t>
        </is>
      </c>
      <c r="FO445" s="56" t="inlineStr">
        <is>
          <t>—</t>
        </is>
      </c>
      <c r="FP445" s="56" t="inlineStr">
        <is>
          <t>—</t>
        </is>
      </c>
      <c r="FQ445" s="56" t="inlineStr">
        <is>
          <t>—</t>
        </is>
      </c>
      <c r="FR445" s="56" t="inlineStr">
        <is>
          <t>Complexity: Evidence reads like A3: Requirement gathering, SRS creation, taxonomy development, client training and support across differing regulator projects → matches the start
Autonomy: Evidence reads like A2: Independent decision named is SRS creation only → moved down 0.5
Accountability: Evidence reads like A3: Requirements and SRS feed taxonomy development, testing and delivery; errors cause escalation → matches the start
Leadership: Evidence reads like A2: Domain SME and cross-team support; no regular guiding of juniors → matches the start
Business Impact: No survey or manager-mapping signal on criticality: kept at the start point.</t>
        </is>
      </c>
      <c r="FS445" s="56" t="inlineStr">
        <is>
          <t>Common themes in role-holders' answers: taxonomy · xbrl · client · data · convert · consultant
Common themes in role-holders' answers: client · testing · taxonomy · requirement · support · development
Common themes in role-holders' answers: taxonomy · xbrl · output · structured
Common themes in role-holders' answers: taxonomy · development · testing · tagging · quality · creation
Common themes in role-holders' answers: testing · formula · validations · tagging · creation · taxonomy
If the work is missed · role-holders' themes: rework · client · escalation · retesting · time.
Measured on · manager-set KRA themes: resolve · defect · deliver · complete · modules · testing.</t>
        </is>
      </c>
      <c r="FT445" s="56" t="inlineStr">
        <is>
          <t>Self-identified: AI / automation · Communication &amp; presentation · Certification / formal course
For the next role: AI / automation · Client, sales &amp; stakeholders · Communication &amp; presentation · Certification / formal course</t>
        </is>
      </c>
      <c r="FU445" s="32" t="inlineStr">
        <is>
          <t>Full survey answers not in the files received · How We Grow export needed · HR</t>
        </is>
      </c>
    </row>
    <row r="446" ht="90" customHeight="1">
      <c r="A446" s="51" t="inlineStr">
        <is>
          <t>◂ Back</t>
        </is>
      </c>
      <c r="B446" s="29" t="inlineStr">
        <is>
          <t>Mapped</t>
        </is>
      </c>
      <c r="C446" s="28" t="inlineStr">
        <is>
          <t>iFile</t>
        </is>
      </c>
      <c r="D446" s="29" t="inlineStr">
        <is>
          <t>IRISC322</t>
        </is>
      </c>
      <c r="E446" s="29" t="inlineStr">
        <is>
          <t>Bhanu Vardhan Nelly</t>
        </is>
      </c>
      <c r="F446" s="29" t="inlineStr">
        <is>
          <t>XBRL Consulting</t>
        </is>
      </c>
      <c r="G446" s="29" t="inlineStr">
        <is>
          <t>XBRL Conversion Specialist</t>
        </is>
      </c>
      <c r="H446" s="29" t="inlineStr">
        <is>
          <t>Financial Analyst</t>
        </is>
      </c>
      <c r="I446" s="29" t="inlineStr">
        <is>
          <t>L3 – Professional / Associate</t>
        </is>
      </c>
      <c r="J446" s="29" t="inlineStr">
        <is>
          <t>A2</t>
        </is>
      </c>
      <c r="K446" s="29" t="inlineStr">
        <is>
          <t>• Same level</t>
        </is>
      </c>
      <c r="L446" s="29" t="inlineStr">
        <is>
          <t>Consulting &amp; Professional Services</t>
        </is>
      </c>
      <c r="M446" s="29" t="inlineStr">
        <is>
          <t>XBRL Tagging, Conversion &amp; Filing</t>
        </is>
      </c>
      <c r="N446" s="29" t="n"/>
      <c r="O446" s="29" t="n">
        <v>20</v>
      </c>
      <c r="P446" s="28" t="inlineStr">
        <is>
          <t>P1–P2</t>
        </is>
      </c>
      <c r="Q446" s="29" t="inlineStr">
        <is>
          <t>Entry / Developing</t>
        </is>
      </c>
      <c r="R446" s="29" t="inlineStr">
        <is>
          <t>2 Assist</t>
        </is>
      </c>
      <c r="S446" s="29" t="inlineStr">
        <is>
          <t>0–2 yrs</t>
        </is>
      </c>
      <c r="T446" s="29" t="inlineStr">
        <is>
          <t>1–3 · 0–3</t>
        </is>
      </c>
      <c r="U446" s="29" t="inlineStr">
        <is>
          <t>Analyst / Senior Analyst / Associate</t>
        </is>
      </c>
      <c r="V446" s="29" t="inlineStr">
        <is>
          <t>Toppan Merrill: XBRL Financial Analyst, Associate · DataTracks: Associate · Big Four: Analyst</t>
        </is>
      </c>
      <c r="W446" s="29" t="inlineStr">
        <is>
          <t>XBRL US GAAP Certificate · AICPA &amp; XBRL US; XBRL International specifications; IFRS / US GAAP / Ind AS</t>
        </is>
      </c>
      <c r="X446" s="29" t="inlineStr">
        <is>
          <t>Core 2 · Future 2 · Functional 2 · Leadership not scored</t>
        </is>
      </c>
      <c r="Y446" s="52" t="n">
        <v>417</v>
      </c>
      <c r="Z446" s="53" t="inlineStr">
        <is>
          <t>IRISC322</t>
        </is>
      </c>
      <c r="AA446" s="53" t="inlineStr">
        <is>
          <t>On Contract</t>
        </is>
      </c>
      <c r="AB446" s="53" t="inlineStr">
        <is>
          <t>Active</t>
        </is>
      </c>
      <c r="AC446" s="53" t="inlineStr">
        <is>
          <t>Bhanu Vardhan Nelly</t>
        </is>
      </c>
      <c r="AD446" s="54" t="n">
        <v>45995</v>
      </c>
      <c r="AE446" s="53" t="inlineStr">
        <is>
          <t>XBRL Conversion Specialist</t>
        </is>
      </c>
      <c r="AF446" s="53" t="inlineStr">
        <is>
          <t>Bachelor in Accounting &amp; Finance</t>
        </is>
      </c>
      <c r="AG446" s="53" t="inlineStr">
        <is>
          <t>Shraddha Bagul</t>
        </is>
      </c>
      <c r="AH446" s="53" t="inlineStr">
        <is>
          <t>N-3</t>
        </is>
      </c>
      <c r="AI446" s="53" t="inlineStr">
        <is>
          <t>Individual Contributor</t>
        </is>
      </c>
      <c r="AJ446" s="53" t="inlineStr">
        <is>
          <t>0 years, 7 months, 0 days</t>
        </is>
      </c>
      <c r="AK446" s="53" t="inlineStr">
        <is>
          <t>0 years, 8 months, 21 days</t>
        </is>
      </c>
      <c r="AL446" s="53" t="inlineStr">
        <is>
          <t>Suptech</t>
        </is>
      </c>
      <c r="AM446" s="53" t="inlineStr">
        <is>
          <t>iFile</t>
        </is>
      </c>
      <c r="AN446" s="53" t="inlineStr">
        <is>
          <t>XBRL Consulting</t>
        </is>
      </c>
      <c r="AO446" s="53" t="inlineStr">
        <is>
          <t>Consulting</t>
        </is>
      </c>
      <c r="AP446" s="53" t="inlineStr">
        <is>
          <t>No</t>
        </is>
      </c>
      <c r="AQ446" s="53" t="inlineStr">
        <is>
          <t>Professional Services</t>
        </is>
      </c>
      <c r="AR446" s="53" t="inlineStr">
        <is>
          <t>XBRL Domain</t>
        </is>
      </c>
      <c r="AS446" s="53" t="inlineStr">
        <is>
          <t>Non-technical</t>
        </is>
      </c>
      <c r="AT446" s="53" t="n">
        <v>20</v>
      </c>
      <c r="AU446" s="53" t="inlineStr">
        <is>
          <t>Covered</t>
        </is>
      </c>
      <c r="AV446" s="53" t="n"/>
      <c r="AW446" s="53" t="n"/>
      <c r="AX446" s="53" t="n"/>
      <c r="AY446" s="53" t="n"/>
      <c r="AZ446" s="53" t="n"/>
      <c r="BA446" s="53" t="n"/>
      <c r="BB446" s="53" t="n"/>
      <c r="BC446" s="53" t="n"/>
      <c r="BD446" s="53" t="n"/>
      <c r="BE446" s="53" t="n"/>
      <c r="BF446" s="53" t="n"/>
      <c r="BG446" s="53" t="n"/>
      <c r="BH446" s="53" t="n"/>
      <c r="BI446" s="53" t="n"/>
      <c r="BJ446" s="53" t="n"/>
      <c r="BK446" s="53" t="n"/>
      <c r="BL446" s="53" t="n"/>
      <c r="BM446" s="53" t="n"/>
      <c r="BN446" s="53" t="n"/>
      <c r="BO446" s="53" t="n"/>
      <c r="BP446" s="53" t="n"/>
      <c r="BQ446" s="53" t="n"/>
      <c r="BR446" s="53" t="n"/>
      <c r="BS446" s="53" t="n"/>
      <c r="BT446" s="53" t="n"/>
      <c r="BU446" s="53" t="n"/>
      <c r="BV446" s="53" t="n"/>
      <c r="BW446" s="53" t="n"/>
      <c r="BX446" s="53" t="n"/>
      <c r="BY446" s="53" t="n"/>
      <c r="BZ446" s="53" t="n"/>
      <c r="CA446" s="53" t="n"/>
      <c r="CB446" s="53" t="n"/>
      <c r="CC446" s="53" t="n"/>
      <c r="CD446" s="53" t="n"/>
      <c r="CE446" s="53" t="n"/>
      <c r="CF446" s="53" t="n"/>
      <c r="CG446" s="53" t="n"/>
      <c r="CH446" s="53" t="n"/>
      <c r="CI446" s="53" t="n"/>
      <c r="CJ446" s="53" t="n"/>
      <c r="CK446" s="53" t="n"/>
      <c r="CL446" s="53" t="n"/>
      <c r="CM446" s="53" t="n"/>
      <c r="CN446" s="53" t="n"/>
      <c r="CO446" s="53" t="n"/>
      <c r="CP446" s="53" t="n"/>
      <c r="CQ446" s="53" t="n"/>
      <c r="CR446" s="53" t="n"/>
      <c r="CS446" s="53" t="n"/>
      <c r="CT446" s="53" t="n"/>
      <c r="CU446" s="53" t="n"/>
      <c r="CV446" s="53" t="n"/>
      <c r="CW446" s="53" t="n"/>
      <c r="CX446" s="53" t="n"/>
      <c r="CY446" s="53" t="n"/>
      <c r="CZ446" s="53" t="n"/>
      <c r="DA446" s="53" t="n"/>
      <c r="DB446" s="53" t="n"/>
      <c r="DC446" s="53" t="n"/>
      <c r="DD446" s="53" t="inlineStr">
        <is>
          <t>IRISC322</t>
        </is>
      </c>
      <c r="DE446" s="53" t="inlineStr">
        <is>
          <t>On Contract</t>
        </is>
      </c>
      <c r="DF446" s="53" t="inlineStr">
        <is>
          <t>Active</t>
        </is>
      </c>
      <c r="DG446" s="53" t="inlineStr">
        <is>
          <t>Bhanu Vardhan Nelly</t>
        </is>
      </c>
      <c r="DH446" s="54" t="n">
        <v>45995</v>
      </c>
      <c r="DI446" s="53" t="inlineStr">
        <is>
          <t>XBRL Conversion Specialist</t>
        </is>
      </c>
      <c r="DJ446" s="53" t="inlineStr">
        <is>
          <t>Consulting &amp; Professional Services</t>
        </is>
      </c>
      <c r="DK446" s="53" t="inlineStr">
        <is>
          <t>XBRL / Regulatory Reporting</t>
        </is>
      </c>
      <c r="DL446" s="53" t="inlineStr">
        <is>
          <t>XBRL Conversion Specialist</t>
        </is>
      </c>
      <c r="DM446" s="53" t="inlineStr">
        <is>
          <t>L3 – Professional / Associate</t>
        </is>
      </c>
      <c r="DN446" s="53" t="inlineStr">
        <is>
          <t>Bachelor in Accounting &amp; Finance</t>
        </is>
      </c>
      <c r="DO446" s="53" t="inlineStr">
        <is>
          <t>Shraddha Bagul</t>
        </is>
      </c>
      <c r="DP446" s="53" t="inlineStr">
        <is>
          <t>N-3</t>
        </is>
      </c>
      <c r="DQ446" s="53" t="inlineStr">
        <is>
          <t>Individual Contributor</t>
        </is>
      </c>
      <c r="DR446" s="53" t="inlineStr">
        <is>
          <t>0 years, 7 months, 0 days</t>
        </is>
      </c>
      <c r="DS446" s="53" t="inlineStr">
        <is>
          <t>0 years, 6 months, 16 days</t>
        </is>
      </c>
      <c r="DT446" s="53" t="inlineStr">
        <is>
          <t>1 years, 1 months, 16 days</t>
        </is>
      </c>
      <c r="DU446" s="53" t="n"/>
      <c r="DV446" s="53" t="inlineStr">
        <is>
          <t>Suptech</t>
        </is>
      </c>
      <c r="DW446" s="53" t="inlineStr">
        <is>
          <t>iFile</t>
        </is>
      </c>
      <c r="DX446" s="53" t="inlineStr">
        <is>
          <t>XBRL Consulting</t>
        </is>
      </c>
      <c r="DY446" s="53" t="inlineStr">
        <is>
          <t>Consulting</t>
        </is>
      </c>
      <c r="DZ446" s="53" t="inlineStr">
        <is>
          <t>No</t>
        </is>
      </c>
      <c r="EA446" s="53" t="inlineStr">
        <is>
          <t>Professional Services</t>
        </is>
      </c>
      <c r="EB446" s="53" t="inlineStr">
        <is>
          <t>XBRL Domain</t>
        </is>
      </c>
      <c r="EC446" s="53" t="inlineStr">
        <is>
          <t>Non-technical</t>
        </is>
      </c>
      <c r="ED446" s="53" t="inlineStr">
        <is>
          <t>Work From Office - Turbhe</t>
        </is>
      </c>
      <c r="EE446" s="53" t="n"/>
      <c r="EF446" s="53"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EG446" s="53" t="inlineStr">
        <is>
          <t>1. Complete Q1 IRIS Instant release-testing cycles at full coverage · defect leakage &lt;2%.
2. Meet Q1 conversion turnaround &amp; accuracy targets.
3. Resolve &gt;=90% of client support queries within SLA.</t>
        </is>
      </c>
      <c r="EH446" s="53" t="inlineStr">
        <is>
          <t>3 – Meets Expectations</t>
        </is>
      </c>
      <c r="EI446" s="53" t="n"/>
      <c r="EJ446" s="53" t="inlineStr">
        <is>
          <t>XBRL Conversion Specialist</t>
        </is>
      </c>
      <c r="EK446" s="53" t="inlineStr">
        <is>
          <t>No change</t>
        </is>
      </c>
      <c r="EL446" s="53" t="n">
        <v>3</v>
      </c>
      <c r="EM446" s="53" t="inlineStr">
        <is>
          <t>Medium</t>
        </is>
      </c>
      <c r="EN446" s="53" t="inlineStr">
        <is>
          <t>Core Contributor</t>
        </is>
      </c>
      <c r="EO446" s="53" t="n"/>
      <c r="EP446" s="53" t="inlineStr">
        <is>
          <t>No</t>
        </is>
      </c>
      <c r="EQ446" s="53" t="n"/>
      <c r="ER446" s="53" t="inlineStr">
        <is>
          <t>To be identified</t>
        </is>
      </c>
      <c r="ES446" s="53" t="inlineStr">
        <is>
          <t>XBRL taxonomy &amp; regulatory updates; domain/accounting refreshers; quality &amp; accuracy practices; tooling proficiency</t>
        </is>
      </c>
      <c r="ET446" s="53" t="inlineStr">
        <is>
          <t>Transition to leadership: people management &amp; delegation, mentoring/coaching, project ownership &amp; stakeholder management, prioritisation under ambiguity, presentation &amp; influence skills</t>
        </is>
      </c>
      <c r="EU446" s="53" t="n"/>
      <c r="EV446" s="53" t="n"/>
      <c r="EW446" s="52" t="n"/>
      <c r="EX446" s="53" t="n"/>
      <c r="EY446" s="53" t="n"/>
      <c r="EZ446" s="53" t="n"/>
      <c r="FA446" s="53" t="n"/>
      <c r="FB446" s="53" t="n"/>
      <c r="FC446" s="53" t="n"/>
      <c r="FD446" s="53" t="n"/>
      <c r="FE446" s="57"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FF446" s="56" t="inlineStr">
        <is>
          <t>1. Complete Q1 IRIS Instant release-testing cycles at full coverage · defect leakage &lt;2%.
2. Meet Q1 conversion turnaround &amp; accuracy targets · &gt;=98%.
3. Resolve &gt;=90% of client support queries within SLA.</t>
        </is>
      </c>
      <c r="FG446" s="56" t="n"/>
      <c r="FH446" s="56" t="inlineStr">
        <is>
          <t>3 – Meets Expectations</t>
        </is>
      </c>
      <c r="FI446" s="56" t="n"/>
      <c r="FJ446" s="56" t="inlineStr">
        <is>
          <t>Received · manager annual, quarterly</t>
        </is>
      </c>
      <c r="FK446" s="56" t="inlineStr">
        <is>
          <t>Talent Mapping · iFile collated</t>
        </is>
      </c>
      <c r="FL446" s="56" t="n">
        <v>20</v>
      </c>
      <c r="FM446" s="32" t="inlineStr">
        <is>
          <t>Full survey answers not in the files received · How We Grow export needed · HR</t>
        </is>
      </c>
      <c r="FN446" s="56" t="inlineStr">
        <is>
          <t>—</t>
        </is>
      </c>
      <c r="FO446" s="56" t="inlineStr">
        <is>
          <t>—</t>
        </is>
      </c>
      <c r="FP446" s="56" t="inlineStr">
        <is>
          <t>—</t>
        </is>
      </c>
      <c r="FQ446" s="56" t="inlineStr">
        <is>
          <t>—</t>
        </is>
      </c>
      <c r="FR446" s="56" t="inlineStr">
        <is>
          <t>Complexity: Evidence reads like A2: Analyses financial statements of Malaysian clients and tags them into XBRL for MBRS → matches the start
Autonomy: Evidence reads like A2: Decides data validation only → matches the start
Accountability: Evidence reads like A2: Own XBRL reports and their compliance → matches the start
Leadership: Evidence reads like A1: None described → matches the start
Business Impact: No survey or manager-mapping signal on criticality: kept at the start point.</t>
        </is>
      </c>
      <c r="FS446" s="56" t="inlineStr">
        <is>
          <t>Common themes in role-holders' answers: xbrl · format · data · financial · convert · accurately
Common themes in role-holders' answers: tagging · data validation · mapping · xbrl · financial
Common themes in role-holders' answers: xbrl · reports
Common themes in role-holders' answers: xbrl · mapping · tagging · reports · accuracy
Common themes in role-holders' answers: errors · tagging
If the work is missed · role-holders' themes: errors · validation · extra · incorrect.
Measured on · manager-set KRA themes: complete iris · resolve · cycle full · accuracy targets · maintained · logs document.</t>
        </is>
      </c>
      <c r="FT446" s="56" t="inlineStr">
        <is>
          <t>Self-identified: Data, SQL &amp; analytics · Product &amp; tool knowledge
For the next role: Data, SQL &amp; analytics · Product &amp; tool knowledge</t>
        </is>
      </c>
      <c r="FU446" s="32" t="inlineStr">
        <is>
          <t>Full survey answers not in the files received · How We Grow export needed · HR</t>
        </is>
      </c>
    </row>
    <row r="447" ht="90" customHeight="1">
      <c r="A447" s="51" t="inlineStr">
        <is>
          <t>◂ Back</t>
        </is>
      </c>
      <c r="B447" s="29" t="inlineStr">
        <is>
          <t>Mapped</t>
        </is>
      </c>
      <c r="C447" s="28" t="inlineStr">
        <is>
          <t>iFile</t>
        </is>
      </c>
      <c r="D447" s="29" t="inlineStr">
        <is>
          <t>IRISC328</t>
        </is>
      </c>
      <c r="E447" s="29" t="inlineStr">
        <is>
          <t>Omkar Parab</t>
        </is>
      </c>
      <c r="F447" s="29" t="inlineStr">
        <is>
          <t>XBRL Consulting</t>
        </is>
      </c>
      <c r="G447" s="29" t="inlineStr">
        <is>
          <t>Consultant</t>
        </is>
      </c>
      <c r="H447" s="29" t="inlineStr">
        <is>
          <t>Taxonomy Analyst</t>
        </is>
      </c>
      <c r="I447" s="29" t="inlineStr">
        <is>
          <t>L3 – Professional / Associate</t>
        </is>
      </c>
      <c r="J447" s="29" t="inlineStr">
        <is>
          <t>A2</t>
        </is>
      </c>
      <c r="K447" s="29" t="inlineStr">
        <is>
          <t>• Same level</t>
        </is>
      </c>
      <c r="L447" s="29" t="inlineStr">
        <is>
          <t>Consulting &amp; Professional Services</t>
        </is>
      </c>
      <c r="M447" s="29" t="inlineStr">
        <is>
          <t>Taxonomy Design &amp; Regulatory Consulting</t>
        </is>
      </c>
      <c r="N447" s="29" t="n"/>
      <c r="O447" s="29" t="n">
        <v>20</v>
      </c>
      <c r="P447" s="28" t="inlineStr">
        <is>
          <t>P1–P2</t>
        </is>
      </c>
      <c r="Q447" s="29" t="inlineStr">
        <is>
          <t>Entry / Developing</t>
        </is>
      </c>
      <c r="R447" s="29" t="inlineStr">
        <is>
          <t>2 Assist</t>
        </is>
      </c>
      <c r="S447" s="29" t="inlineStr">
        <is>
          <t>0–2 yrs</t>
        </is>
      </c>
      <c r="T447" s="29" t="inlineStr">
        <is>
          <t>1–3 · 0–3</t>
        </is>
      </c>
      <c r="U447" s="29" t="inlineStr">
        <is>
          <t>Analyst / Senior Analyst / Associate</t>
        </is>
      </c>
      <c r="V447" s="29" t="inlineStr">
        <is>
          <t>Toppan Merrill: XBRL Financial Analyst, Associate · DataTracks: Associate · Big Four: Analyst</t>
        </is>
      </c>
      <c r="W447" s="29" t="inlineStr">
        <is>
          <t>XBRL US GAAP Certificate · AICPA &amp; XBRL US; XBRL International specifications; IFRS / US GAAP / Ind AS</t>
        </is>
      </c>
      <c r="X447" s="29" t="inlineStr">
        <is>
          <t>Core 2 · Future 2 · Functional 2 · Leadership not scored</t>
        </is>
      </c>
      <c r="Y447" s="52" t="n">
        <v>425</v>
      </c>
      <c r="Z447" s="53" t="inlineStr">
        <is>
          <t>IRISC328</t>
        </is>
      </c>
      <c r="AA447" s="53" t="inlineStr">
        <is>
          <t>On Contract</t>
        </is>
      </c>
      <c r="AB447" s="53" t="inlineStr">
        <is>
          <t>Active</t>
        </is>
      </c>
      <c r="AC447" s="53" t="inlineStr">
        <is>
          <t>Omkar Parab</t>
        </is>
      </c>
      <c r="AD447" s="54" t="n">
        <v>46013</v>
      </c>
      <c r="AE447" s="53" t="inlineStr">
        <is>
          <t>Consultant</t>
        </is>
      </c>
      <c r="AF447" s="53" t="inlineStr">
        <is>
          <t>B.Com</t>
        </is>
      </c>
      <c r="AG447" s="53" t="inlineStr">
        <is>
          <t>Shraddha Bagul</t>
        </is>
      </c>
      <c r="AH447" s="53" t="inlineStr">
        <is>
          <t>N-3</t>
        </is>
      </c>
      <c r="AI447" s="53" t="inlineStr">
        <is>
          <t>Individual Contributor</t>
        </is>
      </c>
      <c r="AJ447" s="53" t="inlineStr">
        <is>
          <t>0 years, 0 months, 0 days</t>
        </is>
      </c>
      <c r="AK447" s="53" t="inlineStr">
        <is>
          <t>0 years, 8 months, 3 days</t>
        </is>
      </c>
      <c r="AL447" s="53" t="inlineStr">
        <is>
          <t>Suptech</t>
        </is>
      </c>
      <c r="AM447" s="53" t="inlineStr">
        <is>
          <t>iFile</t>
        </is>
      </c>
      <c r="AN447" s="53" t="inlineStr">
        <is>
          <t>XBRL Consulting</t>
        </is>
      </c>
      <c r="AO447" s="53" t="inlineStr">
        <is>
          <t>Consulting</t>
        </is>
      </c>
      <c r="AP447" s="53" t="inlineStr">
        <is>
          <t>No</t>
        </is>
      </c>
      <c r="AQ447" s="53" t="inlineStr">
        <is>
          <t>Professional Services</t>
        </is>
      </c>
      <c r="AR447" s="53" t="inlineStr">
        <is>
          <t>XBRL Domain</t>
        </is>
      </c>
      <c r="AS447" s="53" t="inlineStr">
        <is>
          <t>Non-technical</t>
        </is>
      </c>
      <c r="AT447" s="53" t="n">
        <v>20</v>
      </c>
      <c r="AU447" s="53" t="inlineStr">
        <is>
          <t>Covered</t>
        </is>
      </c>
      <c r="AV447" s="53" t="n"/>
      <c r="AW447" s="53" t="n"/>
      <c r="AX447" s="53" t="n"/>
      <c r="AY447" s="53" t="n"/>
      <c r="AZ447" s="53" t="n"/>
      <c r="BA447" s="53" t="n"/>
      <c r="BB447" s="53" t="n"/>
      <c r="BC447" s="53" t="n"/>
      <c r="BD447" s="53" t="n"/>
      <c r="BE447" s="53" t="n"/>
      <c r="BF447" s="53" t="n"/>
      <c r="BG447" s="53" t="n"/>
      <c r="BH447" s="53" t="n"/>
      <c r="BI447" s="53" t="n"/>
      <c r="BJ447" s="53" t="n"/>
      <c r="BK447" s="53" t="n"/>
      <c r="BL447" s="53" t="n"/>
      <c r="BM447" s="53" t="n"/>
      <c r="BN447" s="53" t="n"/>
      <c r="BO447" s="53" t="n"/>
      <c r="BP447" s="53" t="n"/>
      <c r="BQ447" s="53" t="n"/>
      <c r="BR447" s="53" t="n"/>
      <c r="BS447" s="53" t="n"/>
      <c r="BT447" s="53" t="n"/>
      <c r="BU447" s="53" t="n"/>
      <c r="BV447" s="53" t="n"/>
      <c r="BW447" s="53" t="n"/>
      <c r="BX447" s="53" t="n"/>
      <c r="BY447" s="53" t="n"/>
      <c r="BZ447" s="53" t="n"/>
      <c r="CA447" s="53" t="n"/>
      <c r="CB447" s="53" t="n"/>
      <c r="CC447" s="53" t="n"/>
      <c r="CD447" s="53" t="n"/>
      <c r="CE447" s="53" t="n"/>
      <c r="CF447" s="53" t="n"/>
      <c r="CG447" s="53" t="n"/>
      <c r="CH447" s="53" t="n"/>
      <c r="CI447" s="53" t="n"/>
      <c r="CJ447" s="53" t="n"/>
      <c r="CK447" s="53" t="n"/>
      <c r="CL447" s="53" t="n"/>
      <c r="CM447" s="53" t="n"/>
      <c r="CN447" s="53" t="n"/>
      <c r="CO447" s="53" t="n"/>
      <c r="CP447" s="53" t="n"/>
      <c r="CQ447" s="53" t="n"/>
      <c r="CR447" s="53" t="n"/>
      <c r="CS447" s="53" t="n"/>
      <c r="CT447" s="53" t="n"/>
      <c r="CU447" s="53" t="n"/>
      <c r="CV447" s="53" t="n"/>
      <c r="CW447" s="53" t="n"/>
      <c r="CX447" s="53" t="n"/>
      <c r="CY447" s="53" t="n"/>
      <c r="CZ447" s="53" t="n"/>
      <c r="DA447" s="53" t="n"/>
      <c r="DB447" s="53" t="n"/>
      <c r="DC447" s="53" t="n"/>
      <c r="DD447" s="53" t="inlineStr">
        <is>
          <t>IRISC328</t>
        </is>
      </c>
      <c r="DE447" s="53" t="inlineStr">
        <is>
          <t>On Contract</t>
        </is>
      </c>
      <c r="DF447" s="53" t="inlineStr">
        <is>
          <t>Active</t>
        </is>
      </c>
      <c r="DG447" s="53" t="inlineStr">
        <is>
          <t>Omkar Parab</t>
        </is>
      </c>
      <c r="DH447" s="54" t="n">
        <v>46013</v>
      </c>
      <c r="DI447" s="53" t="inlineStr">
        <is>
          <t>Consultant</t>
        </is>
      </c>
      <c r="DJ447" s="53" t="inlineStr">
        <is>
          <t>Consulting &amp; Professional Services</t>
        </is>
      </c>
      <c r="DK447" s="53" t="inlineStr">
        <is>
          <t>XBRL / Regulatory Reporting</t>
        </is>
      </c>
      <c r="DL447" s="53" t="inlineStr">
        <is>
          <t>Consultant</t>
        </is>
      </c>
      <c r="DM447" s="53" t="inlineStr">
        <is>
          <t>L3 – Professional / Associate</t>
        </is>
      </c>
      <c r="DN447" s="53" t="inlineStr">
        <is>
          <t>B.Com</t>
        </is>
      </c>
      <c r="DO447" s="53" t="inlineStr">
        <is>
          <t>Shraddha Bagul</t>
        </is>
      </c>
      <c r="DP447" s="53" t="inlineStr">
        <is>
          <t>N-3</t>
        </is>
      </c>
      <c r="DQ447" s="53" t="inlineStr">
        <is>
          <t>Individual Contributor</t>
        </is>
      </c>
      <c r="DR447" s="53" t="inlineStr">
        <is>
          <t>0 years, 0 months, 0 days</t>
        </is>
      </c>
      <c r="DS447" s="53" t="inlineStr">
        <is>
          <t>0 years, 5 months, 29 days</t>
        </is>
      </c>
      <c r="DT447" s="53" t="inlineStr">
        <is>
          <t>0 years, 5 months, 29 days</t>
        </is>
      </c>
      <c r="DU447" s="53" t="n"/>
      <c r="DV447" s="53" t="inlineStr">
        <is>
          <t>Suptech</t>
        </is>
      </c>
      <c r="DW447" s="53" t="inlineStr">
        <is>
          <t>iFile</t>
        </is>
      </c>
      <c r="DX447" s="53" t="inlineStr">
        <is>
          <t>XBRL Consulting</t>
        </is>
      </c>
      <c r="DY447" s="53" t="inlineStr">
        <is>
          <t>Consulting</t>
        </is>
      </c>
      <c r="DZ447" s="53" t="inlineStr">
        <is>
          <t>No</t>
        </is>
      </c>
      <c r="EA447" s="53" t="inlineStr">
        <is>
          <t>Professional Services</t>
        </is>
      </c>
      <c r="EB447" s="53" t="inlineStr">
        <is>
          <t>XBRL Domain</t>
        </is>
      </c>
      <c r="EC447" s="53" t="inlineStr">
        <is>
          <t>Non-technical</t>
        </is>
      </c>
      <c r="ED447" s="53" t="inlineStr">
        <is>
          <t>Remote - Mumbai</t>
        </is>
      </c>
      <c r="EE447" s="53" t="n"/>
      <c r="EF447" s="53"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EG447" s="53" t="inlineStr">
        <is>
          <t>1. Complete Q1 IRIS Instant release-testing cycles at full coverage · defect leakage &lt;2%.
2. Meet Q1 conversion turnaround &amp; accuracy targets.
3. Resolve &gt;=90% of client support queries within SLA.</t>
        </is>
      </c>
      <c r="EH447" s="53" t="inlineStr">
        <is>
          <t>3 – Meets Expectations</t>
        </is>
      </c>
      <c r="EI447" s="53" t="n"/>
      <c r="EJ447" s="53" t="inlineStr">
        <is>
          <t>XBRL Conversion Specialist</t>
        </is>
      </c>
      <c r="EK447" s="53" t="inlineStr">
        <is>
          <t>No change</t>
        </is>
      </c>
      <c r="EL447" s="53" t="n">
        <v>3</v>
      </c>
      <c r="EM447" s="53" t="inlineStr">
        <is>
          <t>Low</t>
        </is>
      </c>
      <c r="EN447" s="53" t="inlineStr">
        <is>
          <t>Core Contributor</t>
        </is>
      </c>
      <c r="EO447" s="53" t="n"/>
      <c r="EP447" s="53" t="inlineStr">
        <is>
          <t>No</t>
        </is>
      </c>
      <c r="EQ447" s="53" t="n"/>
      <c r="ER447" s="53" t="inlineStr">
        <is>
          <t>To be identified</t>
        </is>
      </c>
      <c r="ES447" s="53" t="inlineStr">
        <is>
          <t>XBRL taxonomy &amp; regulatory updates; domain/accounting refreshers; quality &amp; accuracy practices; tooling proficiency</t>
        </is>
      </c>
      <c r="ET447" s="53" t="inlineStr">
        <is>
          <t>Transition to leadership: people management &amp; delegation, mentoring/coaching, project ownership &amp; stakeholder management, prioritisation under ambiguity, presentation &amp; influence skills</t>
        </is>
      </c>
      <c r="EU447" s="53" t="n"/>
      <c r="EV447" s="53" t="n"/>
      <c r="EW447" s="52" t="n"/>
      <c r="EX447" s="53" t="n"/>
      <c r="EY447" s="53" t="n"/>
      <c r="EZ447" s="53" t="n"/>
      <c r="FA447" s="53" t="n"/>
      <c r="FB447" s="53" t="n"/>
      <c r="FC447" s="53" t="n"/>
      <c r="FD447" s="53" t="n"/>
      <c r="FE447" s="57"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FF447" s="56" t="inlineStr">
        <is>
          <t>1. Complete Q1 IRIS Instant release-testing cycles at full coverage · defect leakage &lt;2%.
2. Meet Q1 conversion turnaround &amp; accuracy targets · &gt;=98%.
3. Resolve &gt;=90% of client support queries within SLA.</t>
        </is>
      </c>
      <c r="FG447" s="56" t="n"/>
      <c r="FH447" s="56" t="inlineStr">
        <is>
          <t>3 – Meets Expectations</t>
        </is>
      </c>
      <c r="FI447" s="56" t="n"/>
      <c r="FJ447" s="56" t="inlineStr">
        <is>
          <t>Received · manager annual, quarterly</t>
        </is>
      </c>
      <c r="FK447" s="56" t="inlineStr">
        <is>
          <t>Talent Mapping · iFile collated</t>
        </is>
      </c>
      <c r="FL447" s="56" t="n">
        <v>20</v>
      </c>
      <c r="FM447" s="32" t="inlineStr">
        <is>
          <t>Full survey answers not in the files received · How We Grow export needed · HR</t>
        </is>
      </c>
      <c r="FN447" s="56" t="inlineStr">
        <is>
          <t>—</t>
        </is>
      </c>
      <c r="FO447" s="56" t="inlineStr">
        <is>
          <t>—</t>
        </is>
      </c>
      <c r="FP447" s="56" t="inlineStr">
        <is>
          <t>—</t>
        </is>
      </c>
      <c r="FQ447" s="56" t="inlineStr">
        <is>
          <t>—</t>
        </is>
      </c>
      <c r="FR447" s="56" t="inlineStr">
        <is>
          <t>Complexity: Evidence reads like A2: Client edit corrections and data validation on XBRL financial reports in Instant → matches the start
Autonomy: Evidence reads like A2: Decides error identification only; routine corrections → matches the start
Accountability: Evidence reads like A2: Accuracy, classification and validation of the financial reports they handle → matches the start
Leadership: Evidence reads like A1: None described → matches the start
Business Impact: No survey or manager-mapping signal on criticality: kept at the start point.</t>
        </is>
      </c>
      <c r="FS447" s="56" t="inlineStr">
        <is>
          <t>Common themes in sub-family holders, all levels' answers: xbrl · requirements · taxonomy · business · data · convert
Common themes in sub-family holders, all levels' answers: client · taxonomy · requirement · development · testing · training
Common themes in sub-family holders, all levels' answers: taxonomy · xbrl · output · srs · taxonomies · accurate
Common themes in sub-family holders, all levels' answers: taxonomy · xbrl · quality · srs · development · testing
Common themes in sub-family holders, all levels' answers: taxonomy · modelling · testing · formula · data · plan
If the work is missed · role-holders' themes: rework · client · escalation · time · retesting.
Measured on · manager-set KRA themes: complete iris · resolve · cycle full · accuracy targets · maintained · logs document.</t>
        </is>
      </c>
      <c r="FT447" s="56" t="inlineStr">
        <is>
          <t>Self-identified: Data, SQL &amp; analytics · Strategy &amp; business acumen · Broader exposure &amp; ownership
For the next role: Data, SQL &amp; analytics · Strategy &amp; business acumen · Broader exposure &amp; ownership</t>
        </is>
      </c>
      <c r="FU447" s="32" t="inlineStr">
        <is>
          <t>Full survey answers not in the files received · How We Grow export needed · HR</t>
        </is>
      </c>
    </row>
    <row r="448" ht="90" customHeight="1">
      <c r="A448" s="51" t="inlineStr">
        <is>
          <t>◂ Back</t>
        </is>
      </c>
      <c r="B448" s="29" t="inlineStr">
        <is>
          <t>Mapped</t>
        </is>
      </c>
      <c r="C448" s="28" t="inlineStr">
        <is>
          <t>iFile</t>
        </is>
      </c>
      <c r="D448" s="29" t="inlineStr">
        <is>
          <t>IRISC342</t>
        </is>
      </c>
      <c r="E448" s="29" t="inlineStr">
        <is>
          <t>Prabhash Rajput</t>
        </is>
      </c>
      <c r="F448" s="29" t="inlineStr">
        <is>
          <t>XBRL Consulting</t>
        </is>
      </c>
      <c r="G448" s="29" t="inlineStr">
        <is>
          <t>Consultant</t>
        </is>
      </c>
      <c r="H448" s="29" t="inlineStr">
        <is>
          <t>Taxonomy Analyst</t>
        </is>
      </c>
      <c r="I448" s="29" t="inlineStr">
        <is>
          <t>L3 – Professional / Associate</t>
        </is>
      </c>
      <c r="J448" s="29" t="inlineStr">
        <is>
          <t>A2</t>
        </is>
      </c>
      <c r="K448" s="29" t="inlineStr">
        <is>
          <t>• Same level</t>
        </is>
      </c>
      <c r="L448" s="29" t="inlineStr">
        <is>
          <t>Consulting &amp; Professional Services</t>
        </is>
      </c>
      <c r="M448" s="29" t="inlineStr">
        <is>
          <t>Taxonomy Design &amp; Regulatory Consulting</t>
        </is>
      </c>
      <c r="N448" s="29" t="n"/>
      <c r="O448" s="29" t="n">
        <v>20</v>
      </c>
      <c r="P448" s="28" t="inlineStr">
        <is>
          <t>P1–P2</t>
        </is>
      </c>
      <c r="Q448" s="29" t="inlineStr">
        <is>
          <t>Entry / Developing</t>
        </is>
      </c>
      <c r="R448" s="29" t="inlineStr">
        <is>
          <t>2 Assist</t>
        </is>
      </c>
      <c r="S448" s="29" t="inlineStr">
        <is>
          <t>0–2 yrs</t>
        </is>
      </c>
      <c r="T448" s="29" t="inlineStr">
        <is>
          <t>1–3 · 0–3</t>
        </is>
      </c>
      <c r="U448" s="29" t="inlineStr">
        <is>
          <t>Analyst / Senior Analyst / Associate</t>
        </is>
      </c>
      <c r="V448" s="29" t="inlineStr">
        <is>
          <t>Toppan Merrill: XBRL Financial Analyst, Associate · DataTracks: Associate · Big Four: Analyst</t>
        </is>
      </c>
      <c r="W448" s="29" t="inlineStr">
        <is>
          <t>XBRL US GAAP Certificate · AICPA &amp; XBRL US; XBRL International specifications; IFRS / US GAAP / Ind AS</t>
        </is>
      </c>
      <c r="X448" s="29" t="inlineStr">
        <is>
          <t>Core 2 · Future 2 · Functional 2 · Leadership not scored</t>
        </is>
      </c>
      <c r="Y448" s="52" t="n">
        <v>451</v>
      </c>
      <c r="Z448" s="53" t="inlineStr">
        <is>
          <t>IRISC342</t>
        </is>
      </c>
      <c r="AA448" s="53" t="inlineStr">
        <is>
          <t>On Contract</t>
        </is>
      </c>
      <c r="AB448" s="53" t="inlineStr">
        <is>
          <t>Active</t>
        </is>
      </c>
      <c r="AC448" s="53" t="inlineStr">
        <is>
          <t>Prabhash Rajput</t>
        </is>
      </c>
      <c r="AD448" s="54" t="n">
        <v>46062</v>
      </c>
      <c r="AE448" s="53" t="inlineStr">
        <is>
          <t>Consultant</t>
        </is>
      </c>
      <c r="AF448" s="53" t="inlineStr">
        <is>
          <t>B.Com</t>
        </is>
      </c>
      <c r="AG448" s="53" t="inlineStr">
        <is>
          <t>Shraddha Bagul</t>
        </is>
      </c>
      <c r="AH448" s="53" t="inlineStr">
        <is>
          <t>N-3</t>
        </is>
      </c>
      <c r="AI448" s="53" t="inlineStr">
        <is>
          <t>Individual Contributor</t>
        </is>
      </c>
      <c r="AJ448" s="53" t="inlineStr">
        <is>
          <t>0 years, 6 months, 0 days</t>
        </is>
      </c>
      <c r="AK448" s="53" t="inlineStr">
        <is>
          <t>0 years, 6 months, 16 days</t>
        </is>
      </c>
      <c r="AL448" s="53" t="inlineStr">
        <is>
          <t>Suptech</t>
        </is>
      </c>
      <c r="AM448" s="53" t="inlineStr">
        <is>
          <t>iFile</t>
        </is>
      </c>
      <c r="AN448" s="53" t="inlineStr">
        <is>
          <t>XBRL Consulting</t>
        </is>
      </c>
      <c r="AO448" s="53" t="inlineStr">
        <is>
          <t>Consulting</t>
        </is>
      </c>
      <c r="AP448" s="53" t="inlineStr">
        <is>
          <t>No</t>
        </is>
      </c>
      <c r="AQ448" s="53" t="inlineStr">
        <is>
          <t>Professional Services</t>
        </is>
      </c>
      <c r="AR448" s="53" t="inlineStr">
        <is>
          <t>XBRL Domain</t>
        </is>
      </c>
      <c r="AS448" s="53" t="inlineStr">
        <is>
          <t>Non-technical</t>
        </is>
      </c>
      <c r="AT448" s="53" t="n">
        <v>20</v>
      </c>
      <c r="AU448" s="53" t="inlineStr">
        <is>
          <t>Covered</t>
        </is>
      </c>
      <c r="AV448" s="53" t="n"/>
      <c r="AW448" s="53" t="n"/>
      <c r="AX448" s="53" t="n"/>
      <c r="AY448" s="53" t="n"/>
      <c r="AZ448" s="53" t="n"/>
      <c r="BA448" s="53" t="n"/>
      <c r="BB448" s="53" t="n"/>
      <c r="BC448" s="53" t="n"/>
      <c r="BD448" s="53" t="n"/>
      <c r="BE448" s="53" t="n"/>
      <c r="BF448" s="53" t="n"/>
      <c r="BG448" s="53" t="n"/>
      <c r="BH448" s="53" t="n"/>
      <c r="BI448" s="53" t="n"/>
      <c r="BJ448" s="53" t="n"/>
      <c r="BK448" s="53" t="n"/>
      <c r="BL448" s="53" t="n"/>
      <c r="BM448" s="53" t="n"/>
      <c r="BN448" s="53" t="n"/>
      <c r="BO448" s="53" t="n"/>
      <c r="BP448" s="53" t="n"/>
      <c r="BQ448" s="53" t="n"/>
      <c r="BR448" s="53" t="n"/>
      <c r="BS448" s="53" t="n"/>
      <c r="BT448" s="53" t="n"/>
      <c r="BU448" s="53" t="n"/>
      <c r="BV448" s="53" t="n"/>
      <c r="BW448" s="53" t="n"/>
      <c r="BX448" s="53" t="n"/>
      <c r="BY448" s="53" t="n"/>
      <c r="BZ448" s="53" t="n"/>
      <c r="CA448" s="53" t="n"/>
      <c r="CB448" s="53" t="n"/>
      <c r="CC448" s="53" t="n"/>
      <c r="CD448" s="53" t="n"/>
      <c r="CE448" s="53" t="n"/>
      <c r="CF448" s="53" t="n"/>
      <c r="CG448" s="53" t="n"/>
      <c r="CH448" s="53" t="n"/>
      <c r="CI448" s="53" t="n"/>
      <c r="CJ448" s="53" t="n"/>
      <c r="CK448" s="53" t="n"/>
      <c r="CL448" s="53" t="n"/>
      <c r="CM448" s="53" t="n"/>
      <c r="CN448" s="53" t="n"/>
      <c r="CO448" s="53" t="n"/>
      <c r="CP448" s="53" t="n"/>
      <c r="CQ448" s="53" t="n"/>
      <c r="CR448" s="53" t="n"/>
      <c r="CS448" s="53" t="n"/>
      <c r="CT448" s="53" t="n"/>
      <c r="CU448" s="53" t="n"/>
      <c r="CV448" s="53" t="n"/>
      <c r="CW448" s="53" t="n"/>
      <c r="CX448" s="53" t="n"/>
      <c r="CY448" s="53" t="n"/>
      <c r="CZ448" s="53" t="n"/>
      <c r="DA448" s="53" t="n"/>
      <c r="DB448" s="53" t="n"/>
      <c r="DC448" s="53" t="n"/>
      <c r="DD448" s="53" t="inlineStr">
        <is>
          <t>IRISC342</t>
        </is>
      </c>
      <c r="DE448" s="53" t="inlineStr">
        <is>
          <t>On Contract</t>
        </is>
      </c>
      <c r="DF448" s="53" t="inlineStr">
        <is>
          <t>Active</t>
        </is>
      </c>
      <c r="DG448" s="53" t="inlineStr">
        <is>
          <t>Prabhash Rajput</t>
        </is>
      </c>
      <c r="DH448" s="54" t="n">
        <v>46062</v>
      </c>
      <c r="DI448" s="53" t="inlineStr">
        <is>
          <t>Consultant</t>
        </is>
      </c>
      <c r="DJ448" s="53" t="inlineStr">
        <is>
          <t>Consulting &amp; Professional Services</t>
        </is>
      </c>
      <c r="DK448" s="53" t="inlineStr">
        <is>
          <t>XBRL / Regulatory Reporting</t>
        </is>
      </c>
      <c r="DL448" s="53" t="inlineStr">
        <is>
          <t>Consultant</t>
        </is>
      </c>
      <c r="DM448" s="53" t="inlineStr">
        <is>
          <t>L3 – Professional / Associate</t>
        </is>
      </c>
      <c r="DN448" s="53" t="inlineStr">
        <is>
          <t>B.Com</t>
        </is>
      </c>
      <c r="DO448" s="53" t="inlineStr">
        <is>
          <t>Shraddha Bagul</t>
        </is>
      </c>
      <c r="DP448" s="53" t="inlineStr">
        <is>
          <t>N-3</t>
        </is>
      </c>
      <c r="DQ448" s="53" t="inlineStr">
        <is>
          <t>Individual Contributor</t>
        </is>
      </c>
      <c r="DR448" s="53" t="inlineStr">
        <is>
          <t>0 years, 6 months, 0 days</t>
        </is>
      </c>
      <c r="DS448" s="53" t="inlineStr">
        <is>
          <t>0 years, 4 months, 11 days</t>
        </is>
      </c>
      <c r="DT448" s="53" t="inlineStr">
        <is>
          <t>0 years, 10 months, 11 days</t>
        </is>
      </c>
      <c r="DU448" s="53" t="n"/>
      <c r="DV448" s="53" t="inlineStr">
        <is>
          <t>Suptech</t>
        </is>
      </c>
      <c r="DW448" s="53" t="inlineStr">
        <is>
          <t>iFile</t>
        </is>
      </c>
      <c r="DX448" s="53" t="inlineStr">
        <is>
          <t>XBRL Consulting</t>
        </is>
      </c>
      <c r="DY448" s="53" t="inlineStr">
        <is>
          <t>Consulting</t>
        </is>
      </c>
      <c r="DZ448" s="53" t="inlineStr">
        <is>
          <t>No</t>
        </is>
      </c>
      <c r="EA448" s="53" t="inlineStr">
        <is>
          <t>Professional Services</t>
        </is>
      </c>
      <c r="EB448" s="53" t="inlineStr">
        <is>
          <t>XBRL Domain</t>
        </is>
      </c>
      <c r="EC448" s="53" t="inlineStr">
        <is>
          <t>Non-technical</t>
        </is>
      </c>
      <c r="ED448" s="53" t="inlineStr">
        <is>
          <t>Remote - Mumbai</t>
        </is>
      </c>
      <c r="EE448" s="53" t="n"/>
      <c r="EF448" s="53"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EG448" s="53" t="inlineStr">
        <is>
          <t>1. Complete Q1 IRIS Instant release-testing cycles at full coverage · defect leakage &lt;2%.
2. Meet Q1 conversion turnaround &amp; accuracy targets.
3. Resolve &gt;=90% of client support queries within SLA.</t>
        </is>
      </c>
      <c r="EH448" s="53" t="inlineStr">
        <is>
          <t>3 – Meets Expectations</t>
        </is>
      </c>
      <c r="EI448" s="53" t="n"/>
      <c r="EJ448" s="53" t="inlineStr">
        <is>
          <t>XBRL Conversion Specialist</t>
        </is>
      </c>
      <c r="EK448" s="53" t="inlineStr">
        <is>
          <t>No change</t>
        </is>
      </c>
      <c r="EL448" s="53" t="n">
        <v>3</v>
      </c>
      <c r="EM448" s="53" t="inlineStr">
        <is>
          <t>Low</t>
        </is>
      </c>
      <c r="EN448" s="53" t="inlineStr">
        <is>
          <t>Core Contributor</t>
        </is>
      </c>
      <c r="EO448" s="53" t="n"/>
      <c r="EP448" s="53" t="inlineStr">
        <is>
          <t>No</t>
        </is>
      </c>
      <c r="EQ448" s="53" t="n"/>
      <c r="ER448" s="53" t="inlineStr">
        <is>
          <t>To be identified</t>
        </is>
      </c>
      <c r="ES448" s="53" t="inlineStr">
        <is>
          <t>XBRL taxonomy &amp; regulatory updates; domain/accounting refreshers; quality &amp; accuracy practices; tooling proficiency</t>
        </is>
      </c>
      <c r="ET448" s="53" t="inlineStr">
        <is>
          <t>Transition to leadership: people management &amp; delegation, mentoring/coaching, project ownership &amp; stakeholder management, prioritisation under ambiguity, presentation &amp; influence skills</t>
        </is>
      </c>
      <c r="EU448" s="53" t="n"/>
      <c r="EV448" s="53" t="n"/>
      <c r="EW448" s="52" t="n"/>
      <c r="EX448" s="53" t="n"/>
      <c r="EY448" s="53" t="n"/>
      <c r="EZ448" s="53" t="n"/>
      <c r="FA448" s="53" t="n"/>
      <c r="FB448" s="53" t="n"/>
      <c r="FC448" s="53" t="n"/>
      <c r="FD448" s="53" t="n"/>
      <c r="FE448" s="57"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FF448" s="56" t="inlineStr">
        <is>
          <t>1. Complete Q1 IRIS Instant release-testing cycles at full coverage · defect leakage &lt;2%.
2. Meet Q1 conversion turnaround &amp; accuracy targets · &gt;=98%.
3. Resolve &gt;=90% of client support queries within SLA.</t>
        </is>
      </c>
      <c r="FG448" s="56" t="n"/>
      <c r="FH448" s="56" t="inlineStr">
        <is>
          <t>3 – Meets Expectations</t>
        </is>
      </c>
      <c r="FI448" s="56" t="n"/>
      <c r="FJ448" s="56" t="inlineStr">
        <is>
          <t>Received · manager annual, quarterly</t>
        </is>
      </c>
      <c r="FK448" s="56" t="inlineStr">
        <is>
          <t>Talent Mapping · iFile collated</t>
        </is>
      </c>
      <c r="FL448" s="56" t="n">
        <v>20</v>
      </c>
      <c r="FM448" s="32" t="inlineStr">
        <is>
          <t>Full survey answers not in the files received · How We Grow export needed · HR</t>
        </is>
      </c>
      <c r="FN448" s="56" t="inlineStr">
        <is>
          <t>—</t>
        </is>
      </c>
      <c r="FO448" s="56" t="inlineStr">
        <is>
          <t>—</t>
        </is>
      </c>
      <c r="FP448" s="56" t="inlineStr">
        <is>
          <t>—</t>
        </is>
      </c>
      <c r="FQ448" s="56" t="inlineStr">
        <is>
          <t>—</t>
        </is>
      </c>
      <c r="FR448" s="56" t="inlineStr">
        <is>
          <t>Complexity: Evidence reads like A3: Tags annual reports to taxonomy, validates on Bushchat, QCs, explains tagging choices to clients → moved up 0.5
Autonomy: Evidence reads like A2: Decides prior-year report comparison; works to taxonomy mapping and QC steps → matches the start
Accountability: Evidence reads like A2: Accuracy and quality of own XBRL reports; errors mean rework → matches the start
Leadership: Evidence reads like A1: None described → matches the start
Business Impact: No survey or manager-mapping signal on criticality: kept at the start point.</t>
        </is>
      </c>
      <c r="FS448" s="56" t="inlineStr">
        <is>
          <t>Common themes in sub-family holders, all levels' answers: xbrl · requirements · taxonomy · business · data · convert
Common themes in sub-family holders, all levels' answers: client · taxonomy · requirement · development · testing · training
Common themes in sub-family holders, all levels' answers: taxonomy · xbrl · output · srs · taxonomies · accurate
Common themes in sub-family holders, all levels' answers: taxonomy · xbrl · quality · srs · development · testing
Common themes in sub-family holders, all levels' answers: taxonomy · modelling · testing · formula · data · plan
If the work is missed · role-holders' themes: rework · client · escalation · time · retesting.
Measured on · manager-set KRA themes: complete iris · resolve · cycle full · accuracy targets · maintained · logs document.</t>
        </is>
      </c>
      <c r="FT448" s="56" t="inlineStr">
        <is>
          <t>Self-identified: Domain, regulatory &amp; XBRL
For the next role: Domain, regulatory &amp; XBRL</t>
        </is>
      </c>
      <c r="FU448" s="32" t="inlineStr">
        <is>
          <t>Full survey answers not in the files received · How We Grow export needed · HR</t>
        </is>
      </c>
    </row>
    <row r="449" ht="90" customHeight="1">
      <c r="A449" s="51" t="inlineStr">
        <is>
          <t>◂ Back</t>
        </is>
      </c>
      <c r="B449" s="29" t="inlineStr">
        <is>
          <t>Mapped</t>
        </is>
      </c>
      <c r="C449" s="28" t="inlineStr">
        <is>
          <t>iFile</t>
        </is>
      </c>
      <c r="D449" s="29" t="inlineStr">
        <is>
          <t>IRISC317</t>
        </is>
      </c>
      <c r="E449" s="29" t="inlineStr">
        <is>
          <t>Prajakta Athalye</t>
        </is>
      </c>
      <c r="F449" s="29" t="inlineStr">
        <is>
          <t>XBRL Consulting</t>
        </is>
      </c>
      <c r="G449" s="29" t="inlineStr">
        <is>
          <t>XBRL Conversion Specialist</t>
        </is>
      </c>
      <c r="H449" s="29" t="inlineStr">
        <is>
          <t>Financial Analyst</t>
        </is>
      </c>
      <c r="I449" s="29" t="inlineStr">
        <is>
          <t>L3 – Professional / Associate</t>
        </is>
      </c>
      <c r="J449" s="29" t="inlineStr">
        <is>
          <t>A2</t>
        </is>
      </c>
      <c r="K449" s="29" t="inlineStr">
        <is>
          <t>• Same level</t>
        </is>
      </c>
      <c r="L449" s="29" t="inlineStr">
        <is>
          <t>Consulting &amp; Professional Services</t>
        </is>
      </c>
      <c r="M449" s="29" t="inlineStr">
        <is>
          <t>XBRL Tagging, Conversion &amp; Filing</t>
        </is>
      </c>
      <c r="N449" s="29" t="n"/>
      <c r="O449" s="29" t="n">
        <v>20</v>
      </c>
      <c r="P449" s="28" t="inlineStr">
        <is>
          <t>P1–P2</t>
        </is>
      </c>
      <c r="Q449" s="29" t="inlineStr">
        <is>
          <t>Entry / Developing</t>
        </is>
      </c>
      <c r="R449" s="29" t="inlineStr">
        <is>
          <t>2 Assist</t>
        </is>
      </c>
      <c r="S449" s="29" t="inlineStr">
        <is>
          <t>0–2 yrs</t>
        </is>
      </c>
      <c r="T449" s="29" t="inlineStr">
        <is>
          <t>1–3 · 0–3</t>
        </is>
      </c>
      <c r="U449" s="29" t="inlineStr">
        <is>
          <t>Analyst / Senior Analyst / Associate</t>
        </is>
      </c>
      <c r="V449" s="29" t="inlineStr">
        <is>
          <t>Toppan Merrill: XBRL Financial Analyst, Associate · DataTracks: Associate · Big Four: Analyst</t>
        </is>
      </c>
      <c r="W449" s="29" t="inlineStr">
        <is>
          <t>XBRL US GAAP Certificate · AICPA &amp; XBRL US; XBRL International specifications; IFRS / US GAAP / Ind AS</t>
        </is>
      </c>
      <c r="X449" s="29" t="inlineStr">
        <is>
          <t>Core 2 · Future 2 · Functional 2 · Leadership not scored</t>
        </is>
      </c>
      <c r="Y449" s="52" t="n">
        <v>410</v>
      </c>
      <c r="Z449" s="53" t="inlineStr">
        <is>
          <t>IRISC317</t>
        </is>
      </c>
      <c r="AA449" s="53" t="inlineStr">
        <is>
          <t>On Contract</t>
        </is>
      </c>
      <c r="AB449" s="53" t="inlineStr">
        <is>
          <t>Active</t>
        </is>
      </c>
      <c r="AC449" s="53" t="inlineStr">
        <is>
          <t>Prajakta Athalye</t>
        </is>
      </c>
      <c r="AD449" s="54" t="n">
        <v>45964</v>
      </c>
      <c r="AE449" s="53" t="inlineStr">
        <is>
          <t>XBRL Conversion Specialist</t>
        </is>
      </c>
      <c r="AF449" s="53" t="inlineStr">
        <is>
          <t>BBA</t>
        </is>
      </c>
      <c r="AG449" s="53" t="inlineStr">
        <is>
          <t>Shraddha Bagul</t>
        </is>
      </c>
      <c r="AH449" s="53" t="inlineStr">
        <is>
          <t>N-3</t>
        </is>
      </c>
      <c r="AI449" s="53" t="inlineStr">
        <is>
          <t>Individual Contributor</t>
        </is>
      </c>
      <c r="AJ449" s="53" t="inlineStr">
        <is>
          <t>0 years, 0 months, 0 days</t>
        </is>
      </c>
      <c r="AK449" s="53" t="inlineStr">
        <is>
          <t>0 years, 9 months, 22 days</t>
        </is>
      </c>
      <c r="AL449" s="53" t="inlineStr">
        <is>
          <t>Suptech</t>
        </is>
      </c>
      <c r="AM449" s="53" t="inlineStr">
        <is>
          <t>iFile</t>
        </is>
      </c>
      <c r="AN449" s="53" t="inlineStr">
        <is>
          <t>XBRL Consulting</t>
        </is>
      </c>
      <c r="AO449" s="53" t="inlineStr">
        <is>
          <t>Consulting</t>
        </is>
      </c>
      <c r="AP449" s="53" t="inlineStr">
        <is>
          <t>No</t>
        </is>
      </c>
      <c r="AQ449" s="53" t="inlineStr">
        <is>
          <t>Professional Services</t>
        </is>
      </c>
      <c r="AR449" s="53" t="inlineStr">
        <is>
          <t>XBRL Domain</t>
        </is>
      </c>
      <c r="AS449" s="53" t="inlineStr">
        <is>
          <t>Non-technical</t>
        </is>
      </c>
      <c r="AT449" s="53" t="n">
        <v>20</v>
      </c>
      <c r="AU449" s="53" t="inlineStr">
        <is>
          <t>Covered</t>
        </is>
      </c>
      <c r="AV449" s="53" t="n"/>
      <c r="AW449" s="53" t="n"/>
      <c r="AX449" s="53" t="n"/>
      <c r="AY449" s="53" t="n"/>
      <c r="AZ449" s="53" t="n"/>
      <c r="BA449" s="53" t="n"/>
      <c r="BB449" s="53" t="n"/>
      <c r="BC449" s="53" t="n"/>
      <c r="BD449" s="53" t="n"/>
      <c r="BE449" s="53" t="n"/>
      <c r="BF449" s="53" t="n"/>
      <c r="BG449" s="53" t="n"/>
      <c r="BH449" s="53" t="n"/>
      <c r="BI449" s="53" t="n"/>
      <c r="BJ449" s="53" t="n"/>
      <c r="BK449" s="53" t="n"/>
      <c r="BL449" s="53" t="n"/>
      <c r="BM449" s="53" t="n"/>
      <c r="BN449" s="53" t="n"/>
      <c r="BO449" s="53" t="n"/>
      <c r="BP449" s="53" t="n"/>
      <c r="BQ449" s="53" t="n"/>
      <c r="BR449" s="53" t="n"/>
      <c r="BS449" s="53" t="n"/>
      <c r="BT449" s="53" t="n"/>
      <c r="BU449" s="53" t="n"/>
      <c r="BV449" s="53" t="n"/>
      <c r="BW449" s="53" t="n"/>
      <c r="BX449" s="53" t="n"/>
      <c r="BY449" s="53" t="n"/>
      <c r="BZ449" s="53" t="n"/>
      <c r="CA449" s="53" t="n"/>
      <c r="CB449" s="53" t="n"/>
      <c r="CC449" s="53" t="n"/>
      <c r="CD449" s="53" t="n"/>
      <c r="CE449" s="53" t="n"/>
      <c r="CF449" s="53" t="n"/>
      <c r="CG449" s="53" t="n"/>
      <c r="CH449" s="53" t="n"/>
      <c r="CI449" s="53" t="n"/>
      <c r="CJ449" s="53" t="n"/>
      <c r="CK449" s="53" t="n"/>
      <c r="CL449" s="53" t="n"/>
      <c r="CM449" s="53" t="n"/>
      <c r="CN449" s="53" t="n"/>
      <c r="CO449" s="53" t="n"/>
      <c r="CP449" s="53" t="n"/>
      <c r="CQ449" s="53" t="n"/>
      <c r="CR449" s="53" t="n"/>
      <c r="CS449" s="53" t="n"/>
      <c r="CT449" s="53" t="n"/>
      <c r="CU449" s="53" t="n"/>
      <c r="CV449" s="53" t="n"/>
      <c r="CW449" s="53" t="n"/>
      <c r="CX449" s="53" t="n"/>
      <c r="CY449" s="53" t="n"/>
      <c r="CZ449" s="53" t="n"/>
      <c r="DA449" s="53" t="n"/>
      <c r="DB449" s="53" t="n"/>
      <c r="DC449" s="53" t="n"/>
      <c r="DD449" s="53" t="inlineStr">
        <is>
          <t>IRISC317</t>
        </is>
      </c>
      <c r="DE449" s="53" t="inlineStr">
        <is>
          <t>On Contract</t>
        </is>
      </c>
      <c r="DF449" s="53" t="inlineStr">
        <is>
          <t>Active</t>
        </is>
      </c>
      <c r="DG449" s="53" t="inlineStr">
        <is>
          <t>Prajakta Athalye</t>
        </is>
      </c>
      <c r="DH449" s="54" t="n">
        <v>45964</v>
      </c>
      <c r="DI449" s="53" t="inlineStr">
        <is>
          <t>XBRL Conversion Specialist</t>
        </is>
      </c>
      <c r="DJ449" s="53" t="inlineStr">
        <is>
          <t>Consulting &amp; Professional Services</t>
        </is>
      </c>
      <c r="DK449" s="53" t="inlineStr">
        <is>
          <t>XBRL / Regulatory Reporting</t>
        </is>
      </c>
      <c r="DL449" s="53" t="inlineStr">
        <is>
          <t>XBRL Conversion Specialist</t>
        </is>
      </c>
      <c r="DM449" s="53" t="inlineStr">
        <is>
          <t>L3 – Professional / Associate</t>
        </is>
      </c>
      <c r="DN449" s="53" t="inlineStr">
        <is>
          <t>BBA</t>
        </is>
      </c>
      <c r="DO449" s="53" t="inlineStr">
        <is>
          <t>Shraddha Bagul</t>
        </is>
      </c>
      <c r="DP449" s="53" t="inlineStr">
        <is>
          <t>N-3</t>
        </is>
      </c>
      <c r="DQ449" s="53" t="inlineStr">
        <is>
          <t>Individual Contributor</t>
        </is>
      </c>
      <c r="DR449" s="53" t="inlineStr">
        <is>
          <t>0 years, 0 months, 0 days</t>
        </is>
      </c>
      <c r="DS449" s="53" t="inlineStr">
        <is>
          <t>0 years, 7 months, 17 days</t>
        </is>
      </c>
      <c r="DT449" s="53" t="inlineStr">
        <is>
          <t>0 years, 7 months, 17 days</t>
        </is>
      </c>
      <c r="DU449" s="53" t="n"/>
      <c r="DV449" s="53" t="inlineStr">
        <is>
          <t>Suptech</t>
        </is>
      </c>
      <c r="DW449" s="53" t="inlineStr">
        <is>
          <t>iFile</t>
        </is>
      </c>
      <c r="DX449" s="53" t="inlineStr">
        <is>
          <t>XBRL Consulting</t>
        </is>
      </c>
      <c r="DY449" s="53" t="inlineStr">
        <is>
          <t>Consulting</t>
        </is>
      </c>
      <c r="DZ449" s="53" t="inlineStr">
        <is>
          <t>No</t>
        </is>
      </c>
      <c r="EA449" s="53" t="inlineStr">
        <is>
          <t>Professional Services</t>
        </is>
      </c>
      <c r="EB449" s="53" t="inlineStr">
        <is>
          <t>XBRL Domain</t>
        </is>
      </c>
      <c r="EC449" s="53" t="inlineStr">
        <is>
          <t>Non-technical</t>
        </is>
      </c>
      <c r="ED449" s="53" t="inlineStr">
        <is>
          <t>Work From Office - Turbhe</t>
        </is>
      </c>
      <c r="EE449" s="53" t="n"/>
      <c r="EF449" s="53"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EG449" s="53" t="inlineStr">
        <is>
          <t>1. Complete Q1 IRIS Instant release-testing cycles at full coverage · defect leakage &lt;2%.
2. Meet Q1 conversion turnaround &amp; accuracy targets.
3. Resolve &gt;=90% of client support queries within SLA.</t>
        </is>
      </c>
      <c r="EH449" s="53" t="inlineStr">
        <is>
          <t>3 – Meets Expectations</t>
        </is>
      </c>
      <c r="EI449" s="53" t="n"/>
      <c r="EJ449" s="53" t="inlineStr">
        <is>
          <t>XBRL Conversion Specialist</t>
        </is>
      </c>
      <c r="EK449" s="53" t="inlineStr">
        <is>
          <t>No change</t>
        </is>
      </c>
      <c r="EL449" s="53" t="n">
        <v>3</v>
      </c>
      <c r="EM449" s="53" t="inlineStr">
        <is>
          <t>Low</t>
        </is>
      </c>
      <c r="EN449" s="53" t="inlineStr">
        <is>
          <t>Core Contributor</t>
        </is>
      </c>
      <c r="EO449" s="53" t="n"/>
      <c r="EP449" s="53" t="inlineStr">
        <is>
          <t>No</t>
        </is>
      </c>
      <c r="EQ449" s="53" t="n"/>
      <c r="ER449" s="53" t="inlineStr">
        <is>
          <t>To be identified</t>
        </is>
      </c>
      <c r="ES449" s="53" t="inlineStr">
        <is>
          <t>XBRL taxonomy &amp; regulatory updates; domain/accounting refreshers; quality &amp; accuracy practices; tooling proficiency</t>
        </is>
      </c>
      <c r="ET449" s="53" t="inlineStr">
        <is>
          <t>Transition to leadership: people management &amp; delegation, mentoring/coaching, project ownership &amp; stakeholder management, prioritisation under ambiguity, presentation &amp; influence skills</t>
        </is>
      </c>
      <c r="EU449" s="53" t="n"/>
      <c r="EV449" s="53" t="n"/>
      <c r="EW449" s="52" t="n"/>
      <c r="EX449" s="53" t="n"/>
      <c r="EY449" s="53" t="n"/>
      <c r="EZ449" s="53" t="n"/>
      <c r="FA449" s="53" t="n"/>
      <c r="FB449" s="53" t="n"/>
      <c r="FC449" s="53" t="n"/>
      <c r="FD449" s="53" t="n"/>
      <c r="FE449" s="57"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FF449" s="56" t="inlineStr">
        <is>
          <t>1. Complete Q1 IRIS Instant release-testing cycles at full coverage · defect leakage &lt;2%.
2. Meet Q1 conversion turnaround &amp; accuracy targets · &gt;=98%.
3. Resolve &gt;=90% of client support queries within SLA.</t>
        </is>
      </c>
      <c r="FG449" s="56" t="n"/>
      <c r="FH449" s="56" t="inlineStr">
        <is>
          <t>3 – Meets Expectations</t>
        </is>
      </c>
      <c r="FI449" s="56" t="n"/>
      <c r="FJ449" s="56" t="inlineStr">
        <is>
          <t>Received · manager annual, quarterly</t>
        </is>
      </c>
      <c r="FK449" s="56" t="inlineStr">
        <is>
          <t>Talent Mapping · iFile collated</t>
        </is>
      </c>
      <c r="FL449" s="56" t="n">
        <v>20</v>
      </c>
      <c r="FM449" s="32" t="inlineStr">
        <is>
          <t>Full survey answers not in the files received · How We Grow export needed · HR</t>
        </is>
      </c>
      <c r="FN449" s="56" t="inlineStr">
        <is>
          <t>—</t>
        </is>
      </c>
      <c r="FO449" s="56" t="inlineStr">
        <is>
          <t>—</t>
        </is>
      </c>
      <c r="FP449" s="56" t="inlineStr">
        <is>
          <t>—</t>
        </is>
      </c>
      <c r="FQ449" s="56" t="inlineStr">
        <is>
          <t>—</t>
        </is>
      </c>
      <c r="FR449" s="56" t="inlineStr">
        <is>
          <t>Complexity: Evidence reads like A2: Converts financial statements to XBRL: mapping, tagging, validation and formatting checks → matches the start
Autonomy: Evidence reads like A2: Performs mapping, tagging, validations and resolves routine errors independently → matches the start
Accountability: Evidence reads like A2: Accuracy of own mapping, tagging, validation and final quality checks → matches the start
Leadership: Evidence reads like A1: None described → matches the start
Business Impact: No survey or manager-mapping signal on criticality: kept at the start point.</t>
        </is>
      </c>
      <c r="FS449" s="56" t="inlineStr">
        <is>
          <t>Common themes in role-holders' answers: xbrl · format · data · financial · convert · accurately
Common themes in role-holders' answers: tagging · data validation · mapping · xbrl · financial
Common themes in role-holders' answers: xbrl · reports
Common themes in role-holders' answers: xbrl · mapping · tagging · reports · accuracy
Common themes in role-holders' answers: errors · tagging
If the work is missed · role-holders' themes: errors · validation · extra · incorrect.
Measured on · manager-set KRA themes: complete iris · resolve · cycle full · accuracy targets · maintained · logs document.</t>
        </is>
      </c>
      <c r="FT449" s="56" t="inlineStr">
        <is>
          <t>Self-identified: AI / automation · Project / programme management · Domain, regulatory &amp; XBRL · Client, sales &amp; stakeholders · Broader exposure &amp; ownership
For the next role: AI / automation · Project / programme management · Domain, regulatory &amp; XBRL · Client, sales &amp; stakeholders · Broader exposure &amp; ownership</t>
        </is>
      </c>
      <c r="FU449" s="32" t="inlineStr">
        <is>
          <t>Full survey answers not in the files received · How We Grow export needed · HR</t>
        </is>
      </c>
    </row>
    <row r="450" ht="90" customHeight="1">
      <c r="A450" s="51" t="inlineStr">
        <is>
          <t>◂ Back</t>
        </is>
      </c>
      <c r="B450" s="29" t="inlineStr">
        <is>
          <t>Mapped</t>
        </is>
      </c>
      <c r="C450" s="28" t="inlineStr">
        <is>
          <t>iFile</t>
        </is>
      </c>
      <c r="D450" s="29" t="inlineStr">
        <is>
          <t>IRIS2549</t>
        </is>
      </c>
      <c r="E450" s="29" t="inlineStr">
        <is>
          <t>Rinku Pukharam Choudhary</t>
        </is>
      </c>
      <c r="F450" s="29" t="inlineStr">
        <is>
          <t>XBRL Consulting</t>
        </is>
      </c>
      <c r="G450" s="29" t="inlineStr">
        <is>
          <t>XBRL Conversion Specialist</t>
        </is>
      </c>
      <c r="H450" s="29" t="inlineStr">
        <is>
          <t>Financial Analyst</t>
        </is>
      </c>
      <c r="I450" s="29" t="inlineStr">
        <is>
          <t>L3 – Professional / Associate</t>
        </is>
      </c>
      <c r="J450" s="29" t="inlineStr">
        <is>
          <t>A2</t>
        </is>
      </c>
      <c r="K450" s="29" t="inlineStr">
        <is>
          <t>• Same level</t>
        </is>
      </c>
      <c r="L450" s="29" t="inlineStr">
        <is>
          <t>Consulting &amp; Professional Services</t>
        </is>
      </c>
      <c r="M450" s="29" t="inlineStr">
        <is>
          <t>XBRL Tagging, Conversion &amp; Filing</t>
        </is>
      </c>
      <c r="N450" s="29" t="n"/>
      <c r="O450" s="29" t="n">
        <v>20</v>
      </c>
      <c r="P450" s="28" t="inlineStr">
        <is>
          <t>P1–P2</t>
        </is>
      </c>
      <c r="Q450" s="29" t="inlineStr">
        <is>
          <t>Entry / Developing</t>
        </is>
      </c>
      <c r="R450" s="29" t="inlineStr">
        <is>
          <t>2 Assist</t>
        </is>
      </c>
      <c r="S450" s="29" t="inlineStr">
        <is>
          <t>0–2 yrs</t>
        </is>
      </c>
      <c r="T450" s="29" t="inlineStr">
        <is>
          <t>1–3 · 0–3</t>
        </is>
      </c>
      <c r="U450" s="29" t="inlineStr">
        <is>
          <t>Analyst / Senior Analyst / Associate</t>
        </is>
      </c>
      <c r="V450" s="29" t="inlineStr">
        <is>
          <t>Toppan Merrill: XBRL Financial Analyst, Associate · DataTracks: Associate · Big Four: Analyst</t>
        </is>
      </c>
      <c r="W450" s="29" t="inlineStr">
        <is>
          <t>XBRL US GAAP Certificate · AICPA &amp; XBRL US; XBRL International specifications; IFRS / US GAAP / Ind AS</t>
        </is>
      </c>
      <c r="X450" s="29" t="inlineStr">
        <is>
          <t>Core 2 · Future 2 · Functional 2 · Leadership not scored</t>
        </is>
      </c>
      <c r="Y450" s="52" t="n">
        <v>522</v>
      </c>
      <c r="Z450" s="53" t="inlineStr">
        <is>
          <t>IRIS2549</t>
        </is>
      </c>
      <c r="AA450" s="53" t="inlineStr">
        <is>
          <t>Employee</t>
        </is>
      </c>
      <c r="AB450" s="53" t="inlineStr">
        <is>
          <t>Active</t>
        </is>
      </c>
      <c r="AC450" s="53" t="inlineStr">
        <is>
          <t>Rinku Pukharam Choudhary</t>
        </is>
      </c>
      <c r="AD450" s="54" t="n">
        <v>46233</v>
      </c>
      <c r="AE450" s="53" t="inlineStr">
        <is>
          <t>XBRL Conversion Specialist</t>
        </is>
      </c>
      <c r="AF450" s="53" t="inlineStr">
        <is>
          <t>Bachelor of Accounting and Finance</t>
        </is>
      </c>
      <c r="AG450" s="53" t="inlineStr">
        <is>
          <t>Shraddha Bagul</t>
        </is>
      </c>
      <c r="AH450" s="53" t="inlineStr">
        <is>
          <t>N-3</t>
        </is>
      </c>
      <c r="AI450" s="53" t="inlineStr">
        <is>
          <t>Individual Contributor</t>
        </is>
      </c>
      <c r="AJ450" s="53" t="inlineStr">
        <is>
          <t>0 years, 0 months, 0 days</t>
        </is>
      </c>
      <c r="AK450" s="53" t="inlineStr">
        <is>
          <t>0 years, 0 months, 26 days</t>
        </is>
      </c>
      <c r="AL450" s="53" t="inlineStr">
        <is>
          <t>Suptech</t>
        </is>
      </c>
      <c r="AM450" s="53" t="inlineStr">
        <is>
          <t>iFile</t>
        </is>
      </c>
      <c r="AN450" s="53" t="inlineStr">
        <is>
          <t>XBRL Consulting</t>
        </is>
      </c>
      <c r="AO450" s="53" t="inlineStr">
        <is>
          <t>Consulting</t>
        </is>
      </c>
      <c r="AP450" s="53" t="inlineStr">
        <is>
          <t>No</t>
        </is>
      </c>
      <c r="AQ450" s="53" t="inlineStr">
        <is>
          <t>Professional Services</t>
        </is>
      </c>
      <c r="AR450" s="53" t="inlineStr">
        <is>
          <t>XBRL Domain</t>
        </is>
      </c>
      <c r="AS450" s="53" t="inlineStr">
        <is>
          <t>Non-technical</t>
        </is>
      </c>
      <c r="AT450" s="53" t="n">
        <v>20</v>
      </c>
      <c r="AU450" s="53" t="inlineStr">
        <is>
          <t>Covered</t>
        </is>
      </c>
      <c r="AV450" s="53" t="n"/>
      <c r="AW450" s="53" t="n"/>
      <c r="AX450" s="53" t="n"/>
      <c r="AY450" s="53" t="n"/>
      <c r="AZ450" s="53" t="n"/>
      <c r="BA450" s="53" t="n"/>
      <c r="BB450" s="53" t="n"/>
      <c r="BC450" s="53" t="n"/>
      <c r="BD450" s="53" t="n"/>
      <c r="BE450" s="53" t="n"/>
      <c r="BF450" s="53" t="n"/>
      <c r="BG450" s="53" t="n"/>
      <c r="BH450" s="53" t="n"/>
      <c r="BI450" s="53" t="n"/>
      <c r="BJ450" s="53" t="n"/>
      <c r="BK450" s="53" t="n"/>
      <c r="BL450" s="53" t="n"/>
      <c r="BM450" s="53" t="n"/>
      <c r="BN450" s="53" t="n"/>
      <c r="BO450" s="53" t="n"/>
      <c r="BP450" s="53" t="n"/>
      <c r="BQ450" s="53" t="n"/>
      <c r="BR450" s="53" t="n"/>
      <c r="BS450" s="53" t="n"/>
      <c r="BT450" s="53" t="n"/>
      <c r="BU450" s="53" t="n"/>
      <c r="BV450" s="53" t="n"/>
      <c r="BW450" s="53" t="n"/>
      <c r="BX450" s="53" t="n"/>
      <c r="BY450" s="53" t="n"/>
      <c r="BZ450" s="53" t="n"/>
      <c r="CA450" s="53" t="n"/>
      <c r="CB450" s="53" t="n"/>
      <c r="CC450" s="53" t="n"/>
      <c r="CD450" s="53" t="n"/>
      <c r="CE450" s="53" t="n"/>
      <c r="CF450" s="53" t="n"/>
      <c r="CG450" s="53" t="n"/>
      <c r="CH450" s="53" t="n"/>
      <c r="CI450" s="53" t="n"/>
      <c r="CJ450" s="53" t="n"/>
      <c r="CK450" s="53" t="n"/>
      <c r="CL450" s="53" t="n"/>
      <c r="CM450" s="53" t="n"/>
      <c r="CN450" s="53" t="n"/>
      <c r="CO450" s="53" t="n"/>
      <c r="CP450" s="53" t="n"/>
      <c r="CQ450" s="53" t="n"/>
      <c r="CR450" s="53" t="n"/>
      <c r="CS450" s="53" t="n"/>
      <c r="CT450" s="53" t="n"/>
      <c r="CU450" s="53" t="n"/>
      <c r="CV450" s="53" t="n"/>
      <c r="CW450" s="53" t="n"/>
      <c r="CX450" s="53" t="n"/>
      <c r="CY450" s="53" t="n"/>
      <c r="CZ450" s="53" t="n"/>
      <c r="DA450" s="53" t="n"/>
      <c r="DB450" s="53" t="n"/>
      <c r="DC450" s="53" t="n"/>
      <c r="DD450" s="53" t="inlineStr">
        <is>
          <t>IRISC314</t>
        </is>
      </c>
      <c r="DE450" s="53" t="inlineStr">
        <is>
          <t>On Contract</t>
        </is>
      </c>
      <c r="DF450" s="53" t="inlineStr">
        <is>
          <t>Active</t>
        </is>
      </c>
      <c r="DG450" s="53" t="inlineStr">
        <is>
          <t>Rinku Pukharam Choudhary</t>
        </is>
      </c>
      <c r="DH450" s="54" t="n">
        <v>45873</v>
      </c>
      <c r="DI450" s="53" t="inlineStr">
        <is>
          <t>XBRL Conversion Specialist</t>
        </is>
      </c>
      <c r="DJ450" s="53" t="inlineStr">
        <is>
          <t>Consulting &amp; Professional Services</t>
        </is>
      </c>
      <c r="DK450" s="53" t="inlineStr">
        <is>
          <t>XBRL / Regulatory Reporting</t>
        </is>
      </c>
      <c r="DL450" s="53" t="inlineStr">
        <is>
          <t>XBRL Conversion Specialist</t>
        </is>
      </c>
      <c r="DM450" s="53" t="inlineStr">
        <is>
          <t>L3 – Professional / Associate</t>
        </is>
      </c>
      <c r="DN450" s="53" t="inlineStr">
        <is>
          <t>Bachelor of Accounting and Finance</t>
        </is>
      </c>
      <c r="DO450" s="53" t="inlineStr">
        <is>
          <t>Shraddha Bagul</t>
        </is>
      </c>
      <c r="DP450" s="53" t="inlineStr">
        <is>
          <t>N-3</t>
        </is>
      </c>
      <c r="DQ450" s="53" t="inlineStr">
        <is>
          <t>Individual Contributor</t>
        </is>
      </c>
      <c r="DR450" s="53" t="inlineStr">
        <is>
          <t>0 years, 0 months, 0 days</t>
        </is>
      </c>
      <c r="DS450" s="53" t="inlineStr">
        <is>
          <t>0 years, 10 months, 16 days</t>
        </is>
      </c>
      <c r="DT450" s="53" t="inlineStr">
        <is>
          <t>0 years, 10 months, 16 days</t>
        </is>
      </c>
      <c r="DU450" s="53" t="n"/>
      <c r="DV450" s="53" t="inlineStr">
        <is>
          <t>Suptech</t>
        </is>
      </c>
      <c r="DW450" s="53" t="inlineStr">
        <is>
          <t>iFile</t>
        </is>
      </c>
      <c r="DX450" s="53" t="inlineStr">
        <is>
          <t>XBRL Consulting</t>
        </is>
      </c>
      <c r="DY450" s="53" t="inlineStr">
        <is>
          <t>Consulting</t>
        </is>
      </c>
      <c r="DZ450" s="53" t="inlineStr">
        <is>
          <t>No</t>
        </is>
      </c>
      <c r="EA450" s="53" t="inlineStr">
        <is>
          <t>Professional Services</t>
        </is>
      </c>
      <c r="EB450" s="53" t="inlineStr">
        <is>
          <t>XBRL Domain</t>
        </is>
      </c>
      <c r="EC450" s="53" t="inlineStr">
        <is>
          <t>Non-technical</t>
        </is>
      </c>
      <c r="ED450" s="53" t="inlineStr">
        <is>
          <t>Work From Office - Turbhe</t>
        </is>
      </c>
      <c r="EE450" s="53" t="n"/>
      <c r="EF450" s="53"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EG450" s="53" t="inlineStr">
        <is>
          <t>1. Complete Q1 IRIS Instant release-testing cycles at full coverage · defect leakage &lt;2%.
2. Meet Q1 conversion turnaround &amp; accuracy targets.
3. Resolve &gt;=90% of client support queries within SLA.</t>
        </is>
      </c>
      <c r="EH450" s="53" t="inlineStr">
        <is>
          <t>3 – Meets Expectations</t>
        </is>
      </c>
      <c r="EI450" s="53" t="n"/>
      <c r="EJ450" s="53" t="inlineStr">
        <is>
          <t>XBRL Conversion Specialist</t>
        </is>
      </c>
      <c r="EK450" s="53" t="inlineStr">
        <is>
          <t>No change</t>
        </is>
      </c>
      <c r="EL450" s="53" t="n">
        <v>3</v>
      </c>
      <c r="EM450" s="53" t="inlineStr">
        <is>
          <t>Medium</t>
        </is>
      </c>
      <c r="EN450" s="53" t="inlineStr">
        <is>
          <t>Core Contributor</t>
        </is>
      </c>
      <c r="EO450" s="53" t="n"/>
      <c r="EP450" s="53" t="inlineStr">
        <is>
          <t>No</t>
        </is>
      </c>
      <c r="EQ450" s="53" t="n"/>
      <c r="ER450" s="53" t="inlineStr">
        <is>
          <t>To be identified</t>
        </is>
      </c>
      <c r="ES450" s="53" t="inlineStr">
        <is>
          <t>XBRL taxonomy &amp; regulatory updates; domain/accounting refreshers; quality &amp; accuracy practices; tooling proficiency</t>
        </is>
      </c>
      <c r="ET450" s="53" t="inlineStr">
        <is>
          <t>Transition to leadership: people management &amp; delegation, mentoring/coaching, project ownership &amp; stakeholder management, prioritisation under ambiguity, presentation &amp; influence skills</t>
        </is>
      </c>
      <c r="EU450" s="53" t="n"/>
      <c r="EV450" s="53" t="n"/>
      <c r="EW450" s="52" t="n"/>
      <c r="EX450" s="53" t="n"/>
      <c r="EY450" s="53" t="n"/>
      <c r="EZ450" s="53" t="n"/>
      <c r="FA450" s="53" t="n"/>
      <c r="FB450" s="53" t="n"/>
      <c r="FC450" s="53" t="n"/>
      <c r="FD450" s="53" t="inlineStr">
        <is>
          <t>IRISC314</t>
        </is>
      </c>
      <c r="FE450" s="57" t="inlineStr">
        <is>
          <t>1. Complete IRIS Instant new-release testing each cycle at full coverage; defect leakage &lt;2%.
2. Deliver outsourced XBRL file conversions at &gt;=98% accuracy within agreed turnaround times.
3. Resolve &gt;=90% of client interactions/support queries within SLA.
4. Meet monthly conversion throughput and accuracy targets with maintained logs.
5. Document recurring issues/fixes and complete &gt;=2 product/domain upskilling modules.</t>
        </is>
      </c>
      <c r="FF450" s="56" t="inlineStr">
        <is>
          <t>1. Complete Q1 IRIS Instant release-testing cycles at full coverage · defect leakage &lt;2%.
2. Meet Q1 conversion turnaround &amp; accuracy targets · &gt;=98%.
3. Resolve &gt;=90% of client support queries within SLA.</t>
        </is>
      </c>
      <c r="FG450" s="56" t="n"/>
      <c r="FH450" s="56" t="inlineStr">
        <is>
          <t>3 – Meets Expectations</t>
        </is>
      </c>
      <c r="FI450" s="56" t="n"/>
      <c r="FJ450" s="56" t="inlineStr">
        <is>
          <t>Received · manager annual, quarterly</t>
        </is>
      </c>
      <c r="FK450" s="56" t="inlineStr">
        <is>
          <t>Talent Mapping · iFile collated</t>
        </is>
      </c>
      <c r="FL450" s="56" t="n">
        <v>20</v>
      </c>
      <c r="FM450" s="32" t="inlineStr">
        <is>
          <t>Full survey answers not in the files received · How We Grow export needed · HR</t>
        </is>
      </c>
      <c r="FN450" s="56" t="inlineStr">
        <is>
          <t>—</t>
        </is>
      </c>
      <c r="FO450" s="56" t="inlineStr">
        <is>
          <t>—</t>
        </is>
      </c>
      <c r="FP450" s="56" t="inlineStr">
        <is>
          <t>—</t>
        </is>
      </c>
      <c r="FQ450" s="56" t="inlineStr">
        <is>
          <t>—</t>
        </is>
      </c>
      <c r="FR450" s="56" t="inlineStr">
        <is>
          <t>Complexity: Evidence reads like A2: Tags Malaysian company filings into XBRL, ACRA testing, text-block and review-copy quality checks → matches the start
Autonomy: Evidence reads like A2: Only independent decision named is downloading company files → matches the start
Accountability: Evidence reads like A2: Accuracy and formatting of reports shared with the client → matches the start
Leadership: Evidence reads like A1: None described → matches the start
Business Impact: No survey or manager-mapping signal on criticality: kept at the start point.</t>
        </is>
      </c>
      <c r="FS450" s="56" t="inlineStr">
        <is>
          <t>Common themes in role-holders' answers: xbrl · format · data · financial · convert · accurately
Common themes in role-holders' answers: tagging · data validation · mapping · xbrl · financial
Common themes in role-holders' answers: xbrl · reports
Common themes in role-holders' answers: xbrl · mapping · tagging · reports · accuracy
Common themes in role-holders' answers: errors · tagging
If the work is missed · role-holders' themes: errors · validation · extra · incorrect.
Measured on · manager-set KRA themes: complete iris · resolve · cycle full · accuracy targets · maintained · logs document.</t>
        </is>
      </c>
      <c r="FT450" s="56" t="inlineStr">
        <is>
          <t>Self-identified: Technical depth &amp; architecture · Data, SQL &amp; analytics
For the next role: Technical depth &amp; architecture · Data, SQL &amp; analytics</t>
        </is>
      </c>
      <c r="FU450" s="32" t="inlineStr">
        <is>
          <t>Full survey answers not in the files received · How We Grow export needed · HR</t>
        </is>
      </c>
    </row>
    <row r="451" ht="90" customHeight="1">
      <c r="A451" s="51" t="inlineStr">
        <is>
          <t>◂ Back</t>
        </is>
      </c>
      <c r="B451" s="29" t="inlineStr">
        <is>
          <t>Mapped</t>
        </is>
      </c>
      <c r="C451" s="28" t="inlineStr">
        <is>
          <t>iFile</t>
        </is>
      </c>
      <c r="D451" s="29" t="inlineStr">
        <is>
          <t>IRIS1618</t>
        </is>
      </c>
      <c r="E451" s="29" t="inlineStr">
        <is>
          <t>Sujeet Rathod</t>
        </is>
      </c>
      <c r="F451" s="29" t="inlineStr">
        <is>
          <t>XBRL Consulting</t>
        </is>
      </c>
      <c r="G451" s="29" t="inlineStr">
        <is>
          <t>Lead Consultant</t>
        </is>
      </c>
      <c r="H451" s="29" t="inlineStr">
        <is>
          <t>Manager – Taxonomy Consulting</t>
        </is>
      </c>
      <c r="I451" s="29" t="inlineStr">
        <is>
          <t>L5 – Lead · IC</t>
        </is>
      </c>
      <c r="J451" s="29" t="inlineStr">
        <is>
          <t>B2</t>
        </is>
      </c>
      <c r="K451" s="29" t="inlineStr">
        <is>
          <t>▼ Down · protected</t>
        </is>
      </c>
      <c r="L451" s="29" t="inlineStr">
        <is>
          <t>Consulting &amp; Professional Services</t>
        </is>
      </c>
      <c r="M451" s="29" t="inlineStr">
        <is>
          <t>Taxonomy Design &amp; Regulatory Consulting</t>
        </is>
      </c>
      <c r="N451" s="29" t="n"/>
      <c r="O451" s="29" t="n">
        <v>20</v>
      </c>
      <c r="P451" s="28" t="inlineStr">
        <is>
          <t>P4 / M3</t>
        </is>
      </c>
      <c r="Q451" s="29" t="inlineStr">
        <is>
          <t>Senior / Manager</t>
        </is>
      </c>
      <c r="R451" s="29" t="inlineStr">
        <is>
          <t>4–5</t>
        </is>
      </c>
      <c r="S451" s="29" t="inlineStr">
        <is>
          <t>6–9 yrs</t>
        </is>
      </c>
      <c r="T451" s="29" t="inlineStr">
        <is>
          <t>7–10 · 6–11</t>
        </is>
      </c>
      <c r="U451" s="29" t="inlineStr">
        <is>
          <t>Manager</t>
        </is>
      </c>
      <c r="V451" s="29" t="inlineStr">
        <is>
          <t>Big Four: Manager · IRIS Vs Market Benchmark — XBRL US credential pathway: Certificate + review authority</t>
        </is>
      </c>
      <c r="W451" s="29" t="inlineStr">
        <is>
          <t>XBRL US GAAP Certificate · AICPA &amp; XBRL US; XBRL International specifications; IFRS / US GAAP / Ind AS</t>
        </is>
      </c>
      <c r="X451" s="29" t="inlineStr">
        <is>
          <t>Core 3 · Future 3 · Functional 4 · Leadership 3</t>
        </is>
      </c>
      <c r="Y451" s="52" t="n">
        <v>132</v>
      </c>
      <c r="Z451" s="53" t="inlineStr">
        <is>
          <t>IRIS1618</t>
        </is>
      </c>
      <c r="AA451" s="53" t="inlineStr">
        <is>
          <t>Employee</t>
        </is>
      </c>
      <c r="AB451" s="53" t="inlineStr">
        <is>
          <t>Active</t>
        </is>
      </c>
      <c r="AC451" s="53" t="inlineStr">
        <is>
          <t>Sujeet Rathod</t>
        </is>
      </c>
      <c r="AD451" s="54" t="n">
        <v>42779</v>
      </c>
      <c r="AE451" s="53" t="inlineStr">
        <is>
          <t>Lead Consultant</t>
        </is>
      </c>
      <c r="AF451" s="53" t="inlineStr">
        <is>
          <t>ICWA</t>
        </is>
      </c>
      <c r="AG451" s="53" t="inlineStr">
        <is>
          <t>Rahul Dhamne</t>
        </is>
      </c>
      <c r="AH451" s="53" t="inlineStr">
        <is>
          <t>N-2</t>
        </is>
      </c>
      <c r="AI451" s="53" t="inlineStr">
        <is>
          <t>manager</t>
        </is>
      </c>
      <c r="AJ451" s="53" t="inlineStr">
        <is>
          <t>5 years, 0 months, 0 days</t>
        </is>
      </c>
      <c r="AK451" s="53" t="inlineStr">
        <is>
          <t>9 years, 6 months, 12 days</t>
        </is>
      </c>
      <c r="AL451" s="53" t="inlineStr">
        <is>
          <t>Suptech</t>
        </is>
      </c>
      <c r="AM451" s="53" t="inlineStr">
        <is>
          <t>iFile</t>
        </is>
      </c>
      <c r="AN451" s="53" t="inlineStr">
        <is>
          <t>XBRL Consulting</t>
        </is>
      </c>
      <c r="AO451" s="53" t="inlineStr">
        <is>
          <t>Consulting</t>
        </is>
      </c>
      <c r="AP451" s="53" t="inlineStr">
        <is>
          <t>No</t>
        </is>
      </c>
      <c r="AQ451" s="53" t="inlineStr">
        <is>
          <t>Professional Services</t>
        </is>
      </c>
      <c r="AR451" s="53" t="inlineStr">
        <is>
          <t>XBRL Domain</t>
        </is>
      </c>
      <c r="AS451" s="53" t="inlineStr">
        <is>
          <t>Non-technical</t>
        </is>
      </c>
      <c r="AT451" s="53" t="n">
        <v>20</v>
      </c>
      <c r="AU451" s="53" t="inlineStr">
        <is>
          <t>Covered</t>
        </is>
      </c>
      <c r="AV451" s="53" t="n"/>
      <c r="AW451" s="53" t="n"/>
      <c r="AX451" s="53" t="n"/>
      <c r="AY451" s="53" t="n"/>
      <c r="AZ451" s="53" t="n"/>
      <c r="BA451" s="53" t="n"/>
      <c r="BB451" s="53" t="n"/>
      <c r="BC451" s="53" t="n"/>
      <c r="BD451" s="53" t="n"/>
      <c r="BE451" s="53" t="n"/>
      <c r="BF451" s="53" t="n"/>
      <c r="BG451" s="53" t="n"/>
      <c r="BH451" s="53" t="n"/>
      <c r="BI451" s="53" t="n"/>
      <c r="BJ451" s="53" t="n"/>
      <c r="BK451" s="53" t="n"/>
      <c r="BL451" s="53" t="n"/>
      <c r="BM451" s="53" t="n"/>
      <c r="BN451" s="53" t="n"/>
      <c r="BO451" s="53" t="n"/>
      <c r="BP451" s="53" t="n"/>
      <c r="BQ451" s="53" t="n"/>
      <c r="BR451" s="53" t="n"/>
      <c r="BS451" s="53" t="n"/>
      <c r="BT451" s="53" t="n"/>
      <c r="BU451" s="53" t="n"/>
      <c r="BV451" s="53" t="n"/>
      <c r="BW451" s="53" t="n"/>
      <c r="BX451" s="53" t="n"/>
      <c r="BY451" s="53" t="n"/>
      <c r="BZ451" s="53" t="n"/>
      <c r="CA451" s="53" t="n"/>
      <c r="CB451" s="53" t="n"/>
      <c r="CC451" s="53" t="n"/>
      <c r="CD451" s="53" t="n"/>
      <c r="CE451" s="53" t="n"/>
      <c r="CF451" s="53" t="n"/>
      <c r="CG451" s="53" t="n"/>
      <c r="CH451" s="53" t="n"/>
      <c r="CI451" s="53" t="n"/>
      <c r="CJ451" s="53" t="n"/>
      <c r="CK451" s="53" t="n"/>
      <c r="CL451" s="53" t="n"/>
      <c r="CM451" s="53" t="n"/>
      <c r="CN451" s="53" t="n"/>
      <c r="CO451" s="53" t="n"/>
      <c r="CP451" s="53" t="n"/>
      <c r="CQ451" s="53" t="n"/>
      <c r="CR451" s="53" t="n"/>
      <c r="CS451" s="53" t="n"/>
      <c r="CT451" s="53" t="n"/>
      <c r="CU451" s="53" t="n"/>
      <c r="CV451" s="53" t="n"/>
      <c r="CW451" s="53" t="n"/>
      <c r="CX451" s="53" t="n"/>
      <c r="CY451" s="53" t="n"/>
      <c r="CZ451" s="53" t="n"/>
      <c r="DA451" s="53" t="n"/>
      <c r="DB451" s="53" t="n"/>
      <c r="DC451" s="53" t="n"/>
      <c r="DD451" s="53" t="inlineStr">
        <is>
          <t>IRIS1618</t>
        </is>
      </c>
      <c r="DE451" s="53" t="inlineStr">
        <is>
          <t>Employee</t>
        </is>
      </c>
      <c r="DF451" s="53" t="inlineStr">
        <is>
          <t>Active</t>
        </is>
      </c>
      <c r="DG451" s="53" t="inlineStr">
        <is>
          <t>Sujeet Rathod</t>
        </is>
      </c>
      <c r="DH451" s="54" t="n">
        <v>42779</v>
      </c>
      <c r="DI451" s="53" t="inlineStr">
        <is>
          <t>Lead Consultant</t>
        </is>
      </c>
      <c r="DJ451" s="53" t="inlineStr">
        <is>
          <t>Consulting &amp; Professional Services</t>
        </is>
      </c>
      <c r="DK451" s="53" t="inlineStr">
        <is>
          <t>XBRL / Regulatory Reporting</t>
        </is>
      </c>
      <c r="DL451" s="53" t="inlineStr">
        <is>
          <t>Lead Consultant</t>
        </is>
      </c>
      <c r="DM451" s="53" t="inlineStr">
        <is>
          <t>L5 – Lead · IC</t>
        </is>
      </c>
      <c r="DN451" s="53" t="inlineStr">
        <is>
          <t>ICWA</t>
        </is>
      </c>
      <c r="DO451" s="53" t="inlineStr">
        <is>
          <t>Rahul Dhamne</t>
        </is>
      </c>
      <c r="DP451" s="53" t="inlineStr">
        <is>
          <t>N-2</t>
        </is>
      </c>
      <c r="DQ451" s="53" t="inlineStr">
        <is>
          <t>manager</t>
        </is>
      </c>
      <c r="DR451" s="53" t="inlineStr">
        <is>
          <t>5 years, 0 months, 0 days</t>
        </is>
      </c>
      <c r="DS451" s="53" t="inlineStr">
        <is>
          <t>9 years, 4 months, 7 days</t>
        </is>
      </c>
      <c r="DT451" s="53" t="inlineStr">
        <is>
          <t>14 years, 4 months, 7 days</t>
        </is>
      </c>
      <c r="DU451" s="53" t="n">
        <v>9.35251141552512</v>
      </c>
      <c r="DV451" s="53" t="inlineStr">
        <is>
          <t>Suptech</t>
        </is>
      </c>
      <c r="DW451" s="53" t="inlineStr">
        <is>
          <t>iFile</t>
        </is>
      </c>
      <c r="DX451" s="53" t="inlineStr">
        <is>
          <t>XBRL Consulting</t>
        </is>
      </c>
      <c r="DY451" s="53" t="inlineStr">
        <is>
          <t>Consulting</t>
        </is>
      </c>
      <c r="DZ451" s="53" t="inlineStr">
        <is>
          <t>No</t>
        </is>
      </c>
      <c r="EA451" s="53" t="inlineStr">
        <is>
          <t>Professional Services</t>
        </is>
      </c>
      <c r="EB451" s="53" t="inlineStr">
        <is>
          <t>XBRL Domain</t>
        </is>
      </c>
      <c r="EC451" s="53" t="inlineStr">
        <is>
          <t>Non-technical</t>
        </is>
      </c>
      <c r="ED451" s="53" t="inlineStr">
        <is>
          <t>Work From Office - Turbhe</t>
        </is>
      </c>
      <c r="EE451" s="53" t="n"/>
      <c r="EF451" s="53"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EG451" s="53"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EH451" s="53" t="inlineStr">
        <is>
          <t>5 – Outstanding</t>
        </is>
      </c>
      <c r="EI451" s="53" t="inlineStr">
        <is>
          <t>Last appraisal in Oct 2025</t>
        </is>
      </c>
      <c r="EJ451" s="53" t="inlineStr">
        <is>
          <t>Lead Consultant</t>
        </is>
      </c>
      <c r="EK451" s="53" t="inlineStr">
        <is>
          <t>No change</t>
        </is>
      </c>
      <c r="EL451" s="53" t="n">
        <v>5</v>
      </c>
      <c r="EM451" s="53" t="inlineStr">
        <is>
          <t>High</t>
        </is>
      </c>
      <c r="EN451" s="53" t="inlineStr">
        <is>
          <t>Future Leader</t>
        </is>
      </c>
      <c r="EO451" s="53" t="n"/>
      <c r="EP451" s="53" t="inlineStr">
        <is>
          <t>yes</t>
        </is>
      </c>
      <c r="EQ451" s="53" t="n"/>
      <c r="ER451" s="53" t="inlineStr">
        <is>
          <t>To be identified</t>
        </is>
      </c>
      <c r="ES451" s="53" t="inlineStr">
        <is>
          <t>XBRL taxonomy &amp; regulatory updates; domain/accounting refreshers; quality &amp; accuracy practices; tooling proficiency | People management: goal-setting &amp; feedback, 1:1 coaching, performance conversations</t>
        </is>
      </c>
      <c r="ET451" s="53" t="inlineStr">
        <is>
          <t>Leadership development: strategic thinking, cross-functional influence, financial/business acumen, succession &amp; talent development, change management, executive communication</t>
        </is>
      </c>
      <c r="EU451" s="53" t="inlineStr">
        <is>
          <t>QFCRA</t>
        </is>
      </c>
      <c r="EV451" s="53" t="n"/>
      <c r="EW451" s="52" t="n"/>
      <c r="EX451" s="53" t="n"/>
      <c r="EY451" s="53" t="n"/>
      <c r="EZ451" s="53" t="n"/>
      <c r="FA451" s="53" t="n"/>
      <c r="FB451" s="53" t="n"/>
      <c r="FC451" s="53" t="n"/>
      <c r="FD451" s="53" t="n"/>
      <c r="FE451" s="57"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FF451" s="56"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FG451" s="56" t="n"/>
      <c r="FH451" s="56" t="inlineStr">
        <is>
          <t>5 – Outstanding</t>
        </is>
      </c>
      <c r="FI451" s="56" t="n"/>
      <c r="FJ451" s="56" t="inlineStr">
        <is>
          <t>Received · manager annual, quarterly</t>
        </is>
      </c>
      <c r="FK451" s="56" t="inlineStr">
        <is>
          <t>Talent Mapping · iFile collated</t>
        </is>
      </c>
      <c r="FL451" s="56" t="n">
        <v>20</v>
      </c>
      <c r="FM451" s="32" t="inlineStr">
        <is>
          <t>Full survey answers not in the files received · How We Grow export needed · HR</t>
        </is>
      </c>
      <c r="FN451" s="56" t="inlineStr">
        <is>
          <t>—</t>
        </is>
      </c>
      <c r="FO451" s="56" t="inlineStr">
        <is>
          <t>—</t>
        </is>
      </c>
      <c r="FP451" s="56" t="inlineStr">
        <is>
          <t>—</t>
        </is>
      </c>
      <c r="FQ451" s="56" t="inlineStr">
        <is>
          <t>—</t>
        </is>
      </c>
      <c r="FR451" s="56" t="inlineStr">
        <is>
          <t>Complexity: Evidence reads like B1: Decides taxonomy architecture; XBRL and financial expertise; client training. Very brief answers → moved down 0.5
Autonomy: Evidence reads like B1: Taxonomy architecture decided independently for projects delivered by the team → moved down 0.5
Accountability: Evidence reads like B1: Project deliverables and taxonomy accuracy with a 5-person team; handles client escalations → moved down 0.5
Leadership: Evidence reads like B1: Team management listed; 5 direct reports → matches the start</t>
        </is>
      </c>
      <c r="FS451" s="56" t="inlineStr">
        <is>
          <t>Common themes in sub-family holders, all levels' answers: xbrl · requirements · taxonomy · business · data · convert
Common themes in sub-family holders, all levels' answers: client · taxonomy · requirement · development · testing · training
Common themes in sub-family holders, all levels' answers: taxonomy · xbrl · output · srs · taxonomies · accurate
Common themes in sub-family holders, all levels' answers: taxonomy · xbrl · quality · srs · development · testing
Common themes in sub-family holders, all levels' answers: taxonomy · modelling · testing · formula · data · plan
If the work is missed · role-holders' themes: rework · client · escalation · time · retesting.
Measured on · manager-set KRA themes: ifile business · analyst contribute · resolve · domain delivery · serve analyst · milestones on-time.</t>
        </is>
      </c>
      <c r="FT451" s="56" t="inlineStr">
        <is>
          <t>Self-identified: Answered · no common topic
For the next role: Answered · no common topic</t>
        </is>
      </c>
      <c r="FU451" s="32" t="inlineStr">
        <is>
          <t>Full survey answers not in the files received · How We Grow export needed · HR</t>
        </is>
      </c>
    </row>
    <row r="452" ht="90" customHeight="1">
      <c r="A452" s="51" t="inlineStr">
        <is>
          <t>◂ Back</t>
        </is>
      </c>
      <c r="B452" s="29" t="inlineStr">
        <is>
          <t>Mapped</t>
        </is>
      </c>
      <c r="C452" s="28" t="inlineStr">
        <is>
          <t>iFile</t>
        </is>
      </c>
      <c r="D452" s="29" t="inlineStr">
        <is>
          <t>IRIS0050</t>
        </is>
      </c>
      <c r="E452" s="29" t="inlineStr">
        <is>
          <t>Prashant Ramakant Wagh</t>
        </is>
      </c>
      <c r="F452" s="29" t="inlineStr">
        <is>
          <t>XBRL Consulting</t>
        </is>
      </c>
      <c r="G452" s="29" t="inlineStr">
        <is>
          <t>Consultant</t>
        </is>
      </c>
      <c r="H452" s="29" t="inlineStr">
        <is>
          <t>Taxonomy Specialist</t>
        </is>
      </c>
      <c r="I452" s="29" t="inlineStr">
        <is>
          <t>L3 – Professional / Associate</t>
        </is>
      </c>
      <c r="J452" s="29" t="inlineStr">
        <is>
          <t>B1</t>
        </is>
      </c>
      <c r="K452" s="29" t="inlineStr">
        <is>
          <t>▲ Up</t>
        </is>
      </c>
      <c r="L452" s="29" t="inlineStr">
        <is>
          <t>Consulting &amp; Professional Services</t>
        </is>
      </c>
      <c r="M452" s="29" t="inlineStr">
        <is>
          <t>Taxonomy Design &amp; Regulatory Consulting</t>
        </is>
      </c>
      <c r="N452" s="29" t="n"/>
      <c r="O452" s="29" t="n">
        <v>20</v>
      </c>
      <c r="P452" s="28" t="inlineStr">
        <is>
          <t>P3 / M2</t>
        </is>
      </c>
      <c r="Q452" s="29" t="inlineStr">
        <is>
          <t>Career / · Team Lead</t>
        </is>
      </c>
      <c r="R452" s="29" t="inlineStr">
        <is>
          <t>4 Enable</t>
        </is>
      </c>
      <c r="S452" s="29" t="inlineStr">
        <is>
          <t>4–7 yrs</t>
        </is>
      </c>
      <c r="T452" s="29" t="inlineStr">
        <is>
          <t>5–8 · 4–8</t>
        </is>
      </c>
      <c r="U452" s="29" t="inlineStr">
        <is>
          <t>Consultant / Senior Associate</t>
        </is>
      </c>
      <c r="V452" s="29" t="inlineStr">
        <is>
          <t>Big Four: Senior Consultant · IRIS Vs Market Benchmark — XBRL US credential pathway: Certificate + specialist taxonomy</t>
        </is>
      </c>
      <c r="W452" s="29" t="inlineStr">
        <is>
          <t>XBRL US GAAP Certificate · AICPA &amp; XBRL US; XBRL International specifications; IFRS / US GAAP / Ind AS</t>
        </is>
      </c>
      <c r="X452" s="29" t="inlineStr">
        <is>
          <t>Core 3 · Future 3 · Functional 3 · Leadership 1</t>
        </is>
      </c>
      <c r="Y452" s="52" t="n">
        <v>18</v>
      </c>
      <c r="Z452" s="53" t="inlineStr">
        <is>
          <t>IRIS0050</t>
        </is>
      </c>
      <c r="AA452" s="53" t="inlineStr">
        <is>
          <t>Employee</t>
        </is>
      </c>
      <c r="AB452" s="53" t="inlineStr">
        <is>
          <t>Active</t>
        </is>
      </c>
      <c r="AC452" s="53" t="inlineStr">
        <is>
          <t>Prashant Ramakant Wagh</t>
        </is>
      </c>
      <c r="AD452" s="54" t="n">
        <v>39002</v>
      </c>
      <c r="AE452" s="53" t="inlineStr">
        <is>
          <t>Consultant</t>
        </is>
      </c>
      <c r="AF452" s="53" t="inlineStr">
        <is>
          <t>B.Com</t>
        </is>
      </c>
      <c r="AG452" s="53" t="inlineStr">
        <is>
          <t>Sujeet Rathod</t>
        </is>
      </c>
      <c r="AH452" s="53" t="inlineStr">
        <is>
          <t>N-3</t>
        </is>
      </c>
      <c r="AI452" s="53" t="inlineStr">
        <is>
          <t>Individual Contributor</t>
        </is>
      </c>
      <c r="AJ452" s="53" t="inlineStr">
        <is>
          <t>0 years, 5 months, 0 days</t>
        </is>
      </c>
      <c r="AK452" s="53" t="inlineStr">
        <is>
          <t>19 years, 10 months, 13 days</t>
        </is>
      </c>
      <c r="AL452" s="53" t="inlineStr">
        <is>
          <t>Suptech</t>
        </is>
      </c>
      <c r="AM452" s="53" t="inlineStr">
        <is>
          <t>iFile</t>
        </is>
      </c>
      <c r="AN452" s="53" t="inlineStr">
        <is>
          <t>XBRL Consulting</t>
        </is>
      </c>
      <c r="AO452" s="53" t="inlineStr">
        <is>
          <t>Consulting</t>
        </is>
      </c>
      <c r="AP452" s="53" t="inlineStr">
        <is>
          <t>No</t>
        </is>
      </c>
      <c r="AQ452" s="53" t="inlineStr">
        <is>
          <t>Professional Services</t>
        </is>
      </c>
      <c r="AR452" s="53" t="inlineStr">
        <is>
          <t>XBRL Domain</t>
        </is>
      </c>
      <c r="AS452" s="53" t="inlineStr">
        <is>
          <t>Non-technical</t>
        </is>
      </c>
      <c r="AT452" s="53" t="n">
        <v>20</v>
      </c>
      <c r="AU452" s="53" t="inlineStr">
        <is>
          <t>Covered</t>
        </is>
      </c>
      <c r="AV452" s="53" t="n"/>
      <c r="AW452" s="53" t="n"/>
      <c r="AX452" s="53" t="n"/>
      <c r="AY452" s="53" t="n"/>
      <c r="AZ452" s="53" t="n"/>
      <c r="BA452" s="53" t="n"/>
      <c r="BB452" s="53" t="n"/>
      <c r="BC452" s="53" t="n"/>
      <c r="BD452" s="53" t="n"/>
      <c r="BE452" s="53" t="n"/>
      <c r="BF452" s="53" t="n"/>
      <c r="BG452" s="53" t="n"/>
      <c r="BH452" s="53" t="n"/>
      <c r="BI452" s="53" t="n"/>
      <c r="BJ452" s="53" t="n"/>
      <c r="BK452" s="53" t="n"/>
      <c r="BL452" s="53" t="n"/>
      <c r="BM452" s="53" t="n"/>
      <c r="BN452" s="53" t="n"/>
      <c r="BO452" s="53" t="n"/>
      <c r="BP452" s="53" t="n"/>
      <c r="BQ452" s="53" t="n"/>
      <c r="BR452" s="53" t="n"/>
      <c r="BS452" s="53" t="n"/>
      <c r="BT452" s="53" t="n"/>
      <c r="BU452" s="53" t="n"/>
      <c r="BV452" s="53" t="n"/>
      <c r="BW452" s="53" t="n"/>
      <c r="BX452" s="53" t="n"/>
      <c r="BY452" s="53" t="n"/>
      <c r="BZ452" s="53" t="n"/>
      <c r="CA452" s="53" t="n"/>
      <c r="CB452" s="53" t="n"/>
      <c r="CC452" s="53" t="n"/>
      <c r="CD452" s="53" t="n"/>
      <c r="CE452" s="53" t="n"/>
      <c r="CF452" s="53" t="n"/>
      <c r="CG452" s="53" t="n"/>
      <c r="CH452" s="53" t="n"/>
      <c r="CI452" s="53" t="n"/>
      <c r="CJ452" s="53" t="n"/>
      <c r="CK452" s="53" t="n"/>
      <c r="CL452" s="53" t="n"/>
      <c r="CM452" s="53" t="n"/>
      <c r="CN452" s="53" t="n"/>
      <c r="CO452" s="53" t="n"/>
      <c r="CP452" s="53" t="n"/>
      <c r="CQ452" s="53" t="n"/>
      <c r="CR452" s="53" t="n"/>
      <c r="CS452" s="53" t="n"/>
      <c r="CT452" s="53" t="n"/>
      <c r="CU452" s="53" t="n"/>
      <c r="CV452" s="53" t="n"/>
      <c r="CW452" s="53" t="n"/>
      <c r="CX452" s="53" t="n"/>
      <c r="CY452" s="53" t="n"/>
      <c r="CZ452" s="53" t="n"/>
      <c r="DA452" s="53" t="n"/>
      <c r="DB452" s="53" t="n"/>
      <c r="DC452" s="53" t="n"/>
      <c r="DD452" s="53" t="inlineStr">
        <is>
          <t>IRIS0050</t>
        </is>
      </c>
      <c r="DE452" s="53" t="inlineStr">
        <is>
          <t>Employee</t>
        </is>
      </c>
      <c r="DF452" s="53" t="inlineStr">
        <is>
          <t>Active</t>
        </is>
      </c>
      <c r="DG452" s="53" t="inlineStr">
        <is>
          <t>Prashant Ramakant Wagh</t>
        </is>
      </c>
      <c r="DH452" s="54" t="n">
        <v>39002</v>
      </c>
      <c r="DI452" s="53" t="inlineStr">
        <is>
          <t>Consultant</t>
        </is>
      </c>
      <c r="DJ452" s="53" t="inlineStr">
        <is>
          <t>Consulting &amp; Professional Services</t>
        </is>
      </c>
      <c r="DK452" s="53" t="inlineStr">
        <is>
          <t>XBRL / Regulatory Reporting</t>
        </is>
      </c>
      <c r="DL452" s="53" t="inlineStr">
        <is>
          <t>Consultant</t>
        </is>
      </c>
      <c r="DM452" s="53" t="inlineStr">
        <is>
          <t>L3 – Professional / Associate</t>
        </is>
      </c>
      <c r="DN452" s="53" t="inlineStr">
        <is>
          <t>B.Com</t>
        </is>
      </c>
      <c r="DO452" s="53" t="inlineStr">
        <is>
          <t>Sujeet Rathod</t>
        </is>
      </c>
      <c r="DP452" s="53" t="inlineStr">
        <is>
          <t>N-3</t>
        </is>
      </c>
      <c r="DQ452" s="53" t="inlineStr">
        <is>
          <t>Individual Contributor</t>
        </is>
      </c>
      <c r="DR452" s="53" t="inlineStr">
        <is>
          <t>0 years, 5 months, 0 days</t>
        </is>
      </c>
      <c r="DS452" s="53" t="inlineStr">
        <is>
          <t>19 years, 8 months, 8 days</t>
        </is>
      </c>
      <c r="DT452" s="53" t="inlineStr">
        <is>
          <t>20 years, 1 months, 8 days</t>
        </is>
      </c>
      <c r="DU452" s="53" t="n"/>
      <c r="DV452" s="53" t="inlineStr">
        <is>
          <t>Suptech</t>
        </is>
      </c>
      <c r="DW452" s="53" t="inlineStr">
        <is>
          <t>iFile</t>
        </is>
      </c>
      <c r="DX452" s="53" t="inlineStr">
        <is>
          <t>XBRL Consulting</t>
        </is>
      </c>
      <c r="DY452" s="53" t="inlineStr">
        <is>
          <t>Consulting</t>
        </is>
      </c>
      <c r="DZ452" s="53" t="inlineStr">
        <is>
          <t>No</t>
        </is>
      </c>
      <c r="EA452" s="53" t="inlineStr">
        <is>
          <t>Professional Services</t>
        </is>
      </c>
      <c r="EB452" s="53" t="inlineStr">
        <is>
          <t>XBRL Domain</t>
        </is>
      </c>
      <c r="EC452" s="53" t="inlineStr">
        <is>
          <t>Non-technical</t>
        </is>
      </c>
      <c r="ED452" s="53" t="inlineStr">
        <is>
          <t>Remote- Outside Mumbai</t>
        </is>
      </c>
      <c r="EE452" s="53" t="n"/>
      <c r="EF452" s="53"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EG452" s="53" t="inlineStr">
        <is>
          <t>1. Complete Q1 taxonomy build/test tasks on schedule · &gt;=95% on-time.
2. Close assigned iFILE support tickets within SLA.
3. Finish Q1 Excel/Webform test cycles with defect leakage &lt;2%.</t>
        </is>
      </c>
      <c r="EH452" s="53" t="inlineStr">
        <is>
          <t>4 - Exceeds Expectations</t>
        </is>
      </c>
      <c r="EI452" s="53" t="inlineStr">
        <is>
          <t>Last appraisal in Oct 2025</t>
        </is>
      </c>
      <c r="EJ452" s="53" t="inlineStr">
        <is>
          <t>Consultant</t>
        </is>
      </c>
      <c r="EK452" s="53" t="inlineStr">
        <is>
          <t>No change</t>
        </is>
      </c>
      <c r="EL452" s="53" t="n">
        <v>4</v>
      </c>
      <c r="EM452" s="53" t="inlineStr">
        <is>
          <t>Medium</t>
        </is>
      </c>
      <c r="EN452" s="53" t="inlineStr">
        <is>
          <t>Trusted Professional</t>
        </is>
      </c>
      <c r="EO452" s="53" t="n"/>
      <c r="EP452" s="53" t="inlineStr">
        <is>
          <t>No</t>
        </is>
      </c>
      <c r="EQ452" s="53" t="n"/>
      <c r="ER452" s="53" t="inlineStr">
        <is>
          <t>To be identified</t>
        </is>
      </c>
      <c r="ES452" s="53" t="inlineStr">
        <is>
          <t>XBRL taxonomy &amp; regulatory updates; domain/accounting refreshers; quality &amp; accuracy practices; tooling proficiency</t>
        </is>
      </c>
      <c r="ET452" s="53" t="inlineStr">
        <is>
          <t>Transition to leadership: people management &amp; delegation, mentoring/coaching, project ownership &amp; stakeholder management, prioritisation under ambiguity, presentation &amp; influence skills</t>
        </is>
      </c>
      <c r="EU452" s="53" t="n"/>
      <c r="EV452" s="53" t="n"/>
      <c r="EW452" s="52" t="n"/>
      <c r="EX452" s="53" t="n"/>
      <c r="EY452" s="53" t="n"/>
      <c r="EZ452" s="53" t="n"/>
      <c r="FA452" s="53" t="n"/>
      <c r="FB452" s="53" t="n"/>
      <c r="FC452" s="53" t="n"/>
      <c r="FD452" s="53" t="n"/>
      <c r="FE452" s="57"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FF452" s="56" t="inlineStr">
        <is>
          <t>1. Complete Q1 taxonomy build/test tasks on schedule · &gt;=95% on-time.
2. Close assigned iFILE support tickets within SLA · &gt;=90%.
3. Finish Q1 Excel/Webform test cycles with defect leakage &lt;2%.</t>
        </is>
      </c>
      <c r="FG452" s="56" t="n"/>
      <c r="FH452" s="56" t="inlineStr">
        <is>
          <t>4 - Exceeds Expectations</t>
        </is>
      </c>
      <c r="FI452" s="56" t="n"/>
      <c r="FJ452" s="56" t="inlineStr">
        <is>
          <t>Received · manager annual, quarterly</t>
        </is>
      </c>
      <c r="FK452" s="56" t="inlineStr">
        <is>
          <t>Talent Mapping · iFile collated</t>
        </is>
      </c>
      <c r="FL452" s="56" t="n">
        <v>20</v>
      </c>
      <c r="FM452" s="32" t="inlineStr">
        <is>
          <t>Full survey answers not in the files received · How We Grow export needed · HR</t>
        </is>
      </c>
      <c r="FN452" s="56" t="inlineStr">
        <is>
          <t>—</t>
        </is>
      </c>
      <c r="FO452" s="56" t="inlineStr">
        <is>
          <t>—</t>
        </is>
      </c>
      <c r="FP452" s="56" t="inlineStr">
        <is>
          <t>—</t>
        </is>
      </c>
      <c r="FQ452" s="56" t="inlineStr">
        <is>
          <t>—</t>
        </is>
      </c>
      <c r="FR452" s="56" t="inlineStr">
        <is>
          <t>Complexity: Evidence reads like A3: Gathers regulator requirements, develops taxonomies, CMS and business validations across several projects at once → matches the start
Autonomy: Evidence reads like A2: Decides own approach to completing tasks → moved down 0.5
Accountability: Evidence reads like A3: own survey / KRA answers · summarised by the rater; not quoted → matches the start
Leadership: Evidence reads like A1: None described → moved down 0.5
Business Impact: No survey or manager-mapping signal on criticality: kept at the start point.</t>
        </is>
      </c>
      <c r="FS452" s="56" t="inlineStr">
        <is>
          <t>Common themes in role-holders' answers: xbrl · financial · taxonomies · requirements · regulators
Common themes in role-holders' answers: taxonomy development · training · client · requirement · support
Common themes in role-holders' answers: taxonomy · xbrl
If the work is missed · role-holders' themes: rework.
Measured on · manager-set KRA themes: resolve · business · excel webform · deliver assigned · defect · critical.</t>
        </is>
      </c>
      <c r="FT452" s="56" t="inlineStr">
        <is>
          <t>Self-identified: AI / automation · Domain, regulatory &amp; XBRL · Broader exposure &amp; ownership
For the next role: AI / automation · Domain, regulatory &amp; XBRL · Broader exposure &amp; ownership</t>
        </is>
      </c>
      <c r="FU452" s="32" t="inlineStr">
        <is>
          <t>Full survey answers not in the files received · How We Grow export needed · HR</t>
        </is>
      </c>
    </row>
    <row r="453" ht="90" customHeight="1">
      <c r="A453" s="51" t="inlineStr">
        <is>
          <t>◂ Back</t>
        </is>
      </c>
      <c r="B453" s="29" t="inlineStr">
        <is>
          <t>Mapped</t>
        </is>
      </c>
      <c r="C453" s="28" t="inlineStr">
        <is>
          <t>iFile</t>
        </is>
      </c>
      <c r="D453" s="29" t="inlineStr">
        <is>
          <t>IRIS0022</t>
        </is>
      </c>
      <c r="E453" s="29" t="inlineStr">
        <is>
          <t>Bhushan Patkar</t>
        </is>
      </c>
      <c r="F453" s="29" t="inlineStr">
        <is>
          <t>XBRL Consulting</t>
        </is>
      </c>
      <c r="G453" s="29" t="inlineStr">
        <is>
          <t>Senior Analyst</t>
        </is>
      </c>
      <c r="H453" s="29" t="inlineStr">
        <is>
          <t>Senior Taxonomy Analyst</t>
        </is>
      </c>
      <c r="I453" s="29" t="inlineStr">
        <is>
          <t>L4 – Senior</t>
        </is>
      </c>
      <c r="J453" s="29" t="inlineStr">
        <is>
          <t>A3</t>
        </is>
      </c>
      <c r="K453" s="29" t="inlineStr">
        <is>
          <t>• Same level</t>
        </is>
      </c>
      <c r="L453" s="29" t="inlineStr">
        <is>
          <t>Consulting &amp; Professional Services</t>
        </is>
      </c>
      <c r="M453" s="29" t="inlineStr">
        <is>
          <t>Taxonomy Design &amp; Regulatory Consulting</t>
        </is>
      </c>
      <c r="N453" s="29" t="n"/>
      <c r="O453" s="29" t="n">
        <v>19</v>
      </c>
      <c r="P453" s="28" t="inlineStr">
        <is>
          <t>P2</t>
        </is>
      </c>
      <c r="Q453" s="29" t="inlineStr">
        <is>
          <t>Developing</t>
        </is>
      </c>
      <c r="R453" s="29" t="inlineStr">
        <is>
          <t>3 Apply</t>
        </is>
      </c>
      <c r="S453" s="29" t="inlineStr">
        <is>
          <t>2–4 yrs</t>
        </is>
      </c>
      <c r="T453" s="29" t="inlineStr">
        <is>
          <t>3–5 · 2–5</t>
        </is>
      </c>
      <c r="U453" s="29" t="inlineStr">
        <is>
          <t>Senior Analyst / Associate</t>
        </is>
      </c>
      <c r="V453" s="29" t="inlineStr">
        <is>
          <t>DataTracks: Senior Associate · 2–5 yrs · Big Four: Consultant · IRIS Vs Market Benchmark — XBRL US credential pathway: XBRL US GAAP Certificate</t>
        </is>
      </c>
      <c r="W453" s="29" t="inlineStr">
        <is>
          <t>XBRL US GAAP Certificate · AICPA &amp; XBRL US; XBRL International specifications; IFRS / US GAAP / Ind AS</t>
        </is>
      </c>
      <c r="X453" s="29" t="inlineStr">
        <is>
          <t>Core 2 · Future 2 · Functional 3 · Leadership not scored</t>
        </is>
      </c>
      <c r="Y453" s="52" t="n">
        <v>12</v>
      </c>
      <c r="Z453" s="53" t="inlineStr">
        <is>
          <t>IRIS0022</t>
        </is>
      </c>
      <c r="AA453" s="53" t="inlineStr">
        <is>
          <t>Employee</t>
        </is>
      </c>
      <c r="AB453" s="53" t="inlineStr">
        <is>
          <t>Active</t>
        </is>
      </c>
      <c r="AC453" s="53" t="inlineStr">
        <is>
          <t>Bhushan Patkar</t>
        </is>
      </c>
      <c r="AD453" s="54" t="n">
        <v>38404</v>
      </c>
      <c r="AE453" s="53" t="inlineStr">
        <is>
          <t>Senior Analyst</t>
        </is>
      </c>
      <c r="AF453" s="53" t="inlineStr">
        <is>
          <t>B.Com</t>
        </is>
      </c>
      <c r="AG453" s="53" t="inlineStr">
        <is>
          <t>Sujeet Rathod</t>
        </is>
      </c>
      <c r="AH453" s="53" t="inlineStr">
        <is>
          <t>N-3</t>
        </is>
      </c>
      <c r="AI453" s="53" t="inlineStr">
        <is>
          <t>Individual Contributor</t>
        </is>
      </c>
      <c r="AJ453" s="53" t="inlineStr">
        <is>
          <t>0 years, 0 months, 0 days</t>
        </is>
      </c>
      <c r="AK453" s="53" t="inlineStr">
        <is>
          <t>21 years, 6 months, 4 days</t>
        </is>
      </c>
      <c r="AL453" s="53" t="inlineStr">
        <is>
          <t>Suptech</t>
        </is>
      </c>
      <c r="AM453" s="53" t="inlineStr">
        <is>
          <t>iFile</t>
        </is>
      </c>
      <c r="AN453" s="53" t="inlineStr">
        <is>
          <t>XBRL Consulting</t>
        </is>
      </c>
      <c r="AO453" s="53" t="inlineStr">
        <is>
          <t>Consulting</t>
        </is>
      </c>
      <c r="AP453" s="53" t="inlineStr">
        <is>
          <t>No</t>
        </is>
      </c>
      <c r="AQ453" s="53" t="inlineStr">
        <is>
          <t>Professional Services</t>
        </is>
      </c>
      <c r="AR453" s="53" t="inlineStr">
        <is>
          <t>XBRL Domain</t>
        </is>
      </c>
      <c r="AS453" s="53" t="inlineStr">
        <is>
          <t>Non-technical</t>
        </is>
      </c>
      <c r="AT453" s="53" t="n">
        <v>20</v>
      </c>
      <c r="AU453" s="53" t="inlineStr">
        <is>
          <t>Covered</t>
        </is>
      </c>
      <c r="AV453" s="53" t="n"/>
      <c r="AW453" s="53" t="n"/>
      <c r="AX453" s="53" t="n"/>
      <c r="AY453" s="53" t="n"/>
      <c r="AZ453" s="53" t="n"/>
      <c r="BA453" s="53" t="n"/>
      <c r="BB453" s="53" t="n"/>
      <c r="BC453" s="53" t="n"/>
      <c r="BD453" s="53" t="n"/>
      <c r="BE453" s="53" t="n"/>
      <c r="BF453" s="53" t="n"/>
      <c r="BG453" s="53" t="n"/>
      <c r="BH453" s="53" t="n"/>
      <c r="BI453" s="53" t="n"/>
      <c r="BJ453" s="53" t="n"/>
      <c r="BK453" s="53" t="n"/>
      <c r="BL453" s="53" t="n"/>
      <c r="BM453" s="53" t="n"/>
      <c r="BN453" s="53" t="n"/>
      <c r="BO453" s="53" t="n"/>
      <c r="BP453" s="53" t="n"/>
      <c r="BQ453" s="53" t="n"/>
      <c r="BR453" s="53" t="n"/>
      <c r="BS453" s="53" t="n"/>
      <c r="BT453" s="53" t="n"/>
      <c r="BU453" s="53" t="n"/>
      <c r="BV453" s="53" t="n"/>
      <c r="BW453" s="53" t="n"/>
      <c r="BX453" s="53" t="n"/>
      <c r="BY453" s="53" t="n"/>
      <c r="BZ453" s="53" t="n"/>
      <c r="CA453" s="53" t="n"/>
      <c r="CB453" s="53" t="n"/>
      <c r="CC453" s="53" t="n"/>
      <c r="CD453" s="53" t="n"/>
      <c r="CE453" s="53" t="n"/>
      <c r="CF453" s="53" t="n"/>
      <c r="CG453" s="53" t="n"/>
      <c r="CH453" s="53" t="n"/>
      <c r="CI453" s="53" t="n"/>
      <c r="CJ453" s="53" t="n"/>
      <c r="CK453" s="53" t="n"/>
      <c r="CL453" s="53" t="n"/>
      <c r="CM453" s="53" t="n"/>
      <c r="CN453" s="53" t="n"/>
      <c r="CO453" s="53" t="n"/>
      <c r="CP453" s="53" t="n"/>
      <c r="CQ453" s="53" t="n"/>
      <c r="CR453" s="53" t="n"/>
      <c r="CS453" s="53" t="n"/>
      <c r="CT453" s="53" t="n"/>
      <c r="CU453" s="53" t="n"/>
      <c r="CV453" s="53" t="n"/>
      <c r="CW453" s="53" t="n"/>
      <c r="CX453" s="53" t="n"/>
      <c r="CY453" s="53" t="n"/>
      <c r="CZ453" s="53" t="n"/>
      <c r="DA453" s="53" t="n"/>
      <c r="DB453" s="53" t="n"/>
      <c r="DC453" s="53" t="n"/>
      <c r="DD453" s="53" t="inlineStr">
        <is>
          <t>IRIS0022</t>
        </is>
      </c>
      <c r="DE453" s="53" t="inlineStr">
        <is>
          <t>Employee</t>
        </is>
      </c>
      <c r="DF453" s="53" t="inlineStr">
        <is>
          <t>Active</t>
        </is>
      </c>
      <c r="DG453" s="53" t="inlineStr">
        <is>
          <t>Bhushan Patkar</t>
        </is>
      </c>
      <c r="DH453" s="54" t="n">
        <v>38404</v>
      </c>
      <c r="DI453" s="53" t="inlineStr">
        <is>
          <t>Senior Analyst</t>
        </is>
      </c>
      <c r="DJ453" s="53" t="inlineStr">
        <is>
          <t>Consulting &amp; Professional Services</t>
        </is>
      </c>
      <c r="DK453" s="53" t="inlineStr">
        <is>
          <t>XBRL / Regulatory Reporting</t>
        </is>
      </c>
      <c r="DL453" s="53" t="inlineStr">
        <is>
          <t>Senior Analyst</t>
        </is>
      </c>
      <c r="DM453" s="53" t="inlineStr">
        <is>
          <t>L4 – Senior</t>
        </is>
      </c>
      <c r="DN453" s="53" t="inlineStr">
        <is>
          <t>B.Com</t>
        </is>
      </c>
      <c r="DO453" s="53" t="inlineStr">
        <is>
          <t>Sujeet Rathod</t>
        </is>
      </c>
      <c r="DP453" s="53" t="inlineStr">
        <is>
          <t>N-3</t>
        </is>
      </c>
      <c r="DQ453" s="53" t="inlineStr">
        <is>
          <t>Individual Contributor</t>
        </is>
      </c>
      <c r="DR453" s="53" t="inlineStr">
        <is>
          <t>0 years, 0 months, 0 days</t>
        </is>
      </c>
      <c r="DS453" s="53" t="inlineStr">
        <is>
          <t>21 years, 3 months, 30 days</t>
        </is>
      </c>
      <c r="DT453" s="53" t="inlineStr">
        <is>
          <t>21 years, 3 months, 30 days</t>
        </is>
      </c>
      <c r="DU453" s="53" t="n"/>
      <c r="DV453" s="53" t="inlineStr">
        <is>
          <t>Suptech</t>
        </is>
      </c>
      <c r="DW453" s="53" t="inlineStr">
        <is>
          <t>iFile</t>
        </is>
      </c>
      <c r="DX453" s="53" t="inlineStr">
        <is>
          <t>XBRL Consulting</t>
        </is>
      </c>
      <c r="DY453" s="53" t="inlineStr">
        <is>
          <t>Consulting</t>
        </is>
      </c>
      <c r="DZ453" s="53" t="inlineStr">
        <is>
          <t>No</t>
        </is>
      </c>
      <c r="EA453" s="53" t="inlineStr">
        <is>
          <t>Professional Services</t>
        </is>
      </c>
      <c r="EB453" s="53" t="inlineStr">
        <is>
          <t>XBRL Domain</t>
        </is>
      </c>
      <c r="EC453" s="53" t="inlineStr">
        <is>
          <t>Non-technical</t>
        </is>
      </c>
      <c r="ED453" s="53" t="inlineStr">
        <is>
          <t>Hybrid</t>
        </is>
      </c>
      <c r="EE453" s="53" t="n"/>
      <c r="EF453" s="53"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EG453" s="53" t="inlineStr">
        <is>
          <t>1. Complete Q1 taxonomy build/test tasks on schedule · &gt;=95% on-time.
2. Close assigned iFILE support tickets within SLA.
3. Finish Q1 Excel/Webform test cycles with defect leakage &lt;2%.</t>
        </is>
      </c>
      <c r="EH453" s="53" t="inlineStr">
        <is>
          <t>3 – Meets Expectations</t>
        </is>
      </c>
      <c r="EI453" s="53" t="inlineStr">
        <is>
          <t>Last appraisal in Oct 2025</t>
        </is>
      </c>
      <c r="EJ453" s="53" t="inlineStr">
        <is>
          <t>Senior Analyst</t>
        </is>
      </c>
      <c r="EK453" s="53" t="inlineStr">
        <is>
          <t>No change</t>
        </is>
      </c>
      <c r="EL453" s="53" t="n">
        <v>3</v>
      </c>
      <c r="EM453" s="53" t="inlineStr">
        <is>
          <t>Medium</t>
        </is>
      </c>
      <c r="EN453" s="53" t="inlineStr">
        <is>
          <t>Trusted Professional</t>
        </is>
      </c>
      <c r="EO453" s="53" t="n"/>
      <c r="EP453" s="53" t="inlineStr">
        <is>
          <t>No</t>
        </is>
      </c>
      <c r="EQ453" s="53" t="n"/>
      <c r="ER453" s="53" t="inlineStr">
        <is>
          <t>To be identified</t>
        </is>
      </c>
      <c r="ES453" s="53" t="inlineStr">
        <is>
          <t>XBRL taxonomy &amp; regulatory updates; domain/accounting refreshers; quality &amp; accuracy practices; tooling proficiency</t>
        </is>
      </c>
      <c r="ET453" s="53" t="inlineStr">
        <is>
          <t>Transition to leadership: people management &amp; delegation, mentoring/coaching, project ownership &amp; stakeholder management, prioritisation under ambiguity, presentation &amp; influence skills</t>
        </is>
      </c>
      <c r="EU453" s="53" t="n"/>
      <c r="EV453" s="53" t="n"/>
      <c r="EW453" s="52" t="n"/>
      <c r="EX453" s="53" t="n"/>
      <c r="EY453" s="53" t="n"/>
      <c r="EZ453" s="53" t="n"/>
      <c r="FA453" s="53" t="n"/>
      <c r="FB453" s="53" t="n"/>
      <c r="FC453" s="53" t="n"/>
      <c r="FD453" s="53" t="n"/>
      <c r="FE453" s="57"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FF453" s="56" t="inlineStr">
        <is>
          <t>1. Complete Q1 taxonomy build/test tasks on schedule · &gt;=95% on-time.
2. Close assigned iFILE support tickets within SLA · &gt;=90%.
3. Finish Q1 Excel/Webform test cycles with defect leakage &lt;2%.</t>
        </is>
      </c>
      <c r="FG453" s="56" t="n"/>
      <c r="FH453" s="56" t="inlineStr">
        <is>
          <t>3 – Meets Expectations</t>
        </is>
      </c>
      <c r="FI453" s="56" t="n"/>
      <c r="FJ453" s="56" t="inlineStr">
        <is>
          <t>Received · manager annual, quarterly</t>
        </is>
      </c>
      <c r="FK453" s="56" t="inlineStr">
        <is>
          <t>Talent Mapping · iFile collated</t>
        </is>
      </c>
      <c r="FL453" s="56" t="n">
        <v>19</v>
      </c>
      <c r="FM453" s="32" t="inlineStr">
        <is>
          <t>Full survey answers not in the files received · How We Grow export needed · HR</t>
        </is>
      </c>
      <c r="FN453" s="56" t="inlineStr">
        <is>
          <t>—</t>
        </is>
      </c>
      <c r="FO453" s="56" t="inlineStr">
        <is>
          <t>—</t>
        </is>
      </c>
      <c r="FP453" s="56" t="inlineStr">
        <is>
          <t>—</t>
        </is>
      </c>
      <c r="FQ453" s="56" t="inlineStr">
        <is>
          <t>—</t>
        </is>
      </c>
      <c r="FR453" s="56" t="inlineStr">
        <is>
          <t>Complexity: Evidence reads like A3: Template creation, requirement gathering, formula creation, client query solving, tool testing; terse → matches the start
Autonomy: Evidence reads like A2: Decides formula creation only → moved down 0.5
Accountability: Evidence reads like A2: Taxonomy package named without detail; consequence is rework and retesting → moved down 0.5
Leadership: Evidence reads like A2: Lists XBRL training sessions and 'resource allocation' with no team or detail → matches the start
Business Impact: No survey or manager-mapping signal on criticality: kept at the start point.</t>
        </is>
      </c>
      <c r="FS453" s="56" t="inlineStr">
        <is>
          <t>Common themes in role-holders' answers: taxonomy · xbrl · client · data · convert · consultant
Common themes in role-holders' answers: client · testing · taxonomy · requirement · support · development
Common themes in role-holders' answers: taxonomy · xbrl · output · structured
Common themes in role-holders' answers: taxonomy · development · testing · tagging · quality · creation
Common themes in role-holders' answers: testing · formula · validations · tagging · creation · taxonomy
If the work is missed · role-holders' themes: rework · client · escalation · retesting · time.
Measured on · manager-set KRA themes: resolve · defect · deliver · complete · modules · testing.</t>
        </is>
      </c>
      <c r="FT453" s="56" t="inlineStr">
        <is>
          <t>Self-identified: Project / programme management · Broader exposure &amp; ownership
For the next role: Project / programme management · Broader exposure &amp; ownership</t>
        </is>
      </c>
      <c r="FU453" s="32" t="inlineStr">
        <is>
          <t>Full survey answers not in the files received · How We Grow export needed · HR</t>
        </is>
      </c>
    </row>
    <row r="454" ht="90" customHeight="1">
      <c r="A454" s="51" t="inlineStr">
        <is>
          <t>◂ Back</t>
        </is>
      </c>
      <c r="B454" s="29" t="inlineStr">
        <is>
          <t>Mapped</t>
        </is>
      </c>
      <c r="C454" s="28" t="inlineStr">
        <is>
          <t>iFile</t>
        </is>
      </c>
      <c r="D454" s="29" t="inlineStr">
        <is>
          <t>IRIS2563</t>
        </is>
      </c>
      <c r="E454" s="29" t="inlineStr">
        <is>
          <t>Isheekka Gupta</t>
        </is>
      </c>
      <c r="F454" s="29" t="inlineStr">
        <is>
          <t>XBRL Consulting</t>
        </is>
      </c>
      <c r="G454" s="29" t="inlineStr">
        <is>
          <t>Consultant</t>
        </is>
      </c>
      <c r="H454" s="29" t="inlineStr">
        <is>
          <t>Senior Taxonomy Analyst</t>
        </is>
      </c>
      <c r="I454" s="29" t="inlineStr">
        <is>
          <t>Not in current mapping files</t>
        </is>
      </c>
      <c r="J454" s="29" t="inlineStr">
        <is>
          <t>A3</t>
        </is>
      </c>
      <c r="K454" s="29" t="inlineStr">
        <is>
          <t>● Newly mapped</t>
        </is>
      </c>
      <c r="L454" s="29" t="inlineStr">
        <is>
          <t>Consulting &amp; Professional Services</t>
        </is>
      </c>
      <c r="M454" s="29" t="inlineStr">
        <is>
          <t>Taxonomy Design &amp; Regulatory Consulting</t>
        </is>
      </c>
      <c r="N454" s="29" t="inlineStr">
        <is>
          <t>• Total experience · outside + at IRIS — HR — HRIS
• Confirm prior experience · provisional placement — HR</t>
        </is>
      </c>
      <c r="O454" s="29" t="n">
        <v>16</v>
      </c>
      <c r="P454" s="28" t="inlineStr">
        <is>
          <t>P2</t>
        </is>
      </c>
      <c r="Q454" s="29" t="inlineStr">
        <is>
          <t>Developing</t>
        </is>
      </c>
      <c r="R454" s="29" t="inlineStr">
        <is>
          <t>3 Apply</t>
        </is>
      </c>
      <c r="S454" s="29" t="inlineStr">
        <is>
          <t>2–4 yrs</t>
        </is>
      </c>
      <c r="T454" s="29" t="inlineStr">
        <is>
          <t>3–5 · 2–5</t>
        </is>
      </c>
      <c r="U454" s="29" t="inlineStr">
        <is>
          <t>Senior Analyst / Associate</t>
        </is>
      </c>
      <c r="V454" s="29" t="inlineStr">
        <is>
          <t>DataTracks: Senior Associate · 2–5 yrs · Big Four: Consultant · IRIS Vs Market Benchmark — XBRL US credential pathway: XBRL US GAAP Certificate</t>
        </is>
      </c>
      <c r="W454" s="29" t="inlineStr">
        <is>
          <t>XBRL US GAAP Certificate · AICPA &amp; XBRL US; XBRL International specifications; IFRS / US GAAP / Ind AS</t>
        </is>
      </c>
      <c r="X454" s="29" t="inlineStr">
        <is>
          <t>Core 2 · Future 2 · Functional 3 · Leadership not scored</t>
        </is>
      </c>
      <c r="Y454" s="52" t="n">
        <v>536</v>
      </c>
      <c r="Z454" s="53" t="inlineStr">
        <is>
          <t>IRIS2563</t>
        </is>
      </c>
      <c r="AA454" s="53" t="inlineStr">
        <is>
          <t>Employee</t>
        </is>
      </c>
      <c r="AB454" s="53" t="inlineStr">
        <is>
          <t>Active</t>
        </is>
      </c>
      <c r="AC454" s="53" t="inlineStr">
        <is>
          <t>Isheekka Gupta</t>
        </is>
      </c>
      <c r="AD454" s="54" t="n">
        <v>46272</v>
      </c>
      <c r="AE454" s="53" t="inlineStr">
        <is>
          <t>Consultant</t>
        </is>
      </c>
      <c r="AF454" s="53" t="inlineStr">
        <is>
          <t>CA</t>
        </is>
      </c>
      <c r="AG454" s="53" t="inlineStr">
        <is>
          <t>Sujeet Rathod</t>
        </is>
      </c>
      <c r="AH454" s="53" t="inlineStr">
        <is>
          <t>N-3</t>
        </is>
      </c>
      <c r="AI454" s="53" t="inlineStr">
        <is>
          <t>Individual Contributor</t>
        </is>
      </c>
      <c r="AJ454" s="53" t="n"/>
      <c r="AK454" s="53" t="n"/>
      <c r="AL454" s="53" t="inlineStr">
        <is>
          <t>Suptech</t>
        </is>
      </c>
      <c r="AM454" s="53" t="inlineStr">
        <is>
          <t>iFile</t>
        </is>
      </c>
      <c r="AN454" s="53" t="inlineStr">
        <is>
          <t>XBRL Consulting</t>
        </is>
      </c>
      <c r="AO454" s="53" t="inlineStr">
        <is>
          <t>Consulting</t>
        </is>
      </c>
      <c r="AP454" s="53" t="inlineStr">
        <is>
          <t>No</t>
        </is>
      </c>
      <c r="AQ454" s="53" t="inlineStr">
        <is>
          <t>Professional Services</t>
        </is>
      </c>
      <c r="AR454" s="53" t="inlineStr">
        <is>
          <t>XBRL Domain</t>
        </is>
      </c>
      <c r="AS454" s="53" t="inlineStr">
        <is>
          <t>Non-technical</t>
        </is>
      </c>
      <c r="AT454" s="53" t="n">
        <v>20</v>
      </c>
      <c r="AU454" s="53" t="inlineStr">
        <is>
          <t>Covered</t>
        </is>
      </c>
      <c r="AV454" s="53" t="n"/>
      <c r="AW454" s="53" t="n"/>
      <c r="AX454" s="53" t="n"/>
      <c r="AY454" s="53" t="n"/>
      <c r="AZ454" s="53" t="n"/>
      <c r="BA454" s="53" t="n"/>
      <c r="BB454" s="53" t="n"/>
      <c r="BC454" s="53" t="n"/>
      <c r="BD454" s="53" t="n"/>
      <c r="BE454" s="53" t="n"/>
      <c r="BF454" s="53" t="n"/>
      <c r="BG454" s="53" t="n"/>
      <c r="BH454" s="53" t="n"/>
      <c r="BI454" s="53" t="n"/>
      <c r="BJ454" s="53" t="n"/>
      <c r="BK454" s="53" t="n"/>
      <c r="BL454" s="53" t="n"/>
      <c r="BM454" s="53" t="n"/>
      <c r="BN454" s="53" t="n"/>
      <c r="BO454" s="53" t="n"/>
      <c r="BP454" s="53" t="n"/>
      <c r="BQ454" s="53" t="n"/>
      <c r="BR454" s="53" t="n"/>
      <c r="BS454" s="53" t="n"/>
      <c r="BT454" s="53" t="n"/>
      <c r="BU454" s="53" t="n"/>
      <c r="BV454" s="53" t="n"/>
      <c r="BW454" s="53" t="n"/>
      <c r="BX454" s="53" t="n"/>
      <c r="BY454" s="53" t="n"/>
      <c r="BZ454" s="53" t="n"/>
      <c r="CA454" s="53" t="n"/>
      <c r="CB454" s="53" t="n"/>
      <c r="CC454" s="53" t="n"/>
      <c r="CD454" s="53" t="n"/>
      <c r="CE454" s="53" t="n"/>
      <c r="CF454" s="53" t="n"/>
      <c r="CG454" s="53" t="n"/>
      <c r="CH454" s="53" t="n"/>
      <c r="CI454" s="53" t="n"/>
      <c r="CJ454" s="53" t="n"/>
      <c r="CK454" s="53" t="n"/>
      <c r="CL454" s="53" t="n"/>
      <c r="CM454" s="53" t="n"/>
      <c r="CN454" s="53" t="n"/>
      <c r="CO454" s="53" t="n"/>
      <c r="CP454" s="53" t="n"/>
      <c r="CQ454" s="53" t="n"/>
      <c r="CR454" s="53" t="n"/>
      <c r="CS454" s="53" t="n"/>
      <c r="CT454" s="53" t="n"/>
      <c r="CU454" s="53" t="n"/>
      <c r="CV454" s="53" t="n"/>
      <c r="CW454" s="53" t="n"/>
      <c r="CX454" s="53" t="n"/>
      <c r="CY454" s="53" t="n"/>
      <c r="CZ454" s="53" t="n"/>
      <c r="DA454" s="53" t="n"/>
      <c r="DB454" s="53" t="n"/>
      <c r="DC454" s="53" t="n"/>
      <c r="DD454" s="53" t="n"/>
      <c r="DE454" s="53" t="n"/>
      <c r="DF454" s="53" t="n"/>
      <c r="DG454" s="53" t="n"/>
      <c r="DH454" s="53" t="n"/>
      <c r="DI454" s="53" t="n"/>
      <c r="DJ454" s="53" t="n"/>
      <c r="DK454" s="53" t="n"/>
      <c r="DL454" s="53" t="n"/>
      <c r="DM454" s="53" t="n"/>
      <c r="DN454" s="53" t="n"/>
      <c r="DO454" s="53" t="n"/>
      <c r="DP454" s="53" t="n"/>
      <c r="DQ454" s="53" t="n"/>
      <c r="DR454" s="53" t="n"/>
      <c r="DS454" s="53" t="n"/>
      <c r="DT454" s="53" t="n"/>
      <c r="DU454" s="53" t="n"/>
      <c r="DV454" s="53" t="n"/>
      <c r="DW454" s="53" t="n"/>
      <c r="DX454" s="53" t="n"/>
      <c r="DY454" s="53" t="n"/>
      <c r="DZ454" s="53" t="n"/>
      <c r="EA454" s="53" t="n"/>
      <c r="EB454" s="53" t="n"/>
      <c r="EC454" s="53" t="n"/>
      <c r="ED454" s="53" t="n"/>
      <c r="EE454" s="53" t="n"/>
      <c r="EF454" s="53" t="n"/>
      <c r="EG454" s="53" t="n"/>
      <c r="EH454" s="53" t="n"/>
      <c r="EI454" s="53" t="n"/>
      <c r="EJ454" s="53" t="n"/>
      <c r="EK454" s="53" t="n"/>
      <c r="EL454" s="53" t="n"/>
      <c r="EM454" s="53" t="n"/>
      <c r="EN454" s="53" t="n"/>
      <c r="EO454" s="53" t="n"/>
      <c r="EP454" s="53" t="n"/>
      <c r="EQ454" s="53" t="n"/>
      <c r="ER454" s="53" t="n"/>
      <c r="ES454" s="53" t="n"/>
      <c r="ET454" s="53" t="n"/>
      <c r="EU454" s="53" t="n"/>
      <c r="EV454" s="53" t="n"/>
      <c r="EW454" s="52" t="n"/>
      <c r="EX454" s="53" t="n"/>
      <c r="EY454" s="53" t="n"/>
      <c r="EZ454" s="53" t="n"/>
      <c r="FA454" s="53" t="n"/>
      <c r="FB454" s="53" t="n"/>
      <c r="FC454" s="53" t="n"/>
      <c r="FD454" s="53" t="n"/>
      <c r="FE454" s="55" t="inlineStr">
        <is>
          <t>KRAs not received · manager to supply</t>
        </is>
      </c>
      <c r="FF454" s="56" t="n"/>
      <c r="FG454" s="56" t="n"/>
      <c r="FH454" s="56" t="n"/>
      <c r="FI454" s="56" t="n"/>
      <c r="FJ454" s="32" t="inlineStr">
        <is>
          <t>KRAs not received · manager to supply</t>
        </is>
      </c>
      <c r="FK454" s="56" t="n"/>
      <c r="FL454" s="56" t="n">
        <v>16</v>
      </c>
      <c r="FM454" s="32" t="inlineStr">
        <is>
          <t>Full survey answers not in the files received · How We Grow export needed · HR</t>
        </is>
      </c>
      <c r="FN454" s="56" t="inlineStr">
        <is>
          <t>—</t>
        </is>
      </c>
      <c r="FO454" s="56" t="inlineStr">
        <is>
          <t>—</t>
        </is>
      </c>
      <c r="FP454" s="56" t="inlineStr">
        <is>
          <t>—</t>
        </is>
      </c>
      <c r="FQ454" s="56" t="inlineStr">
        <is>
          <t>—</t>
        </is>
      </c>
      <c r="FR454" s="56" t="inlineStr">
        <is>
          <t>Complexity: Evidence reads like A2: own survey / KRA answers · summarised by the rater; not quoted → moved down 0.5
Autonomy: Evidence reads like A2: Decides: 'cms'; no real decision described → moved down 0.5
Accountability: Evidence reads like A2: States accountable for 'none'; no end-to-end ownership shown → moved down 0.5
Leadership: Evidence reads like A1: 'Leading' written with no team, object or detail → moved down 0.5
Business Impact: No survey or manager-mapping signal on criticality: kept at the start point.</t>
        </is>
      </c>
      <c r="FS454" s="56" t="inlineStr">
        <is>
          <t>Common themes in role-holders' answers: taxonomy · xbrl · client · data · convert · consultant
Common themes in role-holders' answers: client · testing · taxonomy · requirement · support · development
Common themes in role-holders' answers: taxonomy · xbrl · output · structured
Common themes in role-holders' answers: taxonomy · development · testing · tagging · quality · creation
Common themes in role-holders' answers: testing · formula · validations · tagging · creation · taxonomy
If the work is missed · role-holders' themes: rework · client · escalation · retesting · time.
Measured on · manager-set KRA themes: resolve · defect · deliver · complete · modules · testing.</t>
        </is>
      </c>
      <c r="FT454" s="56" t="inlineStr">
        <is>
          <t>Self-identified: Domain, regulatory &amp; XBRL
For the next role: Domain, regulatory &amp; XBRL</t>
        </is>
      </c>
      <c r="FU454" s="32" t="inlineStr">
        <is>
          <t>Full survey answers not in the files received · How We Grow export needed · HR</t>
        </is>
      </c>
    </row>
    <row r="455" ht="90" customHeight="1">
      <c r="A455" s="51" t="inlineStr">
        <is>
          <t>◂ Back</t>
        </is>
      </c>
      <c r="B455" s="29" t="inlineStr">
        <is>
          <t>Mapped</t>
        </is>
      </c>
      <c r="C455" s="28" t="inlineStr">
        <is>
          <t>iFile</t>
        </is>
      </c>
      <c r="D455" s="29" t="inlineStr">
        <is>
          <t>IRIS0359</t>
        </is>
      </c>
      <c r="E455" s="29" t="inlineStr">
        <is>
          <t>Prasad Chavan</t>
        </is>
      </c>
      <c r="F455" s="29" t="inlineStr">
        <is>
          <t>XBRL Consulting</t>
        </is>
      </c>
      <c r="G455" s="29" t="inlineStr">
        <is>
          <t>Consultant</t>
        </is>
      </c>
      <c r="H455" s="29" t="inlineStr">
        <is>
          <t>Senior Taxonomy Analyst</t>
        </is>
      </c>
      <c r="I455" s="29" t="inlineStr">
        <is>
          <t>L3 – Professional / Associate</t>
        </is>
      </c>
      <c r="J455" s="29" t="inlineStr">
        <is>
          <t>A3</t>
        </is>
      </c>
      <c r="K455" s="29" t="inlineStr">
        <is>
          <t>▲ Up</t>
        </is>
      </c>
      <c r="L455" s="29" t="inlineStr">
        <is>
          <t>Consulting &amp; Professional Services</t>
        </is>
      </c>
      <c r="M455" s="29" t="inlineStr">
        <is>
          <t>Taxonomy Design &amp; Regulatory Consulting</t>
        </is>
      </c>
      <c r="N455" s="29" t="n"/>
      <c r="O455" s="29" t="n">
        <v>20</v>
      </c>
      <c r="P455" s="28" t="inlineStr">
        <is>
          <t>P2</t>
        </is>
      </c>
      <c r="Q455" s="29" t="inlineStr">
        <is>
          <t>Developing</t>
        </is>
      </c>
      <c r="R455" s="29" t="inlineStr">
        <is>
          <t>3 Apply</t>
        </is>
      </c>
      <c r="S455" s="29" t="inlineStr">
        <is>
          <t>2–4 yrs</t>
        </is>
      </c>
      <c r="T455" s="29" t="inlineStr">
        <is>
          <t>3–5 · 2–5</t>
        </is>
      </c>
      <c r="U455" s="29" t="inlineStr">
        <is>
          <t>Senior Analyst / Associate</t>
        </is>
      </c>
      <c r="V455" s="29" t="inlineStr">
        <is>
          <t>DataTracks: Senior Associate · 2–5 yrs · Big Four: Consultant · IRIS Vs Market Benchmark — XBRL US credential pathway: XBRL US GAAP Certificate</t>
        </is>
      </c>
      <c r="W455" s="29" t="inlineStr">
        <is>
          <t>XBRL US GAAP Certificate · AICPA &amp; XBRL US; XBRL International specifications; IFRS / US GAAP / Ind AS</t>
        </is>
      </c>
      <c r="X455" s="29" t="inlineStr">
        <is>
          <t>Core 2 · Future 2 · Functional 3 · Leadership not scored</t>
        </is>
      </c>
      <c r="Y455" s="52" t="n">
        <v>58</v>
      </c>
      <c r="Z455" s="53" t="inlineStr">
        <is>
          <t>IRIS0359</t>
        </is>
      </c>
      <c r="AA455" s="53" t="inlineStr">
        <is>
          <t>Employee</t>
        </is>
      </c>
      <c r="AB455" s="53" t="inlineStr">
        <is>
          <t>Active</t>
        </is>
      </c>
      <c r="AC455" s="53" t="inlineStr">
        <is>
          <t>Prasad Chavan</t>
        </is>
      </c>
      <c r="AD455" s="54" t="n">
        <v>40357</v>
      </c>
      <c r="AE455" s="53" t="inlineStr">
        <is>
          <t>Consultant</t>
        </is>
      </c>
      <c r="AF455" s="53" t="inlineStr">
        <is>
          <t>B.Com</t>
        </is>
      </c>
      <c r="AG455" s="53" t="inlineStr">
        <is>
          <t>Sujeet Rathod</t>
        </is>
      </c>
      <c r="AH455" s="53" t="inlineStr">
        <is>
          <t>N-3</t>
        </is>
      </c>
      <c r="AI455" s="53" t="inlineStr">
        <is>
          <t>Individual Contributor</t>
        </is>
      </c>
      <c r="AJ455" s="53" t="inlineStr">
        <is>
          <t>0 years, 0 months, 0 days</t>
        </is>
      </c>
      <c r="AK455" s="53" t="inlineStr">
        <is>
          <t>16 years, 1 months, 28 days</t>
        </is>
      </c>
      <c r="AL455" s="53" t="inlineStr">
        <is>
          <t>Suptech</t>
        </is>
      </c>
      <c r="AM455" s="53" t="inlineStr">
        <is>
          <t>iFile</t>
        </is>
      </c>
      <c r="AN455" s="53" t="inlineStr">
        <is>
          <t>XBRL Consulting</t>
        </is>
      </c>
      <c r="AO455" s="53" t="inlineStr">
        <is>
          <t>Consulting</t>
        </is>
      </c>
      <c r="AP455" s="53" t="inlineStr">
        <is>
          <t>No</t>
        </is>
      </c>
      <c r="AQ455" s="53" t="inlineStr">
        <is>
          <t>Professional Services</t>
        </is>
      </c>
      <c r="AR455" s="53" t="inlineStr">
        <is>
          <t>XBRL Domain</t>
        </is>
      </c>
      <c r="AS455" s="53" t="inlineStr">
        <is>
          <t>Non-technical</t>
        </is>
      </c>
      <c r="AT455" s="53" t="n">
        <v>20</v>
      </c>
      <c r="AU455" s="53" t="inlineStr">
        <is>
          <t>Covered</t>
        </is>
      </c>
      <c r="AV455" s="53" t="n"/>
      <c r="AW455" s="53" t="n"/>
      <c r="AX455" s="53" t="n"/>
      <c r="AY455" s="53" t="n"/>
      <c r="AZ455" s="53" t="n"/>
      <c r="BA455" s="53" t="n"/>
      <c r="BB455" s="53" t="n"/>
      <c r="BC455" s="53" t="n"/>
      <c r="BD455" s="53" t="n"/>
      <c r="BE455" s="53" t="n"/>
      <c r="BF455" s="53" t="n"/>
      <c r="BG455" s="53" t="n"/>
      <c r="BH455" s="53" t="n"/>
      <c r="BI455" s="53" t="n"/>
      <c r="BJ455" s="53" t="n"/>
      <c r="BK455" s="53" t="n"/>
      <c r="BL455" s="53" t="n"/>
      <c r="BM455" s="53" t="n"/>
      <c r="BN455" s="53" t="n"/>
      <c r="BO455" s="53" t="n"/>
      <c r="BP455" s="53" t="n"/>
      <c r="BQ455" s="53" t="n"/>
      <c r="BR455" s="53" t="n"/>
      <c r="BS455" s="53" t="n"/>
      <c r="BT455" s="53" t="n"/>
      <c r="BU455" s="53" t="n"/>
      <c r="BV455" s="53" t="n"/>
      <c r="BW455" s="53" t="n"/>
      <c r="BX455" s="53" t="n"/>
      <c r="BY455" s="53" t="n"/>
      <c r="BZ455" s="53" t="n"/>
      <c r="CA455" s="53" t="n"/>
      <c r="CB455" s="53" t="n"/>
      <c r="CC455" s="53" t="n"/>
      <c r="CD455" s="53" t="n"/>
      <c r="CE455" s="53" t="n"/>
      <c r="CF455" s="53" t="n"/>
      <c r="CG455" s="53" t="n"/>
      <c r="CH455" s="53" t="n"/>
      <c r="CI455" s="53" t="n"/>
      <c r="CJ455" s="53" t="n"/>
      <c r="CK455" s="53" t="n"/>
      <c r="CL455" s="53" t="n"/>
      <c r="CM455" s="53" t="n"/>
      <c r="CN455" s="53" t="n"/>
      <c r="CO455" s="53" t="n"/>
      <c r="CP455" s="53" t="n"/>
      <c r="CQ455" s="53" t="n"/>
      <c r="CR455" s="53" t="n"/>
      <c r="CS455" s="53" t="n"/>
      <c r="CT455" s="53" t="n"/>
      <c r="CU455" s="53" t="n"/>
      <c r="CV455" s="53" t="n"/>
      <c r="CW455" s="53" t="n"/>
      <c r="CX455" s="53" t="n"/>
      <c r="CY455" s="53" t="n"/>
      <c r="CZ455" s="53" t="n"/>
      <c r="DA455" s="53" t="n"/>
      <c r="DB455" s="53" t="n"/>
      <c r="DC455" s="53" t="n"/>
      <c r="DD455" s="53" t="inlineStr">
        <is>
          <t>IRIS0359</t>
        </is>
      </c>
      <c r="DE455" s="53" t="inlineStr">
        <is>
          <t>Employee</t>
        </is>
      </c>
      <c r="DF455" s="53" t="inlineStr">
        <is>
          <t>Active</t>
        </is>
      </c>
      <c r="DG455" s="53" t="inlineStr">
        <is>
          <t>Prasad Chavan</t>
        </is>
      </c>
      <c r="DH455" s="54" t="n">
        <v>40357</v>
      </c>
      <c r="DI455" s="53" t="inlineStr">
        <is>
          <t>Consultant</t>
        </is>
      </c>
      <c r="DJ455" s="53" t="inlineStr">
        <is>
          <t>Consulting &amp; Professional Services</t>
        </is>
      </c>
      <c r="DK455" s="53" t="inlineStr">
        <is>
          <t>XBRL / Regulatory Reporting</t>
        </is>
      </c>
      <c r="DL455" s="53" t="inlineStr">
        <is>
          <t>Consultant</t>
        </is>
      </c>
      <c r="DM455" s="53" t="inlineStr">
        <is>
          <t>L3 – Professional / Associate</t>
        </is>
      </c>
      <c r="DN455" s="53" t="inlineStr">
        <is>
          <t>B.Com</t>
        </is>
      </c>
      <c r="DO455" s="53" t="inlineStr">
        <is>
          <t>Sujeet Rathod</t>
        </is>
      </c>
      <c r="DP455" s="53" t="inlineStr">
        <is>
          <t>N-3</t>
        </is>
      </c>
      <c r="DQ455" s="53" t="inlineStr">
        <is>
          <t>Individual Contributor</t>
        </is>
      </c>
      <c r="DR455" s="53" t="inlineStr">
        <is>
          <t>0 years, 0 months, 0 days</t>
        </is>
      </c>
      <c r="DS455" s="53" t="inlineStr">
        <is>
          <t>15 years, 11 months, 23 days</t>
        </is>
      </c>
      <c r="DT455" s="53" t="inlineStr">
        <is>
          <t>15 years, 11 months, 23 days</t>
        </is>
      </c>
      <c r="DU455" s="53" t="n"/>
      <c r="DV455" s="53" t="inlineStr">
        <is>
          <t>Suptech</t>
        </is>
      </c>
      <c r="DW455" s="53" t="inlineStr">
        <is>
          <t>iFile</t>
        </is>
      </c>
      <c r="DX455" s="53" t="inlineStr">
        <is>
          <t>XBRL Consulting</t>
        </is>
      </c>
      <c r="DY455" s="53" t="inlineStr">
        <is>
          <t>Consulting</t>
        </is>
      </c>
      <c r="DZ455" s="53" t="inlineStr">
        <is>
          <t>No</t>
        </is>
      </c>
      <c r="EA455" s="53" t="inlineStr">
        <is>
          <t>Professional Services</t>
        </is>
      </c>
      <c r="EB455" s="53" t="inlineStr">
        <is>
          <t>XBRL Domain</t>
        </is>
      </c>
      <c r="EC455" s="53" t="inlineStr">
        <is>
          <t>Non-technical</t>
        </is>
      </c>
      <c r="ED455" s="53" t="inlineStr">
        <is>
          <t>Client Side</t>
        </is>
      </c>
      <c r="EE455" s="53" t="n"/>
      <c r="EF455" s="53"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EG455" s="53" t="inlineStr">
        <is>
          <t>1. Complete Q1 taxonomy build/test tasks on schedule · &gt;=95% on-time.
2. Close assigned iFILE support tickets within SLA.
3. Finish Q1 Excel/Webform test cycles with defect leakage &lt;2%.</t>
        </is>
      </c>
      <c r="EH455" s="53" t="inlineStr">
        <is>
          <t>3 – Meets Expectations</t>
        </is>
      </c>
      <c r="EI455" s="53" t="inlineStr">
        <is>
          <t>Last appraisal in Oct 2025</t>
        </is>
      </c>
      <c r="EJ455" s="53" t="inlineStr">
        <is>
          <t>Consultant</t>
        </is>
      </c>
      <c r="EK455" s="53" t="inlineStr">
        <is>
          <t>No change</t>
        </is>
      </c>
      <c r="EL455" s="53" t="n">
        <v>3</v>
      </c>
      <c r="EM455" s="53" t="inlineStr">
        <is>
          <t>Low</t>
        </is>
      </c>
      <c r="EN455" s="53" t="inlineStr">
        <is>
          <t>Trusted Professional</t>
        </is>
      </c>
      <c r="EO455" s="53" t="n"/>
      <c r="EP455" s="53" t="inlineStr">
        <is>
          <t>No</t>
        </is>
      </c>
      <c r="EQ455" s="53" t="n"/>
      <c r="ER455" s="53" t="inlineStr">
        <is>
          <t>To be identified</t>
        </is>
      </c>
      <c r="ES455" s="53" t="inlineStr">
        <is>
          <t>XBRL taxonomy &amp; regulatory updates; domain/accounting refreshers; quality &amp; accuracy practices; tooling proficiency</t>
        </is>
      </c>
      <c r="ET455" s="53" t="inlineStr">
        <is>
          <t>Transition to leadership: people management &amp; delegation, mentoring/coaching, project ownership &amp; stakeholder management, prioritisation under ambiguity, presentation &amp; influence skills</t>
        </is>
      </c>
      <c r="EU455" s="53" t="n"/>
      <c r="EV455" s="53" t="n"/>
      <c r="EW455" s="52" t="n"/>
      <c r="EX455" s="53" t="n"/>
      <c r="EY455" s="53" t="n"/>
      <c r="EZ455" s="53" t="n"/>
      <c r="FA455" s="53" t="n"/>
      <c r="FB455" s="53" t="n"/>
      <c r="FC455" s="53" t="n"/>
      <c r="FD455" s="53" t="n"/>
      <c r="FE455" s="57"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FF455" s="56" t="inlineStr">
        <is>
          <t>1. Complete Q1 taxonomy build/test tasks on schedule · &gt;=95% on-time.
2. Close assigned iFILE support tickets within SLA · &gt;=90%.
3. Finish Q1 Excel/Webform test cycles with defect leakage &lt;2%.</t>
        </is>
      </c>
      <c r="FG455" s="56" t="n"/>
      <c r="FH455" s="56" t="inlineStr">
        <is>
          <t>3 – Meets Expectations</t>
        </is>
      </c>
      <c r="FI455" s="56" t="n"/>
      <c r="FJ455" s="56" t="inlineStr">
        <is>
          <t>Received · manager annual, quarterly</t>
        </is>
      </c>
      <c r="FK455" s="56" t="inlineStr">
        <is>
          <t>Talent Mapping · iFile collated</t>
        </is>
      </c>
      <c r="FL455" s="56" t="n">
        <v>20</v>
      </c>
      <c r="FM455" s="32" t="inlineStr">
        <is>
          <t>Full survey answers not in the files received · How We Grow export needed · HR</t>
        </is>
      </c>
      <c r="FN455" s="56" t="inlineStr">
        <is>
          <t>—</t>
        </is>
      </c>
      <c r="FO455" s="56" t="inlineStr">
        <is>
          <t>—</t>
        </is>
      </c>
      <c r="FP455" s="56" t="inlineStr">
        <is>
          <t>—</t>
        </is>
      </c>
      <c r="FQ455" s="56" t="inlineStr">
        <is>
          <t>—</t>
        </is>
      </c>
      <c r="FR455" s="56" t="inlineStr">
        <is>
          <t>Complexity: Evidence reads like A3: Taxonomy structure development with formula linkbase in Noah; client engagement; little detail → matches the start
Autonomy: Evidence reads like A2: 'Structure process define'; says approach is discussed with team members before proceeding → moved down 0.5
Accountability: Evidence reads like A2: Consistent, scalable taxonomy structure of own development; error means restart → moved down 0.5
Leadership: Evidence reads like A1: None described → moved down 0.5
Business Impact: No move: the survey / manager mapping does not mark it business-critical or unique.</t>
        </is>
      </c>
      <c r="FS455" s="56" t="inlineStr">
        <is>
          <t>Common themes in role-holders' answers: taxonomy · xbrl · client · data · convert · consultant
Common themes in role-holders' answers: client · testing · taxonomy · requirement · support · development
Common themes in role-holders' answers: taxonomy · xbrl · output · structured
Common themes in role-holders' answers: taxonomy · development · testing · tagging · quality · creation
Common themes in role-holders' answers: testing · formula · validations · tagging · creation · taxonomy
If the work is missed · role-holders' themes: rework · client · escalation · retesting · time.
Measured on · manager-set KRA themes: resolve · defect · deliver · complete · modules · testing.</t>
        </is>
      </c>
      <c r="FT455" s="56" t="inlineStr">
        <is>
          <t>Self-identified: Answered · no common topic
For the next role: Answered · no common topic</t>
        </is>
      </c>
      <c r="FU455" s="32" t="inlineStr">
        <is>
          <t>Full survey answers not in the files received · How We Grow export needed · HR</t>
        </is>
      </c>
    </row>
    <row r="456" ht="90" customHeight="1">
      <c r="A456" s="51" t="inlineStr">
        <is>
          <t>◂ Back</t>
        </is>
      </c>
      <c r="B456" s="29" t="inlineStr">
        <is>
          <t>Mapped</t>
        </is>
      </c>
      <c r="C456" s="28" t="inlineStr">
        <is>
          <t>iFile</t>
        </is>
      </c>
      <c r="D456" s="29" t="inlineStr">
        <is>
          <t>IRIS0028</t>
        </is>
      </c>
      <c r="E456" s="29" t="inlineStr">
        <is>
          <t>Shashank Poipkar</t>
        </is>
      </c>
      <c r="F456" s="29" t="inlineStr">
        <is>
          <t>XBRL Consulting</t>
        </is>
      </c>
      <c r="G456" s="29" t="inlineStr">
        <is>
          <t>Senior Analyst</t>
        </is>
      </c>
      <c r="H456" s="29" t="inlineStr">
        <is>
          <t>Senior Taxonomy Analyst</t>
        </is>
      </c>
      <c r="I456" s="29" t="inlineStr">
        <is>
          <t>L4 – Senior</t>
        </is>
      </c>
      <c r="J456" s="29" t="inlineStr">
        <is>
          <t>A3</t>
        </is>
      </c>
      <c r="K456" s="29" t="inlineStr">
        <is>
          <t>• Same level</t>
        </is>
      </c>
      <c r="L456" s="29" t="inlineStr">
        <is>
          <t>Consulting &amp; Professional Services</t>
        </is>
      </c>
      <c r="M456" s="29" t="inlineStr">
        <is>
          <t>Taxonomy Design &amp; Regulatory Consulting</t>
        </is>
      </c>
      <c r="N456" s="29" t="n"/>
      <c r="O456" s="29" t="n">
        <v>20</v>
      </c>
      <c r="P456" s="28" t="inlineStr">
        <is>
          <t>P2</t>
        </is>
      </c>
      <c r="Q456" s="29" t="inlineStr">
        <is>
          <t>Developing</t>
        </is>
      </c>
      <c r="R456" s="29" t="inlineStr">
        <is>
          <t>3 Apply</t>
        </is>
      </c>
      <c r="S456" s="29" t="inlineStr">
        <is>
          <t>2–4 yrs</t>
        </is>
      </c>
      <c r="T456" s="29" t="inlineStr">
        <is>
          <t>3–5 · 2–5</t>
        </is>
      </c>
      <c r="U456" s="29" t="inlineStr">
        <is>
          <t>Senior Analyst / Associate</t>
        </is>
      </c>
      <c r="V456" s="29" t="inlineStr">
        <is>
          <t>DataTracks: Senior Associate · 2–5 yrs · Big Four: Consultant · IRIS Vs Market Benchmark — XBRL US credential pathway: XBRL US GAAP Certificate</t>
        </is>
      </c>
      <c r="W456" s="29" t="inlineStr">
        <is>
          <t>XBRL US GAAP Certificate · AICPA &amp; XBRL US; XBRL International specifications; IFRS / US GAAP / Ind AS</t>
        </is>
      </c>
      <c r="X456" s="29" t="inlineStr">
        <is>
          <t>Core 2 · Future 2 · Functional 3 · Leadership not scored</t>
        </is>
      </c>
      <c r="Y456" s="52" t="n">
        <v>14</v>
      </c>
      <c r="Z456" s="53" t="inlineStr">
        <is>
          <t>IRIS0028</t>
        </is>
      </c>
      <c r="AA456" s="53" t="inlineStr">
        <is>
          <t>Employee</t>
        </is>
      </c>
      <c r="AB456" s="53" t="inlineStr">
        <is>
          <t>Active</t>
        </is>
      </c>
      <c r="AC456" s="53" t="inlineStr">
        <is>
          <t>Shashank Poipkar</t>
        </is>
      </c>
      <c r="AD456" s="54" t="n">
        <v>38567</v>
      </c>
      <c r="AE456" s="53" t="inlineStr">
        <is>
          <t>Senior Analyst</t>
        </is>
      </c>
      <c r="AF456" s="53" t="inlineStr">
        <is>
          <t>B.Com</t>
        </is>
      </c>
      <c r="AG456" s="53" t="inlineStr">
        <is>
          <t>Sujeet Rathod</t>
        </is>
      </c>
      <c r="AH456" s="53" t="inlineStr">
        <is>
          <t>N-3</t>
        </is>
      </c>
      <c r="AI456" s="53" t="inlineStr">
        <is>
          <t>Individual Contributor</t>
        </is>
      </c>
      <c r="AJ456" s="53" t="inlineStr">
        <is>
          <t>0 years, 0 months, 0 days</t>
        </is>
      </c>
      <c r="AK456" s="53" t="inlineStr">
        <is>
          <t>21 years, 0 months, 22 days</t>
        </is>
      </c>
      <c r="AL456" s="53" t="inlineStr">
        <is>
          <t>Suptech</t>
        </is>
      </c>
      <c r="AM456" s="53" t="inlineStr">
        <is>
          <t>iFile</t>
        </is>
      </c>
      <c r="AN456" s="53" t="inlineStr">
        <is>
          <t>XBRL Consulting</t>
        </is>
      </c>
      <c r="AO456" s="53" t="inlineStr">
        <is>
          <t>Consulting</t>
        </is>
      </c>
      <c r="AP456" s="53" t="inlineStr">
        <is>
          <t>No</t>
        </is>
      </c>
      <c r="AQ456" s="53" t="inlineStr">
        <is>
          <t>Professional Services</t>
        </is>
      </c>
      <c r="AR456" s="53" t="inlineStr">
        <is>
          <t>XBRL Domain</t>
        </is>
      </c>
      <c r="AS456" s="53" t="inlineStr">
        <is>
          <t>Non-technical</t>
        </is>
      </c>
      <c r="AT456" s="53" t="n">
        <v>20</v>
      </c>
      <c r="AU456" s="53" t="inlineStr">
        <is>
          <t>Covered</t>
        </is>
      </c>
      <c r="AV456" s="53" t="n"/>
      <c r="AW456" s="53" t="n"/>
      <c r="AX456" s="53" t="n"/>
      <c r="AY456" s="53" t="n"/>
      <c r="AZ456" s="53" t="n"/>
      <c r="BA456" s="53" t="n"/>
      <c r="BB456" s="53" t="n"/>
      <c r="BC456" s="53" t="n"/>
      <c r="BD456" s="53" t="n"/>
      <c r="BE456" s="53" t="n"/>
      <c r="BF456" s="53" t="n"/>
      <c r="BG456" s="53" t="n"/>
      <c r="BH456" s="53" t="n"/>
      <c r="BI456" s="53" t="n"/>
      <c r="BJ456" s="53" t="n"/>
      <c r="BK456" s="53" t="n"/>
      <c r="BL456" s="53" t="n"/>
      <c r="BM456" s="53" t="n"/>
      <c r="BN456" s="53" t="n"/>
      <c r="BO456" s="53" t="n"/>
      <c r="BP456" s="53" t="n"/>
      <c r="BQ456" s="53" t="n"/>
      <c r="BR456" s="53" t="n"/>
      <c r="BS456" s="53" t="n"/>
      <c r="BT456" s="53" t="n"/>
      <c r="BU456" s="53" t="n"/>
      <c r="BV456" s="53" t="n"/>
      <c r="BW456" s="53" t="n"/>
      <c r="BX456" s="53" t="n"/>
      <c r="BY456" s="53" t="n"/>
      <c r="BZ456" s="53" t="n"/>
      <c r="CA456" s="53" t="n"/>
      <c r="CB456" s="53" t="n"/>
      <c r="CC456" s="53" t="n"/>
      <c r="CD456" s="53" t="n"/>
      <c r="CE456" s="53" t="n"/>
      <c r="CF456" s="53" t="n"/>
      <c r="CG456" s="53" t="n"/>
      <c r="CH456" s="53" t="n"/>
      <c r="CI456" s="53" t="n"/>
      <c r="CJ456" s="53" t="n"/>
      <c r="CK456" s="53" t="n"/>
      <c r="CL456" s="53" t="n"/>
      <c r="CM456" s="53" t="n"/>
      <c r="CN456" s="53" t="n"/>
      <c r="CO456" s="53" t="n"/>
      <c r="CP456" s="53" t="n"/>
      <c r="CQ456" s="53" t="n"/>
      <c r="CR456" s="53" t="n"/>
      <c r="CS456" s="53" t="n"/>
      <c r="CT456" s="53" t="n"/>
      <c r="CU456" s="53" t="n"/>
      <c r="CV456" s="53" t="n"/>
      <c r="CW456" s="53" t="n"/>
      <c r="CX456" s="53" t="n"/>
      <c r="CY456" s="53" t="n"/>
      <c r="CZ456" s="53" t="n"/>
      <c r="DA456" s="53" t="n"/>
      <c r="DB456" s="53" t="n"/>
      <c r="DC456" s="53" t="n"/>
      <c r="DD456" s="53" t="inlineStr">
        <is>
          <t>IRIS0028</t>
        </is>
      </c>
      <c r="DE456" s="53" t="inlineStr">
        <is>
          <t>Employee</t>
        </is>
      </c>
      <c r="DF456" s="53" t="inlineStr">
        <is>
          <t>Active</t>
        </is>
      </c>
      <c r="DG456" s="53" t="inlineStr">
        <is>
          <t>Shashank Poipkar</t>
        </is>
      </c>
      <c r="DH456" s="54" t="n">
        <v>38567</v>
      </c>
      <c r="DI456" s="53" t="inlineStr">
        <is>
          <t>Senior Analyst</t>
        </is>
      </c>
      <c r="DJ456" s="53" t="inlineStr">
        <is>
          <t>Consulting &amp; Professional Services</t>
        </is>
      </c>
      <c r="DK456" s="53" t="inlineStr">
        <is>
          <t>XBRL / Regulatory Reporting</t>
        </is>
      </c>
      <c r="DL456" s="53" t="inlineStr">
        <is>
          <t>Senior Analyst</t>
        </is>
      </c>
      <c r="DM456" s="53" t="inlineStr">
        <is>
          <t>L4 – Senior</t>
        </is>
      </c>
      <c r="DN456" s="53" t="inlineStr">
        <is>
          <t>B.Com</t>
        </is>
      </c>
      <c r="DO456" s="53" t="inlineStr">
        <is>
          <t>Sujeet Rathod</t>
        </is>
      </c>
      <c r="DP456" s="53" t="inlineStr">
        <is>
          <t>N-3</t>
        </is>
      </c>
      <c r="DQ456" s="53" t="inlineStr">
        <is>
          <t>Individual Contributor</t>
        </is>
      </c>
      <c r="DR456" s="53" t="inlineStr">
        <is>
          <t>0 years, 0 months, 0 days</t>
        </is>
      </c>
      <c r="DS456" s="53" t="inlineStr">
        <is>
          <t>20 years, 10 months, 17 days</t>
        </is>
      </c>
      <c r="DT456" s="53" t="inlineStr">
        <is>
          <t>20 years, 10 months, 17 days</t>
        </is>
      </c>
      <c r="DU456" s="53" t="n"/>
      <c r="DV456" s="53" t="inlineStr">
        <is>
          <t>Suptech</t>
        </is>
      </c>
      <c r="DW456" s="53" t="inlineStr">
        <is>
          <t>iFile</t>
        </is>
      </c>
      <c r="DX456" s="53" t="inlineStr">
        <is>
          <t>XBRL Consulting</t>
        </is>
      </c>
      <c r="DY456" s="53" t="inlineStr">
        <is>
          <t>Consulting</t>
        </is>
      </c>
      <c r="DZ456" s="53" t="inlineStr">
        <is>
          <t>No</t>
        </is>
      </c>
      <c r="EA456" s="53" t="inlineStr">
        <is>
          <t>Professional Services</t>
        </is>
      </c>
      <c r="EB456" s="53" t="inlineStr">
        <is>
          <t>XBRL Domain</t>
        </is>
      </c>
      <c r="EC456" s="53" t="inlineStr">
        <is>
          <t>Non-technical</t>
        </is>
      </c>
      <c r="ED456" s="53" t="inlineStr">
        <is>
          <t>Work From Office - Turbhe</t>
        </is>
      </c>
      <c r="EE456" s="53" t="n"/>
      <c r="EF456" s="53"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EG456" s="53" t="inlineStr">
        <is>
          <t>1. Complete Q1 taxonomy build/test tasks on schedule · &gt;=95% on-time.
2. Close assigned iFILE support tickets within SLA.
3. Finish Q1 Excel/Webform test cycles with defect leakage &lt;2%.</t>
        </is>
      </c>
      <c r="EH456" s="53" t="inlineStr">
        <is>
          <t>3 – Meets Expectations</t>
        </is>
      </c>
      <c r="EI456" s="53" t="inlineStr">
        <is>
          <t>Last appraisal in Oct 2025</t>
        </is>
      </c>
      <c r="EJ456" s="53" t="inlineStr">
        <is>
          <t>Senior Analyst</t>
        </is>
      </c>
      <c r="EK456" s="53" t="inlineStr">
        <is>
          <t>No change</t>
        </is>
      </c>
      <c r="EL456" s="53" t="n">
        <v>3</v>
      </c>
      <c r="EM456" s="53" t="inlineStr">
        <is>
          <t>Low</t>
        </is>
      </c>
      <c r="EN456" s="53" t="inlineStr">
        <is>
          <t>Core Contributor</t>
        </is>
      </c>
      <c r="EO456" s="53" t="n"/>
      <c r="EP456" s="53" t="inlineStr">
        <is>
          <t>No</t>
        </is>
      </c>
      <c r="EQ456" s="53" t="n"/>
      <c r="ER456" s="53" t="inlineStr">
        <is>
          <t>To be identified</t>
        </is>
      </c>
      <c r="ES456" s="53" t="inlineStr">
        <is>
          <t>XBRL taxonomy &amp; regulatory updates; domain/accounting refreshers; quality &amp; accuracy practices; tooling proficiency</t>
        </is>
      </c>
      <c r="ET456" s="53" t="inlineStr">
        <is>
          <t>Transition to leadership: people management &amp; delegation, mentoring/coaching, project ownership &amp; stakeholder management, prioritisation under ambiguity, presentation &amp; influence skills</t>
        </is>
      </c>
      <c r="EU456" s="53" t="inlineStr">
        <is>
          <t>IFSCA,GTA,Pre-sales,IRIS Buschat, IRIS Noah</t>
        </is>
      </c>
      <c r="EV456" s="53" t="n"/>
      <c r="EW456" s="52" t="n"/>
      <c r="EX456" s="53" t="n"/>
      <c r="EY456" s="53" t="n"/>
      <c r="EZ456" s="53" t="n"/>
      <c r="FA456" s="53" t="n"/>
      <c r="FB456" s="53" t="n"/>
      <c r="FC456" s="53" t="n"/>
      <c r="FD456" s="53" t="n"/>
      <c r="FE456" s="57"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FF456" s="56" t="inlineStr">
        <is>
          <t>1. Complete Q1 taxonomy build/test tasks on schedule · &gt;=95% on-time.
2. Close assigned iFILE support tickets within SLA · &gt;=90%.
3. Finish Q1 Excel/Webform test cycles with defect leakage &lt;2%.</t>
        </is>
      </c>
      <c r="FG456" s="56" t="n"/>
      <c r="FH456" s="56" t="inlineStr">
        <is>
          <t>3 – Meets Expectations</t>
        </is>
      </c>
      <c r="FI456" s="56" t="n"/>
      <c r="FJ456" s="56" t="inlineStr">
        <is>
          <t>Received · manager annual, quarterly</t>
        </is>
      </c>
      <c r="FK456" s="56" t="inlineStr">
        <is>
          <t>Talent Mapping · iFile collated</t>
        </is>
      </c>
      <c r="FL456" s="56" t="n">
        <v>20</v>
      </c>
      <c r="FM456" s="32" t="inlineStr">
        <is>
          <t>Full survey answers not in the files received · How We Grow export needed · HR</t>
        </is>
      </c>
      <c r="FN456" s="56" t="inlineStr">
        <is>
          <t>—</t>
        </is>
      </c>
      <c r="FO456" s="56" t="inlineStr">
        <is>
          <t>—</t>
        </is>
      </c>
      <c r="FP456" s="56" t="inlineStr">
        <is>
          <t>—</t>
        </is>
      </c>
      <c r="FQ456" s="56" t="inlineStr">
        <is>
          <t>—</t>
        </is>
      </c>
      <c r="FR456" s="56" t="inlineStr">
        <is>
          <t>Complexity: Evidence reads like A2: Formula creation, formula testing and webform testing · QCB in Noah → moved down 0.5
Autonomy: Evidence reads like A2: Decides formula testing only → moved down 0.5
Accountability: Evidence reads like A2: Own webform testing; errors mean rework and retesting → moved down 0.5
Leadership: Evidence reads like A1: None described → moved down 0.5
Business Impact: No survey or manager-mapping signal on criticality: kept at the start point.</t>
        </is>
      </c>
      <c r="FS456" s="56" t="inlineStr">
        <is>
          <t>Common themes in role-holders' answers: taxonomy · xbrl · client · data · convert · consultant
Common themes in role-holders' answers: client · testing · taxonomy · requirement · support · development
Common themes in role-holders' answers: taxonomy · xbrl · output · structured
Common themes in role-holders' answers: taxonomy · development · testing · tagging · quality · creation
Common themes in role-holders' answers: testing · formula · validations · tagging · creation · taxonomy
If the work is missed · role-holders' themes: rework · client · escalation · retesting · time.
Measured on · manager-set KRA themes: resolve · defect · deliver · complete · modules · testing.</t>
        </is>
      </c>
      <c r="FT456" s="56" t="inlineStr">
        <is>
          <t>Self-identified: Project / programme management · Broader exposure &amp; ownership
For the next role: Project / programme management · Broader exposure &amp; ownership</t>
        </is>
      </c>
      <c r="FU456" s="32" t="inlineStr">
        <is>
          <t>Full survey answers not in the files received · How We Grow export needed · HR</t>
        </is>
      </c>
    </row>
    <row r="457" ht="90" customHeight="1">
      <c r="A457" s="51" t="inlineStr">
        <is>
          <t>◂ Back</t>
        </is>
      </c>
      <c r="B457" s="29" t="inlineStr">
        <is>
          <t>Mapped</t>
        </is>
      </c>
      <c r="C457" s="28" t="inlineStr">
        <is>
          <t>iFile</t>
        </is>
      </c>
      <c r="D457" s="29" t="inlineStr">
        <is>
          <t>IRIS1063</t>
        </is>
      </c>
      <c r="E457" s="29" t="inlineStr">
        <is>
          <t>Vishram Modak</t>
        </is>
      </c>
      <c r="F457" s="29" t="inlineStr">
        <is>
          <t>XBRL Consulting</t>
        </is>
      </c>
      <c r="G457" s="29" t="inlineStr">
        <is>
          <t>Senior consultant</t>
        </is>
      </c>
      <c r="H457" s="29" t="inlineStr">
        <is>
          <t>Senior Taxonomy Specialist</t>
        </is>
      </c>
      <c r="I457" s="29" t="inlineStr">
        <is>
          <t>L4 – Senior</t>
        </is>
      </c>
      <c r="J457" s="29" t="inlineStr">
        <is>
          <t>B2</t>
        </is>
      </c>
      <c r="K457" s="29" t="inlineStr">
        <is>
          <t>▲ Up</t>
        </is>
      </c>
      <c r="L457" s="29" t="inlineStr">
        <is>
          <t>Consulting &amp; Professional Services</t>
        </is>
      </c>
      <c r="M457" s="29" t="inlineStr">
        <is>
          <t>Taxonomy Design &amp; Regulatory Consulting</t>
        </is>
      </c>
      <c r="N457" s="29" t="n"/>
      <c r="O457" s="29" t="n">
        <v>20</v>
      </c>
      <c r="P457" s="28" t="inlineStr">
        <is>
          <t>P4 / M3</t>
        </is>
      </c>
      <c r="Q457" s="29" t="inlineStr">
        <is>
          <t>Senior / Manager</t>
        </is>
      </c>
      <c r="R457" s="29" t="inlineStr">
        <is>
          <t>4–5</t>
        </is>
      </c>
      <c r="S457" s="29" t="inlineStr">
        <is>
          <t>6–9 yrs</t>
        </is>
      </c>
      <c r="T457" s="29" t="inlineStr">
        <is>
          <t>7–10 · 6–11</t>
        </is>
      </c>
      <c r="U457" s="29" t="inlineStr">
        <is>
          <t>Senior Consultant / Team Lead</t>
        </is>
      </c>
      <c r="V457" s="29" t="inlineStr">
        <is>
          <t>Big Four: Manager · IRIS Vs Market Benchmark — XBRL US credential pathway: Certificate + review authority</t>
        </is>
      </c>
      <c r="W457" s="29" t="inlineStr">
        <is>
          <t>XBRL US GAAP Certificate · AICPA &amp; XBRL US; XBRL International specifications; IFRS / US GAAP / Ind AS</t>
        </is>
      </c>
      <c r="X457" s="29" t="inlineStr">
        <is>
          <t>Core 3 · Future 3 · Functional 4 · Leadership 2</t>
        </is>
      </c>
      <c r="Y457" s="52" t="n">
        <v>106</v>
      </c>
      <c r="Z457" s="53" t="inlineStr">
        <is>
          <t>IRIS1063</t>
        </is>
      </c>
      <c r="AA457" s="53" t="inlineStr">
        <is>
          <t>Employee</t>
        </is>
      </c>
      <c r="AB457" s="53" t="inlineStr">
        <is>
          <t>Active</t>
        </is>
      </c>
      <c r="AC457" s="53" t="inlineStr">
        <is>
          <t>Vishram Modak</t>
        </is>
      </c>
      <c r="AD457" s="54" t="n">
        <v>41008</v>
      </c>
      <c r="AE457" s="53" t="inlineStr">
        <is>
          <t>Senior consultant</t>
        </is>
      </c>
      <c r="AF457" s="53" t="inlineStr">
        <is>
          <t>CA</t>
        </is>
      </c>
      <c r="AG457" s="53" t="inlineStr">
        <is>
          <t>Rahul Dhamne</t>
        </is>
      </c>
      <c r="AH457" s="53" t="inlineStr">
        <is>
          <t>N-2</t>
        </is>
      </c>
      <c r="AI457" s="53" t="inlineStr">
        <is>
          <t>Individual Contributor</t>
        </is>
      </c>
      <c r="AJ457" s="53" t="inlineStr">
        <is>
          <t>7 years, 8 months, 0 days</t>
        </is>
      </c>
      <c r="AK457" s="53" t="inlineStr">
        <is>
          <t>14 years, 4 months, 16 days</t>
        </is>
      </c>
      <c r="AL457" s="53" t="inlineStr">
        <is>
          <t>Suptech</t>
        </is>
      </c>
      <c r="AM457" s="53" t="inlineStr">
        <is>
          <t>iFile</t>
        </is>
      </c>
      <c r="AN457" s="53" t="inlineStr">
        <is>
          <t>XBRL Consulting</t>
        </is>
      </c>
      <c r="AO457" s="53" t="inlineStr">
        <is>
          <t>Consulting</t>
        </is>
      </c>
      <c r="AP457" s="53" t="inlineStr">
        <is>
          <t>No</t>
        </is>
      </c>
      <c r="AQ457" s="53" t="inlineStr">
        <is>
          <t>Professional Services</t>
        </is>
      </c>
      <c r="AR457" s="53" t="inlineStr">
        <is>
          <t>XBRL Domain</t>
        </is>
      </c>
      <c r="AS457" s="53" t="inlineStr">
        <is>
          <t>Non-technical</t>
        </is>
      </c>
      <c r="AT457" s="53" t="n">
        <v>20</v>
      </c>
      <c r="AU457" s="53" t="inlineStr">
        <is>
          <t>Covered</t>
        </is>
      </c>
      <c r="AV457" s="53" t="n"/>
      <c r="AW457" s="53" t="n"/>
      <c r="AX457" s="53" t="n"/>
      <c r="AY457" s="53" t="n"/>
      <c r="AZ457" s="53" t="n"/>
      <c r="BA457" s="53" t="n"/>
      <c r="BB457" s="53" t="n"/>
      <c r="BC457" s="53" t="n"/>
      <c r="BD457" s="53" t="n"/>
      <c r="BE457" s="53" t="n"/>
      <c r="BF457" s="53" t="n"/>
      <c r="BG457" s="53" t="n"/>
      <c r="BH457" s="53" t="n"/>
      <c r="BI457" s="53" t="n"/>
      <c r="BJ457" s="53" t="n"/>
      <c r="BK457" s="53" t="n"/>
      <c r="BL457" s="53" t="n"/>
      <c r="BM457" s="53" t="n"/>
      <c r="BN457" s="53" t="n"/>
      <c r="BO457" s="53" t="n"/>
      <c r="BP457" s="53" t="n"/>
      <c r="BQ457" s="53" t="n"/>
      <c r="BR457" s="53" t="n"/>
      <c r="BS457" s="53" t="n"/>
      <c r="BT457" s="53" t="n"/>
      <c r="BU457" s="53" t="n"/>
      <c r="BV457" s="53" t="n"/>
      <c r="BW457" s="53" t="n"/>
      <c r="BX457" s="53" t="n"/>
      <c r="BY457" s="53" t="n"/>
      <c r="BZ457" s="53" t="n"/>
      <c r="CA457" s="53" t="n"/>
      <c r="CB457" s="53" t="n"/>
      <c r="CC457" s="53" t="n"/>
      <c r="CD457" s="53" t="n"/>
      <c r="CE457" s="53" t="n"/>
      <c r="CF457" s="53" t="n"/>
      <c r="CG457" s="53" t="n"/>
      <c r="CH457" s="53" t="n"/>
      <c r="CI457" s="53" t="n"/>
      <c r="CJ457" s="53" t="n"/>
      <c r="CK457" s="53" t="n"/>
      <c r="CL457" s="53" t="n"/>
      <c r="CM457" s="53" t="n"/>
      <c r="CN457" s="53" t="n"/>
      <c r="CO457" s="53" t="n"/>
      <c r="CP457" s="53" t="n"/>
      <c r="CQ457" s="53" t="n"/>
      <c r="CR457" s="53" t="n"/>
      <c r="CS457" s="53" t="n"/>
      <c r="CT457" s="53" t="n"/>
      <c r="CU457" s="53" t="n"/>
      <c r="CV457" s="53" t="n"/>
      <c r="CW457" s="53" t="n"/>
      <c r="CX457" s="53" t="n"/>
      <c r="CY457" s="53" t="n"/>
      <c r="CZ457" s="53" t="n"/>
      <c r="DA457" s="53" t="n"/>
      <c r="DB457" s="53" t="n"/>
      <c r="DC457" s="53" t="n"/>
      <c r="DD457" s="53" t="inlineStr">
        <is>
          <t>IRIS1063</t>
        </is>
      </c>
      <c r="DE457" s="53" t="inlineStr">
        <is>
          <t>Employee</t>
        </is>
      </c>
      <c r="DF457" s="53" t="inlineStr">
        <is>
          <t>Active</t>
        </is>
      </c>
      <c r="DG457" s="53" t="inlineStr">
        <is>
          <t>Vishram Modak</t>
        </is>
      </c>
      <c r="DH457" s="54" t="n">
        <v>41008</v>
      </c>
      <c r="DI457" s="53" t="inlineStr">
        <is>
          <t>Senior consultant</t>
        </is>
      </c>
      <c r="DJ457" s="53" t="inlineStr">
        <is>
          <t>Consulting &amp; Professional Services</t>
        </is>
      </c>
      <c r="DK457" s="53" t="inlineStr">
        <is>
          <t>XBRL / Regulatory Reporting</t>
        </is>
      </c>
      <c r="DL457" s="53" t="inlineStr">
        <is>
          <t>Senior consultant</t>
        </is>
      </c>
      <c r="DM457" s="53" t="inlineStr">
        <is>
          <t>L4 – Senior</t>
        </is>
      </c>
      <c r="DN457" s="53" t="inlineStr">
        <is>
          <t>CA</t>
        </is>
      </c>
      <c r="DO457" s="53" t="inlineStr">
        <is>
          <t>Rahul Dhamne</t>
        </is>
      </c>
      <c r="DP457" s="53" t="inlineStr">
        <is>
          <t>N-2</t>
        </is>
      </c>
      <c r="DQ457" s="53" t="inlineStr">
        <is>
          <t>Individual Contributor</t>
        </is>
      </c>
      <c r="DR457" s="53" t="inlineStr">
        <is>
          <t>7 years, 8 months, 0 days</t>
        </is>
      </c>
      <c r="DS457" s="53" t="inlineStr">
        <is>
          <t>14 years, 2 months, 11 days</t>
        </is>
      </c>
      <c r="DT457" s="53" t="inlineStr">
        <is>
          <t>21 years, 10 months, 11 days</t>
        </is>
      </c>
      <c r="DU457" s="53" t="n"/>
      <c r="DV457" s="53" t="inlineStr">
        <is>
          <t>Suptech</t>
        </is>
      </c>
      <c r="DW457" s="53" t="inlineStr">
        <is>
          <t>iFile</t>
        </is>
      </c>
      <c r="DX457" s="53" t="inlineStr">
        <is>
          <t>XBRL Consulting</t>
        </is>
      </c>
      <c r="DY457" s="53" t="inlineStr">
        <is>
          <t>Consulting</t>
        </is>
      </c>
      <c r="DZ457" s="53" t="inlineStr">
        <is>
          <t>No</t>
        </is>
      </c>
      <c r="EA457" s="53" t="inlineStr">
        <is>
          <t>Professional Services</t>
        </is>
      </c>
      <c r="EB457" s="53" t="inlineStr">
        <is>
          <t>XBRL Domain</t>
        </is>
      </c>
      <c r="EC457" s="53" t="inlineStr">
        <is>
          <t>Non-technical</t>
        </is>
      </c>
      <c r="ED457" s="53" t="inlineStr">
        <is>
          <t>Remote- Outside Mumbai</t>
        </is>
      </c>
      <c r="EE457" s="53" t="n"/>
      <c r="EF457" s="53"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EG457" s="53"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EH457" s="53" t="inlineStr">
        <is>
          <t>3 – Meets Expectations</t>
        </is>
      </c>
      <c r="EI457" s="53" t="inlineStr">
        <is>
          <t>Last appraisal in Oct 2025</t>
        </is>
      </c>
      <c r="EJ457" s="53" t="inlineStr">
        <is>
          <t>Senior consultant</t>
        </is>
      </c>
      <c r="EK457" s="53" t="inlineStr">
        <is>
          <t>No change</t>
        </is>
      </c>
      <c r="EL457" s="53" t="n">
        <v>3</v>
      </c>
      <c r="EM457" s="53" t="inlineStr">
        <is>
          <t>Medium</t>
        </is>
      </c>
      <c r="EN457" s="53" t="inlineStr">
        <is>
          <t>Reliable Specialist</t>
        </is>
      </c>
      <c r="EO457" s="53" t="n"/>
      <c r="EP457" s="53" t="inlineStr">
        <is>
          <t>No</t>
        </is>
      </c>
      <c r="EQ457" s="53" t="n"/>
      <c r="ER457" s="53" t="inlineStr">
        <is>
          <t>Separate successor for different project</t>
        </is>
      </c>
      <c r="ES457" s="53" t="inlineStr">
        <is>
          <t>XBRL taxonomy &amp; regulatory updates; domain/accounting refreshers; quality &amp; accuracy practices; tooling proficiency</t>
        </is>
      </c>
      <c r="ET457" s="53" t="inlineStr">
        <is>
          <t>Transition to leadership: people management &amp; delegation, mentoring/coaching, project ownership &amp; stakeholder management, prioritisation under ambiguity, presentation &amp; influence skills</t>
        </is>
      </c>
      <c r="EU457" s="53" t="inlineStr">
        <is>
          <t>IRIS Instant - MBRS</t>
        </is>
      </c>
      <c r="EV457" s="53" t="n"/>
      <c r="EW457" s="52" t="n"/>
      <c r="EX457" s="53" t="n"/>
      <c r="EY457" s="53" t="n"/>
      <c r="EZ457" s="53" t="n"/>
      <c r="FA457" s="53" t="n"/>
      <c r="FB457" s="53" t="n"/>
      <c r="FC457" s="53" t="n"/>
      <c r="FD457" s="53" t="n"/>
      <c r="FE457" s="57"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FF457" s="56"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FG457" s="56" t="n"/>
      <c r="FH457" s="56" t="inlineStr">
        <is>
          <t>3 – Meets Expectations</t>
        </is>
      </c>
      <c r="FI457" s="56" t="n"/>
      <c r="FJ457" s="56" t="inlineStr">
        <is>
          <t>Received · manager annual, quarterly</t>
        </is>
      </c>
      <c r="FK457" s="56" t="inlineStr">
        <is>
          <t>Talent Mapping · iFile collated</t>
        </is>
      </c>
      <c r="FL457" s="56" t="n">
        <v>20</v>
      </c>
      <c r="FM457" s="32" t="inlineStr">
        <is>
          <t>Full survey answers not in the files received · How We Grow export needed · HR</t>
        </is>
      </c>
      <c r="FN457" s="56" t="inlineStr">
        <is>
          <t>—</t>
        </is>
      </c>
      <c r="FO457" s="56" t="inlineStr">
        <is>
          <t>—</t>
        </is>
      </c>
      <c r="FP457" s="56" t="inlineStr">
        <is>
          <t>—</t>
        </is>
      </c>
      <c r="FQ457" s="56" t="inlineStr">
        <is>
          <t>—</t>
        </is>
      </c>
      <c r="FR457" s="56" t="inlineStr">
        <is>
          <t>Complexity: Evidence reads like A3: Develops XBRL taxonomy sets, supports reporting tool, client clarifications and research; abstract wording → moved down 0.5
Autonomy: Evidence reads like A3: Decides taxonomy set, research and client interaction independently → moved down 0.5
Accountability: Evidence reads like A3: Taxonomy set and reporting tool serving regulator's purpose; project failure and reputation risk → moved down 0.5
Leadership: Evidence reads like A1: Stakeholder coordination only; no guiding of others described → moved down 0.5
Business Impact: No survey or manager-mapping signal on criticality: kept at the start point.</t>
        </is>
      </c>
      <c r="FS457" s="56" t="inlineStr">
        <is>
          <t>Common themes in role-holders' answers: taxonomy
Measured on · manager-set KRA themes: ifile business · analyst contribute · resolve · domain delivery · serve analyst · milestones on-time.</t>
        </is>
      </c>
      <c r="FT457" s="56" t="inlineStr">
        <is>
          <t>Self-identified: Answered · no common topic
For the next role: Answered · no common topic</t>
        </is>
      </c>
      <c r="FU457" s="32" t="inlineStr">
        <is>
          <t>Full survey answers not in the files received · How We Grow export needed · HR</t>
        </is>
      </c>
    </row>
    <row r="458" ht="90" customHeight="1">
      <c r="A458" s="51" t="inlineStr">
        <is>
          <t>◂ Back</t>
        </is>
      </c>
      <c r="B458" s="29" t="inlineStr">
        <is>
          <t>Mapped</t>
        </is>
      </c>
      <c r="C458" s="28" t="inlineStr">
        <is>
          <t>iFile</t>
        </is>
      </c>
      <c r="D458" s="29" t="inlineStr">
        <is>
          <t>IRIS0557</t>
        </is>
      </c>
      <c r="E458" s="29" t="inlineStr">
        <is>
          <t>Shrinidhi Shetty</t>
        </is>
      </c>
      <c r="F458" s="29" t="inlineStr">
        <is>
          <t>XBRL Consulting</t>
        </is>
      </c>
      <c r="G458" s="29" t="inlineStr">
        <is>
          <t>Consultant</t>
        </is>
      </c>
      <c r="H458" s="29" t="inlineStr">
        <is>
          <t>Taxonomy Specialist</t>
        </is>
      </c>
      <c r="I458" s="29" t="inlineStr">
        <is>
          <t>L3 – Professional / Associate</t>
        </is>
      </c>
      <c r="J458" s="29" t="inlineStr">
        <is>
          <t>B1</t>
        </is>
      </c>
      <c r="K458" s="29" t="inlineStr">
        <is>
          <t>▲ Up</t>
        </is>
      </c>
      <c r="L458" s="29" t="inlineStr">
        <is>
          <t>Consulting &amp; Professional Services</t>
        </is>
      </c>
      <c r="M458" s="29" t="inlineStr">
        <is>
          <t>Taxonomy Design &amp; Regulatory Consulting</t>
        </is>
      </c>
      <c r="N458" s="29" t="n"/>
      <c r="O458" s="29" t="n">
        <v>20</v>
      </c>
      <c r="P458" s="28" t="inlineStr">
        <is>
          <t>P3 / M2</t>
        </is>
      </c>
      <c r="Q458" s="29" t="inlineStr">
        <is>
          <t>Career / · Team Lead</t>
        </is>
      </c>
      <c r="R458" s="29" t="inlineStr">
        <is>
          <t>4 Enable</t>
        </is>
      </c>
      <c r="S458" s="29" t="inlineStr">
        <is>
          <t>4–7 yrs</t>
        </is>
      </c>
      <c r="T458" s="29" t="inlineStr">
        <is>
          <t>5–8 · 4–8</t>
        </is>
      </c>
      <c r="U458" s="29" t="inlineStr">
        <is>
          <t>Consultant / Senior Associate</t>
        </is>
      </c>
      <c r="V458" s="29" t="inlineStr">
        <is>
          <t>Big Four: Senior Consultant · IRIS Vs Market Benchmark — XBRL US credential pathway: Certificate + specialist taxonomy</t>
        </is>
      </c>
      <c r="W458" s="29" t="inlineStr">
        <is>
          <t>XBRL US GAAP Certificate · AICPA &amp; XBRL US; XBRL International specifications; IFRS / US GAAP / Ind AS</t>
        </is>
      </c>
      <c r="X458" s="29" t="inlineStr">
        <is>
          <t>Core 3 · Future 3 · Functional 3 · Leadership 1</t>
        </is>
      </c>
      <c r="Y458" s="52" t="n">
        <v>63</v>
      </c>
      <c r="Z458" s="53" t="inlineStr">
        <is>
          <t>IRIS0557</t>
        </is>
      </c>
      <c r="AA458" s="53" t="inlineStr">
        <is>
          <t>Employee</t>
        </is>
      </c>
      <c r="AB458" s="53" t="inlineStr">
        <is>
          <t>Active</t>
        </is>
      </c>
      <c r="AC458" s="53" t="inlineStr">
        <is>
          <t>Shrinidhi Shetty</t>
        </is>
      </c>
      <c r="AD458" s="54" t="n">
        <v>40511</v>
      </c>
      <c r="AE458" s="53" t="inlineStr">
        <is>
          <t>Consultant</t>
        </is>
      </c>
      <c r="AF458" s="53" t="inlineStr">
        <is>
          <t>CA</t>
        </is>
      </c>
      <c r="AG458" s="53" t="inlineStr">
        <is>
          <t>Rahul Dhamne</t>
        </is>
      </c>
      <c r="AH458" s="53" t="inlineStr">
        <is>
          <t>N-2</t>
        </is>
      </c>
      <c r="AI458" s="53" t="inlineStr">
        <is>
          <t>Individual Contributor</t>
        </is>
      </c>
      <c r="AJ458" s="53" t="inlineStr">
        <is>
          <t>0 years, 0 months, 0 days</t>
        </is>
      </c>
      <c r="AK458" s="53" t="inlineStr">
        <is>
          <t>15 years, 8 months, 27 days</t>
        </is>
      </c>
      <c r="AL458" s="53" t="inlineStr">
        <is>
          <t>Suptech</t>
        </is>
      </c>
      <c r="AM458" s="53" t="inlineStr">
        <is>
          <t>iFile</t>
        </is>
      </c>
      <c r="AN458" s="53" t="inlineStr">
        <is>
          <t>XBRL Consulting</t>
        </is>
      </c>
      <c r="AO458" s="53" t="inlineStr">
        <is>
          <t>Consulting</t>
        </is>
      </c>
      <c r="AP458" s="53" t="inlineStr">
        <is>
          <t>No</t>
        </is>
      </c>
      <c r="AQ458" s="53" t="inlineStr">
        <is>
          <t>Professional Services</t>
        </is>
      </c>
      <c r="AR458" s="53" t="inlineStr">
        <is>
          <t>XBRL Domain</t>
        </is>
      </c>
      <c r="AS458" s="53" t="inlineStr">
        <is>
          <t>Non-technical</t>
        </is>
      </c>
      <c r="AT458" s="53" t="n">
        <v>20</v>
      </c>
      <c r="AU458" s="53" t="inlineStr">
        <is>
          <t>Covered</t>
        </is>
      </c>
      <c r="AV458" s="53" t="n"/>
      <c r="AW458" s="53" t="n"/>
      <c r="AX458" s="53" t="n"/>
      <c r="AY458" s="53" t="n"/>
      <c r="AZ458" s="53" t="n"/>
      <c r="BA458" s="53" t="n"/>
      <c r="BB458" s="53" t="n"/>
      <c r="BC458" s="53" t="n"/>
      <c r="BD458" s="53" t="n"/>
      <c r="BE458" s="53" t="n"/>
      <c r="BF458" s="53" t="n"/>
      <c r="BG458" s="53" t="n"/>
      <c r="BH458" s="53" t="n"/>
      <c r="BI458" s="53" t="n"/>
      <c r="BJ458" s="53" t="n"/>
      <c r="BK458" s="53" t="n"/>
      <c r="BL458" s="53" t="n"/>
      <c r="BM458" s="53" t="n"/>
      <c r="BN458" s="53" t="n"/>
      <c r="BO458" s="53" t="n"/>
      <c r="BP458" s="53" t="n"/>
      <c r="BQ458" s="53" t="n"/>
      <c r="BR458" s="53" t="n"/>
      <c r="BS458" s="53" t="n"/>
      <c r="BT458" s="53" t="n"/>
      <c r="BU458" s="53" t="n"/>
      <c r="BV458" s="53" t="n"/>
      <c r="BW458" s="53" t="n"/>
      <c r="BX458" s="53" t="n"/>
      <c r="BY458" s="53" t="n"/>
      <c r="BZ458" s="53" t="n"/>
      <c r="CA458" s="53" t="n"/>
      <c r="CB458" s="53" t="n"/>
      <c r="CC458" s="53" t="n"/>
      <c r="CD458" s="53" t="n"/>
      <c r="CE458" s="53" t="n"/>
      <c r="CF458" s="53" t="n"/>
      <c r="CG458" s="53" t="n"/>
      <c r="CH458" s="53" t="n"/>
      <c r="CI458" s="53" t="n"/>
      <c r="CJ458" s="53" t="n"/>
      <c r="CK458" s="53" t="n"/>
      <c r="CL458" s="53" t="n"/>
      <c r="CM458" s="53" t="n"/>
      <c r="CN458" s="53" t="n"/>
      <c r="CO458" s="53" t="n"/>
      <c r="CP458" s="53" t="n"/>
      <c r="CQ458" s="53" t="n"/>
      <c r="CR458" s="53" t="n"/>
      <c r="CS458" s="53" t="n"/>
      <c r="CT458" s="53" t="n"/>
      <c r="CU458" s="53" t="n"/>
      <c r="CV458" s="53" t="n"/>
      <c r="CW458" s="53" t="n"/>
      <c r="CX458" s="53" t="n"/>
      <c r="CY458" s="53" t="n"/>
      <c r="CZ458" s="53" t="n"/>
      <c r="DA458" s="53" t="n"/>
      <c r="DB458" s="53" t="n"/>
      <c r="DC458" s="53" t="n"/>
      <c r="DD458" s="53" t="inlineStr">
        <is>
          <t>IRIS0557</t>
        </is>
      </c>
      <c r="DE458" s="53" t="inlineStr">
        <is>
          <t>Employee</t>
        </is>
      </c>
      <c r="DF458" s="53" t="inlineStr">
        <is>
          <t>Active</t>
        </is>
      </c>
      <c r="DG458" s="53" t="inlineStr">
        <is>
          <t>Shrinidhi Shetty</t>
        </is>
      </c>
      <c r="DH458" s="54" t="n">
        <v>40511</v>
      </c>
      <c r="DI458" s="53" t="inlineStr">
        <is>
          <t>Consultant</t>
        </is>
      </c>
      <c r="DJ458" s="53" t="inlineStr">
        <is>
          <t>Consulting &amp; Professional Services</t>
        </is>
      </c>
      <c r="DK458" s="53" t="inlineStr">
        <is>
          <t>XBRL / Regulatory Reporting</t>
        </is>
      </c>
      <c r="DL458" s="53" t="inlineStr">
        <is>
          <t>Consultant</t>
        </is>
      </c>
      <c r="DM458" s="53" t="inlineStr">
        <is>
          <t>L3 – Professional / Associate</t>
        </is>
      </c>
      <c r="DN458" s="53" t="inlineStr">
        <is>
          <t>CA</t>
        </is>
      </c>
      <c r="DO458" s="53" t="inlineStr">
        <is>
          <t>Rahul Dhamne</t>
        </is>
      </c>
      <c r="DP458" s="53" t="inlineStr">
        <is>
          <t>N-2</t>
        </is>
      </c>
      <c r="DQ458" s="53" t="inlineStr">
        <is>
          <t>Individual Contributor</t>
        </is>
      </c>
      <c r="DR458" s="53" t="inlineStr">
        <is>
          <t>0 years, 0 months, 0 days</t>
        </is>
      </c>
      <c r="DS458" s="53" t="inlineStr">
        <is>
          <t>15 years, 6 months, 22 days</t>
        </is>
      </c>
      <c r="DT458" s="53" t="inlineStr">
        <is>
          <t>15 years, 6 months, 22 days</t>
        </is>
      </c>
      <c r="DU458" s="53" t="n"/>
      <c r="DV458" s="53" t="inlineStr">
        <is>
          <t>Suptech</t>
        </is>
      </c>
      <c r="DW458" s="53" t="inlineStr">
        <is>
          <t>iFile</t>
        </is>
      </c>
      <c r="DX458" s="53" t="inlineStr">
        <is>
          <t>XBRL Consulting</t>
        </is>
      </c>
      <c r="DY458" s="53" t="inlineStr">
        <is>
          <t>Consulting</t>
        </is>
      </c>
      <c r="DZ458" s="53" t="inlineStr">
        <is>
          <t>No</t>
        </is>
      </c>
      <c r="EA458" s="53" t="inlineStr">
        <is>
          <t>Professional Services</t>
        </is>
      </c>
      <c r="EB458" s="53" t="inlineStr">
        <is>
          <t>XBRL Domain</t>
        </is>
      </c>
      <c r="EC458" s="53" t="inlineStr">
        <is>
          <t>Non-technical</t>
        </is>
      </c>
      <c r="ED458" s="53" t="inlineStr">
        <is>
          <t>Remote - Mumbai</t>
        </is>
      </c>
      <c r="EE458" s="53" t="n"/>
      <c r="EF458" s="53"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EG458" s="53"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EH458" s="53" t="inlineStr">
        <is>
          <t>2 – Needs improvement</t>
        </is>
      </c>
      <c r="EI458" s="53" t="inlineStr">
        <is>
          <t>Last appraisal in Oct 2025</t>
        </is>
      </c>
      <c r="EJ458" s="53" t="inlineStr">
        <is>
          <t>Consultant</t>
        </is>
      </c>
      <c r="EK458" s="53" t="inlineStr">
        <is>
          <t>No change</t>
        </is>
      </c>
      <c r="EL458" s="53" t="n">
        <v>3</v>
      </c>
      <c r="EM458" s="53" t="inlineStr">
        <is>
          <t>Low</t>
        </is>
      </c>
      <c r="EN458" s="53" t="inlineStr">
        <is>
          <t>Misplaced Talent / Enigma</t>
        </is>
      </c>
      <c r="EO458" s="53" t="n"/>
      <c r="EP458" s="53" t="inlineStr">
        <is>
          <t>No</t>
        </is>
      </c>
      <c r="EQ458" s="53" t="n"/>
      <c r="ER458" s="53" t="inlineStr">
        <is>
          <t>To be identified</t>
        </is>
      </c>
      <c r="ES458" s="53" t="inlineStr">
        <is>
          <t>XBRL taxonomy &amp; regulatory updates; domain/accounting refreshers; quality &amp; accuracy practices; tooling proficiency</t>
        </is>
      </c>
      <c r="ET458" s="53" t="inlineStr">
        <is>
          <t>Transition to leadership: people management &amp; delegation, mentoring/coaching, project ownership &amp; stakeholder management, prioritisation under ambiguity, presentation &amp; influence skills</t>
        </is>
      </c>
      <c r="EU458" s="53" t="inlineStr">
        <is>
          <t>QFCRA</t>
        </is>
      </c>
      <c r="EV458" s="53" t="n"/>
      <c r="EW458" s="52" t="n"/>
      <c r="EX458" s="53" t="n"/>
      <c r="EY458" s="53" t="n"/>
      <c r="EZ458" s="53" t="n"/>
      <c r="FA458" s="53" t="n"/>
      <c r="FB458" s="53" t="n"/>
      <c r="FC458" s="53" t="n"/>
      <c r="FD458" s="53" t="n"/>
      <c r="FE458" s="57"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FF458" s="56"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FG458" s="56" t="n"/>
      <c r="FH458" s="56" t="inlineStr">
        <is>
          <t>2 – Needs improvement</t>
        </is>
      </c>
      <c r="FI458" s="56" t="n"/>
      <c r="FJ458" s="56" t="inlineStr">
        <is>
          <t>Received · manager annual, quarterly</t>
        </is>
      </c>
      <c r="FK458" s="56" t="inlineStr">
        <is>
          <t>Talent Mapping · iFile collated</t>
        </is>
      </c>
      <c r="FL458" s="56" t="n">
        <v>20</v>
      </c>
      <c r="FM458" s="32" t="inlineStr">
        <is>
          <t>Full survey answers not in the files received · How We Grow export needed · HR</t>
        </is>
      </c>
      <c r="FN458" s="56" t="inlineStr">
        <is>
          <t>—</t>
        </is>
      </c>
      <c r="FO458" s="56" t="inlineStr">
        <is>
          <t>—</t>
        </is>
      </c>
      <c r="FP458" s="56" t="inlineStr">
        <is>
          <t>—</t>
        </is>
      </c>
      <c r="FQ458" s="56" t="inlineStr">
        <is>
          <t>—</t>
        </is>
      </c>
      <c r="FR458" s="56" t="inlineStr">
        <is>
          <t>Complexity: Evidence reads like B1: XBRL SME: analyses spec updates, builds taxonomies and SRS, supports Bushchat formulas, builds automation tools → moved up 0.5
Autonomy: Evidence reads like A3: Decides XBRL spec analysis and updates; judges when to ask rather than guess → matches the start
Accountability: Evidence reads like A3: XBRL taxonomy for regulators; errors delay other teams and can trigger contract penalties → matches the start
Leadership: Evidence reads like A3: Training peers is a listed responsibility → moved up 0.5
Business Impact: No survey or manager-mapping signal on criticality: kept at the start point.</t>
        </is>
      </c>
      <c r="FS458" s="56" t="inlineStr">
        <is>
          <t>Common themes in role-holders' answers: xbrl · financial · taxonomies · requirements · regulators
Common themes in role-holders' answers: taxonomy development · training · client · requirement · support
Common themes in role-holders' answers: taxonomy · xbrl
If the work is missed · role-holders' themes: rework.
Measured on · manager-set KRA themes: resolve · business · excel webform · deliver assigned · defect · critical.</t>
        </is>
      </c>
      <c r="FT458" s="56" t="inlineStr">
        <is>
          <t>Self-identified: AI / automation · Technical depth &amp; architecture · Data, SQL &amp; analytics · Domain, regulatory &amp; XBRL · Certification / formal course
For the next role: AI / automation · Technical depth &amp; architecture · Data, SQL &amp; analytics · Domain, regulatory &amp; XBRL · Certification / formal course</t>
        </is>
      </c>
      <c r="FU458" s="32" t="inlineStr">
        <is>
          <t>Full survey answers not in the files received · How We Grow export needed · HR</t>
        </is>
      </c>
    </row>
    <row r="459" ht="90" customHeight="1">
      <c r="A459" s="51" t="inlineStr">
        <is>
          <t>◂ Back</t>
        </is>
      </c>
      <c r="B459" s="29" t="inlineStr">
        <is>
          <t>Mapped</t>
        </is>
      </c>
      <c r="C459" s="28" t="inlineStr">
        <is>
          <t>iFile</t>
        </is>
      </c>
      <c r="D459" s="29" t="inlineStr">
        <is>
          <t>IRIS2045</t>
        </is>
      </c>
      <c r="E459" s="29" t="inlineStr">
        <is>
          <t>Bhagyashree Kamble</t>
        </is>
      </c>
      <c r="F459" s="29" t="inlineStr">
        <is>
          <t>XBRL Consulting</t>
        </is>
      </c>
      <c r="G459" s="29" t="inlineStr">
        <is>
          <t>Analyst</t>
        </is>
      </c>
      <c r="H459" s="29" t="inlineStr">
        <is>
          <t>Senior Taxonomy Analyst</t>
        </is>
      </c>
      <c r="I459" s="29" t="inlineStr">
        <is>
          <t>L3 – Professional / Associate</t>
        </is>
      </c>
      <c r="J459" s="29" t="inlineStr">
        <is>
          <t>A3</t>
        </is>
      </c>
      <c r="K459" s="29" t="inlineStr">
        <is>
          <t>▲ Up</t>
        </is>
      </c>
      <c r="L459" s="29" t="inlineStr">
        <is>
          <t>Consulting &amp; Professional Services</t>
        </is>
      </c>
      <c r="M459" s="29" t="inlineStr">
        <is>
          <t>Taxonomy Design &amp; Regulatory Consulting</t>
        </is>
      </c>
      <c r="N459" s="29" t="inlineStr">
        <is>
          <t>• Correct the experience record — HR</t>
        </is>
      </c>
      <c r="O459" s="29" t="n">
        <v>20</v>
      </c>
      <c r="P459" s="28" t="inlineStr">
        <is>
          <t>P2</t>
        </is>
      </c>
      <c r="Q459" s="29" t="inlineStr">
        <is>
          <t>Developing</t>
        </is>
      </c>
      <c r="R459" s="29" t="inlineStr">
        <is>
          <t>3 Apply</t>
        </is>
      </c>
      <c r="S459" s="29" t="inlineStr">
        <is>
          <t>2–4 yrs</t>
        </is>
      </c>
      <c r="T459" s="29" t="inlineStr">
        <is>
          <t>3–5 · 2–5</t>
        </is>
      </c>
      <c r="U459" s="29" t="inlineStr">
        <is>
          <t>Senior Analyst / Associate</t>
        </is>
      </c>
      <c r="V459" s="29" t="inlineStr">
        <is>
          <t>DataTracks: Senior Associate · 2–5 yrs · Big Four: Consultant · IRIS Vs Market Benchmark — XBRL US credential pathway: XBRL US GAAP Certificate</t>
        </is>
      </c>
      <c r="W459" s="29" t="inlineStr">
        <is>
          <t>XBRL US GAAP Certificate · AICPA &amp; XBRL US; XBRL International specifications; IFRS / US GAAP / Ind AS</t>
        </is>
      </c>
      <c r="X459" s="29" t="inlineStr">
        <is>
          <t>Core 2 · Future 2 · Functional 3 · Leadership not scored</t>
        </is>
      </c>
      <c r="Y459" s="52" t="n">
        <v>231</v>
      </c>
      <c r="Z459" s="53" t="inlineStr">
        <is>
          <t>IRIS2045</t>
        </is>
      </c>
      <c r="AA459" s="53" t="inlineStr">
        <is>
          <t>Employee</t>
        </is>
      </c>
      <c r="AB459" s="53" t="inlineStr">
        <is>
          <t>Active</t>
        </is>
      </c>
      <c r="AC459" s="53" t="inlineStr">
        <is>
          <t>Bhagyashree Kamble</t>
        </is>
      </c>
      <c r="AD459" s="54" t="n">
        <v>44763</v>
      </c>
      <c r="AE459" s="53" t="inlineStr">
        <is>
          <t>Analyst</t>
        </is>
      </c>
      <c r="AF459" s="53" t="inlineStr">
        <is>
          <t>B.Com</t>
        </is>
      </c>
      <c r="AG459" s="53" t="inlineStr">
        <is>
          <t>Rahul Dhamne</t>
        </is>
      </c>
      <c r="AH459" s="53" t="inlineStr">
        <is>
          <t>N-2</t>
        </is>
      </c>
      <c r="AI459" s="53" t="inlineStr">
        <is>
          <t>Individual Contributor</t>
        </is>
      </c>
      <c r="AJ459" s="53" t="inlineStr">
        <is>
          <t>1 years, 4 months, 0 days</t>
        </is>
      </c>
      <c r="AK459" s="53" t="inlineStr">
        <is>
          <t>4 years, 1 months, 4 days</t>
        </is>
      </c>
      <c r="AL459" s="53" t="inlineStr">
        <is>
          <t>Suptech</t>
        </is>
      </c>
      <c r="AM459" s="53" t="inlineStr">
        <is>
          <t>iFile</t>
        </is>
      </c>
      <c r="AN459" s="53" t="inlineStr">
        <is>
          <t>XBRL Consulting</t>
        </is>
      </c>
      <c r="AO459" s="53" t="inlineStr">
        <is>
          <t>Consulting</t>
        </is>
      </c>
      <c r="AP459" s="53" t="inlineStr">
        <is>
          <t>No</t>
        </is>
      </c>
      <c r="AQ459" s="53" t="inlineStr">
        <is>
          <t>Professional Services</t>
        </is>
      </c>
      <c r="AR459" s="53" t="inlineStr">
        <is>
          <t>XBRL Domain</t>
        </is>
      </c>
      <c r="AS459" s="53" t="inlineStr">
        <is>
          <t>Non-technical</t>
        </is>
      </c>
      <c r="AT459" s="53" t="n">
        <v>20</v>
      </c>
      <c r="AU459" s="53" t="inlineStr">
        <is>
          <t>Covered</t>
        </is>
      </c>
      <c r="AV459" s="53" t="n"/>
      <c r="AW459" s="53" t="n"/>
      <c r="AX459" s="53" t="n"/>
      <c r="AY459" s="53" t="n"/>
      <c r="AZ459" s="53" t="n"/>
      <c r="BA459" s="53" t="n"/>
      <c r="BB459" s="53" t="n"/>
      <c r="BC459" s="53" t="n"/>
      <c r="BD459" s="53" t="n"/>
      <c r="BE459" s="53" t="n"/>
      <c r="BF459" s="53" t="n"/>
      <c r="BG459" s="53" t="n"/>
      <c r="BH459" s="53" t="n"/>
      <c r="BI459" s="53" t="n"/>
      <c r="BJ459" s="53" t="n"/>
      <c r="BK459" s="53" t="n"/>
      <c r="BL459" s="53" t="n"/>
      <c r="BM459" s="53" t="n"/>
      <c r="BN459" s="53" t="n"/>
      <c r="BO459" s="53" t="n"/>
      <c r="BP459" s="53" t="n"/>
      <c r="BQ459" s="53" t="n"/>
      <c r="BR459" s="53" t="n"/>
      <c r="BS459" s="53" t="n"/>
      <c r="BT459" s="53" t="n"/>
      <c r="BU459" s="53" t="n"/>
      <c r="BV459" s="53" t="n"/>
      <c r="BW459" s="53" t="n"/>
      <c r="BX459" s="53" t="n"/>
      <c r="BY459" s="53" t="n"/>
      <c r="BZ459" s="53" t="n"/>
      <c r="CA459" s="53" t="n"/>
      <c r="CB459" s="53" t="n"/>
      <c r="CC459" s="53" t="n"/>
      <c r="CD459" s="53" t="n"/>
      <c r="CE459" s="53" t="n"/>
      <c r="CF459" s="53" t="n"/>
      <c r="CG459" s="53" t="n"/>
      <c r="CH459" s="53" t="n"/>
      <c r="CI459" s="53" t="n"/>
      <c r="CJ459" s="53" t="n"/>
      <c r="CK459" s="53" t="n"/>
      <c r="CL459" s="53" t="n"/>
      <c r="CM459" s="53" t="n"/>
      <c r="CN459" s="53" t="n"/>
      <c r="CO459" s="53" t="n"/>
      <c r="CP459" s="53" t="n"/>
      <c r="CQ459" s="53" t="n"/>
      <c r="CR459" s="53" t="n"/>
      <c r="CS459" s="53" t="n"/>
      <c r="CT459" s="53" t="n"/>
      <c r="CU459" s="53" t="n"/>
      <c r="CV459" s="53" t="n"/>
      <c r="CW459" s="53" t="n"/>
      <c r="CX459" s="53" t="n"/>
      <c r="CY459" s="53" t="n"/>
      <c r="CZ459" s="53" t="n"/>
      <c r="DA459" s="53" t="n"/>
      <c r="DB459" s="53" t="n"/>
      <c r="DC459" s="53" t="n"/>
      <c r="DD459" s="53" t="inlineStr">
        <is>
          <t>IRIS2045</t>
        </is>
      </c>
      <c r="DE459" s="53" t="inlineStr">
        <is>
          <t>Employee</t>
        </is>
      </c>
      <c r="DF459" s="53" t="inlineStr">
        <is>
          <t>Active</t>
        </is>
      </c>
      <c r="DG459" s="53" t="inlineStr">
        <is>
          <t>Bhagyashree Kamble</t>
        </is>
      </c>
      <c r="DH459" s="54" t="n">
        <v>44763</v>
      </c>
      <c r="DI459" s="53" t="inlineStr">
        <is>
          <t>Analyst</t>
        </is>
      </c>
      <c r="DJ459" s="53" t="inlineStr">
        <is>
          <t>Consulting &amp; Professional Services</t>
        </is>
      </c>
      <c r="DK459" s="53" t="inlineStr">
        <is>
          <t>XBRL / Regulatory Reporting</t>
        </is>
      </c>
      <c r="DL459" s="53" t="inlineStr">
        <is>
          <t>Analyst</t>
        </is>
      </c>
      <c r="DM459" s="53" t="inlineStr">
        <is>
          <t>L3 – Professional / Associate</t>
        </is>
      </c>
      <c r="DN459" s="53" t="inlineStr">
        <is>
          <t>B.Com</t>
        </is>
      </c>
      <c r="DO459" s="53" t="inlineStr">
        <is>
          <t>Jayshree Margi</t>
        </is>
      </c>
      <c r="DP459" s="53" t="inlineStr">
        <is>
          <t>N-3</t>
        </is>
      </c>
      <c r="DQ459" s="53" t="inlineStr">
        <is>
          <t>Individual Contributor</t>
        </is>
      </c>
      <c r="DR459" s="53" t="inlineStr">
        <is>
          <t>1 years, 4 months, 0 days</t>
        </is>
      </c>
      <c r="DS459" s="53" t="inlineStr">
        <is>
          <t>3 years, 10 months, 30 days</t>
        </is>
      </c>
      <c r="DT459" s="53" t="inlineStr">
        <is>
          <t>5 years, 2 months, 30 days</t>
        </is>
      </c>
      <c r="DU459" s="53" t="n"/>
      <c r="DV459" s="53" t="inlineStr">
        <is>
          <t>Suptech</t>
        </is>
      </c>
      <c r="DW459" s="53" t="inlineStr">
        <is>
          <t>iFile</t>
        </is>
      </c>
      <c r="DX459" s="53" t="inlineStr">
        <is>
          <t>XBRL Consulting</t>
        </is>
      </c>
      <c r="DY459" s="53" t="inlineStr">
        <is>
          <t>Consulting</t>
        </is>
      </c>
      <c r="DZ459" s="53" t="inlineStr">
        <is>
          <t>No</t>
        </is>
      </c>
      <c r="EA459" s="53" t="inlineStr">
        <is>
          <t>Professional Services</t>
        </is>
      </c>
      <c r="EB459" s="53" t="inlineStr">
        <is>
          <t>XBRL Domain</t>
        </is>
      </c>
      <c r="EC459" s="53" t="inlineStr">
        <is>
          <t>Non-technical</t>
        </is>
      </c>
      <c r="ED459" s="53" t="inlineStr">
        <is>
          <t>Remote - Mumbai</t>
        </is>
      </c>
      <c r="EE459" s="53" t="n"/>
      <c r="EF459" s="53"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EG459" s="53" t="inlineStr">
        <is>
          <t>1. Complete Q1 taxonomy build/test tasks on schedule · &gt;=95% on-time.
2. Close assigned iFILE support tickets within SLA.
3. Finish Q1 Excel/Webform test cycles with defect leakage &lt;2%.</t>
        </is>
      </c>
      <c r="EH459" s="53" t="inlineStr">
        <is>
          <t>3 – Meets Expectations</t>
        </is>
      </c>
      <c r="EI459" s="53" t="inlineStr">
        <is>
          <t>Last appraisal in Oct 2025</t>
        </is>
      </c>
      <c r="EJ459" s="53" t="inlineStr">
        <is>
          <t>Analyst</t>
        </is>
      </c>
      <c r="EK459" s="53" t="inlineStr">
        <is>
          <t>No change</t>
        </is>
      </c>
      <c r="EL459" s="53" t="n">
        <v>2</v>
      </c>
      <c r="EM459" s="53" t="inlineStr">
        <is>
          <t>Medium</t>
        </is>
      </c>
      <c r="EN459" s="53" t="inlineStr">
        <is>
          <t>Reliable Specialist</t>
        </is>
      </c>
      <c r="EO459" s="53" t="n"/>
      <c r="EP459" s="53" t="inlineStr">
        <is>
          <t>No</t>
        </is>
      </c>
      <c r="EQ459" s="53" t="n"/>
      <c r="ER459" s="53" t="inlineStr">
        <is>
          <t>To be identified</t>
        </is>
      </c>
      <c r="ES459" s="53" t="inlineStr">
        <is>
          <t>XBRL taxonomy &amp; regulatory updates; domain/accounting refreshers; quality &amp; accuracy practices; tooling proficiency</t>
        </is>
      </c>
      <c r="ET459" s="53" t="inlineStr">
        <is>
          <t>Transition to leadership: people management &amp; delegation, mentoring/coaching, project ownership &amp; stakeholder management, prioritisation under ambiguity, presentation &amp; influence skills</t>
        </is>
      </c>
      <c r="EU459" s="53" t="n"/>
      <c r="EV459" s="53" t="n"/>
      <c r="EW459" s="52" t="n"/>
      <c r="EX459" s="53" t="n"/>
      <c r="EY459" s="53" t="n"/>
      <c r="EZ459" s="53" t="n"/>
      <c r="FA459" s="53" t="n"/>
      <c r="FB459" s="53" t="n"/>
      <c r="FC459" s="53" t="n"/>
      <c r="FD459" s="53" t="n"/>
      <c r="FE459" s="57"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FF459" s="56" t="inlineStr">
        <is>
          <t>1. Complete Q1 taxonomy build/test tasks on schedule · &gt;=95% on-time.
2. Close assigned iFILE support tickets within SLA · &gt;=90%.
3. Finish Q1 Excel/Webform test cycles with defect leakage &lt;2%.</t>
        </is>
      </c>
      <c r="FG459" s="56" t="n"/>
      <c r="FH459" s="56" t="inlineStr">
        <is>
          <t>3 – Meets Expectations</t>
        </is>
      </c>
      <c r="FI459" s="56" t="n"/>
      <c r="FJ459" s="56" t="inlineStr">
        <is>
          <t>Received · manager annual, quarterly</t>
        </is>
      </c>
      <c r="FK459" s="56" t="inlineStr">
        <is>
          <t>Talent Mapping · iFile collated</t>
        </is>
      </c>
      <c r="FL459" s="56" t="n">
        <v>20</v>
      </c>
      <c r="FM459" s="32" t="inlineStr">
        <is>
          <t>Full survey answers not in the files received · How We Grow export needed · HR</t>
        </is>
      </c>
      <c r="FN459" s="56" t="inlineStr">
        <is>
          <t>—</t>
        </is>
      </c>
      <c r="FO459" s="56" t="inlineStr">
        <is>
          <t>—</t>
        </is>
      </c>
      <c r="FP459" s="56" t="inlineStr">
        <is>
          <t>—</t>
        </is>
      </c>
      <c r="FQ459" s="56" t="inlineStr">
        <is>
          <t>—</t>
        </is>
      </c>
      <c r="FR459" s="56" t="inlineStr">
        <is>
          <t>Complexity: Evidence reads like A3: Taxonomy development and validation-rule development, mapping client data to XBRL standards → moved up 0.5
Autonomy: Evidence reads like A2: Only creating validations named → matches the start
Accountability: Evidence reads like A2: Validation rules and client support for taxonomy → matches the start
Leadership: Evidence reads like A1: None described → matches the start
Business Impact: No survey or manager-mapping signal on criticality: kept at the start point.</t>
        </is>
      </c>
      <c r="FS459" s="56" t="inlineStr">
        <is>
          <t>Common themes in role-holders' answers: taxonomy · xbrl · client · data · convert · consultant
Common themes in role-holders' answers: client · testing · taxonomy · requirement · support · development
Common themes in role-holders' answers: taxonomy · xbrl · output · structured
Common themes in role-holders' answers: taxonomy · development · testing · tagging · quality · creation
Common themes in role-holders' answers: testing · formula · validations · tagging · creation · taxonomy
If the work is missed · role-holders' themes: rework · client · escalation · retesting · time.
Measured on · manager-set KRA themes: resolve · defect · deliver · complete · modules · testing.</t>
        </is>
      </c>
      <c r="FT459" s="56" t="inlineStr">
        <is>
          <t>Self-identified: AI / automation · Domain, regulatory &amp; XBRL · Certification / formal course
For the next role: AI / automation · Domain, regulatory &amp; XBRL · Certification / formal course</t>
        </is>
      </c>
      <c r="FU459" s="32" t="inlineStr">
        <is>
          <t>Full survey answers not in the files received · How We Grow export needed · HR</t>
        </is>
      </c>
    </row>
    <row r="460" ht="90" customHeight="1">
      <c r="A460" s="51" t="inlineStr">
        <is>
          <t>◂ Back</t>
        </is>
      </c>
      <c r="B460" s="29" t="inlineStr">
        <is>
          <t>Mapped</t>
        </is>
      </c>
      <c r="C460" s="28" t="inlineStr">
        <is>
          <t>iFile</t>
        </is>
      </c>
      <c r="D460" s="29" t="inlineStr">
        <is>
          <t>IRIS0617</t>
        </is>
      </c>
      <c r="E460" s="29" t="inlineStr">
        <is>
          <t>Bhakti Gosavi</t>
        </is>
      </c>
      <c r="F460" s="29" t="inlineStr">
        <is>
          <t>XBRL Consulting</t>
        </is>
      </c>
      <c r="G460" s="29" t="inlineStr">
        <is>
          <t>Analyst</t>
        </is>
      </c>
      <c r="H460" s="29" t="inlineStr">
        <is>
          <t>Senior Taxonomy Analyst</t>
        </is>
      </c>
      <c r="I460" s="29" t="inlineStr">
        <is>
          <t>L3 – Professional / Associate</t>
        </is>
      </c>
      <c r="J460" s="29" t="inlineStr">
        <is>
          <t>A3</t>
        </is>
      </c>
      <c r="K460" s="29" t="inlineStr">
        <is>
          <t>▲ Up</t>
        </is>
      </c>
      <c r="L460" s="29" t="inlineStr">
        <is>
          <t>Consulting &amp; Professional Services</t>
        </is>
      </c>
      <c r="M460" s="29" t="inlineStr">
        <is>
          <t>Taxonomy Design &amp; Regulatory Consulting</t>
        </is>
      </c>
      <c r="N460" s="29" t="n"/>
      <c r="O460" s="29" t="n">
        <v>20</v>
      </c>
      <c r="P460" s="28" t="inlineStr">
        <is>
          <t>P2</t>
        </is>
      </c>
      <c r="Q460" s="29" t="inlineStr">
        <is>
          <t>Developing</t>
        </is>
      </c>
      <c r="R460" s="29" t="inlineStr">
        <is>
          <t>3 Apply</t>
        </is>
      </c>
      <c r="S460" s="29" t="inlineStr">
        <is>
          <t>2–4 yrs</t>
        </is>
      </c>
      <c r="T460" s="29" t="inlineStr">
        <is>
          <t>3–5 · 2–5</t>
        </is>
      </c>
      <c r="U460" s="29" t="inlineStr">
        <is>
          <t>Senior Analyst / Associate</t>
        </is>
      </c>
      <c r="V460" s="29" t="inlineStr">
        <is>
          <t>DataTracks: Senior Associate · 2–5 yrs · Big Four: Consultant · IRIS Vs Market Benchmark — XBRL US credential pathway: XBRL US GAAP Certificate</t>
        </is>
      </c>
      <c r="W460" s="29" t="inlineStr">
        <is>
          <t>XBRL US GAAP Certificate · AICPA &amp; XBRL US; XBRL International specifications; IFRS / US GAAP / Ind AS</t>
        </is>
      </c>
      <c r="X460" s="29" t="inlineStr">
        <is>
          <t>Core 2 · Future 2 · Functional 3 · Leadership not scored</t>
        </is>
      </c>
      <c r="Y460" s="52" t="n">
        <v>81</v>
      </c>
      <c r="Z460" s="53" t="inlineStr">
        <is>
          <t>IRIS0617</t>
        </is>
      </c>
      <c r="AA460" s="53" t="inlineStr">
        <is>
          <t>Employee</t>
        </is>
      </c>
      <c r="AB460" s="53" t="inlineStr">
        <is>
          <t>Active</t>
        </is>
      </c>
      <c r="AC460" s="53" t="inlineStr">
        <is>
          <t>Bhakti Gosavi</t>
        </is>
      </c>
      <c r="AD460" s="54" t="n">
        <v>40665</v>
      </c>
      <c r="AE460" s="53" t="inlineStr">
        <is>
          <t>Analyst</t>
        </is>
      </c>
      <c r="AF460" s="53" t="inlineStr">
        <is>
          <t>M.Com</t>
        </is>
      </c>
      <c r="AG460" s="53" t="inlineStr">
        <is>
          <t>Rahul Dhamne</t>
        </is>
      </c>
      <c r="AH460" s="53" t="inlineStr">
        <is>
          <t>N-2</t>
        </is>
      </c>
      <c r="AI460" s="53" t="inlineStr">
        <is>
          <t>Individual Contributor</t>
        </is>
      </c>
      <c r="AJ460" s="53" t="inlineStr">
        <is>
          <t>0 years, 0 months, 0 days</t>
        </is>
      </c>
      <c r="AK460" s="53" t="inlineStr">
        <is>
          <t>15 years, 3 months, 23 days</t>
        </is>
      </c>
      <c r="AL460" s="53" t="inlineStr">
        <is>
          <t>Suptech</t>
        </is>
      </c>
      <c r="AM460" s="53" t="inlineStr">
        <is>
          <t>iFile</t>
        </is>
      </c>
      <c r="AN460" s="53" t="inlineStr">
        <is>
          <t>XBRL Consulting</t>
        </is>
      </c>
      <c r="AO460" s="53" t="inlineStr">
        <is>
          <t>Consulting</t>
        </is>
      </c>
      <c r="AP460" s="53" t="inlineStr">
        <is>
          <t>No</t>
        </is>
      </c>
      <c r="AQ460" s="53" t="inlineStr">
        <is>
          <t>Professional Services</t>
        </is>
      </c>
      <c r="AR460" s="53" t="inlineStr">
        <is>
          <t>XBRL Domain</t>
        </is>
      </c>
      <c r="AS460" s="53" t="inlineStr">
        <is>
          <t>Non-technical</t>
        </is>
      </c>
      <c r="AT460" s="53" t="n">
        <v>20</v>
      </c>
      <c r="AU460" s="53" t="inlineStr">
        <is>
          <t>Covered</t>
        </is>
      </c>
      <c r="AV460" s="53" t="n"/>
      <c r="AW460" s="53" t="n"/>
      <c r="AX460" s="53" t="n"/>
      <c r="AY460" s="53" t="n"/>
      <c r="AZ460" s="53" t="n"/>
      <c r="BA460" s="53" t="n"/>
      <c r="BB460" s="53" t="n"/>
      <c r="BC460" s="53" t="n"/>
      <c r="BD460" s="53" t="n"/>
      <c r="BE460" s="53" t="n"/>
      <c r="BF460" s="53" t="n"/>
      <c r="BG460" s="53" t="n"/>
      <c r="BH460" s="53" t="n"/>
      <c r="BI460" s="53" t="n"/>
      <c r="BJ460" s="53" t="n"/>
      <c r="BK460" s="53" t="n"/>
      <c r="BL460" s="53" t="n"/>
      <c r="BM460" s="53" t="n"/>
      <c r="BN460" s="53" t="n"/>
      <c r="BO460" s="53" t="n"/>
      <c r="BP460" s="53" t="n"/>
      <c r="BQ460" s="53" t="n"/>
      <c r="BR460" s="53" t="n"/>
      <c r="BS460" s="53" t="n"/>
      <c r="BT460" s="53" t="n"/>
      <c r="BU460" s="53" t="n"/>
      <c r="BV460" s="53" t="n"/>
      <c r="BW460" s="53" t="n"/>
      <c r="BX460" s="53" t="n"/>
      <c r="BY460" s="53" t="n"/>
      <c r="BZ460" s="53" t="n"/>
      <c r="CA460" s="53" t="n"/>
      <c r="CB460" s="53" t="n"/>
      <c r="CC460" s="53" t="n"/>
      <c r="CD460" s="53" t="n"/>
      <c r="CE460" s="53" t="n"/>
      <c r="CF460" s="53" t="n"/>
      <c r="CG460" s="53" t="n"/>
      <c r="CH460" s="53" t="n"/>
      <c r="CI460" s="53" t="n"/>
      <c r="CJ460" s="53" t="n"/>
      <c r="CK460" s="53" t="n"/>
      <c r="CL460" s="53" t="n"/>
      <c r="CM460" s="53" t="n"/>
      <c r="CN460" s="53" t="n"/>
      <c r="CO460" s="53" t="n"/>
      <c r="CP460" s="53" t="n"/>
      <c r="CQ460" s="53" t="n"/>
      <c r="CR460" s="53" t="n"/>
      <c r="CS460" s="53" t="n"/>
      <c r="CT460" s="53" t="n"/>
      <c r="CU460" s="53" t="n"/>
      <c r="CV460" s="53" t="n"/>
      <c r="CW460" s="53" t="n"/>
      <c r="CX460" s="53" t="n"/>
      <c r="CY460" s="53" t="n"/>
      <c r="CZ460" s="53" t="n"/>
      <c r="DA460" s="53" t="n"/>
      <c r="DB460" s="53" t="n"/>
      <c r="DC460" s="53" t="n"/>
      <c r="DD460" s="53" t="inlineStr">
        <is>
          <t>IRIS0617</t>
        </is>
      </c>
      <c r="DE460" s="53" t="inlineStr">
        <is>
          <t>Employee</t>
        </is>
      </c>
      <c r="DF460" s="53" t="inlineStr">
        <is>
          <t>Active</t>
        </is>
      </c>
      <c r="DG460" s="53" t="inlineStr">
        <is>
          <t>Bhakti Gosavi</t>
        </is>
      </c>
      <c r="DH460" s="54" t="n">
        <v>40665</v>
      </c>
      <c r="DI460" s="53" t="inlineStr">
        <is>
          <t>Analyst</t>
        </is>
      </c>
      <c r="DJ460" s="53" t="inlineStr">
        <is>
          <t>Consulting &amp; Professional Services</t>
        </is>
      </c>
      <c r="DK460" s="53" t="inlineStr">
        <is>
          <t>XBRL / Regulatory Reporting</t>
        </is>
      </c>
      <c r="DL460" s="53" t="inlineStr">
        <is>
          <t>Analyst</t>
        </is>
      </c>
      <c r="DM460" s="53" t="inlineStr">
        <is>
          <t>L3 – Professional / Associate</t>
        </is>
      </c>
      <c r="DN460" s="53" t="inlineStr">
        <is>
          <t>M.Com</t>
        </is>
      </c>
      <c r="DO460" s="53" t="inlineStr">
        <is>
          <t>Jayshree Margi</t>
        </is>
      </c>
      <c r="DP460" s="53" t="inlineStr">
        <is>
          <t>N-3</t>
        </is>
      </c>
      <c r="DQ460" s="53" t="inlineStr">
        <is>
          <t>Individual Contributor</t>
        </is>
      </c>
      <c r="DR460" s="53" t="inlineStr">
        <is>
          <t>0 years, 0 months, 0 days</t>
        </is>
      </c>
      <c r="DS460" s="53" t="inlineStr">
        <is>
          <t>15 years, 1 months, 18 days</t>
        </is>
      </c>
      <c r="DT460" s="53" t="inlineStr">
        <is>
          <t>15 years, 1 months, 18 days</t>
        </is>
      </c>
      <c r="DU460" s="53" t="n"/>
      <c r="DV460" s="53" t="inlineStr">
        <is>
          <t>Suptech</t>
        </is>
      </c>
      <c r="DW460" s="53" t="inlineStr">
        <is>
          <t>iFile</t>
        </is>
      </c>
      <c r="DX460" s="53" t="inlineStr">
        <is>
          <t>XBRL Consulting</t>
        </is>
      </c>
      <c r="DY460" s="53" t="inlineStr">
        <is>
          <t>Consulting</t>
        </is>
      </c>
      <c r="DZ460" s="53" t="inlineStr">
        <is>
          <t>No</t>
        </is>
      </c>
      <c r="EA460" s="53" t="inlineStr">
        <is>
          <t>Professional Services</t>
        </is>
      </c>
      <c r="EB460" s="53" t="inlineStr">
        <is>
          <t>XBRL Domain</t>
        </is>
      </c>
      <c r="EC460" s="53" t="inlineStr">
        <is>
          <t>Non-technical</t>
        </is>
      </c>
      <c r="ED460" s="53" t="inlineStr">
        <is>
          <t>Work From Office - Turbhe</t>
        </is>
      </c>
      <c r="EE460" s="53" t="n"/>
      <c r="EF460" s="53"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EG460" s="53" t="inlineStr">
        <is>
          <t>1. Complete Q1 taxonomy build/test tasks on schedule · &gt;=95% on-time.
2. Close assigned iFILE support tickets within SLA.
3. Finish Q1 Excel/Webform test cycles with defect leakage &lt;2%.</t>
        </is>
      </c>
      <c r="EH460" s="53" t="inlineStr">
        <is>
          <t>3 – Meets Expectations</t>
        </is>
      </c>
      <c r="EI460" s="53" t="inlineStr">
        <is>
          <t>Last appraisal in Oct 2025</t>
        </is>
      </c>
      <c r="EJ460" s="53" t="inlineStr">
        <is>
          <t>Analyst</t>
        </is>
      </c>
      <c r="EK460" s="53" t="inlineStr">
        <is>
          <t>No change</t>
        </is>
      </c>
      <c r="EL460" s="53" t="n">
        <v>2</v>
      </c>
      <c r="EM460" s="53" t="inlineStr">
        <is>
          <t>Medium</t>
        </is>
      </c>
      <c r="EN460" s="53" t="inlineStr">
        <is>
          <t>Reliable Specialist</t>
        </is>
      </c>
      <c r="EO460" s="53" t="n"/>
      <c r="EP460" s="53" t="inlineStr">
        <is>
          <t>No</t>
        </is>
      </c>
      <c r="EQ460" s="53" t="n"/>
      <c r="ER460" s="53" t="inlineStr">
        <is>
          <t>To be identified</t>
        </is>
      </c>
      <c r="ES460" s="53" t="inlineStr">
        <is>
          <t>XBRL taxonomy &amp; regulatory updates; domain/accounting refreshers; quality &amp; accuracy practices; tooling proficiency</t>
        </is>
      </c>
      <c r="ET460" s="53" t="inlineStr">
        <is>
          <t>Transition to leadership: people management &amp; delegation, mentoring/coaching, project ownership &amp; stakeholder management, prioritisation under ambiguity, presentation &amp; influence skills</t>
        </is>
      </c>
      <c r="EU460" s="53" t="n"/>
      <c r="EV460" s="53" t="n"/>
      <c r="EW460" s="52" t="n"/>
      <c r="EX460" s="53" t="n"/>
      <c r="EY460" s="53" t="n"/>
      <c r="EZ460" s="53" t="n"/>
      <c r="FA460" s="53" t="n"/>
      <c r="FB460" s="53" t="n"/>
      <c r="FC460" s="53" t="n"/>
      <c r="FD460" s="53" t="n"/>
      <c r="FE460" s="57"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FF460" s="56" t="inlineStr">
        <is>
          <t>1. Complete Q1 taxonomy build/test tasks on schedule · &gt;=95% on-time.
2. Close assigned iFILE support tickets within SLA · &gt;=90%.
3. Finish Q1 Excel/Webform test cycles with defect leakage &lt;2%.</t>
        </is>
      </c>
      <c r="FG460" s="56" t="n"/>
      <c r="FH460" s="56" t="inlineStr">
        <is>
          <t>3 – Meets Expectations</t>
        </is>
      </c>
      <c r="FI460" s="56" t="n"/>
      <c r="FJ460" s="56" t="inlineStr">
        <is>
          <t>Received · manager annual, quarterly</t>
        </is>
      </c>
      <c r="FK460" s="56" t="inlineStr">
        <is>
          <t>Talent Mapping · iFile collated</t>
        </is>
      </c>
      <c r="FL460" s="56" t="n">
        <v>20</v>
      </c>
      <c r="FM460" s="32" t="inlineStr">
        <is>
          <t>Full survey answers not in the files received · How We Grow export needed · HR</t>
        </is>
      </c>
      <c r="FN460" s="56" t="inlineStr">
        <is>
          <t>—</t>
        </is>
      </c>
      <c r="FO460" s="56" t="inlineStr">
        <is>
          <t>—</t>
        </is>
      </c>
      <c r="FP460" s="56" t="inlineStr">
        <is>
          <t>—</t>
        </is>
      </c>
      <c r="FQ460" s="56" t="inlineStr">
        <is>
          <t>—</t>
        </is>
      </c>
      <c r="FR460" s="56" t="inlineStr">
        <is>
          <t>Complexity: Evidence reads like A2: Formula creation and testing, instance creation, tool testing; routine taxonomy tasks, tersely described → matches the start
Autonomy: Evidence reads like A2: Only independent decision named is formula testing → matches the start
Accountability: Evidence reads like A2: Accountable for own formula creation and testing; consequence is rework → matches the start
Leadership: Evidence reads like A1: No guiding or leading of others described → matches the start
Business Impact: No survey or manager-mapping signal on criticality: kept at the start point.</t>
        </is>
      </c>
      <c r="FS460" s="56" t="inlineStr">
        <is>
          <t>Common themes in role-holders' answers: taxonomy · xbrl · client · data · convert · consultant
Common themes in role-holders' answers: client · testing · taxonomy · requirement · support · development
Common themes in role-holders' answers: taxonomy · xbrl · output · structured
Common themes in role-holders' answers: taxonomy · development · testing · tagging · quality · creation
Common themes in role-holders' answers: testing · formula · validations · tagging · creation · taxonomy
If the work is missed · role-holders' themes: rework · client · escalation · retesting · time.
Measured on · manager-set KRA themes: resolve · defect · deliver · complete · modules · testing.</t>
        </is>
      </c>
      <c r="FT460" s="56" t="inlineStr">
        <is>
          <t>Self-identified: Domain, regulatory &amp; XBRL
For the next role: Domain, regulatory &amp; XBRL</t>
        </is>
      </c>
      <c r="FU460" s="32" t="inlineStr">
        <is>
          <t>Full survey answers not in the files received · How We Grow export needed · HR</t>
        </is>
      </c>
    </row>
    <row r="461" ht="90" customHeight="1">
      <c r="A461" s="51" t="inlineStr">
        <is>
          <t>◂ Back</t>
        </is>
      </c>
      <c r="B461" s="29" t="inlineStr">
        <is>
          <t>Mapped</t>
        </is>
      </c>
      <c r="C461" s="28" t="inlineStr">
        <is>
          <t>iFile</t>
        </is>
      </c>
      <c r="D461" s="29" t="inlineStr">
        <is>
          <t>IRIS0049</t>
        </is>
      </c>
      <c r="E461" s="29" t="inlineStr">
        <is>
          <t>Kalyani Sunil Nagap</t>
        </is>
      </c>
      <c r="F461" s="29" t="inlineStr">
        <is>
          <t>XBRL Consulting</t>
        </is>
      </c>
      <c r="G461" s="29" t="inlineStr">
        <is>
          <t>Senior Analyst</t>
        </is>
      </c>
      <c r="H461" s="29" t="inlineStr">
        <is>
          <t>Taxonomy Specialist</t>
        </is>
      </c>
      <c r="I461" s="29" t="inlineStr">
        <is>
          <t>L4 – Senior</t>
        </is>
      </c>
      <c r="J461" s="29" t="inlineStr">
        <is>
          <t>A3</t>
        </is>
      </c>
      <c r="K461" s="29" t="inlineStr">
        <is>
          <t>▲ Up</t>
        </is>
      </c>
      <c r="L461" s="29" t="inlineStr">
        <is>
          <t>Consulting &amp; Professional Services</t>
        </is>
      </c>
      <c r="M461" s="29" t="inlineStr">
        <is>
          <t>Taxonomy Design &amp; Regulatory Consulting</t>
        </is>
      </c>
      <c r="N461" s="29" t="n"/>
      <c r="O461" s="29" t="n">
        <v>20</v>
      </c>
      <c r="P461" s="28" t="inlineStr">
        <is>
          <t>P2</t>
        </is>
      </c>
      <c r="Q461" s="29" t="inlineStr">
        <is>
          <t>Developing</t>
        </is>
      </c>
      <c r="R461" s="29" t="inlineStr">
        <is>
          <t>3 Apply</t>
        </is>
      </c>
      <c r="S461" s="29" t="inlineStr">
        <is>
          <t>2–4 yrs</t>
        </is>
      </c>
      <c r="T461" s="29" t="inlineStr">
        <is>
          <t>3–5 · 2–5</t>
        </is>
      </c>
      <c r="U461" s="29" t="inlineStr">
        <is>
          <t>Consultant / Senior Associate</t>
        </is>
      </c>
      <c r="V461" s="29" t="inlineStr">
        <is>
          <t>DataTracks: Senior Associate · 2–5 yrs · Big Four: Consultant · IRIS Vs Market Benchmark — XBRL US credential pathway: XBRL US GAAP Certificate</t>
        </is>
      </c>
      <c r="W461" s="29" t="inlineStr">
        <is>
          <t>XBRL US GAAP Certificate · AICPA &amp; XBRL US; XBRL International specifications; IFRS / US GAAP / Ind AS</t>
        </is>
      </c>
      <c r="X461" s="29" t="inlineStr">
        <is>
          <t>Core 2 · Future 2 · Functional 3 · Leadership not scored</t>
        </is>
      </c>
      <c r="Y461" s="52" t="n">
        <v>17</v>
      </c>
      <c r="Z461" s="53" t="inlineStr">
        <is>
          <t>IRIS0049</t>
        </is>
      </c>
      <c r="AA461" s="53" t="inlineStr">
        <is>
          <t>Employee</t>
        </is>
      </c>
      <c r="AB461" s="53" t="inlineStr">
        <is>
          <t>Active</t>
        </is>
      </c>
      <c r="AC461" s="53" t="inlineStr">
        <is>
          <t>Kalyani Sunil Nagap</t>
        </is>
      </c>
      <c r="AD461" s="54" t="n">
        <v>39002</v>
      </c>
      <c r="AE461" s="53" t="inlineStr">
        <is>
          <t>Senior Analyst</t>
        </is>
      </c>
      <c r="AF461" s="53" t="inlineStr">
        <is>
          <t>B.Com</t>
        </is>
      </c>
      <c r="AG461" s="53" t="inlineStr">
        <is>
          <t>Rahul Dhamne</t>
        </is>
      </c>
      <c r="AH461" s="53" t="inlineStr">
        <is>
          <t>N-2</t>
        </is>
      </c>
      <c r="AI461" s="53" t="inlineStr">
        <is>
          <t>Individual Contributor</t>
        </is>
      </c>
      <c r="AJ461" s="53" t="inlineStr">
        <is>
          <t>0 years, 0 months, 0 days</t>
        </is>
      </c>
      <c r="AK461" s="53" t="inlineStr">
        <is>
          <t>19 years, 10 months, 13 days</t>
        </is>
      </c>
      <c r="AL461" s="53" t="inlineStr">
        <is>
          <t>Suptech</t>
        </is>
      </c>
      <c r="AM461" s="53" t="inlineStr">
        <is>
          <t>iFile</t>
        </is>
      </c>
      <c r="AN461" s="53" t="inlineStr">
        <is>
          <t>XBRL Consulting</t>
        </is>
      </c>
      <c r="AO461" s="53" t="inlineStr">
        <is>
          <t>Consulting</t>
        </is>
      </c>
      <c r="AP461" s="53" t="inlineStr">
        <is>
          <t>No</t>
        </is>
      </c>
      <c r="AQ461" s="53" t="inlineStr">
        <is>
          <t>Professional Services</t>
        </is>
      </c>
      <c r="AR461" s="53" t="inlineStr">
        <is>
          <t>XBRL Domain</t>
        </is>
      </c>
      <c r="AS461" s="53" t="inlineStr">
        <is>
          <t>Non-technical</t>
        </is>
      </c>
      <c r="AT461" s="53" t="n">
        <v>20</v>
      </c>
      <c r="AU461" s="53" t="inlineStr">
        <is>
          <t>Covered</t>
        </is>
      </c>
      <c r="AV461" s="53" t="n"/>
      <c r="AW461" s="53" t="n"/>
      <c r="AX461" s="53" t="n"/>
      <c r="AY461" s="53" t="n"/>
      <c r="AZ461" s="53" t="n"/>
      <c r="BA461" s="53" t="n"/>
      <c r="BB461" s="53" t="n"/>
      <c r="BC461" s="53" t="n"/>
      <c r="BD461" s="53" t="n"/>
      <c r="BE461" s="53" t="n"/>
      <c r="BF461" s="53" t="n"/>
      <c r="BG461" s="53" t="n"/>
      <c r="BH461" s="53" t="n"/>
      <c r="BI461" s="53" t="n"/>
      <c r="BJ461" s="53" t="n"/>
      <c r="BK461" s="53" t="n"/>
      <c r="BL461" s="53" t="n"/>
      <c r="BM461" s="53" t="n"/>
      <c r="BN461" s="53" t="n"/>
      <c r="BO461" s="53" t="n"/>
      <c r="BP461" s="53" t="n"/>
      <c r="BQ461" s="53" t="n"/>
      <c r="BR461" s="53" t="n"/>
      <c r="BS461" s="53" t="n"/>
      <c r="BT461" s="53" t="n"/>
      <c r="BU461" s="53" t="n"/>
      <c r="BV461" s="53" t="n"/>
      <c r="BW461" s="53" t="n"/>
      <c r="BX461" s="53" t="n"/>
      <c r="BY461" s="53" t="n"/>
      <c r="BZ461" s="53" t="n"/>
      <c r="CA461" s="53" t="n"/>
      <c r="CB461" s="53" t="n"/>
      <c r="CC461" s="53" t="n"/>
      <c r="CD461" s="53" t="n"/>
      <c r="CE461" s="53" t="n"/>
      <c r="CF461" s="53" t="n"/>
      <c r="CG461" s="53" t="n"/>
      <c r="CH461" s="53" t="n"/>
      <c r="CI461" s="53" t="n"/>
      <c r="CJ461" s="53" t="n"/>
      <c r="CK461" s="53" t="n"/>
      <c r="CL461" s="53" t="n"/>
      <c r="CM461" s="53" t="n"/>
      <c r="CN461" s="53" t="n"/>
      <c r="CO461" s="53" t="n"/>
      <c r="CP461" s="53" t="n"/>
      <c r="CQ461" s="53" t="n"/>
      <c r="CR461" s="53" t="n"/>
      <c r="CS461" s="53" t="n"/>
      <c r="CT461" s="53" t="n"/>
      <c r="CU461" s="53" t="n"/>
      <c r="CV461" s="53" t="n"/>
      <c r="CW461" s="53" t="n"/>
      <c r="CX461" s="53" t="n"/>
      <c r="CY461" s="53" t="n"/>
      <c r="CZ461" s="53" t="n"/>
      <c r="DA461" s="53" t="n"/>
      <c r="DB461" s="53" t="n"/>
      <c r="DC461" s="53" t="n"/>
      <c r="DD461" s="53" t="inlineStr">
        <is>
          <t>IRIS0049</t>
        </is>
      </c>
      <c r="DE461" s="53" t="inlineStr">
        <is>
          <t>Employee</t>
        </is>
      </c>
      <c r="DF461" s="53" t="inlineStr">
        <is>
          <t>Active</t>
        </is>
      </c>
      <c r="DG461" s="53" t="inlineStr">
        <is>
          <t>Kalyani Sunil Nagap</t>
        </is>
      </c>
      <c r="DH461" s="54" t="n">
        <v>39002</v>
      </c>
      <c r="DI461" s="53" t="inlineStr">
        <is>
          <t>Senior Analyst</t>
        </is>
      </c>
      <c r="DJ461" s="53" t="inlineStr">
        <is>
          <t>Consulting &amp; Professional Services</t>
        </is>
      </c>
      <c r="DK461" s="53" t="inlineStr">
        <is>
          <t>XBRL / Regulatory Reporting</t>
        </is>
      </c>
      <c r="DL461" s="53" t="inlineStr">
        <is>
          <t>Senior Analyst</t>
        </is>
      </c>
      <c r="DM461" s="53" t="inlineStr">
        <is>
          <t>L4 – Senior</t>
        </is>
      </c>
      <c r="DN461" s="53" t="inlineStr">
        <is>
          <t>B.Com</t>
        </is>
      </c>
      <c r="DO461" s="53" t="inlineStr">
        <is>
          <t>Jayshree Margi</t>
        </is>
      </c>
      <c r="DP461" s="53" t="inlineStr">
        <is>
          <t>N-3</t>
        </is>
      </c>
      <c r="DQ461" s="53" t="inlineStr">
        <is>
          <t>Individual Contributor</t>
        </is>
      </c>
      <c r="DR461" s="53" t="inlineStr">
        <is>
          <t>0 years, 0 months, 0 days</t>
        </is>
      </c>
      <c r="DS461" s="53" t="inlineStr">
        <is>
          <t>19 years, 8 months, 8 days</t>
        </is>
      </c>
      <c r="DT461" s="53" t="inlineStr">
        <is>
          <t>19 years, 8 months, 8 days</t>
        </is>
      </c>
      <c r="DU461" s="53" t="n"/>
      <c r="DV461" s="53" t="inlineStr">
        <is>
          <t>Suptech</t>
        </is>
      </c>
      <c r="DW461" s="53" t="inlineStr">
        <is>
          <t>iFile</t>
        </is>
      </c>
      <c r="DX461" s="53" t="inlineStr">
        <is>
          <t>XBRL Consulting</t>
        </is>
      </c>
      <c r="DY461" s="53" t="inlineStr">
        <is>
          <t>Consulting</t>
        </is>
      </c>
      <c r="DZ461" s="53" t="inlineStr">
        <is>
          <t>No</t>
        </is>
      </c>
      <c r="EA461" s="53" t="inlineStr">
        <is>
          <t>Professional Services</t>
        </is>
      </c>
      <c r="EB461" s="53" t="inlineStr">
        <is>
          <t>XBRL Domain</t>
        </is>
      </c>
      <c r="EC461" s="53" t="inlineStr">
        <is>
          <t>Non-technical</t>
        </is>
      </c>
      <c r="ED461" s="53" t="inlineStr">
        <is>
          <t>Work From Office - Turbhe</t>
        </is>
      </c>
      <c r="EE461" s="53" t="n"/>
      <c r="EF461" s="53"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EG461" s="53" t="inlineStr">
        <is>
          <t>1. Complete Q1 taxonomy build/test tasks on schedule · &gt;=95% on-time.
2. Close assigned iFILE support tickets within SLA.
3. Finish Q1 Excel/Webform test cycles with defect leakage &lt;2%.</t>
        </is>
      </c>
      <c r="EH461" s="53" t="inlineStr">
        <is>
          <t>3 – Meets Expectations</t>
        </is>
      </c>
      <c r="EI461" s="53" t="inlineStr">
        <is>
          <t>Last appraisal in Oct 2025</t>
        </is>
      </c>
      <c r="EJ461" s="53" t="inlineStr">
        <is>
          <t>Senior Analyst</t>
        </is>
      </c>
      <c r="EK461" s="53" t="inlineStr">
        <is>
          <t>No change</t>
        </is>
      </c>
      <c r="EL461" s="53" t="n">
        <v>3</v>
      </c>
      <c r="EM461" s="53" t="inlineStr">
        <is>
          <t>Low</t>
        </is>
      </c>
      <c r="EN461" s="53" t="inlineStr">
        <is>
          <t>Reliable Specialist</t>
        </is>
      </c>
      <c r="EO461" s="53" t="n"/>
      <c r="EP461" s="53" t="inlineStr">
        <is>
          <t>No</t>
        </is>
      </c>
      <c r="EQ461" s="53" t="n"/>
      <c r="ER461" s="53" t="inlineStr">
        <is>
          <t>To be identified</t>
        </is>
      </c>
      <c r="ES461" s="53" t="inlineStr">
        <is>
          <t>XBRL taxonomy &amp; regulatory updates; domain/accounting refreshers; quality &amp; accuracy practices; tooling proficiency</t>
        </is>
      </c>
      <c r="ET461" s="53" t="inlineStr">
        <is>
          <t>Transition to leadership: people management &amp; delegation, mentoring/coaching, project ownership &amp; stakeholder management, prioritisation under ambiguity, presentation &amp; influence skills</t>
        </is>
      </c>
      <c r="EU461" s="53" t="n"/>
      <c r="EV461" s="53" t="n"/>
      <c r="EW461" s="52" t="n"/>
      <c r="EX461" s="53" t="n"/>
      <c r="EY461" s="53" t="n"/>
      <c r="EZ461" s="53" t="n"/>
      <c r="FA461" s="53" t="n"/>
      <c r="FB461" s="53" t="n"/>
      <c r="FC461" s="53" t="n"/>
      <c r="FD461" s="53" t="n"/>
      <c r="FE461" s="57"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FF461" s="56" t="inlineStr">
        <is>
          <t>1. Complete Q1 taxonomy build/test tasks on schedule · &gt;=95% on-time.
2. Close assigned iFILE support tickets within SLA · &gt;=90%.
3. Finish Q1 Excel/Webform test cycles with defect leakage &lt;2%.</t>
        </is>
      </c>
      <c r="FG461" s="56" t="n"/>
      <c r="FH461" s="56" t="inlineStr">
        <is>
          <t>3 – Meets Expectations</t>
        </is>
      </c>
      <c r="FI461" s="56" t="n"/>
      <c r="FJ461" s="56" t="inlineStr">
        <is>
          <t>Received · manager annual, quarterly</t>
        </is>
      </c>
      <c r="FK461" s="56" t="inlineStr">
        <is>
          <t>Talent Mapping · iFile collated</t>
        </is>
      </c>
      <c r="FL461" s="56" t="n">
        <v>20</v>
      </c>
      <c r="FM461" s="32" t="inlineStr">
        <is>
          <t>Full survey answers not in the files received · How We Grow export needed · HR</t>
        </is>
      </c>
      <c r="FN461" s="56" t="inlineStr">
        <is>
          <t>—</t>
        </is>
      </c>
      <c r="FO461" s="56" t="inlineStr">
        <is>
          <t>—</t>
        </is>
      </c>
      <c r="FP461" s="56" t="inlineStr">
        <is>
          <t>—</t>
        </is>
      </c>
      <c r="FQ461" s="56" t="inlineStr">
        <is>
          <t>—</t>
        </is>
      </c>
      <c r="FR461" s="56" t="inlineStr">
        <is>
          <t>Complexity: Evidence reads like A3: Develops and maintains taxonomies, templates and validation rules; analyses issues and change-request impacts → matches the start
Autonomy: Evidence reads like A2: Decides appropriate testing for changes → moved down 0.5
Accountability: Evidence reads like A3: Change requests implemented and client issues resolved within agreed timelines → matches the start
Leadership: Evidence reads like A1: None described → moved down 0.5
Business Impact: No survey or manager-mapping signal on criticality: kept at the start point.</t>
        </is>
      </c>
      <c r="FS461" s="56" t="inlineStr">
        <is>
          <t>Common themes in role-holders' answers: taxonomy · xbrl · client · data · convert · consultant
Common themes in role-holders' answers: client · testing · taxonomy · requirement · support · development
Common themes in role-holders' answers: taxonomy · xbrl · output · structured
Common themes in role-holders' answers: taxonomy · development · testing · tagging · quality · creation
Common themes in role-holders' answers: testing · formula · validations · tagging · creation · taxonomy
If the work is missed · role-holders' themes: rework · client · escalation · retesting · time.
Measured on · manager-set KRA themes: resolve · defect · deliver · complete · modules · testing.</t>
        </is>
      </c>
      <c r="FT461" s="56" t="inlineStr">
        <is>
          <t>Self-identified: Project / programme management · Broader exposure &amp; ownership
For the next role: Project / programme management · Broader exposure &amp; ownership</t>
        </is>
      </c>
      <c r="FU461" s="32" t="inlineStr">
        <is>
          <t>Full survey answers not in the files received · How We Grow export needed · HR</t>
        </is>
      </c>
    </row>
    <row r="462" ht="90" customHeight="1">
      <c r="A462" s="51" t="inlineStr">
        <is>
          <t>◂ Back</t>
        </is>
      </c>
      <c r="B462" s="29" t="inlineStr">
        <is>
          <t>Mapped</t>
        </is>
      </c>
      <c r="C462" s="28" t="inlineStr">
        <is>
          <t>iFile</t>
        </is>
      </c>
      <c r="D462" s="29" t="inlineStr">
        <is>
          <t>IRIS1248</t>
        </is>
      </c>
      <c r="E462" s="29" t="inlineStr">
        <is>
          <t>Neha Periwal</t>
        </is>
      </c>
      <c r="F462" s="29" t="inlineStr">
        <is>
          <t>XBRL Consulting</t>
        </is>
      </c>
      <c r="G462" s="29" t="inlineStr">
        <is>
          <t>Consultant</t>
        </is>
      </c>
      <c r="H462" s="29" t="inlineStr">
        <is>
          <t>Senior Taxonomy Analyst</t>
        </is>
      </c>
      <c r="I462" s="29" t="inlineStr">
        <is>
          <t>L3 – Professional / Associate</t>
        </is>
      </c>
      <c r="J462" s="29" t="inlineStr">
        <is>
          <t>A3</t>
        </is>
      </c>
      <c r="K462" s="29" t="inlineStr">
        <is>
          <t>▲ Up</t>
        </is>
      </c>
      <c r="L462" s="29" t="inlineStr">
        <is>
          <t>Consulting &amp; Professional Services</t>
        </is>
      </c>
      <c r="M462" s="29" t="inlineStr">
        <is>
          <t>Taxonomy Design &amp; Regulatory Consulting</t>
        </is>
      </c>
      <c r="N462" s="29" t="n"/>
      <c r="O462" s="29" t="n">
        <v>20</v>
      </c>
      <c r="P462" s="28" t="inlineStr">
        <is>
          <t>P2</t>
        </is>
      </c>
      <c r="Q462" s="29" t="inlineStr">
        <is>
          <t>Developing</t>
        </is>
      </c>
      <c r="R462" s="29" t="inlineStr">
        <is>
          <t>3 Apply</t>
        </is>
      </c>
      <c r="S462" s="29" t="inlineStr">
        <is>
          <t>2–4 yrs</t>
        </is>
      </c>
      <c r="T462" s="29" t="inlineStr">
        <is>
          <t>3–5 · 2–5</t>
        </is>
      </c>
      <c r="U462" s="29" t="inlineStr">
        <is>
          <t>Senior Analyst / Associate</t>
        </is>
      </c>
      <c r="V462" s="29" t="inlineStr">
        <is>
          <t>DataTracks: Senior Associate · 2–5 yrs · Big Four: Consultant · IRIS Vs Market Benchmark — XBRL US credential pathway: XBRL US GAAP Certificate</t>
        </is>
      </c>
      <c r="W462" s="29" t="inlineStr">
        <is>
          <t>XBRL US GAAP Certificate · AICPA &amp; XBRL US; XBRL International specifications; IFRS / US GAAP / Ind AS</t>
        </is>
      </c>
      <c r="X462" s="29" t="inlineStr">
        <is>
          <t>Core 2 · Future 2 · Functional 3 · Leadership not scored</t>
        </is>
      </c>
      <c r="Y462" s="52" t="n">
        <v>114</v>
      </c>
      <c r="Z462" s="53" t="inlineStr">
        <is>
          <t>IRIS1248</t>
        </is>
      </c>
      <c r="AA462" s="53" t="inlineStr">
        <is>
          <t>Employee</t>
        </is>
      </c>
      <c r="AB462" s="53" t="inlineStr">
        <is>
          <t>Active</t>
        </is>
      </c>
      <c r="AC462" s="53" t="inlineStr">
        <is>
          <t>Neha Periwal</t>
        </is>
      </c>
      <c r="AD462" s="54" t="n">
        <v>41134</v>
      </c>
      <c r="AE462" s="53" t="inlineStr">
        <is>
          <t>Consultant</t>
        </is>
      </c>
      <c r="AF462" s="53" t="inlineStr">
        <is>
          <t>CA</t>
        </is>
      </c>
      <c r="AG462" s="53" t="inlineStr">
        <is>
          <t>Rahul Dhamne</t>
        </is>
      </c>
      <c r="AH462" s="53" t="inlineStr">
        <is>
          <t>N-2</t>
        </is>
      </c>
      <c r="AI462" s="53" t="inlineStr">
        <is>
          <t>Individual Contributor</t>
        </is>
      </c>
      <c r="AJ462" s="53" t="inlineStr">
        <is>
          <t>3 years, 5 months, 0 days</t>
        </is>
      </c>
      <c r="AK462" s="53" t="inlineStr">
        <is>
          <t>14 years, 0 months, 12 days</t>
        </is>
      </c>
      <c r="AL462" s="53" t="inlineStr">
        <is>
          <t>Suptech</t>
        </is>
      </c>
      <c r="AM462" s="53" t="inlineStr">
        <is>
          <t>iFile</t>
        </is>
      </c>
      <c r="AN462" s="53" t="inlineStr">
        <is>
          <t>XBRL Consulting</t>
        </is>
      </c>
      <c r="AO462" s="53" t="inlineStr">
        <is>
          <t>Consulting</t>
        </is>
      </c>
      <c r="AP462" s="53" t="inlineStr">
        <is>
          <t>No</t>
        </is>
      </c>
      <c r="AQ462" s="53" t="inlineStr">
        <is>
          <t>Professional Services</t>
        </is>
      </c>
      <c r="AR462" s="53" t="inlineStr">
        <is>
          <t>XBRL Domain</t>
        </is>
      </c>
      <c r="AS462" s="53" t="inlineStr">
        <is>
          <t>Non-technical</t>
        </is>
      </c>
      <c r="AT462" s="53" t="n">
        <v>20</v>
      </c>
      <c r="AU462" s="53" t="inlineStr">
        <is>
          <t>Covered</t>
        </is>
      </c>
      <c r="AV462" s="53" t="n"/>
      <c r="AW462" s="53" t="n"/>
      <c r="AX462" s="53" t="n"/>
      <c r="AY462" s="53" t="n"/>
      <c r="AZ462" s="53" t="n"/>
      <c r="BA462" s="53" t="n"/>
      <c r="BB462" s="53" t="n"/>
      <c r="BC462" s="53" t="n"/>
      <c r="BD462" s="53" t="n"/>
      <c r="BE462" s="53" t="n"/>
      <c r="BF462" s="53" t="n"/>
      <c r="BG462" s="53" t="n"/>
      <c r="BH462" s="53" t="n"/>
      <c r="BI462" s="53" t="n"/>
      <c r="BJ462" s="53" t="n"/>
      <c r="BK462" s="53" t="n"/>
      <c r="BL462" s="53" t="n"/>
      <c r="BM462" s="53" t="n"/>
      <c r="BN462" s="53" t="n"/>
      <c r="BO462" s="53" t="n"/>
      <c r="BP462" s="53" t="n"/>
      <c r="BQ462" s="53" t="n"/>
      <c r="BR462" s="53" t="n"/>
      <c r="BS462" s="53" t="n"/>
      <c r="BT462" s="53" t="n"/>
      <c r="BU462" s="53" t="n"/>
      <c r="BV462" s="53" t="n"/>
      <c r="BW462" s="53" t="n"/>
      <c r="BX462" s="53" t="n"/>
      <c r="BY462" s="53" t="n"/>
      <c r="BZ462" s="53" t="n"/>
      <c r="CA462" s="53" t="n"/>
      <c r="CB462" s="53" t="n"/>
      <c r="CC462" s="53" t="n"/>
      <c r="CD462" s="53" t="n"/>
      <c r="CE462" s="53" t="n"/>
      <c r="CF462" s="53" t="n"/>
      <c r="CG462" s="53" t="n"/>
      <c r="CH462" s="53" t="n"/>
      <c r="CI462" s="53" t="n"/>
      <c r="CJ462" s="53" t="n"/>
      <c r="CK462" s="53" t="n"/>
      <c r="CL462" s="53" t="n"/>
      <c r="CM462" s="53" t="n"/>
      <c r="CN462" s="53" t="n"/>
      <c r="CO462" s="53" t="n"/>
      <c r="CP462" s="53" t="n"/>
      <c r="CQ462" s="53" t="n"/>
      <c r="CR462" s="53" t="n"/>
      <c r="CS462" s="53" t="n"/>
      <c r="CT462" s="53" t="n"/>
      <c r="CU462" s="53" t="n"/>
      <c r="CV462" s="53" t="n"/>
      <c r="CW462" s="53" t="n"/>
      <c r="CX462" s="53" t="n"/>
      <c r="CY462" s="53" t="n"/>
      <c r="CZ462" s="53" t="n"/>
      <c r="DA462" s="53" t="n"/>
      <c r="DB462" s="53" t="n"/>
      <c r="DC462" s="53" t="n"/>
      <c r="DD462" s="53" t="inlineStr">
        <is>
          <t>IRIS1248</t>
        </is>
      </c>
      <c r="DE462" s="53" t="inlineStr">
        <is>
          <t>Employee</t>
        </is>
      </c>
      <c r="DF462" s="53" t="inlineStr">
        <is>
          <t>Active</t>
        </is>
      </c>
      <c r="DG462" s="53" t="inlineStr">
        <is>
          <t>Neha Periwal</t>
        </is>
      </c>
      <c r="DH462" s="54" t="n">
        <v>41134</v>
      </c>
      <c r="DI462" s="53" t="inlineStr">
        <is>
          <t>Consultant</t>
        </is>
      </c>
      <c r="DJ462" s="53" t="inlineStr">
        <is>
          <t>Consulting &amp; Professional Services</t>
        </is>
      </c>
      <c r="DK462" s="53" t="inlineStr">
        <is>
          <t>XBRL / Regulatory Reporting</t>
        </is>
      </c>
      <c r="DL462" s="53" t="inlineStr">
        <is>
          <t>Consultant</t>
        </is>
      </c>
      <c r="DM462" s="53" t="inlineStr">
        <is>
          <t>L3 – Professional / Associate</t>
        </is>
      </c>
      <c r="DN462" s="53" t="inlineStr">
        <is>
          <t>CA</t>
        </is>
      </c>
      <c r="DO462" s="53" t="inlineStr">
        <is>
          <t>Rahul Dhamne</t>
        </is>
      </c>
      <c r="DP462" s="53" t="inlineStr">
        <is>
          <t>N-2</t>
        </is>
      </c>
      <c r="DQ462" s="53" t="inlineStr">
        <is>
          <t>Individual Contributor</t>
        </is>
      </c>
      <c r="DR462" s="53" t="inlineStr">
        <is>
          <t>3 years, 5 months, 0 days</t>
        </is>
      </c>
      <c r="DS462" s="53" t="inlineStr">
        <is>
          <t>13 years, 10 months, 7 days</t>
        </is>
      </c>
      <c r="DT462" s="53" t="inlineStr">
        <is>
          <t>17 years, 3 months, 7 days</t>
        </is>
      </c>
      <c r="DU462" s="53" t="n"/>
      <c r="DV462" s="53" t="inlineStr">
        <is>
          <t>Suptech</t>
        </is>
      </c>
      <c r="DW462" s="53" t="inlineStr">
        <is>
          <t>iFile</t>
        </is>
      </c>
      <c r="DX462" s="53" t="inlineStr">
        <is>
          <t>XBRL Consulting</t>
        </is>
      </c>
      <c r="DY462" s="53" t="inlineStr">
        <is>
          <t>Consulting</t>
        </is>
      </c>
      <c r="DZ462" s="53" t="inlineStr">
        <is>
          <t>No</t>
        </is>
      </c>
      <c r="EA462" s="53" t="inlineStr">
        <is>
          <t>Professional Services</t>
        </is>
      </c>
      <c r="EB462" s="53" t="inlineStr">
        <is>
          <t>XBRL Domain</t>
        </is>
      </c>
      <c r="EC462" s="53" t="inlineStr">
        <is>
          <t>Non-technical</t>
        </is>
      </c>
      <c r="ED462" s="53" t="inlineStr">
        <is>
          <t>Remote- Outside Mumbai</t>
        </is>
      </c>
      <c r="EE462" s="53" t="n"/>
      <c r="EF462" s="53"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EG462" s="53"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EH462" s="53" t="inlineStr">
        <is>
          <t>2 – Needs improvement</t>
        </is>
      </c>
      <c r="EI462" s="53" t="inlineStr">
        <is>
          <t>Last appraisal in Oct 2025</t>
        </is>
      </c>
      <c r="EJ462" s="53" t="inlineStr">
        <is>
          <t>Consultant</t>
        </is>
      </c>
      <c r="EK462" s="53" t="inlineStr">
        <is>
          <t>No change</t>
        </is>
      </c>
      <c r="EL462" s="53" t="n">
        <v>3</v>
      </c>
      <c r="EM462" s="53" t="inlineStr">
        <is>
          <t>Low</t>
        </is>
      </c>
      <c r="EN462" s="53" t="inlineStr">
        <is>
          <t>Reliable Specialist</t>
        </is>
      </c>
      <c r="EO462" s="53" t="n"/>
      <c r="EP462" s="53" t="inlineStr">
        <is>
          <t>No</t>
        </is>
      </c>
      <c r="EQ462" s="53" t="n"/>
      <c r="ER462" s="53" t="inlineStr">
        <is>
          <t>To be identified</t>
        </is>
      </c>
      <c r="ES462" s="53" t="inlineStr">
        <is>
          <t>XBRL taxonomy &amp; regulatory updates; domain/accounting refreshers; quality &amp; accuracy practices; tooling proficiency</t>
        </is>
      </c>
      <c r="ET462" s="53" t="inlineStr">
        <is>
          <t>Transition to leadership: people management &amp; delegation, mentoring/coaching, project ownership &amp; stakeholder management, prioritisation under ambiguity, presentation &amp; influence skills</t>
        </is>
      </c>
      <c r="EU462" s="53" t="n"/>
      <c r="EV462" s="53" t="n"/>
      <c r="EW462" s="52" t="n"/>
      <c r="EX462" s="53" t="n"/>
      <c r="EY462" s="53" t="n"/>
      <c r="EZ462" s="53" t="n"/>
      <c r="FA462" s="53" t="n"/>
      <c r="FB462" s="53" t="n"/>
      <c r="FC462" s="53" t="n"/>
      <c r="FD462" s="53" t="n"/>
      <c r="FE462" s="57"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FF462" s="56"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FG462" s="56" t="n"/>
      <c r="FH462" s="56" t="inlineStr">
        <is>
          <t>2 – Needs improvement</t>
        </is>
      </c>
      <c r="FI462" s="56" t="n"/>
      <c r="FJ462" s="56" t="inlineStr">
        <is>
          <t>Received · manager annual, quarterly</t>
        </is>
      </c>
      <c r="FK462" s="56" t="inlineStr">
        <is>
          <t>Talent Mapping · iFile collated</t>
        </is>
      </c>
      <c r="FL462" s="56" t="n">
        <v>20</v>
      </c>
      <c r="FM462" s="32" t="inlineStr">
        <is>
          <t>Full survey answers not in the files received · How We Grow export needed · HR</t>
        </is>
      </c>
      <c r="FN462" s="56" t="inlineStr">
        <is>
          <t>—</t>
        </is>
      </c>
      <c r="FO462" s="56" t="inlineStr">
        <is>
          <t>—</t>
        </is>
      </c>
      <c r="FP462" s="56" t="inlineStr">
        <is>
          <t>—</t>
        </is>
      </c>
      <c r="FQ462" s="56" t="inlineStr">
        <is>
          <t>—</t>
        </is>
      </c>
      <c r="FR462" s="56" t="inlineStr">
        <is>
          <t>Complexity: Evidence reads like A3: Taxonomy creation, analysis modelling, business rules, client management; takes calls when scenarios differ → matches the start
Autonomy: Evidence reads like A2: Decides only 'team interaction'; occasional calls on unusual scenarios → moved down 0.5
Accountability: Evidence reads like A2: Accountable for 'anything taxonomy related'; consequence is rework and management mails → moved down 0.5
Leadership: Evidence reads like A1: Team work and coordination mentioned generically; no guiding of others → moved down 0.5
Business Impact: No survey or manager-mapping signal on criticality: kept at the start point.</t>
        </is>
      </c>
      <c r="FS462" s="56" t="inlineStr">
        <is>
          <t>Common themes in role-holders' answers: taxonomy · xbrl · client · data · convert · consultant
Common themes in role-holders' answers: client · testing · taxonomy · requirement · support · development
Common themes in role-holders' answers: taxonomy · xbrl · output · structured
Common themes in role-holders' answers: taxonomy · development · testing · tagging · quality · creation
Common themes in role-holders' answers: testing · formula · validations · tagging · creation · taxonomy
If the work is missed · role-holders' themes: rework · client · escalation · retesting · time.
Measured on · manager-set KRA themes: resolve · defect · deliver · complete · modules · testing.</t>
        </is>
      </c>
      <c r="FT462" s="56" t="inlineStr">
        <is>
          <t>Self-identified: Project / programme management · Broader exposure &amp; ownership
For the next role: Project / programme management · Broader exposure &amp; ownership</t>
        </is>
      </c>
      <c r="FU462" s="32" t="inlineStr">
        <is>
          <t>Full survey answers not in the files received · How We Grow export needed · HR</t>
        </is>
      </c>
    </row>
    <row r="463" ht="90" customHeight="1">
      <c r="A463" s="51" t="inlineStr">
        <is>
          <t>◂ Back</t>
        </is>
      </c>
      <c r="B463" s="29" t="inlineStr">
        <is>
          <t>Mapped</t>
        </is>
      </c>
      <c r="C463" s="28" t="inlineStr">
        <is>
          <t>iFile</t>
        </is>
      </c>
      <c r="D463" s="29" t="inlineStr">
        <is>
          <t>IRIS2364</t>
        </is>
      </c>
      <c r="E463" s="29" t="inlineStr">
        <is>
          <t>Srikant Mishra</t>
        </is>
      </c>
      <c r="F463" s="29" t="inlineStr">
        <is>
          <t>Technology</t>
        </is>
      </c>
      <c r="G463" s="29" t="inlineStr">
        <is>
          <t>Business Analyst</t>
        </is>
      </c>
      <c r="H463" s="29" t="inlineStr">
        <is>
          <t>Senior Business Analyst</t>
        </is>
      </c>
      <c r="I463" s="29" t="inlineStr">
        <is>
          <t>L3 – Professional / Associate</t>
        </is>
      </c>
      <c r="J463" s="29" t="inlineStr">
        <is>
          <t>A3</t>
        </is>
      </c>
      <c r="K463" s="29" t="inlineStr">
        <is>
          <t>▲ Up</t>
        </is>
      </c>
      <c r="L463" s="29" t="inlineStr">
        <is>
          <t>Business Analysis</t>
        </is>
      </c>
      <c r="M463" s="29" t="inlineStr">
        <is>
          <t>Business Analysis</t>
        </is>
      </c>
      <c r="N463" s="29" t="n"/>
      <c r="O463" s="29" t="n">
        <v>20</v>
      </c>
      <c r="P463" s="28" t="inlineStr">
        <is>
          <t>P2</t>
        </is>
      </c>
      <c r="Q463" s="29" t="inlineStr">
        <is>
          <t>Developing</t>
        </is>
      </c>
      <c r="R463" s="29" t="inlineStr">
        <is>
          <t>3 Apply</t>
        </is>
      </c>
      <c r="S463" s="29" t="inlineStr">
        <is>
          <t>2–4 yrs</t>
        </is>
      </c>
      <c r="T463" s="29" t="inlineStr">
        <is>
          <t>3–5 · 2–5</t>
        </is>
      </c>
      <c r="U463" s="29" t="inlineStr">
        <is>
          <t>Business Analyst</t>
        </is>
      </c>
      <c r="V463" s="29" t="inlineStr">
        <is>
          <t>Regnology — regulatory reporting: Junior BA · Reg Reporting · Big Four consulting: Consultant · IRIS Vs Market Benchmark — IIBA certification pathway: ECBA · Infosys / Accenture: JL3A · L10 Senior Analyst</t>
        </is>
      </c>
      <c r="W463" s="29" t="inlineStr">
        <is>
          <t>IIBA BABOK v3; certifications ECBA · entry → CCBA → CBAP · senior</t>
        </is>
      </c>
      <c r="X463" s="29" t="inlineStr">
        <is>
          <t>Core 2 · Future 2 · Functional 3 · Leadership not scored</t>
        </is>
      </c>
      <c r="Y463" s="52" t="n">
        <v>367</v>
      </c>
      <c r="Z463" s="53" t="inlineStr">
        <is>
          <t>IRIS2364</t>
        </is>
      </c>
      <c r="AA463" s="53" t="inlineStr">
        <is>
          <t>Employee</t>
        </is>
      </c>
      <c r="AB463" s="53" t="inlineStr">
        <is>
          <t>Active</t>
        </is>
      </c>
      <c r="AC463" s="53" t="inlineStr">
        <is>
          <t>Srikant Mishra</t>
        </is>
      </c>
      <c r="AD463" s="54" t="n">
        <v>45754</v>
      </c>
      <c r="AE463" s="53" t="inlineStr">
        <is>
          <t>Business Analyst</t>
        </is>
      </c>
      <c r="AF463" s="53" t="inlineStr">
        <is>
          <t>B.Tech</t>
        </is>
      </c>
      <c r="AG463" s="53" t="inlineStr">
        <is>
          <t>Rahul Dhamne</t>
        </is>
      </c>
      <c r="AH463" s="53" t="inlineStr">
        <is>
          <t>N-2</t>
        </is>
      </c>
      <c r="AI463" s="53" t="inlineStr">
        <is>
          <t>Manager</t>
        </is>
      </c>
      <c r="AJ463" s="53" t="inlineStr">
        <is>
          <t>2 years, 11 months, 0 days</t>
        </is>
      </c>
      <c r="AK463" s="53" t="inlineStr">
        <is>
          <t>1 years, 4 months, 18 days</t>
        </is>
      </c>
      <c r="AL463" s="53" t="inlineStr">
        <is>
          <t>Suptech</t>
        </is>
      </c>
      <c r="AM463" s="53" t="inlineStr">
        <is>
          <t>iFile</t>
        </is>
      </c>
      <c r="AN463" s="53" t="inlineStr">
        <is>
          <t>Technology</t>
        </is>
      </c>
      <c r="AO463" s="53" t="inlineStr">
        <is>
          <t>Business Analysis</t>
        </is>
      </c>
      <c r="AP463" s="53" t="inlineStr">
        <is>
          <t>No</t>
        </is>
      </c>
      <c r="AQ463" s="53" t="inlineStr">
        <is>
          <t>Product/Project</t>
        </is>
      </c>
      <c r="AR463" s="53" t="inlineStr">
        <is>
          <t>Business Analysis</t>
        </is>
      </c>
      <c r="AS463" s="53" t="inlineStr">
        <is>
          <t>Technical · BA, PM and QA</t>
        </is>
      </c>
      <c r="AT463" s="53" t="n">
        <v>20</v>
      </c>
      <c r="AU463" s="53" t="inlineStr">
        <is>
          <t>Covered</t>
        </is>
      </c>
      <c r="AV463" s="53" t="n"/>
      <c r="AW463" s="53" t="n"/>
      <c r="AX463" s="53" t="n"/>
      <c r="AY463" s="53" t="n"/>
      <c r="AZ463" s="53" t="n"/>
      <c r="BA463" s="53" t="n"/>
      <c r="BB463" s="53" t="n"/>
      <c r="BC463" s="53" t="n"/>
      <c r="BD463" s="53" t="n"/>
      <c r="BE463" s="53" t="n"/>
      <c r="BF463" s="53" t="n"/>
      <c r="BG463" s="53" t="n"/>
      <c r="BH463" s="53" t="n"/>
      <c r="BI463" s="53" t="n"/>
      <c r="BJ463" s="53" t="n"/>
      <c r="BK463" s="53" t="n"/>
      <c r="BL463" s="53" t="n"/>
      <c r="BM463" s="53" t="n"/>
      <c r="BN463" s="53" t="n"/>
      <c r="BO463" s="53" t="n"/>
      <c r="BP463" s="53" t="n"/>
      <c r="BQ463" s="53" t="n"/>
      <c r="BR463" s="53" t="n"/>
      <c r="BS463" s="53" t="n"/>
      <c r="BT463" s="53" t="n"/>
      <c r="BU463" s="53" t="n"/>
      <c r="BV463" s="53" t="n"/>
      <c r="BW463" s="53" t="n"/>
      <c r="BX463" s="53" t="n"/>
      <c r="BY463" s="53" t="n"/>
      <c r="BZ463" s="53" t="n"/>
      <c r="CA463" s="53" t="n"/>
      <c r="CB463" s="53" t="n"/>
      <c r="CC463" s="53" t="n"/>
      <c r="CD463" s="53" t="n"/>
      <c r="CE463" s="53" t="n"/>
      <c r="CF463" s="53" t="n"/>
      <c r="CG463" s="53" t="n"/>
      <c r="CH463" s="53" t="n"/>
      <c r="CI463" s="53" t="n"/>
      <c r="CJ463" s="53" t="n"/>
      <c r="CK463" s="53" t="n"/>
      <c r="CL463" s="53" t="n"/>
      <c r="CM463" s="53" t="n"/>
      <c r="CN463" s="53" t="n"/>
      <c r="CO463" s="53" t="n"/>
      <c r="CP463" s="53" t="n"/>
      <c r="CQ463" s="53" t="n"/>
      <c r="CR463" s="53" t="n"/>
      <c r="CS463" s="53" t="n"/>
      <c r="CT463" s="53" t="n"/>
      <c r="CU463" s="53" t="n"/>
      <c r="CV463" s="53" t="n"/>
      <c r="CW463" s="53" t="n"/>
      <c r="CX463" s="53" t="n"/>
      <c r="CY463" s="53" t="n"/>
      <c r="CZ463" s="53" t="n"/>
      <c r="DA463" s="53" t="n"/>
      <c r="DB463" s="53" t="n"/>
      <c r="DC463" s="53" t="n"/>
      <c r="DD463" s="53" t="inlineStr">
        <is>
          <t>IRIS2364</t>
        </is>
      </c>
      <c r="DE463" s="53" t="inlineStr">
        <is>
          <t>Employee</t>
        </is>
      </c>
      <c r="DF463" s="53" t="inlineStr">
        <is>
          <t>Active</t>
        </is>
      </c>
      <c r="DG463" s="53" t="inlineStr">
        <is>
          <t>Srikant Mishra</t>
        </is>
      </c>
      <c r="DH463" s="54" t="n">
        <v>45754</v>
      </c>
      <c r="DI463" s="53" t="inlineStr">
        <is>
          <t>Business Analyst</t>
        </is>
      </c>
      <c r="DJ463" s="53" t="inlineStr">
        <is>
          <t>Business Analysis</t>
        </is>
      </c>
      <c r="DK463" s="53" t="inlineStr">
        <is>
          <t>Business / Functional Analysis</t>
        </is>
      </c>
      <c r="DL463" s="53" t="inlineStr">
        <is>
          <t>Business Analyst</t>
        </is>
      </c>
      <c r="DM463" s="53" t="inlineStr">
        <is>
          <t>L3 – Professional / Associate</t>
        </is>
      </c>
      <c r="DN463" s="53" t="inlineStr">
        <is>
          <t>B.Tech</t>
        </is>
      </c>
      <c r="DO463" s="53" t="inlineStr">
        <is>
          <t>Jailesh Bhadra</t>
        </is>
      </c>
      <c r="DP463" s="53" t="inlineStr">
        <is>
          <t>N-3</t>
        </is>
      </c>
      <c r="DQ463" s="53" t="inlineStr">
        <is>
          <t>Manager</t>
        </is>
      </c>
      <c r="DR463" s="53" t="inlineStr">
        <is>
          <t>2 years, 11 months, 0 days</t>
        </is>
      </c>
      <c r="DS463" s="53" t="inlineStr">
        <is>
          <t>1 years, 2 months, 13 days</t>
        </is>
      </c>
      <c r="DT463" s="53" t="inlineStr">
        <is>
          <t>4 years, 1 months, 13 days</t>
        </is>
      </c>
      <c r="DU463" s="53" t="n">
        <v>1.20228310502283</v>
      </c>
      <c r="DV463" s="53" t="inlineStr">
        <is>
          <t>Suptech</t>
        </is>
      </c>
      <c r="DW463" s="53" t="inlineStr">
        <is>
          <t>iFile</t>
        </is>
      </c>
      <c r="DX463" s="53" t="inlineStr">
        <is>
          <t>Technology</t>
        </is>
      </c>
      <c r="DY463" s="53" t="inlineStr">
        <is>
          <t>Business Analysis</t>
        </is>
      </c>
      <c r="DZ463" s="53" t="inlineStr">
        <is>
          <t>No</t>
        </is>
      </c>
      <c r="EA463" s="53" t="inlineStr">
        <is>
          <t>Product/Project</t>
        </is>
      </c>
      <c r="EB463" s="53" t="inlineStr">
        <is>
          <t>Business Analysis</t>
        </is>
      </c>
      <c r="EC463" s="53" t="inlineStr">
        <is>
          <t>Technical · BA, PM and QA</t>
        </is>
      </c>
      <c r="ED463" s="53" t="inlineStr">
        <is>
          <t>Hybrid</t>
        </is>
      </c>
      <c r="EE463" s="53" t="inlineStr">
        <is>
          <t>1.Deliver assigned features/releases with at least 95% adherence to planned timelines and agreed scope.
2. Provide day-to-day functional support to 2 developers, ensuring at least 95% of assigned tasks are completed with minimal rework.
3.Coordinate with stakeholders to gather, clarify, and communicate requirements, ensuring all major requirement changes are shared before development starts.
4.Resolve product-related queries and functional issues within agreed SLAs, with at least 95% resolved on time.
5.Support product releases by completing UAT coordination, release validation, and sign-offs for 100% of planned releases.</t>
        </is>
      </c>
      <c r="EF463" s="53" t="inlineStr">
        <is>
          <t>1. Deliver own BA/analysis workstreams to &gt;=95% quality &amp; timeliness
2. Provide day-to-day technical/functional guidance to 2 engineers · Saurabh, Ghanshyam, ensuring their deliverables meet the quality bar
3. Achieve &gt;=4/5 feedback score from the engineers he guides
4. Ensure escalations/issues on his pod are resolved within SLA
5. Contribute to onboarding/process documentation for the pod
6. Provide Jailesh with visibility on pod workload &amp; performance monthly</t>
        </is>
      </c>
      <c r="EG463" s="53" t="inlineStr">
        <is>
          <t>Q1: Deliver own BA workstreams to &gt;=95% quality &amp; timeliness
Q1: Establish a regular guidance/review cadence with the 2 engineers he leads
Q1: Resolve pod escalations within SLA
Q1: Provide first monthly pod workload/performance update to Jailesh</t>
        </is>
      </c>
      <c r="EH463" s="53" t="n">
        <v>4</v>
      </c>
      <c r="EI463" s="54" t="n">
        <v>45931</v>
      </c>
      <c r="EJ463" s="53" t="inlineStr">
        <is>
          <t>Business Analyst</t>
        </is>
      </c>
      <c r="EK463" s="53" t="inlineStr">
        <is>
          <t>Yes — can be considered so the title matches actual accountability.</t>
        </is>
      </c>
      <c r="EL463" s="53" t="n">
        <v>4</v>
      </c>
      <c r="EM463" s="53" t="inlineStr">
        <is>
          <t>High</t>
        </is>
      </c>
      <c r="EN463" s="53" t="inlineStr">
        <is>
          <t>Future Leader</t>
        </is>
      </c>
      <c r="EO463" s="53" t="inlineStr">
        <is>
          <t>Y</t>
        </is>
      </c>
      <c r="EP463" s="53" t="inlineStr">
        <is>
          <t>Y</t>
        </is>
      </c>
      <c r="EQ463" s="53" t="inlineStr">
        <is>
          <t>Y</t>
        </is>
      </c>
      <c r="ER463" s="53" t="inlineStr">
        <is>
          <t>No successor formally identified</t>
        </is>
      </c>
      <c r="ES463" s="53" t="inlineStr">
        <is>
          <t>Advanced requirement engineering &amp; stakeholder/vendor management; RegTech/XBRL/AI domain depth; workload &amp; delegation planning for a small team</t>
        </is>
      </c>
      <c r="ET463" s="53" t="inlineStr">
        <is>
          <t>People management fundamentals, performance coaching &amp; delegation, formal team-lead onboarding, cross-team stakeholder management</t>
        </is>
      </c>
      <c r="EU463" s="53" t="inlineStr">
        <is>
          <t>-</t>
        </is>
      </c>
      <c r="EV463" s="53" t="n"/>
      <c r="EW463" s="52" t="n"/>
      <c r="EX463" s="53" t="n"/>
      <c r="EY463" s="53" t="n"/>
      <c r="EZ463" s="53" t="n"/>
      <c r="FA463" s="53" t="n"/>
      <c r="FB463" s="53" t="n"/>
      <c r="FC463" s="53" t="n"/>
      <c r="FD463" s="53" t="n"/>
      <c r="FE463" s="57" t="inlineStr">
        <is>
          <t>1. Deliver own BA/analysis workstreams to &gt;=95% quality &amp; timeliness
2. Provide day-to-day technical/functional guidance to 2 engineers · Saurabh, Ghanshyam, ensuring their deliverables meet the quality bar
3. Achieve &gt;=4/5 feedback score from the engineers he guides
4. Ensure escalations/issues on his pod are resolved within SLA
5. Contribute to onboarding/process documentation for the pod
6. Provide Jailesh with visibility on pod workload &amp; performance monthly</t>
        </is>
      </c>
      <c r="FF463" s="56" t="inlineStr">
        <is>
          <t>Q1: Deliver own BA workstreams to &gt;=95% quality &amp; timeliness
Q1: Establish a regular guidance/review cadence with the 2 engineers he leads
Q1: Resolve pod escalations within SLA
Q1: Provide first monthly pod workload/performance update to Jailesh</t>
        </is>
      </c>
      <c r="FG463" s="56" t="inlineStr">
        <is>
          <t>1.Deliver assigned features/releases with at least 95% adherence to planned timelines and agreed scope.
2. Provide day-to-day functional support to 2 developers, ensuring at least 95% of assigned tasks are completed with minimal rework.
3.Coordinate with stakeholders to gather, clarify, and communicate requirements, ensuring all major requirement changes are shared before development starts.
4.Resolve product-related queries and functional issues within agreed SLAs, with at least 95% resolved on time.
5.Support product releases by completing UAT coordination, release validation, and sign-offs for 100% of planned releases.</t>
        </is>
      </c>
      <c r="FH463" s="56" t="inlineStr">
        <is>
          <t>4</t>
        </is>
      </c>
      <c r="FI463" s="56" t="n"/>
      <c r="FJ463" s="56" t="inlineStr">
        <is>
          <t>Received · manager annual, quarterly, self</t>
        </is>
      </c>
      <c r="FK463" s="56" t="inlineStr">
        <is>
          <t>Talent Mapping · iFile collated</t>
        </is>
      </c>
      <c r="FL463" s="56" t="n">
        <v>20</v>
      </c>
      <c r="FM463" s="32" t="inlineStr">
        <is>
          <t>Full survey answers not in the files received · How We Grow export needed · HR</t>
        </is>
      </c>
      <c r="FN463" s="56" t="inlineStr">
        <is>
          <t>—</t>
        </is>
      </c>
      <c r="FO463" s="56" t="inlineStr">
        <is>
          <t>—</t>
        </is>
      </c>
      <c r="FP463" s="56" t="inlineStr">
        <is>
          <t>—</t>
        </is>
      </c>
      <c r="FQ463" s="56" t="inlineStr">
        <is>
          <t>—</t>
        </is>
      </c>
      <c r="FR463" s="56" t="inlineStr">
        <is>
          <t>Complexity: Evidence reads like B1: Builds AI product prototypes, workflows, POCs across INSTANT · MBRS, ACRA mandates, Fit and Proper, RegAI → moved up 0.5
Autonomy: Evidence reads like A3: Decides workflow optimisation and prioritises what is important currently → matches the start
Accountability: Evidence reads like A3: Accountable for production bugs; missed work delays a feature timeline → moved down 0.5
Leadership: Evidence reads like A3: 2 direct reports; manager note: day-to-day functional guidance to 2 developers → moved down 0.5
Business Impact: Moved +0.5: the survey / manager mapping marks it business-critical.</t>
        </is>
      </c>
      <c r="FS463" s="56" t="inlineStr">
        <is>
          <t>Common themes in role-holders' answers: business · requirements · technical · between · client · understand
Common themes in role-holders' answers: documentation · requirement · client · gathering · coordination · managing
Common themes in role-holders' answers: deliver · product · client · requirement · process · business
Common themes in role-holders' answers: requirements · accountable · delivery · quality · documentation · timely
Common themes in role-holders' answers: documentation · prioritize · user stories · process · project
If the work is missed · role-holders' themes: rework · client.
Measured on · manager-set KRA themes: delivery · assigned · project · requests · satisfaction.</t>
        </is>
      </c>
      <c r="FT463" s="56" t="inlineStr">
        <is>
          <t>Self-identified: Technical depth &amp; architecture
For the next role: Technical depth &amp; architecture</t>
        </is>
      </c>
      <c r="FU463" s="32" t="inlineStr">
        <is>
          <t>Full survey answers not in the files received · How We Grow export needed · HR</t>
        </is>
      </c>
    </row>
    <row r="464" ht="90" customHeight="1">
      <c r="A464" s="51" t="inlineStr">
        <is>
          <t>◂ Back</t>
        </is>
      </c>
      <c r="B464" s="29" t="inlineStr">
        <is>
          <t>Mapped</t>
        </is>
      </c>
      <c r="C464" s="28" t="inlineStr">
        <is>
          <t>iFile</t>
        </is>
      </c>
      <c r="D464" s="29" t="inlineStr">
        <is>
          <t>IRIS2528</t>
        </is>
      </c>
      <c r="E464" s="29" t="inlineStr">
        <is>
          <t>Ghanshyam L Desale</t>
        </is>
      </c>
      <c r="F464" s="29" t="inlineStr">
        <is>
          <t>Technology</t>
        </is>
      </c>
      <c r="G464" s="29" t="inlineStr">
        <is>
          <t>Software Engineer</t>
        </is>
      </c>
      <c r="H464" s="29" t="inlineStr">
        <is>
          <t>Senior UI Developer</t>
        </is>
      </c>
      <c r="I464" s="29" t="inlineStr">
        <is>
          <t>L3 – Professional / Associate</t>
        </is>
      </c>
      <c r="J464" s="29" t="inlineStr">
        <is>
          <t>A3</t>
        </is>
      </c>
      <c r="K464" s="29" t="inlineStr">
        <is>
          <t>▲ Up</t>
        </is>
      </c>
      <c r="L464" s="29" t="inlineStr">
        <is>
          <t>Engineering &amp; Development</t>
        </is>
      </c>
      <c r="M464" s="29" t="inlineStr">
        <is>
          <t>Front-End / UI Development</t>
        </is>
      </c>
      <c r="N464" s="29" t="n"/>
      <c r="O464" s="29" t="n">
        <v>20</v>
      </c>
      <c r="P464" s="28" t="inlineStr">
        <is>
          <t>P2</t>
        </is>
      </c>
      <c r="Q464" s="29" t="inlineStr">
        <is>
          <t>Developing</t>
        </is>
      </c>
      <c r="R464" s="29" t="inlineStr">
        <is>
          <t>3 Apply</t>
        </is>
      </c>
      <c r="S464" s="29" t="inlineStr">
        <is>
          <t>2–4 yrs</t>
        </is>
      </c>
      <c r="T464" s="29" t="inlineStr">
        <is>
          <t>3–5 · 2–5</t>
        </is>
      </c>
      <c r="U464" s="29" t="inlineStr">
        <is>
          <t>Software Engineer</t>
        </is>
      </c>
      <c r="V464" s="29" t="inlineStr">
        <is>
          <t>Workiva: SE · Broadridge India: SE · Nasdaq / AxiomSL: SE · Salesforce: MTS · Atlassian: P40 · 3–7 yrs · Freshworks: Senior SE</t>
        </is>
      </c>
      <c r="W464" s="29" t="inlineStr">
        <is>
          <t>SFIA 9 · software development, programming; OWASP secure coding; cloud vendor certifications</t>
        </is>
      </c>
      <c r="X464" s="29" t="inlineStr">
        <is>
          <t>Core 2 · Future 2 · Functional 3 · Leadership not scored</t>
        </is>
      </c>
      <c r="Y464" s="52" t="n">
        <v>498</v>
      </c>
      <c r="Z464" s="53" t="inlineStr">
        <is>
          <t>IRIS2528</t>
        </is>
      </c>
      <c r="AA464" s="53" t="inlineStr">
        <is>
          <t>Employee</t>
        </is>
      </c>
      <c r="AB464" s="53" t="inlineStr">
        <is>
          <t>Active</t>
        </is>
      </c>
      <c r="AC464" s="53" t="inlineStr">
        <is>
          <t>Ghanshyam L Desale</t>
        </is>
      </c>
      <c r="AD464" s="54" t="n">
        <v>46146</v>
      </c>
      <c r="AE464" s="53" t="inlineStr">
        <is>
          <t>Software Engineer</t>
        </is>
      </c>
      <c r="AF464" s="53" t="inlineStr">
        <is>
          <t>B.E</t>
        </is>
      </c>
      <c r="AG464" s="53" t="inlineStr">
        <is>
          <t>Srikant Mishra</t>
        </is>
      </c>
      <c r="AH464" s="53" t="inlineStr">
        <is>
          <t>N-3</t>
        </is>
      </c>
      <c r="AI464" s="53" t="inlineStr">
        <is>
          <t>Individual Contributor</t>
        </is>
      </c>
      <c r="AJ464" s="53" t="inlineStr">
        <is>
          <t>3 years, 5 months, 0 days</t>
        </is>
      </c>
      <c r="AK464" s="53" t="inlineStr">
        <is>
          <t>0 years, 3 months, 21 days</t>
        </is>
      </c>
      <c r="AL464" s="53" t="inlineStr">
        <is>
          <t>Suptech</t>
        </is>
      </c>
      <c r="AM464" s="53" t="inlineStr">
        <is>
          <t>iFile</t>
        </is>
      </c>
      <c r="AN464" s="53" t="inlineStr">
        <is>
          <t>Technology</t>
        </is>
      </c>
      <c r="AO464" s="53" t="inlineStr">
        <is>
          <t>Development</t>
        </is>
      </c>
      <c r="AP464" s="53" t="inlineStr">
        <is>
          <t>Yes</t>
        </is>
      </c>
      <c r="AQ464" s="53" t="inlineStr">
        <is>
          <t>Product/Project</t>
        </is>
      </c>
      <c r="AR464" s="53" t="inlineStr">
        <is>
          <t>Angular</t>
        </is>
      </c>
      <c r="AS464" s="53" t="inlineStr">
        <is>
          <t>Technical - Developer</t>
        </is>
      </c>
      <c r="AT464" s="53" t="n">
        <v>20</v>
      </c>
      <c r="AU464" s="53" t="inlineStr">
        <is>
          <t>Covered</t>
        </is>
      </c>
      <c r="AV464" s="53" t="n"/>
      <c r="AW464" s="53" t="n"/>
      <c r="AX464" s="53" t="n"/>
      <c r="AY464" s="53" t="n"/>
      <c r="AZ464" s="53" t="n"/>
      <c r="BA464" s="53" t="n"/>
      <c r="BB464" s="53" t="n"/>
      <c r="BC464" s="53" t="n"/>
      <c r="BD464" s="53" t="n"/>
      <c r="BE464" s="53" t="n"/>
      <c r="BF464" s="53" t="n"/>
      <c r="BG464" s="53" t="n"/>
      <c r="BH464" s="53" t="n"/>
      <c r="BI464" s="53" t="n"/>
      <c r="BJ464" s="53" t="n"/>
      <c r="BK464" s="53" t="n"/>
      <c r="BL464" s="53" t="n"/>
      <c r="BM464" s="53" t="n"/>
      <c r="BN464" s="53" t="n"/>
      <c r="BO464" s="53" t="n"/>
      <c r="BP464" s="53" t="n"/>
      <c r="BQ464" s="53" t="n"/>
      <c r="BR464" s="53" t="n"/>
      <c r="BS464" s="53" t="n"/>
      <c r="BT464" s="53" t="n"/>
      <c r="BU464" s="53" t="n"/>
      <c r="BV464" s="53" t="n"/>
      <c r="BW464" s="53" t="n"/>
      <c r="BX464" s="53" t="n"/>
      <c r="BY464" s="53" t="n"/>
      <c r="BZ464" s="53" t="n"/>
      <c r="CA464" s="53" t="n"/>
      <c r="CB464" s="53" t="n"/>
      <c r="CC464" s="53" t="n"/>
      <c r="CD464" s="53" t="n"/>
      <c r="CE464" s="53" t="n"/>
      <c r="CF464" s="53" t="n"/>
      <c r="CG464" s="53" t="n"/>
      <c r="CH464" s="53" t="n"/>
      <c r="CI464" s="53" t="n"/>
      <c r="CJ464" s="53" t="n"/>
      <c r="CK464" s="53" t="n"/>
      <c r="CL464" s="53" t="n"/>
      <c r="CM464" s="53" t="n"/>
      <c r="CN464" s="53" t="n"/>
      <c r="CO464" s="53" t="n"/>
      <c r="CP464" s="53" t="n"/>
      <c r="CQ464" s="53" t="n"/>
      <c r="CR464" s="53" t="n"/>
      <c r="CS464" s="53" t="n"/>
      <c r="CT464" s="53" t="n"/>
      <c r="CU464" s="53" t="n"/>
      <c r="CV464" s="53" t="n"/>
      <c r="CW464" s="53" t="n"/>
      <c r="CX464" s="53" t="n"/>
      <c r="CY464" s="53" t="n"/>
      <c r="CZ464" s="53" t="n"/>
      <c r="DA464" s="53" t="n"/>
      <c r="DB464" s="53" t="n"/>
      <c r="DC464" s="53" t="n"/>
      <c r="DD464" s="53" t="inlineStr">
        <is>
          <t>IRIS2528</t>
        </is>
      </c>
      <c r="DE464" s="53" t="inlineStr">
        <is>
          <t>Employee</t>
        </is>
      </c>
      <c r="DF464" s="53" t="inlineStr">
        <is>
          <t>Active</t>
        </is>
      </c>
      <c r="DG464" s="53" t="inlineStr">
        <is>
          <t>Ghanshyam L Desale</t>
        </is>
      </c>
      <c r="DH464" s="54" t="n">
        <v>46146</v>
      </c>
      <c r="DI464" s="53" t="inlineStr">
        <is>
          <t>Software Engineer</t>
        </is>
      </c>
      <c r="DJ464" s="53" t="inlineStr">
        <is>
          <t>Engineering &amp; Development</t>
        </is>
      </c>
      <c r="DK464" s="53" t="inlineStr">
        <is>
          <t>Software Engineering</t>
        </is>
      </c>
      <c r="DL464" s="53" t="inlineStr">
        <is>
          <t>Software Engineer</t>
        </is>
      </c>
      <c r="DM464" s="53" t="inlineStr">
        <is>
          <t>L3 – Professional / Associate</t>
        </is>
      </c>
      <c r="DN464" s="53" t="inlineStr">
        <is>
          <t>B.E</t>
        </is>
      </c>
      <c r="DO464" s="53" t="inlineStr">
        <is>
          <t>Srikant Mishra</t>
        </is>
      </c>
      <c r="DP464" s="53" t="inlineStr">
        <is>
          <t>N-4</t>
        </is>
      </c>
      <c r="DQ464" s="53" t="inlineStr">
        <is>
          <t>Individual Contributor</t>
        </is>
      </c>
      <c r="DR464" s="53" t="inlineStr">
        <is>
          <t>3 years, 5 months, 0 days</t>
        </is>
      </c>
      <c r="DS464" s="53" t="inlineStr">
        <is>
          <t>0 years, 1 months, 16 days</t>
        </is>
      </c>
      <c r="DT464" s="53" t="inlineStr">
        <is>
          <t>3 years, 6 months, 16 days</t>
        </is>
      </c>
      <c r="DU464" s="53" t="n"/>
      <c r="DV464" s="53" t="inlineStr">
        <is>
          <t>Suptech</t>
        </is>
      </c>
      <c r="DW464" s="53" t="inlineStr">
        <is>
          <t>iFile</t>
        </is>
      </c>
      <c r="DX464" s="53" t="inlineStr">
        <is>
          <t>Technology</t>
        </is>
      </c>
      <c r="DY464" s="53" t="inlineStr">
        <is>
          <t>Development</t>
        </is>
      </c>
      <c r="DZ464" s="53" t="inlineStr">
        <is>
          <t>Yes</t>
        </is>
      </c>
      <c r="EA464" s="53" t="inlineStr">
        <is>
          <t>Product/Project</t>
        </is>
      </c>
      <c r="EB464" s="53" t="inlineStr">
        <is>
          <t>Angular</t>
        </is>
      </c>
      <c r="EC464" s="53" t="inlineStr">
        <is>
          <t>Technical - Developer</t>
        </is>
      </c>
      <c r="ED464" s="53" t="inlineStr">
        <is>
          <t>Work From Office - Turbhe</t>
        </is>
      </c>
      <c r="EE464" s="53" t="inlineStr">
        <is>
          <t>1.Take ownership of assigned modules by actively participating in technical discussions, design reviews, and code reviews, while contributing to engineering best practices and timely delivery.
2.Contribute 2–3 actionable suggestions for product enhancement, performance optimization, or user experience improvements based on product understanding and business requirements.
3.Deliver assigned sprint stories and feature enhancements with ≥90% on-time completion while maintaining &lt;5% post-release defect rate.
4.Build practical knowledge of Generative AI by exploring relevant tools/frameworks and identifying opportunities to improve product capabilities or engineering productivity through AI-driven solutions.
5.Complete at least one certification or structured learning program in Generative AI, AI Engineering, or System Design, and apply relevant learnings to project work wherever applicable.</t>
        </is>
      </c>
      <c r="EF464" s="53" t="inlineStr">
        <is>
          <t>1. Deliver assigned sprint stories with &gt;=85% on-time completion · ramp-up allowance in Q1
2. Maintain code quality gate adherence on owned Angular components
3. Complete peer code reviews for assigned PRs within 24-hour SLA once ramped up
4. Zero critical/high production defects attributable to owned code
5. Complete structured Angular/front-end onboarding within first 90 days
6. Complete at least 1 Angular/front-end upskilling module this year</t>
        </is>
      </c>
      <c r="EG464" s="53" t="inlineStr">
        <is>
          <t>Q1: Complete structured onboarding within first 90 days
Q1: Deliver first assigned sprint stories with guided support
Q1: Maintain code quality gate adherence on owned components
Q1: Zero critical/high defects on owned code</t>
        </is>
      </c>
      <c r="EH464" s="53" t="n">
        <v>3</v>
      </c>
      <c r="EI464" s="53" t="inlineStr">
        <is>
          <t>-</t>
        </is>
      </c>
      <c r="EJ464" s="53" t="inlineStr">
        <is>
          <t>Software Engineer</t>
        </is>
      </c>
      <c r="EK464" s="53" t="inlineStr">
        <is>
          <t>No – designation matches role; too early for a structural view.</t>
        </is>
      </c>
      <c r="EL464" s="53" t="n">
        <v>3</v>
      </c>
      <c r="EM464" s="53" t="inlineStr">
        <is>
          <t>Medium</t>
        </is>
      </c>
      <c r="EN464" s="53" t="inlineStr">
        <is>
          <t>Core Contributor</t>
        </is>
      </c>
      <c r="EO464" s="53" t="inlineStr">
        <is>
          <t>N</t>
        </is>
      </c>
      <c r="EP464" s="53" t="inlineStr">
        <is>
          <t>N</t>
        </is>
      </c>
      <c r="EQ464" s="53" t="inlineStr">
        <is>
          <t>N</t>
        </is>
      </c>
      <c r="ER464" s="53" t="inlineStr">
        <is>
          <t>-</t>
        </is>
      </c>
      <c r="ES464" s="53" t="inlineStr">
        <is>
          <t>Advanced Angular/TypeScript; component architecture &amp; state management; code quality &amp; testing practices; secure coding</t>
        </is>
      </c>
      <c r="ET464" s="53" t="inlineStr">
        <is>
          <t>-</t>
        </is>
      </c>
      <c r="EU464" s="53" t="inlineStr">
        <is>
          <t>New joiner - Might need discussion with her reporting manager</t>
        </is>
      </c>
      <c r="EV464" s="53" t="n"/>
      <c r="EW464" s="52" t="n"/>
      <c r="EX464" s="53" t="n"/>
      <c r="EY464" s="53" t="n"/>
      <c r="EZ464" s="53" t="n"/>
      <c r="FA464" s="53" t="n"/>
      <c r="FB464" s="53" t="n"/>
      <c r="FC464" s="53" t="n"/>
      <c r="FD464" s="53" t="n"/>
      <c r="FE464" s="57" t="inlineStr">
        <is>
          <t>1. Deliver assigned sprint stories with &gt;=85% on-time completion · ramp-up allowance in Q1
2. Maintain code quality gate adherence on owned Angular components
3. Complete peer code reviews for assigned PRs within 24-hour SLA once ramped up
4. Zero critical/high production defects attributable to owned code
5. Complete structured Angular/front-end onboarding within first 90 days
6. Complete at least 1 Angular/front-end upskilling module this year</t>
        </is>
      </c>
      <c r="FF464" s="56" t="inlineStr">
        <is>
          <t>Q1: Complete structured onboarding within first 90 days
Q1: Deliver first assigned sprint stories with guided support
Q1: Maintain code quality gate adherence on owned components
Q1: Zero critical/high defects on owned code</t>
        </is>
      </c>
      <c r="FG464" s="56" t="inlineStr">
        <is>
          <t>1.Take ownership of assigned modules by actively participating in technical discussions, design reviews, and code reviews, while contributing to engineering best practices and timely delivery.
2.Contribute 2–3 actionable suggestions for product enhancement, performance optimization, or user experience improvements based on product understanding and business requirements.
3.Deliver assigned sprint stories and feature enhancements with ≥90% on-time completion while maintaining &lt;5% post-release defect rate.
4.Build practical knowledge of Generative AI by exploring relevant tools/frameworks and identifying opportunities to improve product capabilities or engineering productivity through AI-driven solutions.
5.Complete at least one certification or structured learning program in Generative AI, AI Engineering, or System Design, and apply relevant learnings to project work wherever applicable.</t>
        </is>
      </c>
      <c r="FH464" s="56" t="inlineStr">
        <is>
          <t>3</t>
        </is>
      </c>
      <c r="FI464" s="56" t="n"/>
      <c r="FJ464" s="56" t="inlineStr">
        <is>
          <t>Received · manager annual, quarterly, self</t>
        </is>
      </c>
      <c r="FK464" s="56" t="inlineStr">
        <is>
          <t>Talent Mapping · iFile collated</t>
        </is>
      </c>
      <c r="FL464" s="56" t="n">
        <v>20</v>
      </c>
      <c r="FM464" s="32" t="inlineStr">
        <is>
          <t>Full survey answers not in the files received · How We Grow export needed · HR</t>
        </is>
      </c>
      <c r="FN464" s="56" t="inlineStr">
        <is>
          <t>—</t>
        </is>
      </c>
      <c r="FO464" s="56" t="inlineStr">
        <is>
          <t>—</t>
        </is>
      </c>
      <c r="FP464" s="56" t="inlineStr">
        <is>
          <t>—</t>
        </is>
      </c>
      <c r="FQ464" s="56" t="inlineStr">
        <is>
          <t>—</t>
        </is>
      </c>
      <c r="FR464" s="56" t="inlineStr">
        <is>
          <t>Complexity: Evidence reads like A3: Full-stack feature development on AI-driven SaaS products, with code review, performance work and deployments → moved up 0.5
Autonomy: Evidence reads like A2: Only independent decision cited is performance optimisation; works on assigned modules and sprint stories → matches the start
Accountability: Evidence reads like A3: Accountable for feature development, product performance and deployments of what he builds → moved up 0.5
Leadership: Evidence reads like A2: Takes part in code and design reviews; no guiding or leading described → moved up 0.5</t>
        </is>
      </c>
      <c r="FS464" s="56" t="inlineStr">
        <is>
          <t>Common themes in role-holders' answers: core · purpose · web · improve · business · user-friendly
Common themes in role-holders' answers: ui · user · performance · design · development · testing
Common themes in role-holders' answers: user · app
Common themes in role-holders' answers: development · am · accountable · quality · ui · responsive user-friendly
Common themes in role-holders' answers: code · ui
If the work is missed · role-holders' themes: impact · delivery · performance · overall.
Measured on · manager-set KRA themes: components · sprint · code · coverage · quality · maintain.</t>
        </is>
      </c>
      <c r="FT464" s="56" t="inlineStr">
        <is>
          <t>Self-identified: AI / automation · Technical depth &amp; architecture
For the next role: AI / automation · Technical depth &amp; architecture</t>
        </is>
      </c>
      <c r="FU464" s="32" t="inlineStr">
        <is>
          <t>Full survey answers not in the files received · How We Grow export needed · HR</t>
        </is>
      </c>
    </row>
    <row r="465" ht="90" customHeight="1">
      <c r="A465" s="51" t="inlineStr">
        <is>
          <t>◂ Back</t>
        </is>
      </c>
      <c r="B465" s="29" t="inlineStr">
        <is>
          <t>Mapped</t>
        </is>
      </c>
      <c r="C465" s="28" t="inlineStr">
        <is>
          <t>iFile</t>
        </is>
      </c>
      <c r="D465" s="29" t="inlineStr">
        <is>
          <t>IRIS2424</t>
        </is>
      </c>
      <c r="E465" s="29" t="inlineStr">
        <is>
          <t>Saurabh Padalkar</t>
        </is>
      </c>
      <c r="F465" s="29" t="inlineStr">
        <is>
          <t>Technology</t>
        </is>
      </c>
      <c r="G465" s="29" t="inlineStr">
        <is>
          <t>Software Engineer</t>
        </is>
      </c>
      <c r="H465" s="29" t="inlineStr">
        <is>
          <t>Senior AI/ML Engineer</t>
        </is>
      </c>
      <c r="I465" s="29" t="inlineStr">
        <is>
          <t>L3 – Professional / Associate</t>
        </is>
      </c>
      <c r="J465" s="29" t="inlineStr">
        <is>
          <t>A3</t>
        </is>
      </c>
      <c r="K465" s="29" t="inlineStr">
        <is>
          <t>▲ Up</t>
        </is>
      </c>
      <c r="L465" s="29" t="inlineStr">
        <is>
          <t>Engineering &amp; Development</t>
        </is>
      </c>
      <c r="M465" s="29" t="inlineStr">
        <is>
          <t>AI / ML &amp; GenAI Engineering</t>
        </is>
      </c>
      <c r="N465" s="29" t="n"/>
      <c r="O465" s="29" t="n">
        <v>20</v>
      </c>
      <c r="P465" s="28" t="inlineStr">
        <is>
          <t>P2</t>
        </is>
      </c>
      <c r="Q465" s="29" t="inlineStr">
        <is>
          <t>Developing</t>
        </is>
      </c>
      <c r="R465" s="29" t="inlineStr">
        <is>
          <t>3 Apply</t>
        </is>
      </c>
      <c r="S465" s="29" t="inlineStr">
        <is>
          <t>2–4 yrs</t>
        </is>
      </c>
      <c r="T465" s="29" t="inlineStr">
        <is>
          <t>3–5 · 2–5</t>
        </is>
      </c>
      <c r="U465" s="29" t="inlineStr">
        <is>
          <t>Software Engineer</t>
        </is>
      </c>
      <c r="V465" s="29" t="inlineStr">
        <is>
          <t>Workiva: SE · Broadridge India: SE · Nasdaq / AxiomSL: SE · Salesforce: MTS · Atlassian: P40 · 3–7 yrs · Freshworks: Senior SE</t>
        </is>
      </c>
      <c r="W465" s="29" t="inlineStr">
        <is>
          <t>SFIA 9 · software development, programming; OWASP secure coding; cloud vendor certifications</t>
        </is>
      </c>
      <c r="X465" s="29" t="inlineStr">
        <is>
          <t>Core 2 · Future 2 · Functional 3 · Leadership not scored</t>
        </is>
      </c>
      <c r="Y465" s="52" t="n">
        <v>394</v>
      </c>
      <c r="Z465" s="53" t="inlineStr">
        <is>
          <t>IRIS2424</t>
        </is>
      </c>
      <c r="AA465" s="53" t="inlineStr">
        <is>
          <t>Employee</t>
        </is>
      </c>
      <c r="AB465" s="53" t="inlineStr">
        <is>
          <t>Active</t>
        </is>
      </c>
      <c r="AC465" s="53" t="inlineStr">
        <is>
          <t>Saurabh Padalkar</t>
        </is>
      </c>
      <c r="AD465" s="54" t="n">
        <v>45894</v>
      </c>
      <c r="AE465" s="53" t="inlineStr">
        <is>
          <t>Software Engineer</t>
        </is>
      </c>
      <c r="AF465" s="53" t="inlineStr">
        <is>
          <t>B.E</t>
        </is>
      </c>
      <c r="AG465" s="53" t="inlineStr">
        <is>
          <t>Srikant Mishra</t>
        </is>
      </c>
      <c r="AH465" s="53" t="inlineStr">
        <is>
          <t>N-3</t>
        </is>
      </c>
      <c r="AI465" s="53" t="inlineStr">
        <is>
          <t>Individual Contributor</t>
        </is>
      </c>
      <c r="AJ465" s="53" t="inlineStr">
        <is>
          <t>3 years, 0 months, 0 days</t>
        </is>
      </c>
      <c r="AK465" s="53" t="inlineStr">
        <is>
          <t>1 years, 0 months, 0 days</t>
        </is>
      </c>
      <c r="AL465" s="53" t="inlineStr">
        <is>
          <t>Suptech</t>
        </is>
      </c>
      <c r="AM465" s="53" t="inlineStr">
        <is>
          <t>iFile</t>
        </is>
      </c>
      <c r="AN465" s="53" t="inlineStr">
        <is>
          <t>Technology</t>
        </is>
      </c>
      <c r="AO465" s="53" t="inlineStr">
        <is>
          <t>Development</t>
        </is>
      </c>
      <c r="AP465" s="53" t="inlineStr">
        <is>
          <t>Yes</t>
        </is>
      </c>
      <c r="AQ465" s="53" t="inlineStr">
        <is>
          <t>Product/Project</t>
        </is>
      </c>
      <c r="AR465" s="53" t="inlineStr">
        <is>
          <t>Python</t>
        </is>
      </c>
      <c r="AS465" s="53" t="inlineStr">
        <is>
          <t>Technical - Developer</t>
        </is>
      </c>
      <c r="AT465" s="53" t="n">
        <v>20</v>
      </c>
      <c r="AU465" s="53" t="inlineStr">
        <is>
          <t>Covered</t>
        </is>
      </c>
      <c r="AV465" s="53" t="n"/>
      <c r="AW465" s="53" t="n"/>
      <c r="AX465" s="53" t="n"/>
      <c r="AY465" s="53" t="n"/>
      <c r="AZ465" s="53" t="n"/>
      <c r="BA465" s="53" t="n"/>
      <c r="BB465" s="53" t="n"/>
      <c r="BC465" s="53" t="n"/>
      <c r="BD465" s="53" t="n"/>
      <c r="BE465" s="53" t="n"/>
      <c r="BF465" s="53" t="n"/>
      <c r="BG465" s="53" t="n"/>
      <c r="BH465" s="53" t="n"/>
      <c r="BI465" s="53" t="n"/>
      <c r="BJ465" s="53" t="n"/>
      <c r="BK465" s="53" t="n"/>
      <c r="BL465" s="53" t="n"/>
      <c r="BM465" s="53" t="n"/>
      <c r="BN465" s="53" t="n"/>
      <c r="BO465" s="53" t="n"/>
      <c r="BP465" s="53" t="n"/>
      <c r="BQ465" s="53" t="n"/>
      <c r="BR465" s="53" t="n"/>
      <c r="BS465" s="53" t="n"/>
      <c r="BT465" s="53" t="n"/>
      <c r="BU465" s="53" t="n"/>
      <c r="BV465" s="53" t="n"/>
      <c r="BW465" s="53" t="n"/>
      <c r="BX465" s="53" t="n"/>
      <c r="BY465" s="53" t="n"/>
      <c r="BZ465" s="53" t="n"/>
      <c r="CA465" s="53" t="n"/>
      <c r="CB465" s="53" t="n"/>
      <c r="CC465" s="53" t="n"/>
      <c r="CD465" s="53" t="n"/>
      <c r="CE465" s="53" t="n"/>
      <c r="CF465" s="53" t="n"/>
      <c r="CG465" s="53" t="n"/>
      <c r="CH465" s="53" t="n"/>
      <c r="CI465" s="53" t="n"/>
      <c r="CJ465" s="53" t="n"/>
      <c r="CK465" s="53" t="n"/>
      <c r="CL465" s="53" t="n"/>
      <c r="CM465" s="53" t="n"/>
      <c r="CN465" s="53" t="n"/>
      <c r="CO465" s="53" t="n"/>
      <c r="CP465" s="53" t="n"/>
      <c r="CQ465" s="53" t="n"/>
      <c r="CR465" s="53" t="n"/>
      <c r="CS465" s="53" t="n"/>
      <c r="CT465" s="53" t="n"/>
      <c r="CU465" s="53" t="n"/>
      <c r="CV465" s="53" t="n"/>
      <c r="CW465" s="53" t="n"/>
      <c r="CX465" s="53" t="n"/>
      <c r="CY465" s="53" t="n"/>
      <c r="CZ465" s="53" t="n"/>
      <c r="DA465" s="53" t="n"/>
      <c r="DB465" s="53" t="n"/>
      <c r="DC465" s="53" t="n"/>
      <c r="DD465" s="53" t="inlineStr">
        <is>
          <t>IRIS2424</t>
        </is>
      </c>
      <c r="DE465" s="53" t="inlineStr">
        <is>
          <t>Employee</t>
        </is>
      </c>
      <c r="DF465" s="53" t="inlineStr">
        <is>
          <t>Active</t>
        </is>
      </c>
      <c r="DG465" s="53" t="inlineStr">
        <is>
          <t>Saurabh Padalkar</t>
        </is>
      </c>
      <c r="DH465" s="54" t="n">
        <v>45894</v>
      </c>
      <c r="DI465" s="53" t="inlineStr">
        <is>
          <t>Software Engineer</t>
        </is>
      </c>
      <c r="DJ465" s="53" t="inlineStr">
        <is>
          <t>Engineering &amp; Development</t>
        </is>
      </c>
      <c r="DK465" s="53" t="inlineStr">
        <is>
          <t>Backend Engineering · Python</t>
        </is>
      </c>
      <c r="DL465" s="53" t="inlineStr">
        <is>
          <t>Software Engineer</t>
        </is>
      </c>
      <c r="DM465" s="53" t="inlineStr">
        <is>
          <t>L3 – Professional / Associate</t>
        </is>
      </c>
      <c r="DN465" s="53" t="inlineStr">
        <is>
          <t>B.E</t>
        </is>
      </c>
      <c r="DO465" s="53" t="inlineStr">
        <is>
          <t>Srikant Mishra</t>
        </is>
      </c>
      <c r="DP465" s="53" t="inlineStr">
        <is>
          <t>N-4</t>
        </is>
      </c>
      <c r="DQ465" s="53" t="inlineStr">
        <is>
          <t>Individual Contributor</t>
        </is>
      </c>
      <c r="DR465" s="53" t="inlineStr">
        <is>
          <t>3 years, 0 months, 0 days</t>
        </is>
      </c>
      <c r="DS465" s="53" t="inlineStr">
        <is>
          <t>0 years, 9 months, 26 days</t>
        </is>
      </c>
      <c r="DT465" s="53" t="inlineStr">
        <is>
          <t>3 years, 9 months, 26 days</t>
        </is>
      </c>
      <c r="DU465" s="53" t="n"/>
      <c r="DV465" s="53" t="inlineStr">
        <is>
          <t>Suptech</t>
        </is>
      </c>
      <c r="DW465" s="53" t="inlineStr">
        <is>
          <t>iFile</t>
        </is>
      </c>
      <c r="DX465" s="53" t="inlineStr">
        <is>
          <t>Technology</t>
        </is>
      </c>
      <c r="DY465" s="53" t="inlineStr">
        <is>
          <t>Development</t>
        </is>
      </c>
      <c r="DZ465" s="53" t="inlineStr">
        <is>
          <t>Yes</t>
        </is>
      </c>
      <c r="EA465" s="53" t="inlineStr">
        <is>
          <t>Product/Project</t>
        </is>
      </c>
      <c r="EB465" s="53" t="inlineStr">
        <is>
          <t>Python</t>
        </is>
      </c>
      <c r="EC465" s="53" t="inlineStr">
        <is>
          <t>Technical - Developer</t>
        </is>
      </c>
      <c r="ED465" s="53" t="inlineStr">
        <is>
          <t>Work From Office - Turbhe</t>
        </is>
      </c>
      <c r="EE465" s="53" t="inlineStr">
        <is>
          <t>1. Learn and apply new technologies
I want to keep learning new technologies, especially AI, and use them wherever possible to build better solutions and add more value to IRIS RegTech products.
2. Build impactful POCs
I want to focus on developing POCs that solve real business problems and can eventually be converted into product features that benefit our customers.
3. Collaborate across teams
I would like to work more closely with different teams to understand various domains, learn from their experience, and contribute more effectively to building better products.
4. Take part in innovation initiatives
I want to actively participate in hackathons and innovation activities to experiment with new ideas, improve my problem-solving skills, and contribute to the company's innovation efforts.
5. Improve my technical skills and productivity
I want to continue improving my coding, system design, and overall development skills while making better use of AI tools to work more efficiently and deliver high-quality solutions.</t>
        </is>
      </c>
      <c r="EF465" s="53" t="inlineStr">
        <is>
          <t>1. Deliver assigned sprint stories with &gt;=90% on-time completion and &lt;5% post-release defect rate
2. Maintain &gt;=90% adherence to code quality gates · lint/review comments resolved on owned modules
3. Complete peer code reviews for &gt;=90% of assigned PRs within 24-hour SLA
4. Zero critical/high production defects attributable to owned code this quarter
5. Complete at least 1 Python/backend upskilling module or certification this year
6. Contribute to technical documentation for at least 1 owned feature/module</t>
        </is>
      </c>
      <c r="EG465" s="53" t="inlineStr">
        <is>
          <t>Q1: Deliver assigned sprint stories with &gt;=90% on-time completion
Q1: Maintain &lt;5% post-release defect rate on owned code
Q1: Complete peer reviews within 24-hour SLA
Q1: Zero critical/high production defects on owned code</t>
        </is>
      </c>
      <c r="EH465" s="53" t="n">
        <v>3</v>
      </c>
      <c r="EI465" s="53" t="inlineStr">
        <is>
          <t>-</t>
        </is>
      </c>
      <c r="EJ465" s="53" t="inlineStr">
        <is>
          <t>Software Engineer</t>
        </is>
      </c>
      <c r="EK465" s="53" t="inlineStr">
        <is>
          <t>No – designation matches current scope.</t>
        </is>
      </c>
      <c r="EL465" s="53" t="n">
        <v>3</v>
      </c>
      <c r="EM465" s="53" t="inlineStr">
        <is>
          <t>Medium</t>
        </is>
      </c>
      <c r="EN465" s="53" t="inlineStr">
        <is>
          <t>Core Contributor</t>
        </is>
      </c>
      <c r="EO465" s="53" t="inlineStr">
        <is>
          <t>N</t>
        </is>
      </c>
      <c r="EP465" s="53" t="inlineStr">
        <is>
          <t>N</t>
        </is>
      </c>
      <c r="EQ465" s="53" t="inlineStr">
        <is>
          <t>N</t>
        </is>
      </c>
      <c r="ER465" s="53" t="inlineStr">
        <is>
          <t>No successor needed at this level currently.</t>
        </is>
      </c>
      <c r="ES465" s="53" t="inlineStr">
        <is>
          <t>Advanced Python; secure coding &amp; code-quality practices; unit/automated testing; system design fundamentals</t>
        </is>
      </c>
      <c r="ET465" s="53" t="inlineStr">
        <is>
          <t>-</t>
        </is>
      </c>
      <c r="EU465" s="53" t="inlineStr">
        <is>
          <t>Might need discussion with his reporting manager</t>
        </is>
      </c>
      <c r="EV465" s="53" t="n"/>
      <c r="EW465" s="52" t="n"/>
      <c r="EX465" s="53" t="n"/>
      <c r="EY465" s="53" t="n"/>
      <c r="EZ465" s="53" t="n"/>
      <c r="FA465" s="53" t="n"/>
      <c r="FB465" s="53" t="n"/>
      <c r="FC465" s="53" t="n"/>
      <c r="FD465" s="53" t="n"/>
      <c r="FE465" s="57" t="inlineStr">
        <is>
          <t>1. Deliver assigned sprint stories with &gt;=90% on-time completion and &lt;5% post-release defect rate
2. Maintain &gt;=90% adherence to code quality gates · lint/review comments resolved on owned modules
3. Complete peer code reviews for &gt;=90% of assigned PRs within 24-hour SLA
4. Zero critical/high production defects attributable to owned code this quarter
5. Complete at least 1 Python/backend upskilling module or certification this year
6. Contribute to technical documentation for at least 1 owned feature/module</t>
        </is>
      </c>
      <c r="FF465" s="56" t="inlineStr">
        <is>
          <t>Q1: Deliver assigned sprint stories with &gt;=90% on-time completion
Q1: Maintain &lt;5% post-release defect rate on owned code
Q1: Complete peer reviews within 24-hour SLA
Q1: Zero critical/high production defects on owned code</t>
        </is>
      </c>
      <c r="FG465" s="56" t="inlineStr">
        <is>
          <t>1. Learn and apply new technologies
I want to keep learning new technologies, especially AI, and use them wherever possible to build better solutions and add more value to IRIS RegTech products.
2. Build impactful POCs
I want to focus on developing POCs that solve real business problems and can eventually be converted into product features that benefit our customers.
3. Collaborate across teams
I would like to work more closely with different teams to understand various domains, learn from their experience, and contribute more effectively to building better products.
4. Take part in innovation initiatives
I want to actively participate in hackathons and innovation activities to experiment with new ideas, improve my problem-solving skills, and contribute to the company's innovation efforts.
5. Improve my technical skills and productivity
I want to continue improving my coding, system design, and overall development skills while making better use of AI tools to work more efficiently and deliver high-quality solutions.</t>
        </is>
      </c>
      <c r="FH465" s="56" t="inlineStr">
        <is>
          <t>3</t>
        </is>
      </c>
      <c r="FI465" s="56" t="n"/>
      <c r="FJ465" s="56" t="inlineStr">
        <is>
          <t>Received · manager annual, quarterly, self</t>
        </is>
      </c>
      <c r="FK465" s="56" t="inlineStr">
        <is>
          <t>Talent Mapping · iFile collated</t>
        </is>
      </c>
      <c r="FL465" s="56" t="n">
        <v>20</v>
      </c>
      <c r="FM465" s="32" t="inlineStr">
        <is>
          <t>Full survey answers not in the files received · How We Grow export needed · HR</t>
        </is>
      </c>
      <c r="FN465" s="56" t="inlineStr">
        <is>
          <t>—</t>
        </is>
      </c>
      <c r="FO465" s="56" t="inlineStr">
        <is>
          <t>—</t>
        </is>
      </c>
      <c r="FP465" s="56" t="inlineStr">
        <is>
          <t>—</t>
        </is>
      </c>
      <c r="FQ465" s="56" t="inlineStr">
        <is>
          <t>—</t>
        </is>
      </c>
      <c r="FR465" s="56" t="inlineStr">
        <is>
          <t>Complexity: Evidence reads like A3: Builds SaaS products from scratch in Django/FastAPI and deploys them → moved up 0.5
Autonomy: Evidence reads like A2: Cites only code quality as an independent decision → matches the start
Accountability: Evidence reads like A3: Owns the products he builds: bugs, features, scalability, security and performance → moved up 0.5
Leadership: Evidence reads like A1: No guiding or leading described → matches the start
Business Impact: No move: the survey / manager mapping does not mark it business-critical or unique.</t>
        </is>
      </c>
      <c r="FS465" s="56" t="inlineStr">
        <is>
          <t>Common themes in role-holders' answers: ai · product · solutions · business
Common themes in role-holders' answers: technical
Common themes in role-holders' answers: ai · features
Common themes in role-holders' answers: quality · features · ai · code
Common themes in role-holders' answers: approach
If the work is missed · role-holders' themes: cause.</t>
        </is>
      </c>
      <c r="FT465" s="56" t="inlineStr">
        <is>
          <t>Self-identified: AI / automation · Technical depth &amp; architecture
For the next role: AI / automation · Technical depth &amp; architecture</t>
        </is>
      </c>
      <c r="FU465" s="32" t="inlineStr">
        <is>
          <t>Full survey answers not in the files received · How We Grow export needed · HR</t>
        </is>
      </c>
    </row>
    <row r="466" ht="90" customHeight="1">
      <c r="A466" s="51" t="inlineStr">
        <is>
          <t>◂ Back</t>
        </is>
      </c>
      <c r="B466" s="29" t="inlineStr">
        <is>
          <t>Mapped</t>
        </is>
      </c>
      <c r="C466" s="28" t="inlineStr">
        <is>
          <t>iFile</t>
        </is>
      </c>
      <c r="D466" s="29" t="inlineStr">
        <is>
          <t>IRIS0124</t>
        </is>
      </c>
      <c r="E466" s="29" t="inlineStr">
        <is>
          <t>Surekha Ghadigaonkar</t>
        </is>
      </c>
      <c r="F466" s="29" t="inlineStr">
        <is>
          <t>XBRL Consulting</t>
        </is>
      </c>
      <c r="G466" s="29" t="inlineStr">
        <is>
          <t>Senior Analyst</t>
        </is>
      </c>
      <c r="H466" s="29" t="inlineStr">
        <is>
          <t>Senior Taxonomy Analyst</t>
        </is>
      </c>
      <c r="I466" s="29" t="inlineStr">
        <is>
          <t>L4 – Senior</t>
        </is>
      </c>
      <c r="J466" s="29" t="inlineStr">
        <is>
          <t>A3</t>
        </is>
      </c>
      <c r="K466" s="29" t="inlineStr">
        <is>
          <t>• Same level</t>
        </is>
      </c>
      <c r="L466" s="29" t="inlineStr">
        <is>
          <t>Consulting &amp; Professional Services</t>
        </is>
      </c>
      <c r="M466" s="29" t="inlineStr">
        <is>
          <t>Taxonomy Design &amp; Regulatory Consulting</t>
        </is>
      </c>
      <c r="N466" s="29" t="n"/>
      <c r="O466" s="29" t="n">
        <v>20</v>
      </c>
      <c r="P466" s="28" t="inlineStr">
        <is>
          <t>P2</t>
        </is>
      </c>
      <c r="Q466" s="29" t="inlineStr">
        <is>
          <t>Developing</t>
        </is>
      </c>
      <c r="R466" s="29" t="inlineStr">
        <is>
          <t>3 Apply</t>
        </is>
      </c>
      <c r="S466" s="29" t="inlineStr">
        <is>
          <t>2–4 yrs</t>
        </is>
      </c>
      <c r="T466" s="29" t="inlineStr">
        <is>
          <t>3–5 · 2–5</t>
        </is>
      </c>
      <c r="U466" s="29" t="inlineStr">
        <is>
          <t>Senior Analyst / Associate</t>
        </is>
      </c>
      <c r="V466" s="29" t="inlineStr">
        <is>
          <t>DataTracks: Senior Associate · 2–5 yrs · Big Four: Consultant · IRIS Vs Market Benchmark — XBRL US credential pathway: XBRL US GAAP Certificate</t>
        </is>
      </c>
      <c r="W466" s="29" t="inlineStr">
        <is>
          <t>XBRL US GAAP Certificate · AICPA &amp; XBRL US; XBRL International specifications; IFRS / US GAAP / Ind AS</t>
        </is>
      </c>
      <c r="X466" s="29" t="inlineStr">
        <is>
          <t>Core 2 · Future 2 · Functional 3 · Leadership not scored</t>
        </is>
      </c>
      <c r="Y466" s="52" t="n">
        <v>28</v>
      </c>
      <c r="Z466" s="53" t="inlineStr">
        <is>
          <t>IRIS0124</t>
        </is>
      </c>
      <c r="AA466" s="53" t="inlineStr">
        <is>
          <t>Employee</t>
        </is>
      </c>
      <c r="AB466" s="53" t="inlineStr">
        <is>
          <t>Active</t>
        </is>
      </c>
      <c r="AC466" s="53" t="inlineStr">
        <is>
          <t>Surekha Ghadigaonkar</t>
        </is>
      </c>
      <c r="AD466" s="54" t="n">
        <v>39363</v>
      </c>
      <c r="AE466" s="53" t="inlineStr">
        <is>
          <t>Senior Analyst</t>
        </is>
      </c>
      <c r="AF466" s="53" t="inlineStr">
        <is>
          <t>B.Com</t>
        </is>
      </c>
      <c r="AG466" s="53" t="inlineStr">
        <is>
          <t>Rahul Dhamne</t>
        </is>
      </c>
      <c r="AH466" s="53" t="inlineStr">
        <is>
          <t>N-2</t>
        </is>
      </c>
      <c r="AI466" s="53" t="inlineStr">
        <is>
          <t>Individual Contributor</t>
        </is>
      </c>
      <c r="AJ466" s="53" t="inlineStr">
        <is>
          <t>1 years, 0 months, 0 days</t>
        </is>
      </c>
      <c r="AK466" s="53" t="inlineStr">
        <is>
          <t>18 years, 10 months, 17 days</t>
        </is>
      </c>
      <c r="AL466" s="53" t="inlineStr">
        <is>
          <t>Suptech</t>
        </is>
      </c>
      <c r="AM466" s="53" t="inlineStr">
        <is>
          <t>iFile</t>
        </is>
      </c>
      <c r="AN466" s="53" t="inlineStr">
        <is>
          <t>XBRL Consulting</t>
        </is>
      </c>
      <c r="AO466" s="53" t="inlineStr">
        <is>
          <t>Consulting</t>
        </is>
      </c>
      <c r="AP466" s="53" t="inlineStr">
        <is>
          <t>No</t>
        </is>
      </c>
      <c r="AQ466" s="53" t="inlineStr">
        <is>
          <t>Professional Services</t>
        </is>
      </c>
      <c r="AR466" s="53" t="inlineStr">
        <is>
          <t>XBRL Domain</t>
        </is>
      </c>
      <c r="AS466" s="53" t="inlineStr">
        <is>
          <t>Non-technical</t>
        </is>
      </c>
      <c r="AT466" s="53" t="n">
        <v>20</v>
      </c>
      <c r="AU466" s="53" t="inlineStr">
        <is>
          <t>Covered</t>
        </is>
      </c>
      <c r="AV466" s="53" t="n"/>
      <c r="AW466" s="53" t="n"/>
      <c r="AX466" s="53" t="n"/>
      <c r="AY466" s="53" t="n"/>
      <c r="AZ466" s="53" t="n"/>
      <c r="BA466" s="53" t="n"/>
      <c r="BB466" s="53" t="n"/>
      <c r="BC466" s="53" t="n"/>
      <c r="BD466" s="53" t="n"/>
      <c r="BE466" s="53" t="n"/>
      <c r="BF466" s="53" t="n"/>
      <c r="BG466" s="53" t="n"/>
      <c r="BH466" s="53" t="n"/>
      <c r="BI466" s="53" t="n"/>
      <c r="BJ466" s="53" t="n"/>
      <c r="BK466" s="53" t="n"/>
      <c r="BL466" s="53" t="n"/>
      <c r="BM466" s="53" t="n"/>
      <c r="BN466" s="53" t="n"/>
      <c r="BO466" s="53" t="n"/>
      <c r="BP466" s="53" t="n"/>
      <c r="BQ466" s="53" t="n"/>
      <c r="BR466" s="53" t="n"/>
      <c r="BS466" s="53" t="n"/>
      <c r="BT466" s="53" t="n"/>
      <c r="BU466" s="53" t="n"/>
      <c r="BV466" s="53" t="n"/>
      <c r="BW466" s="53" t="n"/>
      <c r="BX466" s="53" t="n"/>
      <c r="BY466" s="53" t="n"/>
      <c r="BZ466" s="53" t="n"/>
      <c r="CA466" s="53" t="n"/>
      <c r="CB466" s="53" t="n"/>
      <c r="CC466" s="53" t="n"/>
      <c r="CD466" s="53" t="n"/>
      <c r="CE466" s="53" t="n"/>
      <c r="CF466" s="53" t="n"/>
      <c r="CG466" s="53" t="n"/>
      <c r="CH466" s="53" t="n"/>
      <c r="CI466" s="53" t="n"/>
      <c r="CJ466" s="53" t="n"/>
      <c r="CK466" s="53" t="n"/>
      <c r="CL466" s="53" t="n"/>
      <c r="CM466" s="53" t="n"/>
      <c r="CN466" s="53" t="n"/>
      <c r="CO466" s="53" t="n"/>
      <c r="CP466" s="53" t="n"/>
      <c r="CQ466" s="53" t="n"/>
      <c r="CR466" s="53" t="n"/>
      <c r="CS466" s="53" t="n"/>
      <c r="CT466" s="53" t="n"/>
      <c r="CU466" s="53" t="n"/>
      <c r="CV466" s="53" t="n"/>
      <c r="CW466" s="53" t="n"/>
      <c r="CX466" s="53" t="n"/>
      <c r="CY466" s="53" t="n"/>
      <c r="CZ466" s="53" t="n"/>
      <c r="DA466" s="53" t="n"/>
      <c r="DB466" s="53" t="n"/>
      <c r="DC466" s="53" t="n"/>
      <c r="DD466" s="53" t="inlineStr">
        <is>
          <t>IRIS0124</t>
        </is>
      </c>
      <c r="DE466" s="53" t="inlineStr">
        <is>
          <t>Employee</t>
        </is>
      </c>
      <c r="DF466" s="53" t="inlineStr">
        <is>
          <t>Active</t>
        </is>
      </c>
      <c r="DG466" s="53" t="inlineStr">
        <is>
          <t>Surekha Ghadigaonkar</t>
        </is>
      </c>
      <c r="DH466" s="54" t="n">
        <v>39363</v>
      </c>
      <c r="DI466" s="53" t="inlineStr">
        <is>
          <t>Senior Analyst</t>
        </is>
      </c>
      <c r="DJ466" s="53" t="inlineStr">
        <is>
          <t>Consulting &amp; Professional Services</t>
        </is>
      </c>
      <c r="DK466" s="53" t="inlineStr">
        <is>
          <t>XBRL / Regulatory Reporting</t>
        </is>
      </c>
      <c r="DL466" s="53" t="inlineStr">
        <is>
          <t>Senior Analyst</t>
        </is>
      </c>
      <c r="DM466" s="53" t="inlineStr">
        <is>
          <t>L4 – Senior</t>
        </is>
      </c>
      <c r="DN466" s="53" t="inlineStr">
        <is>
          <t>B.Com</t>
        </is>
      </c>
      <c r="DO466" s="53" t="inlineStr">
        <is>
          <t>Jayshree Margi</t>
        </is>
      </c>
      <c r="DP466" s="53" t="inlineStr">
        <is>
          <t>N-3</t>
        </is>
      </c>
      <c r="DQ466" s="53" t="inlineStr">
        <is>
          <t>Individual Contributor</t>
        </is>
      </c>
      <c r="DR466" s="53" t="inlineStr">
        <is>
          <t>1 years, 0 months, 0 days</t>
        </is>
      </c>
      <c r="DS466" s="53" t="inlineStr">
        <is>
          <t>18 years, 8 months, 12 days</t>
        </is>
      </c>
      <c r="DT466" s="53" t="inlineStr">
        <is>
          <t>19 years, 8 months, 12 days</t>
        </is>
      </c>
      <c r="DU466" s="53" t="n"/>
      <c r="DV466" s="53" t="inlineStr">
        <is>
          <t>Suptech</t>
        </is>
      </c>
      <c r="DW466" s="53" t="inlineStr">
        <is>
          <t>iFile</t>
        </is>
      </c>
      <c r="DX466" s="53" t="inlineStr">
        <is>
          <t>XBRL Consulting</t>
        </is>
      </c>
      <c r="DY466" s="53" t="inlineStr">
        <is>
          <t>Consulting</t>
        </is>
      </c>
      <c r="DZ466" s="53" t="inlineStr">
        <is>
          <t>No</t>
        </is>
      </c>
      <c r="EA466" s="53" t="inlineStr">
        <is>
          <t>Professional Services</t>
        </is>
      </c>
      <c r="EB466" s="53" t="inlineStr">
        <is>
          <t>XBRL Domain</t>
        </is>
      </c>
      <c r="EC466" s="53" t="inlineStr">
        <is>
          <t>Non-technical</t>
        </is>
      </c>
      <c r="ED466" s="53" t="inlineStr">
        <is>
          <t>Work From Office - Turbhe</t>
        </is>
      </c>
      <c r="EE466" s="53" t="n"/>
      <c r="EF466" s="53"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EG466" s="53" t="inlineStr">
        <is>
          <t>1. Complete Q1 taxonomy build/test tasks on schedule · &gt;=95% on-time.
2. Close assigned iFILE support tickets within SLA.
3. Finish Q1 Excel/Webform test cycles with defect leakage &lt;2%.</t>
        </is>
      </c>
      <c r="EH466" s="53" t="inlineStr">
        <is>
          <t>3 – Meets Expectations</t>
        </is>
      </c>
      <c r="EI466" s="53" t="inlineStr">
        <is>
          <t>Last appraisal in Oct 2025</t>
        </is>
      </c>
      <c r="EJ466" s="53" t="inlineStr">
        <is>
          <t>Senior Analyst</t>
        </is>
      </c>
      <c r="EK466" s="53" t="inlineStr">
        <is>
          <t>No change</t>
        </is>
      </c>
      <c r="EL466" s="53" t="n">
        <v>3</v>
      </c>
      <c r="EM466" s="53" t="inlineStr">
        <is>
          <t>High</t>
        </is>
      </c>
      <c r="EN466" s="53" t="inlineStr">
        <is>
          <t>Core Contributor</t>
        </is>
      </c>
      <c r="EO466" s="53" t="n"/>
      <c r="EP466" s="53" t="inlineStr">
        <is>
          <t>No</t>
        </is>
      </c>
      <c r="EQ466" s="53" t="n"/>
      <c r="ER466" s="53" t="inlineStr">
        <is>
          <t>To be identified</t>
        </is>
      </c>
      <c r="ES466" s="53" t="inlineStr">
        <is>
          <t>XBRL taxonomy &amp; regulatory updates; domain/accounting refreshers; quality &amp; accuracy practices; tooling proficiency</t>
        </is>
      </c>
      <c r="ET466" s="53" t="inlineStr">
        <is>
          <t>Transition to leadership: people management &amp; delegation, mentoring/coaching, project ownership &amp; stakeholder management, prioritisation under ambiguity, presentation &amp; influence skills</t>
        </is>
      </c>
      <c r="EU466" s="53" t="inlineStr">
        <is>
          <t>SCM,PFRDA,RMA,QCB</t>
        </is>
      </c>
      <c r="EV466" s="53" t="n"/>
      <c r="EW466" s="52" t="n"/>
      <c r="EX466" s="53" t="n"/>
      <c r="EY466" s="53" t="n"/>
      <c r="EZ466" s="53" t="n"/>
      <c r="FA466" s="53" t="n"/>
      <c r="FB466" s="53" t="n"/>
      <c r="FC466" s="53" t="n"/>
      <c r="FD466" s="53" t="n"/>
      <c r="FE466" s="57"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FF466" s="56" t="inlineStr">
        <is>
          <t>1. Complete Q1 taxonomy build/test tasks on schedule · &gt;=95% on-time.
2. Close assigned iFILE support tickets within SLA · &gt;=90%.
3. Finish Q1 Excel/Webform test cycles with defect leakage &lt;2%.</t>
        </is>
      </c>
      <c r="FG466" s="56" t="n"/>
      <c r="FH466" s="56" t="inlineStr">
        <is>
          <t>3 – Meets Expectations</t>
        </is>
      </c>
      <c r="FI466" s="56" t="n"/>
      <c r="FJ466" s="56" t="inlineStr">
        <is>
          <t>Received · manager annual, quarterly</t>
        </is>
      </c>
      <c r="FK466" s="56" t="inlineStr">
        <is>
          <t>Talent Mapping · iFile collated</t>
        </is>
      </c>
      <c r="FL466" s="56" t="n">
        <v>20</v>
      </c>
      <c r="FM466" s="32" t="inlineStr">
        <is>
          <t>Full survey answers not in the files received · How We Grow export needed · HR</t>
        </is>
      </c>
      <c r="FN466" s="56" t="inlineStr">
        <is>
          <t>—</t>
        </is>
      </c>
      <c r="FO466" s="56" t="inlineStr">
        <is>
          <t>—</t>
        </is>
      </c>
      <c r="FP466" s="56" t="inlineStr">
        <is>
          <t>—</t>
        </is>
      </c>
      <c r="FQ466" s="56" t="inlineStr">
        <is>
          <t>—</t>
        </is>
      </c>
      <c r="FR466" s="56" t="inlineStr">
        <is>
          <t>Complexity: Evidence reads like A3: Taxonomy development, requirement analysis and tool testing using Noah, iFile, Webform, Arelle → matches the start
Autonomy: Evidence reads like A2: Decides taxonomy changes; no further detail given → moved down 0.5
Accountability: Evidence reads like A2: Released taxonomy of own development; rework and reputation risk; little detail → moved down 0.5
Leadership: Evidence reads like A1: None described → moved down 0.5
Business Impact: No survey or manager-mapping signal on criticality: kept at the start point.</t>
        </is>
      </c>
      <c r="FS466" s="56" t="inlineStr">
        <is>
          <t>Common themes in role-holders' answers: taxonomy · xbrl · client · data · convert · consultant
Common themes in role-holders' answers: client · testing · taxonomy · requirement · support · development
Common themes in role-holders' answers: taxonomy · xbrl · output · structured
Common themes in role-holders' answers: taxonomy · development · testing · tagging · quality · creation
Common themes in role-holders' answers: testing · formula · validations · tagging · creation · taxonomy
If the work is missed · role-holders' themes: rework · client · escalation · retesting · time.
Measured on · manager-set KRA themes: resolve · defect · deliver · complete · modules · testing.</t>
        </is>
      </c>
      <c r="FT466" s="56" t="inlineStr">
        <is>
          <t>Self-identified: AI / automation · Domain, regulatory &amp; XBRL
For the next role: AI / automation · Domain, regulatory &amp; XBRL</t>
        </is>
      </c>
      <c r="FU466" s="32" t="inlineStr">
        <is>
          <t>Full survey answers not in the files received · How We Grow export needed · HR</t>
        </is>
      </c>
    </row>
    <row r="467" ht="90" customHeight="1">
      <c r="A467" s="51" t="inlineStr">
        <is>
          <t>◂ Back</t>
        </is>
      </c>
      <c r="B467" s="29" t="inlineStr">
        <is>
          <t>Mapped</t>
        </is>
      </c>
      <c r="C467" s="28" t="inlineStr">
        <is>
          <t>iFile</t>
        </is>
      </c>
      <c r="D467" s="29" t="inlineStr">
        <is>
          <t>IRIS2447</t>
        </is>
      </c>
      <c r="E467" s="29" t="inlineStr">
        <is>
          <t>Yash Chikane</t>
        </is>
      </c>
      <c r="F467" s="29" t="inlineStr">
        <is>
          <t>Technology</t>
        </is>
      </c>
      <c r="G467" s="29" t="inlineStr">
        <is>
          <t>Senior Software Engineer - AI/ML</t>
        </is>
      </c>
      <c r="H467" s="29" t="inlineStr">
        <is>
          <t>Senior AI/ML Engineer</t>
        </is>
      </c>
      <c r="I467" s="29" t="inlineStr">
        <is>
          <t>Not in current mapping files</t>
        </is>
      </c>
      <c r="J467" s="29" t="inlineStr">
        <is>
          <t>A3</t>
        </is>
      </c>
      <c r="K467" s="29" t="inlineStr">
        <is>
          <t>● Newly mapped</t>
        </is>
      </c>
      <c r="L467" s="29" t="inlineStr">
        <is>
          <t>Engineering &amp; Development</t>
        </is>
      </c>
      <c r="M467" s="29" t="inlineStr">
        <is>
          <t>AI / ML &amp; GenAI Engineering</t>
        </is>
      </c>
      <c r="N467" s="29" t="n"/>
      <c r="O467" s="29" t="n">
        <v>20</v>
      </c>
      <c r="P467" s="28" t="inlineStr">
        <is>
          <t>P2</t>
        </is>
      </c>
      <c r="Q467" s="29" t="inlineStr">
        <is>
          <t>Developing</t>
        </is>
      </c>
      <c r="R467" s="29" t="inlineStr">
        <is>
          <t>3 Apply</t>
        </is>
      </c>
      <c r="S467" s="29" t="inlineStr">
        <is>
          <t>2–4 yrs</t>
        </is>
      </c>
      <c r="T467" s="29" t="inlineStr">
        <is>
          <t>3–5 · 2–5</t>
        </is>
      </c>
      <c r="U467" s="29" t="inlineStr">
        <is>
          <t>Software Engineer</t>
        </is>
      </c>
      <c r="V467" s="29" t="inlineStr">
        <is>
          <t>Workiva: SE · Broadridge India: SE · Nasdaq / AxiomSL: SE · Salesforce: MTS · Atlassian: P40 · 3–7 yrs · Freshworks: Senior SE</t>
        </is>
      </c>
      <c r="W467" s="29" t="inlineStr">
        <is>
          <t>SFIA 9 · software development, programming; OWASP secure coding; cloud vendor certifications</t>
        </is>
      </c>
      <c r="X467" s="29" t="inlineStr">
        <is>
          <t>Core 2 · Future 2 · Functional 3 · Leadership not scored</t>
        </is>
      </c>
      <c r="Y467" s="52" t="n">
        <v>414</v>
      </c>
      <c r="Z467" s="53" t="inlineStr">
        <is>
          <t>IRIS2447</t>
        </is>
      </c>
      <c r="AA467" s="53" t="inlineStr">
        <is>
          <t>Employee</t>
        </is>
      </c>
      <c r="AB467" s="53" t="inlineStr">
        <is>
          <t>Active</t>
        </is>
      </c>
      <c r="AC467" s="53" t="inlineStr">
        <is>
          <t>Yash Chikane</t>
        </is>
      </c>
      <c r="AD467" s="54" t="n">
        <v>45992</v>
      </c>
      <c r="AE467" s="53" t="inlineStr">
        <is>
          <t>Senior Software Engineer - AI/ML</t>
        </is>
      </c>
      <c r="AF467" s="53" t="inlineStr">
        <is>
          <t>B.E</t>
        </is>
      </c>
      <c r="AG467" s="53" t="inlineStr">
        <is>
          <t>Rahul Dhamne</t>
        </is>
      </c>
      <c r="AH467" s="53" t="inlineStr">
        <is>
          <t>N-2</t>
        </is>
      </c>
      <c r="AI467" s="53" t="inlineStr">
        <is>
          <t>Individual Contributor</t>
        </is>
      </c>
      <c r="AJ467" s="53" t="inlineStr">
        <is>
          <t>4 years, 1 months, 0 days</t>
        </is>
      </c>
      <c r="AK467" s="53" t="inlineStr">
        <is>
          <t>0 years, 8 months, 24 days</t>
        </is>
      </c>
      <c r="AL467" s="53" t="inlineStr">
        <is>
          <t>Suptech</t>
        </is>
      </c>
      <c r="AM467" s="53" t="inlineStr">
        <is>
          <t>iFile</t>
        </is>
      </c>
      <c r="AN467" s="53" t="inlineStr">
        <is>
          <t>Technology</t>
        </is>
      </c>
      <c r="AO467" s="53" t="inlineStr">
        <is>
          <t>Development</t>
        </is>
      </c>
      <c r="AP467" s="53" t="inlineStr">
        <is>
          <t>Yes</t>
        </is>
      </c>
      <c r="AQ467" s="53" t="inlineStr">
        <is>
          <t>Product/Project</t>
        </is>
      </c>
      <c r="AR467" s="53" t="inlineStr">
        <is>
          <t>AI/ML</t>
        </is>
      </c>
      <c r="AS467" s="53" t="inlineStr">
        <is>
          <t>Technical - Developer</t>
        </is>
      </c>
      <c r="AT467" s="53" t="n">
        <v>20</v>
      </c>
      <c r="AU467" s="53" t="inlineStr">
        <is>
          <t>Covered</t>
        </is>
      </c>
      <c r="AV467" s="53" t="n"/>
      <c r="AW467" s="53" t="n"/>
      <c r="AX467" s="53" t="n"/>
      <c r="AY467" s="53" t="n"/>
      <c r="AZ467" s="53" t="n"/>
      <c r="BA467" s="53" t="n"/>
      <c r="BB467" s="53" t="n"/>
      <c r="BC467" s="53" t="n"/>
      <c r="BD467" s="53" t="n"/>
      <c r="BE467" s="53" t="n"/>
      <c r="BF467" s="53" t="n"/>
      <c r="BG467" s="53" t="n"/>
      <c r="BH467" s="53" t="n"/>
      <c r="BI467" s="53" t="n"/>
      <c r="BJ467" s="53" t="n"/>
      <c r="BK467" s="53" t="n"/>
      <c r="BL467" s="53" t="n"/>
      <c r="BM467" s="53" t="n"/>
      <c r="BN467" s="53" t="n"/>
      <c r="BO467" s="53" t="n"/>
      <c r="BP467" s="53" t="n"/>
      <c r="BQ467" s="53" t="n"/>
      <c r="BR467" s="53" t="n"/>
      <c r="BS467" s="53" t="n"/>
      <c r="BT467" s="53" t="n"/>
      <c r="BU467" s="53" t="n"/>
      <c r="BV467" s="53" t="n"/>
      <c r="BW467" s="53" t="n"/>
      <c r="BX467" s="53" t="n"/>
      <c r="BY467" s="53" t="n"/>
      <c r="BZ467" s="53" t="n"/>
      <c r="CA467" s="53" t="n"/>
      <c r="CB467" s="53" t="n"/>
      <c r="CC467" s="53" t="n"/>
      <c r="CD467" s="53" t="n"/>
      <c r="CE467" s="53" t="n"/>
      <c r="CF467" s="53" t="n"/>
      <c r="CG467" s="53" t="n"/>
      <c r="CH467" s="53" t="n"/>
      <c r="CI467" s="53" t="n"/>
      <c r="CJ467" s="53" t="n"/>
      <c r="CK467" s="53" t="n"/>
      <c r="CL467" s="53" t="n"/>
      <c r="CM467" s="53" t="n"/>
      <c r="CN467" s="53" t="n"/>
      <c r="CO467" s="53" t="n"/>
      <c r="CP467" s="53" t="n"/>
      <c r="CQ467" s="53" t="n"/>
      <c r="CR467" s="53" t="n"/>
      <c r="CS467" s="53" t="n"/>
      <c r="CT467" s="53" t="n"/>
      <c r="CU467" s="53" t="n"/>
      <c r="CV467" s="53" t="n"/>
      <c r="CW467" s="53" t="n"/>
      <c r="CX467" s="53" t="n"/>
      <c r="CY467" s="53" t="n"/>
      <c r="CZ467" s="53" t="n"/>
      <c r="DA467" s="53" t="n"/>
      <c r="DB467" s="53" t="n"/>
      <c r="DC467" s="53" t="n"/>
      <c r="DD467" s="53" t="n"/>
      <c r="DE467" s="53" t="n"/>
      <c r="DF467" s="53" t="n"/>
      <c r="DG467" s="53" t="n"/>
      <c r="DH467" s="53" t="n"/>
      <c r="DI467" s="53" t="n"/>
      <c r="DJ467" s="53" t="n"/>
      <c r="DK467" s="53" t="n"/>
      <c r="DL467" s="53" t="n"/>
      <c r="DM467" s="53" t="n"/>
      <c r="DN467" s="53" t="n"/>
      <c r="DO467" s="53" t="n"/>
      <c r="DP467" s="53" t="n"/>
      <c r="DQ467" s="53" t="n"/>
      <c r="DR467" s="53" t="n"/>
      <c r="DS467" s="53" t="n"/>
      <c r="DT467" s="53" t="n"/>
      <c r="DU467" s="53" t="n"/>
      <c r="DV467" s="53" t="n"/>
      <c r="DW467" s="53" t="n"/>
      <c r="DX467" s="53" t="n"/>
      <c r="DY467" s="53" t="n"/>
      <c r="DZ467" s="53" t="n"/>
      <c r="EA467" s="53" t="n"/>
      <c r="EB467" s="53" t="n"/>
      <c r="EC467" s="53" t="n"/>
      <c r="ED467" s="53" t="n"/>
      <c r="EE467" s="53" t="n"/>
      <c r="EF467" s="53" t="n"/>
      <c r="EG467" s="53" t="n"/>
      <c r="EH467" s="53" t="n"/>
      <c r="EI467" s="53" t="n"/>
      <c r="EJ467" s="53" t="n"/>
      <c r="EK467" s="53" t="n"/>
      <c r="EL467" s="53" t="n"/>
      <c r="EM467" s="53" t="n"/>
      <c r="EN467" s="53" t="n"/>
      <c r="EO467" s="53" t="n"/>
      <c r="EP467" s="53" t="n"/>
      <c r="EQ467" s="53" t="n"/>
      <c r="ER467" s="53" t="n"/>
      <c r="ES467" s="53" t="n"/>
      <c r="ET467" s="53" t="n"/>
      <c r="EU467" s="53" t="n"/>
      <c r="EV467" s="53" t="n"/>
      <c r="EW467" s="52" t="n"/>
      <c r="EX467" s="53" t="n"/>
      <c r="EY467" s="53" t="n"/>
      <c r="EZ467" s="53" t="n"/>
      <c r="FA467" s="53" t="n"/>
      <c r="FB467" s="53" t="n"/>
      <c r="FC467" s="53" t="n"/>
      <c r="FD467" s="53" t="n"/>
      <c r="FE467" s="55" t="inlineStr">
        <is>
          <t>KRAs not received · manager to supply</t>
        </is>
      </c>
      <c r="FF467" s="56" t="n"/>
      <c r="FG467" s="56" t="n"/>
      <c r="FH467" s="56" t="n"/>
      <c r="FI467" s="56" t="n"/>
      <c r="FJ467" s="32" t="inlineStr">
        <is>
          <t>KRAs not received · manager to supply</t>
        </is>
      </c>
      <c r="FK467" s="56" t="n"/>
      <c r="FL467" s="56" t="n">
        <v>20</v>
      </c>
      <c r="FM467" s="32" t="inlineStr">
        <is>
          <t>Full survey answers not in the files received · How We Grow export needed · HR</t>
        </is>
      </c>
      <c r="FN467" s="56" t="inlineStr">
        <is>
          <t>—</t>
        </is>
      </c>
      <c r="FO467" s="56" t="inlineStr">
        <is>
          <t>—</t>
        </is>
      </c>
      <c r="FP467" s="56" t="inlineStr">
        <is>
          <t>—</t>
        </is>
      </c>
      <c r="FQ467" s="56" t="inlineStr">
        <is>
          <t>—</t>
        </is>
      </c>
      <c r="FR467" s="56" t="inlineStr">
        <is>
          <t>Complexity: Evidence reads like A3: Designs, builds, deploys and optimises AI/ML and GenAI solutions in Python; no specific product named → matches the start
Autonomy: Evidence reads like A2: Decides optimisation and approach on own work → moved down 0.5
Accountability: Evidence reads like A2: Code readability, secure libraries and right approach in own solutions → moved down 0.5
Leadership: Evidence reads like A1: No guiding or reviewing of others described → moved down 0.5
Business Impact: No survey or manager-mapping signal on criticality: kept at the start point.</t>
        </is>
      </c>
      <c r="FS467" s="56" t="inlineStr">
        <is>
          <t>Common themes in role-holders' answers: ai · product · solutions · business
Common themes in role-holders' answers: technical
Common themes in role-holders' answers: ai · features
Common themes in role-holders' answers: quality · features · ai · code
Common themes in role-holders' answers: approach
If the work is missed · role-holders' themes: cause.</t>
        </is>
      </c>
      <c r="FT467" s="56" t="inlineStr">
        <is>
          <t>Self-identified: AI / automation · Certification / formal course
For the next role: AI / automation · Certification / formal course</t>
        </is>
      </c>
      <c r="FU467" s="32" t="inlineStr">
        <is>
          <t>Full survey answers not in the files received · How We Grow export needed · HR</t>
        </is>
      </c>
    </row>
    <row r="468" ht="90" customHeight="1">
      <c r="A468" s="51" t="inlineStr">
        <is>
          <t>◂ Back</t>
        </is>
      </c>
      <c r="B468" s="29" t="inlineStr">
        <is>
          <t>Mapped</t>
        </is>
      </c>
      <c r="C468" s="28" t="inlineStr">
        <is>
          <t>iFile</t>
        </is>
      </c>
      <c r="D468" s="29" t="inlineStr">
        <is>
          <t>IRIS1139</t>
        </is>
      </c>
      <c r="E468" s="29" t="inlineStr">
        <is>
          <t>Yogesh Patil</t>
        </is>
      </c>
      <c r="F468" s="29" t="inlineStr">
        <is>
          <t>XBRL Consulting</t>
        </is>
      </c>
      <c r="G468" s="29" t="inlineStr">
        <is>
          <t>Senior Analyst</t>
        </is>
      </c>
      <c r="H468" s="29" t="inlineStr">
        <is>
          <t>Senior Taxonomy Analyst</t>
        </is>
      </c>
      <c r="I468" s="29" t="inlineStr">
        <is>
          <t>L4 – Senior</t>
        </is>
      </c>
      <c r="J468" s="29" t="inlineStr">
        <is>
          <t>A3</t>
        </is>
      </c>
      <c r="K468" s="29" t="inlineStr">
        <is>
          <t>• Same level</t>
        </is>
      </c>
      <c r="L468" s="29" t="inlineStr">
        <is>
          <t>Consulting &amp; Professional Services</t>
        </is>
      </c>
      <c r="M468" s="29" t="inlineStr">
        <is>
          <t>Taxonomy Design &amp; Regulatory Consulting</t>
        </is>
      </c>
      <c r="N468" s="29" t="n"/>
      <c r="O468" s="29" t="n">
        <v>20</v>
      </c>
      <c r="P468" s="28" t="inlineStr">
        <is>
          <t>P2</t>
        </is>
      </c>
      <c r="Q468" s="29" t="inlineStr">
        <is>
          <t>Developing</t>
        </is>
      </c>
      <c r="R468" s="29" t="inlineStr">
        <is>
          <t>3 Apply</t>
        </is>
      </c>
      <c r="S468" s="29" t="inlineStr">
        <is>
          <t>2–4 yrs</t>
        </is>
      </c>
      <c r="T468" s="29" t="inlineStr">
        <is>
          <t>3–5 · 2–5</t>
        </is>
      </c>
      <c r="U468" s="29" t="inlineStr">
        <is>
          <t>Senior Analyst / Associate</t>
        </is>
      </c>
      <c r="V468" s="29" t="inlineStr">
        <is>
          <t>DataTracks: Senior Associate · 2–5 yrs · Big Four: Consultant · IRIS Vs Market Benchmark — XBRL US credential pathway: XBRL US GAAP Certificate</t>
        </is>
      </c>
      <c r="W468" s="29" t="inlineStr">
        <is>
          <t>XBRL US GAAP Certificate · AICPA &amp; XBRL US; XBRL International specifications; IFRS / US GAAP / Ind AS</t>
        </is>
      </c>
      <c r="X468" s="29" t="inlineStr">
        <is>
          <t>Core 2 · Future 2 · Functional 3 · Leadership not scored</t>
        </is>
      </c>
      <c r="Y468" s="52" t="n">
        <v>108</v>
      </c>
      <c r="Z468" s="53" t="inlineStr">
        <is>
          <t>IRIS1139</t>
        </is>
      </c>
      <c r="AA468" s="53" t="inlineStr">
        <is>
          <t>Employee</t>
        </is>
      </c>
      <c r="AB468" s="53" t="inlineStr">
        <is>
          <t>Active</t>
        </is>
      </c>
      <c r="AC468" s="53" t="inlineStr">
        <is>
          <t>Yogesh Patil</t>
        </is>
      </c>
      <c r="AD468" s="54" t="n">
        <v>41065</v>
      </c>
      <c r="AE468" s="53" t="inlineStr">
        <is>
          <t>Senior Analyst</t>
        </is>
      </c>
      <c r="AF468" s="53" t="inlineStr">
        <is>
          <t>B.Com</t>
        </is>
      </c>
      <c r="AG468" s="53" t="inlineStr">
        <is>
          <t>Rahul Dhamne</t>
        </is>
      </c>
      <c r="AH468" s="53" t="inlineStr">
        <is>
          <t>N-2</t>
        </is>
      </c>
      <c r="AI468" s="53" t="inlineStr">
        <is>
          <t>Individual Contributor</t>
        </is>
      </c>
      <c r="AJ468" s="53" t="inlineStr">
        <is>
          <t>0 years, 0 months, 0 days</t>
        </is>
      </c>
      <c r="AK468" s="53" t="inlineStr">
        <is>
          <t>14 years, 2 months, 20 days</t>
        </is>
      </c>
      <c r="AL468" s="53" t="inlineStr">
        <is>
          <t>Suptech</t>
        </is>
      </c>
      <c r="AM468" s="53" t="inlineStr">
        <is>
          <t>iFile</t>
        </is>
      </c>
      <c r="AN468" s="53" t="inlineStr">
        <is>
          <t>XBRL Consulting</t>
        </is>
      </c>
      <c r="AO468" s="53" t="inlineStr">
        <is>
          <t>Consulting</t>
        </is>
      </c>
      <c r="AP468" s="53" t="inlineStr">
        <is>
          <t>No</t>
        </is>
      </c>
      <c r="AQ468" s="53" t="inlineStr">
        <is>
          <t>Professional Services</t>
        </is>
      </c>
      <c r="AR468" s="53" t="inlineStr">
        <is>
          <t>XBRL Domain</t>
        </is>
      </c>
      <c r="AS468" s="53" t="inlineStr">
        <is>
          <t>Non-technical</t>
        </is>
      </c>
      <c r="AT468" s="53" t="n">
        <v>20</v>
      </c>
      <c r="AU468" s="53" t="inlineStr">
        <is>
          <t>Covered</t>
        </is>
      </c>
      <c r="AV468" s="53" t="n"/>
      <c r="AW468" s="53" t="n"/>
      <c r="AX468" s="53" t="n"/>
      <c r="AY468" s="53" t="n"/>
      <c r="AZ468" s="53" t="n"/>
      <c r="BA468" s="53" t="n"/>
      <c r="BB468" s="53" t="n"/>
      <c r="BC468" s="53" t="n"/>
      <c r="BD468" s="53" t="n"/>
      <c r="BE468" s="53" t="n"/>
      <c r="BF468" s="53" t="n"/>
      <c r="BG468" s="53" t="n"/>
      <c r="BH468" s="53" t="n"/>
      <c r="BI468" s="53" t="n"/>
      <c r="BJ468" s="53" t="n"/>
      <c r="BK468" s="53" t="n"/>
      <c r="BL468" s="53" t="n"/>
      <c r="BM468" s="53" t="n"/>
      <c r="BN468" s="53" t="n"/>
      <c r="BO468" s="53" t="n"/>
      <c r="BP468" s="53" t="n"/>
      <c r="BQ468" s="53" t="n"/>
      <c r="BR468" s="53" t="n"/>
      <c r="BS468" s="53" t="n"/>
      <c r="BT468" s="53" t="n"/>
      <c r="BU468" s="53" t="n"/>
      <c r="BV468" s="53" t="n"/>
      <c r="BW468" s="53" t="n"/>
      <c r="BX468" s="53" t="n"/>
      <c r="BY468" s="53" t="n"/>
      <c r="BZ468" s="53" t="n"/>
      <c r="CA468" s="53" t="n"/>
      <c r="CB468" s="53" t="n"/>
      <c r="CC468" s="53" t="n"/>
      <c r="CD468" s="53" t="n"/>
      <c r="CE468" s="53" t="n"/>
      <c r="CF468" s="53" t="n"/>
      <c r="CG468" s="53" t="n"/>
      <c r="CH468" s="53" t="n"/>
      <c r="CI468" s="53" t="n"/>
      <c r="CJ468" s="53" t="n"/>
      <c r="CK468" s="53" t="n"/>
      <c r="CL468" s="53" t="n"/>
      <c r="CM468" s="53" t="n"/>
      <c r="CN468" s="53" t="n"/>
      <c r="CO468" s="53" t="n"/>
      <c r="CP468" s="53" t="n"/>
      <c r="CQ468" s="53" t="n"/>
      <c r="CR468" s="53" t="n"/>
      <c r="CS468" s="53" t="n"/>
      <c r="CT468" s="53" t="n"/>
      <c r="CU468" s="53" t="n"/>
      <c r="CV468" s="53" t="n"/>
      <c r="CW468" s="53" t="n"/>
      <c r="CX468" s="53" t="n"/>
      <c r="CY468" s="53" t="n"/>
      <c r="CZ468" s="53" t="n"/>
      <c r="DA468" s="53" t="n"/>
      <c r="DB468" s="53" t="n"/>
      <c r="DC468" s="53" t="n"/>
      <c r="DD468" s="53" t="inlineStr">
        <is>
          <t>IRIS1139</t>
        </is>
      </c>
      <c r="DE468" s="53" t="inlineStr">
        <is>
          <t>Employee</t>
        </is>
      </c>
      <c r="DF468" s="53" t="inlineStr">
        <is>
          <t>Active</t>
        </is>
      </c>
      <c r="DG468" s="53" t="inlineStr">
        <is>
          <t>Yogesh Patil</t>
        </is>
      </c>
      <c r="DH468" s="54" t="n">
        <v>41065</v>
      </c>
      <c r="DI468" s="53" t="inlineStr">
        <is>
          <t>Senior Analyst</t>
        </is>
      </c>
      <c r="DJ468" s="53" t="inlineStr">
        <is>
          <t>Consulting &amp; Professional Services</t>
        </is>
      </c>
      <c r="DK468" s="53" t="inlineStr">
        <is>
          <t>XBRL / Regulatory Reporting</t>
        </is>
      </c>
      <c r="DL468" s="53" t="inlineStr">
        <is>
          <t>Senior Analyst</t>
        </is>
      </c>
      <c r="DM468" s="53" t="inlineStr">
        <is>
          <t>L4 – Senior</t>
        </is>
      </c>
      <c r="DN468" s="53" t="inlineStr">
        <is>
          <t>B.Com</t>
        </is>
      </c>
      <c r="DO468" s="53" t="inlineStr">
        <is>
          <t>Rahul Dhamne</t>
        </is>
      </c>
      <c r="DP468" s="53" t="inlineStr">
        <is>
          <t>N-2</t>
        </is>
      </c>
      <c r="DQ468" s="53" t="inlineStr">
        <is>
          <t>Individual Contributor</t>
        </is>
      </c>
      <c r="DR468" s="53" t="inlineStr">
        <is>
          <t>0 years, 0 months, 0 days</t>
        </is>
      </c>
      <c r="DS468" s="53" t="inlineStr">
        <is>
          <t>14 years, 0 months, 15 days</t>
        </is>
      </c>
      <c r="DT468" s="53" t="inlineStr">
        <is>
          <t>14 years, 0 months, 15 days</t>
        </is>
      </c>
      <c r="DU468" s="53" t="n"/>
      <c r="DV468" s="53" t="inlineStr">
        <is>
          <t>Suptech</t>
        </is>
      </c>
      <c r="DW468" s="53" t="inlineStr">
        <is>
          <t>iFile</t>
        </is>
      </c>
      <c r="DX468" s="53" t="inlineStr">
        <is>
          <t>XBRL Consulting</t>
        </is>
      </c>
      <c r="DY468" s="53" t="inlineStr">
        <is>
          <t>Consulting</t>
        </is>
      </c>
      <c r="DZ468" s="53" t="inlineStr">
        <is>
          <t>No</t>
        </is>
      </c>
      <c r="EA468" s="53" t="inlineStr">
        <is>
          <t>Professional Services</t>
        </is>
      </c>
      <c r="EB468" s="53" t="inlineStr">
        <is>
          <t>XBRL Domain</t>
        </is>
      </c>
      <c r="EC468" s="53" t="inlineStr">
        <is>
          <t>Non-technical</t>
        </is>
      </c>
      <c r="ED468" s="53" t="inlineStr">
        <is>
          <t>Hybrid</t>
        </is>
      </c>
      <c r="EE468" s="53" t="n"/>
      <c r="EF468" s="53"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EG468" s="53" t="inlineStr">
        <is>
          <t>1. Complete Q1 taxonomy build/test tasks on schedule · &gt;=95% on-time.
2. Close assigned iFILE support tickets within SLA.
3. Finish Q1 Excel/Webform test cycles with defect leakage &lt;2%.</t>
        </is>
      </c>
      <c r="EH468" s="53" t="inlineStr">
        <is>
          <t>4 - Exceeds Expectations</t>
        </is>
      </c>
      <c r="EI468" s="53" t="inlineStr">
        <is>
          <t>Last appraisal in Oct 2025</t>
        </is>
      </c>
      <c r="EJ468" s="53" t="inlineStr">
        <is>
          <t>Senior Analyst</t>
        </is>
      </c>
      <c r="EK468" s="53" t="inlineStr">
        <is>
          <t>No change</t>
        </is>
      </c>
      <c r="EL468" s="53" t="n">
        <v>4</v>
      </c>
      <c r="EM468" s="53" t="inlineStr">
        <is>
          <t>High</t>
        </is>
      </c>
      <c r="EN468" s="53" t="inlineStr">
        <is>
          <t>High Impact / Growth Talent</t>
        </is>
      </c>
      <c r="EO468" s="53" t="n"/>
      <c r="EP468" s="53" t="inlineStr">
        <is>
          <t>No</t>
        </is>
      </c>
      <c r="EQ468" s="53" t="n"/>
      <c r="ER468" s="53" t="inlineStr">
        <is>
          <t>To be identified</t>
        </is>
      </c>
      <c r="ES468" s="53" t="inlineStr">
        <is>
          <t>XBRL taxonomy &amp; regulatory updates; domain/accounting refreshers; quality &amp; accuracy practices; tooling proficiency</t>
        </is>
      </c>
      <c r="ET468" s="53" t="inlineStr">
        <is>
          <t>Transition to leadership: people management &amp; delegation, mentoring/coaching, project ownership &amp; stakeholder management, prioritisation under ambiguity, presentation &amp; influence skills</t>
        </is>
      </c>
      <c r="EU468" s="53" t="inlineStr">
        <is>
          <t>CMA-Kuwait,SBC,GRI,NRB,BOM,CBJ</t>
        </is>
      </c>
      <c r="EV468" s="53" t="n"/>
      <c r="EW468" s="52" t="n"/>
      <c r="EX468" s="53" t="n"/>
      <c r="EY468" s="53" t="n"/>
      <c r="EZ468" s="53" t="n"/>
      <c r="FA468" s="53" t="n"/>
      <c r="FB468" s="53" t="n"/>
      <c r="FC468" s="53" t="n"/>
      <c r="FD468" s="53" t="n"/>
      <c r="FE468" s="57" t="inlineStr">
        <is>
          <t>1. Deliver assigned taxonomy development &amp; testing with &gt;=95% accuracy and zero critical post-release defects.
2. Achieve &gt;=95% on-time closure of assigned taxonomy/test tasks.
3. Resolve &gt;=90% of assigned iFILE implementation-support tickets within SLA.
4. Execute iFILE Excel &amp; Webform business testing at full coverage with defect leakage &lt;2%.
5. Maintain domain knowledge base and aquire atleast 2 new skills per year on Taxonomy or XBRL or  regulatory/domain related modules.</t>
        </is>
      </c>
      <c r="FF468" s="56" t="inlineStr">
        <is>
          <t>1. Complete Q1 taxonomy build/test tasks on schedule · &gt;=95% on-time.
2. Close assigned iFILE support tickets within SLA · &gt;=90%.
3. Finish Q1 Excel/Webform test cycles with defect leakage &lt;2%.</t>
        </is>
      </c>
      <c r="FG468" s="56" t="n"/>
      <c r="FH468" s="56" t="inlineStr">
        <is>
          <t>4 - Exceeds Expectations</t>
        </is>
      </c>
      <c r="FI468" s="56" t="n"/>
      <c r="FJ468" s="56" t="inlineStr">
        <is>
          <t>Received · manager annual, quarterly</t>
        </is>
      </c>
      <c r="FK468" s="56" t="inlineStr">
        <is>
          <t>Talent Mapping · iFile collated</t>
        </is>
      </c>
      <c r="FL468" s="56" t="n">
        <v>20</v>
      </c>
      <c r="FM468" s="32" t="inlineStr">
        <is>
          <t>Full survey answers not in the files received · How We Grow export needed · HR</t>
        </is>
      </c>
      <c r="FN468" s="56" t="inlineStr">
        <is>
          <t>—</t>
        </is>
      </c>
      <c r="FO468" s="56" t="inlineStr">
        <is>
          <t>—</t>
        </is>
      </c>
      <c r="FP468" s="56" t="inlineStr">
        <is>
          <t>—</t>
        </is>
      </c>
      <c r="FQ468" s="56" t="inlineStr">
        <is>
          <t>—</t>
        </is>
      </c>
      <c r="FR468" s="56" t="inlineStr">
        <is>
          <t>Complexity: Evidence reads like A3: Full taxonomy cycle: SRS, modelling, business rules, webform customisation and testing, cross-team coordination → matches the start
Autonomy: Evidence reads like A3: Decides taxonomy modelling independently, following standard development practices → matches the start
Accountability: Evidence reads like A2: Accountable for own development tasks: SRS, CMS, formulas, customisation, domain testing → moved down 0.5
Leadership: Evidence reads like A3: Training team members is a listed responsibility; coordinates QA, webform, BA teams → moved up 0.5
Business Impact: No survey or manager-mapping signal on criticality: kept at the start point.</t>
        </is>
      </c>
      <c r="FS468" s="56" t="inlineStr">
        <is>
          <t>Common themes in role-holders' answers: taxonomy · xbrl · client · data · convert · consultant
Common themes in role-holders' answers: client · testing · taxonomy · requirement · support · development
Common themes in role-holders' answers: taxonomy · xbrl · output · structured
Common themes in role-holders' answers: taxonomy · development · testing · tagging · quality · creation
Common themes in role-holders' answers: testing · formula · validations · tagging · creation · taxonomy
If the work is missed · role-holders' themes: rework · client · escalation · retesting · time.
Measured on · manager-set KRA themes: resolve · defect · deliver · complete · modules · testing.</t>
        </is>
      </c>
      <c r="FT468" s="56" t="inlineStr">
        <is>
          <t>Self-identified: Client, sales &amp; stakeholders
For the next role: Client, sales &amp; stakeholders</t>
        </is>
      </c>
      <c r="FU468" s="32" t="inlineStr">
        <is>
          <t>Full survey answers not in the files received · How We Grow export needed · HR</t>
        </is>
      </c>
    </row>
    <row r="469" ht="90" customHeight="1">
      <c r="A469" s="51" t="inlineStr">
        <is>
          <t>◂ Back</t>
        </is>
      </c>
      <c r="B469" s="29" t="inlineStr">
        <is>
          <t>Mapped</t>
        </is>
      </c>
      <c r="C469" s="28" t="inlineStr">
        <is>
          <t>iFile</t>
        </is>
      </c>
      <c r="D469" s="29" t="inlineStr">
        <is>
          <t>IRISC347</t>
        </is>
      </c>
      <c r="E469" s="29" t="inlineStr">
        <is>
          <t>Sunita Joshi</t>
        </is>
      </c>
      <c r="F469" s="29" t="inlineStr">
        <is>
          <t>XBRL Consulting</t>
        </is>
      </c>
      <c r="G469" s="29" t="inlineStr">
        <is>
          <t>Consultant</t>
        </is>
      </c>
      <c r="H469" s="29" t="inlineStr">
        <is>
          <t>Associate Consultant – Taxonomy Design &amp; Regulatory Consulting</t>
        </is>
      </c>
      <c r="I469" s="29" t="inlineStr">
        <is>
          <t>L3 – Professional / Associate</t>
        </is>
      </c>
      <c r="J469" s="29" t="inlineStr">
        <is>
          <t>X1</t>
        </is>
      </c>
      <c r="K469" s="29" t="inlineStr">
        <is>
          <t>• Same level</t>
        </is>
      </c>
      <c r="L469" s="29" t="inlineStr">
        <is>
          <t>Consulting &amp; Professional Services</t>
        </is>
      </c>
      <c r="M469" s="29" t="inlineStr">
        <is>
          <t>Taxonomy Design &amp; Regulatory Consulting</t>
        </is>
      </c>
      <c r="N469" s="29" t="n"/>
      <c r="O469" s="29" t="n">
        <v>20</v>
      </c>
      <c r="P469" s="28" t="inlineStr">
        <is>
          <t>Contractor</t>
        </is>
      </c>
      <c r="Q469" s="29" t="inlineStr">
        <is>
          <t>—</t>
        </is>
      </c>
      <c r="R469" s="29" t="inlineStr">
        <is>
          <t>—</t>
        </is>
      </c>
      <c r="S469" s="29" t="inlineStr">
        <is>
          <t>0–5 yrs</t>
        </is>
      </c>
      <c r="T469" s="29" t="inlineStr">
        <is>
          <t>—</t>
        </is>
      </c>
      <c r="U469" s="29" t="inlineStr">
        <is>
          <t>Contractor · rate card</t>
        </is>
      </c>
      <c r="V469" s="29" t="inlineStr">
        <is>
          <t>—</t>
        </is>
      </c>
      <c r="W469" s="29" t="inlineStr">
        <is>
          <t>XBRL US GAAP Certificate · AICPA &amp; XBRL US; XBRL International specifications; IFRS / US GAAP / Ind AS</t>
        </is>
      </c>
      <c r="X469" s="29" t="inlineStr">
        <is>
          <t>Per statement of work</t>
        </is>
      </c>
      <c r="Y469" s="52" t="n">
        <v>500</v>
      </c>
      <c r="Z469" s="53" t="inlineStr">
        <is>
          <t>IRISC347</t>
        </is>
      </c>
      <c r="AA469" s="53" t="inlineStr">
        <is>
          <t>Full Time Consultant</t>
        </is>
      </c>
      <c r="AB469" s="53" t="inlineStr">
        <is>
          <t>Active</t>
        </is>
      </c>
      <c r="AC469" s="53" t="inlineStr">
        <is>
          <t>Sunita Joshi</t>
        </is>
      </c>
      <c r="AD469" s="54" t="n">
        <v>46146</v>
      </c>
      <c r="AE469" s="53" t="inlineStr">
        <is>
          <t>Consultant</t>
        </is>
      </c>
      <c r="AF469" s="53" t="inlineStr">
        <is>
          <t>-</t>
        </is>
      </c>
      <c r="AG469" s="53" t="inlineStr">
        <is>
          <t>Rahul Dhamne</t>
        </is>
      </c>
      <c r="AH469" s="53" t="inlineStr">
        <is>
          <t>N-2</t>
        </is>
      </c>
      <c r="AI469" s="53" t="inlineStr">
        <is>
          <t>Individual Contributor</t>
        </is>
      </c>
      <c r="AJ469" s="53" t="n"/>
      <c r="AK469" s="53" t="n"/>
      <c r="AL469" s="53" t="inlineStr">
        <is>
          <t>Suptech</t>
        </is>
      </c>
      <c r="AM469" s="53" t="inlineStr">
        <is>
          <t>iFile</t>
        </is>
      </c>
      <c r="AN469" s="53" t="inlineStr">
        <is>
          <t>XBRL Consulting</t>
        </is>
      </c>
      <c r="AO469" s="53" t="inlineStr">
        <is>
          <t>Consulting</t>
        </is>
      </c>
      <c r="AP469" s="53" t="inlineStr">
        <is>
          <t>No</t>
        </is>
      </c>
      <c r="AQ469" s="53" t="inlineStr">
        <is>
          <t>Professional Services</t>
        </is>
      </c>
      <c r="AR469" s="53" t="inlineStr">
        <is>
          <t>XBRL Domain</t>
        </is>
      </c>
      <c r="AS469" s="53" t="inlineStr">
        <is>
          <t>Non-technical</t>
        </is>
      </c>
      <c r="AT469" s="53" t="n">
        <v>20</v>
      </c>
      <c r="AU469" s="53" t="inlineStr">
        <is>
          <t>Covered</t>
        </is>
      </c>
      <c r="AV469" s="53" t="n"/>
      <c r="AW469" s="53" t="n"/>
      <c r="AX469" s="53" t="n"/>
      <c r="AY469" s="53" t="n"/>
      <c r="AZ469" s="53" t="n"/>
      <c r="BA469" s="53" t="n"/>
      <c r="BB469" s="53" t="n"/>
      <c r="BC469" s="53" t="n"/>
      <c r="BD469" s="53" t="n"/>
      <c r="BE469" s="53" t="n"/>
      <c r="BF469" s="53" t="n"/>
      <c r="BG469" s="53" t="n"/>
      <c r="BH469" s="53" t="n"/>
      <c r="BI469" s="53" t="n"/>
      <c r="BJ469" s="53" t="n"/>
      <c r="BK469" s="53" t="n"/>
      <c r="BL469" s="53" t="n"/>
      <c r="BM469" s="53" t="n"/>
      <c r="BN469" s="53" t="n"/>
      <c r="BO469" s="53" t="n"/>
      <c r="BP469" s="53" t="n"/>
      <c r="BQ469" s="53" t="n"/>
      <c r="BR469" s="53" t="n"/>
      <c r="BS469" s="53" t="n"/>
      <c r="BT469" s="53" t="n"/>
      <c r="BU469" s="53" t="n"/>
      <c r="BV469" s="53" t="n"/>
      <c r="BW469" s="53" t="n"/>
      <c r="BX469" s="53" t="n"/>
      <c r="BY469" s="53" t="n"/>
      <c r="BZ469" s="53" t="n"/>
      <c r="CA469" s="53" t="n"/>
      <c r="CB469" s="53" t="n"/>
      <c r="CC469" s="53" t="n"/>
      <c r="CD469" s="53" t="n"/>
      <c r="CE469" s="53" t="n"/>
      <c r="CF469" s="53" t="n"/>
      <c r="CG469" s="53" t="n"/>
      <c r="CH469" s="53" t="n"/>
      <c r="CI469" s="53" t="n"/>
      <c r="CJ469" s="53" t="n"/>
      <c r="CK469" s="53" t="n"/>
      <c r="CL469" s="53" t="n"/>
      <c r="CM469" s="53" t="n"/>
      <c r="CN469" s="53" t="n"/>
      <c r="CO469" s="53" t="n"/>
      <c r="CP469" s="53" t="n"/>
      <c r="CQ469" s="53" t="n"/>
      <c r="CR469" s="53" t="n"/>
      <c r="CS469" s="53" t="n"/>
      <c r="CT469" s="53" t="n"/>
      <c r="CU469" s="53" t="n"/>
      <c r="CV469" s="53" t="n"/>
      <c r="CW469" s="53" t="n"/>
      <c r="CX469" s="53" t="n"/>
      <c r="CY469" s="53" t="n"/>
      <c r="CZ469" s="53" t="n"/>
      <c r="DA469" s="53" t="n"/>
      <c r="DB469" s="53" t="n"/>
      <c r="DC469" s="53" t="n"/>
      <c r="DD469" s="53" t="inlineStr">
        <is>
          <t>IRISC347</t>
        </is>
      </c>
      <c r="DE469" s="53" t="inlineStr">
        <is>
          <t>Full Time Consultant</t>
        </is>
      </c>
      <c r="DF469" s="53" t="inlineStr">
        <is>
          <t>Active</t>
        </is>
      </c>
      <c r="DG469" s="53" t="inlineStr">
        <is>
          <t>Sunita Joshi</t>
        </is>
      </c>
      <c r="DH469" s="54" t="n">
        <v>46146</v>
      </c>
      <c r="DI469" s="53" t="inlineStr">
        <is>
          <t>Consultant</t>
        </is>
      </c>
      <c r="DJ469" s="53" t="inlineStr">
        <is>
          <t>Consulting &amp; Professional Services</t>
        </is>
      </c>
      <c r="DK469" s="53" t="inlineStr">
        <is>
          <t>XBRL / Regulatory Reporting</t>
        </is>
      </c>
      <c r="DL469" s="53" t="inlineStr">
        <is>
          <t>Consultant</t>
        </is>
      </c>
      <c r="DM469" s="53" t="inlineStr">
        <is>
          <t>L3 – Professional / Associate</t>
        </is>
      </c>
      <c r="DN469" s="53" t="inlineStr">
        <is>
          <t>-</t>
        </is>
      </c>
      <c r="DO469" s="53" t="inlineStr">
        <is>
          <t>Rahul Dhamne</t>
        </is>
      </c>
      <c r="DP469" s="53" t="inlineStr">
        <is>
          <t>N-2</t>
        </is>
      </c>
      <c r="DQ469" s="53" t="inlineStr">
        <is>
          <t>Individual Contributor</t>
        </is>
      </c>
      <c r="DR469" s="53" t="inlineStr">
        <is>
          <t>-</t>
        </is>
      </c>
      <c r="DS469" s="53" t="inlineStr">
        <is>
          <t>0 years, 1 months, 16 days</t>
        </is>
      </c>
      <c r="DT469" s="53" t="n"/>
      <c r="DU469" s="53" t="n"/>
      <c r="DV469" s="53" t="inlineStr">
        <is>
          <t>Suptech</t>
        </is>
      </c>
      <c r="DW469" s="53" t="inlineStr">
        <is>
          <t>iFile</t>
        </is>
      </c>
      <c r="DX469" s="53" t="inlineStr">
        <is>
          <t>XBRL Consulting</t>
        </is>
      </c>
      <c r="DY469" s="53" t="inlineStr">
        <is>
          <t>Consulting</t>
        </is>
      </c>
      <c r="DZ469" s="53" t="inlineStr">
        <is>
          <t>No</t>
        </is>
      </c>
      <c r="EA469" s="53" t="inlineStr">
        <is>
          <t>Professional Services</t>
        </is>
      </c>
      <c r="EB469" s="53" t="inlineStr">
        <is>
          <t>XBRL Domain</t>
        </is>
      </c>
      <c r="EC469" s="53" t="inlineStr">
        <is>
          <t>Non-technical</t>
        </is>
      </c>
      <c r="ED469" s="53" t="inlineStr">
        <is>
          <t>Client Side</t>
        </is>
      </c>
      <c r="EE469" s="53" t="n"/>
      <c r="EF469" s="53"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EG469" s="53"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EH469" s="53" t="inlineStr">
        <is>
          <t>4 - Exceeds Expectations</t>
        </is>
      </c>
      <c r="EI469" s="53" t="n"/>
      <c r="EJ469" s="53" t="inlineStr">
        <is>
          <t>Consultant</t>
        </is>
      </c>
      <c r="EK469" s="53" t="inlineStr">
        <is>
          <t>No change</t>
        </is>
      </c>
      <c r="EL469" s="53" t="n">
        <v>4</v>
      </c>
      <c r="EM469" s="53" t="inlineStr">
        <is>
          <t>High</t>
        </is>
      </c>
      <c r="EN469" s="53" t="inlineStr">
        <is>
          <t>Future Leader</t>
        </is>
      </c>
      <c r="EO469" s="53" t="n"/>
      <c r="EP469" s="53" t="inlineStr">
        <is>
          <t>yes</t>
        </is>
      </c>
      <c r="EQ469" s="53" t="n"/>
      <c r="ER469" s="53" t="inlineStr">
        <is>
          <t>To be identified</t>
        </is>
      </c>
      <c r="ES469" s="53" t="inlineStr">
        <is>
          <t>XBRL taxonomy &amp; regulatory updates; domain/accounting refreshers; quality &amp; accuracy practices; tooling proficiency</t>
        </is>
      </c>
      <c r="ET469" s="53" t="inlineStr">
        <is>
          <t>Transition to leadership: people management &amp; delegation, mentoring/coaching, project ownership &amp; stakeholder management, prioritisation under ambiguity, presentation &amp; influence skills</t>
        </is>
      </c>
      <c r="EU469" s="53" t="inlineStr">
        <is>
          <t>IRIS Instant - MBRS</t>
        </is>
      </c>
      <c r="EV469" s="53" t="n"/>
      <c r="EW469" s="52" t="n"/>
      <c r="EX469" s="53" t="n"/>
      <c r="EY469" s="53" t="n"/>
      <c r="EZ469" s="53" t="n"/>
      <c r="FA469" s="53" t="n"/>
      <c r="FB469" s="53" t="n"/>
      <c r="FC469" s="53" t="n"/>
      <c r="FD469" s="53" t="n"/>
      <c r="FE469" s="57" t="inlineStr">
        <is>
          <t>1. Lead domain delivery for assigned iFILE implementations with &gt;=98% mapping accuracy, on schedule.
2. Own quality of assigned taxonomy development &amp; testing; zero critical post-release defects.
3. Resolve &gt;=90% of complex client domain queries within SLA; serve as analyst escalation point.
4. Ensure Excel &amp; Webform business testing completeness with defect leakage &lt;2%.
5. Mentor &gt;=1 junior analyst and contribute reusable domain assets; complete &gt;=2 upskilling modules.
6. Participate in &gt;=2 RFP submission process to get new iFILE business</t>
        </is>
      </c>
      <c r="FF469" s="56" t="inlineStr">
        <is>
          <t>1. Lead domain delivery for Q1 implementation milestones · on-time, &gt;=98% accuracy.
2. Deliver assigned Q1 taxonomy development/testing with zero critical defects.
3. Resolve &gt;=90% of escalated client domain queries within SLA.
4. Complete Q1 Excel/Webform testing · defect leakage &lt;2% and 1 mentoring touchpoint.</t>
        </is>
      </c>
      <c r="FG469" s="56" t="n"/>
      <c r="FH469" s="56" t="inlineStr">
        <is>
          <t>4 - Exceeds Expectations</t>
        </is>
      </c>
      <c r="FI469" s="56" t="n"/>
      <c r="FJ469" s="56" t="inlineStr">
        <is>
          <t>Received · manager annual, quarterly</t>
        </is>
      </c>
      <c r="FK469" s="56" t="inlineStr">
        <is>
          <t>Talent Mapping · iFile collated</t>
        </is>
      </c>
      <c r="FL469" s="56" t="n">
        <v>20</v>
      </c>
      <c r="FM469" s="32" t="inlineStr">
        <is>
          <t>Full survey answers not in the files received · How We Grow export needed · HR</t>
        </is>
      </c>
      <c r="FN469" s="56" t="inlineStr">
        <is>
          <t>—</t>
        </is>
      </c>
      <c r="FO469" s="56" t="inlineStr">
        <is>
          <t>—</t>
        </is>
      </c>
      <c r="FP469" s="56" t="inlineStr">
        <is>
          <t>—</t>
        </is>
      </c>
      <c r="FQ469" s="56" t="inlineStr">
        <is>
          <t>—</t>
        </is>
      </c>
      <c r="FR469" s="56" t="n"/>
      <c r="FS469" s="56" t="inlineStr">
        <is>
          <t>Common themes in sub-family holders, all levels' answers: xbrl · requirements · taxonomy · business · data · convert
Common themes in sub-family holders, all levels' answers: client · taxonomy · requirement · development · testing · training
Common themes in sub-family holders, all levels' answers: taxonomy · xbrl · output · srs · taxonomies · accurate
Common themes in sub-family holders, all levels' answers: taxonomy · xbrl · quality · srs · development · testing
Common themes in sub-family holders, all levels' answers: taxonomy · modelling · testing · formula · data · plan
If the work is missed · role-holders' themes: rework · client · escalation · time · retesting.</t>
        </is>
      </c>
      <c r="FT469" s="56" t="inlineStr">
        <is>
          <t>Self-identified: AI / automation · Project / programme management · Broader exposure &amp; ownership
For the next role: AI / automation · Project / programme management · Broader exposure &amp; ownership</t>
        </is>
      </c>
      <c r="FU469" s="32" t="inlineStr">
        <is>
          <t>Full survey answers not in the files received · How We Grow export needed · HR</t>
        </is>
      </c>
    </row>
    <row r="470" ht="90" customHeight="1">
      <c r="A470" s="51" t="inlineStr">
        <is>
          <t>◂ Back</t>
        </is>
      </c>
      <c r="B470" s="29" t="inlineStr">
        <is>
          <t>Mapped</t>
        </is>
      </c>
      <c r="C470" s="28" t="inlineStr">
        <is>
          <t>Corporate</t>
        </is>
      </c>
      <c r="D470" s="29" t="inlineStr">
        <is>
          <t>IRIS1914</t>
        </is>
      </c>
      <c r="E470" s="29" t="inlineStr">
        <is>
          <t>Santosh Sharma</t>
        </is>
      </c>
      <c r="F470" s="29" t="inlineStr">
        <is>
          <t>Secretarial &amp; Legal</t>
        </is>
      </c>
      <c r="G470" s="29" t="inlineStr">
        <is>
          <t>Company Secretary</t>
        </is>
      </c>
      <c r="H470" s="29" t="inlineStr">
        <is>
          <t>Company Secretary – POD Lead</t>
        </is>
      </c>
      <c r="I470" s="29" t="inlineStr">
        <is>
          <t>Not in current mapping files</t>
        </is>
      </c>
      <c r="J470" s="29" t="inlineStr">
        <is>
          <t>C1</t>
        </is>
      </c>
      <c r="K470" s="29" t="inlineStr">
        <is>
          <t>● Newly mapped</t>
        </is>
      </c>
      <c r="L470" s="29" t="inlineStr">
        <is>
          <t>Executive Leadership</t>
        </is>
      </c>
      <c r="M470" s="29" t="inlineStr">
        <is>
          <t>Business Head</t>
        </is>
      </c>
      <c r="N470" s="29" t="inlineStr">
        <is>
          <t>• Survey response or KRAs describing the work · nothing on file — Employee + manager</t>
        </is>
      </c>
      <c r="O470" s="29" t="n">
        <v>0</v>
      </c>
      <c r="P470" s="28" t="inlineStr">
        <is>
          <t>P6 / M5</t>
        </is>
      </c>
      <c r="Q470" s="29" t="inlineStr">
        <is>
          <t>Principal / Director</t>
        </is>
      </c>
      <c r="R470" s="29" t="inlineStr">
        <is>
          <t>5–6</t>
        </is>
      </c>
      <c r="S470" s="29" t="inlineStr">
        <is>
          <t>10–14 yrs</t>
        </is>
      </c>
      <c r="T470" s="29" t="inlineStr">
        <is>
          <t>12–16 · 12–18</t>
        </is>
      </c>
      <c r="U470" s="29" t="inlineStr">
        <is>
          <t>—</t>
        </is>
      </c>
      <c r="V470" s="29" t="inlineStr">
        <is>
          <t>IRIS Vs Competitor Benchmark — corporate services ladder: Company Secretary</t>
        </is>
      </c>
      <c r="W470" s="29" t="inlineStr">
        <is>
          <t>ICSI · Company Secretary; Companies Act 2013; IFMA · facilities; CIPS · procurement</t>
        </is>
      </c>
      <c r="X470" s="29" t="inlineStr">
        <is>
          <t>Core 4 · Future 4 · Functional 4 · Leadership 4</t>
        </is>
      </c>
      <c r="Y470" s="52" t="n">
        <v>181</v>
      </c>
      <c r="Z470" s="53" t="inlineStr">
        <is>
          <t>IRIS1914</t>
        </is>
      </c>
      <c r="AA470" s="53" t="inlineStr">
        <is>
          <t>Employee</t>
        </is>
      </c>
      <c r="AB470" s="53" t="inlineStr">
        <is>
          <t>Active</t>
        </is>
      </c>
      <c r="AC470" s="53" t="inlineStr">
        <is>
          <t>Santosh Sharma</t>
        </is>
      </c>
      <c r="AD470" s="54" t="n">
        <v>44343</v>
      </c>
      <c r="AE470" s="53" t="inlineStr">
        <is>
          <t>Company Secretary</t>
        </is>
      </c>
      <c r="AF470" s="53" t="inlineStr">
        <is>
          <t>LLB</t>
        </is>
      </c>
      <c r="AG470" s="53" t="inlineStr">
        <is>
          <t>Balachandran K</t>
        </is>
      </c>
      <c r="AH470" s="53" t="inlineStr">
        <is>
          <t>N-1</t>
        </is>
      </c>
      <c r="AI470" s="53" t="inlineStr">
        <is>
          <t>Manager</t>
        </is>
      </c>
      <c r="AJ470" s="53" t="inlineStr">
        <is>
          <t>10 years, 0 months, 0 days</t>
        </is>
      </c>
      <c r="AK470" s="53" t="inlineStr">
        <is>
          <t>5 years, 2 months, 29 days</t>
        </is>
      </c>
      <c r="AL470" s="53" t="inlineStr">
        <is>
          <t>Corporate</t>
        </is>
      </c>
      <c r="AM470" s="53" t="inlineStr">
        <is>
          <t>Corporate</t>
        </is>
      </c>
      <c r="AN470" s="53" t="inlineStr">
        <is>
          <t>Secretarial &amp; Legal</t>
        </is>
      </c>
      <c r="AO470" s="53" t="inlineStr">
        <is>
          <t>Secretarial and Legal</t>
        </is>
      </c>
      <c r="AP470" s="53" t="inlineStr">
        <is>
          <t>No</t>
        </is>
      </c>
      <c r="AQ470" s="53" t="inlineStr">
        <is>
          <t>General &amp; Admin</t>
        </is>
      </c>
      <c r="AR470" s="53" t="inlineStr">
        <is>
          <t>Secretarial and Legal</t>
        </is>
      </c>
      <c r="AS470" s="53" t="inlineStr">
        <is>
          <t>Non-technical</t>
        </is>
      </c>
      <c r="AT470" s="53" t="n">
        <v>0</v>
      </c>
      <c r="AU470" s="53" t="inlineStr">
        <is>
          <t>E-Top management</t>
        </is>
      </c>
      <c r="AV470" s="53" t="n"/>
      <c r="AW470" s="53" t="n"/>
      <c r="AX470" s="53" t="n"/>
      <c r="AY470" s="53" t="n"/>
      <c r="AZ470" s="53" t="n"/>
      <c r="BA470" s="53" t="n"/>
      <c r="BB470" s="53" t="n"/>
      <c r="BC470" s="53" t="n"/>
      <c r="BD470" s="53" t="n"/>
      <c r="BE470" s="53" t="n"/>
      <c r="BF470" s="53" t="n"/>
      <c r="BG470" s="53" t="n"/>
      <c r="BH470" s="53" t="n"/>
      <c r="BI470" s="53" t="n"/>
      <c r="BJ470" s="53" t="n"/>
      <c r="BK470" s="53" t="n"/>
      <c r="BL470" s="53" t="n"/>
      <c r="BM470" s="53" t="n"/>
      <c r="BN470" s="53" t="n"/>
      <c r="BO470" s="53" t="n"/>
      <c r="BP470" s="53" t="n"/>
      <c r="BQ470" s="53" t="n"/>
      <c r="BR470" s="53" t="n"/>
      <c r="BS470" s="53" t="n"/>
      <c r="BT470" s="53" t="n"/>
      <c r="BU470" s="53" t="n"/>
      <c r="BV470" s="53" t="n"/>
      <c r="BW470" s="53" t="n"/>
      <c r="BX470" s="53" t="n"/>
      <c r="BY470" s="53" t="n"/>
      <c r="BZ470" s="53" t="n"/>
      <c r="CA470" s="53" t="n"/>
      <c r="CB470" s="53" t="n"/>
      <c r="CC470" s="53" t="n"/>
      <c r="CD470" s="53" t="n"/>
      <c r="CE470" s="53" t="n"/>
      <c r="CF470" s="53" t="n"/>
      <c r="CG470" s="53" t="n"/>
      <c r="CH470" s="53" t="n"/>
      <c r="CI470" s="53" t="n"/>
      <c r="CJ470" s="53" t="n"/>
      <c r="CK470" s="53" t="n"/>
      <c r="CL470" s="53" t="n"/>
      <c r="CM470" s="53" t="n"/>
      <c r="CN470" s="53" t="n"/>
      <c r="CO470" s="53" t="n"/>
      <c r="CP470" s="53" t="n"/>
      <c r="CQ470" s="53" t="n"/>
      <c r="CR470" s="53" t="n"/>
      <c r="CS470" s="53" t="n"/>
      <c r="CT470" s="53" t="n"/>
      <c r="CU470" s="53" t="n"/>
      <c r="CV470" s="53" t="n"/>
      <c r="CW470" s="53" t="n"/>
      <c r="CX470" s="53" t="n"/>
      <c r="CY470" s="53" t="n"/>
      <c r="CZ470" s="53" t="n"/>
      <c r="DA470" s="53" t="n"/>
      <c r="DB470" s="53" t="n"/>
      <c r="DC470" s="53" t="n"/>
      <c r="DD470" s="53" t="n"/>
      <c r="DE470" s="53" t="n"/>
      <c r="DF470" s="53" t="n"/>
      <c r="DG470" s="53" t="n"/>
      <c r="DH470" s="53" t="n"/>
      <c r="DI470" s="53" t="n"/>
      <c r="DJ470" s="53" t="n"/>
      <c r="DK470" s="53" t="n"/>
      <c r="DL470" s="53" t="n"/>
      <c r="DM470" s="53" t="n"/>
      <c r="DN470" s="53" t="n"/>
      <c r="DO470" s="53" t="n"/>
      <c r="DP470" s="53" t="n"/>
      <c r="DQ470" s="53" t="n"/>
      <c r="DR470" s="53" t="n"/>
      <c r="DS470" s="53" t="n"/>
      <c r="DT470" s="53" t="n"/>
      <c r="DU470" s="53" t="n"/>
      <c r="DV470" s="53" t="n"/>
      <c r="DW470" s="53" t="n"/>
      <c r="DX470" s="53" t="n"/>
      <c r="DY470" s="53" t="n"/>
      <c r="DZ470" s="53" t="n"/>
      <c r="EA470" s="53" t="n"/>
      <c r="EB470" s="53" t="n"/>
      <c r="EC470" s="53" t="n"/>
      <c r="ED470" s="53" t="n"/>
      <c r="EE470" s="53" t="n"/>
      <c r="EF470" s="53" t="n"/>
      <c r="EG470" s="53" t="n"/>
      <c r="EH470" s="53" t="n"/>
      <c r="EI470" s="53" t="n"/>
      <c r="EJ470" s="53" t="n"/>
      <c r="EK470" s="53" t="n"/>
      <c r="EL470" s="53" t="n"/>
      <c r="EM470" s="53" t="n"/>
      <c r="EN470" s="53" t="n"/>
      <c r="EO470" s="53" t="n"/>
      <c r="EP470" s="53" t="n"/>
      <c r="EQ470" s="53" t="n"/>
      <c r="ER470" s="53" t="n"/>
      <c r="ES470" s="53" t="n"/>
      <c r="ET470" s="53" t="n"/>
      <c r="EU470" s="53" t="n"/>
      <c r="EV470" s="53" t="n"/>
      <c r="EW470" s="52" t="n"/>
      <c r="EX470" s="53" t="n"/>
      <c r="EY470" s="53" t="n"/>
      <c r="EZ470" s="53" t="n"/>
      <c r="FA470" s="53" t="n"/>
      <c r="FB470" s="53" t="n"/>
      <c r="FC470" s="53" t="n"/>
      <c r="FD470" s="53" t="n"/>
      <c r="FE470" s="55" t="inlineStr">
        <is>
          <t>KRAs not received · manager to supply</t>
        </is>
      </c>
      <c r="FF470" s="56" t="n"/>
      <c r="FG470" s="56" t="n"/>
      <c r="FH470" s="56" t="n"/>
      <c r="FI470" s="56" t="n"/>
      <c r="FJ470" s="32" t="inlineStr">
        <is>
          <t>KRAs not received · manager to supply</t>
        </is>
      </c>
      <c r="FK470" s="56" t="n"/>
      <c r="FL470" s="56" t="n">
        <v>0</v>
      </c>
      <c r="FM470" s="32" t="inlineStr">
        <is>
          <t>No survey response on file</t>
        </is>
      </c>
      <c r="FN470" s="56" t="inlineStr">
        <is>
          <t>—</t>
        </is>
      </c>
      <c r="FO470" s="56" t="inlineStr">
        <is>
          <t>—</t>
        </is>
      </c>
      <c r="FP470" s="56" t="inlineStr">
        <is>
          <t>—</t>
        </is>
      </c>
      <c r="FQ470" s="56" t="inlineStr">
        <is>
          <t>—</t>
        </is>
      </c>
      <c r="FR470" s="56"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FS470" s="56" t="n"/>
      <c r="FT470" s="56" t="n"/>
      <c r="FU470" s="32" t="inlineStr">
        <is>
          <t>No survey response on file</t>
        </is>
      </c>
    </row>
    <row r="471" ht="90" customHeight="1">
      <c r="A471" s="51" t="inlineStr">
        <is>
          <t>◂ Back</t>
        </is>
      </c>
      <c r="B471" s="29" t="inlineStr">
        <is>
          <t>Mapped</t>
        </is>
      </c>
      <c r="C471" s="28" t="inlineStr">
        <is>
          <t>Corporate</t>
        </is>
      </c>
      <c r="D471" s="29" t="inlineStr">
        <is>
          <t>IRIS2290</t>
        </is>
      </c>
      <c r="E471" s="29" t="inlineStr">
        <is>
          <t>Melita Suares</t>
        </is>
      </c>
      <c r="F471" s="29" t="inlineStr">
        <is>
          <t>Secretarial &amp; Legal</t>
        </is>
      </c>
      <c r="G471" s="29" t="inlineStr">
        <is>
          <t>Executive - Secretarial and Legal</t>
        </is>
      </c>
      <c r="H471" s="29" t="inlineStr">
        <is>
          <t>Senior Secretarial Executive</t>
        </is>
      </c>
      <c r="I471" s="29" t="inlineStr">
        <is>
          <t>Not in current mapping files</t>
        </is>
      </c>
      <c r="J471" s="29" t="inlineStr">
        <is>
          <t>A3</t>
        </is>
      </c>
      <c r="K471" s="29" t="inlineStr">
        <is>
          <t>● Newly mapped</t>
        </is>
      </c>
      <c r="L471" s="29" t="inlineStr">
        <is>
          <t>Administration, Legal &amp; Secretarial</t>
        </is>
      </c>
      <c r="M471" s="29" t="inlineStr">
        <is>
          <t>Company Secretarial &amp; Legal</t>
        </is>
      </c>
      <c r="N471" s="29" t="n"/>
      <c r="O471" s="29" t="n">
        <v>20</v>
      </c>
      <c r="P471" s="28" t="inlineStr">
        <is>
          <t>P2</t>
        </is>
      </c>
      <c r="Q471" s="29" t="inlineStr">
        <is>
          <t>Developing</t>
        </is>
      </c>
      <c r="R471" s="29" t="inlineStr">
        <is>
          <t>3 Apply</t>
        </is>
      </c>
      <c r="S471" s="29" t="inlineStr">
        <is>
          <t>2–4 yrs</t>
        </is>
      </c>
      <c r="T471" s="29" t="inlineStr">
        <is>
          <t>3–5 · 2–5</t>
        </is>
      </c>
      <c r="U471" s="29" t="inlineStr">
        <is>
          <t>Admin / Secretarial Executive</t>
        </is>
      </c>
      <c r="V471" s="29" t="inlineStr">
        <is>
          <t>IRIS Vs Competitor Benchmark — corporate services ladder: Senior Executive</t>
        </is>
      </c>
      <c r="W471" s="29" t="inlineStr">
        <is>
          <t>ICSI · Company Secretary; Companies Act 2013; IFMA · facilities; CIPS · procurement</t>
        </is>
      </c>
      <c r="X471" s="29" t="inlineStr">
        <is>
          <t>Core 2 · Future 2 · Functional 3 · Leadership not scored</t>
        </is>
      </c>
      <c r="Y471" s="52" t="n">
        <v>331</v>
      </c>
      <c r="Z471" s="53" t="inlineStr">
        <is>
          <t>IRIS2290</t>
        </is>
      </c>
      <c r="AA471" s="53" t="inlineStr">
        <is>
          <t>Employee</t>
        </is>
      </c>
      <c r="AB471" s="53" t="inlineStr">
        <is>
          <t>Active</t>
        </is>
      </c>
      <c r="AC471" s="53" t="inlineStr">
        <is>
          <t>Melita Suares</t>
        </is>
      </c>
      <c r="AD471" s="54" t="n">
        <v>45475</v>
      </c>
      <c r="AE471" s="53" t="inlineStr">
        <is>
          <t>Executive - Secretarial and Legal</t>
        </is>
      </c>
      <c r="AF471" s="53" t="inlineStr">
        <is>
          <t>ICSI Marsheets</t>
        </is>
      </c>
      <c r="AG471" s="53" t="inlineStr">
        <is>
          <t>Santosh Sharma</t>
        </is>
      </c>
      <c r="AH471" s="53" t="inlineStr">
        <is>
          <t>N-2</t>
        </is>
      </c>
      <c r="AI471" s="53" t="inlineStr">
        <is>
          <t>Individual Contributor</t>
        </is>
      </c>
      <c r="AJ471" s="53" t="inlineStr">
        <is>
          <t>3 years, 2 months, 0 days</t>
        </is>
      </c>
      <c r="AK471" s="53" t="inlineStr">
        <is>
          <t>2 years, 1 months, 23 days</t>
        </is>
      </c>
      <c r="AL471" s="53" t="inlineStr">
        <is>
          <t>Corporate</t>
        </is>
      </c>
      <c r="AM471" s="53" t="inlineStr">
        <is>
          <t>Corporate</t>
        </is>
      </c>
      <c r="AN471" s="53" t="inlineStr">
        <is>
          <t>Secretarial &amp; Legal</t>
        </is>
      </c>
      <c r="AO471" s="53" t="inlineStr">
        <is>
          <t>Secretarial and Legal</t>
        </is>
      </c>
      <c r="AP471" s="53" t="inlineStr">
        <is>
          <t>No</t>
        </is>
      </c>
      <c r="AQ471" s="53" t="inlineStr">
        <is>
          <t>General &amp; Admin</t>
        </is>
      </c>
      <c r="AR471" s="53" t="inlineStr">
        <is>
          <t>Secretarial and Legal</t>
        </is>
      </c>
      <c r="AS471" s="53" t="inlineStr">
        <is>
          <t>Non-technical</t>
        </is>
      </c>
      <c r="AT471" s="53" t="n">
        <v>20</v>
      </c>
      <c r="AU471" s="53" t="inlineStr">
        <is>
          <t>Covered</t>
        </is>
      </c>
      <c r="AV471" s="53" t="n"/>
      <c r="AW471" s="53" t="n"/>
      <c r="AX471" s="53" t="n"/>
      <c r="AY471" s="53" t="n"/>
      <c r="AZ471" s="53" t="n"/>
      <c r="BA471" s="53" t="n"/>
      <c r="BB471" s="53" t="n"/>
      <c r="BC471" s="53" t="n"/>
      <c r="BD471" s="53" t="n"/>
      <c r="BE471" s="53" t="n"/>
      <c r="BF471" s="53" t="n"/>
      <c r="BG471" s="53" t="n"/>
      <c r="BH471" s="53" t="n"/>
      <c r="BI471" s="53" t="n"/>
      <c r="BJ471" s="53" t="n"/>
      <c r="BK471" s="53" t="n"/>
      <c r="BL471" s="53" t="n"/>
      <c r="BM471" s="53" t="n"/>
      <c r="BN471" s="53" t="n"/>
      <c r="BO471" s="53" t="n"/>
      <c r="BP471" s="53" t="n"/>
      <c r="BQ471" s="53" t="n"/>
      <c r="BR471" s="53" t="n"/>
      <c r="BS471" s="53" t="n"/>
      <c r="BT471" s="53" t="n"/>
      <c r="BU471" s="53" t="n"/>
      <c r="BV471" s="53" t="n"/>
      <c r="BW471" s="53" t="n"/>
      <c r="BX471" s="53" t="n"/>
      <c r="BY471" s="53" t="n"/>
      <c r="BZ471" s="53" t="n"/>
      <c r="CA471" s="53" t="n"/>
      <c r="CB471" s="53" t="n"/>
      <c r="CC471" s="53" t="n"/>
      <c r="CD471" s="53" t="n"/>
      <c r="CE471" s="53" t="n"/>
      <c r="CF471" s="53" t="n"/>
      <c r="CG471" s="53" t="n"/>
      <c r="CH471" s="53" t="n"/>
      <c r="CI471" s="53" t="n"/>
      <c r="CJ471" s="53" t="n"/>
      <c r="CK471" s="53" t="n"/>
      <c r="CL471" s="53" t="n"/>
      <c r="CM471" s="53" t="n"/>
      <c r="CN471" s="53" t="n"/>
      <c r="CO471" s="53" t="n"/>
      <c r="CP471" s="53" t="n"/>
      <c r="CQ471" s="53" t="n"/>
      <c r="CR471" s="53" t="n"/>
      <c r="CS471" s="53" t="n"/>
      <c r="CT471" s="53" t="n"/>
      <c r="CU471" s="53" t="n"/>
      <c r="CV471" s="53" t="n"/>
      <c r="CW471" s="53" t="n"/>
      <c r="CX471" s="53" t="n"/>
      <c r="CY471" s="53" t="n"/>
      <c r="CZ471" s="53" t="n"/>
      <c r="DA471" s="53" t="n"/>
      <c r="DB471" s="53" t="n"/>
      <c r="DC471" s="53" t="n"/>
      <c r="DD471" s="53" t="n"/>
      <c r="DE471" s="53" t="n"/>
      <c r="DF471" s="53" t="n"/>
      <c r="DG471" s="53" t="n"/>
      <c r="DH471" s="53" t="n"/>
      <c r="DI471" s="53" t="n"/>
      <c r="DJ471" s="53" t="n"/>
      <c r="DK471" s="53" t="n"/>
      <c r="DL471" s="53" t="n"/>
      <c r="DM471" s="53" t="n"/>
      <c r="DN471" s="53" t="n"/>
      <c r="DO471" s="53" t="n"/>
      <c r="DP471" s="53" t="n"/>
      <c r="DQ471" s="53" t="n"/>
      <c r="DR471" s="53" t="n"/>
      <c r="DS471" s="53" t="n"/>
      <c r="DT471" s="53" t="n"/>
      <c r="DU471" s="53" t="n"/>
      <c r="DV471" s="53" t="n"/>
      <c r="DW471" s="53" t="n"/>
      <c r="DX471" s="53" t="n"/>
      <c r="DY471" s="53" t="n"/>
      <c r="DZ471" s="53" t="n"/>
      <c r="EA471" s="53" t="n"/>
      <c r="EB471" s="53" t="n"/>
      <c r="EC471" s="53" t="n"/>
      <c r="ED471" s="53" t="n"/>
      <c r="EE471" s="53" t="n"/>
      <c r="EF471" s="53" t="n"/>
      <c r="EG471" s="53" t="n"/>
      <c r="EH471" s="53" t="n"/>
      <c r="EI471" s="53" t="n"/>
      <c r="EJ471" s="53" t="n"/>
      <c r="EK471" s="53" t="n"/>
      <c r="EL471" s="53" t="n"/>
      <c r="EM471" s="53" t="n"/>
      <c r="EN471" s="53" t="n"/>
      <c r="EO471" s="53" t="n"/>
      <c r="EP471" s="53" t="n"/>
      <c r="EQ471" s="53" t="n"/>
      <c r="ER471" s="53" t="n"/>
      <c r="ES471" s="53" t="n"/>
      <c r="ET471" s="53" t="n"/>
      <c r="EU471" s="53" t="n"/>
      <c r="EV471" s="53" t="n"/>
      <c r="EW471" s="52" t="n"/>
      <c r="EX471" s="53" t="n"/>
      <c r="EY471" s="53" t="n"/>
      <c r="EZ471" s="53" t="n"/>
      <c r="FA471" s="53" t="n"/>
      <c r="FB471" s="53" t="n"/>
      <c r="FC471" s="53" t="n"/>
      <c r="FD471" s="53" t="n"/>
      <c r="FE471" s="55" t="inlineStr">
        <is>
          <t>KRAs not received · manager to supply</t>
        </is>
      </c>
      <c r="FF471" s="56" t="n"/>
      <c r="FG471" s="56" t="n"/>
      <c r="FH471" s="56" t="n"/>
      <c r="FI471" s="56" t="n"/>
      <c r="FJ471" s="32" t="inlineStr">
        <is>
          <t>KRAs not received · manager to supply</t>
        </is>
      </c>
      <c r="FK471" s="56" t="n"/>
      <c r="FL471" s="56" t="n">
        <v>20</v>
      </c>
      <c r="FM471" s="32" t="inlineStr">
        <is>
          <t>Full survey answers not in the files received · How We Grow export needed · HR</t>
        </is>
      </c>
      <c r="FN471" s="56" t="inlineStr">
        <is>
          <t>—</t>
        </is>
      </c>
      <c r="FO471" s="56" t="inlineStr">
        <is>
          <t>—</t>
        </is>
      </c>
      <c r="FP471" s="56" t="inlineStr">
        <is>
          <t>—</t>
        </is>
      </c>
      <c r="FQ471" s="56" t="inlineStr">
        <is>
          <t>—</t>
        </is>
      </c>
      <c r="FR471" s="56" t="inlineStr">
        <is>
          <t>Complexity: Evidence reads like A3: ROC and LODR filings, board minutes, agreement drafting and vetting, compliance trackers, PIT training → moved up 0.5
Autonomy: Evidence reads like A3: Decides secretarial documentation, ROC filings, trackers and PIT training module; escalates legal issues → moved up 0.5
Accountability: Evidence reads like A3: Accuracy and timeliness of statutory filings and board records; penalties if missed → moved up 0.5
Leadership: Evidence reads like A2: Prepares and presents PIT training sessions; no juniors guided → moved up 0.5
Business Impact: No survey or manager-mapping signal on criticality: kept at the start point.</t>
        </is>
      </c>
      <c r="FS471" s="56" t="n"/>
      <c r="FT471" s="56" t="inlineStr">
        <is>
          <t>Self-identified: Leadership &amp; people management · Domain, regulatory &amp; XBRL · Client, sales &amp; stakeholders · Strategy &amp; business acumen · Broader exposure &amp; ownership
For the next role: Leadership &amp; people management · Domain, regulatory &amp; XBRL · Client, sales &amp; stakeholders · Strategy &amp; business acumen · Broader exposure &amp; ownership</t>
        </is>
      </c>
      <c r="FU471" s="32" t="inlineStr">
        <is>
          <t>Full survey answers not in the files received · How We Grow export needed · HR</t>
        </is>
      </c>
    </row>
    <row r="472" ht="90" customHeight="1">
      <c r="A472" s="51" t="inlineStr">
        <is>
          <t>◂ Back</t>
        </is>
      </c>
      <c r="B472" s="29" t="inlineStr">
        <is>
          <t>Mapped</t>
        </is>
      </c>
      <c r="C472" s="28" t="inlineStr">
        <is>
          <t>Corporate</t>
        </is>
      </c>
      <c r="D472" s="29" t="inlineStr">
        <is>
          <t>INTN0296</t>
        </is>
      </c>
      <c r="E472" s="29" t="inlineStr">
        <is>
          <t>Sneha Pillai</t>
        </is>
      </c>
      <c r="F472" s="29" t="inlineStr">
        <is>
          <t>Secretarial &amp; Legal</t>
        </is>
      </c>
      <c r="G472" s="29" t="inlineStr">
        <is>
          <t>Intern</t>
        </is>
      </c>
      <c r="H472" s="29" t="inlineStr">
        <is>
          <t>Intern – Company Secretarial &amp; Legal</t>
        </is>
      </c>
      <c r="I472" s="29" t="inlineStr">
        <is>
          <t>Not in current mapping files</t>
        </is>
      </c>
      <c r="J472" s="29" t="inlineStr">
        <is>
          <t>A1</t>
        </is>
      </c>
      <c r="K472" s="29" t="inlineStr">
        <is>
          <t>● Newly mapped</t>
        </is>
      </c>
      <c r="L472" s="29" t="inlineStr">
        <is>
          <t>Administration, Legal &amp; Secretarial</t>
        </is>
      </c>
      <c r="M472" s="29" t="inlineStr">
        <is>
          <t>Company Secretarial &amp; Legal</t>
        </is>
      </c>
      <c r="N472" s="29" t="n"/>
      <c r="O472" s="29" t="n">
        <v>20</v>
      </c>
      <c r="P472" s="28" t="inlineStr">
        <is>
          <t>Entry / P1 · intern</t>
        </is>
      </c>
      <c r="Q472" s="29" t="inlineStr">
        <is>
          <t>Entry</t>
        </is>
      </c>
      <c r="R472" s="29" t="inlineStr">
        <is>
          <t>1 Follow</t>
        </is>
      </c>
      <c r="S472" s="29" t="inlineStr">
        <is>
          <t>0 yrs · fresher / intern</t>
        </is>
      </c>
      <c r="T472" s="29" t="inlineStr">
        <is>
          <t>—</t>
        </is>
      </c>
      <c r="U472" s="29" t="inlineStr">
        <is>
          <t>Admin Assistant</t>
        </is>
      </c>
      <c r="V472" s="29" t="inlineStr">
        <is>
          <t>IRIS Vs Competitor Benchmark — corporate services ladder: Trainee</t>
        </is>
      </c>
      <c r="W472" s="29" t="inlineStr">
        <is>
          <t>ICSI · Company Secretary; Companies Act 2013; IFMA · facilities; CIPS · procurement</t>
        </is>
      </c>
      <c r="X472" s="29" t="inlineStr">
        <is>
          <t>Core 1 · Future 1 · Functional 1 · Leadership not scored</t>
        </is>
      </c>
      <c r="Y472" s="52" t="n">
        <v>463</v>
      </c>
      <c r="Z472" s="53" t="inlineStr">
        <is>
          <t>INTN0296</t>
        </is>
      </c>
      <c r="AA472" s="53" t="inlineStr">
        <is>
          <t>Intern</t>
        </is>
      </c>
      <c r="AB472" s="53" t="inlineStr">
        <is>
          <t>Active</t>
        </is>
      </c>
      <c r="AC472" s="53" t="inlineStr">
        <is>
          <t>Sneha Pillai</t>
        </is>
      </c>
      <c r="AD472" s="54" t="n">
        <v>46086</v>
      </c>
      <c r="AE472" s="53" t="inlineStr">
        <is>
          <t>Intern</t>
        </is>
      </c>
      <c r="AF472" s="53" t="inlineStr">
        <is>
          <t>B.Com</t>
        </is>
      </c>
      <c r="AG472" s="53" t="inlineStr">
        <is>
          <t>Santosh Sharma</t>
        </is>
      </c>
      <c r="AH472" s="53" t="inlineStr">
        <is>
          <t>N-2</t>
        </is>
      </c>
      <c r="AI472" s="53" t="inlineStr">
        <is>
          <t>Individual Contributor</t>
        </is>
      </c>
      <c r="AJ472" s="53" t="inlineStr">
        <is>
          <t>0 years, 0 months, 0 days</t>
        </is>
      </c>
      <c r="AK472" s="53" t="inlineStr">
        <is>
          <t>0 years, 5 months, 20 days</t>
        </is>
      </c>
      <c r="AL472" s="53" t="inlineStr">
        <is>
          <t>Corporate</t>
        </is>
      </c>
      <c r="AM472" s="53" t="inlineStr">
        <is>
          <t>Corporate</t>
        </is>
      </c>
      <c r="AN472" s="53" t="inlineStr">
        <is>
          <t>Secretarial &amp; Legal</t>
        </is>
      </c>
      <c r="AO472" s="53" t="inlineStr">
        <is>
          <t>Secretarial and Legal</t>
        </is>
      </c>
      <c r="AP472" s="53" t="inlineStr">
        <is>
          <t>No</t>
        </is>
      </c>
      <c r="AQ472" s="53" t="inlineStr">
        <is>
          <t>General &amp; Admin</t>
        </is>
      </c>
      <c r="AR472" s="53" t="inlineStr">
        <is>
          <t>Secretarial and Legal</t>
        </is>
      </c>
      <c r="AS472" s="53" t="inlineStr">
        <is>
          <t>Non-technical</t>
        </is>
      </c>
      <c r="AT472" s="53" t="n">
        <v>20</v>
      </c>
      <c r="AU472" s="53" t="inlineStr">
        <is>
          <t>Covered</t>
        </is>
      </c>
      <c r="AV472" s="53" t="n"/>
      <c r="AW472" s="53" t="n"/>
      <c r="AX472" s="53" t="n"/>
      <c r="AY472" s="53" t="n"/>
      <c r="AZ472" s="53" t="n"/>
      <c r="BA472" s="53" t="n"/>
      <c r="BB472" s="53" t="n"/>
      <c r="BC472" s="53" t="n"/>
      <c r="BD472" s="53" t="n"/>
      <c r="BE472" s="53" t="n"/>
      <c r="BF472" s="53" t="n"/>
      <c r="BG472" s="53" t="n"/>
      <c r="BH472" s="53" t="n"/>
      <c r="BI472" s="53" t="n"/>
      <c r="BJ472" s="53" t="n"/>
      <c r="BK472" s="53" t="n"/>
      <c r="BL472" s="53" t="n"/>
      <c r="BM472" s="53" t="n"/>
      <c r="BN472" s="53" t="n"/>
      <c r="BO472" s="53" t="n"/>
      <c r="BP472" s="53" t="n"/>
      <c r="BQ472" s="53" t="n"/>
      <c r="BR472" s="53" t="n"/>
      <c r="BS472" s="53" t="n"/>
      <c r="BT472" s="53" t="n"/>
      <c r="BU472" s="53" t="n"/>
      <c r="BV472" s="53" t="n"/>
      <c r="BW472" s="53" t="n"/>
      <c r="BX472" s="53" t="n"/>
      <c r="BY472" s="53" t="n"/>
      <c r="BZ472" s="53" t="n"/>
      <c r="CA472" s="53" t="n"/>
      <c r="CB472" s="53" t="n"/>
      <c r="CC472" s="53" t="n"/>
      <c r="CD472" s="53" t="n"/>
      <c r="CE472" s="53" t="n"/>
      <c r="CF472" s="53" t="n"/>
      <c r="CG472" s="53" t="n"/>
      <c r="CH472" s="53" t="n"/>
      <c r="CI472" s="53" t="n"/>
      <c r="CJ472" s="53" t="n"/>
      <c r="CK472" s="53" t="n"/>
      <c r="CL472" s="53" t="n"/>
      <c r="CM472" s="53" t="n"/>
      <c r="CN472" s="53" t="n"/>
      <c r="CO472" s="53" t="n"/>
      <c r="CP472" s="53" t="n"/>
      <c r="CQ472" s="53" t="n"/>
      <c r="CR472" s="53" t="n"/>
      <c r="CS472" s="53" t="n"/>
      <c r="CT472" s="53" t="n"/>
      <c r="CU472" s="53" t="n"/>
      <c r="CV472" s="53" t="n"/>
      <c r="CW472" s="53" t="n"/>
      <c r="CX472" s="53" t="n"/>
      <c r="CY472" s="53" t="n"/>
      <c r="CZ472" s="53" t="n"/>
      <c r="DA472" s="53" t="n"/>
      <c r="DB472" s="53" t="n"/>
      <c r="DC472" s="53" t="n"/>
      <c r="DD472" s="53" t="n"/>
      <c r="DE472" s="53" t="n"/>
      <c r="DF472" s="53" t="n"/>
      <c r="DG472" s="53" t="n"/>
      <c r="DH472" s="53" t="n"/>
      <c r="DI472" s="53" t="n"/>
      <c r="DJ472" s="53" t="n"/>
      <c r="DK472" s="53" t="n"/>
      <c r="DL472" s="53" t="n"/>
      <c r="DM472" s="53" t="n"/>
      <c r="DN472" s="53" t="n"/>
      <c r="DO472" s="53" t="n"/>
      <c r="DP472" s="53" t="n"/>
      <c r="DQ472" s="53" t="n"/>
      <c r="DR472" s="53" t="n"/>
      <c r="DS472" s="53" t="n"/>
      <c r="DT472" s="53" t="n"/>
      <c r="DU472" s="53" t="n"/>
      <c r="DV472" s="53" t="n"/>
      <c r="DW472" s="53" t="n"/>
      <c r="DX472" s="53" t="n"/>
      <c r="DY472" s="53" t="n"/>
      <c r="DZ472" s="53" t="n"/>
      <c r="EA472" s="53" t="n"/>
      <c r="EB472" s="53" t="n"/>
      <c r="EC472" s="53" t="n"/>
      <c r="ED472" s="53" t="n"/>
      <c r="EE472" s="53" t="n"/>
      <c r="EF472" s="53" t="n"/>
      <c r="EG472" s="53" t="n"/>
      <c r="EH472" s="53" t="n"/>
      <c r="EI472" s="53" t="n"/>
      <c r="EJ472" s="53" t="n"/>
      <c r="EK472" s="53" t="n"/>
      <c r="EL472" s="53" t="n"/>
      <c r="EM472" s="53" t="n"/>
      <c r="EN472" s="53" t="n"/>
      <c r="EO472" s="53" t="n"/>
      <c r="EP472" s="53" t="n"/>
      <c r="EQ472" s="53" t="n"/>
      <c r="ER472" s="53" t="n"/>
      <c r="ES472" s="53" t="n"/>
      <c r="ET472" s="53" t="n"/>
      <c r="EU472" s="53" t="n"/>
      <c r="EV472" s="53" t="n"/>
      <c r="EW472" s="52" t="n"/>
      <c r="EX472" s="53" t="n"/>
      <c r="EY472" s="53" t="n"/>
      <c r="EZ472" s="53" t="n"/>
      <c r="FA472" s="53" t="n"/>
      <c r="FB472" s="53" t="n"/>
      <c r="FC472" s="53" t="n"/>
      <c r="FD472" s="53" t="n"/>
      <c r="FE472" s="55" t="inlineStr">
        <is>
          <t>KRAs not received · manager to supply</t>
        </is>
      </c>
      <c r="FF472" s="56" t="n"/>
      <c r="FG472" s="56" t="n"/>
      <c r="FH472" s="56" t="n"/>
      <c r="FI472" s="56" t="n"/>
      <c r="FJ472" s="32" t="inlineStr">
        <is>
          <t>KRAs not received · manager to supply</t>
        </is>
      </c>
      <c r="FK472" s="56" t="n"/>
      <c r="FL472" s="56" t="n">
        <v>20</v>
      </c>
      <c r="FM472" s="32" t="inlineStr">
        <is>
          <t>Full survey answers not in the files received · How We Grow export needed · HR</t>
        </is>
      </c>
      <c r="FN472" s="56" t="inlineStr">
        <is>
          <t>—</t>
        </is>
      </c>
      <c r="FO472" s="56" t="inlineStr">
        <is>
          <t>—</t>
        </is>
      </c>
      <c r="FP472" s="56" t="inlineStr">
        <is>
          <t>—</t>
        </is>
      </c>
      <c r="FQ472" s="56" t="inlineStr">
        <is>
          <t>—</t>
        </is>
      </c>
      <c r="FR472" s="56" t="n"/>
      <c r="FS472" s="56" t="n"/>
      <c r="FT472" s="56" t="inlineStr">
        <is>
          <t>Self-identified: Domain, regulatory &amp; XBRL · Broader exposure &amp; ownership
For the next role: Domain, regulatory &amp; XBRL · Broader exposure &amp; ownership</t>
        </is>
      </c>
      <c r="FU472" s="32" t="inlineStr">
        <is>
          <t>Full survey answers not in the files received · How We Grow export needed · HR</t>
        </is>
      </c>
    </row>
    <row r="473" ht="90" customHeight="1">
      <c r="A473" s="51" t="inlineStr">
        <is>
          <t>◂ Back</t>
        </is>
      </c>
      <c r="B473" s="29" t="inlineStr">
        <is>
          <t>Mapped</t>
        </is>
      </c>
      <c r="C473" s="28" t="inlineStr">
        <is>
          <t>iFile</t>
        </is>
      </c>
      <c r="D473" s="29" t="inlineStr">
        <is>
          <t>IRISSG001</t>
        </is>
      </c>
      <c r="E473" s="29" t="inlineStr">
        <is>
          <t>Anand Padmanabhan</t>
        </is>
      </c>
      <c r="F473" s="29" t="inlineStr">
        <is>
          <t>Sales</t>
        </is>
      </c>
      <c r="G473" s="29" t="inlineStr">
        <is>
          <t>President</t>
        </is>
      </c>
      <c r="H473" s="29" t="inlineStr">
        <is>
          <t>Senior Consultant – Enterprise Leadership</t>
        </is>
      </c>
      <c r="I473" s="29" t="inlineStr">
        <is>
          <t>Not in current mapping files</t>
        </is>
      </c>
      <c r="J473" s="29" t="inlineStr">
        <is>
          <t>X3</t>
        </is>
      </c>
      <c r="K473" s="29" t="inlineStr">
        <is>
          <t>● Newly mapped</t>
        </is>
      </c>
      <c r="L473" s="29" t="inlineStr">
        <is>
          <t>Executive Leadership</t>
        </is>
      </c>
      <c r="M473" s="29" t="inlineStr">
        <is>
          <t>Enterprise Leadership</t>
        </is>
      </c>
      <c r="N473" s="29" t="n"/>
      <c r="O473" s="29" t="n">
        <v>0</v>
      </c>
      <c r="P473" s="28" t="inlineStr">
        <is>
          <t>Contractor</t>
        </is>
      </c>
      <c r="Q473" s="29" t="inlineStr">
        <is>
          <t>—</t>
        </is>
      </c>
      <c r="R473" s="29" t="inlineStr">
        <is>
          <t>—</t>
        </is>
      </c>
      <c r="S473" s="29" t="inlineStr">
        <is>
          <t>10+ yrs</t>
        </is>
      </c>
      <c r="T473" s="29" t="inlineStr">
        <is>
          <t>—</t>
        </is>
      </c>
      <c r="U473" s="29" t="inlineStr">
        <is>
          <t>Contractor · rate card</t>
        </is>
      </c>
      <c r="V473" s="29" t="inlineStr">
        <is>
          <t>—</t>
        </is>
      </c>
      <c r="W473" s="29" t="inlineStr">
        <is>
          <t>Aon Radford executive levels E1–E6; Mercer ET1–ET3; Korn Ferry Leadership Architect</t>
        </is>
      </c>
      <c r="X473" s="29" t="inlineStr">
        <is>
          <t>Per statement of work</t>
        </is>
      </c>
      <c r="Y473" s="52" t="n">
        <v>565</v>
      </c>
      <c r="Z473" s="53" t="inlineStr">
        <is>
          <t>IRISSG001</t>
        </is>
      </c>
      <c r="AA473" s="53" t="inlineStr">
        <is>
          <t>IRIS US</t>
        </is>
      </c>
      <c r="AB473" s="53" t="inlineStr">
        <is>
          <t>Active</t>
        </is>
      </c>
      <c r="AC473" s="53" t="inlineStr">
        <is>
          <t>Anand Padmanabhan</t>
        </is>
      </c>
      <c r="AD473" s="54" t="n">
        <v>40851</v>
      </c>
      <c r="AE473" s="53" t="inlineStr">
        <is>
          <t>President</t>
        </is>
      </c>
      <c r="AF473" s="53" t="inlineStr">
        <is>
          <t>CA</t>
        </is>
      </c>
      <c r="AG473" s="53" t="inlineStr">
        <is>
          <t>Balachandran K</t>
        </is>
      </c>
      <c r="AH473" s="53" t="inlineStr">
        <is>
          <t>N-1</t>
        </is>
      </c>
      <c r="AI473" s="53" t="inlineStr">
        <is>
          <t>Individual Contributor</t>
        </is>
      </c>
      <c r="AJ473" s="53" t="n"/>
      <c r="AK473" s="53" t="inlineStr">
        <is>
          <t>14 years, 10 months, 19 days</t>
        </is>
      </c>
      <c r="AL473" s="53" t="inlineStr">
        <is>
          <t>Suptech</t>
        </is>
      </c>
      <c r="AM473" s="53" t="inlineStr">
        <is>
          <t>iFile</t>
        </is>
      </c>
      <c r="AN473" s="53" t="inlineStr">
        <is>
          <t>Sales</t>
        </is>
      </c>
      <c r="AO473" s="53" t="inlineStr">
        <is>
          <t>Sales</t>
        </is>
      </c>
      <c r="AP473" s="53" t="inlineStr">
        <is>
          <t>No</t>
        </is>
      </c>
      <c r="AQ473" s="53" t="inlineStr">
        <is>
          <t>Sales, Marketing &amp; Support</t>
        </is>
      </c>
      <c r="AR473" s="53" t="inlineStr">
        <is>
          <t>Sales</t>
        </is>
      </c>
      <c r="AS473" s="53" t="inlineStr">
        <is>
          <t>Non-technical</t>
        </is>
      </c>
      <c r="AT473" s="53" t="n">
        <v>0</v>
      </c>
      <c r="AU473" s="53" t="inlineStr">
        <is>
          <t>E-Top management</t>
        </is>
      </c>
      <c r="AV473" s="53" t="n"/>
      <c r="AW473" s="53" t="n"/>
      <c r="AX473" s="53" t="n"/>
      <c r="AY473" s="53" t="n"/>
      <c r="AZ473" s="53" t="n"/>
      <c r="BA473" s="53" t="n"/>
      <c r="BB473" s="53" t="n"/>
      <c r="BC473" s="53" t="n"/>
      <c r="BD473" s="53" t="n"/>
      <c r="BE473" s="53" t="n"/>
      <c r="BF473" s="53" t="n"/>
      <c r="BG473" s="53" t="n"/>
      <c r="BH473" s="53" t="n"/>
      <c r="BI473" s="53" t="n"/>
      <c r="BJ473" s="53" t="n"/>
      <c r="BK473" s="53" t="n"/>
      <c r="BL473" s="53" t="n"/>
      <c r="BM473" s="53" t="n"/>
      <c r="BN473" s="53" t="n"/>
      <c r="BO473" s="53" t="n"/>
      <c r="BP473" s="53" t="n"/>
      <c r="BQ473" s="53" t="n"/>
      <c r="BR473" s="53" t="n"/>
      <c r="BS473" s="53" t="n"/>
      <c r="BT473" s="53" t="n"/>
      <c r="BU473" s="53" t="n"/>
      <c r="BV473" s="53" t="n"/>
      <c r="BW473" s="53" t="n"/>
      <c r="BX473" s="53" t="n"/>
      <c r="BY473" s="53" t="n"/>
      <c r="BZ473" s="53" t="n"/>
      <c r="CA473" s="53" t="n"/>
      <c r="CB473" s="53" t="n"/>
      <c r="CC473" s="53" t="n"/>
      <c r="CD473" s="53" t="n"/>
      <c r="CE473" s="53" t="n"/>
      <c r="CF473" s="53" t="n"/>
      <c r="CG473" s="53" t="n"/>
      <c r="CH473" s="53" t="n"/>
      <c r="CI473" s="53" t="n"/>
      <c r="CJ473" s="53" t="n"/>
      <c r="CK473" s="53" t="n"/>
      <c r="CL473" s="53" t="n"/>
      <c r="CM473" s="53" t="n"/>
      <c r="CN473" s="53" t="n"/>
      <c r="CO473" s="53" t="n"/>
      <c r="CP473" s="53" t="n"/>
      <c r="CQ473" s="53" t="n"/>
      <c r="CR473" s="53" t="n"/>
      <c r="CS473" s="53" t="n"/>
      <c r="CT473" s="53" t="n"/>
      <c r="CU473" s="53" t="n"/>
      <c r="CV473" s="53" t="n"/>
      <c r="CW473" s="53" t="n"/>
      <c r="CX473" s="53" t="n"/>
      <c r="CY473" s="53" t="n"/>
      <c r="CZ473" s="53" t="n"/>
      <c r="DA473" s="53" t="n"/>
      <c r="DB473" s="53" t="n"/>
      <c r="DC473" s="53" t="n"/>
      <c r="DD473" s="53" t="n"/>
      <c r="DE473" s="53" t="n"/>
      <c r="DF473" s="53" t="n"/>
      <c r="DG473" s="53" t="n"/>
      <c r="DH473" s="53" t="n"/>
      <c r="DI473" s="53" t="n"/>
      <c r="DJ473" s="53" t="n"/>
      <c r="DK473" s="53" t="n"/>
      <c r="DL473" s="53" t="n"/>
      <c r="DM473" s="53" t="n"/>
      <c r="DN473" s="53" t="n"/>
      <c r="DO473" s="53" t="n"/>
      <c r="DP473" s="53" t="n"/>
      <c r="DQ473" s="53" t="n"/>
      <c r="DR473" s="53" t="n"/>
      <c r="DS473" s="53" t="n"/>
      <c r="DT473" s="53" t="n"/>
      <c r="DU473" s="53" t="n"/>
      <c r="DV473" s="53" t="n"/>
      <c r="DW473" s="53" t="n"/>
      <c r="DX473" s="53" t="n"/>
      <c r="DY473" s="53" t="n"/>
      <c r="DZ473" s="53" t="n"/>
      <c r="EA473" s="53" t="n"/>
      <c r="EB473" s="53" t="n"/>
      <c r="EC473" s="53" t="n"/>
      <c r="ED473" s="53" t="n"/>
      <c r="EE473" s="53" t="n"/>
      <c r="EF473" s="53" t="n"/>
      <c r="EG473" s="53" t="n"/>
      <c r="EH473" s="53" t="n"/>
      <c r="EI473" s="53" t="n"/>
      <c r="EJ473" s="53" t="n"/>
      <c r="EK473" s="53" t="n"/>
      <c r="EL473" s="53" t="n"/>
      <c r="EM473" s="53" t="n"/>
      <c r="EN473" s="53" t="n"/>
      <c r="EO473" s="53" t="n"/>
      <c r="EP473" s="53" t="n"/>
      <c r="EQ473" s="53" t="n"/>
      <c r="ER473" s="53" t="n"/>
      <c r="ES473" s="53" t="n"/>
      <c r="ET473" s="53" t="n"/>
      <c r="EU473" s="53" t="n"/>
      <c r="EV473" s="53" t="n"/>
      <c r="EW473" s="52" t="n"/>
      <c r="EX473" s="53" t="n"/>
      <c r="EY473" s="53" t="n"/>
      <c r="EZ473" s="53" t="n"/>
      <c r="FA473" s="53" t="n"/>
      <c r="FB473" s="53" t="n"/>
      <c r="FC473" s="53" t="n"/>
      <c r="FD473" s="53" t="n"/>
      <c r="FE473" s="55" t="inlineStr">
        <is>
          <t>KRAs not received · manager to supply</t>
        </is>
      </c>
      <c r="FF473" s="56" t="n"/>
      <c r="FG473" s="56" t="n"/>
      <c r="FH473" s="56" t="n"/>
      <c r="FI473" s="56" t="n"/>
      <c r="FJ473" s="32" t="inlineStr">
        <is>
          <t>KRAs not received · manager to supply</t>
        </is>
      </c>
      <c r="FK473" s="56" t="n"/>
      <c r="FL473" s="56" t="n">
        <v>0</v>
      </c>
      <c r="FM473" s="32" t="inlineStr">
        <is>
          <t>No survey response on file</t>
        </is>
      </c>
      <c r="FN473" s="56" t="inlineStr">
        <is>
          <t>—</t>
        </is>
      </c>
      <c r="FO473" s="56" t="inlineStr">
        <is>
          <t>—</t>
        </is>
      </c>
      <c r="FP473" s="56" t="inlineStr">
        <is>
          <t>—</t>
        </is>
      </c>
      <c r="FQ473" s="56" t="inlineStr">
        <is>
          <t>—</t>
        </is>
      </c>
      <c r="FR473" s="56" t="n"/>
      <c r="FS473" s="56" t="n"/>
      <c r="FT473" s="56" t="n"/>
      <c r="FU473" s="32" t="inlineStr">
        <is>
          <t>No survey response on file</t>
        </is>
      </c>
    </row>
    <row r="474" ht="90" customHeight="1">
      <c r="A474" s="51" t="inlineStr">
        <is>
          <t>◂ Back</t>
        </is>
      </c>
      <c r="B474" s="29" t="inlineStr">
        <is>
          <t>Mapped</t>
        </is>
      </c>
      <c r="C474" s="28" t="inlineStr">
        <is>
          <t>Corporate</t>
        </is>
      </c>
      <c r="D474" s="29" t="inlineStr">
        <is>
          <t>IRIS0002</t>
        </is>
      </c>
      <c r="E474" s="29" t="inlineStr">
        <is>
          <t>Deepta Rangarajan</t>
        </is>
      </c>
      <c r="F474" s="29" t="inlineStr">
        <is>
          <t>Management</t>
        </is>
      </c>
      <c r="G474" s="29" t="inlineStr">
        <is>
          <t>COO, Product Sponsor · Carbon</t>
        </is>
      </c>
      <c r="H474" s="29" t="inlineStr">
        <is>
          <t>Chief Operating Officer</t>
        </is>
      </c>
      <c r="I474" s="29" t="inlineStr">
        <is>
          <t>Not in current mapping files</t>
        </is>
      </c>
      <c r="J474" s="29" t="inlineStr">
        <is>
          <t>E1</t>
        </is>
      </c>
      <c r="K474" s="29" t="inlineStr">
        <is>
          <t>● Newly mapped</t>
        </is>
      </c>
      <c r="L474" s="29" t="inlineStr">
        <is>
          <t>Enterprise Leadership</t>
        </is>
      </c>
      <c r="M474" s="29" t="inlineStr">
        <is>
          <t>Chief Officers · CXO</t>
        </is>
      </c>
      <c r="N474" s="29" t="inlineStr">
        <is>
          <t>• Survey response or KRAs describing the work · nothing on file — Employee + manager</t>
        </is>
      </c>
      <c r="O474" s="29" t="n">
        <v>0</v>
      </c>
      <c r="P474" s="28" t="inlineStr">
        <is>
          <t>E5</t>
        </is>
      </c>
      <c r="Q474" s="29" t="inlineStr">
        <is>
          <t>C-Level</t>
        </is>
      </c>
      <c r="R474" s="29" t="inlineStr">
        <is>
          <t>7</t>
        </is>
      </c>
      <c r="S474" s="29" t="inlineStr">
        <is>
          <t>20+ yrs</t>
        </is>
      </c>
      <c r="T474" s="29" t="inlineStr">
        <is>
          <t>—</t>
        </is>
      </c>
      <c r="U474" s="29" t="inlineStr">
        <is>
          <t>CXO · functional chief</t>
        </is>
      </c>
      <c r="V474" s="29" t="inlineStr">
        <is>
          <t>IRIS Vs Market Benchmark — Aon Radford / Mercer executive codes: E5 C-level · functional · IRIS Vs Competitor Benchmark — regtech / SaaS executive titles: CTO · CFO · CRO · CCO · COO</t>
        </is>
      </c>
      <c r="W474" s="29" t="inlineStr">
        <is>
          <t>Aon Radford executive levels E1–E6; Mercer ET1–ET3; Korn Ferry Leadership Architect</t>
        </is>
      </c>
      <c r="X474" s="29" t="inlineStr">
        <is>
          <t>Core 5 · Future 5 · Functional 4 · Leadership 5</t>
        </is>
      </c>
      <c r="Y474" s="52" t="n">
        <v>2</v>
      </c>
      <c r="Z474" s="53" t="inlineStr">
        <is>
          <t>IRIS0002</t>
        </is>
      </c>
      <c r="AA474" s="53" t="inlineStr">
        <is>
          <t>Employee</t>
        </is>
      </c>
      <c r="AB474" s="53" t="inlineStr">
        <is>
          <t>Active</t>
        </is>
      </c>
      <c r="AC474" s="53" t="inlineStr">
        <is>
          <t>Deepta Rangarajan</t>
        </is>
      </c>
      <c r="AD474" s="54" t="n">
        <v>38200</v>
      </c>
      <c r="AE474" s="53" t="inlineStr">
        <is>
          <t>COO, Product Sponsor · Carbon</t>
        </is>
      </c>
      <c r="AF474" s="53" t="inlineStr">
        <is>
          <t>MBA</t>
        </is>
      </c>
      <c r="AG474" s="53" t="inlineStr">
        <is>
          <t>-</t>
        </is>
      </c>
      <c r="AH474" s="53" t="inlineStr">
        <is>
          <t>N</t>
        </is>
      </c>
      <c r="AI474" s="53" t="inlineStr">
        <is>
          <t>Manager</t>
        </is>
      </c>
      <c r="AJ474" s="53" t="inlineStr">
        <is>
          <t>10 years, 0 months, 0 days</t>
        </is>
      </c>
      <c r="AK474" s="53" t="inlineStr">
        <is>
          <t>22 years, 0 months, 24 days</t>
        </is>
      </c>
      <c r="AL474" s="53" t="inlineStr">
        <is>
          <t>Corporate</t>
        </is>
      </c>
      <c r="AM474" s="53" t="inlineStr">
        <is>
          <t>Corporate</t>
        </is>
      </c>
      <c r="AN474" s="53" t="inlineStr">
        <is>
          <t>Management</t>
        </is>
      </c>
      <c r="AO474" s="53" t="inlineStr">
        <is>
          <t>Management</t>
        </is>
      </c>
      <c r="AP474" s="53" t="inlineStr">
        <is>
          <t>No</t>
        </is>
      </c>
      <c r="AQ474" s="53" t="inlineStr">
        <is>
          <t>Management</t>
        </is>
      </c>
      <c r="AR474" s="53" t="inlineStr">
        <is>
          <t>Management</t>
        </is>
      </c>
      <c r="AS474" s="53" t="inlineStr">
        <is>
          <t>Non-technical</t>
        </is>
      </c>
      <c r="AT474" s="53" t="n">
        <v>0</v>
      </c>
      <c r="AU474" s="53" t="inlineStr">
        <is>
          <t>E-Top management</t>
        </is>
      </c>
      <c r="AV474" s="53" t="n"/>
      <c r="AW474" s="53" t="n"/>
      <c r="AX474" s="53" t="n"/>
      <c r="AY474" s="53" t="n"/>
      <c r="AZ474" s="53" t="n"/>
      <c r="BA474" s="53" t="n"/>
      <c r="BB474" s="53" t="n"/>
      <c r="BC474" s="53" t="n"/>
      <c r="BD474" s="53" t="n"/>
      <c r="BE474" s="53" t="n"/>
      <c r="BF474" s="53" t="n"/>
      <c r="BG474" s="53" t="n"/>
      <c r="BH474" s="53" t="n"/>
      <c r="BI474" s="53" t="n"/>
      <c r="BJ474" s="53" t="n"/>
      <c r="BK474" s="53" t="n"/>
      <c r="BL474" s="53" t="n"/>
      <c r="BM474" s="53" t="n"/>
      <c r="BN474" s="53" t="n"/>
      <c r="BO474" s="53" t="n"/>
      <c r="BP474" s="53" t="n"/>
      <c r="BQ474" s="53" t="n"/>
      <c r="BR474" s="53" t="n"/>
      <c r="BS474" s="53" t="n"/>
      <c r="BT474" s="53" t="n"/>
      <c r="BU474" s="53" t="n"/>
      <c r="BV474" s="53" t="n"/>
      <c r="BW474" s="53" t="n"/>
      <c r="BX474" s="53" t="n"/>
      <c r="BY474" s="53" t="n"/>
      <c r="BZ474" s="53" t="n"/>
      <c r="CA474" s="53" t="n"/>
      <c r="CB474" s="53" t="n"/>
      <c r="CC474" s="53" t="n"/>
      <c r="CD474" s="53" t="n"/>
      <c r="CE474" s="53" t="n"/>
      <c r="CF474" s="53" t="n"/>
      <c r="CG474" s="53" t="n"/>
      <c r="CH474" s="53" t="n"/>
      <c r="CI474" s="53" t="n"/>
      <c r="CJ474" s="53" t="n"/>
      <c r="CK474" s="53" t="n"/>
      <c r="CL474" s="53" t="n"/>
      <c r="CM474" s="53" t="n"/>
      <c r="CN474" s="53" t="n"/>
      <c r="CO474" s="53" t="n"/>
      <c r="CP474" s="53" t="n"/>
      <c r="CQ474" s="53" t="n"/>
      <c r="CR474" s="53" t="n"/>
      <c r="CS474" s="53" t="n"/>
      <c r="CT474" s="53" t="n"/>
      <c r="CU474" s="53" t="n"/>
      <c r="CV474" s="53" t="n"/>
      <c r="CW474" s="53" t="n"/>
      <c r="CX474" s="53" t="n"/>
      <c r="CY474" s="53" t="n"/>
      <c r="CZ474" s="53" t="n"/>
      <c r="DA474" s="53" t="n"/>
      <c r="DB474" s="53" t="n"/>
      <c r="DC474" s="53" t="n"/>
      <c r="DD474" s="53" t="n"/>
      <c r="DE474" s="53" t="n"/>
      <c r="DF474" s="53" t="n"/>
      <c r="DG474" s="53" t="n"/>
      <c r="DH474" s="53" t="n"/>
      <c r="DI474" s="53" t="n"/>
      <c r="DJ474" s="53" t="n"/>
      <c r="DK474" s="53" t="n"/>
      <c r="DL474" s="53" t="n"/>
      <c r="DM474" s="53" t="n"/>
      <c r="DN474" s="53" t="n"/>
      <c r="DO474" s="53" t="n"/>
      <c r="DP474" s="53" t="n"/>
      <c r="DQ474" s="53" t="n"/>
      <c r="DR474" s="53" t="n"/>
      <c r="DS474" s="53" t="n"/>
      <c r="DT474" s="53" t="n"/>
      <c r="DU474" s="53" t="n"/>
      <c r="DV474" s="53" t="n"/>
      <c r="DW474" s="53" t="n"/>
      <c r="DX474" s="53" t="n"/>
      <c r="DY474" s="53" t="n"/>
      <c r="DZ474" s="53" t="n"/>
      <c r="EA474" s="53" t="n"/>
      <c r="EB474" s="53" t="n"/>
      <c r="EC474" s="53" t="n"/>
      <c r="ED474" s="53" t="n"/>
      <c r="EE474" s="53" t="n"/>
      <c r="EF474" s="53" t="n"/>
      <c r="EG474" s="53" t="n"/>
      <c r="EH474" s="53" t="n"/>
      <c r="EI474" s="53" t="n"/>
      <c r="EJ474" s="53" t="n"/>
      <c r="EK474" s="53" t="n"/>
      <c r="EL474" s="53" t="n"/>
      <c r="EM474" s="53" t="n"/>
      <c r="EN474" s="53" t="n"/>
      <c r="EO474" s="53" t="n"/>
      <c r="EP474" s="53" t="n"/>
      <c r="EQ474" s="53" t="n"/>
      <c r="ER474" s="53" t="n"/>
      <c r="ES474" s="53" t="n"/>
      <c r="ET474" s="53" t="n"/>
      <c r="EU474" s="53" t="n"/>
      <c r="EV474" s="53" t="n"/>
      <c r="EW474" s="52" t="n"/>
      <c r="EX474" s="53" t="n"/>
      <c r="EY474" s="53" t="n"/>
      <c r="EZ474" s="53" t="n"/>
      <c r="FA474" s="53" t="n"/>
      <c r="FB474" s="53" t="n"/>
      <c r="FC474" s="53" t="n"/>
      <c r="FD474" s="53" t="n"/>
      <c r="FE474" s="55" t="inlineStr">
        <is>
          <t>KRAs not received · manager to supply</t>
        </is>
      </c>
      <c r="FF474" s="56" t="n"/>
      <c r="FG474" s="56" t="n"/>
      <c r="FH474" s="56" t="n"/>
      <c r="FI474" s="56" t="n"/>
      <c r="FJ474" s="32" t="inlineStr">
        <is>
          <t>KRAs not received · manager to supply</t>
        </is>
      </c>
      <c r="FK474" s="56" t="n"/>
      <c r="FL474" s="56" t="n">
        <v>0</v>
      </c>
      <c r="FM474" s="32" t="inlineStr">
        <is>
          <t>No survey response on file</t>
        </is>
      </c>
      <c r="FN474" s="56" t="inlineStr">
        <is>
          <t>—</t>
        </is>
      </c>
      <c r="FO474" s="56" t="inlineStr">
        <is>
          <t>—</t>
        </is>
      </c>
      <c r="FP474" s="56" t="inlineStr">
        <is>
          <t>—</t>
        </is>
      </c>
      <c r="FQ474" s="56" t="inlineStr">
        <is>
          <t>—</t>
        </is>
      </c>
      <c r="FR474" s="56"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FS474" s="56" t="n"/>
      <c r="FT474" s="56" t="n"/>
      <c r="FU474" s="32" t="inlineStr">
        <is>
          <t>No survey response on file</t>
        </is>
      </c>
    </row>
    <row r="475" ht="90" customHeight="1">
      <c r="A475" s="51" t="inlineStr">
        <is>
          <t>◂ Back</t>
        </is>
      </c>
      <c r="B475" s="29" t="inlineStr">
        <is>
          <t>Mapped</t>
        </is>
      </c>
      <c r="C475" s="28" t="inlineStr">
        <is>
          <t>Corporate</t>
        </is>
      </c>
      <c r="D475" s="29" t="inlineStr">
        <is>
          <t>IRIS2533</t>
        </is>
      </c>
      <c r="E475" s="29" t="inlineStr">
        <is>
          <t>Shweta Jha</t>
        </is>
      </c>
      <c r="F475" s="29" t="inlineStr">
        <is>
          <t>HR</t>
        </is>
      </c>
      <c r="G475" s="29" t="inlineStr">
        <is>
          <t>Vice President - Human Resource</t>
        </is>
      </c>
      <c r="H475" s="29" t="inlineStr">
        <is>
          <t>Vice President – Human Resources</t>
        </is>
      </c>
      <c r="I475" s="29" t="inlineStr">
        <is>
          <t>Not in current mapping files</t>
        </is>
      </c>
      <c r="J475" s="29" t="inlineStr">
        <is>
          <t>D2</t>
        </is>
      </c>
      <c r="K475" s="29" t="inlineStr">
        <is>
          <t>● Newly mapped</t>
        </is>
      </c>
      <c r="L475" s="29" t="inlineStr">
        <is>
          <t>Executive Leadership</t>
        </is>
      </c>
      <c r="M475" s="29" t="inlineStr">
        <is>
          <t>Business Head</t>
        </is>
      </c>
      <c r="N475" s="29" t="inlineStr">
        <is>
          <t>• Survey response or KRAs describing the work · nothing on file — Employee + manager</t>
        </is>
      </c>
      <c r="O475" s="29" t="n">
        <v>0</v>
      </c>
      <c r="P475" s="28" t="inlineStr">
        <is>
          <t>E3–E4</t>
        </is>
      </c>
      <c r="Q475" s="29" t="inlineStr">
        <is>
          <t>SVP</t>
        </is>
      </c>
      <c r="R475" s="29" t="inlineStr">
        <is>
          <t>7 Set strategy</t>
        </is>
      </c>
      <c r="S475" s="29" t="inlineStr">
        <is>
          <t>18–24 yrs</t>
        </is>
      </c>
      <c r="T475" s="29" t="inlineStr">
        <is>
          <t>—</t>
        </is>
      </c>
      <c r="U475" s="29" t="inlineStr">
        <is>
          <t>Vice President / Senior Vice President / Senior Vice President</t>
        </is>
      </c>
      <c r="V475" s="29" t="inlineStr">
        <is>
          <t>IRIS Vs Competitor Benchmark — HR ladder: VP HR</t>
        </is>
      </c>
      <c r="W475" s="29" t="inlineStr">
        <is>
          <t>SHRM BASK · SHRM-CP → SHRM-SCP; CIPD Profession Map</t>
        </is>
      </c>
      <c r="X475" s="29" t="inlineStr">
        <is>
          <t>Core 5 · Future 4 · Functional 4 · Leadership 5</t>
        </is>
      </c>
      <c r="Y475" s="52" t="n">
        <v>505</v>
      </c>
      <c r="Z475" s="53" t="inlineStr">
        <is>
          <t>IRIS2533</t>
        </is>
      </c>
      <c r="AA475" s="53" t="inlineStr">
        <is>
          <t>Employee</t>
        </is>
      </c>
      <c r="AB475" s="53" t="inlineStr">
        <is>
          <t>Active</t>
        </is>
      </c>
      <c r="AC475" s="53" t="inlineStr">
        <is>
          <t>Shweta Jha</t>
        </is>
      </c>
      <c r="AD475" s="54" t="n">
        <v>46174</v>
      </c>
      <c r="AE475" s="53" t="inlineStr">
        <is>
          <t>Vice President - Human Resource</t>
        </is>
      </c>
      <c r="AF475" s="53" t="inlineStr">
        <is>
          <t>MBA</t>
        </is>
      </c>
      <c r="AG475" s="53" t="inlineStr">
        <is>
          <t>Deepta Rangarajan</t>
        </is>
      </c>
      <c r="AH475" s="53" t="inlineStr">
        <is>
          <t>N-1</t>
        </is>
      </c>
      <c r="AI475" s="53" t="inlineStr">
        <is>
          <t>Manager</t>
        </is>
      </c>
      <c r="AJ475" s="53" t="inlineStr">
        <is>
          <t>17 years, 11 months, 0 days</t>
        </is>
      </c>
      <c r="AK475" s="53" t="inlineStr">
        <is>
          <t>0 years, 2 months, 24 days</t>
        </is>
      </c>
      <c r="AL475" s="53" t="inlineStr">
        <is>
          <t>Corporate</t>
        </is>
      </c>
      <c r="AM475" s="53" t="inlineStr">
        <is>
          <t>Corporate</t>
        </is>
      </c>
      <c r="AN475" s="53" t="inlineStr">
        <is>
          <t>HR</t>
        </is>
      </c>
      <c r="AO475" s="53" t="inlineStr">
        <is>
          <t>HR</t>
        </is>
      </c>
      <c r="AP475" s="53" t="inlineStr">
        <is>
          <t>No</t>
        </is>
      </c>
      <c r="AQ475" s="53" t="inlineStr">
        <is>
          <t>General &amp; Admin</t>
        </is>
      </c>
      <c r="AR475" s="53" t="inlineStr">
        <is>
          <t>HR</t>
        </is>
      </c>
      <c r="AS475" s="53" t="inlineStr">
        <is>
          <t>Non-technical</t>
        </is>
      </c>
      <c r="AT475" s="53" t="n">
        <v>0</v>
      </c>
      <c r="AU475" s="53" t="inlineStr">
        <is>
          <t>E-Top management</t>
        </is>
      </c>
      <c r="AV475" s="53" t="n"/>
      <c r="AW475" s="53" t="n"/>
      <c r="AX475" s="53" t="n"/>
      <c r="AY475" s="53" t="n"/>
      <c r="AZ475" s="53" t="n"/>
      <c r="BA475" s="53" t="n"/>
      <c r="BB475" s="53" t="n"/>
      <c r="BC475" s="53" t="n"/>
      <c r="BD475" s="53" t="n"/>
      <c r="BE475" s="53" t="n"/>
      <c r="BF475" s="53" t="n"/>
      <c r="BG475" s="53" t="n"/>
      <c r="BH475" s="53" t="n"/>
      <c r="BI475" s="53" t="n"/>
      <c r="BJ475" s="53" t="n"/>
      <c r="BK475" s="53" t="n"/>
      <c r="BL475" s="53" t="n"/>
      <c r="BM475" s="53" t="n"/>
      <c r="BN475" s="53" t="n"/>
      <c r="BO475" s="53" t="n"/>
      <c r="BP475" s="53" t="n"/>
      <c r="BQ475" s="53" t="n"/>
      <c r="BR475" s="53" t="n"/>
      <c r="BS475" s="53" t="n"/>
      <c r="BT475" s="53" t="n"/>
      <c r="BU475" s="53" t="n"/>
      <c r="BV475" s="53" t="n"/>
      <c r="BW475" s="53" t="n"/>
      <c r="BX475" s="53" t="n"/>
      <c r="BY475" s="53" t="n"/>
      <c r="BZ475" s="53" t="n"/>
      <c r="CA475" s="53" t="n"/>
      <c r="CB475" s="53" t="n"/>
      <c r="CC475" s="53" t="n"/>
      <c r="CD475" s="53" t="n"/>
      <c r="CE475" s="53" t="n"/>
      <c r="CF475" s="53" t="n"/>
      <c r="CG475" s="53" t="n"/>
      <c r="CH475" s="53" t="n"/>
      <c r="CI475" s="53" t="n"/>
      <c r="CJ475" s="53" t="n"/>
      <c r="CK475" s="53" t="n"/>
      <c r="CL475" s="53" t="n"/>
      <c r="CM475" s="53" t="n"/>
      <c r="CN475" s="53" t="n"/>
      <c r="CO475" s="53" t="n"/>
      <c r="CP475" s="53" t="n"/>
      <c r="CQ475" s="53" t="n"/>
      <c r="CR475" s="53" t="n"/>
      <c r="CS475" s="53" t="n"/>
      <c r="CT475" s="53" t="n"/>
      <c r="CU475" s="53" t="n"/>
      <c r="CV475" s="53" t="n"/>
      <c r="CW475" s="53" t="n"/>
      <c r="CX475" s="53" t="n"/>
      <c r="CY475" s="53" t="n"/>
      <c r="CZ475" s="53" t="n"/>
      <c r="DA475" s="53" t="n"/>
      <c r="DB475" s="53" t="n"/>
      <c r="DC475" s="53" t="n"/>
      <c r="DD475" s="53" t="n"/>
      <c r="DE475" s="53" t="n"/>
      <c r="DF475" s="53" t="n"/>
      <c r="DG475" s="53" t="n"/>
      <c r="DH475" s="53" t="n"/>
      <c r="DI475" s="53" t="n"/>
      <c r="DJ475" s="53" t="n"/>
      <c r="DK475" s="53" t="n"/>
      <c r="DL475" s="53" t="n"/>
      <c r="DM475" s="53" t="n"/>
      <c r="DN475" s="53" t="n"/>
      <c r="DO475" s="53" t="n"/>
      <c r="DP475" s="53" t="n"/>
      <c r="DQ475" s="53" t="n"/>
      <c r="DR475" s="53" t="n"/>
      <c r="DS475" s="53" t="n"/>
      <c r="DT475" s="53" t="n"/>
      <c r="DU475" s="53" t="n"/>
      <c r="DV475" s="53" t="n"/>
      <c r="DW475" s="53" t="n"/>
      <c r="DX475" s="53" t="n"/>
      <c r="DY475" s="53" t="n"/>
      <c r="DZ475" s="53" t="n"/>
      <c r="EA475" s="53" t="n"/>
      <c r="EB475" s="53" t="n"/>
      <c r="EC475" s="53" t="n"/>
      <c r="ED475" s="53" t="n"/>
      <c r="EE475" s="53" t="n"/>
      <c r="EF475" s="53" t="n"/>
      <c r="EG475" s="53" t="n"/>
      <c r="EH475" s="53" t="n"/>
      <c r="EI475" s="53" t="n"/>
      <c r="EJ475" s="53" t="n"/>
      <c r="EK475" s="53" t="n"/>
      <c r="EL475" s="53" t="n"/>
      <c r="EM475" s="53" t="n"/>
      <c r="EN475" s="53" t="n"/>
      <c r="EO475" s="53" t="n"/>
      <c r="EP475" s="53" t="n"/>
      <c r="EQ475" s="53" t="n"/>
      <c r="ER475" s="53" t="n"/>
      <c r="ES475" s="53" t="n"/>
      <c r="ET475" s="53" t="n"/>
      <c r="EU475" s="53" t="n"/>
      <c r="EV475" s="53" t="n"/>
      <c r="EW475" s="52" t="n"/>
      <c r="EX475" s="53" t="n"/>
      <c r="EY475" s="53" t="n"/>
      <c r="EZ475" s="53" t="n"/>
      <c r="FA475" s="53" t="n"/>
      <c r="FB475" s="53" t="n"/>
      <c r="FC475" s="53" t="n"/>
      <c r="FD475" s="53" t="n"/>
      <c r="FE475" s="55" t="inlineStr">
        <is>
          <t>KRAs not received · manager to supply</t>
        </is>
      </c>
      <c r="FF475" s="56" t="n"/>
      <c r="FG475" s="56" t="n"/>
      <c r="FH475" s="56" t="n"/>
      <c r="FI475" s="56" t="n"/>
      <c r="FJ475" s="32" t="inlineStr">
        <is>
          <t>KRAs not received · manager to supply</t>
        </is>
      </c>
      <c r="FK475" s="56" t="n"/>
      <c r="FL475" s="56" t="n">
        <v>0</v>
      </c>
      <c r="FM475" s="32" t="inlineStr">
        <is>
          <t>No survey response on file</t>
        </is>
      </c>
      <c r="FN475" s="56" t="inlineStr">
        <is>
          <t>—</t>
        </is>
      </c>
      <c r="FO475" s="56" t="inlineStr">
        <is>
          <t>—</t>
        </is>
      </c>
      <c r="FP475" s="56" t="inlineStr">
        <is>
          <t>—</t>
        </is>
      </c>
      <c r="FQ475" s="56" t="inlineStr">
        <is>
          <t>—</t>
        </is>
      </c>
      <c r="FR475" s="56"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FS475" s="56" t="n"/>
      <c r="FT475" s="56" t="n"/>
      <c r="FU475" s="32" t="inlineStr">
        <is>
          <t>No survey response on file</t>
        </is>
      </c>
    </row>
    <row r="476" ht="90" customHeight="1">
      <c r="A476" s="51" t="inlineStr">
        <is>
          <t>◂ Back</t>
        </is>
      </c>
      <c r="B476" s="29" t="inlineStr">
        <is>
          <t>Mapped</t>
        </is>
      </c>
      <c r="C476" s="28" t="inlineStr">
        <is>
          <t>Corporate</t>
        </is>
      </c>
      <c r="D476" s="29" t="inlineStr">
        <is>
          <t>IRIS2556</t>
        </is>
      </c>
      <c r="E476" s="29" t="inlineStr">
        <is>
          <t>Mohammed Hanzala Shaikh</t>
        </is>
      </c>
      <c r="F476" s="29" t="inlineStr">
        <is>
          <t>HR</t>
        </is>
      </c>
      <c r="G476" s="29" t="inlineStr">
        <is>
          <t>Lead HR Transformation</t>
        </is>
      </c>
      <c r="H476" s="29" t="inlineStr">
        <is>
          <t>Lead HR Specialist – Transformation &amp; OD</t>
        </is>
      </c>
      <c r="I476" s="29" t="inlineStr">
        <is>
          <t>Not in current mapping files</t>
        </is>
      </c>
      <c r="J476" s="29" t="inlineStr">
        <is>
          <t>B3</t>
        </is>
      </c>
      <c r="K476" s="29" t="inlineStr">
        <is>
          <t>● Newly mapped</t>
        </is>
      </c>
      <c r="L476" s="29" t="inlineStr">
        <is>
          <t>Human Resources</t>
        </is>
      </c>
      <c r="M476" s="29" t="inlineStr">
        <is>
          <t>HR Transformation &amp; OD</t>
        </is>
      </c>
      <c r="N476" s="29" t="inlineStr">
        <is>
          <t>• Survey response or KRAs describing the work · nothing on file — Employee + manager</t>
        </is>
      </c>
      <c r="O476" s="29" t="n">
        <v>0</v>
      </c>
      <c r="P476" s="28" t="inlineStr">
        <is>
          <t>P5 / M4</t>
        </is>
      </c>
      <c r="Q476" s="29" t="inlineStr">
        <is>
          <t>Expert / Senior Manager</t>
        </is>
      </c>
      <c r="R476" s="29" t="inlineStr">
        <is>
          <t>5 Ensure, advise</t>
        </is>
      </c>
      <c r="S476" s="29" t="inlineStr">
        <is>
          <t>8–12 yrs</t>
        </is>
      </c>
      <c r="T476" s="29" t="inlineStr">
        <is>
          <t>9–13 · 9–14</t>
        </is>
      </c>
      <c r="U476" s="29" t="inlineStr">
        <is>
          <t>HR Specialist / HRBP</t>
        </is>
      </c>
      <c r="V476" s="29" t="inlineStr">
        <is>
          <t>IRIS Vs Competitor Benchmark — HR ladder: Senior HR Manager · SHRM-SCP</t>
        </is>
      </c>
      <c r="W476" s="29" t="inlineStr">
        <is>
          <t>SHRM BASK · SHRM-CP → SHRM-SCP; CIPD Profession Map</t>
        </is>
      </c>
      <c r="X476" s="29" t="inlineStr">
        <is>
          <t>Core 4 · Future 3 · Functional 4 · Leadership 3</t>
        </is>
      </c>
      <c r="Y476" s="52" t="n">
        <v>529</v>
      </c>
      <c r="Z476" s="53" t="inlineStr">
        <is>
          <t>IRIS2556</t>
        </is>
      </c>
      <c r="AA476" s="53" t="inlineStr">
        <is>
          <t>Employee</t>
        </is>
      </c>
      <c r="AB476" s="53" t="inlineStr">
        <is>
          <t>Active</t>
        </is>
      </c>
      <c r="AC476" s="53" t="inlineStr">
        <is>
          <t>Mohammed Hanzala Shaikh</t>
        </is>
      </c>
      <c r="AD476" s="54" t="n">
        <v>46258</v>
      </c>
      <c r="AE476" s="53" t="inlineStr">
        <is>
          <t>Lead HR Transformation</t>
        </is>
      </c>
      <c r="AF476" s="53" t="inlineStr">
        <is>
          <t>BMS</t>
        </is>
      </c>
      <c r="AG476" s="53" t="inlineStr">
        <is>
          <t>Shweta Jha</t>
        </is>
      </c>
      <c r="AH476" s="53" t="inlineStr">
        <is>
          <t>N-2</t>
        </is>
      </c>
      <c r="AI476" s="53" t="inlineStr">
        <is>
          <t>Individual Contributor</t>
        </is>
      </c>
      <c r="AJ476" s="53" t="n"/>
      <c r="AK476" s="53" t="inlineStr">
        <is>
          <t>0 years, 0 months, 1 days</t>
        </is>
      </c>
      <c r="AL476" s="53" t="inlineStr">
        <is>
          <t>Corporate</t>
        </is>
      </c>
      <c r="AM476" s="53" t="inlineStr">
        <is>
          <t>Corporate</t>
        </is>
      </c>
      <c r="AN476" s="53" t="inlineStr">
        <is>
          <t>HR</t>
        </is>
      </c>
      <c r="AO476" s="53" t="inlineStr">
        <is>
          <t>HR</t>
        </is>
      </c>
      <c r="AP476" s="53" t="inlineStr">
        <is>
          <t>No</t>
        </is>
      </c>
      <c r="AQ476" s="53" t="inlineStr">
        <is>
          <t>General &amp; Admin</t>
        </is>
      </c>
      <c r="AR476" s="53" t="inlineStr">
        <is>
          <t>HR</t>
        </is>
      </c>
      <c r="AS476" s="53" t="inlineStr">
        <is>
          <t>Non-technical</t>
        </is>
      </c>
      <c r="AT476" s="53" t="n">
        <v>0</v>
      </c>
      <c r="AU476" s="53" t="inlineStr">
        <is>
          <t>Excluded</t>
        </is>
      </c>
      <c r="AV476" s="53" t="n"/>
      <c r="AW476" s="53" t="n"/>
      <c r="AX476" s="53" t="n"/>
      <c r="AY476" s="53" t="n"/>
      <c r="AZ476" s="53" t="n"/>
      <c r="BA476" s="53" t="n"/>
      <c r="BB476" s="53" t="n"/>
      <c r="BC476" s="53" t="n"/>
      <c r="BD476" s="53" t="n"/>
      <c r="BE476" s="53" t="n"/>
      <c r="BF476" s="53" t="n"/>
      <c r="BG476" s="53" t="n"/>
      <c r="BH476" s="53" t="n"/>
      <c r="BI476" s="53" t="n"/>
      <c r="BJ476" s="53" t="n"/>
      <c r="BK476" s="53" t="n"/>
      <c r="BL476" s="53" t="n"/>
      <c r="BM476" s="53" t="n"/>
      <c r="BN476" s="53" t="n"/>
      <c r="BO476" s="53" t="n"/>
      <c r="BP476" s="53" t="n"/>
      <c r="BQ476" s="53" t="n"/>
      <c r="BR476" s="53" t="n"/>
      <c r="BS476" s="53" t="n"/>
      <c r="BT476" s="53" t="n"/>
      <c r="BU476" s="53" t="n"/>
      <c r="BV476" s="53" t="n"/>
      <c r="BW476" s="53" t="n"/>
      <c r="BX476" s="53" t="n"/>
      <c r="BY476" s="53" t="n"/>
      <c r="BZ476" s="53" t="n"/>
      <c r="CA476" s="53" t="n"/>
      <c r="CB476" s="53" t="n"/>
      <c r="CC476" s="53" t="n"/>
      <c r="CD476" s="53" t="n"/>
      <c r="CE476" s="53" t="n"/>
      <c r="CF476" s="53" t="n"/>
      <c r="CG476" s="53" t="n"/>
      <c r="CH476" s="53" t="n"/>
      <c r="CI476" s="53" t="n"/>
      <c r="CJ476" s="53" t="n"/>
      <c r="CK476" s="53" t="n"/>
      <c r="CL476" s="53" t="n"/>
      <c r="CM476" s="53" t="n"/>
      <c r="CN476" s="53" t="n"/>
      <c r="CO476" s="53" t="n"/>
      <c r="CP476" s="53" t="n"/>
      <c r="CQ476" s="53" t="n"/>
      <c r="CR476" s="53" t="n"/>
      <c r="CS476" s="53" t="n"/>
      <c r="CT476" s="53" t="n"/>
      <c r="CU476" s="53" t="n"/>
      <c r="CV476" s="53" t="n"/>
      <c r="CW476" s="53" t="n"/>
      <c r="CX476" s="53" t="n"/>
      <c r="CY476" s="53" t="n"/>
      <c r="CZ476" s="53" t="n"/>
      <c r="DA476" s="53" t="n"/>
      <c r="DB476" s="53" t="n"/>
      <c r="DC476" s="53" t="n"/>
      <c r="DD476" s="53" t="n"/>
      <c r="DE476" s="53" t="n"/>
      <c r="DF476" s="53" t="n"/>
      <c r="DG476" s="53" t="n"/>
      <c r="DH476" s="53" t="n"/>
      <c r="DI476" s="53" t="n"/>
      <c r="DJ476" s="53" t="n"/>
      <c r="DK476" s="53" t="n"/>
      <c r="DL476" s="53" t="n"/>
      <c r="DM476" s="53" t="n"/>
      <c r="DN476" s="53" t="n"/>
      <c r="DO476" s="53" t="n"/>
      <c r="DP476" s="53" t="n"/>
      <c r="DQ476" s="53" t="n"/>
      <c r="DR476" s="53" t="n"/>
      <c r="DS476" s="53" t="n"/>
      <c r="DT476" s="53" t="n"/>
      <c r="DU476" s="53" t="n"/>
      <c r="DV476" s="53" t="n"/>
      <c r="DW476" s="53" t="n"/>
      <c r="DX476" s="53" t="n"/>
      <c r="DY476" s="53" t="n"/>
      <c r="DZ476" s="53" t="n"/>
      <c r="EA476" s="53" t="n"/>
      <c r="EB476" s="53" t="n"/>
      <c r="EC476" s="53" t="n"/>
      <c r="ED476" s="53" t="n"/>
      <c r="EE476" s="53" t="n"/>
      <c r="EF476" s="53" t="n"/>
      <c r="EG476" s="53" t="n"/>
      <c r="EH476" s="53" t="n"/>
      <c r="EI476" s="53" t="n"/>
      <c r="EJ476" s="53" t="n"/>
      <c r="EK476" s="53" t="n"/>
      <c r="EL476" s="53" t="n"/>
      <c r="EM476" s="53" t="n"/>
      <c r="EN476" s="53" t="n"/>
      <c r="EO476" s="53" t="n"/>
      <c r="EP476" s="53" t="n"/>
      <c r="EQ476" s="53" t="n"/>
      <c r="ER476" s="53" t="n"/>
      <c r="ES476" s="53" t="n"/>
      <c r="ET476" s="53" t="n"/>
      <c r="EU476" s="53" t="n"/>
      <c r="EV476" s="53" t="n"/>
      <c r="EW476" s="52" t="n"/>
      <c r="EX476" s="53" t="n"/>
      <c r="EY476" s="53" t="n"/>
      <c r="EZ476" s="53" t="n"/>
      <c r="FA476" s="53" t="n"/>
      <c r="FB476" s="53" t="n"/>
      <c r="FC476" s="53" t="n"/>
      <c r="FD476" s="53" t="n"/>
      <c r="FE476" s="55" t="inlineStr">
        <is>
          <t>KRAs not received · manager to supply</t>
        </is>
      </c>
      <c r="FF476" s="56" t="n"/>
      <c r="FG476" s="56" t="n"/>
      <c r="FH476" s="56" t="n"/>
      <c r="FI476" s="56" t="n"/>
      <c r="FJ476" s="32" t="inlineStr">
        <is>
          <t>KRAs not received · manager to supply</t>
        </is>
      </c>
      <c r="FK476" s="56" t="n"/>
      <c r="FL476" s="56" t="n">
        <v>0</v>
      </c>
      <c r="FM476" s="32" t="inlineStr">
        <is>
          <t>No survey response on file</t>
        </is>
      </c>
      <c r="FN476" s="56" t="inlineStr">
        <is>
          <t>—</t>
        </is>
      </c>
      <c r="FO476" s="56" t="inlineStr">
        <is>
          <t>—</t>
        </is>
      </c>
      <c r="FP476" s="56" t="inlineStr">
        <is>
          <t>—</t>
        </is>
      </c>
      <c r="FQ476" s="56" t="inlineStr">
        <is>
          <t>—</t>
        </is>
      </c>
      <c r="FR476" s="56" t="inlineStr">
        <is>
          <t>Complexity: Before validation — Evidence: no survey answers or KRAs on file → rating stays at the start
Autonomy: Before validation — Evidence: no survey answers or KRAs on file → rating stays at the start
Accountability: Before validation — Evidence: no survey answers or KRAs on file → rating stays at the start
Leadership: Before validation — Evidence: no survey answers or KRAs on file → rating stays at the start
Business Impact: No survey or manager-mapping signal on criticality: kept at the start point.</t>
        </is>
      </c>
      <c r="FS476" s="56" t="n"/>
      <c r="FT476" s="56" t="n"/>
      <c r="FU476" s="32" t="inlineStr">
        <is>
          <t>No survey response on file</t>
        </is>
      </c>
    </row>
    <row r="477" ht="90" customHeight="1">
      <c r="A477" s="51" t="inlineStr">
        <is>
          <t>◂ Back</t>
        </is>
      </c>
      <c r="B477" s="29" t="inlineStr">
        <is>
          <t>Mapped</t>
        </is>
      </c>
      <c r="C477" s="28" t="inlineStr">
        <is>
          <t>Corporate</t>
        </is>
      </c>
      <c r="D477" s="29" t="inlineStr">
        <is>
          <t>IRIS2557</t>
        </is>
      </c>
      <c r="E477" s="29" t="inlineStr">
        <is>
          <t>Simran Kaur Raina</t>
        </is>
      </c>
      <c r="F477" s="29" t="inlineStr">
        <is>
          <t>HR</t>
        </is>
      </c>
      <c r="G477" s="29" t="inlineStr">
        <is>
          <t>Manager- Talent Acquisition</t>
        </is>
      </c>
      <c r="H477" s="29" t="inlineStr">
        <is>
          <t>Senior Talent Acquisition Specialist</t>
        </is>
      </c>
      <c r="I477" s="29" t="inlineStr">
        <is>
          <t>Not in current mapping files</t>
        </is>
      </c>
      <c r="J477" s="29" t="inlineStr">
        <is>
          <t>B2</t>
        </is>
      </c>
      <c r="K477" s="29" t="inlineStr">
        <is>
          <t>● Newly mapped</t>
        </is>
      </c>
      <c r="L477" s="29" t="inlineStr">
        <is>
          <t>Human Resources</t>
        </is>
      </c>
      <c r="M477" s="29" t="inlineStr">
        <is>
          <t>Talent Acquisition</t>
        </is>
      </c>
      <c r="N477" s="29" t="inlineStr">
        <is>
          <t>• Total experience · outside + at IRIS — HR — HRIS
• Confirm prior experience · provisional placement — HR</t>
        </is>
      </c>
      <c r="O477" s="29" t="n">
        <v>14</v>
      </c>
      <c r="P477" s="28" t="inlineStr">
        <is>
          <t>P4 / M3</t>
        </is>
      </c>
      <c r="Q477" s="29" t="inlineStr">
        <is>
          <t>Senior / Manager</t>
        </is>
      </c>
      <c r="R477" s="29" t="inlineStr">
        <is>
          <t>4–5</t>
        </is>
      </c>
      <c r="S477" s="29" t="inlineStr">
        <is>
          <t>6–9 yrs</t>
        </is>
      </c>
      <c r="T477" s="29" t="inlineStr">
        <is>
          <t>7–10 · 6–11</t>
        </is>
      </c>
      <c r="U477" s="29" t="inlineStr">
        <is>
          <t>HR Specialist / HRBP</t>
        </is>
      </c>
      <c r="V477" s="29" t="inlineStr">
        <is>
          <t>IRIS Vs Competitor Benchmark — HR ladder: HR Manager / Senior HRBP</t>
        </is>
      </c>
      <c r="W477" s="29" t="inlineStr">
        <is>
          <t>SHRM BASK · SHRM-CP → SHRM-SCP; CIPD Profession Map</t>
        </is>
      </c>
      <c r="X477" s="29" t="inlineStr">
        <is>
          <t>Core 3 · Future 3 · Functional 4 · Leadership 2</t>
        </is>
      </c>
      <c r="Y477" s="52" t="n">
        <v>530</v>
      </c>
      <c r="Z477" s="53" t="inlineStr">
        <is>
          <t>IRIS2557</t>
        </is>
      </c>
      <c r="AA477" s="53" t="inlineStr">
        <is>
          <t>Employee</t>
        </is>
      </c>
      <c r="AB477" s="53" t="inlineStr">
        <is>
          <t>Active</t>
        </is>
      </c>
      <c r="AC477" s="53" t="inlineStr">
        <is>
          <t>Simran Kaur Raina</t>
        </is>
      </c>
      <c r="AD477" s="54" t="n">
        <v>46258</v>
      </c>
      <c r="AE477" s="53" t="inlineStr">
        <is>
          <t>Manager- Talent Acquisition</t>
        </is>
      </c>
      <c r="AF477" s="53" t="inlineStr">
        <is>
          <t>PGDM</t>
        </is>
      </c>
      <c r="AG477" s="53" t="inlineStr">
        <is>
          <t>Shweta Jha</t>
        </is>
      </c>
      <c r="AH477" s="53" t="inlineStr">
        <is>
          <t>N-2</t>
        </is>
      </c>
      <c r="AI477" s="53" t="inlineStr">
        <is>
          <t>Individual Contributor</t>
        </is>
      </c>
      <c r="AJ477" s="53" t="n"/>
      <c r="AK477" s="53" t="inlineStr">
        <is>
          <t>0 years, 0 months, 1 days</t>
        </is>
      </c>
      <c r="AL477" s="53" t="inlineStr">
        <is>
          <t>Corporate</t>
        </is>
      </c>
      <c r="AM477" s="53" t="inlineStr">
        <is>
          <t>Corporate</t>
        </is>
      </c>
      <c r="AN477" s="53" t="inlineStr">
        <is>
          <t>HR</t>
        </is>
      </c>
      <c r="AO477" s="53" t="inlineStr">
        <is>
          <t>HR</t>
        </is>
      </c>
      <c r="AP477" s="53" t="inlineStr">
        <is>
          <t>No</t>
        </is>
      </c>
      <c r="AQ477" s="53" t="inlineStr">
        <is>
          <t>General &amp; Admin</t>
        </is>
      </c>
      <c r="AR477" s="53" t="inlineStr">
        <is>
          <t>HR</t>
        </is>
      </c>
      <c r="AS477" s="53" t="inlineStr">
        <is>
          <t>Non-technical</t>
        </is>
      </c>
      <c r="AT477" s="53" t="n">
        <v>20</v>
      </c>
      <c r="AU477" s="53" t="inlineStr">
        <is>
          <t>Covered</t>
        </is>
      </c>
      <c r="AV477" s="53" t="n"/>
      <c r="AW477" s="53" t="n"/>
      <c r="AX477" s="53" t="n"/>
      <c r="AY477" s="53" t="n"/>
      <c r="AZ477" s="53" t="n"/>
      <c r="BA477" s="53" t="n"/>
      <c r="BB477" s="53" t="n"/>
      <c r="BC477" s="53" t="n"/>
      <c r="BD477" s="53" t="n"/>
      <c r="BE477" s="53" t="n"/>
      <c r="BF477" s="53" t="n"/>
      <c r="BG477" s="53" t="n"/>
      <c r="BH477" s="53" t="n"/>
      <c r="BI477" s="53" t="n"/>
      <c r="BJ477" s="53" t="n"/>
      <c r="BK477" s="53" t="n"/>
      <c r="BL477" s="53" t="n"/>
      <c r="BM477" s="53" t="n"/>
      <c r="BN477" s="53" t="n"/>
      <c r="BO477" s="53" t="n"/>
      <c r="BP477" s="53" t="n"/>
      <c r="BQ477" s="53" t="n"/>
      <c r="BR477" s="53" t="n"/>
      <c r="BS477" s="53" t="n"/>
      <c r="BT477" s="53" t="n"/>
      <c r="BU477" s="53" t="n"/>
      <c r="BV477" s="53" t="n"/>
      <c r="BW477" s="53" t="n"/>
      <c r="BX477" s="53" t="n"/>
      <c r="BY477" s="53" t="n"/>
      <c r="BZ477" s="53" t="n"/>
      <c r="CA477" s="53" t="n"/>
      <c r="CB477" s="53" t="n"/>
      <c r="CC477" s="53" t="n"/>
      <c r="CD477" s="53" t="n"/>
      <c r="CE477" s="53" t="n"/>
      <c r="CF477" s="53" t="n"/>
      <c r="CG477" s="53" t="n"/>
      <c r="CH477" s="53" t="n"/>
      <c r="CI477" s="53" t="n"/>
      <c r="CJ477" s="53" t="n"/>
      <c r="CK477" s="53" t="n"/>
      <c r="CL477" s="53" t="n"/>
      <c r="CM477" s="53" t="n"/>
      <c r="CN477" s="53" t="n"/>
      <c r="CO477" s="53" t="n"/>
      <c r="CP477" s="53" t="n"/>
      <c r="CQ477" s="53" t="n"/>
      <c r="CR477" s="53" t="n"/>
      <c r="CS477" s="53" t="n"/>
      <c r="CT477" s="53" t="n"/>
      <c r="CU477" s="53" t="n"/>
      <c r="CV477" s="53" t="n"/>
      <c r="CW477" s="53" t="n"/>
      <c r="CX477" s="53" t="n"/>
      <c r="CY477" s="53" t="n"/>
      <c r="CZ477" s="53" t="n"/>
      <c r="DA477" s="53" t="n"/>
      <c r="DB477" s="53" t="n"/>
      <c r="DC477" s="53" t="n"/>
      <c r="DD477" s="53" t="n"/>
      <c r="DE477" s="53" t="n"/>
      <c r="DF477" s="53" t="n"/>
      <c r="DG477" s="53" t="n"/>
      <c r="DH477" s="53" t="n"/>
      <c r="DI477" s="53" t="n"/>
      <c r="DJ477" s="53" t="n"/>
      <c r="DK477" s="53" t="n"/>
      <c r="DL477" s="53" t="n"/>
      <c r="DM477" s="53" t="n"/>
      <c r="DN477" s="53" t="n"/>
      <c r="DO477" s="53" t="n"/>
      <c r="DP477" s="53" t="n"/>
      <c r="DQ477" s="53" t="n"/>
      <c r="DR477" s="53" t="n"/>
      <c r="DS477" s="53" t="n"/>
      <c r="DT477" s="53" t="n"/>
      <c r="DU477" s="53" t="n"/>
      <c r="DV477" s="53" t="n"/>
      <c r="DW477" s="53" t="n"/>
      <c r="DX477" s="53" t="n"/>
      <c r="DY477" s="53" t="n"/>
      <c r="DZ477" s="53" t="n"/>
      <c r="EA477" s="53" t="n"/>
      <c r="EB477" s="53" t="n"/>
      <c r="EC477" s="53" t="n"/>
      <c r="ED477" s="53" t="n"/>
      <c r="EE477" s="53" t="n"/>
      <c r="EF477" s="53" t="n"/>
      <c r="EG477" s="53" t="n"/>
      <c r="EH477" s="53" t="n"/>
      <c r="EI477" s="53" t="n"/>
      <c r="EJ477" s="53" t="n"/>
      <c r="EK477" s="53" t="n"/>
      <c r="EL477" s="53" t="n"/>
      <c r="EM477" s="53" t="n"/>
      <c r="EN477" s="53" t="n"/>
      <c r="EO477" s="53" t="n"/>
      <c r="EP477" s="53" t="n"/>
      <c r="EQ477" s="53" t="n"/>
      <c r="ER477" s="53" t="n"/>
      <c r="ES477" s="53" t="n"/>
      <c r="ET477" s="53" t="n"/>
      <c r="EU477" s="53" t="n"/>
      <c r="EV477" s="53" t="n"/>
      <c r="EW477" s="52" t="n"/>
      <c r="EX477" s="53" t="n"/>
      <c r="EY477" s="53" t="n"/>
      <c r="EZ477" s="53" t="n"/>
      <c r="FA477" s="53" t="n"/>
      <c r="FB477" s="53" t="n"/>
      <c r="FC477" s="53" t="n"/>
      <c r="FD477" s="53" t="n"/>
      <c r="FE477" s="55" t="inlineStr">
        <is>
          <t>KRAs not received · manager to supply</t>
        </is>
      </c>
      <c r="FF477" s="56" t="n"/>
      <c r="FG477" s="56" t="n"/>
      <c r="FH477" s="56" t="n"/>
      <c r="FI477" s="56" t="n"/>
      <c r="FJ477" s="32" t="inlineStr">
        <is>
          <t>KRAs not received · manager to supply</t>
        </is>
      </c>
      <c r="FK477" s="56" t="n"/>
      <c r="FL477" s="56" t="n">
        <v>14</v>
      </c>
      <c r="FM477" s="32" t="inlineStr">
        <is>
          <t>Full survey answers not in the files received · How We Grow export needed · HR</t>
        </is>
      </c>
      <c r="FN477" s="56" t="inlineStr">
        <is>
          <t>—</t>
        </is>
      </c>
      <c r="FO477" s="56" t="inlineStr">
        <is>
          <t>—</t>
        </is>
      </c>
      <c r="FP477" s="56" t="inlineStr">
        <is>
          <t>—</t>
        </is>
      </c>
      <c r="FQ477" s="56" t="inlineStr">
        <is>
          <t>—</t>
        </is>
      </c>
      <c r="FR477" s="56" t="inlineStr">
        <is>
          <t>Complexity: Evidence reads like A2: Cold-calling and sourcing via job portals; offer rollout → moved down 0.5
Autonomy: Evidence reads like A2: Decides source of hiring only → moved down 0.5
Accountability: Evidence reads like A2: Keeping the ATS accurate and up to date → moved down 0.5
Leadership: Evidence reads like A1: No team or guidance of others described; 0 reports → moved down 0.5
Business Impact: No survey or manager-mapping signal on criticality: kept at the start point.</t>
        </is>
      </c>
      <c r="FS477" s="56" t="inlineStr">
        <is>
          <t>Common themes in sub-family holders, all levels' answers: hiring · right · stakeholders · talent · end recruitment · requirements
Common themes in sub-family holders, all levels' answers: end end
Common themes in sub-family holders, all levels' answers: hiring
If the work is missed · role-holders' themes: business.</t>
        </is>
      </c>
      <c r="FT477" s="56" t="inlineStr">
        <is>
          <t>Self-identified: Leadership &amp; people management
For the next role: Leadership &amp; people management</t>
        </is>
      </c>
      <c r="FU477" s="32" t="inlineStr">
        <is>
          <t>Full survey answers not in the files received · How We Grow export needed · HR</t>
        </is>
      </c>
    </row>
    <row r="478" ht="90" customHeight="1">
      <c r="A478" s="51" t="inlineStr">
        <is>
          <t>◂ Back</t>
        </is>
      </c>
      <c r="B478" s="29" t="inlineStr">
        <is>
          <t>Mapped</t>
        </is>
      </c>
      <c r="C478" s="28" t="inlineStr">
        <is>
          <t>Corporate</t>
        </is>
      </c>
      <c r="D478" s="29" t="inlineStr">
        <is>
          <t>IRIS0204</t>
        </is>
      </c>
      <c r="E478" s="29" t="inlineStr">
        <is>
          <t>Chandrakumar Moopanar</t>
        </is>
      </c>
      <c r="F478" s="29" t="inlineStr">
        <is>
          <t>HR</t>
        </is>
      </c>
      <c r="G478" s="29" t="inlineStr">
        <is>
          <t>HRIS &amp; Payroll Specialist</t>
        </is>
      </c>
      <c r="H478" s="29" t="inlineStr">
        <is>
          <t>HR Specialist</t>
        </is>
      </c>
      <c r="I478" s="29" t="inlineStr">
        <is>
          <t>Not in current mapping files</t>
        </is>
      </c>
      <c r="J478" s="29" t="inlineStr">
        <is>
          <t>B1</t>
        </is>
      </c>
      <c r="K478" s="29" t="inlineStr">
        <is>
          <t>● Newly mapped</t>
        </is>
      </c>
      <c r="L478" s="29" t="inlineStr">
        <is>
          <t>Human Resources</t>
        </is>
      </c>
      <c r="M478" s="29" t="inlineStr">
        <is>
          <t>HR Operations &amp; Payroll</t>
        </is>
      </c>
      <c r="N478" s="29" t="n"/>
      <c r="O478" s="29" t="n">
        <v>16</v>
      </c>
      <c r="P478" s="28" t="inlineStr">
        <is>
          <t>P3 / M2</t>
        </is>
      </c>
      <c r="Q478" s="29" t="inlineStr">
        <is>
          <t>Career / · Team Lead</t>
        </is>
      </c>
      <c r="R478" s="29" t="inlineStr">
        <is>
          <t>4 Enable</t>
        </is>
      </c>
      <c r="S478" s="29" t="inlineStr">
        <is>
          <t>4–7 yrs</t>
        </is>
      </c>
      <c r="T478" s="29" t="inlineStr">
        <is>
          <t>5–8 · 4–8</t>
        </is>
      </c>
      <c r="U478" s="29" t="inlineStr">
        <is>
          <t>Senior HR Executive</t>
        </is>
      </c>
      <c r="V478" s="29" t="inlineStr">
        <is>
          <t>IRIS Vs Competitor Benchmark — HR ladder: HR Specialist / HRBP</t>
        </is>
      </c>
      <c r="W478" s="29" t="inlineStr">
        <is>
          <t>SHRM BASK · SHRM-CP → SHRM-SCP; CIPD Profession Map</t>
        </is>
      </c>
      <c r="X478" s="29" t="inlineStr">
        <is>
          <t>Core 3 · Future 3 · Functional 3 · Leadership 1</t>
        </is>
      </c>
      <c r="Y478" s="52" t="n">
        <v>37</v>
      </c>
      <c r="Z478" s="53" t="inlineStr">
        <is>
          <t>IRIS0204</t>
        </is>
      </c>
      <c r="AA478" s="53" t="inlineStr">
        <is>
          <t>Employee</t>
        </is>
      </c>
      <c r="AB478" s="53" t="inlineStr">
        <is>
          <t>Active</t>
        </is>
      </c>
      <c r="AC478" s="53" t="inlineStr">
        <is>
          <t>Chandrakumar Moopanar</t>
        </is>
      </c>
      <c r="AD478" s="54" t="n">
        <v>39622</v>
      </c>
      <c r="AE478" s="53" t="inlineStr">
        <is>
          <t>HRIS &amp; Payroll Specialist</t>
        </is>
      </c>
      <c r="AF478" s="53" t="inlineStr">
        <is>
          <t>B.Com</t>
        </is>
      </c>
      <c r="AG478" s="53" t="inlineStr">
        <is>
          <t>Shweta Jha</t>
        </is>
      </c>
      <c r="AH478" s="53" t="inlineStr">
        <is>
          <t>N-2</t>
        </is>
      </c>
      <c r="AI478" s="53" t="inlineStr">
        <is>
          <t>Individual Contributor</t>
        </is>
      </c>
      <c r="AJ478" s="53" t="inlineStr">
        <is>
          <t>1 years, 0 months, 0 days</t>
        </is>
      </c>
      <c r="AK478" s="53" t="inlineStr">
        <is>
          <t>18 years, 2 months, 2 days</t>
        </is>
      </c>
      <c r="AL478" s="53" t="inlineStr">
        <is>
          <t>Corporate</t>
        </is>
      </c>
      <c r="AM478" s="53" t="inlineStr">
        <is>
          <t>Corporate</t>
        </is>
      </c>
      <c r="AN478" s="53" t="inlineStr">
        <is>
          <t>HR</t>
        </is>
      </c>
      <c r="AO478" s="53" t="inlineStr">
        <is>
          <t>HR</t>
        </is>
      </c>
      <c r="AP478" s="53" t="inlineStr">
        <is>
          <t>No</t>
        </is>
      </c>
      <c r="AQ478" s="53" t="inlineStr">
        <is>
          <t>General &amp; Admin</t>
        </is>
      </c>
      <c r="AR478" s="53" t="inlineStr">
        <is>
          <t>HR</t>
        </is>
      </c>
      <c r="AS478" s="53" t="inlineStr">
        <is>
          <t>Non-technical</t>
        </is>
      </c>
      <c r="AT478" s="53" t="n">
        <v>16</v>
      </c>
      <c r="AU478" s="53" t="inlineStr">
        <is>
          <t>Partial Response</t>
        </is>
      </c>
      <c r="AV478" s="53" t="n"/>
      <c r="AW478" s="53" t="n"/>
      <c r="AX478" s="53" t="n"/>
      <c r="AY478" s="53" t="n"/>
      <c r="AZ478" s="53" t="n"/>
      <c r="BA478" s="53" t="n"/>
      <c r="BB478" s="53" t="n"/>
      <c r="BC478" s="53" t="n"/>
      <c r="BD478" s="53" t="n"/>
      <c r="BE478" s="53" t="n"/>
      <c r="BF478" s="53" t="n"/>
      <c r="BG478" s="53" t="n"/>
      <c r="BH478" s="53" t="n"/>
      <c r="BI478" s="53" t="n"/>
      <c r="BJ478" s="53" t="n"/>
      <c r="BK478" s="53" t="n"/>
      <c r="BL478" s="53" t="n"/>
      <c r="BM478" s="53" t="n"/>
      <c r="BN478" s="53" t="n"/>
      <c r="BO478" s="53" t="n"/>
      <c r="BP478" s="53" t="n"/>
      <c r="BQ478" s="53" t="n"/>
      <c r="BR478" s="53" t="n"/>
      <c r="BS478" s="53" t="n"/>
      <c r="BT478" s="53" t="n"/>
      <c r="BU478" s="53" t="n"/>
      <c r="BV478" s="53" t="n"/>
      <c r="BW478" s="53" t="n"/>
      <c r="BX478" s="53" t="n"/>
      <c r="BY478" s="53" t="n"/>
      <c r="BZ478" s="53" t="n"/>
      <c r="CA478" s="53" t="n"/>
      <c r="CB478" s="53" t="n"/>
      <c r="CC478" s="53" t="n"/>
      <c r="CD478" s="53" t="n"/>
      <c r="CE478" s="53" t="n"/>
      <c r="CF478" s="53" t="n"/>
      <c r="CG478" s="53" t="n"/>
      <c r="CH478" s="53" t="n"/>
      <c r="CI478" s="53" t="n"/>
      <c r="CJ478" s="53" t="n"/>
      <c r="CK478" s="53" t="n"/>
      <c r="CL478" s="53" t="n"/>
      <c r="CM478" s="53" t="n"/>
      <c r="CN478" s="53" t="n"/>
      <c r="CO478" s="53" t="n"/>
      <c r="CP478" s="53" t="n"/>
      <c r="CQ478" s="53" t="n"/>
      <c r="CR478" s="53" t="n"/>
      <c r="CS478" s="53" t="n"/>
      <c r="CT478" s="53" t="n"/>
      <c r="CU478" s="53" t="n"/>
      <c r="CV478" s="53" t="n"/>
      <c r="CW478" s="53" t="n"/>
      <c r="CX478" s="53" t="n"/>
      <c r="CY478" s="53" t="n"/>
      <c r="CZ478" s="53" t="n"/>
      <c r="DA478" s="53" t="n"/>
      <c r="DB478" s="53" t="n"/>
      <c r="DC478" s="53" t="n"/>
      <c r="DD478" s="53" t="n"/>
      <c r="DE478" s="53" t="n"/>
      <c r="DF478" s="53" t="n"/>
      <c r="DG478" s="53" t="n"/>
      <c r="DH478" s="53" t="n"/>
      <c r="DI478" s="53" t="n"/>
      <c r="DJ478" s="53" t="n"/>
      <c r="DK478" s="53" t="n"/>
      <c r="DL478" s="53" t="n"/>
      <c r="DM478" s="53" t="n"/>
      <c r="DN478" s="53" t="n"/>
      <c r="DO478" s="53" t="n"/>
      <c r="DP478" s="53" t="n"/>
      <c r="DQ478" s="53" t="n"/>
      <c r="DR478" s="53" t="n"/>
      <c r="DS478" s="53" t="n"/>
      <c r="DT478" s="53" t="n"/>
      <c r="DU478" s="53" t="n"/>
      <c r="DV478" s="53" t="n"/>
      <c r="DW478" s="53" t="n"/>
      <c r="DX478" s="53" t="n"/>
      <c r="DY478" s="53" t="n"/>
      <c r="DZ478" s="53" t="n"/>
      <c r="EA478" s="53" t="n"/>
      <c r="EB478" s="53" t="n"/>
      <c r="EC478" s="53" t="n"/>
      <c r="ED478" s="53" t="n"/>
      <c r="EE478" s="53" t="n"/>
      <c r="EF478" s="53" t="n"/>
      <c r="EG478" s="53" t="n"/>
      <c r="EH478" s="53" t="n"/>
      <c r="EI478" s="53" t="n"/>
      <c r="EJ478" s="53" t="n"/>
      <c r="EK478" s="53" t="n"/>
      <c r="EL478" s="53" t="n"/>
      <c r="EM478" s="53" t="n"/>
      <c r="EN478" s="53" t="n"/>
      <c r="EO478" s="53" t="n"/>
      <c r="EP478" s="53" t="n"/>
      <c r="EQ478" s="53" t="n"/>
      <c r="ER478" s="53" t="n"/>
      <c r="ES478" s="53" t="n"/>
      <c r="ET478" s="53" t="n"/>
      <c r="EU478" s="53" t="n"/>
      <c r="EV478" s="53" t="n"/>
      <c r="EW478" s="52" t="n"/>
      <c r="EX478" s="53" t="n"/>
      <c r="EY478" s="53" t="n"/>
      <c r="EZ478" s="53" t="n"/>
      <c r="FA478" s="53" t="n"/>
      <c r="FB478" s="53" t="n"/>
      <c r="FC478" s="53" t="n"/>
      <c r="FD478" s="53" t="n"/>
      <c r="FE478" s="55" t="inlineStr">
        <is>
          <t>KRAs not received · manager to supply</t>
        </is>
      </c>
      <c r="FF478" s="56" t="n"/>
      <c r="FG478" s="56" t="n"/>
      <c r="FH478" s="56" t="n"/>
      <c r="FI478" s="56" t="n"/>
      <c r="FJ478" s="32" t="inlineStr">
        <is>
          <t>KRAs not received · manager to supply</t>
        </is>
      </c>
      <c r="FK478" s="56" t="n"/>
      <c r="FL478" s="56" t="n">
        <v>16</v>
      </c>
      <c r="FM478" s="32" t="inlineStr">
        <is>
          <t>Full survey answers not in the files received · How We Grow export needed · HR</t>
        </is>
      </c>
      <c r="FN478" s="56" t="inlineStr">
        <is>
          <t>—</t>
        </is>
      </c>
      <c r="FO478" s="56" t="inlineStr">
        <is>
          <t>—</t>
        </is>
      </c>
      <c r="FP478" s="56" t="inlineStr">
        <is>
          <t>—</t>
        </is>
      </c>
      <c r="FQ478" s="56" t="inlineStr">
        <is>
          <t>—</t>
        </is>
      </c>
      <c r="FR478" s="56" t="inlineStr">
        <is>
          <t>Complexity: Evidence reads like A3: Monthly payroll plus TDS, PF, ESIC, PT, LWF compliance and quarterly filings → moved down 0.5
Autonomy: Evidence reads like A2: Only 'multiple reports' named as independent decisions → moved down 1
Accountability: Evidence reads like A3: Monthly salary and statutory compliance; payroll misses are compliance-critical → moved down 0.5
Leadership: Evidence reads like A1: No guidance or leadership of others described → moved down 1
Business Impact: No survey or manager-mapping signal on criticality: kept at the start point.</t>
        </is>
      </c>
      <c r="FS478" s="56" t="inlineStr">
        <is>
          <t>Common themes in sub-family holders, all levels' answers: employees
Common themes in sub-family holders, all levels' answers: employee · onboarding · support
Common themes in sub-family holders, all levels' answers: experience · onboarding
Common themes in sub-family holders, all levels' answers: onboarding
Common themes in sub-family holders, all levels' answers: engagement · employee · activities
If the work is missed · role-holders' themes: compliance · employee.</t>
        </is>
      </c>
      <c r="FT478" s="56" t="inlineStr">
        <is>
          <t>Self-identified: AI / automation · Data, SQL &amp; analytics · Product &amp; tool knowledge
For the next role: AI / automation · Data, SQL &amp; analytics · Product &amp; tool knowledge</t>
        </is>
      </c>
      <c r="FU478" s="32" t="inlineStr">
        <is>
          <t>Full survey answers not in the files received · How We Grow export needed · HR</t>
        </is>
      </c>
    </row>
    <row r="479" ht="90" customHeight="1">
      <c r="A479" s="51" t="inlineStr">
        <is>
          <t>◂ Back</t>
        </is>
      </c>
      <c r="B479" s="29" t="inlineStr">
        <is>
          <t>Mapped</t>
        </is>
      </c>
      <c r="C479" s="28" t="inlineStr">
        <is>
          <t>Corporate</t>
        </is>
      </c>
      <c r="D479" s="29" t="inlineStr">
        <is>
          <t>IRIS2152</t>
        </is>
      </c>
      <c r="E479" s="29" t="inlineStr">
        <is>
          <t>Nikitha Nair</t>
        </is>
      </c>
      <c r="F479" s="29" t="inlineStr">
        <is>
          <t>HR</t>
        </is>
      </c>
      <c r="G479" s="29" t="inlineStr">
        <is>
          <t>Employee Experience Specialist</t>
        </is>
      </c>
      <c r="H479" s="29" t="inlineStr">
        <is>
          <t>HR Specialist – POD Lead</t>
        </is>
      </c>
      <c r="I479" s="29" t="inlineStr">
        <is>
          <t>Not in current mapping files</t>
        </is>
      </c>
      <c r="J479" s="29" t="inlineStr">
        <is>
          <t>B1</t>
        </is>
      </c>
      <c r="K479" s="29" t="inlineStr">
        <is>
          <t>● Newly mapped</t>
        </is>
      </c>
      <c r="L479" s="29" t="inlineStr">
        <is>
          <t>Human Resources</t>
        </is>
      </c>
      <c r="M479" s="29" t="inlineStr">
        <is>
          <t>HR Operations &amp; Payroll</t>
        </is>
      </c>
      <c r="N479" s="29" t="n"/>
      <c r="O479" s="29" t="n">
        <v>20</v>
      </c>
      <c r="P479" s="28" t="inlineStr">
        <is>
          <t>P3 / M2</t>
        </is>
      </c>
      <c r="Q479" s="29" t="inlineStr">
        <is>
          <t>Career / · Team Lead</t>
        </is>
      </c>
      <c r="R479" s="29" t="inlineStr">
        <is>
          <t>4 Enable</t>
        </is>
      </c>
      <c r="S479" s="29" t="inlineStr">
        <is>
          <t>4–7 yrs</t>
        </is>
      </c>
      <c r="T479" s="29" t="inlineStr">
        <is>
          <t>5–8 · 4–8</t>
        </is>
      </c>
      <c r="U479" s="29" t="inlineStr">
        <is>
          <t>Senior HR Executive</t>
        </is>
      </c>
      <c r="V479" s="29" t="inlineStr">
        <is>
          <t>IRIS Vs Competitor Benchmark — HR ladder: HR Specialist / HRBP</t>
        </is>
      </c>
      <c r="W479" s="29" t="inlineStr">
        <is>
          <t>SHRM BASK · SHRM-CP → SHRM-SCP; CIPD Profession Map</t>
        </is>
      </c>
      <c r="X479" s="29" t="inlineStr">
        <is>
          <t>Core 3 · Future 3 · Functional 3 · Leadership 2</t>
        </is>
      </c>
      <c r="Y479" s="52" t="n">
        <v>282</v>
      </c>
      <c r="Z479" s="53" t="inlineStr">
        <is>
          <t>IRIS2152</t>
        </is>
      </c>
      <c r="AA479" s="53" t="inlineStr">
        <is>
          <t>Employee</t>
        </is>
      </c>
      <c r="AB479" s="53" t="inlineStr">
        <is>
          <t>Active</t>
        </is>
      </c>
      <c r="AC479" s="53" t="inlineStr">
        <is>
          <t>Nikitha Nair</t>
        </is>
      </c>
      <c r="AD479" s="54" t="n">
        <v>45110</v>
      </c>
      <c r="AE479" s="53" t="inlineStr">
        <is>
          <t>Employee Experience Specialist</t>
        </is>
      </c>
      <c r="AF479" s="53" t="inlineStr">
        <is>
          <t>MBA</t>
        </is>
      </c>
      <c r="AG479" s="53" t="inlineStr">
        <is>
          <t>Shweta Jha</t>
        </is>
      </c>
      <c r="AH479" s="53" t="inlineStr">
        <is>
          <t>N-2</t>
        </is>
      </c>
      <c r="AI479" s="53" t="inlineStr">
        <is>
          <t>Manager</t>
        </is>
      </c>
      <c r="AJ479" s="53" t="inlineStr">
        <is>
          <t>1 years, 0 months, 0 days</t>
        </is>
      </c>
      <c r="AK479" s="53" t="inlineStr">
        <is>
          <t>3 years, 1 months, 22 days</t>
        </is>
      </c>
      <c r="AL479" s="53" t="inlineStr">
        <is>
          <t>Corporate</t>
        </is>
      </c>
      <c r="AM479" s="53" t="inlineStr">
        <is>
          <t>Corporate</t>
        </is>
      </c>
      <c r="AN479" s="53" t="inlineStr">
        <is>
          <t>HR</t>
        </is>
      </c>
      <c r="AO479" s="53" t="inlineStr">
        <is>
          <t>HR</t>
        </is>
      </c>
      <c r="AP479" s="53" t="inlineStr">
        <is>
          <t>No</t>
        </is>
      </c>
      <c r="AQ479" s="53" t="inlineStr">
        <is>
          <t>General &amp; Admin</t>
        </is>
      </c>
      <c r="AR479" s="53" t="inlineStr">
        <is>
          <t>HR</t>
        </is>
      </c>
      <c r="AS479" s="53" t="inlineStr">
        <is>
          <t>Non-technical</t>
        </is>
      </c>
      <c r="AT479" s="53" t="n">
        <v>20</v>
      </c>
      <c r="AU479" s="53" t="inlineStr">
        <is>
          <t>Covered</t>
        </is>
      </c>
      <c r="AV479" s="53" t="n"/>
      <c r="AW479" s="53" t="n"/>
      <c r="AX479" s="53" t="n"/>
      <c r="AY479" s="53" t="n"/>
      <c r="AZ479" s="53" t="n"/>
      <c r="BA479" s="53" t="n"/>
      <c r="BB479" s="53" t="n"/>
      <c r="BC479" s="53" t="n"/>
      <c r="BD479" s="53" t="n"/>
      <c r="BE479" s="53" t="n"/>
      <c r="BF479" s="53" t="n"/>
      <c r="BG479" s="53" t="n"/>
      <c r="BH479" s="53" t="n"/>
      <c r="BI479" s="53" t="n"/>
      <c r="BJ479" s="53" t="n"/>
      <c r="BK479" s="53" t="n"/>
      <c r="BL479" s="53" t="n"/>
      <c r="BM479" s="53" t="n"/>
      <c r="BN479" s="53" t="n"/>
      <c r="BO479" s="53" t="n"/>
      <c r="BP479" s="53" t="n"/>
      <c r="BQ479" s="53" t="n"/>
      <c r="BR479" s="53" t="n"/>
      <c r="BS479" s="53" t="n"/>
      <c r="BT479" s="53" t="n"/>
      <c r="BU479" s="53" t="n"/>
      <c r="BV479" s="53" t="n"/>
      <c r="BW479" s="53" t="n"/>
      <c r="BX479" s="53" t="n"/>
      <c r="BY479" s="53" t="n"/>
      <c r="BZ479" s="53" t="n"/>
      <c r="CA479" s="53" t="n"/>
      <c r="CB479" s="53" t="n"/>
      <c r="CC479" s="53" t="n"/>
      <c r="CD479" s="53" t="n"/>
      <c r="CE479" s="53" t="n"/>
      <c r="CF479" s="53" t="n"/>
      <c r="CG479" s="53" t="n"/>
      <c r="CH479" s="53" t="n"/>
      <c r="CI479" s="53" t="n"/>
      <c r="CJ479" s="53" t="n"/>
      <c r="CK479" s="53" t="n"/>
      <c r="CL479" s="53" t="n"/>
      <c r="CM479" s="53" t="n"/>
      <c r="CN479" s="53" t="n"/>
      <c r="CO479" s="53" t="n"/>
      <c r="CP479" s="53" t="n"/>
      <c r="CQ479" s="53" t="n"/>
      <c r="CR479" s="53" t="n"/>
      <c r="CS479" s="53" t="n"/>
      <c r="CT479" s="53" t="n"/>
      <c r="CU479" s="53" t="n"/>
      <c r="CV479" s="53" t="n"/>
      <c r="CW479" s="53" t="n"/>
      <c r="CX479" s="53" t="n"/>
      <c r="CY479" s="53" t="n"/>
      <c r="CZ479" s="53" t="n"/>
      <c r="DA479" s="53" t="n"/>
      <c r="DB479" s="53" t="n"/>
      <c r="DC479" s="53" t="n"/>
      <c r="DD479" s="53" t="n"/>
      <c r="DE479" s="53" t="n"/>
      <c r="DF479" s="53" t="n"/>
      <c r="DG479" s="53" t="n"/>
      <c r="DH479" s="53" t="n"/>
      <c r="DI479" s="53" t="n"/>
      <c r="DJ479" s="53" t="n"/>
      <c r="DK479" s="53" t="n"/>
      <c r="DL479" s="53" t="n"/>
      <c r="DM479" s="53" t="n"/>
      <c r="DN479" s="53" t="n"/>
      <c r="DO479" s="53" t="n"/>
      <c r="DP479" s="53" t="n"/>
      <c r="DQ479" s="53" t="n"/>
      <c r="DR479" s="53" t="n"/>
      <c r="DS479" s="53" t="n"/>
      <c r="DT479" s="53" t="n"/>
      <c r="DU479" s="53" t="n"/>
      <c r="DV479" s="53" t="n"/>
      <c r="DW479" s="53" t="n"/>
      <c r="DX479" s="53" t="n"/>
      <c r="DY479" s="53" t="n"/>
      <c r="DZ479" s="53" t="n"/>
      <c r="EA479" s="53" t="n"/>
      <c r="EB479" s="53" t="n"/>
      <c r="EC479" s="53" t="n"/>
      <c r="ED479" s="53" t="n"/>
      <c r="EE479" s="53" t="n"/>
      <c r="EF479" s="53" t="n"/>
      <c r="EG479" s="53" t="n"/>
      <c r="EH479" s="53" t="n"/>
      <c r="EI479" s="53" t="n"/>
      <c r="EJ479" s="53" t="n"/>
      <c r="EK479" s="53" t="n"/>
      <c r="EL479" s="53" t="n"/>
      <c r="EM479" s="53" t="n"/>
      <c r="EN479" s="53" t="n"/>
      <c r="EO479" s="53" t="n"/>
      <c r="EP479" s="53" t="n"/>
      <c r="EQ479" s="53" t="n"/>
      <c r="ER479" s="53" t="n"/>
      <c r="ES479" s="53" t="n"/>
      <c r="ET479" s="53" t="n"/>
      <c r="EU479" s="53" t="n"/>
      <c r="EV479" s="53" t="n"/>
      <c r="EW479" s="52" t="n"/>
      <c r="EX479" s="53" t="n"/>
      <c r="EY479" s="53" t="n"/>
      <c r="EZ479" s="53" t="n"/>
      <c r="FA479" s="53" t="n"/>
      <c r="FB479" s="53" t="n"/>
      <c r="FC479" s="53" t="n"/>
      <c r="FD479" s="53" t="n"/>
      <c r="FE479" s="55" t="inlineStr">
        <is>
          <t>KRAs not received · manager to supply</t>
        </is>
      </c>
      <c r="FF479" s="56" t="n"/>
      <c r="FG479" s="56" t="n"/>
      <c r="FH479" s="56" t="n"/>
      <c r="FI479" s="56" t="n"/>
      <c r="FJ479" s="32" t="inlineStr">
        <is>
          <t>KRAs not received · manager to supply</t>
        </is>
      </c>
      <c r="FK479" s="56" t="n"/>
      <c r="FL479" s="56" t="n">
        <v>20</v>
      </c>
      <c r="FM479" s="32" t="inlineStr">
        <is>
          <t>Full survey answers not in the files received · How We Grow export needed · HR</t>
        </is>
      </c>
      <c r="FN479" s="56" t="inlineStr">
        <is>
          <t>—</t>
        </is>
      </c>
      <c r="FO479" s="56" t="inlineStr">
        <is>
          <t>—</t>
        </is>
      </c>
      <c r="FP479" s="56" t="inlineStr">
        <is>
          <t>—</t>
        </is>
      </c>
      <c r="FQ479" s="56" t="inlineStr">
        <is>
          <t>—</t>
        </is>
      </c>
      <c r="FR479" s="56" t="inlineStr">
        <is>
          <t>Complexity: Evidence reads like A3: Onboarding, exits, grievance management, medical insurance, letters, performance management support → moved down 0.5
Autonomy: Evidence reads like A3: Decides employee connects, communications and engagement activities → moved down 0.5
Accountability: Evidence reads like A3: Employee experience from onboarding through exit, including grievances → moved down 0.2
Leadership: Evidence reads like A2: Coordinates stakeholders; no guidance of others described; 1 direct report → moved down 0.5
Business Impact: No survey or manager-mapping signal on criticality: kept at the start point.</t>
        </is>
      </c>
      <c r="FS479" s="56" t="inlineStr">
        <is>
          <t>Common themes in sub-family holders, all levels' answers: employees
Common themes in sub-family holders, all levels' answers: employee · onboarding · support
Common themes in sub-family holders, all levels' answers: experience · onboarding
Common themes in sub-family holders, all levels' answers: onboarding
Common themes in sub-family holders, all levels' answers: engagement · employee · activities
If the work is missed · role-holders' themes: compliance · employee.</t>
        </is>
      </c>
      <c r="FT479" s="56" t="inlineStr">
        <is>
          <t>Self-identified: Data, SQL &amp; analytics · Strategy &amp; business acumen · Broader exposure &amp; ownership
For the next role: Data, SQL &amp; analytics · Strategy &amp; business acumen · Broader exposure &amp; ownership</t>
        </is>
      </c>
      <c r="FU479" s="32" t="inlineStr">
        <is>
          <t>Full survey answers not in the files received · How We Grow export needed · HR</t>
        </is>
      </c>
    </row>
    <row r="480" ht="90" customHeight="1">
      <c r="A480" s="51" t="inlineStr">
        <is>
          <t>◂ Back</t>
        </is>
      </c>
      <c r="B480" s="29" t="inlineStr">
        <is>
          <t>Mapped</t>
        </is>
      </c>
      <c r="C480" s="28" t="inlineStr">
        <is>
          <t>Corporate</t>
        </is>
      </c>
      <c r="D480" s="29" t="inlineStr">
        <is>
          <t>IRIS2558</t>
        </is>
      </c>
      <c r="E480" s="29" t="inlineStr">
        <is>
          <t>Blossom Dsouza</t>
        </is>
      </c>
      <c r="F480" s="29" t="inlineStr">
        <is>
          <t>HR</t>
        </is>
      </c>
      <c r="G480" s="29" t="inlineStr">
        <is>
          <t>Executive -HR</t>
        </is>
      </c>
      <c r="H480" s="29" t="inlineStr">
        <is>
          <t>HR Executive</t>
        </is>
      </c>
      <c r="I480" s="29" t="inlineStr">
        <is>
          <t>Not in current mapping files</t>
        </is>
      </c>
      <c r="J480" s="29" t="inlineStr">
        <is>
          <t>A2</t>
        </is>
      </c>
      <c r="K480" s="29" t="inlineStr">
        <is>
          <t>● Newly mapped</t>
        </is>
      </c>
      <c r="L480" s="29" t="inlineStr">
        <is>
          <t>Human Resources</t>
        </is>
      </c>
      <c r="M480" s="29" t="inlineStr">
        <is>
          <t>HR Operations &amp; Payroll</t>
        </is>
      </c>
      <c r="N480" s="29" t="n"/>
      <c r="O480" s="29" t="n">
        <v>19</v>
      </c>
      <c r="P480" s="28" t="inlineStr">
        <is>
          <t>P1–P2</t>
        </is>
      </c>
      <c r="Q480" s="29" t="inlineStr">
        <is>
          <t>Entry / Developing</t>
        </is>
      </c>
      <c r="R480" s="29" t="inlineStr">
        <is>
          <t>2 Assist</t>
        </is>
      </c>
      <c r="S480" s="29" t="inlineStr">
        <is>
          <t>0–2 yrs</t>
        </is>
      </c>
      <c r="T480" s="29" t="inlineStr">
        <is>
          <t>1–3 · 0–3</t>
        </is>
      </c>
      <c r="U480" s="29" t="inlineStr">
        <is>
          <t>HR Associate / HR Executive</t>
        </is>
      </c>
      <c r="V480" s="29" t="inlineStr">
        <is>
          <t>IRIS Vs Competitor Benchmark — HR ladder: HR Executive</t>
        </is>
      </c>
      <c r="W480" s="29" t="inlineStr">
        <is>
          <t>SHRM BASK · SHRM-CP → SHRM-SCP; CIPD Profession Map</t>
        </is>
      </c>
      <c r="X480" s="29" t="inlineStr">
        <is>
          <t>Core 2 · Future 2 · Functional 2 · Leadership not scored</t>
        </is>
      </c>
      <c r="Y480" s="52" t="n">
        <v>531</v>
      </c>
      <c r="Z480" s="53" t="inlineStr">
        <is>
          <t>IRIS2558</t>
        </is>
      </c>
      <c r="AA480" s="53" t="inlineStr">
        <is>
          <t>Employee</t>
        </is>
      </c>
      <c r="AB480" s="53" t="inlineStr">
        <is>
          <t>Active</t>
        </is>
      </c>
      <c r="AC480" s="53" t="inlineStr">
        <is>
          <t>Blossom Dsouza</t>
        </is>
      </c>
      <c r="AD480" s="54" t="n">
        <v>46266</v>
      </c>
      <c r="AE480" s="53" t="inlineStr">
        <is>
          <t>Executive -HR</t>
        </is>
      </c>
      <c r="AF480" s="53" t="inlineStr">
        <is>
          <t>Bachelors</t>
        </is>
      </c>
      <c r="AG480" s="53" t="inlineStr">
        <is>
          <t>Nikitha Nair</t>
        </is>
      </c>
      <c r="AH480" s="53" t="inlineStr">
        <is>
          <t>N-3</t>
        </is>
      </c>
      <c r="AI480" s="53" t="inlineStr">
        <is>
          <t>Individual Contributor</t>
        </is>
      </c>
      <c r="AJ480" s="53" t="n"/>
      <c r="AK480" s="53" t="n"/>
      <c r="AL480" s="53" t="inlineStr">
        <is>
          <t>Corporate</t>
        </is>
      </c>
      <c r="AM480" s="53" t="inlineStr">
        <is>
          <t>Corporate</t>
        </is>
      </c>
      <c r="AN480" s="53" t="inlineStr">
        <is>
          <t>HR</t>
        </is>
      </c>
      <c r="AO480" s="53" t="inlineStr">
        <is>
          <t>HR</t>
        </is>
      </c>
      <c r="AP480" s="53" t="inlineStr">
        <is>
          <t>No</t>
        </is>
      </c>
      <c r="AQ480" s="53" t="inlineStr">
        <is>
          <t>General &amp; Admin</t>
        </is>
      </c>
      <c r="AR480" s="53" t="inlineStr">
        <is>
          <t>HR</t>
        </is>
      </c>
      <c r="AS480" s="53" t="inlineStr">
        <is>
          <t>Non-technical</t>
        </is>
      </c>
      <c r="AT480" s="53" t="n">
        <v>20</v>
      </c>
      <c r="AU480" s="53" t="inlineStr">
        <is>
          <t>Covered</t>
        </is>
      </c>
      <c r="AV480" s="53" t="n"/>
      <c r="AW480" s="53" t="n"/>
      <c r="AX480" s="53" t="n"/>
      <c r="AY480" s="53" t="n"/>
      <c r="AZ480" s="53" t="n"/>
      <c r="BA480" s="53" t="n"/>
      <c r="BB480" s="53" t="n"/>
      <c r="BC480" s="53" t="n"/>
      <c r="BD480" s="53" t="n"/>
      <c r="BE480" s="53" t="n"/>
      <c r="BF480" s="53" t="n"/>
      <c r="BG480" s="53" t="n"/>
      <c r="BH480" s="53" t="n"/>
      <c r="BI480" s="53" t="n"/>
      <c r="BJ480" s="53" t="n"/>
      <c r="BK480" s="53" t="n"/>
      <c r="BL480" s="53" t="n"/>
      <c r="BM480" s="53" t="n"/>
      <c r="BN480" s="53" t="n"/>
      <c r="BO480" s="53" t="n"/>
      <c r="BP480" s="53" t="n"/>
      <c r="BQ480" s="53" t="n"/>
      <c r="BR480" s="53" t="n"/>
      <c r="BS480" s="53" t="n"/>
      <c r="BT480" s="53" t="n"/>
      <c r="BU480" s="53" t="n"/>
      <c r="BV480" s="53" t="n"/>
      <c r="BW480" s="53" t="n"/>
      <c r="BX480" s="53" t="n"/>
      <c r="BY480" s="53" t="n"/>
      <c r="BZ480" s="53" t="n"/>
      <c r="CA480" s="53" t="n"/>
      <c r="CB480" s="53" t="n"/>
      <c r="CC480" s="53" t="n"/>
      <c r="CD480" s="53" t="n"/>
      <c r="CE480" s="53" t="n"/>
      <c r="CF480" s="53" t="n"/>
      <c r="CG480" s="53" t="n"/>
      <c r="CH480" s="53" t="n"/>
      <c r="CI480" s="53" t="n"/>
      <c r="CJ480" s="53" t="n"/>
      <c r="CK480" s="53" t="n"/>
      <c r="CL480" s="53" t="n"/>
      <c r="CM480" s="53" t="n"/>
      <c r="CN480" s="53" t="n"/>
      <c r="CO480" s="53" t="n"/>
      <c r="CP480" s="53" t="n"/>
      <c r="CQ480" s="53" t="n"/>
      <c r="CR480" s="53" t="n"/>
      <c r="CS480" s="53" t="n"/>
      <c r="CT480" s="53" t="n"/>
      <c r="CU480" s="53" t="n"/>
      <c r="CV480" s="53" t="n"/>
      <c r="CW480" s="53" t="n"/>
      <c r="CX480" s="53" t="n"/>
      <c r="CY480" s="53" t="n"/>
      <c r="CZ480" s="53" t="n"/>
      <c r="DA480" s="53" t="n"/>
      <c r="DB480" s="53" t="n"/>
      <c r="DC480" s="53" t="n"/>
      <c r="DD480" s="53" t="n"/>
      <c r="DE480" s="53" t="n"/>
      <c r="DF480" s="53" t="n"/>
      <c r="DG480" s="53" t="n"/>
      <c r="DH480" s="53" t="n"/>
      <c r="DI480" s="53" t="n"/>
      <c r="DJ480" s="53" t="n"/>
      <c r="DK480" s="53" t="n"/>
      <c r="DL480" s="53" t="n"/>
      <c r="DM480" s="53" t="n"/>
      <c r="DN480" s="53" t="n"/>
      <c r="DO480" s="53" t="n"/>
      <c r="DP480" s="53" t="n"/>
      <c r="DQ480" s="53" t="n"/>
      <c r="DR480" s="53" t="n"/>
      <c r="DS480" s="53" t="n"/>
      <c r="DT480" s="53" t="n"/>
      <c r="DU480" s="53" t="n"/>
      <c r="DV480" s="53" t="n"/>
      <c r="DW480" s="53" t="n"/>
      <c r="DX480" s="53" t="n"/>
      <c r="DY480" s="53" t="n"/>
      <c r="DZ480" s="53" t="n"/>
      <c r="EA480" s="53" t="n"/>
      <c r="EB480" s="53" t="n"/>
      <c r="EC480" s="53" t="n"/>
      <c r="ED480" s="53" t="n"/>
      <c r="EE480" s="53" t="n"/>
      <c r="EF480" s="53" t="n"/>
      <c r="EG480" s="53" t="n"/>
      <c r="EH480" s="53" t="n"/>
      <c r="EI480" s="53" t="n"/>
      <c r="EJ480" s="53" t="n"/>
      <c r="EK480" s="53" t="n"/>
      <c r="EL480" s="53" t="n"/>
      <c r="EM480" s="53" t="n"/>
      <c r="EN480" s="53" t="n"/>
      <c r="EO480" s="53" t="n"/>
      <c r="EP480" s="53" t="n"/>
      <c r="EQ480" s="53" t="n"/>
      <c r="ER480" s="53" t="n"/>
      <c r="ES480" s="53" t="n"/>
      <c r="ET480" s="53" t="n"/>
      <c r="EU480" s="53" t="n"/>
      <c r="EV480" s="53" t="n"/>
      <c r="EW480" s="52" t="n"/>
      <c r="EX480" s="53" t="n"/>
      <c r="EY480" s="53" t="n"/>
      <c r="EZ480" s="53" t="n"/>
      <c r="FA480" s="53" t="n"/>
      <c r="FB480" s="53" t="n"/>
      <c r="FC480" s="53" t="n"/>
      <c r="FD480" s="53" t="n"/>
      <c r="FE480" s="55" t="inlineStr">
        <is>
          <t>KRAs not received · manager to supply</t>
        </is>
      </c>
      <c r="FF480" s="56" t="n"/>
      <c r="FG480" s="56" t="n"/>
      <c r="FH480" s="56" t="n"/>
      <c r="FI480" s="56" t="n"/>
      <c r="FJ480" s="32" t="inlineStr">
        <is>
          <t>KRAs not received · manager to supply</t>
        </is>
      </c>
      <c r="FK480" s="56" t="n"/>
      <c r="FL480" s="56" t="n">
        <v>19</v>
      </c>
      <c r="FM480" s="32" t="inlineStr">
        <is>
          <t>Full survey answers not in the files received · How We Grow export needed · HR</t>
        </is>
      </c>
      <c r="FN480" s="56" t="inlineStr">
        <is>
          <t>—</t>
        </is>
      </c>
      <c r="FO480" s="56" t="inlineStr">
        <is>
          <t>—</t>
        </is>
      </c>
      <c r="FP480" s="56" t="inlineStr">
        <is>
          <t>—</t>
        </is>
      </c>
      <c r="FQ480" s="56" t="inlineStr">
        <is>
          <t>—</t>
        </is>
      </c>
      <c r="FR480" s="56" t="inlineStr">
        <is>
          <t>Complexity: Evidence reads like A2: Onboarding, exits, BGV coordination, HR ops trackers, engagement activities → matches the start
Autonomy: Evidence reads like A2: Decides engagement and onboarding activities; escalates when needed → matches the start
Accountability: Evidence reads like A2: Own onboarding work: accuracy and timeliness → matches the start
Leadership: Evidence reads like A1: No guidance or leadership of others described → matches the start
Business Impact: No survey or manager-mapping signal on criticality: kept at the start point.</t>
        </is>
      </c>
      <c r="FS480" s="56" t="inlineStr">
        <is>
          <t>Common themes in sub-family holders, all levels' answers: employees
Common themes in sub-family holders, all levels' answers: employee · onboarding · support
Common themes in sub-family holders, all levels' answers: experience · onboarding
Common themes in sub-family holders, all levels' answers: onboarding
Common themes in sub-family holders, all levels' answers: engagement · employee · activities
If the work is missed · role-holders' themes: compliance · employee.</t>
        </is>
      </c>
      <c r="FT480" s="56" t="inlineStr">
        <is>
          <t>Self-identified: Broader exposure &amp; ownership
For the next role: Broader exposure &amp; ownership</t>
        </is>
      </c>
      <c r="FU480" s="32" t="inlineStr">
        <is>
          <t>Full survey answers not in the files received · How We Grow export needed · HR</t>
        </is>
      </c>
    </row>
    <row r="481" ht="90" customHeight="1">
      <c r="A481" s="51" t="inlineStr">
        <is>
          <t>◂ Back</t>
        </is>
      </c>
      <c r="B481" s="29" t="inlineStr">
        <is>
          <t>Mapped</t>
        </is>
      </c>
      <c r="C481" s="28" t="inlineStr">
        <is>
          <t>Corporate</t>
        </is>
      </c>
      <c r="D481" s="29" t="inlineStr">
        <is>
          <t>IRIS2402</t>
        </is>
      </c>
      <c r="E481" s="29" t="inlineStr">
        <is>
          <t>Renuka Badhoria</t>
        </is>
      </c>
      <c r="F481" s="29" t="inlineStr">
        <is>
          <t>HR</t>
        </is>
      </c>
      <c r="G481" s="29" t="inlineStr">
        <is>
          <t>Talent Acquisition Specialist</t>
        </is>
      </c>
      <c r="H481" s="29" t="inlineStr">
        <is>
          <t>Senior Talent Acquisition Executive</t>
        </is>
      </c>
      <c r="I481" s="29" t="inlineStr">
        <is>
          <t>Not in current mapping files</t>
        </is>
      </c>
      <c r="J481" s="29" t="inlineStr">
        <is>
          <t>A3</t>
        </is>
      </c>
      <c r="K481" s="29" t="inlineStr">
        <is>
          <t>● Newly mapped</t>
        </is>
      </c>
      <c r="L481" s="29" t="inlineStr">
        <is>
          <t>Human Resources</t>
        </is>
      </c>
      <c r="M481" s="29" t="inlineStr">
        <is>
          <t>Talent Acquisition</t>
        </is>
      </c>
      <c r="N481" s="29" t="n"/>
      <c r="O481" s="29" t="n">
        <v>19</v>
      </c>
      <c r="P481" s="28" t="inlineStr">
        <is>
          <t>P2</t>
        </is>
      </c>
      <c r="Q481" s="29" t="inlineStr">
        <is>
          <t>Developing</t>
        </is>
      </c>
      <c r="R481" s="29" t="inlineStr">
        <is>
          <t>3 Apply</t>
        </is>
      </c>
      <c r="S481" s="29" t="inlineStr">
        <is>
          <t>2–4 yrs</t>
        </is>
      </c>
      <c r="T481" s="29" t="inlineStr">
        <is>
          <t>3–5 · 2–5</t>
        </is>
      </c>
      <c r="U481" s="29" t="inlineStr">
        <is>
          <t>HR Executive</t>
        </is>
      </c>
      <c r="V481" s="29" t="inlineStr">
        <is>
          <t>IRIS Vs Competitor Benchmark — HR ladder: Senior HR Executive · SHRM-CP</t>
        </is>
      </c>
      <c r="W481" s="29" t="inlineStr">
        <is>
          <t>SHRM BASK · SHRM-CP → SHRM-SCP; CIPD Profession Map</t>
        </is>
      </c>
      <c r="X481" s="29" t="inlineStr">
        <is>
          <t>Core 2 · Future 2 · Functional 3 · Leadership not scored</t>
        </is>
      </c>
      <c r="Y481" s="52" t="n">
        <v>384</v>
      </c>
      <c r="Z481" s="53" t="inlineStr">
        <is>
          <t>IRIS2402</t>
        </is>
      </c>
      <c r="AA481" s="53" t="inlineStr">
        <is>
          <t>Employee</t>
        </is>
      </c>
      <c r="AB481" s="53" t="inlineStr">
        <is>
          <t>Active</t>
        </is>
      </c>
      <c r="AC481" s="53" t="inlineStr">
        <is>
          <t>Renuka Badhoria</t>
        </is>
      </c>
      <c r="AD481" s="54" t="n">
        <v>45845</v>
      </c>
      <c r="AE481" s="53" t="inlineStr">
        <is>
          <t>Talent Acquisition Specialist</t>
        </is>
      </c>
      <c r="AF481" s="53" t="inlineStr">
        <is>
          <t>MBA PGDM</t>
        </is>
      </c>
      <c r="AG481" s="53" t="inlineStr">
        <is>
          <t>Shweta Jha</t>
        </is>
      </c>
      <c r="AH481" s="53" t="inlineStr">
        <is>
          <t>N-2</t>
        </is>
      </c>
      <c r="AI481" s="53" t="inlineStr">
        <is>
          <t>Individual Contributor</t>
        </is>
      </c>
      <c r="AJ481" s="53" t="inlineStr">
        <is>
          <t>2 years, 2 months, 0 days</t>
        </is>
      </c>
      <c r="AK481" s="53" t="inlineStr">
        <is>
          <t>1 years, 1 months, 18 days</t>
        </is>
      </c>
      <c r="AL481" s="53" t="inlineStr">
        <is>
          <t>Corporate</t>
        </is>
      </c>
      <c r="AM481" s="53" t="inlineStr">
        <is>
          <t>Corporate</t>
        </is>
      </c>
      <c r="AN481" s="53" t="inlineStr">
        <is>
          <t>HR</t>
        </is>
      </c>
      <c r="AO481" s="53" t="inlineStr">
        <is>
          <t>HR</t>
        </is>
      </c>
      <c r="AP481" s="53" t="inlineStr">
        <is>
          <t>No</t>
        </is>
      </c>
      <c r="AQ481" s="53" t="inlineStr">
        <is>
          <t>General &amp; Admin</t>
        </is>
      </c>
      <c r="AR481" s="53" t="inlineStr">
        <is>
          <t>HR</t>
        </is>
      </c>
      <c r="AS481" s="53" t="inlineStr">
        <is>
          <t>Non-technical</t>
        </is>
      </c>
      <c r="AT481" s="53" t="n">
        <v>20</v>
      </c>
      <c r="AU481" s="53" t="inlineStr">
        <is>
          <t>Covered</t>
        </is>
      </c>
      <c r="AV481" s="53" t="n"/>
      <c r="AW481" s="53" t="n"/>
      <c r="AX481" s="53" t="n"/>
      <c r="AY481" s="53" t="n"/>
      <c r="AZ481" s="53" t="n"/>
      <c r="BA481" s="53" t="n"/>
      <c r="BB481" s="53" t="n"/>
      <c r="BC481" s="53" t="n"/>
      <c r="BD481" s="53" t="n"/>
      <c r="BE481" s="53" t="n"/>
      <c r="BF481" s="53" t="n"/>
      <c r="BG481" s="53" t="n"/>
      <c r="BH481" s="53" t="n"/>
      <c r="BI481" s="53" t="n"/>
      <c r="BJ481" s="53" t="n"/>
      <c r="BK481" s="53" t="n"/>
      <c r="BL481" s="53" t="n"/>
      <c r="BM481" s="53" t="n"/>
      <c r="BN481" s="53" t="n"/>
      <c r="BO481" s="53" t="n"/>
      <c r="BP481" s="53" t="n"/>
      <c r="BQ481" s="53" t="n"/>
      <c r="BR481" s="53" t="n"/>
      <c r="BS481" s="53" t="n"/>
      <c r="BT481" s="53" t="n"/>
      <c r="BU481" s="53" t="n"/>
      <c r="BV481" s="53" t="n"/>
      <c r="BW481" s="53" t="n"/>
      <c r="BX481" s="53" t="n"/>
      <c r="BY481" s="53" t="n"/>
      <c r="BZ481" s="53" t="n"/>
      <c r="CA481" s="53" t="n"/>
      <c r="CB481" s="53" t="n"/>
      <c r="CC481" s="53" t="n"/>
      <c r="CD481" s="53" t="n"/>
      <c r="CE481" s="53" t="n"/>
      <c r="CF481" s="53" t="n"/>
      <c r="CG481" s="53" t="n"/>
      <c r="CH481" s="53" t="n"/>
      <c r="CI481" s="53" t="n"/>
      <c r="CJ481" s="53" t="n"/>
      <c r="CK481" s="53" t="n"/>
      <c r="CL481" s="53" t="n"/>
      <c r="CM481" s="53" t="n"/>
      <c r="CN481" s="53" t="n"/>
      <c r="CO481" s="53" t="n"/>
      <c r="CP481" s="53" t="n"/>
      <c r="CQ481" s="53" t="n"/>
      <c r="CR481" s="53" t="n"/>
      <c r="CS481" s="53" t="n"/>
      <c r="CT481" s="53" t="n"/>
      <c r="CU481" s="53" t="n"/>
      <c r="CV481" s="53" t="n"/>
      <c r="CW481" s="53" t="n"/>
      <c r="CX481" s="53" t="n"/>
      <c r="CY481" s="53" t="n"/>
      <c r="CZ481" s="53" t="n"/>
      <c r="DA481" s="53" t="n"/>
      <c r="DB481" s="53" t="n"/>
      <c r="DC481" s="53" t="n"/>
      <c r="DD481" s="53" t="n"/>
      <c r="DE481" s="53" t="n"/>
      <c r="DF481" s="53" t="n"/>
      <c r="DG481" s="53" t="n"/>
      <c r="DH481" s="53" t="n"/>
      <c r="DI481" s="53" t="n"/>
      <c r="DJ481" s="53" t="n"/>
      <c r="DK481" s="53" t="n"/>
      <c r="DL481" s="53" t="n"/>
      <c r="DM481" s="53" t="n"/>
      <c r="DN481" s="53" t="n"/>
      <c r="DO481" s="53" t="n"/>
      <c r="DP481" s="53" t="n"/>
      <c r="DQ481" s="53" t="n"/>
      <c r="DR481" s="53" t="n"/>
      <c r="DS481" s="53" t="n"/>
      <c r="DT481" s="53" t="n"/>
      <c r="DU481" s="53" t="n"/>
      <c r="DV481" s="53" t="n"/>
      <c r="DW481" s="53" t="n"/>
      <c r="DX481" s="53" t="n"/>
      <c r="DY481" s="53" t="n"/>
      <c r="DZ481" s="53" t="n"/>
      <c r="EA481" s="53" t="n"/>
      <c r="EB481" s="53" t="n"/>
      <c r="EC481" s="53" t="n"/>
      <c r="ED481" s="53" t="n"/>
      <c r="EE481" s="53" t="n"/>
      <c r="EF481" s="53" t="n"/>
      <c r="EG481" s="53" t="n"/>
      <c r="EH481" s="53" t="n"/>
      <c r="EI481" s="53" t="n"/>
      <c r="EJ481" s="53" t="n"/>
      <c r="EK481" s="53" t="n"/>
      <c r="EL481" s="53" t="n"/>
      <c r="EM481" s="53" t="n"/>
      <c r="EN481" s="53" t="n"/>
      <c r="EO481" s="53" t="n"/>
      <c r="EP481" s="53" t="n"/>
      <c r="EQ481" s="53" t="n"/>
      <c r="ER481" s="53" t="n"/>
      <c r="ES481" s="53" t="n"/>
      <c r="ET481" s="53" t="n"/>
      <c r="EU481" s="53" t="n"/>
      <c r="EV481" s="53" t="n"/>
      <c r="EW481" s="52" t="n"/>
      <c r="EX481" s="53" t="n"/>
      <c r="EY481" s="53" t="n"/>
      <c r="EZ481" s="53" t="n"/>
      <c r="FA481" s="53" t="n"/>
      <c r="FB481" s="53" t="n"/>
      <c r="FC481" s="53" t="n"/>
      <c r="FD481" s="53" t="n"/>
      <c r="FE481" s="55" t="inlineStr">
        <is>
          <t>KRAs not received · manager to supply</t>
        </is>
      </c>
      <c r="FF481" s="56" t="n"/>
      <c r="FG481" s="56" t="n"/>
      <c r="FH481" s="56" t="n"/>
      <c r="FI481" s="56" t="n"/>
      <c r="FJ481" s="32" t="inlineStr">
        <is>
          <t>KRAs not received · manager to supply</t>
        </is>
      </c>
      <c r="FK481" s="56" t="n"/>
      <c r="FL481" s="56" t="n">
        <v>19</v>
      </c>
      <c r="FM481" s="32" t="inlineStr">
        <is>
          <t>Full survey answers not in the files received · How We Grow export needed · HR</t>
        </is>
      </c>
      <c r="FN481" s="56" t="inlineStr">
        <is>
          <t>—</t>
        </is>
      </c>
      <c r="FO481" s="56" t="inlineStr">
        <is>
          <t>—</t>
        </is>
      </c>
      <c r="FP481" s="56" t="inlineStr">
        <is>
          <t>—</t>
        </is>
      </c>
      <c r="FQ481" s="56" t="inlineStr">
        <is>
          <t>—</t>
        </is>
      </c>
      <c r="FR481" s="56" t="inlineStr">
        <is>
          <t>Complexity: Evidence reads like A2: End-to-end recruitment: requirement gathering, role market research, multi-channel sourcing → moved down 1
Autonomy: Evidence reads like A2: Chooses sourcing channels; nothing broader stated → moved down 1
Accountability: Evidence reads like A3: Filling critical positions by hiring managers' deadlines; hiring numbers → moved down 0.5
Leadership: Evidence reads like A1: No guidance or leadership of others described → moved down 1
Business Impact: No survey or manager-mapping signal on criticality: kept at the start point.</t>
        </is>
      </c>
      <c r="FS481" s="56" t="inlineStr">
        <is>
          <t>Common themes in sub-family holders, all levels' answers: hiring · right · stakeholders · talent · end recruitment · requirements
Common themes in sub-family holders, all levels' answers: end end
Common themes in sub-family holders, all levels' answers: hiring
If the work is missed · role-holders' themes: business.</t>
        </is>
      </c>
      <c r="FT481" s="56" t="inlineStr">
        <is>
          <t>Self-identified: Data, SQL &amp; analytics
For the next role: Data, SQL &amp; analytics</t>
        </is>
      </c>
      <c r="FU481" s="32" t="inlineStr">
        <is>
          <t>Full survey answers not in the files received · How We Grow export needed · HR</t>
        </is>
      </c>
    </row>
    <row r="482" ht="90" customHeight="1">
      <c r="A482" s="51" t="inlineStr">
        <is>
          <t>◂ Back</t>
        </is>
      </c>
      <c r="B482" s="29" t="inlineStr">
        <is>
          <t>Mapped</t>
        </is>
      </c>
      <c r="C482" s="28" t="inlineStr">
        <is>
          <t>Corporate</t>
        </is>
      </c>
      <c r="D482" s="29" t="inlineStr">
        <is>
          <t>IRIS2245</t>
        </is>
      </c>
      <c r="E482" s="29" t="inlineStr">
        <is>
          <t>Shruti Gawas</t>
        </is>
      </c>
      <c r="F482" s="29" t="inlineStr">
        <is>
          <t>HR</t>
        </is>
      </c>
      <c r="G482" s="29" t="inlineStr">
        <is>
          <t>Senior Executive - Talent Acquisition</t>
        </is>
      </c>
      <c r="H482" s="29" t="inlineStr">
        <is>
          <t>Senior Talent Acquisition Executive</t>
        </is>
      </c>
      <c r="I482" s="29" t="inlineStr">
        <is>
          <t>Not in current mapping files</t>
        </is>
      </c>
      <c r="J482" s="29" t="inlineStr">
        <is>
          <t>A3</t>
        </is>
      </c>
      <c r="K482" s="29" t="inlineStr">
        <is>
          <t>● Newly mapped</t>
        </is>
      </c>
      <c r="L482" s="29" t="inlineStr">
        <is>
          <t>Human Resources</t>
        </is>
      </c>
      <c r="M482" s="29" t="inlineStr">
        <is>
          <t>Talent Acquisition</t>
        </is>
      </c>
      <c r="N482" s="29" t="n"/>
      <c r="O482" s="29" t="n">
        <v>19</v>
      </c>
      <c r="P482" s="28" t="inlineStr">
        <is>
          <t>P2</t>
        </is>
      </c>
      <c r="Q482" s="29" t="inlineStr">
        <is>
          <t>Developing</t>
        </is>
      </c>
      <c r="R482" s="29" t="inlineStr">
        <is>
          <t>3 Apply</t>
        </is>
      </c>
      <c r="S482" s="29" t="inlineStr">
        <is>
          <t>2–4 yrs</t>
        </is>
      </c>
      <c r="T482" s="29" t="inlineStr">
        <is>
          <t>3–5 · 2–5</t>
        </is>
      </c>
      <c r="U482" s="29" t="inlineStr">
        <is>
          <t>HR Executive</t>
        </is>
      </c>
      <c r="V482" s="29" t="inlineStr">
        <is>
          <t>IRIS Vs Competitor Benchmark — HR ladder: Senior HR Executive · SHRM-CP</t>
        </is>
      </c>
      <c r="W482" s="29" t="inlineStr">
        <is>
          <t>SHRM BASK · SHRM-CP → SHRM-SCP; CIPD Profession Map</t>
        </is>
      </c>
      <c r="X482" s="29" t="inlineStr">
        <is>
          <t>Core 2 · Future 2 · Functional 3 · Leadership not scored</t>
        </is>
      </c>
      <c r="Y482" s="52" t="n">
        <v>314</v>
      </c>
      <c r="Z482" s="53" t="inlineStr">
        <is>
          <t>IRIS2245</t>
        </is>
      </c>
      <c r="AA482" s="53" t="inlineStr">
        <is>
          <t>Employee</t>
        </is>
      </c>
      <c r="AB482" s="53" t="inlineStr">
        <is>
          <t>Active</t>
        </is>
      </c>
      <c r="AC482" s="53" t="inlineStr">
        <is>
          <t>Shruti Gawas</t>
        </is>
      </c>
      <c r="AD482" s="54" t="n">
        <v>45418</v>
      </c>
      <c r="AE482" s="53" t="inlineStr">
        <is>
          <t>Senior Executive - Talent Acquisition</t>
        </is>
      </c>
      <c r="AF482" s="53" t="inlineStr">
        <is>
          <t>MBA</t>
        </is>
      </c>
      <c r="AG482" s="53" t="inlineStr">
        <is>
          <t>Shweta Jha</t>
        </is>
      </c>
      <c r="AH482" s="53" t="inlineStr">
        <is>
          <t>N-2</t>
        </is>
      </c>
      <c r="AI482" s="53" t="inlineStr">
        <is>
          <t>Individual Contributor</t>
        </is>
      </c>
      <c r="AJ482" s="53" t="inlineStr">
        <is>
          <t>1 years, 3 months, 0 days</t>
        </is>
      </c>
      <c r="AK482" s="53" t="inlineStr">
        <is>
          <t>2 years, 3 months, 19 days</t>
        </is>
      </c>
      <c r="AL482" s="53" t="inlineStr">
        <is>
          <t>Corporate</t>
        </is>
      </c>
      <c r="AM482" s="53" t="inlineStr">
        <is>
          <t>Corporate</t>
        </is>
      </c>
      <c r="AN482" s="53" t="inlineStr">
        <is>
          <t>HR</t>
        </is>
      </c>
      <c r="AO482" s="53" t="inlineStr">
        <is>
          <t>HR</t>
        </is>
      </c>
      <c r="AP482" s="53" t="inlineStr">
        <is>
          <t>No</t>
        </is>
      </c>
      <c r="AQ482" s="53" t="inlineStr">
        <is>
          <t>General &amp; Admin</t>
        </is>
      </c>
      <c r="AR482" s="53" t="inlineStr">
        <is>
          <t>HR</t>
        </is>
      </c>
      <c r="AS482" s="53" t="inlineStr">
        <is>
          <t>Non-technical</t>
        </is>
      </c>
      <c r="AT482" s="53" t="n">
        <v>20</v>
      </c>
      <c r="AU482" s="53" t="inlineStr">
        <is>
          <t>Covered</t>
        </is>
      </c>
      <c r="AV482" s="53" t="n"/>
      <c r="AW482" s="53" t="n"/>
      <c r="AX482" s="53" t="n"/>
      <c r="AY482" s="53" t="n"/>
      <c r="AZ482" s="53" t="n"/>
      <c r="BA482" s="53" t="n"/>
      <c r="BB482" s="53" t="n"/>
      <c r="BC482" s="53" t="n"/>
      <c r="BD482" s="53" t="n"/>
      <c r="BE482" s="53" t="n"/>
      <c r="BF482" s="53" t="n"/>
      <c r="BG482" s="53" t="n"/>
      <c r="BH482" s="53" t="n"/>
      <c r="BI482" s="53" t="n"/>
      <c r="BJ482" s="53" t="n"/>
      <c r="BK482" s="53" t="n"/>
      <c r="BL482" s="53" t="n"/>
      <c r="BM482" s="53" t="n"/>
      <c r="BN482" s="53" t="n"/>
      <c r="BO482" s="53" t="n"/>
      <c r="BP482" s="53" t="n"/>
      <c r="BQ482" s="53" t="n"/>
      <c r="BR482" s="53" t="n"/>
      <c r="BS482" s="53" t="n"/>
      <c r="BT482" s="53" t="n"/>
      <c r="BU482" s="53" t="n"/>
      <c r="BV482" s="53" t="n"/>
      <c r="BW482" s="53" t="n"/>
      <c r="BX482" s="53" t="n"/>
      <c r="BY482" s="53" t="n"/>
      <c r="BZ482" s="53" t="n"/>
      <c r="CA482" s="53" t="n"/>
      <c r="CB482" s="53" t="n"/>
      <c r="CC482" s="53" t="n"/>
      <c r="CD482" s="53" t="n"/>
      <c r="CE482" s="53" t="n"/>
      <c r="CF482" s="53" t="n"/>
      <c r="CG482" s="53" t="n"/>
      <c r="CH482" s="53" t="n"/>
      <c r="CI482" s="53" t="n"/>
      <c r="CJ482" s="53" t="n"/>
      <c r="CK482" s="53" t="n"/>
      <c r="CL482" s="53" t="n"/>
      <c r="CM482" s="53" t="n"/>
      <c r="CN482" s="53" t="n"/>
      <c r="CO482" s="53" t="n"/>
      <c r="CP482" s="53" t="n"/>
      <c r="CQ482" s="53" t="n"/>
      <c r="CR482" s="53" t="n"/>
      <c r="CS482" s="53" t="n"/>
      <c r="CT482" s="53" t="n"/>
      <c r="CU482" s="53" t="n"/>
      <c r="CV482" s="53" t="n"/>
      <c r="CW482" s="53" t="n"/>
      <c r="CX482" s="53" t="n"/>
      <c r="CY482" s="53" t="n"/>
      <c r="CZ482" s="53" t="n"/>
      <c r="DA482" s="53" t="n"/>
      <c r="DB482" s="53" t="n"/>
      <c r="DC482" s="53" t="n"/>
      <c r="DD482" s="53" t="n"/>
      <c r="DE482" s="53" t="n"/>
      <c r="DF482" s="53" t="n"/>
      <c r="DG482" s="53" t="n"/>
      <c r="DH482" s="53" t="n"/>
      <c r="DI482" s="53" t="n"/>
      <c r="DJ482" s="53" t="n"/>
      <c r="DK482" s="53" t="n"/>
      <c r="DL482" s="53" t="n"/>
      <c r="DM482" s="53" t="n"/>
      <c r="DN482" s="53" t="n"/>
      <c r="DO482" s="53" t="n"/>
      <c r="DP482" s="53" t="n"/>
      <c r="DQ482" s="53" t="n"/>
      <c r="DR482" s="53" t="n"/>
      <c r="DS482" s="53" t="n"/>
      <c r="DT482" s="53" t="n"/>
      <c r="DU482" s="53" t="n"/>
      <c r="DV482" s="53" t="n"/>
      <c r="DW482" s="53" t="n"/>
      <c r="DX482" s="53" t="n"/>
      <c r="DY482" s="53" t="n"/>
      <c r="DZ482" s="53" t="n"/>
      <c r="EA482" s="53" t="n"/>
      <c r="EB482" s="53" t="n"/>
      <c r="EC482" s="53" t="n"/>
      <c r="ED482" s="53" t="n"/>
      <c r="EE482" s="53" t="n"/>
      <c r="EF482" s="53" t="n"/>
      <c r="EG482" s="53" t="n"/>
      <c r="EH482" s="53" t="n"/>
      <c r="EI482" s="53" t="n"/>
      <c r="EJ482" s="53" t="n"/>
      <c r="EK482" s="53" t="n"/>
      <c r="EL482" s="53" t="n"/>
      <c r="EM482" s="53" t="n"/>
      <c r="EN482" s="53" t="n"/>
      <c r="EO482" s="53" t="n"/>
      <c r="EP482" s="53" t="n"/>
      <c r="EQ482" s="53" t="n"/>
      <c r="ER482" s="53" t="n"/>
      <c r="ES482" s="53" t="n"/>
      <c r="ET482" s="53" t="n"/>
      <c r="EU482" s="53" t="n"/>
      <c r="EV482" s="53" t="n"/>
      <c r="EW482" s="52" t="n"/>
      <c r="EX482" s="53" t="n"/>
      <c r="EY482" s="53" t="n"/>
      <c r="EZ482" s="53" t="n"/>
      <c r="FA482" s="53" t="n"/>
      <c r="FB482" s="53" t="n"/>
      <c r="FC482" s="53" t="n"/>
      <c r="FD482" s="53" t="n"/>
      <c r="FE482" s="55" t="inlineStr">
        <is>
          <t>KRAs not received · manager to supply</t>
        </is>
      </c>
      <c r="FF482" s="56" t="n"/>
      <c r="FG482" s="56" t="n"/>
      <c r="FH482" s="56" t="n"/>
      <c r="FI482" s="56" t="n"/>
      <c r="FJ482" s="32" t="inlineStr">
        <is>
          <t>KRAs not received · manager to supply</t>
        </is>
      </c>
      <c r="FK482" s="56" t="n"/>
      <c r="FL482" s="56" t="n">
        <v>19</v>
      </c>
      <c r="FM482" s="32" t="inlineStr">
        <is>
          <t>Full survey answers not in the files received · How We Grow export needed · HR</t>
        </is>
      </c>
      <c r="FN482" s="56" t="inlineStr">
        <is>
          <t>—</t>
        </is>
      </c>
      <c r="FO482" s="56" t="inlineStr">
        <is>
          <t>—</t>
        </is>
      </c>
      <c r="FP482" s="56" t="inlineStr">
        <is>
          <t>—</t>
        </is>
      </c>
      <c r="FQ482" s="56" t="inlineStr">
        <is>
          <t>—</t>
        </is>
      </c>
      <c r="FR482" s="56" t="inlineStr">
        <is>
          <t>Complexity: Evidence reads like A3: End-to-end hiring including interviewing, salary negotiation, niche roles, talent market mapping → matches the start
Autonomy: Evidence reads like A3: Decides sourcing and pipeline management; negotiates salaries → matches the start
Accountability: Evidence reads like A3: own survey / KRA answers · summarised by the rater; not quoted → matches the start
Leadership: Evidence reads like A1: Partners with stakeholders; no guidance of others described → moved down 0.5
Business Impact: No survey or manager-mapping signal on criticality: kept at the start point.</t>
        </is>
      </c>
      <c r="FS482" s="56" t="inlineStr">
        <is>
          <t>Common themes in sub-family holders, all levels' answers: hiring · right · stakeholders · talent · end recruitment · requirements
Common themes in sub-family holders, all levels' answers: end end
Common themes in sub-family holders, all levels' answers: hiring
If the work is missed · role-holders' themes: business.</t>
        </is>
      </c>
      <c r="FT482" s="56" t="inlineStr">
        <is>
          <t>Self-identified: Leadership &amp; people management · Strategy &amp; business acumen
For the next role: Leadership &amp; people management · Strategy &amp; business acumen</t>
        </is>
      </c>
      <c r="FU482" s="32" t="inlineStr">
        <is>
          <t>Full survey answers not in the files received · How We Grow export needed · HR</t>
        </is>
      </c>
    </row>
    <row r="483" ht="90" customHeight="1">
      <c r="A483" s="51" t="inlineStr">
        <is>
          <t>◂ Back</t>
        </is>
      </c>
      <c r="B483" s="29" t="inlineStr">
        <is>
          <t>Mapped</t>
        </is>
      </c>
      <c r="C483" s="28" t="inlineStr">
        <is>
          <t>Corporate</t>
        </is>
      </c>
      <c r="D483" s="29" t="inlineStr">
        <is>
          <t>IRIS2060</t>
        </is>
      </c>
      <c r="E483" s="29" t="inlineStr">
        <is>
          <t>P K X Thomas</t>
        </is>
      </c>
      <c r="F483" s="29" t="inlineStr">
        <is>
          <t>Technology</t>
        </is>
      </c>
      <c r="G483" s="29" t="inlineStr">
        <is>
          <t>Chief Technology Officer</t>
        </is>
      </c>
      <c r="H483" s="29" t="inlineStr">
        <is>
          <t>Chief Technology Officer</t>
        </is>
      </c>
      <c r="I483" s="29" t="inlineStr">
        <is>
          <t>Not in current mapping files</t>
        </is>
      </c>
      <c r="J483" s="29" t="inlineStr">
        <is>
          <t>E1</t>
        </is>
      </c>
      <c r="K483" s="29" t="inlineStr">
        <is>
          <t>● Newly mapped</t>
        </is>
      </c>
      <c r="L483" s="29" t="inlineStr">
        <is>
          <t>Enterprise Leadership</t>
        </is>
      </c>
      <c r="M483" s="29" t="inlineStr">
        <is>
          <t>Chief Officers · CXO</t>
        </is>
      </c>
      <c r="N483" s="29" t="inlineStr">
        <is>
          <t>• Survey response or KRAs describing the work · nothing on file — Employee + manager</t>
        </is>
      </c>
      <c r="O483" s="29" t="n">
        <v>0</v>
      </c>
      <c r="P483" s="28" t="inlineStr">
        <is>
          <t>E5</t>
        </is>
      </c>
      <c r="Q483" s="29" t="inlineStr">
        <is>
          <t>C-Level</t>
        </is>
      </c>
      <c r="R483" s="29" t="inlineStr">
        <is>
          <t>7</t>
        </is>
      </c>
      <c r="S483" s="29" t="inlineStr">
        <is>
          <t>20+ yrs</t>
        </is>
      </c>
      <c r="T483" s="29" t="inlineStr">
        <is>
          <t>—</t>
        </is>
      </c>
      <c r="U483" s="29" t="inlineStr">
        <is>
          <t>CXO · functional chief</t>
        </is>
      </c>
      <c r="V483" s="29" t="inlineStr">
        <is>
          <t>IRIS Vs Market Benchmark — Aon Radford / Mercer executive codes: E5 C-level · functional · IRIS Vs Competitor Benchmark — regtech / SaaS executive titles: CTO · CFO · CRO · CCO · COO</t>
        </is>
      </c>
      <c r="W483" s="29" t="inlineStr">
        <is>
          <t>Aon Radford executive levels E1–E6; Mercer ET1–ET3; Korn Ferry Leadership Architect</t>
        </is>
      </c>
      <c r="X483" s="29" t="inlineStr">
        <is>
          <t>Core 5 · Future 5 · Functional 4 · Leadership 5</t>
        </is>
      </c>
      <c r="Y483" s="52" t="n">
        <v>240</v>
      </c>
      <c r="Z483" s="53" t="inlineStr">
        <is>
          <t>IRIS2060</t>
        </is>
      </c>
      <c r="AA483" s="53" t="inlineStr">
        <is>
          <t>Employee</t>
        </is>
      </c>
      <c r="AB483" s="53" t="inlineStr">
        <is>
          <t>Active</t>
        </is>
      </c>
      <c r="AC483" s="53" t="inlineStr">
        <is>
          <t>P K X Thomas</t>
        </is>
      </c>
      <c r="AD483" s="54" t="n">
        <v>44805</v>
      </c>
      <c r="AE483" s="53" t="inlineStr">
        <is>
          <t>Chief Technology Officer</t>
        </is>
      </c>
      <c r="AF483" s="53" t="inlineStr">
        <is>
          <t>MCA</t>
        </is>
      </c>
      <c r="AG483" s="53" t="inlineStr">
        <is>
          <t>-</t>
        </is>
      </c>
      <c r="AH483" s="53" t="inlineStr">
        <is>
          <t>N</t>
        </is>
      </c>
      <c r="AI483" s="53" t="inlineStr">
        <is>
          <t>Manager</t>
        </is>
      </c>
      <c r="AJ483" s="53" t="inlineStr">
        <is>
          <t>30 years, 10 months, 0 days</t>
        </is>
      </c>
      <c r="AK483" s="53" t="inlineStr">
        <is>
          <t>3 years, 11 months, 24 days</t>
        </is>
      </c>
      <c r="AL483" s="53" t="inlineStr">
        <is>
          <t>Corporate</t>
        </is>
      </c>
      <c r="AM483" s="53" t="inlineStr">
        <is>
          <t>Corporate</t>
        </is>
      </c>
      <c r="AN483" s="53" t="inlineStr">
        <is>
          <t>Technology</t>
        </is>
      </c>
      <c r="AO483" s="53" t="inlineStr">
        <is>
          <t>Management</t>
        </is>
      </c>
      <c r="AP483" s="53" t="inlineStr">
        <is>
          <t>No</t>
        </is>
      </c>
      <c r="AQ483" s="53" t="inlineStr">
        <is>
          <t>Management</t>
        </is>
      </c>
      <c r="AR483" s="53" t="inlineStr">
        <is>
          <t>Management</t>
        </is>
      </c>
      <c r="AS483" s="53" t="inlineStr">
        <is>
          <t>Non-technical</t>
        </is>
      </c>
      <c r="AT483" s="53" t="n">
        <v>0</v>
      </c>
      <c r="AU483" s="53" t="inlineStr">
        <is>
          <t>E-Top management</t>
        </is>
      </c>
      <c r="AV483" s="53" t="n"/>
      <c r="AW483" s="53" t="n"/>
      <c r="AX483" s="53" t="n"/>
      <c r="AY483" s="53" t="n"/>
      <c r="AZ483" s="53" t="n"/>
      <c r="BA483" s="53" t="n"/>
      <c r="BB483" s="53" t="n"/>
      <c r="BC483" s="53" t="n"/>
      <c r="BD483" s="53" t="n"/>
      <c r="BE483" s="53" t="n"/>
      <c r="BF483" s="53" t="n"/>
      <c r="BG483" s="53" t="n"/>
      <c r="BH483" s="53" t="n"/>
      <c r="BI483" s="53" t="n"/>
      <c r="BJ483" s="53" t="n"/>
      <c r="BK483" s="53" t="n"/>
      <c r="BL483" s="53" t="n"/>
      <c r="BM483" s="53" t="n"/>
      <c r="BN483" s="53" t="n"/>
      <c r="BO483" s="53" t="n"/>
      <c r="BP483" s="53" t="n"/>
      <c r="BQ483" s="53" t="n"/>
      <c r="BR483" s="53" t="n"/>
      <c r="BS483" s="53" t="n"/>
      <c r="BT483" s="53" t="n"/>
      <c r="BU483" s="53" t="n"/>
      <c r="BV483" s="53" t="n"/>
      <c r="BW483" s="53" t="n"/>
      <c r="BX483" s="53" t="n"/>
      <c r="BY483" s="53" t="n"/>
      <c r="BZ483" s="53" t="n"/>
      <c r="CA483" s="53" t="n"/>
      <c r="CB483" s="53" t="n"/>
      <c r="CC483" s="53" t="n"/>
      <c r="CD483" s="53" t="n"/>
      <c r="CE483" s="53" t="n"/>
      <c r="CF483" s="53" t="n"/>
      <c r="CG483" s="53" t="n"/>
      <c r="CH483" s="53" t="n"/>
      <c r="CI483" s="53" t="n"/>
      <c r="CJ483" s="53" t="n"/>
      <c r="CK483" s="53" t="n"/>
      <c r="CL483" s="53" t="n"/>
      <c r="CM483" s="53" t="n"/>
      <c r="CN483" s="53" t="n"/>
      <c r="CO483" s="53" t="n"/>
      <c r="CP483" s="53" t="n"/>
      <c r="CQ483" s="53" t="n"/>
      <c r="CR483" s="53" t="n"/>
      <c r="CS483" s="53" t="n"/>
      <c r="CT483" s="53" t="n"/>
      <c r="CU483" s="53" t="n"/>
      <c r="CV483" s="53" t="n"/>
      <c r="CW483" s="53" t="n"/>
      <c r="CX483" s="53" t="n"/>
      <c r="CY483" s="53" t="n"/>
      <c r="CZ483" s="53" t="n"/>
      <c r="DA483" s="53" t="n"/>
      <c r="DB483" s="53" t="n"/>
      <c r="DC483" s="53" t="n"/>
      <c r="DD483" s="53" t="n"/>
      <c r="DE483" s="53" t="n"/>
      <c r="DF483" s="53" t="n"/>
      <c r="DG483" s="53" t="n"/>
      <c r="DH483" s="53" t="n"/>
      <c r="DI483" s="53" t="n"/>
      <c r="DJ483" s="53" t="n"/>
      <c r="DK483" s="53" t="n"/>
      <c r="DL483" s="53" t="n"/>
      <c r="DM483" s="53" t="n"/>
      <c r="DN483" s="53" t="n"/>
      <c r="DO483" s="53" t="n"/>
      <c r="DP483" s="53" t="n"/>
      <c r="DQ483" s="53" t="n"/>
      <c r="DR483" s="53" t="n"/>
      <c r="DS483" s="53" t="n"/>
      <c r="DT483" s="53" t="n"/>
      <c r="DU483" s="53" t="n"/>
      <c r="DV483" s="53" t="n"/>
      <c r="DW483" s="53" t="n"/>
      <c r="DX483" s="53" t="n"/>
      <c r="DY483" s="53" t="n"/>
      <c r="DZ483" s="53" t="n"/>
      <c r="EA483" s="53" t="n"/>
      <c r="EB483" s="53" t="n"/>
      <c r="EC483" s="53" t="n"/>
      <c r="ED483" s="53" t="n"/>
      <c r="EE483" s="53" t="n"/>
      <c r="EF483" s="53" t="n"/>
      <c r="EG483" s="53" t="n"/>
      <c r="EH483" s="53" t="n"/>
      <c r="EI483" s="53" t="n"/>
      <c r="EJ483" s="53" t="n"/>
      <c r="EK483" s="53" t="n"/>
      <c r="EL483" s="53" t="n"/>
      <c r="EM483" s="53" t="n"/>
      <c r="EN483" s="53" t="n"/>
      <c r="EO483" s="53" t="n"/>
      <c r="EP483" s="53" t="n"/>
      <c r="EQ483" s="53" t="n"/>
      <c r="ER483" s="53" t="n"/>
      <c r="ES483" s="53" t="n"/>
      <c r="ET483" s="53" t="n"/>
      <c r="EU483" s="53" t="n"/>
      <c r="EV483" s="53" t="n"/>
      <c r="EW483" s="52" t="n"/>
      <c r="EX483" s="53" t="n"/>
      <c r="EY483" s="53" t="n"/>
      <c r="EZ483" s="53" t="n"/>
      <c r="FA483" s="53" t="n"/>
      <c r="FB483" s="53" t="n"/>
      <c r="FC483" s="53" t="n"/>
      <c r="FD483" s="53" t="n"/>
      <c r="FE483" s="55" t="inlineStr">
        <is>
          <t>KRAs not received · manager to supply</t>
        </is>
      </c>
      <c r="FF483" s="56" t="n"/>
      <c r="FG483" s="56" t="n"/>
      <c r="FH483" s="56" t="n"/>
      <c r="FI483" s="56" t="n"/>
      <c r="FJ483" s="32" t="inlineStr">
        <is>
          <t>KRAs not received · manager to supply</t>
        </is>
      </c>
      <c r="FK483" s="56" t="n"/>
      <c r="FL483" s="56" t="n">
        <v>0</v>
      </c>
      <c r="FM483" s="32" t="inlineStr">
        <is>
          <t>No survey response on file</t>
        </is>
      </c>
      <c r="FN483" s="56" t="inlineStr">
        <is>
          <t>—</t>
        </is>
      </c>
      <c r="FO483" s="56" t="inlineStr">
        <is>
          <t>—</t>
        </is>
      </c>
      <c r="FP483" s="56" t="inlineStr">
        <is>
          <t>—</t>
        </is>
      </c>
      <c r="FQ483" s="56" t="inlineStr">
        <is>
          <t>—</t>
        </is>
      </c>
      <c r="FR483" s="56"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FS483" s="56" t="n"/>
      <c r="FT483" s="56" t="n"/>
      <c r="FU483" s="32" t="inlineStr">
        <is>
          <t>No survey response on file</t>
        </is>
      </c>
    </row>
    <row r="484" ht="90" customHeight="1">
      <c r="A484" s="51" t="inlineStr">
        <is>
          <t>◂ Back</t>
        </is>
      </c>
      <c r="B484" s="29" t="inlineStr">
        <is>
          <t>Mapped</t>
        </is>
      </c>
      <c r="C484" s="28" t="inlineStr">
        <is>
          <t>CARBON</t>
        </is>
      </c>
      <c r="D484" s="29" t="inlineStr">
        <is>
          <t>IRIS0249</t>
        </is>
      </c>
      <c r="E484" s="29" t="inlineStr">
        <is>
          <t>Ashish Singhvi</t>
        </is>
      </c>
      <c r="F484" s="29" t="inlineStr">
        <is>
          <t>Technology</t>
        </is>
      </c>
      <c r="G484" s="29" t="inlineStr">
        <is>
          <t>Product Engineering Head</t>
        </is>
      </c>
      <c r="H484" s="29" t="inlineStr">
        <is>
          <t>Head – Product Engineering</t>
        </is>
      </c>
      <c r="I484" s="29" t="inlineStr">
        <is>
          <t>Not in current mapping files</t>
        </is>
      </c>
      <c r="J484" s="29" t="inlineStr">
        <is>
          <t>C2</t>
        </is>
      </c>
      <c r="K484" s="29" t="inlineStr">
        <is>
          <t>● Newly mapped</t>
        </is>
      </c>
      <c r="L484" s="29" t="inlineStr">
        <is>
          <t>Executive Leadership</t>
        </is>
      </c>
      <c r="M484" s="29" t="inlineStr">
        <is>
          <t>Business Head</t>
        </is>
      </c>
      <c r="N484" s="29" t="inlineStr">
        <is>
          <t>• Survey response or KRAs describing the work · nothing on file — Employee + manager</t>
        </is>
      </c>
      <c r="O484" s="29" t="n">
        <v>0</v>
      </c>
      <c r="P484" s="28" t="inlineStr">
        <is>
          <t>P7 / M6</t>
        </is>
      </c>
      <c r="Q484" s="29" t="inlineStr">
        <is>
          <t>— / Senior Director</t>
        </is>
      </c>
      <c r="R484" s="29" t="inlineStr">
        <is>
          <t>6 Initiate, influence</t>
        </is>
      </c>
      <c r="S484" s="29" t="inlineStr">
        <is>
          <t>12–17 yrs</t>
        </is>
      </c>
      <c r="T484" s="29" t="inlineStr">
        <is>
          <t>—</t>
        </is>
      </c>
      <c r="U484" s="29" t="inlineStr">
        <is>
          <t>Senior Head / General Manager</t>
        </is>
      </c>
      <c r="V484" s="29" t="inlineStr">
        <is>
          <t>Salesforce: Architect / Principal Architect · Atlassian: P70 · Freshworks: Principal Engineer · IRIS Vs Competitor Benchmark — engineering managers: Director Engineering</t>
        </is>
      </c>
      <c r="W484" s="29" t="inlineStr">
        <is>
          <t>SFIA 9 · software development, programming; OWASP secure coding; cloud vendor certifications</t>
        </is>
      </c>
      <c r="X484" s="29" t="inlineStr">
        <is>
          <t>Core 4 · Future 4 · Functional 5 · Leadership 4</t>
        </is>
      </c>
      <c r="Y484" s="52" t="n">
        <v>45</v>
      </c>
      <c r="Z484" s="53" t="inlineStr">
        <is>
          <t>IRIS0249</t>
        </is>
      </c>
      <c r="AA484" s="53" t="inlineStr">
        <is>
          <t>Employee</t>
        </is>
      </c>
      <c r="AB484" s="53" t="inlineStr">
        <is>
          <t>Active</t>
        </is>
      </c>
      <c r="AC484" s="53" t="inlineStr">
        <is>
          <t>Ashish Singhvi</t>
        </is>
      </c>
      <c r="AD484" s="54" t="n">
        <v>39834</v>
      </c>
      <c r="AE484" s="53" t="inlineStr">
        <is>
          <t>Product Engineering Head</t>
        </is>
      </c>
      <c r="AF484" s="53" t="inlineStr">
        <is>
          <t>MCA</t>
        </is>
      </c>
      <c r="AG484" s="53" t="inlineStr">
        <is>
          <t>P K X Thomas</t>
        </is>
      </c>
      <c r="AH484" s="53" t="inlineStr">
        <is>
          <t>N-1</t>
        </is>
      </c>
      <c r="AI484" s="53" t="inlineStr">
        <is>
          <t>Manager</t>
        </is>
      </c>
      <c r="AJ484" s="53" t="inlineStr">
        <is>
          <t>0 years, 0 months, 0 days</t>
        </is>
      </c>
      <c r="AK484" s="53" t="inlineStr">
        <is>
          <t>17 years, 7 months, 4 days</t>
        </is>
      </c>
      <c r="AL484" s="53" t="inlineStr">
        <is>
          <t>Regtech</t>
        </is>
      </c>
      <c r="AM484" s="53" t="inlineStr">
        <is>
          <t>CARBON</t>
        </is>
      </c>
      <c r="AN484" s="53" t="inlineStr">
        <is>
          <t>Technology</t>
        </is>
      </c>
      <c r="AO484" s="53" t="inlineStr">
        <is>
          <t>Development</t>
        </is>
      </c>
      <c r="AP484" s="53" t="inlineStr">
        <is>
          <t>Yes</t>
        </is>
      </c>
      <c r="AQ484" s="53" t="inlineStr">
        <is>
          <t>Product/Project</t>
        </is>
      </c>
      <c r="AR484" s="53" t="inlineStr">
        <is>
          <t>.NET MVC</t>
        </is>
      </c>
      <c r="AS484" s="53" t="inlineStr">
        <is>
          <t>Technical - Developer</t>
        </is>
      </c>
      <c r="AT484" s="53" t="n">
        <v>0</v>
      </c>
      <c r="AU484" s="53" t="inlineStr">
        <is>
          <t>E-Top management</t>
        </is>
      </c>
      <c r="AV484" s="53" t="n"/>
      <c r="AW484" s="53" t="n"/>
      <c r="AX484" s="53" t="n"/>
      <c r="AY484" s="53" t="n"/>
      <c r="AZ484" s="53" t="n"/>
      <c r="BA484" s="53" t="n"/>
      <c r="BB484" s="53" t="n"/>
      <c r="BC484" s="53" t="n"/>
      <c r="BD484" s="53" t="n"/>
      <c r="BE484" s="53" t="n"/>
      <c r="BF484" s="53" t="n"/>
      <c r="BG484" s="53" t="n"/>
      <c r="BH484" s="53" t="n"/>
      <c r="BI484" s="53" t="n"/>
      <c r="BJ484" s="53" t="n"/>
      <c r="BK484" s="53" t="n"/>
      <c r="BL484" s="53" t="n"/>
      <c r="BM484" s="53" t="n"/>
      <c r="BN484" s="53" t="n"/>
      <c r="BO484" s="53" t="n"/>
      <c r="BP484" s="53" t="n"/>
      <c r="BQ484" s="53" t="n"/>
      <c r="BR484" s="53" t="n"/>
      <c r="BS484" s="53" t="n"/>
      <c r="BT484" s="53" t="n"/>
      <c r="BU484" s="53" t="n"/>
      <c r="BV484" s="53" t="n"/>
      <c r="BW484" s="53" t="n"/>
      <c r="BX484" s="53" t="n"/>
      <c r="BY484" s="53" t="n"/>
      <c r="BZ484" s="53" t="n"/>
      <c r="CA484" s="53" t="n"/>
      <c r="CB484" s="53" t="n"/>
      <c r="CC484" s="53" t="n"/>
      <c r="CD484" s="53" t="n"/>
      <c r="CE484" s="53" t="n"/>
      <c r="CF484" s="53" t="n"/>
      <c r="CG484" s="53" t="n"/>
      <c r="CH484" s="53" t="n"/>
      <c r="CI484" s="53" t="n"/>
      <c r="CJ484" s="53" t="n"/>
      <c r="CK484" s="53" t="n"/>
      <c r="CL484" s="53" t="n"/>
      <c r="CM484" s="53" t="n"/>
      <c r="CN484" s="53" t="n"/>
      <c r="CO484" s="53" t="n"/>
      <c r="CP484" s="53" t="n"/>
      <c r="CQ484" s="53" t="n"/>
      <c r="CR484" s="53" t="n"/>
      <c r="CS484" s="53" t="n"/>
      <c r="CT484" s="53" t="n"/>
      <c r="CU484" s="53" t="n"/>
      <c r="CV484" s="53" t="n"/>
      <c r="CW484" s="53" t="n"/>
      <c r="CX484" s="53" t="n"/>
      <c r="CY484" s="53" t="n"/>
      <c r="CZ484" s="53" t="n"/>
      <c r="DA484" s="53" t="n"/>
      <c r="DB484" s="53" t="n"/>
      <c r="DC484" s="53" t="n"/>
      <c r="DD484" s="53" t="n"/>
      <c r="DE484" s="53" t="n"/>
      <c r="DF484" s="53" t="n"/>
      <c r="DG484" s="53" t="n"/>
      <c r="DH484" s="53" t="n"/>
      <c r="DI484" s="53" t="n"/>
      <c r="DJ484" s="53" t="n"/>
      <c r="DK484" s="53" t="n"/>
      <c r="DL484" s="53" t="n"/>
      <c r="DM484" s="53" t="n"/>
      <c r="DN484" s="53" t="n"/>
      <c r="DO484" s="53" t="n"/>
      <c r="DP484" s="53" t="n"/>
      <c r="DQ484" s="53" t="n"/>
      <c r="DR484" s="53" t="n"/>
      <c r="DS484" s="53" t="n"/>
      <c r="DT484" s="53" t="n"/>
      <c r="DU484" s="53" t="n"/>
      <c r="DV484" s="53" t="n"/>
      <c r="DW484" s="53" t="n"/>
      <c r="DX484" s="53" t="n"/>
      <c r="DY484" s="53" t="n"/>
      <c r="DZ484" s="53" t="n"/>
      <c r="EA484" s="53" t="n"/>
      <c r="EB484" s="53" t="n"/>
      <c r="EC484" s="53" t="n"/>
      <c r="ED484" s="53" t="n"/>
      <c r="EE484" s="53" t="n"/>
      <c r="EF484" s="53" t="n"/>
      <c r="EG484" s="53" t="n"/>
      <c r="EH484" s="53" t="n"/>
      <c r="EI484" s="53" t="n"/>
      <c r="EJ484" s="53" t="n"/>
      <c r="EK484" s="53" t="n"/>
      <c r="EL484" s="53" t="n"/>
      <c r="EM484" s="53" t="n"/>
      <c r="EN484" s="53" t="n"/>
      <c r="EO484" s="53" t="n"/>
      <c r="EP484" s="53" t="n"/>
      <c r="EQ484" s="53" t="n"/>
      <c r="ER484" s="53" t="n"/>
      <c r="ES484" s="53" t="n"/>
      <c r="ET484" s="53" t="n"/>
      <c r="EU484" s="53" t="n"/>
      <c r="EV484" s="53" t="n"/>
      <c r="EW484" s="52" t="n"/>
      <c r="EX484" s="53" t="n"/>
      <c r="EY484" s="53" t="n"/>
      <c r="EZ484" s="53" t="n"/>
      <c r="FA484" s="53" t="n"/>
      <c r="FB484" s="53" t="n"/>
      <c r="FC484" s="53" t="n"/>
      <c r="FD484" s="53" t="n"/>
      <c r="FE484" s="55" t="inlineStr">
        <is>
          <t>KRAs not received · manager to supply</t>
        </is>
      </c>
      <c r="FF484" s="56" t="n"/>
      <c r="FG484" s="56" t="n"/>
      <c r="FH484" s="56" t="n"/>
      <c r="FI484" s="56" t="n"/>
      <c r="FJ484" s="32" t="inlineStr">
        <is>
          <t>KRAs not received · manager to supply</t>
        </is>
      </c>
      <c r="FK484" s="56" t="n"/>
      <c r="FL484" s="56" t="n">
        <v>0</v>
      </c>
      <c r="FM484" s="32" t="inlineStr">
        <is>
          <t>No survey response on file</t>
        </is>
      </c>
      <c r="FN484" s="56" t="inlineStr">
        <is>
          <t>—</t>
        </is>
      </c>
      <c r="FO484" s="56" t="inlineStr">
        <is>
          <t>—</t>
        </is>
      </c>
      <c r="FP484" s="56" t="inlineStr">
        <is>
          <t>—</t>
        </is>
      </c>
      <c r="FQ484" s="56" t="inlineStr">
        <is>
          <t>—</t>
        </is>
      </c>
      <c r="FR484" s="56"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FS484" s="56" t="n"/>
      <c r="FT484" s="56" t="n"/>
      <c r="FU484" s="32" t="inlineStr">
        <is>
          <t>No survey response on file</t>
        </is>
      </c>
    </row>
    <row r="485" ht="90" customHeight="1">
      <c r="A485" s="51" t="inlineStr">
        <is>
          <t>◂ Back</t>
        </is>
      </c>
      <c r="B485" s="29" t="inlineStr">
        <is>
          <t>Mapped</t>
        </is>
      </c>
      <c r="C485" s="28" t="inlineStr">
        <is>
          <t>CARBON</t>
        </is>
      </c>
      <c r="D485" s="29" t="inlineStr">
        <is>
          <t>IRIS1832</t>
        </is>
      </c>
      <c r="E485" s="29" t="inlineStr">
        <is>
          <t>Chetan Kotwal</t>
        </is>
      </c>
      <c r="F485" s="29" t="inlineStr">
        <is>
          <t>Technology</t>
        </is>
      </c>
      <c r="G485" s="29" t="inlineStr">
        <is>
          <t>Lead Software Engineer</t>
        </is>
      </c>
      <c r="H485" s="29" t="inlineStr">
        <is>
          <t>Senior Engineering Manager</t>
        </is>
      </c>
      <c r="I485" s="29" t="inlineStr">
        <is>
          <t>L5 – Lead · IC</t>
        </is>
      </c>
      <c r="J485" s="29" t="inlineStr">
        <is>
          <t>B3</t>
        </is>
      </c>
      <c r="K485" s="29" t="inlineStr">
        <is>
          <t>• Same level</t>
        </is>
      </c>
      <c r="L485" s="29" t="inlineStr">
        <is>
          <t>Engineering &amp; Development</t>
        </is>
      </c>
      <c r="M485" s="29" t="inlineStr">
        <is>
          <t>Backend Development</t>
        </is>
      </c>
      <c r="N485" s="29" t="n"/>
      <c r="O485" s="29" t="n">
        <v>20</v>
      </c>
      <c r="P485" s="28" t="inlineStr">
        <is>
          <t>P5 / M4</t>
        </is>
      </c>
      <c r="Q485" s="29" t="inlineStr">
        <is>
          <t>Expert / Senior Manager</t>
        </is>
      </c>
      <c r="R485" s="29" t="inlineStr">
        <is>
          <t>5 Ensure, advise</t>
        </is>
      </c>
      <c r="S485" s="29" t="inlineStr">
        <is>
          <t>8–12 yrs</t>
        </is>
      </c>
      <c r="T485" s="29" t="inlineStr">
        <is>
          <t>9–13 · 9–14</t>
        </is>
      </c>
      <c r="U485" s="29" t="inlineStr">
        <is>
          <t>Senior Manager</t>
        </is>
      </c>
      <c r="V485" s="29" t="inlineStr">
        <is>
          <t>Workiva: Staff SE · Broadridge India: Senior Lead SE · Nasdaq / AxiomSL: Lead SE · Salesforce: LMTS · Atlassian: P50 Senior · Freshworks: Staff SE</t>
        </is>
      </c>
      <c r="W485" s="29" t="inlineStr">
        <is>
          <t>SFIA 9 · software development, programming; OWASP secure coding; cloud vendor certifications</t>
        </is>
      </c>
      <c r="X485" s="29" t="inlineStr">
        <is>
          <t>Core 4 · Future 3 · Functional 4 · Leadership 4</t>
        </is>
      </c>
      <c r="Y485" s="52" t="n">
        <v>163</v>
      </c>
      <c r="Z485" s="53" t="inlineStr">
        <is>
          <t>IRIS1832</t>
        </is>
      </c>
      <c r="AA485" s="53" t="inlineStr">
        <is>
          <t>Employee</t>
        </is>
      </c>
      <c r="AB485" s="53" t="inlineStr">
        <is>
          <t>Active</t>
        </is>
      </c>
      <c r="AC485" s="53" t="inlineStr">
        <is>
          <t>Chetan Kotwal</t>
        </is>
      </c>
      <c r="AD485" s="54" t="n">
        <v>43825</v>
      </c>
      <c r="AE485" s="53" t="inlineStr">
        <is>
          <t>Lead Software Engineer</t>
        </is>
      </c>
      <c r="AF485" s="53" t="inlineStr">
        <is>
          <t>B.E</t>
        </is>
      </c>
      <c r="AG485" s="53" t="inlineStr">
        <is>
          <t>Ashish Singhvi</t>
        </is>
      </c>
      <c r="AH485" s="53" t="inlineStr">
        <is>
          <t>N-2</t>
        </is>
      </c>
      <c r="AI485" s="53" t="inlineStr">
        <is>
          <t>Manager</t>
        </is>
      </c>
      <c r="AJ485" s="53" t="inlineStr">
        <is>
          <t>7 years, 0 months, 0 days</t>
        </is>
      </c>
      <c r="AK485" s="53" t="inlineStr">
        <is>
          <t>6 years, 7 months, 30 days</t>
        </is>
      </c>
      <c r="AL485" s="53" t="inlineStr">
        <is>
          <t>Regtech</t>
        </is>
      </c>
      <c r="AM485" s="53" t="inlineStr">
        <is>
          <t>CARBON</t>
        </is>
      </c>
      <c r="AN485" s="53" t="inlineStr">
        <is>
          <t>Technology</t>
        </is>
      </c>
      <c r="AO485" s="53" t="inlineStr">
        <is>
          <t>Development</t>
        </is>
      </c>
      <c r="AP485" s="53" t="inlineStr">
        <is>
          <t>Yes</t>
        </is>
      </c>
      <c r="AQ485" s="53" t="inlineStr">
        <is>
          <t>Product/Project</t>
        </is>
      </c>
      <c r="AR485" s="53" t="inlineStr">
        <is>
          <t>.NET MVC</t>
        </is>
      </c>
      <c r="AS485" s="53" t="inlineStr">
        <is>
          <t>Technical - Developer</t>
        </is>
      </c>
      <c r="AT485" s="53" t="n">
        <v>20</v>
      </c>
      <c r="AU485" s="53" t="inlineStr">
        <is>
          <t>Covered</t>
        </is>
      </c>
      <c r="AV485" s="53" t="inlineStr">
        <is>
          <t>IRIS1832</t>
        </is>
      </c>
      <c r="AW485" s="53" t="inlineStr">
        <is>
          <t>Chetan Kotwal</t>
        </is>
      </c>
      <c r="AX485" s="53" t="inlineStr">
        <is>
          <t>Technology</t>
        </is>
      </c>
      <c r="AY485" s="53" t="inlineStr">
        <is>
          <t>Engineering &amp; Development</t>
        </is>
      </c>
      <c r="AZ485" s="53" t="inlineStr">
        <is>
          <t>Full-Stack Engineering</t>
        </is>
      </c>
      <c r="BA485" s="53" t="n"/>
      <c r="BB485" s="53" t="n"/>
      <c r="BC485" s="53" t="inlineStr">
        <is>
          <t>Employee</t>
        </is>
      </c>
      <c r="BD485" s="53" t="inlineStr">
        <is>
          <t>Ashish Singhvi</t>
        </is>
      </c>
      <c r="BE485" s="53" t="inlineStr">
        <is>
          <t>Ashish Singhvi</t>
        </is>
      </c>
      <c r="BF485" s="53" t="inlineStr">
        <is>
          <t>No</t>
        </is>
      </c>
      <c r="BG485" s="53" t="inlineStr">
        <is>
          <t>Lead Software Engineer</t>
        </is>
      </c>
      <c r="BH485" s="53" t="inlineStr">
        <is>
          <t>Lead Software Engineer</t>
        </is>
      </c>
      <c r="BI485" s="53" t="inlineStr">
        <is>
          <t>No</t>
        </is>
      </c>
      <c r="BJ485" s="53" t="n">
        <v>3</v>
      </c>
      <c r="BK485" s="53" t="n">
        <v>3</v>
      </c>
      <c r="BL485" s="53" t="n">
        <v>0</v>
      </c>
      <c r="BM485" s="53" t="inlineStr">
        <is>
          <t>Review</t>
        </is>
      </c>
      <c r="BN485" s="53" t="n">
        <v>3</v>
      </c>
      <c r="BO485" s="53" t="n">
        <v>3</v>
      </c>
      <c r="BP485" s="53" t="n">
        <v>0</v>
      </c>
      <c r="BQ485" s="53" t="inlineStr">
        <is>
          <t>Review</t>
        </is>
      </c>
      <c r="BR485" s="53" t="inlineStr">
        <is>
          <t>No</t>
        </is>
      </c>
      <c r="BS485" s="53" t="inlineStr">
        <is>
          <t>L5 – Lead · IC</t>
        </is>
      </c>
      <c r="BT485" s="53" t="inlineStr">
        <is>
          <t>L5 – Lead · IC</t>
        </is>
      </c>
      <c r="BU485" s="53" t="inlineStr">
        <is>
          <t>No designation change — current record value carried forward</t>
        </is>
      </c>
      <c r="BV485" s="53" t="inlineStr">
        <is>
          <t>1.Ensure ≥ 95% delivery adherence for all committed DM module milestones across sprints and releases.
2.Develop deep expertise in Microsoft 365 ecosystem · Office Add-ins, Office JS, Graph APIs, SharePoint, OneDrive, Entra ID and become internal SME for platform-related initiatives.
3.Conduct research and benchmarking on minimum 6 Microsoft 365 capabilities / enhancements annually relevant to CARBON product roadmap.
4.Drive minimum 2 production-grade MS 365 innovations / PoCs annually to improve product capability or user experience.
5.Reduce investigation and resolution time for MS 365 related issues by ≥ 50% through stronger platform knowledge and reusable troubleshooting assets.
6.Create reusable technical documentation, prototypes, and knowledge-sharing sessions, enabling ≥ 80% team awareness on critical MS 365 capabilities.</t>
        </is>
      </c>
      <c r="BW485" s="53" t="n"/>
      <c r="BX485" s="53" t="inlineStr">
        <is>
          <t>Global.</t>
        </is>
      </c>
      <c r="BY485" s="53" t="n"/>
      <c r="BZ485" s="53" t="n"/>
      <c r="CA485" s="53" t="n"/>
      <c r="CB485" s="53" t="n"/>
      <c r="CC485" s="53" t="n"/>
      <c r="CD485" s="53" t="n"/>
      <c r="CE485" s="53" t="n"/>
      <c r="CF485" s="53" t="n"/>
      <c r="CG485" s="53" t="n"/>
      <c r="CH485" s="53" t="n"/>
      <c r="CI485" s="53" t="n"/>
      <c r="CJ485" s="53" t="n"/>
      <c r="CK485" s="53" t="n"/>
      <c r="CL485" s="53" t="n"/>
      <c r="CM485" s="53" t="n"/>
      <c r="CN485" s="53" t="n"/>
      <c r="CO485" s="53" t="n"/>
      <c r="CP485" s="53" t="n"/>
      <c r="CQ485" s="53" t="n"/>
      <c r="CR485" s="53" t="n"/>
      <c r="CS485" s="53" t="n"/>
      <c r="CT485" s="53" t="n"/>
      <c r="CU485" s="53" t="n"/>
      <c r="CV485" s="53" t="n"/>
      <c r="CW485" s="53" t="n"/>
      <c r="CX485" s="53" t="n"/>
      <c r="CY485" s="53" t="n"/>
      <c r="CZ485" s="53" t="n"/>
      <c r="DA485" s="53" t="n"/>
      <c r="DB485" s="53" t="n"/>
      <c r="DC485" s="53" t="n"/>
      <c r="DD485" s="53" t="n"/>
      <c r="DE485" s="53" t="n"/>
      <c r="DF485" s="53" t="n"/>
      <c r="DG485" s="53" t="n"/>
      <c r="DH485" s="53" t="n"/>
      <c r="DI485" s="53" t="n"/>
      <c r="DJ485" s="53" t="n"/>
      <c r="DK485" s="53" t="n"/>
      <c r="DL485" s="53" t="n"/>
      <c r="DM485" s="53" t="n"/>
      <c r="DN485" s="53" t="n"/>
      <c r="DO485" s="53" t="n"/>
      <c r="DP485" s="53" t="n"/>
      <c r="DQ485" s="53" t="n"/>
      <c r="DR485" s="53" t="n"/>
      <c r="DS485" s="53" t="n"/>
      <c r="DT485" s="53" t="n"/>
      <c r="DU485" s="53" t="n"/>
      <c r="DV485" s="53" t="n"/>
      <c r="DW485" s="53" t="n"/>
      <c r="DX485" s="53" t="n"/>
      <c r="DY485" s="53" t="n"/>
      <c r="DZ485" s="53" t="n"/>
      <c r="EA485" s="53" t="n"/>
      <c r="EB485" s="53" t="n"/>
      <c r="EC485" s="53" t="n"/>
      <c r="ED485" s="53" t="n"/>
      <c r="EE485" s="53" t="n"/>
      <c r="EF485" s="53" t="n"/>
      <c r="EG485" s="53" t="n"/>
      <c r="EH485" s="53" t="n"/>
      <c r="EI485" s="53" t="n"/>
      <c r="EJ485" s="53" t="n"/>
      <c r="EK485" s="53" t="n"/>
      <c r="EL485" s="53" t="n"/>
      <c r="EM485" s="53" t="n"/>
      <c r="EN485" s="53" t="n"/>
      <c r="EO485" s="53" t="n"/>
      <c r="EP485" s="53" t="n"/>
      <c r="EQ485" s="53" t="n"/>
      <c r="ER485" s="53" t="n"/>
      <c r="ES485" s="53" t="n"/>
      <c r="ET485" s="53" t="n"/>
      <c r="EU485" s="53" t="n"/>
      <c r="EV485" s="53" t="n"/>
      <c r="EW485" s="52" t="n"/>
      <c r="EX485" s="53" t="inlineStr">
        <is>
          <t>• Role / sub-team: Technology — Lead Software Engineer.
• Core purpose: Analyze client requirements, assess technical feasibility, solve complex challenges, and collaborate with the team to deliver scalable solutions and features on time.
• Decision-making autonomy: Can independently rND on unknown challanges.
• Is this something only they do: Few of us.
• What's different about this role: Take end-to-end ownership of complex requirements, technical decisions, solution design, issue resolution, and successful feature delivery, leveraging modern AI tools to improve efficiency and quality.</t>
        </is>
      </c>
      <c r="EY485" s="53" t="inlineStr">
        <is>
          <t>• Key responsibilities include: Seamless product delivery.
• Personally accountable for: I am accountable for technical analysis, solution design, implementation, resolving complex technical issues, and ensuring the features I own are delivered with quality and on time.
• Impact if missed or done wrong: Missing or doing any of these incorrectly can lead to rework, delays, production issues, client dissatisfaction, and increased risk to overall project delivery.
• How measured: Frequent ad-hoc requirements disrupt planned priorities, causing KPI targets to be compromised despite the additional work and value delivered.</t>
        </is>
      </c>
      <c r="EZ485" s="53" t="inlineStr">
        <is>
          <t>• Current capabilities: Debugging skill; How to use AI tool.
• Tools / software used: Vsc with copilot github; Visual studio; Microsoft 365.
• Workload: Rated a heavy load · 4/5 in a typical week.
• Judgment/way of working: Team tuning; Maintain Healthy environment btween teammates.</t>
        </is>
      </c>
      <c r="FA485" s="53" t="inlineStr">
        <is>
          <t>• Development priorities: I would benefit from deeper domain knowledge, stronger leadership and communication skills, broader architectural exposure, and more opportunities to lead complex initiatives end-to-end.; An AI-first approach makes work more efficient and easier, but it also raises expectations and creates pressure to deliver within shorter timelines.
• Learning and Development Need: Communiction skills. I wish I had known earlier where I could create the most value and take greater ownership.
• Role evolving toward: An AI-first approach makes work more efficient and easier, but it also raises expectations and creates pressure to deliver within shorter timelines.</t>
        </is>
      </c>
      <c r="FB485" s="53" t="inlineStr">
        <is>
          <t>• Key challenges: Ad-hoc requirements; AI credits.
• Support required: More opportunities to contribute to architecture and long-term technical strategy.</t>
        </is>
      </c>
      <c r="FC485" s="53" t="n"/>
      <c r="FD485" s="53" t="n"/>
      <c r="FE485" s="57" t="inlineStr">
        <is>
          <t>1.Ensure ≥ 95% delivery adherence for all committed DM module milestones across sprints and releases.
2.Develop deep expertise in Microsoft 365 ecosystem · Office Add-ins, Office JS, Graph APIs, SharePoint, OneDrive, Entra ID and become internal SME for platform-related initiatives.
3.Conduct research and benchmarking on minimum 6 Microsoft 365 capabilities / enhancements annually relevant to CARBON product roadmap.
4.Drive minimum 2 production-grade MS 365 innovations / PoCs annually to improve product capability or user experience.
5.Reduce investigation and resolution time for MS 365 related issues by ≥ 50% through stronger platform knowledge and reusable troubleshooting assets.
6.Create reusable technical documentation, prototypes, and knowledge-sharing sessions, enabling ≥ 80% team awareness on critical MS 365 capabilities.</t>
        </is>
      </c>
      <c r="FF485" s="56" t="n"/>
      <c r="FG485" s="56" t="n"/>
      <c r="FH485" s="56" t="n"/>
      <c r="FI485" s="56" t="n"/>
      <c r="FJ485" s="56" t="inlineStr">
        <is>
          <t>Received · manager annual</t>
        </is>
      </c>
      <c r="FK485" s="56" t="inlineStr">
        <is>
          <t>CARBON Mapping Master</t>
        </is>
      </c>
      <c r="FL485" s="56" t="n">
        <v>20</v>
      </c>
      <c r="FM485" s="56" t="inlineStr">
        <is>
          <t>• Role / sub-team: Technology — Lead Software Engineer.
• Core purpose: Analyze client requirements, assess technical feasibility, solve complex challenges, and collaborate with the team to deliver scalable solutions and features on time.
• Decision-making autonomy: Can independently rND on unknown challanges.
• Is this something only they do: Few of us.
• What's different about this role: Take end-to-end ownership of complex requirements, technical decisions, solution design, issue resolution, and successful feature delivery, leveraging modern AI tools to improve efficiency and quality.</t>
        </is>
      </c>
      <c r="FN485" s="56" t="inlineStr">
        <is>
          <t>• Key responsibilities include: Seamless product delivery.
• Personally accountable for: I am accountable for technical analysis, solution design, implementation, resolving complex technical issues, and ensuring the features I own are delivered with quality and on time.
• Impact if missed or done wrong: Missing or doing any of these incorrectly can lead to rework, delays, production issues, client dissatisfaction, and increased risk to overall project delivery.
• How measured: Frequent ad-hoc requirements disrupt planned priorities, causing KPI targets to be compromised despite the additional work and value delivered.</t>
        </is>
      </c>
      <c r="FO485" s="56" t="inlineStr">
        <is>
          <t>• Current capabilities: Debugging skill; How to use AI tool.
• Tools / software used: Vsc with copilot github; Visual studio; Microsoft 365.
• Workload: Rated a heavy load · 4/5 in a typical week.
• Judgment/way of working: Team tuning; Maintain Healthy environment btween teammates.</t>
        </is>
      </c>
      <c r="FP485" s="56" t="inlineStr">
        <is>
          <t>• Development priorities: I would benefit from deeper domain knowledge, stronger leadership and communication skills, broader architectural exposure, and more opportunities to lead complex initiatives end-to-end.; An AI-first approach makes work more efficient and easier, but it also raises expectations and creates pressure to deliver within shorter timelines.
• Learning and Development Need: Communiction skills. I wish I had known earlier where I could create the most value and take greater ownership.
• Role evolving toward: An AI-first approach makes work more efficient and easier, but it also raises expectations and creates pressure to deliver within shorter timelines.</t>
        </is>
      </c>
      <c r="FQ485" s="56" t="inlineStr">
        <is>
          <t>• Key challenges: Ad-hoc requirements; AI credits.
• Support required: More opportunities to contribute to architecture and long-term technical strategy.</t>
        </is>
      </c>
      <c r="FR485" s="56" t="inlineStr">
        <is>
          <t>Complexity: Evidence reads like B1: Technical feasibility analysis, solution design and resolving complex technical issues; few concrete objects named → moved down 0.5
Autonomy: Evidence reads like A3: Independently does R&amp;D on unknown challenges; no team-level calls stated → moved down 0.5
Accountability: Evidence reads like A3: Accountable for the features he owns being delivered with quality and on time → moved down 0.5
Leadership: Evidence reads like A3: 4 direct reports, but text only mentions team tuning and healthy team environment → moved down 0.5
Business Impact: No survey or manager-mapping signal on criticality: kept at the start point.</t>
        </is>
      </c>
      <c r="FS485" s="56"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FT485" s="56" t="inlineStr">
        <is>
          <t>Self-identified: Leadership &amp; people management · Technical depth &amp; architecture · Domain, regulatory &amp; XBRL · Communication &amp; presentation · Broader exposure &amp; ownership
For the next role: AI / automation · Leadership &amp; people management · Technical depth &amp; architecture · Domain, regulatory &amp; XBRL · Communication &amp; presentation · Broader exposure &amp; ownership</t>
        </is>
      </c>
      <c r="FU485" s="56" t="inlineStr">
        <is>
          <t>Per-person summary · CARBON Mapping Master</t>
        </is>
      </c>
    </row>
    <row r="486" ht="90" customHeight="1">
      <c r="A486" s="51" t="inlineStr">
        <is>
          <t>◂ Back</t>
        </is>
      </c>
      <c r="B486" s="29" t="inlineStr">
        <is>
          <t>Mapped</t>
        </is>
      </c>
      <c r="C486" s="28" t="inlineStr">
        <is>
          <t>CARBON</t>
        </is>
      </c>
      <c r="D486" s="29" t="inlineStr">
        <is>
          <t>IRIS1878</t>
        </is>
      </c>
      <c r="E486" s="29" t="inlineStr">
        <is>
          <t>Shailesh Koradiya</t>
        </is>
      </c>
      <c r="F486" s="29" t="inlineStr">
        <is>
          <t>Support</t>
        </is>
      </c>
      <c r="G486" s="29" t="inlineStr">
        <is>
          <t>Technical Support Lead</t>
        </is>
      </c>
      <c r="H486" s="29" t="inlineStr">
        <is>
          <t>DevOps Specialist – POD Lead</t>
        </is>
      </c>
      <c r="I486" s="29" t="inlineStr">
        <is>
          <t>L5 – Lead · IC</t>
        </is>
      </c>
      <c r="J486" s="29" t="inlineStr">
        <is>
          <t>B1</t>
        </is>
      </c>
      <c r="K486" s="29" t="inlineStr">
        <is>
          <t>▼ Down · protected</t>
        </is>
      </c>
      <c r="L486" s="29" t="inlineStr">
        <is>
          <t>Engineering &amp; Development</t>
        </is>
      </c>
      <c r="M486" s="29" t="inlineStr">
        <is>
          <t>DevOps &amp; Release Engineering</t>
        </is>
      </c>
      <c r="N486" s="29" t="n"/>
      <c r="O486" s="29" t="n">
        <v>20</v>
      </c>
      <c r="P486" s="28" t="inlineStr">
        <is>
          <t>P3 / M2</t>
        </is>
      </c>
      <c r="Q486" s="29" t="inlineStr">
        <is>
          <t>Career / · Team Lead</t>
        </is>
      </c>
      <c r="R486" s="29" t="inlineStr">
        <is>
          <t>4 Enable</t>
        </is>
      </c>
      <c r="S486" s="29" t="inlineStr">
        <is>
          <t>4–7 yrs</t>
        </is>
      </c>
      <c r="T486" s="29" t="inlineStr">
        <is>
          <t>5–8 · 4–8</t>
        </is>
      </c>
      <c r="U486" s="29" t="inlineStr">
        <is>
          <t>Senior Software Engineer</t>
        </is>
      </c>
      <c r="V486" s="29" t="inlineStr">
        <is>
          <t>Workiva: SE / Senior SE · Broadridge India: Senior SE · Nasdaq / AxiomSL: Senior SE · Salesforce: MTS · Atlassian: P40 · Freshworks: Senior SE</t>
        </is>
      </c>
      <c r="W486" s="29" t="inlineStr">
        <is>
          <t>SFIA 9 · software development, programming; OWASP secure coding; cloud vendor certifications</t>
        </is>
      </c>
      <c r="X486" s="29" t="inlineStr">
        <is>
          <t>Core 3 · Future 3 · Functional 3 · Leadership 2</t>
        </is>
      </c>
      <c r="Y486" s="52" t="n">
        <v>173</v>
      </c>
      <c r="Z486" s="53" t="inlineStr">
        <is>
          <t>IRIS1878</t>
        </is>
      </c>
      <c r="AA486" s="53" t="inlineStr">
        <is>
          <t>Employee</t>
        </is>
      </c>
      <c r="AB486" s="53" t="inlineStr">
        <is>
          <t>Active</t>
        </is>
      </c>
      <c r="AC486" s="53" t="inlineStr">
        <is>
          <t>Shailesh Koradiya</t>
        </is>
      </c>
      <c r="AD486" s="54" t="n">
        <v>44137</v>
      </c>
      <c r="AE486" s="53" t="inlineStr">
        <is>
          <t>Technical Support Lead</t>
        </is>
      </c>
      <c r="AF486" s="53" t="inlineStr">
        <is>
          <t>MCA</t>
        </is>
      </c>
      <c r="AG486" s="53" t="inlineStr">
        <is>
          <t>Chetan Kotwal</t>
        </is>
      </c>
      <c r="AH486" s="53" t="inlineStr">
        <is>
          <t>N-3</t>
        </is>
      </c>
      <c r="AI486" s="53" t="inlineStr">
        <is>
          <t>Manager</t>
        </is>
      </c>
      <c r="AJ486" s="53" t="inlineStr">
        <is>
          <t>7 years, 3 months, 0 days</t>
        </is>
      </c>
      <c r="AK486" s="53" t="inlineStr">
        <is>
          <t>5 years, 9 months, 23 days</t>
        </is>
      </c>
      <c r="AL486" s="53" t="inlineStr">
        <is>
          <t>Regtech</t>
        </is>
      </c>
      <c r="AM486" s="53" t="inlineStr">
        <is>
          <t>CARBON</t>
        </is>
      </c>
      <c r="AN486" s="53" t="inlineStr">
        <is>
          <t>Support</t>
        </is>
      </c>
      <c r="AO486" s="53" t="inlineStr">
        <is>
          <t>Tech Support</t>
        </is>
      </c>
      <c r="AP486" s="53" t="inlineStr">
        <is>
          <t>Yes</t>
        </is>
      </c>
      <c r="AQ486" s="53" t="inlineStr">
        <is>
          <t>Product/Project</t>
        </is>
      </c>
      <c r="AR486" s="53" t="inlineStr">
        <is>
          <t>.NET MVC</t>
        </is>
      </c>
      <c r="AS486" s="53" t="inlineStr">
        <is>
          <t>Technical - Developer</t>
        </is>
      </c>
      <c r="AT486" s="53" t="n">
        <v>20</v>
      </c>
      <c r="AU486" s="53" t="inlineStr">
        <is>
          <t>Covered</t>
        </is>
      </c>
      <c r="AV486" s="53" t="inlineStr">
        <is>
          <t>IRIS1878</t>
        </is>
      </c>
      <c r="AW486" s="53" t="inlineStr">
        <is>
          <t>Shailesh Koradiya</t>
        </is>
      </c>
      <c r="AX486" s="53" t="inlineStr">
        <is>
          <t>Technology</t>
        </is>
      </c>
      <c r="AY486" s="53" t="inlineStr">
        <is>
          <t>Engineering &amp; Development</t>
        </is>
      </c>
      <c r="AZ486" s="53" t="inlineStr">
        <is>
          <t>DevOps Engineering &amp; Suuport</t>
        </is>
      </c>
      <c r="BA486" s="53" t="n"/>
      <c r="BB486" s="53" t="n"/>
      <c r="BC486" s="53" t="inlineStr">
        <is>
          <t>Employee</t>
        </is>
      </c>
      <c r="BD486" s="53" t="inlineStr">
        <is>
          <t>Huzefa Petit</t>
        </is>
      </c>
      <c r="BE486" s="53" t="inlineStr">
        <is>
          <t>Huzefa Petit</t>
        </is>
      </c>
      <c r="BF486" s="53" t="inlineStr">
        <is>
          <t>No</t>
        </is>
      </c>
      <c r="BG486" s="53" t="inlineStr">
        <is>
          <t>Technical Support Lead</t>
        </is>
      </c>
      <c r="BH486" s="53" t="inlineStr">
        <is>
          <t>Technical Support Lead</t>
        </is>
      </c>
      <c r="BI486" s="53" t="inlineStr">
        <is>
          <t>No</t>
        </is>
      </c>
      <c r="BJ486" s="53" t="inlineStr">
        <is>
          <t>—</t>
        </is>
      </c>
      <c r="BK486" s="53" t="inlineStr">
        <is>
          <t>—</t>
        </is>
      </c>
      <c r="BL486" s="53" t="inlineStr">
        <is>
          <t>—</t>
        </is>
      </c>
      <c r="BM486" s="53" t="inlineStr">
        <is>
          <t>Not a manager</t>
        </is>
      </c>
      <c r="BN486" s="53" t="inlineStr">
        <is>
          <t>—</t>
        </is>
      </c>
      <c r="BO486" s="53" t="inlineStr">
        <is>
          <t>—</t>
        </is>
      </c>
      <c r="BP486" s="53" t="inlineStr">
        <is>
          <t>—</t>
        </is>
      </c>
      <c r="BQ486" s="53" t="inlineStr">
        <is>
          <t>Not a manager</t>
        </is>
      </c>
      <c r="BR486" s="53" t="inlineStr">
        <is>
          <t>—</t>
        </is>
      </c>
      <c r="BS486" s="53" t="inlineStr">
        <is>
          <t>L5 – Lead · IC</t>
        </is>
      </c>
      <c r="BT486" s="53" t="inlineStr">
        <is>
          <t>L5 – Lead · IC</t>
        </is>
      </c>
      <c r="BU486" s="53" t="inlineStr">
        <is>
          <t>No designation change — current record value carried forward</t>
        </is>
      </c>
      <c r="BV486" s="53" t="inlineStr">
        <is>
          <t>1.Ensure ≥ 95% support tickets/incidents are acknowledged and responded to within defined TAT/SLA across all supported products.
2.Improve issue resolution efficiency by ensuring ≥ 90% incidents are resolved or routed with proper diagnosis and actionable root-cause details for development team.
3.Deliver hotfixes, scripts, and workaround solutions for ≥ 80% urgent production issues where immediate resolution is possible.
4.Improve customer/internal communication quality and reduce escalation due to delayed or unclear communication by ≥ 40% YoY.
5.Ensure 24x7 production support availability during peak seasons / critical filing periods with minimal service disruption and ≥ 99% support readiness.
6.Improve technical capability in .NET Core, backend debugging, and React to better analyze and troubleshoot application issues.
7.Manages end to end deployment for ESG</t>
        </is>
      </c>
      <c r="BW486" s="53" t="n"/>
      <c r="BX486" s="53" t="inlineStr">
        <is>
          <t>Global.</t>
        </is>
      </c>
      <c r="BY486" s="53" t="n"/>
      <c r="BZ486" s="53" t="n"/>
      <c r="CA486" s="53" t="n"/>
      <c r="CB486" s="53" t="n"/>
      <c r="CC486" s="53" t="n"/>
      <c r="CD486" s="53" t="n"/>
      <c r="CE486" s="53" t="n"/>
      <c r="CF486" s="53" t="n"/>
      <c r="CG486" s="53" t="n"/>
      <c r="CH486" s="53" t="n"/>
      <c r="CI486" s="53" t="n"/>
      <c r="CJ486" s="53" t="n"/>
      <c r="CK486" s="53" t="n"/>
      <c r="CL486" s="53" t="n"/>
      <c r="CM486" s="53" t="n"/>
      <c r="CN486" s="53" t="n"/>
      <c r="CO486" s="53" t="n"/>
      <c r="CP486" s="53" t="n"/>
      <c r="CQ486" s="53" t="n"/>
      <c r="CR486" s="53" t="n"/>
      <c r="CS486" s="53" t="n"/>
      <c r="CT486" s="53" t="n"/>
      <c r="CU486" s="53" t="n"/>
      <c r="CV486" s="53" t="n"/>
      <c r="CW486" s="53" t="n"/>
      <c r="CX486" s="53" t="n"/>
      <c r="CY486" s="53" t="n"/>
      <c r="CZ486" s="53" t="n"/>
      <c r="DA486" s="53" t="n"/>
      <c r="DB486" s="53" t="n"/>
      <c r="DC486" s="53" t="n"/>
      <c r="DD486" s="53" t="n"/>
      <c r="DE486" s="53" t="n"/>
      <c r="DF486" s="53" t="n"/>
      <c r="DG486" s="53" t="n"/>
      <c r="DH486" s="53" t="n"/>
      <c r="DI486" s="53" t="n"/>
      <c r="DJ486" s="53" t="n"/>
      <c r="DK486" s="53" t="n"/>
      <c r="DL486" s="53" t="n"/>
      <c r="DM486" s="53" t="n"/>
      <c r="DN486" s="53" t="n"/>
      <c r="DO486" s="53" t="n"/>
      <c r="DP486" s="53" t="n"/>
      <c r="DQ486" s="53" t="n"/>
      <c r="DR486" s="53" t="n"/>
      <c r="DS486" s="53" t="n"/>
      <c r="DT486" s="53" t="n"/>
      <c r="DU486" s="53" t="n"/>
      <c r="DV486" s="53" t="n"/>
      <c r="DW486" s="53" t="n"/>
      <c r="DX486" s="53" t="n"/>
      <c r="DY486" s="53" t="n"/>
      <c r="DZ486" s="53" t="n"/>
      <c r="EA486" s="53" t="n"/>
      <c r="EB486" s="53" t="n"/>
      <c r="EC486" s="53" t="n"/>
      <c r="ED486" s="53" t="n"/>
      <c r="EE486" s="53" t="n"/>
      <c r="EF486" s="53" t="n"/>
      <c r="EG486" s="53" t="n"/>
      <c r="EH486" s="53" t="n"/>
      <c r="EI486" s="53" t="n"/>
      <c r="EJ486" s="53" t="n"/>
      <c r="EK486" s="53" t="n"/>
      <c r="EL486" s="53" t="n"/>
      <c r="EM486" s="53" t="n"/>
      <c r="EN486" s="53" t="n"/>
      <c r="EO486" s="53" t="n"/>
      <c r="EP486" s="53" t="n"/>
      <c r="EQ486" s="53" t="n"/>
      <c r="ER486" s="53" t="n"/>
      <c r="ES486" s="53" t="n"/>
      <c r="ET486" s="53" t="n"/>
      <c r="EU486" s="53" t="n"/>
      <c r="EV486" s="53" t="n"/>
      <c r="EW486" s="52" t="inlineStr">
        <is>
          <t>Job rotation for dev work, Meet, Ayush and Harsh are getting devevloped for Support role</t>
        </is>
      </c>
      <c r="EX486" s="53" t="inlineStr">
        <is>
          <t>• Role / sub-team: Support — Technical Support Lead.
• Core purpose: Ensure application stability and smooth delivery through technical support, troubleshooting, deployments, and DevOps activities.
• Decision-making autonomy: Can independently deployment Strategy.
• Is this something only they do: Shared — a few team members handle similar responsibilities.
• What's different about this role: Tools, complexity, customer impact, and production risk.</t>
        </is>
      </c>
      <c r="EY486" s="53" t="inlineStr">
        <is>
          <t>• Key responsibilities include: Deployment.
• Personally accountable for: Technical support, issue resolution, root-cause analysis, application availability, and deployment reliability.
• Impact if missed or done wrong: Application downtime, deployment failures, production issues, delayed releases, and business impact.
• How measured: Different — based on application availability, issue resolution, deployment success, and response time.</t>
        </is>
      </c>
      <c r="EZ486" s="53" t="inlineStr">
        <is>
          <t>• Current capabilities: AI.
• Tools / software used: Azure; Podman; MongoDB.
• Workload: Rated a heavy load · 4/5 in a typical week.
• Judgment/way of working: Strong problem-solving, ownership, risk assessment, and timely decision-making.; structured problem-solving to maintain system reliability, minimize operational impact,.</t>
        </is>
      </c>
      <c r="FA486" s="53" t="inlineStr">
        <is>
          <t>• Development priorities: Advanced Azure, Kubernetes, AI/LLM technologies, and end-to-end DevOps ownership.; Advanced Azure, Kubernetes, AI/LLM technologies, automation, and end-to-end DevOps ownership.
• Learning and Development Need: Hands-on production. A clearer understanding of system architecture, deployment processes, ownership boundaries, and cross-team dependencies.
• Role evolving toward: Yes — increasing adoption of AI, cloud technologies, automation, and evolving DevOps responsibilities.</t>
        </is>
      </c>
      <c r="FB486" s="53" t="inlineStr">
        <is>
          <t>• Key challenges: Workload.
• Support required: Faster decision-making, clearer ownership, and reduced dependency on management approvals.</t>
        </is>
      </c>
      <c r="FC486" s="53" t="n"/>
      <c r="FD486" s="53" t="n"/>
      <c r="FE486" s="57" t="inlineStr">
        <is>
          <t>1.Ensure ≥ 95% support tickets/incidents are acknowledged and responded to within defined TAT/SLA across all supported products.
2.Improve issue resolution efficiency by ensuring ≥ 90% incidents are resolved or routed with proper diagnosis and actionable root-cause details for development team.
3.Deliver hotfixes, scripts, and workaround solutions for ≥ 80% urgent production issues where immediate resolution is possible.
4.Improve customer/internal communication quality and reduce escalation due to delayed or unclear communication by ≥ 40% YoY.
5.Ensure 24x7 production support availability during peak seasons / critical filing periods with minimal service disruption and ≥ 99% support readiness.
6.Improve technical capability in .NET Core, backend debugging, and React to better analyze and troubleshoot application issues.
7.Manages end to end deployment for ESG</t>
        </is>
      </c>
      <c r="FF486" s="56" t="n"/>
      <c r="FG486" s="56" t="n"/>
      <c r="FH486" s="56" t="n"/>
      <c r="FI486" s="56" t="n"/>
      <c r="FJ486" s="56" t="inlineStr">
        <is>
          <t>Received · manager annual</t>
        </is>
      </c>
      <c r="FK486" s="56" t="inlineStr">
        <is>
          <t>CARBON Mapping Master</t>
        </is>
      </c>
      <c r="FL486" s="56" t="n">
        <v>20</v>
      </c>
      <c r="FM486" s="56" t="inlineStr">
        <is>
          <t>• Role / sub-team: Support — Technical Support Lead.
• Core purpose: Ensure application stability and smooth delivery through technical support, troubleshooting, deployments, and DevOps activities.
• Decision-making autonomy: Can independently deployment Strategy.
• Is this something only they do: Shared — a few team members handle similar responsibilities.
• What's different about this role: Tools, complexity, customer impact, and production risk.</t>
        </is>
      </c>
      <c r="FN486" s="56" t="inlineStr">
        <is>
          <t>• Key responsibilities include: Deployment.
• Personally accountable for: Technical support, issue resolution, root-cause analysis, application availability, and deployment reliability.
• Impact if missed or done wrong: Application downtime, deployment failures, production issues, delayed releases, and business impact.
• How measured: Different — based on application availability, issue resolution, deployment success, and response time.</t>
        </is>
      </c>
      <c r="FO486" s="56" t="inlineStr">
        <is>
          <t>• Current capabilities: AI.
• Tools / software used: Azure; Podman; MongoDB.
• Workload: Rated a heavy load · 4/5 in a typical week.
• Judgment/way of working: Strong problem-solving, ownership, risk assessment, and timely decision-making.; structured problem-solving to maintain system reliability, minimize operational impact,.</t>
        </is>
      </c>
      <c r="FP486" s="56" t="inlineStr">
        <is>
          <t>• Development priorities: Advanced Azure, Kubernetes, AI/LLM technologies, and end-to-end DevOps ownership.; Advanced Azure, Kubernetes, AI/LLM technologies, automation, and end-to-end DevOps ownership.
• Learning and Development Need: Hands-on production. A clearer understanding of system architecture, deployment processes, ownership boundaries, and cross-team dependencies.
• Role evolving toward: Yes — increasing adoption of AI, cloud technologies, automation, and evolving DevOps responsibilities.</t>
        </is>
      </c>
      <c r="FQ486" s="56" t="inlineStr">
        <is>
          <t>• Key challenges: Workload.
• Support required: Faster decision-making, clearer ownership, and reduced dependency on management approvals.</t>
        </is>
      </c>
      <c r="FR486" s="56" t="inlineStr">
        <is>
          <t>Complexity: Evidence reads like A3: Jenkins CI/CD pipelines, deployments on Azure/Podman, troubleshooting and root-cause analysis; answers very brief → moved down 0.5
Autonomy: Evidence reads like B1: Decides deployment strategy for the application independently → matches the start
Accountability: Evidence reads like A3: own survey / KRA answers · summarised by the rater; not quoted → moved down 0.2
Leadership: Evidence reads like A1: No guidance described despite one report → moved down 0.5
Business Impact: No survey or manager-mapping signal on criticality: kept at the start point.</t>
        </is>
      </c>
      <c r="FS486" s="56" t="inlineStr">
        <is>
          <t>Common themes in sub-family holders, all levels' answers: support · devops activities
Common themes in sub-family holders, all levels' answers: application
If the work is missed · role-holders' themes: level.</t>
        </is>
      </c>
      <c r="FT486" s="56" t="inlineStr">
        <is>
          <t>Self-identified: AI / automation · Technical depth &amp; architecture · Broader exposure &amp; ownership
For the next role: AI / automation · Technical depth &amp; architecture · Broader exposure &amp; ownership</t>
        </is>
      </c>
      <c r="FU486" s="56" t="inlineStr">
        <is>
          <t>Per-person summary · CARBON Mapping Master</t>
        </is>
      </c>
    </row>
    <row r="487" ht="90" customHeight="1">
      <c r="A487" s="51" t="inlineStr">
        <is>
          <t>◂ Back</t>
        </is>
      </c>
      <c r="B487" s="29" t="inlineStr">
        <is>
          <t>Mapped</t>
        </is>
      </c>
      <c r="C487" s="28" t="inlineStr">
        <is>
          <t>CARBON</t>
        </is>
      </c>
      <c r="D487" s="29" t="inlineStr">
        <is>
          <t>IRIS1941</t>
        </is>
      </c>
      <c r="E487" s="29" t="inlineStr">
        <is>
          <t>Manish Yadav</t>
        </is>
      </c>
      <c r="F487" s="29" t="inlineStr">
        <is>
          <t>Support</t>
        </is>
      </c>
      <c r="G487" s="29" t="inlineStr">
        <is>
          <t>Software Engineer</t>
        </is>
      </c>
      <c r="H487" s="29" t="inlineStr">
        <is>
          <t>Senior Software Engineer</t>
        </is>
      </c>
      <c r="I487" s="29" t="inlineStr">
        <is>
          <t>L3 – Professional / Associate</t>
        </is>
      </c>
      <c r="J487" s="29" t="inlineStr">
        <is>
          <t>A3</t>
        </is>
      </c>
      <c r="K487" s="29" t="inlineStr">
        <is>
          <t>▲ Up</t>
        </is>
      </c>
      <c r="L487" s="29" t="inlineStr">
        <is>
          <t>Engineering &amp; Development</t>
        </is>
      </c>
      <c r="M487" s="29" t="inlineStr">
        <is>
          <t>Application Maintenance &amp; Production Support</t>
        </is>
      </c>
      <c r="N487" s="29" t="n"/>
      <c r="O487" s="29" t="n">
        <v>20</v>
      </c>
      <c r="P487" s="28" t="inlineStr">
        <is>
          <t>P2</t>
        </is>
      </c>
      <c r="Q487" s="29" t="inlineStr">
        <is>
          <t>Developing</t>
        </is>
      </c>
      <c r="R487" s="29" t="inlineStr">
        <is>
          <t>3 Apply</t>
        </is>
      </c>
      <c r="S487" s="29" t="inlineStr">
        <is>
          <t>2–4 yrs</t>
        </is>
      </c>
      <c r="T487" s="29" t="inlineStr">
        <is>
          <t>3–5 · 2–5</t>
        </is>
      </c>
      <c r="U487" s="29" t="inlineStr">
        <is>
          <t>Software Engineer</t>
        </is>
      </c>
      <c r="V487" s="29" t="inlineStr">
        <is>
          <t>Workiva: SE · Broadridge India: SE · Nasdaq / AxiomSL: SE · Salesforce: MTS · Atlassian: P40 · 3–7 yrs · Freshworks: Senior SE</t>
        </is>
      </c>
      <c r="W487" s="29" t="inlineStr">
        <is>
          <t>SFIA 9 · software development, programming; OWASP secure coding; cloud vendor certifications</t>
        </is>
      </c>
      <c r="X487" s="29" t="inlineStr">
        <is>
          <t>Core 2 · Future 2 · Functional 3 · Leadership not scored</t>
        </is>
      </c>
      <c r="Y487" s="52" t="n">
        <v>193</v>
      </c>
      <c r="Z487" s="53" t="inlineStr">
        <is>
          <t>IRIS1941</t>
        </is>
      </c>
      <c r="AA487" s="53" t="inlineStr">
        <is>
          <t>Employee</t>
        </is>
      </c>
      <c r="AB487" s="53" t="inlineStr">
        <is>
          <t>Active</t>
        </is>
      </c>
      <c r="AC487" s="53" t="inlineStr">
        <is>
          <t>Manish Yadav</t>
        </is>
      </c>
      <c r="AD487" s="54" t="n">
        <v>44410</v>
      </c>
      <c r="AE487" s="53" t="inlineStr">
        <is>
          <t>Software Engineer</t>
        </is>
      </c>
      <c r="AF487" s="53" t="inlineStr">
        <is>
          <t>B.E</t>
        </is>
      </c>
      <c r="AG487" s="53" t="inlineStr">
        <is>
          <t>Shailesh Koradiya</t>
        </is>
      </c>
      <c r="AH487" s="53" t="inlineStr">
        <is>
          <t>N-4</t>
        </is>
      </c>
      <c r="AI487" s="53" t="inlineStr">
        <is>
          <t>Individual Contributor</t>
        </is>
      </c>
      <c r="AJ487" s="53" t="inlineStr">
        <is>
          <t>0 years, 3 months, 0 days</t>
        </is>
      </c>
      <c r="AK487" s="53" t="inlineStr">
        <is>
          <t>5 years, 0 months, 23 days</t>
        </is>
      </c>
      <c r="AL487" s="53" t="inlineStr">
        <is>
          <t>Regtech</t>
        </is>
      </c>
      <c r="AM487" s="53" t="inlineStr">
        <is>
          <t>CARBON</t>
        </is>
      </c>
      <c r="AN487" s="53" t="inlineStr">
        <is>
          <t>Support</t>
        </is>
      </c>
      <c r="AO487" s="53" t="inlineStr">
        <is>
          <t>Tech Support</t>
        </is>
      </c>
      <c r="AP487" s="53" t="inlineStr">
        <is>
          <t>Yes</t>
        </is>
      </c>
      <c r="AQ487" s="53" t="inlineStr">
        <is>
          <t>Product/Project</t>
        </is>
      </c>
      <c r="AR487" s="53" t="inlineStr">
        <is>
          <t>.NET MVC</t>
        </is>
      </c>
      <c r="AS487" s="53" t="inlineStr">
        <is>
          <t>Technical - Developer</t>
        </is>
      </c>
      <c r="AT487" s="53" t="n">
        <v>20</v>
      </c>
      <c r="AU487" s="53" t="inlineStr">
        <is>
          <t>Covered</t>
        </is>
      </c>
      <c r="AV487" s="53" t="inlineStr">
        <is>
          <t>IRIS1941</t>
        </is>
      </c>
      <c r="AW487" s="53" t="inlineStr">
        <is>
          <t>Manish Yadav</t>
        </is>
      </c>
      <c r="AX487" s="53" t="inlineStr">
        <is>
          <t>Technology</t>
        </is>
      </c>
      <c r="AY487" s="53" t="inlineStr">
        <is>
          <t>Engineering &amp; Development</t>
        </is>
      </c>
      <c r="AZ487" s="53" t="inlineStr">
        <is>
          <t>Application / Production Support</t>
        </is>
      </c>
      <c r="BA487" s="53" t="n"/>
      <c r="BB487" s="53" t="n"/>
      <c r="BC487" s="53" t="inlineStr">
        <is>
          <t>Employee</t>
        </is>
      </c>
      <c r="BD487" s="53" t="inlineStr">
        <is>
          <t>Huzefa Petit</t>
        </is>
      </c>
      <c r="BE487" s="53" t="inlineStr">
        <is>
          <t>Huzefa Petit</t>
        </is>
      </c>
      <c r="BF487" s="53" t="inlineStr">
        <is>
          <t>No</t>
        </is>
      </c>
      <c r="BG487" s="53" t="inlineStr">
        <is>
          <t>Software Engineer</t>
        </is>
      </c>
      <c r="BH487" s="53" t="inlineStr">
        <is>
          <t>Software Engineer</t>
        </is>
      </c>
      <c r="BI487" s="53" t="inlineStr">
        <is>
          <t>No</t>
        </is>
      </c>
      <c r="BJ487" s="53" t="inlineStr">
        <is>
          <t>—</t>
        </is>
      </c>
      <c r="BK487" s="53" t="inlineStr">
        <is>
          <t>—</t>
        </is>
      </c>
      <c r="BL487" s="53" t="inlineStr">
        <is>
          <t>—</t>
        </is>
      </c>
      <c r="BM487" s="53" t="inlineStr">
        <is>
          <t>Not a manager</t>
        </is>
      </c>
      <c r="BN487" s="53" t="inlineStr">
        <is>
          <t>—</t>
        </is>
      </c>
      <c r="BO487" s="53" t="inlineStr">
        <is>
          <t>—</t>
        </is>
      </c>
      <c r="BP487" s="53" t="inlineStr">
        <is>
          <t>—</t>
        </is>
      </c>
      <c r="BQ487" s="53" t="inlineStr">
        <is>
          <t>Not a manager</t>
        </is>
      </c>
      <c r="BR487" s="53" t="inlineStr">
        <is>
          <t>—</t>
        </is>
      </c>
      <c r="BS487" s="53" t="inlineStr">
        <is>
          <t>L3 – Professional / Associate</t>
        </is>
      </c>
      <c r="BT487" s="53" t="inlineStr">
        <is>
          <t>L3 – Professional / Associate</t>
        </is>
      </c>
      <c r="BU487" s="53" t="inlineStr">
        <is>
          <t>No designation change — current record value carried forward</t>
        </is>
      </c>
      <c r="BV487" s="53" t="inlineStr">
        <is>
          <t>1.Ensure ≥ 90% support tickets/incidents are acknowledged and responded to within defined TAT/SLA across supported products.
2.Improve issue resolution capability by ensuring ≥ 85% incidents are resolved or routed with proper diagnosis and actionable details for development team.
3.Deliver hotfixes, scripts, and workaround solutions for ≥ 70% urgent production issues where immediate resolution is possible.
4.Improve technical troubleshooting capability in advanced product areas, system design, and production debugging to reduce dependency on senior team members by ≥ 40% YoY.
5.Improve communication quality and reduce escalations caused by delayed/incomplete updates by ≥ 30% YoY.
6.Strengthen technical expertise in .NET Core, backend debugging, system design, and React for better root-cause analysis.</t>
        </is>
      </c>
      <c r="BW487" s="53" t="n"/>
      <c r="BX487" s="53" t="inlineStr">
        <is>
          <t>Global.</t>
        </is>
      </c>
      <c r="BY487" s="53" t="n"/>
      <c r="BZ487" s="53" t="n"/>
      <c r="CA487" s="53" t="n"/>
      <c r="CB487" s="53" t="n"/>
      <c r="CC487" s="53" t="n"/>
      <c r="CD487" s="53" t="n"/>
      <c r="CE487" s="53" t="n"/>
      <c r="CF487" s="53" t="n"/>
      <c r="CG487" s="53" t="n"/>
      <c r="CH487" s="53" t="n"/>
      <c r="CI487" s="53" t="n"/>
      <c r="CJ487" s="53" t="n"/>
      <c r="CK487" s="53" t="n"/>
      <c r="CL487" s="53" t="n"/>
      <c r="CM487" s="53" t="n"/>
      <c r="CN487" s="53" t="n"/>
      <c r="CO487" s="53" t="n"/>
      <c r="CP487" s="53" t="n"/>
      <c r="CQ487" s="53" t="n"/>
      <c r="CR487" s="53" t="n"/>
      <c r="CS487" s="53" t="n"/>
      <c r="CT487" s="53" t="n"/>
      <c r="CU487" s="53" t="n"/>
      <c r="CV487" s="53" t="n"/>
      <c r="CW487" s="53" t="n"/>
      <c r="CX487" s="53" t="n"/>
      <c r="CY487" s="53" t="n"/>
      <c r="CZ487" s="53" t="n"/>
      <c r="DA487" s="53" t="n"/>
      <c r="DB487" s="53" t="n"/>
      <c r="DC487" s="53" t="n"/>
      <c r="DD487" s="53" t="n"/>
      <c r="DE487" s="53" t="n"/>
      <c r="DF487" s="53" t="n"/>
      <c r="DG487" s="53" t="n"/>
      <c r="DH487" s="53" t="n"/>
      <c r="DI487" s="53" t="n"/>
      <c r="DJ487" s="53" t="n"/>
      <c r="DK487" s="53" t="n"/>
      <c r="DL487" s="53" t="n"/>
      <c r="DM487" s="53" t="n"/>
      <c r="DN487" s="53" t="n"/>
      <c r="DO487" s="53" t="n"/>
      <c r="DP487" s="53" t="n"/>
      <c r="DQ487" s="53" t="n"/>
      <c r="DR487" s="53" t="n"/>
      <c r="DS487" s="53" t="n"/>
      <c r="DT487" s="53" t="n"/>
      <c r="DU487" s="53" t="n"/>
      <c r="DV487" s="53" t="n"/>
      <c r="DW487" s="53" t="n"/>
      <c r="DX487" s="53" t="n"/>
      <c r="DY487" s="53" t="n"/>
      <c r="DZ487" s="53" t="n"/>
      <c r="EA487" s="53" t="n"/>
      <c r="EB487" s="53" t="n"/>
      <c r="EC487" s="53" t="n"/>
      <c r="ED487" s="53" t="n"/>
      <c r="EE487" s="53" t="n"/>
      <c r="EF487" s="53" t="n"/>
      <c r="EG487" s="53" t="n"/>
      <c r="EH487" s="53" t="n"/>
      <c r="EI487" s="53" t="n"/>
      <c r="EJ487" s="53" t="n"/>
      <c r="EK487" s="53" t="n"/>
      <c r="EL487" s="53" t="n"/>
      <c r="EM487" s="53" t="n"/>
      <c r="EN487" s="53" t="n"/>
      <c r="EO487" s="53" t="n"/>
      <c r="EP487" s="53" t="n"/>
      <c r="EQ487" s="53" t="n"/>
      <c r="ER487" s="53" t="n"/>
      <c r="ES487" s="53" t="n"/>
      <c r="ET487" s="53" t="n"/>
      <c r="EU487" s="53" t="n"/>
      <c r="EV487" s="53" t="n"/>
      <c r="EW487" s="52" t="inlineStr">
        <is>
          <t>Job rotation for dev work</t>
        </is>
      </c>
      <c r="EX487" s="53" t="inlineStr">
        <is>
          <t>• Role / sub-team: Client Success / Support — Software Engineer.
• Core purpose: Responsible for technical support and software development.
• Decision-making autonomy: Can independently provide technical-side support and carry out development.
• Is this something only he does: Largely his alone.
• What's different about this role: Domain knowledge required.</t>
        </is>
      </c>
      <c r="EY487" s="53" t="inlineStr">
        <is>
          <t>• Key responsibilities include: Feature development; getting features developed; also developing features himself.
• Personally accountable for: Fully accountable for any faulty feature he develops.
• Impact if missed or done wrong: Uses database, coding tools, PDF tools, and HTML tools to fix issues.
• How measured: Partially different — needs to work around the database and code to resolve issues; sometimes fixed at the platform level.</t>
        </is>
      </c>
      <c r="EZ487" s="53" t="inlineStr">
        <is>
          <t>• Current capabilities: XBRL knowledge.
• Tools / software used: Visual Studio; VS Code; MongoDB; MS Office; debugging tools.
• Workload: Rated a moderate load · 3/5 in a typical week.
• Judgment/way of working: Writing scripts to solve issues as soon as possible.</t>
        </is>
      </c>
      <c r="FA487" s="53" t="inlineStr">
        <is>
          <t>• Learning and Development Need: No input received.</t>
        </is>
      </c>
      <c r="FB487" s="53" t="inlineStr">
        <is>
          <t>• Support required: No input received.</t>
        </is>
      </c>
      <c r="FC487" s="53" t="n"/>
      <c r="FD487" s="53" t="n"/>
      <c r="FE487" s="57" t="inlineStr">
        <is>
          <t>1.Ensure ≥ 90% support tickets/incidents are acknowledged and responded to within defined TAT/SLA across supported products.
2.Improve issue resolution capability by ensuring ≥ 85% incidents are resolved or routed with proper diagnosis and actionable details for development team.
3.Deliver hotfixes, scripts, and workaround solutions for ≥ 70% urgent production issues where immediate resolution is possible.
4.Improve technical troubleshooting capability in advanced product areas, system design, and production debugging to reduce dependency on senior team members by ≥ 40% YoY.
5.Improve communication quality and reduce escalations caused by delayed/incomplete updates by ≥ 30% YoY.
6.Strengthen technical expertise in .NET Core, backend debugging, system design, and React for better root-cause analysis.</t>
        </is>
      </c>
      <c r="FF487" s="56" t="n"/>
      <c r="FG487" s="56" t="n"/>
      <c r="FH487" s="56" t="n"/>
      <c r="FI487" s="56" t="n"/>
      <c r="FJ487" s="56" t="inlineStr">
        <is>
          <t>Received · manager annual</t>
        </is>
      </c>
      <c r="FK487" s="56" t="inlineStr">
        <is>
          <t>CARBON Mapping Master</t>
        </is>
      </c>
      <c r="FL487" s="56" t="n">
        <v>20</v>
      </c>
      <c r="FM487" s="56" t="inlineStr">
        <is>
          <t>• Role / sub-team: Client Success / Support — Software Engineer.
• Core purpose: Responsible for technical support and software development.
• Decision-making autonomy: Can independently provide technical-side support and carry out development.
• Is this something only he does: Largely his alone.
• What's different about this role: Domain knowledge required.</t>
        </is>
      </c>
      <c r="FN487" s="56" t="inlineStr">
        <is>
          <t>• Key responsibilities include: Feature development; getting features developed; also developing features himself.
• Personally accountable for: Fully accountable for any faulty feature he develops.
• Impact if missed or done wrong: Uses database, coding tools, PDF tools, and HTML tools to fix issues.
• How measured: Partially different — needs to work around the database and code to resolve issues; sometimes fixed at the platform level.</t>
        </is>
      </c>
      <c r="FO487" s="56" t="inlineStr">
        <is>
          <t>• Current capabilities: XBRL knowledge.
• Tools / software used: Visual Studio; VS Code; MongoDB; MS Office; debugging tools.
• Workload: Rated a moderate load · 3/5 in a typical week.
• Judgment/way of working: Writing scripts to solve issues as soon as possible.</t>
        </is>
      </c>
      <c r="FP487" s="56" t="inlineStr">
        <is>
          <t>• Learning and Development Need: No input received.</t>
        </is>
      </c>
      <c r="FQ487" s="56" t="inlineStr">
        <is>
          <t>• Support required: No input received.</t>
        </is>
      </c>
      <c r="FR487" s="56" t="inlineStr">
        <is>
          <t>Complexity: Evidence reads like A3: Full-stack features across UI, backend services, APIs and database; root-cause debugging in established system → moved up 0.5
Autonomy: Evidence reads like A3: Chooses implementation approaches and modifies code independently within project scope → moved up 0.5
Accountability: Evidence reads like A3: Features end to end from requirement to delivery; manager notes platform-level fixes → moved up 0.5
Leadership: Evidence reads like A1: No guidance of others described → matches the start
Business Impact: No survey or manager-mapping signal on criticality: kept at the start point.</t>
        </is>
      </c>
      <c r="FS487" s="56" t="inlineStr">
        <is>
          <t>Common themes in role-holders' answers: reliable · requirements · maintain · core · business · solutions
Common themes in role-holders' answers: development · support · maintenance · bug fixing · feature · performance
Common themes in role-holders' answers: accountable · personally · testing · features · am · performance
Common themes in role-holders' answers: code · fixes · implementation · technical
If the work is missed · role-holders' themes: delays · lead · issues · poor.
Measured on · manager-set KRA themes: considering critical · stories considering · leakage qa/uat · production support · live production · responsibilities.</t>
        </is>
      </c>
      <c r="FT487" s="56" t="inlineStr">
        <is>
          <t>Self-identified: Leadership &amp; people management · Project / programme management · Technical depth &amp; architecture · Broader exposure &amp; ownership
For the next role: Leadership &amp; people management · Project / programme management · Technical depth &amp; architecture · Broader exposure &amp; ownership</t>
        </is>
      </c>
      <c r="FU487" s="56" t="inlineStr">
        <is>
          <t>Per-person summary · CARBON Mapping Master</t>
        </is>
      </c>
    </row>
    <row r="488" ht="90" customHeight="1">
      <c r="A488" s="51" t="inlineStr">
        <is>
          <t>◂ Back</t>
        </is>
      </c>
      <c r="B488" s="29" t="inlineStr">
        <is>
          <t>Mapped</t>
        </is>
      </c>
      <c r="C488" s="28" t="inlineStr">
        <is>
          <t>CARBON</t>
        </is>
      </c>
      <c r="D488" s="29" t="inlineStr">
        <is>
          <t>IRIS1883</t>
        </is>
      </c>
      <c r="E488" s="29" t="inlineStr">
        <is>
          <t>Bikram Prasad</t>
        </is>
      </c>
      <c r="F488" s="29" t="inlineStr">
        <is>
          <t>Technology</t>
        </is>
      </c>
      <c r="G488" s="29" t="inlineStr">
        <is>
          <t>Software Engineer</t>
        </is>
      </c>
      <c r="H488" s="29" t="inlineStr">
        <is>
          <t>Senior Software Engineer</t>
        </is>
      </c>
      <c r="I488" s="29" t="inlineStr">
        <is>
          <t>L3 – Professional / Associate</t>
        </is>
      </c>
      <c r="J488" s="29" t="inlineStr">
        <is>
          <t>A3</t>
        </is>
      </c>
      <c r="K488" s="29" t="inlineStr">
        <is>
          <t>▲ Up</t>
        </is>
      </c>
      <c r="L488" s="29" t="inlineStr">
        <is>
          <t>Engineering &amp; Development</t>
        </is>
      </c>
      <c r="M488" s="29" t="inlineStr">
        <is>
          <t>Backend Development</t>
        </is>
      </c>
      <c r="N488" s="29" t="inlineStr">
        <is>
          <t>• Confirm the reporting line — Manager</t>
        </is>
      </c>
      <c r="O488" s="29" t="n">
        <v>20</v>
      </c>
      <c r="P488" s="28" t="inlineStr">
        <is>
          <t>P2</t>
        </is>
      </c>
      <c r="Q488" s="29" t="inlineStr">
        <is>
          <t>Developing</t>
        </is>
      </c>
      <c r="R488" s="29" t="inlineStr">
        <is>
          <t>3 Apply</t>
        </is>
      </c>
      <c r="S488" s="29" t="inlineStr">
        <is>
          <t>2–4 yrs</t>
        </is>
      </c>
      <c r="T488" s="29" t="inlineStr">
        <is>
          <t>3–5 · 2–5</t>
        </is>
      </c>
      <c r="U488" s="29" t="inlineStr">
        <is>
          <t>Software Engineer</t>
        </is>
      </c>
      <c r="V488" s="29" t="inlineStr">
        <is>
          <t>Workiva: SE · Broadridge India: SE · Nasdaq / AxiomSL: SE · Salesforce: MTS · Atlassian: P40 · 3–7 yrs · Freshworks: Senior SE</t>
        </is>
      </c>
      <c r="W488" s="29" t="inlineStr">
        <is>
          <t>SFIA 9 · software development, programming; OWASP secure coding; cloud vendor certifications</t>
        </is>
      </c>
      <c r="X488" s="29" t="inlineStr">
        <is>
          <t>Core 2 · Future 2 · Functional 3 · Leadership not scored</t>
        </is>
      </c>
      <c r="Y488" s="52" t="n">
        <v>174</v>
      </c>
      <c r="Z488" s="53" t="inlineStr">
        <is>
          <t>IRIS1883</t>
        </is>
      </c>
      <c r="AA488" s="53" t="inlineStr">
        <is>
          <t>Employee</t>
        </is>
      </c>
      <c r="AB488" s="53" t="inlineStr">
        <is>
          <t>Active</t>
        </is>
      </c>
      <c r="AC488" s="53" t="inlineStr">
        <is>
          <t>Bikram Prasad</t>
        </is>
      </c>
      <c r="AD488" s="54" t="n">
        <v>44158</v>
      </c>
      <c r="AE488" s="53" t="inlineStr">
        <is>
          <t>Software Engineer</t>
        </is>
      </c>
      <c r="AF488" s="53" t="inlineStr">
        <is>
          <t>B.Tech</t>
        </is>
      </c>
      <c r="AG488" s="53" t="inlineStr">
        <is>
          <t>Chetan Kotwal</t>
        </is>
      </c>
      <c r="AH488" s="53" t="inlineStr">
        <is>
          <t>N-3</t>
        </is>
      </c>
      <c r="AI488" s="53" t="inlineStr">
        <is>
          <t>Manager</t>
        </is>
      </c>
      <c r="AJ488" s="53" t="inlineStr">
        <is>
          <t>0 years, 0 months, 0 days</t>
        </is>
      </c>
      <c r="AK488" s="53" t="inlineStr">
        <is>
          <t>5 years, 9 months, 2 days</t>
        </is>
      </c>
      <c r="AL488" s="53" t="inlineStr">
        <is>
          <t>Regtech</t>
        </is>
      </c>
      <c r="AM488" s="53" t="inlineStr">
        <is>
          <t>CARBON</t>
        </is>
      </c>
      <c r="AN488" s="53" t="inlineStr">
        <is>
          <t>Technology</t>
        </is>
      </c>
      <c r="AO488" s="53" t="inlineStr">
        <is>
          <t>Development</t>
        </is>
      </c>
      <c r="AP488" s="53" t="inlineStr">
        <is>
          <t>Yes</t>
        </is>
      </c>
      <c r="AQ488" s="53" t="inlineStr">
        <is>
          <t>Product/Project</t>
        </is>
      </c>
      <c r="AR488" s="53" t="inlineStr">
        <is>
          <t>.NET MVC</t>
        </is>
      </c>
      <c r="AS488" s="53" t="inlineStr">
        <is>
          <t>Technical - Developer</t>
        </is>
      </c>
      <c r="AT488" s="53" t="n">
        <v>20</v>
      </c>
      <c r="AU488" s="53" t="inlineStr">
        <is>
          <t>Covered</t>
        </is>
      </c>
      <c r="AV488" s="53" t="inlineStr">
        <is>
          <t>IRIS1883</t>
        </is>
      </c>
      <c r="AW488" s="53" t="inlineStr">
        <is>
          <t>Bikram Prasad</t>
        </is>
      </c>
      <c r="AX488" s="53" t="inlineStr">
        <is>
          <t>Technology</t>
        </is>
      </c>
      <c r="AY488" s="53" t="inlineStr">
        <is>
          <t>Engineering &amp; Development</t>
        </is>
      </c>
      <c r="AZ488" s="53" t="inlineStr">
        <is>
          <t>DevOps Engineering</t>
        </is>
      </c>
      <c r="BA488" s="53" t="n"/>
      <c r="BB488" s="53" t="n"/>
      <c r="BC488" s="53" t="inlineStr">
        <is>
          <t>Employee</t>
        </is>
      </c>
      <c r="BD488" s="53" t="inlineStr">
        <is>
          <t>Chetan Kotwal</t>
        </is>
      </c>
      <c r="BE488" s="53" t="inlineStr">
        <is>
          <t>Chetan Kotwal</t>
        </is>
      </c>
      <c r="BF488" s="53" t="inlineStr">
        <is>
          <t>No</t>
        </is>
      </c>
      <c r="BG488" s="53" t="inlineStr">
        <is>
          <t>Software Engineer</t>
        </is>
      </c>
      <c r="BH488" s="53" t="inlineStr">
        <is>
          <t>Software Engineer</t>
        </is>
      </c>
      <c r="BI488" s="53" t="inlineStr">
        <is>
          <t>No</t>
        </is>
      </c>
      <c r="BJ488" s="53" t="n">
        <v>1</v>
      </c>
      <c r="BK488" s="53" t="n">
        <v>1</v>
      </c>
      <c r="BL488" s="53" t="n">
        <v>0</v>
      </c>
      <c r="BM488" s="53" t="inlineStr">
        <is>
          <t>Consolidate / flatten</t>
        </is>
      </c>
      <c r="BN488" s="53" t="n">
        <v>1</v>
      </c>
      <c r="BO488" s="53" t="n">
        <v>1</v>
      </c>
      <c r="BP488" s="53" t="n">
        <v>0</v>
      </c>
      <c r="BQ488" s="53" t="inlineStr">
        <is>
          <t>Consolidate / flatten</t>
        </is>
      </c>
      <c r="BR488" s="53" t="inlineStr">
        <is>
          <t>No</t>
        </is>
      </c>
      <c r="BS488" s="53" t="inlineStr">
        <is>
          <t>L3 – Professional / Associate</t>
        </is>
      </c>
      <c r="BT488" s="53" t="inlineStr">
        <is>
          <t>L3 – Professional / Associate</t>
        </is>
      </c>
      <c r="BU488" s="53" t="inlineStr">
        <is>
          <t>No designation change — current record value carried forward</t>
        </is>
      </c>
      <c r="BV488" s="53" t="inlineStr">
        <is>
          <t>1.Ensure ≥ 99.5% infrastructure/platform availability across all critical environments with minimal downtime.
2.Improve DevOps automation and reduce manual operational effort by ≥ 50% YoY through CI/CD, scripts, and automated workflows.
3.Implement security and compliance enhancements including code scanning, vulnerability detection, and remediation to ensure ≥ 90% critical security issues are resolved within SLA.
4.Build automated validation pipelines including smoke/regression testing and achieve ≥ 80% automated deployment verification coverage.
5.Improve deployment readiness and infrastructure standardization to enable onboarding of new client/region instances within ≤ 4 hours.
6.Maintain strong operational governance through infrastructure documentation, runbooks, and deployment playbooks covering 100% critical environments.
7. Trained one more member in your team</t>
        </is>
      </c>
      <c r="BW488" s="53" t="n"/>
      <c r="BX488" s="53" t="inlineStr">
        <is>
          <t>No input received — attended/was listed as a respondent but did not provide answers to any of the survey questions.</t>
        </is>
      </c>
      <c r="BY488" s="53" t="n"/>
      <c r="BZ488" s="53" t="n"/>
      <c r="CA488" s="53" t="n"/>
      <c r="CB488" s="53" t="n"/>
      <c r="CC488" s="53" t="n"/>
      <c r="CD488" s="53" t="n"/>
      <c r="CE488" s="53" t="n"/>
      <c r="CF488" s="53" t="n"/>
      <c r="CG488" s="53" t="n"/>
      <c r="CH488" s="53" t="n"/>
      <c r="CI488" s="53" t="n"/>
      <c r="CJ488" s="53" t="n"/>
      <c r="CK488" s="53" t="n"/>
      <c r="CL488" s="53" t="n"/>
      <c r="CM488" s="53" t="n"/>
      <c r="CN488" s="53" t="n"/>
      <c r="CO488" s="53" t="n"/>
      <c r="CP488" s="53" t="n"/>
      <c r="CQ488" s="53" t="n"/>
      <c r="CR488" s="53" t="n"/>
      <c r="CS488" s="53" t="n"/>
      <c r="CT488" s="53" t="n"/>
      <c r="CU488" s="53" t="n"/>
      <c r="CV488" s="53" t="n"/>
      <c r="CW488" s="53" t="n"/>
      <c r="CX488" s="53" t="n"/>
      <c r="CY488" s="53" t="n"/>
      <c r="CZ488" s="53" t="n"/>
      <c r="DA488" s="53" t="n"/>
      <c r="DB488" s="53" t="n"/>
      <c r="DC488" s="53" t="n"/>
      <c r="DD488" s="53" t="n"/>
      <c r="DE488" s="53" t="n"/>
      <c r="DF488" s="53" t="n"/>
      <c r="DG488" s="53" t="n"/>
      <c r="DH488" s="53" t="n"/>
      <c r="DI488" s="53" t="n"/>
      <c r="DJ488" s="53" t="n"/>
      <c r="DK488" s="53" t="n"/>
      <c r="DL488" s="53" t="n"/>
      <c r="DM488" s="53" t="n"/>
      <c r="DN488" s="53" t="n"/>
      <c r="DO488" s="53" t="n"/>
      <c r="DP488" s="53" t="n"/>
      <c r="DQ488" s="53" t="n"/>
      <c r="DR488" s="53" t="n"/>
      <c r="DS488" s="53" t="n"/>
      <c r="DT488" s="53" t="n"/>
      <c r="DU488" s="53" t="n"/>
      <c r="DV488" s="53" t="n"/>
      <c r="DW488" s="53" t="n"/>
      <c r="DX488" s="53" t="n"/>
      <c r="DY488" s="53" t="n"/>
      <c r="DZ488" s="53" t="n"/>
      <c r="EA488" s="53" t="n"/>
      <c r="EB488" s="53" t="n"/>
      <c r="EC488" s="53" t="n"/>
      <c r="ED488" s="53" t="n"/>
      <c r="EE488" s="53" t="n"/>
      <c r="EF488" s="53" t="n"/>
      <c r="EG488" s="53" t="n"/>
      <c r="EH488" s="53" t="n"/>
      <c r="EI488" s="53" t="n"/>
      <c r="EJ488" s="53" t="n"/>
      <c r="EK488" s="53" t="n"/>
      <c r="EL488" s="53" t="n"/>
      <c r="EM488" s="53" t="n"/>
      <c r="EN488" s="53" t="n"/>
      <c r="EO488" s="53" t="n"/>
      <c r="EP488" s="53" t="n"/>
      <c r="EQ488" s="53" t="n"/>
      <c r="ER488" s="53" t="n"/>
      <c r="ES488" s="53" t="n"/>
      <c r="ET488" s="53" t="n"/>
      <c r="EU488" s="53" t="n"/>
      <c r="EV488" s="53" t="n"/>
      <c r="EW488" s="52" t="n"/>
      <c r="EX488" s="53" t="inlineStr">
        <is>
          <t>• Role / sub-team: Technology — Software Engineer.
• Core purpose: Input not given by Participant.
• Decision-making autonomy: Input not given by Participant.
• Is this something only they do: Input not given by Participant.</t>
        </is>
      </c>
      <c r="EY488" s="53" t="inlineStr">
        <is>
          <t>• Key responsibilities include: Input not given by Participant.
• Impact if missed or done wrong: Input not given by Participant.
• How measured: Input not given by Participant.</t>
        </is>
      </c>
      <c r="EZ488" s="53" t="inlineStr">
        <is>
          <t>• Current capabilities: Input not given by Participant.
• Tools / software used: Input not given by Participant.</t>
        </is>
      </c>
      <c r="FA488" s="53" t="inlineStr">
        <is>
          <t>• Development priorities: Input not given by Participant.</t>
        </is>
      </c>
      <c r="FB488" s="53" t="inlineStr">
        <is>
          <t>• Key challenges: Input not given by Participant.
• Support required: Input not given by Participant.</t>
        </is>
      </c>
      <c r="FC488" s="53" t="n"/>
      <c r="FD488" s="53" t="n"/>
      <c r="FE488" s="57" t="inlineStr">
        <is>
          <t>1.Ensure ≥ 99.5% infrastructure/platform availability across all critical environments with minimal downtime.
2.Improve DevOps automation and reduce manual operational effort by ≥ 50% YoY through CI/CD, scripts, and automated workflows.
3.Implement security and compliance enhancements including code scanning, vulnerability detection, and remediation to ensure ≥ 90% critical security issues are resolved within SLA.
4.Build automated validation pipelines including smoke/regression testing and achieve ≥ 80% automated deployment verification coverage.
5.Improve deployment readiness and infrastructure standardization to enable onboarding of new client/region instances within ≤ 4 hours.
6.Maintain strong operational governance through infrastructure documentation, runbooks, and deployment playbooks covering 100% critical environments.
7. Trained one more member in your team</t>
        </is>
      </c>
      <c r="FF488" s="56" t="n"/>
      <c r="FG488" s="56" t="n"/>
      <c r="FH488" s="56" t="n"/>
      <c r="FI488" s="56" t="n"/>
      <c r="FJ488" s="56" t="inlineStr">
        <is>
          <t>Received · manager annual</t>
        </is>
      </c>
      <c r="FK488" s="56" t="inlineStr">
        <is>
          <t>CARBON Mapping Master</t>
        </is>
      </c>
      <c r="FL488" s="56" t="n">
        <v>20</v>
      </c>
      <c r="FM488" s="56" t="inlineStr">
        <is>
          <t>• Role / sub-team: Technology — Software Engineer.
• Core purpose: Input not given by Participant.
• Decision-making autonomy: Input not given by Participant.
• Is this something only they do: Input not given by Participant.</t>
        </is>
      </c>
      <c r="FN488" s="56" t="inlineStr">
        <is>
          <t>• Key responsibilities include: Input not given by Participant.
• Impact if missed or done wrong: Input not given by Participant.
• How measured: Input not given by Participant.</t>
        </is>
      </c>
      <c r="FO488" s="56" t="inlineStr">
        <is>
          <t>• Current capabilities: Input not given by Participant.
• Tools / software used: Input not given by Participant.</t>
        </is>
      </c>
      <c r="FP488" s="56" t="inlineStr">
        <is>
          <t>• Development priorities: Input not given by Participant.</t>
        </is>
      </c>
      <c r="FQ488" s="56" t="inlineStr">
        <is>
          <t>• Key challenges: Input not given by Participant.
• Support required: Input not given by Participant.</t>
        </is>
      </c>
      <c r="FR488" s="56" t="inlineStr">
        <is>
          <t>Complexity: Evidence reads like A3: Runs deployments, patch releases, CVE fixes and production issue fixes; handles InDesign PDF issues → moved up 0.5
Autonomy: Evidence reads like A2: Only cites 'new technology' as an independent decision → moved down 0.5
Accountability: Evidence reads like A3: Answers for applications running smoothly on servers and daily patch/CVE updates → moved down 0.5
Leadership: Evidence reads like A1: No guiding described despite one report → moved down 1</t>
        </is>
      </c>
      <c r="FS488"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488" s="56" t="inlineStr">
        <is>
          <t>Self-identified: Answered · no common topic
For the next role: Answered · no common topic</t>
        </is>
      </c>
      <c r="FU488" s="56" t="inlineStr">
        <is>
          <t>Per-person summary · CARBON Mapping Master</t>
        </is>
      </c>
    </row>
    <row r="489" ht="90" customHeight="1">
      <c r="A489" s="51" t="inlineStr">
        <is>
          <t>◂ Back</t>
        </is>
      </c>
      <c r="B489" s="29" t="inlineStr">
        <is>
          <t>Mapped</t>
        </is>
      </c>
      <c r="C489" s="28" t="inlineStr">
        <is>
          <t>CARBON</t>
        </is>
      </c>
      <c r="D489" s="29" t="inlineStr">
        <is>
          <t>IRIS2283</t>
        </is>
      </c>
      <c r="E489" s="29" t="inlineStr">
        <is>
          <t>Kunal Jadhav</t>
        </is>
      </c>
      <c r="F489" s="29" t="inlineStr">
        <is>
          <t>Technology</t>
        </is>
      </c>
      <c r="G489" s="29" t="inlineStr">
        <is>
          <t>Software Engineer</t>
        </is>
      </c>
      <c r="H489" s="29" t="inlineStr">
        <is>
          <t>Senior Software Engineer</t>
        </is>
      </c>
      <c r="I489" s="29" t="inlineStr">
        <is>
          <t>L3 – Professional / Associate</t>
        </is>
      </c>
      <c r="J489" s="29" t="inlineStr">
        <is>
          <t>A3</t>
        </is>
      </c>
      <c r="K489" s="29" t="inlineStr">
        <is>
          <t>▲ Up</t>
        </is>
      </c>
      <c r="L489" s="29" t="inlineStr">
        <is>
          <t>Engineering &amp; Development</t>
        </is>
      </c>
      <c r="M489" s="29" t="inlineStr">
        <is>
          <t>Full-Stack Development</t>
        </is>
      </c>
      <c r="N489" s="29" t="inlineStr">
        <is>
          <t>• Confirm the reporting line — Manager</t>
        </is>
      </c>
      <c r="O489" s="29" t="n">
        <v>20</v>
      </c>
      <c r="P489" s="28" t="inlineStr">
        <is>
          <t>P2</t>
        </is>
      </c>
      <c r="Q489" s="29" t="inlineStr">
        <is>
          <t>Developing</t>
        </is>
      </c>
      <c r="R489" s="29" t="inlineStr">
        <is>
          <t>3 Apply</t>
        </is>
      </c>
      <c r="S489" s="29" t="inlineStr">
        <is>
          <t>2–4 yrs</t>
        </is>
      </c>
      <c r="T489" s="29" t="inlineStr">
        <is>
          <t>3–5 · 2–5</t>
        </is>
      </c>
      <c r="U489" s="29" t="inlineStr">
        <is>
          <t>Software Engineer</t>
        </is>
      </c>
      <c r="V489" s="29" t="inlineStr">
        <is>
          <t>Workiva: SE · Broadridge India: SE · Nasdaq / AxiomSL: SE · Salesforce: MTS · Atlassian: P40 · 3–7 yrs · Freshworks: Senior SE</t>
        </is>
      </c>
      <c r="W489" s="29" t="inlineStr">
        <is>
          <t>SFIA 9 · software development, programming; OWASP secure coding; cloud vendor certifications</t>
        </is>
      </c>
      <c r="X489" s="29" t="inlineStr">
        <is>
          <t>Core 2 · Future 2 · Functional 3 · Leadership not scored</t>
        </is>
      </c>
      <c r="Y489" s="52" t="n">
        <v>328</v>
      </c>
      <c r="Z489" s="53" t="inlineStr">
        <is>
          <t>IRIS2283</t>
        </is>
      </c>
      <c r="AA489" s="53" t="inlineStr">
        <is>
          <t>Employee</t>
        </is>
      </c>
      <c r="AB489" s="53" t="inlineStr">
        <is>
          <t>Active</t>
        </is>
      </c>
      <c r="AC489" s="53" t="inlineStr">
        <is>
          <t>Kunal Jadhav</t>
        </is>
      </c>
      <c r="AD489" s="54" t="n">
        <v>45474</v>
      </c>
      <c r="AE489" s="53" t="inlineStr">
        <is>
          <t>Software Engineer</t>
        </is>
      </c>
      <c r="AF489" s="53" t="inlineStr">
        <is>
          <t>Bachelor of Science</t>
        </is>
      </c>
      <c r="AG489" s="53" t="inlineStr">
        <is>
          <t>Bikram Prasad</t>
        </is>
      </c>
      <c r="AH489" s="53" t="inlineStr">
        <is>
          <t>N-4</t>
        </is>
      </c>
      <c r="AI489" s="53" t="inlineStr">
        <is>
          <t>Manager</t>
        </is>
      </c>
      <c r="AJ489" s="53" t="inlineStr">
        <is>
          <t>0 years, 0 months, 0 days</t>
        </is>
      </c>
      <c r="AK489" s="53" t="inlineStr">
        <is>
          <t>2 years, 1 months, 24 days</t>
        </is>
      </c>
      <c r="AL489" s="53" t="inlineStr">
        <is>
          <t>Regtech</t>
        </is>
      </c>
      <c r="AM489" s="53" t="inlineStr">
        <is>
          <t>CARBON</t>
        </is>
      </c>
      <c r="AN489" s="53" t="inlineStr">
        <is>
          <t>Technology</t>
        </is>
      </c>
      <c r="AO489" s="53" t="inlineStr">
        <is>
          <t>Development</t>
        </is>
      </c>
      <c r="AP489" s="53" t="inlineStr">
        <is>
          <t>Yes</t>
        </is>
      </c>
      <c r="AQ489" s="53" t="inlineStr">
        <is>
          <t>Product/Project</t>
        </is>
      </c>
      <c r="AR489" s="53" t="inlineStr">
        <is>
          <t>.NET MVC + Angular</t>
        </is>
      </c>
      <c r="AS489" s="53" t="inlineStr">
        <is>
          <t>Technical - Developer</t>
        </is>
      </c>
      <c r="AT489" s="53" t="n">
        <v>20</v>
      </c>
      <c r="AU489" s="53" t="inlineStr">
        <is>
          <t>Covered</t>
        </is>
      </c>
      <c r="AV489" s="53" t="inlineStr">
        <is>
          <t>IRIS2283</t>
        </is>
      </c>
      <c r="AW489" s="53" t="inlineStr">
        <is>
          <t>Kunal Jadhav</t>
        </is>
      </c>
      <c r="AX489" s="53" t="inlineStr">
        <is>
          <t>Technology</t>
        </is>
      </c>
      <c r="AY489" s="53" t="inlineStr">
        <is>
          <t>Engineering &amp; Development</t>
        </is>
      </c>
      <c r="AZ489" s="53" t="inlineStr">
        <is>
          <t>Full-Stack Engineering</t>
        </is>
      </c>
      <c r="BA489" s="53" t="n"/>
      <c r="BB489" s="53" t="n"/>
      <c r="BC489" s="53" t="inlineStr">
        <is>
          <t>Employee</t>
        </is>
      </c>
      <c r="BD489" s="53" t="inlineStr">
        <is>
          <t>Bikram Prasad</t>
        </is>
      </c>
      <c r="BE489" s="53" t="inlineStr">
        <is>
          <t>Bikram Prasad</t>
        </is>
      </c>
      <c r="BF489" s="53" t="inlineStr">
        <is>
          <t>No</t>
        </is>
      </c>
      <c r="BG489" s="53" t="inlineStr">
        <is>
          <t>Software Engineer</t>
        </is>
      </c>
      <c r="BH489" s="53" t="inlineStr">
        <is>
          <t>Software Engineer</t>
        </is>
      </c>
      <c r="BI489" s="53" t="inlineStr">
        <is>
          <t>No</t>
        </is>
      </c>
      <c r="BJ489" s="53" t="n">
        <v>2</v>
      </c>
      <c r="BK489" s="53" t="n">
        <v>2</v>
      </c>
      <c r="BL489" s="53" t="n">
        <v>0</v>
      </c>
      <c r="BM489" s="53" t="inlineStr">
        <is>
          <t>Consolidate / flatten</t>
        </is>
      </c>
      <c r="BN489" s="53" t="n">
        <v>2</v>
      </c>
      <c r="BO489" s="53" t="n">
        <v>2</v>
      </c>
      <c r="BP489" s="53" t="n">
        <v>0</v>
      </c>
      <c r="BQ489" s="53" t="inlineStr">
        <is>
          <t>Consolidate / flatten</t>
        </is>
      </c>
      <c r="BR489" s="53" t="inlineStr">
        <is>
          <t>No</t>
        </is>
      </c>
      <c r="BS489" s="53" t="inlineStr">
        <is>
          <t>L3 – Professional / Associate</t>
        </is>
      </c>
      <c r="BT489" s="53" t="inlineStr">
        <is>
          <t>L3 – Professional / Associate</t>
        </is>
      </c>
      <c r="BU489" s="53" t="inlineStr">
        <is>
          <t>No designation change — current record value carried forward</t>
        </is>
      </c>
      <c r="BV489" s="53" t="inlineStr">
        <is>
          <t>1.Deliver ≥ 95% committed tasks within agreed timelines with high-quality implementation.
2.Improve technical depth by independently handling minimum 3 complex features/modules by FY end.
3.Maintain strong engineering quality by achieving ≥ 90% first-time-right delivery and reducing rework by ≥ 35% YoY.
4.Strengthen design and problem-solving capability by contributing to ≥ 40% technical design discussions.
5.Maintain high engineering standards with ≥ 90% code quality compliance and participation in ≥ 60% relevant code reviews.
6.Demonstrate strong ownership and growth mindset to become ready for Senior Engineer responsibilities.</t>
        </is>
      </c>
      <c r="BW489" s="53" t="n"/>
      <c r="BX489" s="53" t="inlineStr">
        <is>
          <t>Europe and US; global.</t>
        </is>
      </c>
      <c r="BY489" s="53" t="n"/>
      <c r="BZ489" s="53" t="n"/>
      <c r="CA489" s="53" t="n"/>
      <c r="CB489" s="53" t="n"/>
      <c r="CC489" s="53" t="n"/>
      <c r="CD489" s="53" t="n"/>
      <c r="CE489" s="53" t="n"/>
      <c r="CF489" s="53" t="n"/>
      <c r="CG489" s="53" t="n"/>
      <c r="CH489" s="53" t="n"/>
      <c r="CI489" s="53" t="n"/>
      <c r="CJ489" s="53" t="n"/>
      <c r="CK489" s="53" t="n"/>
      <c r="CL489" s="53" t="n"/>
      <c r="CM489" s="53" t="n"/>
      <c r="CN489" s="53" t="n"/>
      <c r="CO489" s="53" t="n"/>
      <c r="CP489" s="53" t="n"/>
      <c r="CQ489" s="53" t="n"/>
      <c r="CR489" s="53" t="n"/>
      <c r="CS489" s="53" t="n"/>
      <c r="CT489" s="53" t="n"/>
      <c r="CU489" s="53" t="n"/>
      <c r="CV489" s="53" t="n"/>
      <c r="CW489" s="53" t="n"/>
      <c r="CX489" s="53" t="n"/>
      <c r="CY489" s="53" t="n"/>
      <c r="CZ489" s="53" t="n"/>
      <c r="DA489" s="53" t="n"/>
      <c r="DB489" s="53" t="n"/>
      <c r="DC489" s="53" t="n"/>
      <c r="DD489" s="53" t="n"/>
      <c r="DE489" s="53" t="n"/>
      <c r="DF489" s="53" t="n"/>
      <c r="DG489" s="53" t="n"/>
      <c r="DH489" s="53" t="n"/>
      <c r="DI489" s="53" t="n"/>
      <c r="DJ489" s="53" t="n"/>
      <c r="DK489" s="53" t="n"/>
      <c r="DL489" s="53" t="n"/>
      <c r="DM489" s="53" t="n"/>
      <c r="DN489" s="53" t="n"/>
      <c r="DO489" s="53" t="n"/>
      <c r="DP489" s="53" t="n"/>
      <c r="DQ489" s="53" t="n"/>
      <c r="DR489" s="53" t="n"/>
      <c r="DS489" s="53" t="n"/>
      <c r="DT489" s="53" t="n"/>
      <c r="DU489" s="53" t="n"/>
      <c r="DV489" s="53" t="n"/>
      <c r="DW489" s="53" t="n"/>
      <c r="DX489" s="53" t="n"/>
      <c r="DY489" s="53" t="n"/>
      <c r="DZ489" s="53" t="n"/>
      <c r="EA489" s="53" t="n"/>
      <c r="EB489" s="53" t="n"/>
      <c r="EC489" s="53" t="n"/>
      <c r="ED489" s="53" t="n"/>
      <c r="EE489" s="53" t="n"/>
      <c r="EF489" s="53" t="n"/>
      <c r="EG489" s="53" t="n"/>
      <c r="EH489" s="53" t="n"/>
      <c r="EI489" s="53" t="n"/>
      <c r="EJ489" s="53" t="n"/>
      <c r="EK489" s="53" t="n"/>
      <c r="EL489" s="53" t="n"/>
      <c r="EM489" s="53" t="n"/>
      <c r="EN489" s="53" t="n"/>
      <c r="EO489" s="53" t="n"/>
      <c r="EP489" s="53" t="n"/>
      <c r="EQ489" s="53" t="n"/>
      <c r="ER489" s="53" t="n"/>
      <c r="ES489" s="53" t="n"/>
      <c r="ET489" s="53" t="n"/>
      <c r="EU489" s="53" t="n"/>
      <c r="EV489" s="53" t="n"/>
      <c r="EW489" s="52" t="n"/>
      <c r="EX489" s="53" t="inlineStr">
        <is>
          <t>• Role / sub-team: Technology — Software Engineer.
• Core purpose: Fulfill clients requirements by developing and integrating features into product.
• Decision-making autonomy: Can independently architecting product flow.
• Is this something only they do: Most of us; A few of us - Development.
• What's different about this role: As a developer, we not only understand the requirements, we can bend or blend in any best possible way we can. So that clients could get atleast something extra for sure.
In short,Need to add dhaniya.</t>
        </is>
      </c>
      <c r="EY489" s="53" t="inlineStr">
        <is>
          <t>• Key responsibilities include: Understanding requirement; Communication.
• Personally accountable for: Bugs appears in product; Understanding of requirements; Accountability for ensuring smooth working of product where user should not be able to face any difficulties or confusion.
• Impact if missed or done wrong: If we see the latest and biggest deal that we got where client signed for something like pehle istamal kare fir vidhwas kare…
If we won’t be able to fulfill them we can surely loose them.
• How measured: Same as everyone.</t>
        </is>
      </c>
      <c r="EZ489" s="53" t="inlineStr">
        <is>
          <t>• Current capabilities: Dot net; C sharp; Github copilot; Ai first approach; React js; Rest API; Agile development; Ad-hoc requests.
• Tools / software used: Vs code; Visual studio; Mongo chef; Mongo compass; Quick scrum; Github copilot; Microsoft 365.
• Workload: Rated a heavy load · 4/5 in a typical week.
• Judgment/way of working: Quick understanding of requirements that needs to be developed whether it is ad-hoc or any system designs; Faster development skills than others.</t>
        </is>
      </c>
      <c r="FA489" s="53" t="inlineStr">
        <is>
          <t>• Development priorities: No input received.
• Learning and Development Need: Structure SDLC. If I’ve known that there is now systemic process about how we deliver the product I would have stepped out early; To get listened what we are saying.
• Role evolving toward: Since AI is taking over many things, it is getting hard to keep your position holded for long. Expectations are getting higher that we expect or one’s capability.</t>
        </is>
      </c>
      <c r="FB489" s="53" t="inlineStr">
        <is>
          <t>• Key challenges: Unclear requirements; After development chaos; Needed this not this; Lack of Politeness.
• Support required: Dedicated work load; Requirements should get filtered before reaching to development phase.
Because most of the time they gets changes after development; Fixed office timings.</t>
        </is>
      </c>
      <c r="FC489" s="53" t="n"/>
      <c r="FD489" s="53" t="n"/>
      <c r="FE489" s="57" t="inlineStr">
        <is>
          <t>1.Deliver ≥ 95% committed tasks within agreed timelines with high-quality implementation.
2.Improve technical depth by independently handling minimum 3 complex features/modules by FY end.
3.Maintain strong engineering quality by achieving ≥ 90% first-time-right delivery and reducing rework by ≥ 35% YoY.
4.Strengthen design and problem-solving capability by contributing to ≥ 40% technical design discussions.
5.Maintain high engineering standards with ≥ 90% code quality compliance and participation in ≥ 60% relevant code reviews.
6.Demonstrate strong ownership and growth mindset to become ready for Senior Engineer responsibilities.</t>
        </is>
      </c>
      <c r="FF489" s="56" t="n"/>
      <c r="FG489" s="56" t="n"/>
      <c r="FH489" s="56" t="n"/>
      <c r="FI489" s="56" t="n"/>
      <c r="FJ489" s="56" t="inlineStr">
        <is>
          <t>Received · manager annual</t>
        </is>
      </c>
      <c r="FK489" s="56" t="inlineStr">
        <is>
          <t>CARBON Mapping Master</t>
        </is>
      </c>
      <c r="FL489" s="56" t="n">
        <v>20</v>
      </c>
      <c r="FM489" s="56" t="inlineStr">
        <is>
          <t>• Role / sub-team: Technology — Software Engineer.
• Core purpose: Fulfill clients requirements by developing and integrating features into product.
• Decision-making autonomy: Can independently architecting product flow.
• Is this something only they do: Most of us; A few of us - Development.
• What's different about this role: As a developer, we not only understand the requirements, we can bend or blend in any best possible way we can. So that clients could get atleast something extra for sure.
In short,Need to add dhaniya.</t>
        </is>
      </c>
      <c r="FN489" s="56" t="inlineStr">
        <is>
          <t>• Key responsibilities include: Understanding requirement; Communication.
• Personally accountable for: Bugs appears in product; Understanding of requirements; Accountability for ensuring smooth working of product where user should not be able to face any difficulties or confusion.
• Impact if missed or done wrong: If we see the latest and biggest deal that we got where client signed for something like pehle istamal kare fir vidhwas kare…
If we won’t be able to fulfill them we can surely loose them.
• How measured: Same as everyone.</t>
        </is>
      </c>
      <c r="FO489" s="56" t="inlineStr">
        <is>
          <t>• Current capabilities: Dot net; C sharp; Github copilot; Ai first approach; React js; Rest API; Agile development; Ad-hoc requests.
• Tools / software used: Vs code; Visual studio; Mongo chef; Mongo compass; Quick scrum; Github copilot; Microsoft 365.
• Workload: Rated a heavy load · 4/5 in a typical week.
• Judgment/way of working: Quick understanding of requirements that needs to be developed whether it is ad-hoc or any system designs; Faster development skills than others.</t>
        </is>
      </c>
      <c r="FP489" s="56" t="inlineStr">
        <is>
          <t>• Development priorities: No input received.
• Learning and Development Need: Structure SDLC. If I’ve known that there is now systemic process about how we deliver the product I would have stepped out early; To get listened what we are saying.
• Role evolving toward: Since AI is taking over many things, it is getting hard to keep your position holded for long. Expectations are getting higher that we expect or one’s capability.</t>
        </is>
      </c>
      <c r="FQ489" s="56" t="inlineStr">
        <is>
          <t>• Key challenges: Unclear requirements; After development chaos; Needed this not this; Lack of Politeness.
• Support required: Dedicated work load; Requirements should get filtered before reaching to development phase.
Because most of the time they gets changes after development; Fixed office timings.</t>
        </is>
      </c>
      <c r="FR489" s="56" t="inlineStr">
        <is>
          <t>Complexity: Evidence reads like A3: Develops and integrates client-driven features; ad-hoc requests and system designs; architects product flow → moved up 0.5
Autonomy: Evidence reads like A3: Independently architects product flow and adapts requirements in his own development → matches the start
Accountability: Evidence reads like A2: Bugs in product and correct understanding of requirements in his own work → moved down 1
Leadership: Evidence reads like A1: No guidance or allocation described despite 2 reports → moved down 1
Business Impact: No survey or manager-mapping signal on criticality: kept at the start point.</t>
        </is>
      </c>
      <c r="FS489" s="56"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FT489" s="56" t="inlineStr">
        <is>
          <t>Self-identified: AI / automation · Certification / formal course
For the next role: AI / automation · Technical depth &amp; architecture · Strategy &amp; business acumen · Certification / formal course</t>
        </is>
      </c>
      <c r="FU489" s="56" t="inlineStr">
        <is>
          <t>Per-person summary · CARBON Mapping Master</t>
        </is>
      </c>
    </row>
    <row r="490" ht="90" customHeight="1">
      <c r="A490" s="51" t="inlineStr">
        <is>
          <t>◂ Back</t>
        </is>
      </c>
      <c r="B490" s="29" t="inlineStr">
        <is>
          <t>Mapped</t>
        </is>
      </c>
      <c r="C490" s="28" t="inlineStr">
        <is>
          <t>CARBON</t>
        </is>
      </c>
      <c r="D490" s="29" t="inlineStr">
        <is>
          <t>IRIS2354</t>
        </is>
      </c>
      <c r="E490" s="29" t="inlineStr">
        <is>
          <t>Kuldip D Shah</t>
        </is>
      </c>
      <c r="F490" s="29" t="inlineStr">
        <is>
          <t>Technology</t>
        </is>
      </c>
      <c r="G490" s="29" t="inlineStr">
        <is>
          <t>Software Engineer</t>
        </is>
      </c>
      <c r="H490" s="29" t="inlineStr">
        <is>
          <t>Senior Software Engineer</t>
        </is>
      </c>
      <c r="I490" s="29" t="inlineStr">
        <is>
          <t>L3 – Professional / Associate</t>
        </is>
      </c>
      <c r="J490" s="29" t="inlineStr">
        <is>
          <t>A3</t>
        </is>
      </c>
      <c r="K490" s="29" t="inlineStr">
        <is>
          <t>▲ Up</t>
        </is>
      </c>
      <c r="L490" s="29" t="inlineStr">
        <is>
          <t>Engineering &amp; Development</t>
        </is>
      </c>
      <c r="M490" s="29" t="inlineStr">
        <is>
          <t>Full-Stack Development</t>
        </is>
      </c>
      <c r="N490" s="29" t="n"/>
      <c r="O490" s="29" t="n">
        <v>20</v>
      </c>
      <c r="P490" s="28" t="inlineStr">
        <is>
          <t>P2</t>
        </is>
      </c>
      <c r="Q490" s="29" t="inlineStr">
        <is>
          <t>Developing</t>
        </is>
      </c>
      <c r="R490" s="29" t="inlineStr">
        <is>
          <t>3 Apply</t>
        </is>
      </c>
      <c r="S490" s="29" t="inlineStr">
        <is>
          <t>2–4 yrs</t>
        </is>
      </c>
      <c r="T490" s="29" t="inlineStr">
        <is>
          <t>3–5 · 2–5</t>
        </is>
      </c>
      <c r="U490" s="29" t="inlineStr">
        <is>
          <t>Software Engineer</t>
        </is>
      </c>
      <c r="V490" s="29" t="inlineStr">
        <is>
          <t>Workiva: SE · Broadridge India: SE · Nasdaq / AxiomSL: SE · Salesforce: MTS · Atlassian: P40 · 3–7 yrs · Freshworks: Senior SE</t>
        </is>
      </c>
      <c r="W490" s="29" t="inlineStr">
        <is>
          <t>SFIA 9 · software development, programming; OWASP secure coding; cloud vendor certifications</t>
        </is>
      </c>
      <c r="X490" s="29" t="inlineStr">
        <is>
          <t>Core 2 · Future 2 · Functional 3 · Leadership not scored</t>
        </is>
      </c>
      <c r="Y490" s="52" t="n">
        <v>363</v>
      </c>
      <c r="Z490" s="53" t="inlineStr">
        <is>
          <t>IRIS2354</t>
        </is>
      </c>
      <c r="AA490" s="53" t="inlineStr">
        <is>
          <t>Employee</t>
        </is>
      </c>
      <c r="AB490" s="53" t="inlineStr">
        <is>
          <t>Serving Notice</t>
        </is>
      </c>
      <c r="AC490" s="53" t="inlineStr">
        <is>
          <t>Kuldip D Shah</t>
        </is>
      </c>
      <c r="AD490" s="54" t="n">
        <v>45733</v>
      </c>
      <c r="AE490" s="53" t="inlineStr">
        <is>
          <t>Software Engineer</t>
        </is>
      </c>
      <c r="AF490" s="53" t="inlineStr">
        <is>
          <t>BCA</t>
        </is>
      </c>
      <c r="AG490" s="53" t="inlineStr">
        <is>
          <t>Kunal Jadhav</t>
        </is>
      </c>
      <c r="AH490" s="53" t="inlineStr">
        <is>
          <t>N-5</t>
        </is>
      </c>
      <c r="AI490" s="53" t="inlineStr">
        <is>
          <t>Individual Contributor</t>
        </is>
      </c>
      <c r="AJ490" s="53" t="inlineStr">
        <is>
          <t>3 years, 0 months, 0 days</t>
        </is>
      </c>
      <c r="AK490" s="53" t="inlineStr">
        <is>
          <t>1 years, 5 months, 8 days</t>
        </is>
      </c>
      <c r="AL490" s="53" t="inlineStr">
        <is>
          <t>Regtech</t>
        </is>
      </c>
      <c r="AM490" s="53" t="inlineStr">
        <is>
          <t>CARBON</t>
        </is>
      </c>
      <c r="AN490" s="53" t="inlineStr">
        <is>
          <t>Technology</t>
        </is>
      </c>
      <c r="AO490" s="53" t="inlineStr">
        <is>
          <t>Development</t>
        </is>
      </c>
      <c r="AP490" s="53" t="inlineStr">
        <is>
          <t>Yes</t>
        </is>
      </c>
      <c r="AQ490" s="53" t="inlineStr">
        <is>
          <t>Product/Project</t>
        </is>
      </c>
      <c r="AR490" s="53" t="inlineStr">
        <is>
          <t>.NET MVC + React</t>
        </is>
      </c>
      <c r="AS490" s="53" t="inlineStr">
        <is>
          <t>Technical - Developer</t>
        </is>
      </c>
      <c r="AT490" s="53" t="n">
        <v>20</v>
      </c>
      <c r="AU490" s="53" t="inlineStr">
        <is>
          <t>Covered</t>
        </is>
      </c>
      <c r="AV490" s="53" t="inlineStr">
        <is>
          <t>IRIS2354</t>
        </is>
      </c>
      <c r="AW490" s="53" t="inlineStr">
        <is>
          <t>Kuldip D Shah</t>
        </is>
      </c>
      <c r="AX490" s="53" t="inlineStr">
        <is>
          <t>Technology</t>
        </is>
      </c>
      <c r="AY490" s="53" t="inlineStr">
        <is>
          <t>Engineering &amp; Development</t>
        </is>
      </c>
      <c r="AZ490" s="53" t="inlineStr">
        <is>
          <t>Backend Engineering ·.NET</t>
        </is>
      </c>
      <c r="BA490" s="53" t="n"/>
      <c r="BB490" s="53" t="n"/>
      <c r="BC490" s="53" t="inlineStr">
        <is>
          <t>Employee</t>
        </is>
      </c>
      <c r="BD490" s="53" t="inlineStr">
        <is>
          <t>Kunal Jadhav</t>
        </is>
      </c>
      <c r="BE490" s="53" t="inlineStr">
        <is>
          <t>Kunal Jadhav</t>
        </is>
      </c>
      <c r="BF490" s="53" t="inlineStr">
        <is>
          <t>No</t>
        </is>
      </c>
      <c r="BG490" s="53" t="inlineStr">
        <is>
          <t>Software Engineer</t>
        </is>
      </c>
      <c r="BH490" s="53" t="inlineStr">
        <is>
          <t>Software Engineer</t>
        </is>
      </c>
      <c r="BI490" s="53" t="inlineStr">
        <is>
          <t>No</t>
        </is>
      </c>
      <c r="BJ490" s="53" t="inlineStr">
        <is>
          <t>—</t>
        </is>
      </c>
      <c r="BK490" s="53" t="inlineStr">
        <is>
          <t>—</t>
        </is>
      </c>
      <c r="BL490" s="53" t="inlineStr">
        <is>
          <t>—</t>
        </is>
      </c>
      <c r="BM490" s="53" t="inlineStr">
        <is>
          <t>Not a manager</t>
        </is>
      </c>
      <c r="BN490" s="53" t="inlineStr">
        <is>
          <t>—</t>
        </is>
      </c>
      <c r="BO490" s="53" t="inlineStr">
        <is>
          <t>—</t>
        </is>
      </c>
      <c r="BP490" s="53" t="inlineStr">
        <is>
          <t>—</t>
        </is>
      </c>
      <c r="BQ490" s="53" t="inlineStr">
        <is>
          <t>Not a manager</t>
        </is>
      </c>
      <c r="BR490" s="53" t="inlineStr">
        <is>
          <t>—</t>
        </is>
      </c>
      <c r="BS490" s="53" t="inlineStr">
        <is>
          <t>L3 – Professional / Associate</t>
        </is>
      </c>
      <c r="BT490" s="53" t="inlineStr">
        <is>
          <t>L3 – Professional / Associate</t>
        </is>
      </c>
      <c r="BU490" s="53" t="inlineStr">
        <is>
          <t>No designation change — current record value carried forward</t>
        </is>
      </c>
      <c r="BV490" s="53" t="inlineStr">
        <is>
          <t>1.Improve execution speed and reduce task completion turnaround time by ≥ 40% YoY.
2.Improve delivery ownership by completing ≥ 85% assigned tasks within committed timelines with reduced managerial follow-up.
3.Reduce dependency on handholding by independently completing ≥ 70% assigned tasks by FY end.
4.Build full-stack capability by learning backend APIs, .NET Core basics, database workflows, and system design fundamentals, contributing to ≥ 20% backend/full-stack tasks.
5.Improve engineering quality by achieving ≥ 80% first-time-right delivery and reducing rework by ≥ 40% YoY.
6.Improve code quality and contribution by maintaining ≥ 80% code quality compliance and taking ownership of minimum 1–2 small technical initiatives annually.
Quarterly KRAs</t>
        </is>
      </c>
      <c r="BW490" s="53" t="n"/>
      <c r="BX490" s="53" t="inlineStr">
        <is>
          <t>Global.</t>
        </is>
      </c>
      <c r="BY490" s="53" t="n"/>
      <c r="BZ490" s="53" t="n"/>
      <c r="CA490" s="53" t="n"/>
      <c r="CB490" s="53" t="n"/>
      <c r="CC490" s="53" t="n"/>
      <c r="CD490" s="53" t="n"/>
      <c r="CE490" s="53" t="n"/>
      <c r="CF490" s="53" t="n"/>
      <c r="CG490" s="53" t="n"/>
      <c r="CH490" s="53" t="n"/>
      <c r="CI490" s="53" t="n"/>
      <c r="CJ490" s="53" t="n"/>
      <c r="CK490" s="53" t="n"/>
      <c r="CL490" s="53" t="n"/>
      <c r="CM490" s="53" t="n"/>
      <c r="CN490" s="53" t="n"/>
      <c r="CO490" s="53" t="n"/>
      <c r="CP490" s="53" t="n"/>
      <c r="CQ490" s="53" t="n"/>
      <c r="CR490" s="53" t="n"/>
      <c r="CS490" s="53" t="n"/>
      <c r="CT490" s="53" t="n"/>
      <c r="CU490" s="53" t="n"/>
      <c r="CV490" s="53" t="n"/>
      <c r="CW490" s="53" t="n"/>
      <c r="CX490" s="53" t="n"/>
      <c r="CY490" s="53" t="n"/>
      <c r="CZ490" s="53" t="n"/>
      <c r="DA490" s="53" t="n"/>
      <c r="DB490" s="53" t="n"/>
      <c r="DC490" s="53" t="n"/>
      <c r="DD490" s="53" t="n"/>
      <c r="DE490" s="53" t="n"/>
      <c r="DF490" s="53" t="n"/>
      <c r="DG490" s="53" t="n"/>
      <c r="DH490" s="53" t="n"/>
      <c r="DI490" s="53" t="n"/>
      <c r="DJ490" s="53" t="n"/>
      <c r="DK490" s="53" t="n"/>
      <c r="DL490" s="53" t="n"/>
      <c r="DM490" s="53" t="n"/>
      <c r="DN490" s="53" t="n"/>
      <c r="DO490" s="53" t="n"/>
      <c r="DP490" s="53" t="n"/>
      <c r="DQ490" s="53" t="n"/>
      <c r="DR490" s="53" t="n"/>
      <c r="DS490" s="53" t="n"/>
      <c r="DT490" s="53" t="n"/>
      <c r="DU490" s="53" t="n"/>
      <c r="DV490" s="53" t="n"/>
      <c r="DW490" s="53" t="n"/>
      <c r="DX490" s="53" t="n"/>
      <c r="DY490" s="53" t="n"/>
      <c r="DZ490" s="53" t="n"/>
      <c r="EA490" s="53" t="n"/>
      <c r="EB490" s="53" t="n"/>
      <c r="EC490" s="53" t="n"/>
      <c r="ED490" s="53" t="n"/>
      <c r="EE490" s="53" t="n"/>
      <c r="EF490" s="53" t="n"/>
      <c r="EG490" s="53" t="n"/>
      <c r="EH490" s="53" t="n"/>
      <c r="EI490" s="53" t="n"/>
      <c r="EJ490" s="53" t="n"/>
      <c r="EK490" s="53" t="n"/>
      <c r="EL490" s="53" t="n"/>
      <c r="EM490" s="53" t="n"/>
      <c r="EN490" s="53" t="n"/>
      <c r="EO490" s="53" t="n"/>
      <c r="EP490" s="53" t="n"/>
      <c r="EQ490" s="53" t="n"/>
      <c r="ER490" s="53" t="n"/>
      <c r="ES490" s="53" t="n"/>
      <c r="ET490" s="53" t="n"/>
      <c r="EU490" s="53" t="n"/>
      <c r="EV490" s="53" t="n"/>
      <c r="EW490" s="52" t="n"/>
      <c r="EX490" s="53" t="inlineStr">
        <is>
          <t>• Role / sub-team: Technology — Software Engineer.
• Core purpose: My role is to develop and improve user-friendly, reliable web applications.focus on turning business requirements into efficient, scalable, and high-quality user experiences using modern frontend tech.
• Decision-making autonomy: Can independently problem solving.
• Is this something only they do: Most of us.
• What's different about this role: Involves working with modern tools, business-focused applications, and integrations. It requires attention to quality because issues can directly affect the user experience.</t>
        </is>
      </c>
      <c r="EY490" s="53" t="inlineStr">
        <is>
          <t>• Key responsibilities include: Features development; Bug fixing; Api integration; Performance improvement.
• Personally accountable for: I am accountable for developing and maintaining frontend features, API integration, bug fixing, testing, and delivering reliable, user-friendly solutions.
• Impact if missed or done wrong: If my work is missed or done incorrectly, it can lead to UI issues, broken API integrations, bugs in the application, and delays in the overall development or release.
• How measured: Same as everyone.</t>
        </is>
      </c>
      <c r="EZ490" s="53" t="inlineStr">
        <is>
          <t>• Current capabilities: React.
• Tools / software used: VS code; Visual studio code; Claude; Github Copilot; Quickscram.
• Workload: Rated a heavy load · 4/5 in a typical week.
• Judgment/way of working: Logical thinking.</t>
        </is>
      </c>
      <c r="FA490" s="53" t="inlineStr">
        <is>
          <t>• Development priorities: I would like to improve my full-stack development skills and communication skills.
• Learning and Development Need: Opportunity to prove. Improve communication and technical skills.
• Role evolving toward: AI based development.</t>
        </is>
      </c>
      <c r="FB490" s="53" t="inlineStr">
        <is>
          <t>• Key challenges: AI credits.
• Support required: Clear requirement and documentation.</t>
        </is>
      </c>
      <c r="FC490" s="53" t="n"/>
      <c r="FD490" s="53" t="n"/>
      <c r="FE490" s="57" t="inlineStr">
        <is>
          <t>1.Improve execution speed and reduce task completion turnaround time by ≥ 40% YoY.
2.Improve delivery ownership by completing ≥ 85% assigned tasks within committed timelines with reduced managerial follow-up.
3.Reduce dependency on handholding by independently completing ≥ 70% assigned tasks by FY end.
4.Build full-stack capability by learning backend APIs, .NET Core basics, database workflows, and system design fundamentals, contributing to ≥ 20% backend/full-stack tasks.
5.Improve engineering quality by achieving ≥ 80% first-time-right delivery and reducing rework by ≥ 40% YoY.
6.Improve code quality and contribution by maintaining ≥ 80% code quality compliance and taking ownership of minimum 1–2 small technical initiatives annually.
Quarterly KRAs</t>
        </is>
      </c>
      <c r="FF490" s="56" t="n"/>
      <c r="FG490" s="56" t="n"/>
      <c r="FH490" s="56" t="n"/>
      <c r="FI490" s="56" t="n"/>
      <c r="FJ490" s="56" t="inlineStr">
        <is>
          <t>Received · manager annual</t>
        </is>
      </c>
      <c r="FK490" s="56" t="inlineStr">
        <is>
          <t>CARBON Mapping Master</t>
        </is>
      </c>
      <c r="FL490" s="56" t="n">
        <v>20</v>
      </c>
      <c r="FM490" s="56" t="inlineStr">
        <is>
          <t>• Role / sub-team: Technology — Software Engineer.
• Core purpose: My role is to develop and improve user-friendly, reliable web applications.focus on turning business requirements into efficient, scalable, and high-quality user experiences using modern frontend tech.
• Decision-making autonomy: Can independently problem solving.
• Is this something only they do: Most of us.
• What's different about this role: Involves working with modern tools, business-focused applications, and integrations. It requires attention to quality because issues can directly affect the user experience.</t>
        </is>
      </c>
      <c r="FN490" s="56" t="inlineStr">
        <is>
          <t>• Key responsibilities include: Features development; Bug fixing; Api integration; Performance improvement.
• Personally accountable for: I am accountable for developing and maintaining frontend features, API integration, bug fixing, testing, and delivering reliable, user-friendly solutions.
• Impact if missed or done wrong: If my work is missed or done incorrectly, it can lead to UI issues, broken API integrations, bugs in the application, and delays in the overall development or release.
• How measured: Same as everyone.</t>
        </is>
      </c>
      <c r="FO490" s="56" t="inlineStr">
        <is>
          <t>• Current capabilities: React.
• Tools / software used: VS code; Visual studio code; Claude; Github Copilot; Quickscram.
• Workload: Rated a heavy load · 4/5 in a typical week.
• Judgment/way of working: Logical thinking.</t>
        </is>
      </c>
      <c r="FP490" s="56" t="inlineStr">
        <is>
          <t>• Development priorities: I would like to improve my full-stack development skills and communication skills.
• Learning and Development Need: Opportunity to prove. Improve communication and technical skills.
• Role evolving toward: AI based development.</t>
        </is>
      </c>
      <c r="FQ490" s="56" t="inlineStr">
        <is>
          <t>• Key challenges: AI credits.
• Support required: Clear requirement and documentation.</t>
        </is>
      </c>
      <c r="FR490" s="56" t="inlineStr">
        <is>
          <t>Complexity: Evidence reads like A2: Frontend features, bug fixing, API integration and performance improvement in React → matches the start
Autonomy: Evidence reads like A2: Only 'problem solving' given as independent decision → matches the start
Accountability: Evidence reads like A2: Own frontend features, API integration and bug fixes; errors cause UI issues and delays → matches the start
Leadership: Evidence reads like A1: No guidance of others described → matches the start
Business Impact: No survey or manager-mapping signal on criticality: kept at the start point.</t>
        </is>
      </c>
      <c r="FS490" s="56"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FT490" s="56" t="inlineStr">
        <is>
          <t>Self-identified: Communication &amp; presentation
For the next role: Communication &amp; presentation</t>
        </is>
      </c>
      <c r="FU490" s="56" t="inlineStr">
        <is>
          <t>Per-person summary · CARBON Mapping Master</t>
        </is>
      </c>
    </row>
    <row r="491" ht="90" customHeight="1">
      <c r="A491" s="51" t="inlineStr">
        <is>
          <t>◂ Back</t>
        </is>
      </c>
      <c r="B491" s="29" t="inlineStr">
        <is>
          <t>Mapped</t>
        </is>
      </c>
      <c r="C491" s="28" t="inlineStr">
        <is>
          <t>CARBON</t>
        </is>
      </c>
      <c r="D491" s="29" t="inlineStr">
        <is>
          <t>IRIS2395</t>
        </is>
      </c>
      <c r="E491" s="29" t="inlineStr">
        <is>
          <t>Ayushi Prajapati</t>
        </is>
      </c>
      <c r="F491" s="29" t="inlineStr">
        <is>
          <t>Technology</t>
        </is>
      </c>
      <c r="G491" s="29" t="inlineStr">
        <is>
          <t>Trainee Software Engineer</t>
        </is>
      </c>
      <c r="H491" s="29" t="inlineStr">
        <is>
          <t>UI Developer</t>
        </is>
      </c>
      <c r="I491" s="29" t="inlineStr">
        <is>
          <t>L2 – Trainee</t>
        </is>
      </c>
      <c r="J491" s="29" t="inlineStr">
        <is>
          <t>A2</t>
        </is>
      </c>
      <c r="K491" s="29" t="inlineStr">
        <is>
          <t>▲ Up</t>
        </is>
      </c>
      <c r="L491" s="29" t="inlineStr">
        <is>
          <t>Engineering &amp; Development</t>
        </is>
      </c>
      <c r="M491" s="29" t="inlineStr">
        <is>
          <t>Front-End / UI Development</t>
        </is>
      </c>
      <c r="N491" s="29" t="n"/>
      <c r="O491" s="29" t="n">
        <v>20</v>
      </c>
      <c r="P491" s="28" t="inlineStr">
        <is>
          <t>P1–P2</t>
        </is>
      </c>
      <c r="Q491" s="29" t="inlineStr">
        <is>
          <t>Entry / Developing</t>
        </is>
      </c>
      <c r="R491" s="29" t="inlineStr">
        <is>
          <t>2 Assist</t>
        </is>
      </c>
      <c r="S491" s="29" t="inlineStr">
        <is>
          <t>0–2 yrs</t>
        </is>
      </c>
      <c r="T491" s="29" t="inlineStr">
        <is>
          <t>1–3 · 0–3</t>
        </is>
      </c>
      <c r="U491" s="29" t="inlineStr">
        <is>
          <t>Associate Software Engineer / Software Engineer</t>
        </is>
      </c>
      <c r="V491" s="29" t="inlineStr">
        <is>
          <t>Workiva: Associate SE · Broadridge India: SE · Nasdaq / AxiomSL: SE · Salesforce: AMTS · Atlassian: P30 Junior · 0–2 yrs · Freshworks: SE</t>
        </is>
      </c>
      <c r="W491" s="29" t="inlineStr">
        <is>
          <t>SFIA 9 · software development, programming; OWASP secure coding; cloud vendor certifications</t>
        </is>
      </c>
      <c r="X491" s="29" t="inlineStr">
        <is>
          <t>Core 2 · Future 2 · Functional 2 · Leadership not scored</t>
        </is>
      </c>
      <c r="Y491" s="52" t="n">
        <v>381</v>
      </c>
      <c r="Z491" s="53" t="inlineStr">
        <is>
          <t>IRIS2395</t>
        </is>
      </c>
      <c r="AA491" s="53" t="inlineStr">
        <is>
          <t>Employee</t>
        </is>
      </c>
      <c r="AB491" s="53" t="inlineStr">
        <is>
          <t>Active</t>
        </is>
      </c>
      <c r="AC491" s="53" t="inlineStr">
        <is>
          <t>Ayushi Prajapati</t>
        </is>
      </c>
      <c r="AD491" s="54" t="n">
        <v>45839</v>
      </c>
      <c r="AE491" s="53" t="inlineStr">
        <is>
          <t>Trainee Software Engineer</t>
        </is>
      </c>
      <c r="AF491" s="53" t="inlineStr">
        <is>
          <t>B.Sc</t>
        </is>
      </c>
      <c r="AG491" s="53" t="inlineStr">
        <is>
          <t>Kunal Jadhav</t>
        </is>
      </c>
      <c r="AH491" s="53" t="inlineStr">
        <is>
          <t>N-5</t>
        </is>
      </c>
      <c r="AI491" s="53" t="inlineStr">
        <is>
          <t>Individual Contributor</t>
        </is>
      </c>
      <c r="AJ491" s="53" t="inlineStr">
        <is>
          <t>0 years, 0 months, 0 days</t>
        </is>
      </c>
      <c r="AK491" s="53" t="inlineStr">
        <is>
          <t>1 years, 1 months, 24 days</t>
        </is>
      </c>
      <c r="AL491" s="53" t="inlineStr">
        <is>
          <t>Regtech</t>
        </is>
      </c>
      <c r="AM491" s="53" t="inlineStr">
        <is>
          <t>CARBON</t>
        </is>
      </c>
      <c r="AN491" s="53" t="inlineStr">
        <is>
          <t>Technology</t>
        </is>
      </c>
      <c r="AO491" s="53" t="inlineStr">
        <is>
          <t>Development</t>
        </is>
      </c>
      <c r="AP491" s="53" t="inlineStr">
        <is>
          <t>Yes</t>
        </is>
      </c>
      <c r="AQ491" s="53" t="inlineStr">
        <is>
          <t>Product/Project</t>
        </is>
      </c>
      <c r="AR491" s="53" t="inlineStr">
        <is>
          <t>React</t>
        </is>
      </c>
      <c r="AS491" s="53" t="inlineStr">
        <is>
          <t>Technical - Developer</t>
        </is>
      </c>
      <c r="AT491" s="53" t="n">
        <v>20</v>
      </c>
      <c r="AU491" s="53" t="inlineStr">
        <is>
          <t>Covered</t>
        </is>
      </c>
      <c r="AV491" s="53" t="inlineStr">
        <is>
          <t>IRIS2395</t>
        </is>
      </c>
      <c r="AW491" s="53" t="inlineStr">
        <is>
          <t>Ayushi Prajapati</t>
        </is>
      </c>
      <c r="AX491" s="53" t="inlineStr">
        <is>
          <t>Technology</t>
        </is>
      </c>
      <c r="AY491" s="53" t="inlineStr">
        <is>
          <t>Engineering &amp; Development</t>
        </is>
      </c>
      <c r="AZ491" s="53" t="inlineStr">
        <is>
          <t>Software Engineering</t>
        </is>
      </c>
      <c r="BA491" s="53" t="n"/>
      <c r="BB491" s="53" t="n"/>
      <c r="BC491" s="53" t="inlineStr">
        <is>
          <t>Employee</t>
        </is>
      </c>
      <c r="BD491" s="53" t="inlineStr">
        <is>
          <t>Kunal Jadhav</t>
        </is>
      </c>
      <c r="BE491" s="53" t="inlineStr">
        <is>
          <t>Kunal Jadhav</t>
        </is>
      </c>
      <c r="BF491" s="53" t="inlineStr">
        <is>
          <t>No</t>
        </is>
      </c>
      <c r="BG491" s="53" t="inlineStr">
        <is>
          <t>Trainee Software Engineer</t>
        </is>
      </c>
      <c r="BH491" s="53" t="inlineStr">
        <is>
          <t>Trainee Software Engineer</t>
        </is>
      </c>
      <c r="BI491" s="53" t="inlineStr">
        <is>
          <t>No</t>
        </is>
      </c>
      <c r="BJ491" s="53" t="inlineStr">
        <is>
          <t>—</t>
        </is>
      </c>
      <c r="BK491" s="53" t="inlineStr">
        <is>
          <t>—</t>
        </is>
      </c>
      <c r="BL491" s="53" t="inlineStr">
        <is>
          <t>—</t>
        </is>
      </c>
      <c r="BM491" s="53" t="inlineStr">
        <is>
          <t>Not a manager</t>
        </is>
      </c>
      <c r="BN491" s="53" t="inlineStr">
        <is>
          <t>—</t>
        </is>
      </c>
      <c r="BO491" s="53" t="inlineStr">
        <is>
          <t>—</t>
        </is>
      </c>
      <c r="BP491" s="53" t="inlineStr">
        <is>
          <t>—</t>
        </is>
      </c>
      <c r="BQ491" s="53" t="inlineStr">
        <is>
          <t>Not a manager</t>
        </is>
      </c>
      <c r="BR491" s="53" t="inlineStr">
        <is>
          <t>—</t>
        </is>
      </c>
      <c r="BS491" s="53" t="inlineStr">
        <is>
          <t>L2 – Trainee</t>
        </is>
      </c>
      <c r="BT491" s="53" t="inlineStr">
        <is>
          <t>L2 – Trainee</t>
        </is>
      </c>
      <c r="BU491" s="53" t="inlineStr">
        <is>
          <t>No designation change — current record value carried forward</t>
        </is>
      </c>
      <c r="BV491" s="53" t="inlineStr">
        <is>
          <t>1.Improve task execution speed and reduce average task completion turnaround time by ≥ 40% YoY.
2.Increase independent task execution capability to complete ≥ 70% assigned tasks with minimal handholding by FY end.
3.Improve sprint delivery discipline by achieving ≥ 85% task completion within committed timelines.
4.Reduce dependency on repeated follow-ups by ≥ 60% through better ownership and proactive communication.
5.Improve quality of deliverables to achieve ≥ 80% first-time-right completion with minimal rework.
6.Demonstrate proactive problem-solving by independently identifying next steps / blockers in ≥ 50% assigned tasks.</t>
        </is>
      </c>
      <c r="BW491" s="53" t="n"/>
      <c r="BX491" s="53" t="inlineStr">
        <is>
          <t>All.</t>
        </is>
      </c>
      <c r="BY491" s="53" t="n"/>
      <c r="BZ491" s="53" t="n"/>
      <c r="CA491" s="53" t="n"/>
      <c r="CB491" s="53" t="n"/>
      <c r="CC491" s="53" t="n"/>
      <c r="CD491" s="53" t="n"/>
      <c r="CE491" s="53" t="n"/>
      <c r="CF491" s="53" t="n"/>
      <c r="CG491" s="53" t="n"/>
      <c r="CH491" s="53" t="n"/>
      <c r="CI491" s="53" t="n"/>
      <c r="CJ491" s="53" t="n"/>
      <c r="CK491" s="53" t="n"/>
      <c r="CL491" s="53" t="n"/>
      <c r="CM491" s="53" t="n"/>
      <c r="CN491" s="53" t="n"/>
      <c r="CO491" s="53" t="n"/>
      <c r="CP491" s="53" t="n"/>
      <c r="CQ491" s="53" t="n"/>
      <c r="CR491" s="53" t="n"/>
      <c r="CS491" s="53" t="n"/>
      <c r="CT491" s="53" t="n"/>
      <c r="CU491" s="53" t="n"/>
      <c r="CV491" s="53" t="n"/>
      <c r="CW491" s="53" t="n"/>
      <c r="CX491" s="53" t="n"/>
      <c r="CY491" s="53" t="n"/>
      <c r="CZ491" s="53" t="n"/>
      <c r="DA491" s="53" t="n"/>
      <c r="DB491" s="53" t="n"/>
      <c r="DC491" s="53" t="n"/>
      <c r="DD491" s="53" t="n"/>
      <c r="DE491" s="53" t="n"/>
      <c r="DF491" s="53" t="n"/>
      <c r="DG491" s="53" t="n"/>
      <c r="DH491" s="53" t="n"/>
      <c r="DI491" s="53" t="n"/>
      <c r="DJ491" s="53" t="n"/>
      <c r="DK491" s="53" t="n"/>
      <c r="DL491" s="53" t="n"/>
      <c r="DM491" s="53" t="n"/>
      <c r="DN491" s="53" t="n"/>
      <c r="DO491" s="53" t="n"/>
      <c r="DP491" s="53" t="n"/>
      <c r="DQ491" s="53" t="n"/>
      <c r="DR491" s="53" t="n"/>
      <c r="DS491" s="53" t="n"/>
      <c r="DT491" s="53" t="n"/>
      <c r="DU491" s="53" t="n"/>
      <c r="DV491" s="53" t="n"/>
      <c r="DW491" s="53" t="n"/>
      <c r="DX491" s="53" t="n"/>
      <c r="DY491" s="53" t="n"/>
      <c r="DZ491" s="53" t="n"/>
      <c r="EA491" s="53" t="n"/>
      <c r="EB491" s="53" t="n"/>
      <c r="EC491" s="53" t="n"/>
      <c r="ED491" s="53" t="n"/>
      <c r="EE491" s="53" t="n"/>
      <c r="EF491" s="53" t="n"/>
      <c r="EG491" s="53" t="n"/>
      <c r="EH491" s="53" t="n"/>
      <c r="EI491" s="53" t="n"/>
      <c r="EJ491" s="53" t="n"/>
      <c r="EK491" s="53" t="n"/>
      <c r="EL491" s="53" t="n"/>
      <c r="EM491" s="53" t="n"/>
      <c r="EN491" s="53" t="n"/>
      <c r="EO491" s="53" t="n"/>
      <c r="EP491" s="53" t="n"/>
      <c r="EQ491" s="53" t="n"/>
      <c r="ER491" s="53" t="n"/>
      <c r="ES491" s="53" t="n"/>
      <c r="ET491" s="53" t="n"/>
      <c r="EU491" s="53" t="n"/>
      <c r="EV491" s="53" t="n"/>
      <c r="EW491" s="52" t="n"/>
      <c r="EX491" s="53" t="inlineStr">
        <is>
          <t>• Role / sub-team: Technology — Trainee Software Engineer.
• Core purpose: No input received.
• Decision-making autonomy: Can independently solution Decisions.
• Is this something only they do: A few of us.
• What's different about this role: Develop frontend architecture, reusable shared components, and strong ownership of features from development through delivery and maintenance.</t>
        </is>
      </c>
      <c r="EY491" s="53" t="inlineStr">
        <is>
          <t>• Key responsibilities include: Frontend Development; UI Implementation; Feature Ownership; Team Collaboration; Code Quality.
• Personally accountable for: Accountable for the quality and reliability of the frontend solutions I deliver, the stability of the features I own, and ensuring issues are addressed proactively.
• Impact if missed or done wrong: If these responsibilities are missed or handled incorrectly, it can lead to quality issues, feature instability, delays, and a poor user experience.
• How measured: Same as everyone.</t>
        </is>
      </c>
      <c r="EZ491" s="53" t="inlineStr">
        <is>
          <t>• Current capabilities: Module Federation; Frontend Architecture; React.
• Tools / software used: VsCode; copilot.
• Workload: Rated a moderate load · 3/5 in a typical week.
• Judgment/way of working: Adaptability.</t>
        </is>
      </c>
      <c r="FA491" s="53" t="inlineStr">
        <is>
          <t>• Development priorities: Leadership responsibilities.
• Learning and Development Need: Good seniors. Better understanding of the product context, dependencies, and ownership earlier, as this would have helped me plan and deliver more efficiently.
• Role evolving toward: AI approach development.</t>
        </is>
      </c>
      <c r="FB491" s="53" t="inlineStr">
        <is>
          <t>• Key challenges: Changing requirements.
• Support required: Clearer requirements and timely UI decisions.</t>
        </is>
      </c>
      <c r="FC491" s="53" t="n"/>
      <c r="FD491" s="53" t="n"/>
      <c r="FE491" s="57" t="inlineStr">
        <is>
          <t>1.Improve task execution speed and reduce average task completion turnaround time by ≥ 40% YoY.
2.Increase independent task execution capability to complete ≥ 70% assigned tasks with minimal handholding by FY end.
3.Improve sprint delivery discipline by achieving ≥ 85% task completion within committed timelines.
4.Reduce dependency on repeated follow-ups by ≥ 60% through better ownership and proactive communication.
5.Improve quality of deliverables to achieve ≥ 80% first-time-right completion with minimal rework.
6.Demonstrate proactive problem-solving by independently identifying next steps / blockers in ≥ 50% assigned tasks.</t>
        </is>
      </c>
      <c r="FF491" s="56" t="n"/>
      <c r="FG491" s="56" t="n"/>
      <c r="FH491" s="56" t="n"/>
      <c r="FI491" s="56" t="n"/>
      <c r="FJ491" s="56" t="inlineStr">
        <is>
          <t>Received · manager annual</t>
        </is>
      </c>
      <c r="FK491" s="56" t="inlineStr">
        <is>
          <t>CARBON Mapping Master</t>
        </is>
      </c>
      <c r="FL491" s="56" t="n">
        <v>20</v>
      </c>
      <c r="FM491" s="56" t="inlineStr">
        <is>
          <t>• Role / sub-team: Technology — Trainee Software Engineer.
• Core purpose: No input received.
• Decision-making autonomy: Can independently solution Decisions.
• Is this something only they do: A few of us.
• What's different about this role: Develop frontend architecture, reusable shared components, and strong ownership of features from development through delivery and maintenance.</t>
        </is>
      </c>
      <c r="FN491" s="56" t="inlineStr">
        <is>
          <t>• Key responsibilities include: Frontend Development; UI Implementation; Feature Ownership; Team Collaboration; Code Quality.
• Personally accountable for: Accountable for the quality and reliability of the frontend solutions I deliver, the stability of the features I own, and ensuring issues are addressed proactively.
• Impact if missed or done wrong: If these responsibilities are missed or handled incorrectly, it can lead to quality issues, feature instability, delays, and a poor user experience.
• How measured: Same as everyone.</t>
        </is>
      </c>
      <c r="FO491" s="56" t="inlineStr">
        <is>
          <t>• Current capabilities: Module Federation; Frontend Architecture; React.
• Tools / software used: VsCode; copilot.
• Workload: Rated a moderate load · 3/5 in a typical week.
• Judgment/way of working: Adaptability.</t>
        </is>
      </c>
      <c r="FP491" s="56" t="inlineStr">
        <is>
          <t>• Development priorities: Leadership responsibilities.
• Learning and Development Need: Good seniors. Better understanding of the product context, dependencies, and ownership earlier, as this would have helped me plan and deliver more efficiently.
• Role evolving toward: AI approach development.</t>
        </is>
      </c>
      <c r="FQ491" s="56" t="inlineStr">
        <is>
          <t>• Key challenges: Changing requirements.
• Support required: Clearer requirements and timely UI decisions.</t>
        </is>
      </c>
      <c r="FR491" s="56" t="inlineStr">
        <is>
          <t>Complexity: Evidence reads like A3: Owns common components and shared UI across applications; Module Federation and frontend architecture → moved up 1
Autonomy: Evidence reads like A2: Only 'solution decisions' stated, with no detail → moved up 0.5
Accountability: Evidence reads like A3: Stability of owned features and shared components used across applications → moved up 1
Leadership: Evidence reads like A1: None described beyond team collaboration → matches the start
Business Impact: No survey or manager-mapping signal on criticality: kept at the start point.</t>
        </is>
      </c>
      <c r="FS491" s="56" t="inlineStr">
        <is>
          <t>Common themes in role-holders' answers: solutions · maintain · problems · core · purpose · while
Common themes in role-holders' answers: feature · code · quality · development · delivery
Common themes in role-holders' answers: features · quality · software
Common themes in role-holders' answers: quality · accountable · reliability · deliver · features · code
Common themes in role-holders' answers: decisions · implement
If the work is missed · role-holders' themes: delays · quality · impact · rework.
Measured on · manager-set KRA themes: complete · improve · assigned · resolve · code · leakage qa/uat.</t>
        </is>
      </c>
      <c r="FT491" s="56" t="inlineStr">
        <is>
          <t>Self-identified: Leadership &amp; people management · Broader exposure &amp; ownership
For the next role: Leadership &amp; people management · Broader exposure &amp; ownership</t>
        </is>
      </c>
      <c r="FU491" s="56" t="inlineStr">
        <is>
          <t>Per-person summary · CARBON Mapping Master</t>
        </is>
      </c>
    </row>
    <row r="492" ht="90" customHeight="1">
      <c r="A492" s="51" t="inlineStr">
        <is>
          <t>◂ Back</t>
        </is>
      </c>
      <c r="B492" s="29" t="inlineStr">
        <is>
          <t>Mapped</t>
        </is>
      </c>
      <c r="C492" s="28" t="inlineStr">
        <is>
          <t>CARBON</t>
        </is>
      </c>
      <c r="D492" s="29" t="inlineStr">
        <is>
          <t>IRIS2109</t>
        </is>
      </c>
      <c r="E492" s="29" t="inlineStr">
        <is>
          <t>Jayshiv Patel</t>
        </is>
      </c>
      <c r="F492" s="29" t="inlineStr">
        <is>
          <t>Technology</t>
        </is>
      </c>
      <c r="G492" s="29" t="inlineStr">
        <is>
          <t>Software Engineer</t>
        </is>
      </c>
      <c r="H492" s="29" t="inlineStr">
        <is>
          <t>Senior Software Engineer</t>
        </is>
      </c>
      <c r="I492" s="29" t="inlineStr">
        <is>
          <t>L3 – Professional / Associate</t>
        </is>
      </c>
      <c r="J492" s="29" t="inlineStr">
        <is>
          <t>A3</t>
        </is>
      </c>
      <c r="K492" s="29" t="inlineStr">
        <is>
          <t>▲ Up</t>
        </is>
      </c>
      <c r="L492" s="29" t="inlineStr">
        <is>
          <t>Engineering &amp; Development</t>
        </is>
      </c>
      <c r="M492" s="29" t="inlineStr">
        <is>
          <t>Full-Stack Development</t>
        </is>
      </c>
      <c r="N492" s="29" t="inlineStr">
        <is>
          <t>• Confirm the reporting line — Manager</t>
        </is>
      </c>
      <c r="O492" s="29" t="n">
        <v>20</v>
      </c>
      <c r="P492" s="28" t="inlineStr">
        <is>
          <t>P2</t>
        </is>
      </c>
      <c r="Q492" s="29" t="inlineStr">
        <is>
          <t>Developing</t>
        </is>
      </c>
      <c r="R492" s="29" t="inlineStr">
        <is>
          <t>3 Apply</t>
        </is>
      </c>
      <c r="S492" s="29" t="inlineStr">
        <is>
          <t>2–4 yrs</t>
        </is>
      </c>
      <c r="T492" s="29" t="inlineStr">
        <is>
          <t>3–5 · 2–5</t>
        </is>
      </c>
      <c r="U492" s="29" t="inlineStr">
        <is>
          <t>Software Engineer</t>
        </is>
      </c>
      <c r="V492" s="29" t="inlineStr">
        <is>
          <t>Workiva: SE · Broadridge India: SE · Nasdaq / AxiomSL: SE · Salesforce: MTS · Atlassian: P40 · 3–7 yrs · Freshworks: Senior SE</t>
        </is>
      </c>
      <c r="W492" s="29" t="inlineStr">
        <is>
          <t>SFIA 9 · software development, programming; OWASP secure coding; cloud vendor certifications</t>
        </is>
      </c>
      <c r="X492" s="29" t="inlineStr">
        <is>
          <t>Core 2 · Future 2 · Functional 3 · Leadership not scored</t>
        </is>
      </c>
      <c r="Y492" s="52" t="n">
        <v>266</v>
      </c>
      <c r="Z492" s="53" t="inlineStr">
        <is>
          <t>IRIS2109</t>
        </is>
      </c>
      <c r="AA492" s="53" t="inlineStr">
        <is>
          <t>Employee</t>
        </is>
      </c>
      <c r="AB492" s="53" t="inlineStr">
        <is>
          <t>Active</t>
        </is>
      </c>
      <c r="AC492" s="53" t="inlineStr">
        <is>
          <t>Jayshiv Patel</t>
        </is>
      </c>
      <c r="AD492" s="54" t="n">
        <v>45019</v>
      </c>
      <c r="AE492" s="53" t="inlineStr">
        <is>
          <t>Software Engineer</t>
        </is>
      </c>
      <c r="AF492" s="53" t="inlineStr">
        <is>
          <t>Msc</t>
        </is>
      </c>
      <c r="AG492" s="53" t="inlineStr">
        <is>
          <t>Chetan Kotwal</t>
        </is>
      </c>
      <c r="AH492" s="53" t="inlineStr">
        <is>
          <t>N-3</t>
        </is>
      </c>
      <c r="AI492" s="53" t="inlineStr">
        <is>
          <t>Manager</t>
        </is>
      </c>
      <c r="AJ492" s="53" t="inlineStr">
        <is>
          <t>0 years, 0 months, 0 days</t>
        </is>
      </c>
      <c r="AK492" s="53" t="inlineStr">
        <is>
          <t>3 years, 4 months, 22 days</t>
        </is>
      </c>
      <c r="AL492" s="53" t="inlineStr">
        <is>
          <t>Regtech</t>
        </is>
      </c>
      <c r="AM492" s="53" t="inlineStr">
        <is>
          <t>CARBON</t>
        </is>
      </c>
      <c r="AN492" s="53" t="inlineStr">
        <is>
          <t>Technology</t>
        </is>
      </c>
      <c r="AO492" s="53" t="inlineStr">
        <is>
          <t>Development</t>
        </is>
      </c>
      <c r="AP492" s="53" t="inlineStr">
        <is>
          <t>Yes</t>
        </is>
      </c>
      <c r="AQ492" s="53" t="inlineStr">
        <is>
          <t>Product/Project</t>
        </is>
      </c>
      <c r="AR492" s="53" t="inlineStr">
        <is>
          <t>.NET MVC</t>
        </is>
      </c>
      <c r="AS492" s="53" t="inlineStr">
        <is>
          <t>Technical - Developer</t>
        </is>
      </c>
      <c r="AT492" s="53" t="n">
        <v>20</v>
      </c>
      <c r="AU492" s="53" t="inlineStr">
        <is>
          <t>Covered</t>
        </is>
      </c>
      <c r="AV492" s="53" t="inlineStr">
        <is>
          <t>IRIS2109</t>
        </is>
      </c>
      <c r="AW492" s="53" t="inlineStr">
        <is>
          <t>Jayshiv Patel</t>
        </is>
      </c>
      <c r="AX492" s="53" t="inlineStr">
        <is>
          <t>Technology</t>
        </is>
      </c>
      <c r="AY492" s="53" t="inlineStr">
        <is>
          <t>Engineering &amp; Development</t>
        </is>
      </c>
      <c r="AZ492" s="53" t="inlineStr">
        <is>
          <t>Full-Stack Engineering</t>
        </is>
      </c>
      <c r="BA492" s="53" t="n"/>
      <c r="BB492" s="53" t="n"/>
      <c r="BC492" s="53" t="inlineStr">
        <is>
          <t>Employee</t>
        </is>
      </c>
      <c r="BD492" s="53" t="inlineStr">
        <is>
          <t>Chetan Kotwal</t>
        </is>
      </c>
      <c r="BE492" s="53" t="inlineStr">
        <is>
          <t>Chetan Kotwal</t>
        </is>
      </c>
      <c r="BF492" s="53" t="inlineStr">
        <is>
          <t>No</t>
        </is>
      </c>
      <c r="BG492" s="53" t="inlineStr">
        <is>
          <t>Software Engineer</t>
        </is>
      </c>
      <c r="BH492" s="53" t="inlineStr">
        <is>
          <t>Software Engineer</t>
        </is>
      </c>
      <c r="BI492" s="53" t="inlineStr">
        <is>
          <t>No</t>
        </is>
      </c>
      <c r="BJ492" s="53" t="n">
        <v>2</v>
      </c>
      <c r="BK492" s="53" t="n">
        <v>2</v>
      </c>
      <c r="BL492" s="53" t="n">
        <v>0</v>
      </c>
      <c r="BM492" s="53" t="inlineStr">
        <is>
          <t>Consolidate / flatten</t>
        </is>
      </c>
      <c r="BN492" s="53" t="n">
        <v>2</v>
      </c>
      <c r="BO492" s="53" t="n">
        <v>2</v>
      </c>
      <c r="BP492" s="53" t="n">
        <v>0</v>
      </c>
      <c r="BQ492" s="53" t="inlineStr">
        <is>
          <t>Consolidate / flatten</t>
        </is>
      </c>
      <c r="BR492" s="53" t="inlineStr">
        <is>
          <t>No</t>
        </is>
      </c>
      <c r="BS492" s="53" t="inlineStr">
        <is>
          <t>L3 – Professional / Associate</t>
        </is>
      </c>
      <c r="BT492" s="53" t="inlineStr">
        <is>
          <t>L3 – Professional / Associate</t>
        </is>
      </c>
      <c r="BU492" s="53" t="inlineStr">
        <is>
          <t>No designation change — current record value carried forward</t>
        </is>
      </c>
      <c r="BV492" s="53" t="inlineStr">
        <is>
          <t>1.Deliver ≥ 95% committed MS 365 / Office Add-in tasks within agreed timelines with high-quality implementation.
2.Improve technical breadth by learning advanced software engineering concepts · system design, backend architecture, integration, security and contribute to ≥ 40% technical design discussions.
3.Maintain strong engineering quality by achieving ≥ 90% first-time-right delivery and reducing rework by ≥ 30% YoY.
4.Improve platform engineering capability by designing minimum 2 reusable components/frameworks for MS 365 integrations.
5.Maintain high engineering standards with ≥ 90% code quality compliance and participation in ≥ 70% relevant code reviews.
6.Develop leadership and mentoring capability to demonstrate readiness for Technical Lead role.</t>
        </is>
      </c>
      <c r="BW492" s="53" t="n"/>
      <c r="BX492" s="53" t="inlineStr">
        <is>
          <t>Global.</t>
        </is>
      </c>
      <c r="BY492" s="53" t="n"/>
      <c r="BZ492" s="53" t="n"/>
      <c r="CA492" s="53" t="n"/>
      <c r="CB492" s="53" t="n"/>
      <c r="CC492" s="53" t="n"/>
      <c r="CD492" s="53" t="n"/>
      <c r="CE492" s="53" t="n"/>
      <c r="CF492" s="53" t="n"/>
      <c r="CG492" s="53" t="n"/>
      <c r="CH492" s="53" t="n"/>
      <c r="CI492" s="53" t="n"/>
      <c r="CJ492" s="53" t="n"/>
      <c r="CK492" s="53" t="n"/>
      <c r="CL492" s="53" t="n"/>
      <c r="CM492" s="53" t="n"/>
      <c r="CN492" s="53" t="n"/>
      <c r="CO492" s="53" t="n"/>
      <c r="CP492" s="53" t="n"/>
      <c r="CQ492" s="53" t="n"/>
      <c r="CR492" s="53" t="n"/>
      <c r="CS492" s="53" t="n"/>
      <c r="CT492" s="53" t="n"/>
      <c r="CU492" s="53" t="n"/>
      <c r="CV492" s="53" t="n"/>
      <c r="CW492" s="53" t="n"/>
      <c r="CX492" s="53" t="n"/>
      <c r="CY492" s="53" t="n"/>
      <c r="CZ492" s="53" t="n"/>
      <c r="DA492" s="53" t="n"/>
      <c r="DB492" s="53" t="n"/>
      <c r="DC492" s="53" t="n"/>
      <c r="DD492" s="53" t="n"/>
      <c r="DE492" s="53" t="n"/>
      <c r="DF492" s="53" t="n"/>
      <c r="DG492" s="53" t="n"/>
      <c r="DH492" s="53" t="n"/>
      <c r="DI492" s="53" t="n"/>
      <c r="DJ492" s="53" t="n"/>
      <c r="DK492" s="53" t="n"/>
      <c r="DL492" s="53" t="n"/>
      <c r="DM492" s="53" t="n"/>
      <c r="DN492" s="53" t="n"/>
      <c r="DO492" s="53" t="n"/>
      <c r="DP492" s="53" t="n"/>
      <c r="DQ492" s="53" t="n"/>
      <c r="DR492" s="53" t="n"/>
      <c r="DS492" s="53" t="n"/>
      <c r="DT492" s="53" t="n"/>
      <c r="DU492" s="53" t="n"/>
      <c r="DV492" s="53" t="n"/>
      <c r="DW492" s="53" t="n"/>
      <c r="DX492" s="53" t="n"/>
      <c r="DY492" s="53" t="n"/>
      <c r="DZ492" s="53" t="n"/>
      <c r="EA492" s="53" t="n"/>
      <c r="EB492" s="53" t="n"/>
      <c r="EC492" s="53" t="n"/>
      <c r="ED492" s="53" t="n"/>
      <c r="EE492" s="53" t="n"/>
      <c r="EF492" s="53" t="n"/>
      <c r="EG492" s="53" t="n"/>
      <c r="EH492" s="53" t="n"/>
      <c r="EI492" s="53" t="n"/>
      <c r="EJ492" s="53" t="n"/>
      <c r="EK492" s="53" t="n"/>
      <c r="EL492" s="53" t="n"/>
      <c r="EM492" s="53" t="n"/>
      <c r="EN492" s="53" t="n"/>
      <c r="EO492" s="53" t="n"/>
      <c r="EP492" s="53" t="n"/>
      <c r="EQ492" s="53" t="n"/>
      <c r="ER492" s="53" t="n"/>
      <c r="ES492" s="53" t="n"/>
      <c r="ET492" s="53" t="n"/>
      <c r="EU492" s="53" t="n"/>
      <c r="EV492" s="53" t="n"/>
      <c r="EW492" s="52" t="n"/>
      <c r="EX492" s="53" t="inlineStr">
        <is>
          <t>• Role / sub-team: Technology — Software Engineer.
• Core purpose: As a Software Engineer, my core purpose is to develop new features and enhancements for the product, maintain and improve existing functionality, and guide and support the team members.
• Decision-making autonomy: Can independently feature implementation.
• Is this something only they do: A few of us.
• What's different about this role: Requires evaluating multiple technical approaches and using AI tools to improve development speed, quality, and problem-solving.</t>
        </is>
      </c>
      <c r="EY492" s="53" t="inlineStr">
        <is>
          <t>• Key responsibilities include: Feature Development; Production Support; Team Technical Guidance.
• Personally accountable for: Responsible for feature delivery, code quality,backend functionality, frontend integration and ensuring solutions work reliably in production.
• Impact if missed or done wrong: Cause production issues, delays, rework, and impact product quality and users.
• How measured: Same as everyone.</t>
        </is>
      </c>
      <c r="EZ492" s="53" t="inlineStr">
        <is>
          <t>• Current capabilities: Net - React Development; office js; debugging.
• Tools / software used: VS Code.
• Workload: Rated a heavy load · 4/5 in a typical week.
• Judgment/way of working: Problem Solving.</t>
        </is>
      </c>
      <c r="FA492" s="53" t="inlineStr">
        <is>
          <t>• Development priorities: Leadership, system architecture, project ownership, and exposure to larger-scale technical decisions.
• Learning and Development Need: Opportunity to prove. System architecture and dependencies.
• Role evolving toward: AI-assisted development.</t>
        </is>
      </c>
      <c r="FB492" s="53" t="inlineStr">
        <is>
          <t>• Key challenges: Ad hoc requirements; AI credits; Changing Requirements; Unclear Requirements; 3 party tool Dependencies.
• Support required: Clearer Requirements.</t>
        </is>
      </c>
      <c r="FC492" s="53" t="n"/>
      <c r="FD492" s="53" t="n"/>
      <c r="FE492" s="57" t="inlineStr">
        <is>
          <t>1.Deliver ≥ 95% committed MS 365 / Office Add-in tasks within agreed timelines with high-quality implementation.
2.Improve technical breadth by learning advanced software engineering concepts · system design, backend architecture, integration, security and contribute to ≥ 40% technical design discussions.
3.Maintain strong engineering quality by achieving ≥ 90% first-time-right delivery and reducing rework by ≥ 30% YoY.
4.Improve platform engineering capability by designing minimum 2 reusable components/frameworks for MS 365 integrations.
5.Maintain high engineering standards with ≥ 90% code quality compliance and participation in ≥ 70% relevant code reviews.
6.Develop leadership and mentoring capability to demonstrate readiness for Technical Lead role.</t>
        </is>
      </c>
      <c r="FF492" s="56" t="n"/>
      <c r="FG492" s="56" t="n"/>
      <c r="FH492" s="56" t="n"/>
      <c r="FI492" s="56" t="n"/>
      <c r="FJ492" s="56" t="inlineStr">
        <is>
          <t>Received · manager annual</t>
        </is>
      </c>
      <c r="FK492" s="56" t="inlineStr">
        <is>
          <t>CARBON Mapping Master</t>
        </is>
      </c>
      <c r="FL492" s="56" t="n">
        <v>20</v>
      </c>
      <c r="FM492" s="56" t="inlineStr">
        <is>
          <t>• Role / sub-team: Technology — Software Engineer.
• Core purpose: As a Software Engineer, my core purpose is to develop new features and enhancements for the product, maintain and improve existing functionality, and guide and support the team members.
• Decision-making autonomy: Can independently feature implementation.
• Is this something only they do: A few of us.
• What's different about this role: Requires evaluating multiple technical approaches and using AI tools to improve development speed, quality, and problem-solving.</t>
        </is>
      </c>
      <c r="FN492" s="56" t="inlineStr">
        <is>
          <t>• Key responsibilities include: Feature Development; Production Support; Team Technical Guidance.
• Personally accountable for: Responsible for feature delivery, code quality,backend functionality, frontend integration and ensuring solutions work reliably in production.
• Impact if missed or done wrong: Cause production issues, delays, rework, and impact product quality and users.
• How measured: Same as everyone.</t>
        </is>
      </c>
      <c r="FO492" s="56" t="inlineStr">
        <is>
          <t>• Current capabilities: Net - React Development; office js; debugging.
• Tools / software used: VS Code.
• Workload: Rated a heavy load · 4/5 in a typical week.
• Judgment/way of working: Problem Solving.</t>
        </is>
      </c>
      <c r="FP492" s="56" t="inlineStr">
        <is>
          <t>• Development priorities: Leadership, system architecture, project ownership, and exposure to larger-scale technical decisions.
• Learning and Development Need: Opportunity to prove. System architecture and dependencies.
• Role evolving toward: AI-assisted development.</t>
        </is>
      </c>
      <c r="FQ492" s="56" t="inlineStr">
        <is>
          <t>• Key challenges: Ad hoc requirements; AI credits; Changing Requirements; Unclear Requirements; 3 party tool Dependencies.
• Support required: Clearer Requirements.</t>
        </is>
      </c>
      <c r="FR492" s="56" t="inlineStr">
        <is>
          <t>Complexity: Evidence reads like A3: Feature development across backend and frontend, production support, technical guidance to team → moved up 0.5
Autonomy: Evidence reads like A2: Decides 'feature implementation' only; no wider calls stated → moved down 0.5
Accountability: Evidence reads like A3: own survey / KRA answers · summarised by the rater; not quoted → moved down 0.5
Leadership: Evidence reads like A3: 'Team technical guidance' is a listed responsibility; 2 reports → moved down 0.5
Business Impact: No survey or manager-mapping signal on criticality: kept at the start point.</t>
        </is>
      </c>
      <c r="FS492" s="56"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FT492" s="56" t="inlineStr">
        <is>
          <t>Self-identified: Leadership &amp; people management · Project / programme management · Technical depth &amp; architecture · Strategy &amp; business acumen · Broader exposure &amp; ownership
For the next role: Leadership &amp; people management · Project / programme management · Technical depth &amp; architecture · Strategy &amp; business acumen · Broader exposure &amp; ownership</t>
        </is>
      </c>
      <c r="FU492" s="56" t="inlineStr">
        <is>
          <t>Per-person summary · CARBON Mapping Master</t>
        </is>
      </c>
    </row>
    <row r="493" ht="90" customHeight="1">
      <c r="A493" s="51" t="inlineStr">
        <is>
          <t>◂ Back</t>
        </is>
      </c>
      <c r="B493" s="29" t="inlineStr">
        <is>
          <t>Mapped</t>
        </is>
      </c>
      <c r="C493" s="28" t="inlineStr">
        <is>
          <t>CARBON</t>
        </is>
      </c>
      <c r="D493" s="29" t="inlineStr">
        <is>
          <t>IRIS2048</t>
        </is>
      </c>
      <c r="E493" s="29" t="inlineStr">
        <is>
          <t>Gajanan Vadekar</t>
        </is>
      </c>
      <c r="F493" s="29" t="inlineStr">
        <is>
          <t>Support</t>
        </is>
      </c>
      <c r="G493" s="29" t="inlineStr">
        <is>
          <t>Software Engineer</t>
        </is>
      </c>
      <c r="H493" s="29" t="inlineStr">
        <is>
          <t>Senior Software Engineer</t>
        </is>
      </c>
      <c r="I493" s="29" t="inlineStr">
        <is>
          <t>L3 – Professional / Associate</t>
        </is>
      </c>
      <c r="J493" s="29" t="inlineStr">
        <is>
          <t>A3</t>
        </is>
      </c>
      <c r="K493" s="29" t="inlineStr">
        <is>
          <t>▲ Up</t>
        </is>
      </c>
      <c r="L493" s="29" t="inlineStr">
        <is>
          <t>Engineering &amp; Development</t>
        </is>
      </c>
      <c r="M493" s="29" t="inlineStr">
        <is>
          <t>Application Maintenance &amp; Production Support</t>
        </is>
      </c>
      <c r="N493" s="29" t="n"/>
      <c r="O493" s="29" t="n">
        <v>20</v>
      </c>
      <c r="P493" s="28" t="inlineStr">
        <is>
          <t>P2</t>
        </is>
      </c>
      <c r="Q493" s="29" t="inlineStr">
        <is>
          <t>Developing</t>
        </is>
      </c>
      <c r="R493" s="29" t="inlineStr">
        <is>
          <t>3 Apply</t>
        </is>
      </c>
      <c r="S493" s="29" t="inlineStr">
        <is>
          <t>2–4 yrs</t>
        </is>
      </c>
      <c r="T493" s="29" t="inlineStr">
        <is>
          <t>3–5 · 2–5</t>
        </is>
      </c>
      <c r="U493" s="29" t="inlineStr">
        <is>
          <t>Software Engineer</t>
        </is>
      </c>
      <c r="V493" s="29" t="inlineStr">
        <is>
          <t>Workiva: SE · Broadridge India: SE · Nasdaq / AxiomSL: SE · Salesforce: MTS · Atlassian: P40 · 3–7 yrs · Freshworks: Senior SE</t>
        </is>
      </c>
      <c r="W493" s="29" t="inlineStr">
        <is>
          <t>SFIA 9 · software development, programming; OWASP secure coding; cloud vendor certifications</t>
        </is>
      </c>
      <c r="X493" s="29" t="inlineStr">
        <is>
          <t>Core 2 · Future 2 · Functional 3 · Leadership not scored</t>
        </is>
      </c>
      <c r="Y493" s="52" t="n">
        <v>234</v>
      </c>
      <c r="Z493" s="53" t="inlineStr">
        <is>
          <t>IRIS2048</t>
        </is>
      </c>
      <c r="AA493" s="53" t="inlineStr">
        <is>
          <t>Employee</t>
        </is>
      </c>
      <c r="AB493" s="53" t="inlineStr">
        <is>
          <t>Active</t>
        </is>
      </c>
      <c r="AC493" s="53" t="inlineStr">
        <is>
          <t>Gajanan Vadekar</t>
        </is>
      </c>
      <c r="AD493" s="54" t="n">
        <v>44774</v>
      </c>
      <c r="AE493" s="53" t="inlineStr">
        <is>
          <t>Software Engineer</t>
        </is>
      </c>
      <c r="AF493" s="53" t="inlineStr">
        <is>
          <t>B.Tech</t>
        </is>
      </c>
      <c r="AG493" s="53" t="inlineStr">
        <is>
          <t>Jayshiv Patel</t>
        </is>
      </c>
      <c r="AH493" s="53" t="inlineStr">
        <is>
          <t>N-4</t>
        </is>
      </c>
      <c r="AI493" s="53" t="inlineStr">
        <is>
          <t>Individual Contributor</t>
        </is>
      </c>
      <c r="AJ493" s="53" t="inlineStr">
        <is>
          <t>0 years, 0 months, 0 days</t>
        </is>
      </c>
      <c r="AK493" s="53" t="inlineStr">
        <is>
          <t>4 years, 0 months, 24 days</t>
        </is>
      </c>
      <c r="AL493" s="53" t="inlineStr">
        <is>
          <t>Regtech</t>
        </is>
      </c>
      <c r="AM493" s="53" t="inlineStr">
        <is>
          <t>CARBON</t>
        </is>
      </c>
      <c r="AN493" s="53" t="inlineStr">
        <is>
          <t>Support</t>
        </is>
      </c>
      <c r="AO493" s="53" t="inlineStr">
        <is>
          <t>Tech Support</t>
        </is>
      </c>
      <c r="AP493" s="53" t="inlineStr">
        <is>
          <t>Yes</t>
        </is>
      </c>
      <c r="AQ493" s="53" t="inlineStr">
        <is>
          <t>Product/Project</t>
        </is>
      </c>
      <c r="AR493" s="53" t="inlineStr">
        <is>
          <t>.NET MVC</t>
        </is>
      </c>
      <c r="AS493" s="53" t="inlineStr">
        <is>
          <t>Technical - Developer</t>
        </is>
      </c>
      <c r="AT493" s="53" t="n">
        <v>20</v>
      </c>
      <c r="AU493" s="53" t="inlineStr">
        <is>
          <t>Covered</t>
        </is>
      </c>
      <c r="AV493" s="53" t="inlineStr">
        <is>
          <t>IRIS2048</t>
        </is>
      </c>
      <c r="AW493" s="53" t="inlineStr">
        <is>
          <t>Gajanan Vadekar</t>
        </is>
      </c>
      <c r="AX493" s="53" t="inlineStr">
        <is>
          <t>Technology</t>
        </is>
      </c>
      <c r="AY493" s="53" t="inlineStr">
        <is>
          <t>Engineering &amp; Development</t>
        </is>
      </c>
      <c r="AZ493" s="53" t="inlineStr">
        <is>
          <t>Application / Production Support</t>
        </is>
      </c>
      <c r="BA493" s="53" t="n"/>
      <c r="BB493" s="53" t="n"/>
      <c r="BC493" s="53" t="inlineStr">
        <is>
          <t>Employee</t>
        </is>
      </c>
      <c r="BD493" s="53" t="inlineStr">
        <is>
          <t>Jayshiv Patel</t>
        </is>
      </c>
      <c r="BE493" s="53" t="inlineStr">
        <is>
          <t>Jayshiv Patel</t>
        </is>
      </c>
      <c r="BF493" s="53" t="inlineStr">
        <is>
          <t>No</t>
        </is>
      </c>
      <c r="BG493" s="53" t="inlineStr">
        <is>
          <t>Software Engineer</t>
        </is>
      </c>
      <c r="BH493" s="53" t="inlineStr">
        <is>
          <t>Software Engineer - Platform / Integration Support Engineer</t>
        </is>
      </c>
      <c r="BI493" s="53" t="inlineStr">
        <is>
          <t>Check</t>
        </is>
      </c>
      <c r="BJ493" s="53" t="inlineStr">
        <is>
          <t>—</t>
        </is>
      </c>
      <c r="BK493" s="53" t="inlineStr">
        <is>
          <t>—</t>
        </is>
      </c>
      <c r="BL493" s="53" t="inlineStr">
        <is>
          <t>—</t>
        </is>
      </c>
      <c r="BM493" s="53" t="inlineStr">
        <is>
          <t>Not a manager</t>
        </is>
      </c>
      <c r="BN493" s="53" t="inlineStr">
        <is>
          <t>—</t>
        </is>
      </c>
      <c r="BO493" s="53" t="inlineStr">
        <is>
          <t>—</t>
        </is>
      </c>
      <c r="BP493" s="53" t="inlineStr">
        <is>
          <t>—</t>
        </is>
      </c>
      <c r="BQ493" s="53" t="inlineStr">
        <is>
          <t>Not a manager</t>
        </is>
      </c>
      <c r="BR493" s="53" t="inlineStr">
        <is>
          <t>—</t>
        </is>
      </c>
      <c r="BS493" s="53" t="inlineStr">
        <is>
          <t>L3 – Professional / Associate</t>
        </is>
      </c>
      <c r="BT493" s="53" t="inlineStr">
        <is>
          <t>L3 – Professional / Associate</t>
        </is>
      </c>
      <c r="BU493" s="53" t="inlineStr">
        <is>
          <t>No designation change — current record value carried forward</t>
        </is>
      </c>
      <c r="BV493" s="53" t="inlineStr">
        <is>
          <t>1.Ensure ≥ 95% MS 365 Add-in support tickets/incidents are acknowledged and responded to within defined TAT/SLA.
2.Improve issue resolution efficiency by ensuring ≥ 90% MS 365 incidents are resolved or routed with proper root-cause analysis and actionable inputs for development team.
3.Deliver hotfixes, scripts, and module-level fixes for ≥ 80% urgent production issues related to Office Add-ins, authentication, and integrations where immediate resolution is possible.
4.Improve MS 365 Add-in stability by reducing repeated production/support issues by ≥ 35% YoY through root-cause fixes and preventive improvements.
5.Maintain strong engineering standards with ≥ 90% code quality compliance for development work and support fixes.
6.Train and enable minimum 1 additional team member to independently support MS 365 Add-in modules, reducing single-point dependency.</t>
        </is>
      </c>
      <c r="BW493" s="53" t="n"/>
      <c r="BX493" s="53" t="inlineStr">
        <is>
          <t>Internal.</t>
        </is>
      </c>
      <c r="BY493" s="53" t="n"/>
      <c r="BZ493" s="53" t="n"/>
      <c r="CA493" s="53" t="n"/>
      <c r="CB493" s="53" t="n"/>
      <c r="CC493" s="53" t="n"/>
      <c r="CD493" s="53" t="n"/>
      <c r="CE493" s="53" t="n"/>
      <c r="CF493" s="53" t="n"/>
      <c r="CG493" s="53" t="n"/>
      <c r="CH493" s="53" t="n"/>
      <c r="CI493" s="53" t="n"/>
      <c r="CJ493" s="53" t="n"/>
      <c r="CK493" s="53" t="n"/>
      <c r="CL493" s="53" t="n"/>
      <c r="CM493" s="53" t="n"/>
      <c r="CN493" s="53" t="n"/>
      <c r="CO493" s="53" t="n"/>
      <c r="CP493" s="53" t="n"/>
      <c r="CQ493" s="53" t="n"/>
      <c r="CR493" s="53" t="n"/>
      <c r="CS493" s="53" t="n"/>
      <c r="CT493" s="53" t="n"/>
      <c r="CU493" s="53" t="n"/>
      <c r="CV493" s="53" t="n"/>
      <c r="CW493" s="53" t="n"/>
      <c r="CX493" s="53" t="n"/>
      <c r="CY493" s="53" t="n"/>
      <c r="CZ493" s="53" t="n"/>
      <c r="DA493" s="53" t="n"/>
      <c r="DB493" s="53" t="n"/>
      <c r="DC493" s="53" t="n"/>
      <c r="DD493" s="53" t="n"/>
      <c r="DE493" s="53" t="n"/>
      <c r="DF493" s="53" t="n"/>
      <c r="DG493" s="53" t="n"/>
      <c r="DH493" s="53" t="n"/>
      <c r="DI493" s="53" t="n"/>
      <c r="DJ493" s="53" t="n"/>
      <c r="DK493" s="53" t="n"/>
      <c r="DL493" s="53" t="n"/>
      <c r="DM493" s="53" t="n"/>
      <c r="DN493" s="53" t="n"/>
      <c r="DO493" s="53" t="n"/>
      <c r="DP493" s="53" t="n"/>
      <c r="DQ493" s="53" t="n"/>
      <c r="DR493" s="53" t="n"/>
      <c r="DS493" s="53" t="n"/>
      <c r="DT493" s="53" t="n"/>
      <c r="DU493" s="53" t="n"/>
      <c r="DV493" s="53" t="n"/>
      <c r="DW493" s="53" t="n"/>
      <c r="DX493" s="53" t="n"/>
      <c r="DY493" s="53" t="n"/>
      <c r="DZ493" s="53" t="n"/>
      <c r="EA493" s="53" t="n"/>
      <c r="EB493" s="53" t="n"/>
      <c r="EC493" s="53" t="n"/>
      <c r="ED493" s="53" t="n"/>
      <c r="EE493" s="53" t="n"/>
      <c r="EF493" s="53" t="n"/>
      <c r="EG493" s="53" t="n"/>
      <c r="EH493" s="53" t="n"/>
      <c r="EI493" s="53" t="n"/>
      <c r="EJ493" s="53" t="n"/>
      <c r="EK493" s="53" t="n"/>
      <c r="EL493" s="53" t="n"/>
      <c r="EM493" s="53" t="n"/>
      <c r="EN493" s="53" t="n"/>
      <c r="EO493" s="53" t="n"/>
      <c r="EP493" s="53" t="n"/>
      <c r="EQ493" s="53" t="n"/>
      <c r="ER493" s="53" t="n"/>
      <c r="ES493" s="53" t="n"/>
      <c r="ET493" s="53" t="n"/>
      <c r="EU493" s="53" t="n"/>
      <c r="EV493" s="53" t="n"/>
      <c r="EW493" s="52" t="inlineStr">
        <is>
          <t>Job rotation for dev work</t>
        </is>
      </c>
      <c r="EX493" s="53" t="inlineStr">
        <is>
          <t>• Role / sub-team: Support — Software Engineer.
• Core purpose: To ensure a smooth and reliable experience for end users while using the product we have developed, by maintaining its quality, performance, and usability.
• Decision-making autonomy: Can independently code fixes n improvements.
• Is this something only they do: A few others in the team also handle similar responsibilities, but I am personally accountable for my assigned areas.
• What's different about this role: It involves using AI more effectively, evolving customer needs, strict quality expectations, and the risk of production issues impacting multiple end users.</t>
        </is>
      </c>
      <c r="EY493" s="53" t="inlineStr">
        <is>
          <t>• Key responsibilities include: Feature Development; CodeQuality n performance; Production Support.
• Personally accountable for: I am accountable for delivering reliable, high-quality software features, maintaining product performance, and ensuring a smooth and consistent experience for end users.
• Impact if missed or done wrong: It can lead to bugs, poor performance, delays, production issues, rework, and a poor end-user experience, affecting both product quality and customer satisfaction.
• How measured: The core KPIs are similar, but my role is also measured on code quality, product reliability, performance, delivery consistency, and end-user experience.</t>
        </is>
      </c>
      <c r="EZ493" s="53" t="inlineStr">
        <is>
          <t>• Current capabilities: Coding AI.
• Tools / software used: VisualStudio Mongo.
• Workload: Rated a moderate load · 3/5 in a typical week.
• Judgment/way of working: Yes—ownership, problem-solving, prioritization, attention to quality, and using AI effectively to make informed decisions and deliver reliable solutions.</t>
        </is>
      </c>
      <c r="FA493" s="53" t="inlineStr">
        <is>
          <t>• Development priorities: I would need more exposure to system design, architecture, leadership, advanced AI usage, and cross-functional decision-making to take on broader responsibilities and prepare for the next role.
• Learning and Development Need: Hands-on project exper. I wish I had known the key systems, processes, and team dependencies earlier, as it would have made onboarding and problem-solving much smoother.
• Role evolving toward: Yes. AI-assisted development, new tools, evolving customer requirements, and increasing focus on performance, reliability, and delivery efficiency are changing the role.</t>
        </is>
      </c>
      <c r="FB493" s="53" t="inlineStr">
        <is>
          <t>• Key challenges: Changing requirements.
• Support required: Better documentation, clearer requirements, and faster access to required tools and support would reduce delays and help deliver features more efficiently and reliably.</t>
        </is>
      </c>
      <c r="FC493" s="53" t="n"/>
      <c r="FD493" s="53" t="n"/>
      <c r="FE493" s="57" t="inlineStr">
        <is>
          <t>1.Ensure ≥ 95% MS 365 Add-in support tickets/incidents are acknowledged and responded to within defined TAT/SLA.
2.Improve issue resolution efficiency by ensuring ≥ 90% MS 365 incidents are resolved or routed with proper root-cause analysis and actionable inputs for development team.
3.Deliver hotfixes, scripts, and module-level fixes for ≥ 80% urgent production issues related to Office Add-ins, authentication, and integrations where immediate resolution is possible.
4.Improve MS 365 Add-in stability by reducing repeated production/support issues by ≥ 35% YoY through root-cause fixes and preventive improvements.
5.Maintain strong engineering standards with ≥ 90% code quality compliance for development work and support fixes.
6.Train and enable minimum 1 additional team member to independently support MS 365 Add-in modules, reducing single-point dependency.</t>
        </is>
      </c>
      <c r="FF493" s="56" t="n"/>
      <c r="FG493" s="56" t="n"/>
      <c r="FH493" s="56" t="n"/>
      <c r="FI493" s="56" t="n"/>
      <c r="FJ493" s="56" t="inlineStr">
        <is>
          <t>Received · manager annual</t>
        </is>
      </c>
      <c r="FK493" s="56" t="inlineStr">
        <is>
          <t>CARBON Mapping Master</t>
        </is>
      </c>
      <c r="FL493" s="56" t="n">
        <v>20</v>
      </c>
      <c r="FM493" s="56" t="inlineStr">
        <is>
          <t>• Role / sub-team: Support — Software Engineer.
• Core purpose: To ensure a smooth and reliable experience for end users while using the product we have developed, by maintaining its quality, performance, and usability.
• Decision-making autonomy: Can independently code fixes n improvements.
• Is this something only they do: A few others in the team also handle similar responsibilities, but I am personally accountable for my assigned areas.
• What's different about this role: It involves using AI more effectively, evolving customer needs, strict quality expectations, and the risk of production issues impacting multiple end users.</t>
        </is>
      </c>
      <c r="FN493" s="56" t="inlineStr">
        <is>
          <t>• Key responsibilities include: Feature Development; CodeQuality n performance; Production Support.
• Personally accountable for: I am accountable for delivering reliable, high-quality software features, maintaining product performance, and ensuring a smooth and consistent experience for end users.
• Impact if missed or done wrong: It can lead to bugs, poor performance, delays, production issues, rework, and a poor end-user experience, affecting both product quality and customer satisfaction.
• How measured: The core KPIs are similar, but my role is also measured on code quality, product reliability, performance, delivery consistency, and end-user experience.</t>
        </is>
      </c>
      <c r="FO493" s="56" t="inlineStr">
        <is>
          <t>• Current capabilities: Coding AI.
• Tools / software used: VisualStudio Mongo.
• Workload: Rated a moderate load · 3/5 in a typical week.
• Judgment/way of working: Yes—ownership, problem-solving, prioritization, attention to quality, and using AI effectively to make informed decisions and deliver reliable solutions.</t>
        </is>
      </c>
      <c r="FP493" s="56" t="inlineStr">
        <is>
          <t>• Development priorities: I would need more exposure to system design, architecture, leadership, advanced AI usage, and cross-functional decision-making to take on broader responsibilities and prepare for the next role.
• Learning and Development Need: Hands-on project exper. I wish I had known the key systems, processes, and team dependencies earlier, as it would have made onboarding and problem-solving much smoother.
• Role evolving toward: Yes. AI-assisted development, new tools, evolving customer requirements, and increasing focus on performance, reliability, and delivery efficiency are changing the role.</t>
        </is>
      </c>
      <c r="FQ493" s="56" t="inlineStr">
        <is>
          <t>• Key challenges: Changing requirements.
• Support required: Better documentation, clearer requirements, and faster access to required tools and support would reduce delays and help deliver features more efficiently and reliably.</t>
        </is>
      </c>
      <c r="FR493" s="56" t="inlineStr">
        <is>
          <t>Complexity: Evidence reads like A2: Feature development, code quality and production support; no specific problems described → matches the start
Autonomy: Evidence reads like A2: Decides on code fixes and improvements only → matches the start
Accountability: Evidence reads like A3: Own features and assigned areas, with production issues affecting multiple end users → moved up 0.5
Leadership: Evidence reads like A1: No guidance of others described → matches the start
Business Impact: No survey or manager-mapping signal on criticality: kept at the start point.</t>
        </is>
      </c>
      <c r="FS493" s="56" t="inlineStr">
        <is>
          <t>Common themes in role-holders' answers: reliable · requirements · maintain · core · business · solutions
Common themes in role-holders' answers: development · support · maintenance · bug fixing · feature · performance
Common themes in role-holders' answers: accountable · personally · testing · features · am · performance
Common themes in role-holders' answers: code · fixes · implementation · technical
If the work is missed · role-holders' themes: delays · lead · issues · poor.
Measured on · manager-set KRA themes: considering critical · stories considering · leakage qa/uat · production support · live production · responsibilities.</t>
        </is>
      </c>
      <c r="FT493" s="56" t="inlineStr">
        <is>
          <t>Self-identified: AI / automation · Leadership &amp; people management · Technical depth &amp; architecture · Strategy &amp; business acumen · Broader exposure &amp; ownership
For the next role: AI / automation · Leadership &amp; people management · Technical depth &amp; architecture · Strategy &amp; business acumen · Broader exposure &amp; ownership</t>
        </is>
      </c>
      <c r="FU493" s="56" t="inlineStr">
        <is>
          <t>Per-person summary · CARBON Mapping Master</t>
        </is>
      </c>
    </row>
    <row r="494" ht="90" customHeight="1">
      <c r="A494" s="51" t="inlineStr">
        <is>
          <t>◂ Back</t>
        </is>
      </c>
      <c r="B494" s="29" t="inlineStr">
        <is>
          <t>Mapped</t>
        </is>
      </c>
      <c r="C494" s="28" t="inlineStr">
        <is>
          <t>CARBON</t>
        </is>
      </c>
      <c r="D494" s="29" t="inlineStr">
        <is>
          <t>IRIS2171</t>
        </is>
      </c>
      <c r="E494" s="29" t="inlineStr">
        <is>
          <t>Kush Govani</t>
        </is>
      </c>
      <c r="F494" s="29" t="inlineStr">
        <is>
          <t>Technology</t>
        </is>
      </c>
      <c r="G494" s="29" t="inlineStr">
        <is>
          <t>Software Engineer</t>
        </is>
      </c>
      <c r="H494" s="29" t="inlineStr">
        <is>
          <t>Senior UI Developer</t>
        </is>
      </c>
      <c r="I494" s="29" t="inlineStr">
        <is>
          <t>L3 – Professional / Associate</t>
        </is>
      </c>
      <c r="J494" s="29" t="inlineStr">
        <is>
          <t>A3</t>
        </is>
      </c>
      <c r="K494" s="29" t="inlineStr">
        <is>
          <t>▲ Up</t>
        </is>
      </c>
      <c r="L494" s="29" t="inlineStr">
        <is>
          <t>Engineering &amp; Development</t>
        </is>
      </c>
      <c r="M494" s="29" t="inlineStr">
        <is>
          <t>Front-End / UI Development</t>
        </is>
      </c>
      <c r="N494" s="29" t="n"/>
      <c r="O494" s="29" t="n">
        <v>20</v>
      </c>
      <c r="P494" s="28" t="inlineStr">
        <is>
          <t>P2</t>
        </is>
      </c>
      <c r="Q494" s="29" t="inlineStr">
        <is>
          <t>Developing</t>
        </is>
      </c>
      <c r="R494" s="29" t="inlineStr">
        <is>
          <t>3 Apply</t>
        </is>
      </c>
      <c r="S494" s="29" t="inlineStr">
        <is>
          <t>2–4 yrs</t>
        </is>
      </c>
      <c r="T494" s="29" t="inlineStr">
        <is>
          <t>3–5 · 2–5</t>
        </is>
      </c>
      <c r="U494" s="29" t="inlineStr">
        <is>
          <t>Software Engineer</t>
        </is>
      </c>
      <c r="V494" s="29" t="inlineStr">
        <is>
          <t>Workiva: SE · Broadridge India: SE · Nasdaq / AxiomSL: SE · Salesforce: MTS · Atlassian: P40 · 3–7 yrs · Freshworks: Senior SE</t>
        </is>
      </c>
      <c r="W494" s="29" t="inlineStr">
        <is>
          <t>SFIA 9 · software development, programming; OWASP secure coding; cloud vendor certifications</t>
        </is>
      </c>
      <c r="X494" s="29" t="inlineStr">
        <is>
          <t>Core 2 · Future 2 · Functional 3 · Leadership not scored</t>
        </is>
      </c>
      <c r="Y494" s="52" t="n">
        <v>289</v>
      </c>
      <c r="Z494" s="53" t="inlineStr">
        <is>
          <t>IRIS2171</t>
        </is>
      </c>
      <c r="AA494" s="53" t="inlineStr">
        <is>
          <t>Employee</t>
        </is>
      </c>
      <c r="AB494" s="53" t="inlineStr">
        <is>
          <t>Active</t>
        </is>
      </c>
      <c r="AC494" s="53" t="inlineStr">
        <is>
          <t>Kush Govani</t>
        </is>
      </c>
      <c r="AD494" s="54" t="n">
        <v>45155</v>
      </c>
      <c r="AE494" s="53" t="inlineStr">
        <is>
          <t>Software Engineer</t>
        </is>
      </c>
      <c r="AF494" s="53" t="inlineStr">
        <is>
          <t>B.Com</t>
        </is>
      </c>
      <c r="AG494" s="53" t="inlineStr">
        <is>
          <t>Jayshiv Patel</t>
        </is>
      </c>
      <c r="AH494" s="53" t="inlineStr">
        <is>
          <t>N-4</t>
        </is>
      </c>
      <c r="AI494" s="53" t="inlineStr">
        <is>
          <t>Individual Contributor</t>
        </is>
      </c>
      <c r="AJ494" s="53" t="inlineStr">
        <is>
          <t>0 years, 0 months, 0 days</t>
        </is>
      </c>
      <c r="AK494" s="53" t="inlineStr">
        <is>
          <t>3 years, 0 months, 8 days</t>
        </is>
      </c>
      <c r="AL494" s="53" t="inlineStr">
        <is>
          <t>Regtech</t>
        </is>
      </c>
      <c r="AM494" s="53" t="inlineStr">
        <is>
          <t>CARBON</t>
        </is>
      </c>
      <c r="AN494" s="53" t="inlineStr">
        <is>
          <t>Technology</t>
        </is>
      </c>
      <c r="AO494" s="53" t="inlineStr">
        <is>
          <t>UI</t>
        </is>
      </c>
      <c r="AP494" s="53" t="inlineStr">
        <is>
          <t>Yes</t>
        </is>
      </c>
      <c r="AQ494" s="53" t="inlineStr">
        <is>
          <t>Product/Project</t>
        </is>
      </c>
      <c r="AR494" s="53" t="inlineStr">
        <is>
          <t>UI</t>
        </is>
      </c>
      <c r="AS494" s="53" t="inlineStr">
        <is>
          <t>Technical - Developer</t>
        </is>
      </c>
      <c r="AT494" s="53" t="n">
        <v>20</v>
      </c>
      <c r="AU494" s="53" t="inlineStr">
        <is>
          <t>Covered</t>
        </is>
      </c>
      <c r="AV494" s="53" t="inlineStr">
        <is>
          <t>IRIS2171</t>
        </is>
      </c>
      <c r="AW494" s="53" t="inlineStr">
        <is>
          <t>Kush Govani</t>
        </is>
      </c>
      <c r="AX494" s="53" t="inlineStr">
        <is>
          <t>Technology</t>
        </is>
      </c>
      <c r="AY494" s="53" t="inlineStr">
        <is>
          <t>Engineering &amp; Development</t>
        </is>
      </c>
      <c r="AZ494" s="53" t="inlineStr">
        <is>
          <t>Frontend / UI Engineering</t>
        </is>
      </c>
      <c r="BA494" s="53" t="n"/>
      <c r="BB494" s="53" t="n"/>
      <c r="BC494" s="53" t="inlineStr">
        <is>
          <t>Employee</t>
        </is>
      </c>
      <c r="BD494" s="53" t="inlineStr">
        <is>
          <t>Jayshiv Patel</t>
        </is>
      </c>
      <c r="BE494" s="53" t="inlineStr">
        <is>
          <t>Jayshiv Patel</t>
        </is>
      </c>
      <c r="BF494" s="53" t="inlineStr">
        <is>
          <t>No</t>
        </is>
      </c>
      <c r="BG494" s="53" t="inlineStr">
        <is>
          <t>Software Engineer</t>
        </is>
      </c>
      <c r="BH494" s="53" t="inlineStr">
        <is>
          <t>Software Engineer</t>
        </is>
      </c>
      <c r="BI494" s="53" t="inlineStr">
        <is>
          <t>No</t>
        </is>
      </c>
      <c r="BJ494" s="53" t="inlineStr">
        <is>
          <t>—</t>
        </is>
      </c>
      <c r="BK494" s="53" t="inlineStr">
        <is>
          <t>—</t>
        </is>
      </c>
      <c r="BL494" s="53" t="inlineStr">
        <is>
          <t>—</t>
        </is>
      </c>
      <c r="BM494" s="53" t="inlineStr">
        <is>
          <t>Not a manager</t>
        </is>
      </c>
      <c r="BN494" s="53" t="inlineStr">
        <is>
          <t>—</t>
        </is>
      </c>
      <c r="BO494" s="53" t="inlineStr">
        <is>
          <t>—</t>
        </is>
      </c>
      <c r="BP494" s="53" t="inlineStr">
        <is>
          <t>—</t>
        </is>
      </c>
      <c r="BQ494" s="53" t="inlineStr">
        <is>
          <t>Not a manager</t>
        </is>
      </c>
      <c r="BR494" s="53" t="inlineStr">
        <is>
          <t>—</t>
        </is>
      </c>
      <c r="BS494" s="53" t="inlineStr">
        <is>
          <t>L3 – Professional / Associate</t>
        </is>
      </c>
      <c r="BT494" s="53" t="inlineStr">
        <is>
          <t>L3 – Professional / Associate</t>
        </is>
      </c>
      <c r="BU494" s="53" t="inlineStr">
        <is>
          <t>No designation change — current record value carried forward</t>
        </is>
      </c>
      <c r="BV494" s="53" t="inlineStr">
        <is>
          <t>1.Deliver ≥ 95% committed frontend tasks within agreed timelines with high-quality execution.
2.Improve technical capability by contributing to minimum 2 complex UI/features or frontend modules independently.
3.Maintain strong engineering quality by achieving ≥ 85% first-time-right delivery and reducing rework by ≥ 30% YoY.
4.Improve code quality and engineering standards by maintaining ≥ 90% code quality compliance and participating in ≥ 60% relevant code reviews.
5.Strengthen communication and presentation skills to effectively participate in ≥ 70% technical discussions, sprint planning, and team meetings.
6.Develop confidence in professional communication and demonstrate measurable improvement in technical presentation and stakeholder interaction.</t>
        </is>
      </c>
      <c r="BW494" s="53" t="n"/>
      <c r="BX494" s="53" t="inlineStr">
        <is>
          <t>Internally.</t>
        </is>
      </c>
      <c r="BY494" s="53" t="n"/>
      <c r="BZ494" s="53" t="n"/>
      <c r="CA494" s="53" t="n"/>
      <c r="CB494" s="53" t="n"/>
      <c r="CC494" s="53" t="n"/>
      <c r="CD494" s="53" t="n"/>
      <c r="CE494" s="53" t="n"/>
      <c r="CF494" s="53" t="n"/>
      <c r="CG494" s="53" t="n"/>
      <c r="CH494" s="53" t="n"/>
      <c r="CI494" s="53" t="n"/>
      <c r="CJ494" s="53" t="n"/>
      <c r="CK494" s="53" t="n"/>
      <c r="CL494" s="53" t="n"/>
      <c r="CM494" s="53" t="n"/>
      <c r="CN494" s="53" t="n"/>
      <c r="CO494" s="53" t="n"/>
      <c r="CP494" s="53" t="n"/>
      <c r="CQ494" s="53" t="n"/>
      <c r="CR494" s="53" t="n"/>
      <c r="CS494" s="53" t="n"/>
      <c r="CT494" s="53" t="n"/>
      <c r="CU494" s="53" t="n"/>
      <c r="CV494" s="53" t="n"/>
      <c r="CW494" s="53" t="n"/>
      <c r="CX494" s="53" t="n"/>
      <c r="CY494" s="53" t="n"/>
      <c r="CZ494" s="53" t="n"/>
      <c r="DA494" s="53" t="n"/>
      <c r="DB494" s="53" t="n"/>
      <c r="DC494" s="53" t="n"/>
      <c r="DD494" s="53" t="n"/>
      <c r="DE494" s="53" t="n"/>
      <c r="DF494" s="53" t="n"/>
      <c r="DG494" s="53" t="n"/>
      <c r="DH494" s="53" t="n"/>
      <c r="DI494" s="53" t="n"/>
      <c r="DJ494" s="53" t="n"/>
      <c r="DK494" s="53" t="n"/>
      <c r="DL494" s="53" t="n"/>
      <c r="DM494" s="53" t="n"/>
      <c r="DN494" s="53" t="n"/>
      <c r="DO494" s="53" t="n"/>
      <c r="DP494" s="53" t="n"/>
      <c r="DQ494" s="53" t="n"/>
      <c r="DR494" s="53" t="n"/>
      <c r="DS494" s="53" t="n"/>
      <c r="DT494" s="53" t="n"/>
      <c r="DU494" s="53" t="n"/>
      <c r="DV494" s="53" t="n"/>
      <c r="DW494" s="53" t="n"/>
      <c r="DX494" s="53" t="n"/>
      <c r="DY494" s="53" t="n"/>
      <c r="DZ494" s="53" t="n"/>
      <c r="EA494" s="53" t="n"/>
      <c r="EB494" s="53" t="n"/>
      <c r="EC494" s="53" t="n"/>
      <c r="ED494" s="53" t="n"/>
      <c r="EE494" s="53" t="n"/>
      <c r="EF494" s="53" t="n"/>
      <c r="EG494" s="53" t="n"/>
      <c r="EH494" s="53" t="n"/>
      <c r="EI494" s="53" t="n"/>
      <c r="EJ494" s="53" t="n"/>
      <c r="EK494" s="53" t="n"/>
      <c r="EL494" s="53" t="n"/>
      <c r="EM494" s="53" t="n"/>
      <c r="EN494" s="53" t="n"/>
      <c r="EO494" s="53" t="n"/>
      <c r="EP494" s="53" t="n"/>
      <c r="EQ494" s="53" t="n"/>
      <c r="ER494" s="53" t="n"/>
      <c r="ES494" s="53" t="n"/>
      <c r="ET494" s="53" t="n"/>
      <c r="EU494" s="53" t="n"/>
      <c r="EV494" s="53" t="n"/>
      <c r="EW494" s="52" t="n"/>
      <c r="EX494" s="53" t="inlineStr">
        <is>
          <t>• Role / sub-team: Technology — Software Engineer.
• Core purpose: Software Engineer; As a Software Engineer specializing in React.js, my core purpose is to build and improve scalable, user-friendly web applications that solve business needs. I focus on delivering reliable, high-qualit; I build and improve web applications using React.js.
My role is to create simple, reliable solutions that help users and support business needs.
• Decision-making autonomy: Can independently react UI new ideas.
• Is this something only they do: A few others and most of us.
• What's different about this role: End-to-End responsibility for my tasks. I also focus on making the process simple for users and clients, especially when they face issues, by finding practical and easy-to-use solutions.</t>
        </is>
      </c>
      <c r="EY494" s="53" t="inlineStr">
        <is>
          <t>• Key responsibilities include: Live issue resolution; Complete tasks on time; UI improvement.
• Personally accountable for: I am personally accountable for the quality, reliability, and timely delivery of the React.js features, UI changes, bug fixes, and frontend solutions I work on.; Frontend development work I handle, making sure the features are implemented correctly, the UI works as expected, and issues are resolved on time.
• Impact if missed or done wrong: Frontend issue can delay features, affect UI quality, and impact delivery timelines.
• How measured: Same as everyone.</t>
        </is>
      </c>
      <c r="EZ494" s="53" t="inlineStr">
        <is>
          <t>• Current capabilities: Reactjs Nodejs; react JavaScript.
• Tools / software used: Vs code; mongo db.
• Workload: Rated a heavy load · 4/5 in a typical week.
• Judgment/way of working: Good judgment, ownership, problem-solving, and understanding user needs. Quick decision-making and taking ownership.</t>
        </is>
      </c>
      <c r="FA494" s="53" t="inlineStr">
        <is>
          <t>• Development priorities: Learning how to use AI tools and automation effectively.
• Learning and Development Need: AI training.
• Role evolving toward: AI tools and automation are becoming part of the role, along with new ways of working.</t>
        </is>
      </c>
      <c r="FB494" s="53" t="inlineStr">
        <is>
          <t>• Key challenges: Unclear requirements or c; changes at the end.
• Support required: Dedicated Workload.</t>
        </is>
      </c>
      <c r="FC494" s="53" t="n"/>
      <c r="FD494" s="53" t="n"/>
      <c r="FE494" s="57" t="inlineStr">
        <is>
          <t>1.Deliver ≥ 95% committed frontend tasks within agreed timelines with high-quality execution.
2.Improve technical capability by contributing to minimum 2 complex UI/features or frontend modules independently.
3.Maintain strong engineering quality by achieving ≥ 85% first-time-right delivery and reducing rework by ≥ 30% YoY.
4.Improve code quality and engineering standards by maintaining ≥ 90% code quality compliance and participating in ≥ 60% relevant code reviews.
5.Strengthen communication and presentation skills to effectively participate in ≥ 70% technical discussions, sprint planning, and team meetings.
6.Develop confidence in professional communication and demonstrate measurable improvement in technical presentation and stakeholder interaction.</t>
        </is>
      </c>
      <c r="FF494" s="56" t="n"/>
      <c r="FG494" s="56" t="n"/>
      <c r="FH494" s="56" t="n"/>
      <c r="FI494" s="56" t="n"/>
      <c r="FJ494" s="56" t="inlineStr">
        <is>
          <t>Received · manager annual</t>
        </is>
      </c>
      <c r="FK494" s="56" t="inlineStr">
        <is>
          <t>CARBON Mapping Master</t>
        </is>
      </c>
      <c r="FL494" s="56" t="n">
        <v>20</v>
      </c>
      <c r="FM494" s="56" t="inlineStr">
        <is>
          <t>• Role / sub-team: Technology — Software Engineer.
• Core purpose: Software Engineer; As a Software Engineer specializing in React.js, my core purpose is to build and improve scalable, user-friendly web applications that solve business needs. I focus on delivering reliable, high-qualit; I build and improve web applications using React.js.
My role is to create simple, reliable solutions that help users and support business needs.
• Decision-making autonomy: Can independently react UI new ideas.
• Is this something only they do: A few others and most of us.
• What's different about this role: End-to-End responsibility for my tasks. I also focus on making the process simple for users and clients, especially when they face issues, by finding practical and easy-to-use solutions.</t>
        </is>
      </c>
      <c r="FN494" s="56" t="inlineStr">
        <is>
          <t>• Key responsibilities include: Live issue resolution; Complete tasks on time; UI improvement.
• Personally accountable for: I am personally accountable for the quality, reliability, and timely delivery of the React.js features, UI changes, bug fixes, and frontend solutions I work on.; Frontend development work I handle, making sure the features are implemented correctly, the UI works as expected, and issues are resolved on time.
• Impact if missed or done wrong: Frontend issue can delay features, affect UI quality, and impact delivery timelines.
• How measured: Same as everyone.</t>
        </is>
      </c>
      <c r="FO494" s="56" t="inlineStr">
        <is>
          <t>• Current capabilities: Reactjs Nodejs; react JavaScript.
• Tools / software used: Vs code; mongo db.
• Workload: Rated a heavy load · 4/5 in a typical week.
• Judgment/way of working: Good judgment, ownership, problem-solving, and understanding user needs. Quick decision-making and taking ownership.</t>
        </is>
      </c>
      <c r="FP494" s="56" t="inlineStr">
        <is>
          <t>• Development priorities: Learning how to use AI tools and automation effectively.
• Learning and Development Need: AI training.
• Role evolving toward: AI tools and automation are becoming part of the role, along with new ways of working.</t>
        </is>
      </c>
      <c r="FQ494" s="56" t="inlineStr">
        <is>
          <t>• Key challenges: Unclear requirements or c; changes at the end.
• Support required: Dedicated Workload.</t>
        </is>
      </c>
      <c r="FR494" s="56" t="inlineStr">
        <is>
          <t>Complexity: Evidence reads like A2: React UI features, bug fixes, live issue resolution, UI improvements → matches the start
Autonomy: Evidence reads like A2: Decides 'React UI new ideas' only → matches the start
Accountability: Evidence reads like A2: Quality and timely delivery of own React features, UI changes and bug fixes → matches the start
Leadership: Evidence reads like A1: No guidance of others described → matches the start
Business Impact: No survey or manager-mapping signal on criticality: kept at the start point.</t>
        </is>
      </c>
      <c r="FS494" s="56" t="inlineStr">
        <is>
          <t>Common themes in role-holders' answers: core · purpose · web · improve · business · user-friendly
Common themes in role-holders' answers: ui · user · performance · design · development · testing
Common themes in role-holders' answers: user · app
Common themes in role-holders' answers: development · am · accountable · quality · ui · responsive user-friendly
Common themes in role-holders' answers: code · ui
If the work is missed · role-holders' themes: impact · delivery · performance · overall.
Measured on · manager-set KRA themes: components · sprint · code · coverage · quality · maintain.</t>
        </is>
      </c>
      <c r="FT494" s="56" t="inlineStr">
        <is>
          <t>Self-identified: AI / automation · Product &amp; tool knowledge
For the next role: AI / automation · Product &amp; tool knowledge</t>
        </is>
      </c>
      <c r="FU494" s="56" t="inlineStr">
        <is>
          <t>Per-person summary · CARBON Mapping Master</t>
        </is>
      </c>
    </row>
    <row r="495" ht="90" customHeight="1">
      <c r="A495" s="51" t="inlineStr">
        <is>
          <t>◂ Back</t>
        </is>
      </c>
      <c r="B495" s="29" t="inlineStr">
        <is>
          <t>Mapped</t>
        </is>
      </c>
      <c r="C495" s="28" t="inlineStr">
        <is>
          <t>CARBON</t>
        </is>
      </c>
      <c r="D495" s="29" t="inlineStr">
        <is>
          <t>IRIS2054</t>
        </is>
      </c>
      <c r="E495" s="29" t="inlineStr">
        <is>
          <t>Raj Chauhan</t>
        </is>
      </c>
      <c r="F495" s="29" t="inlineStr">
        <is>
          <t>Technology</t>
        </is>
      </c>
      <c r="G495" s="29" t="inlineStr">
        <is>
          <t>Software Engineer</t>
        </is>
      </c>
      <c r="H495" s="29" t="inlineStr">
        <is>
          <t>Senior Software Engineer</t>
        </is>
      </c>
      <c r="I495" s="29" t="inlineStr">
        <is>
          <t>L3 – Professional / Associate</t>
        </is>
      </c>
      <c r="J495" s="29" t="inlineStr">
        <is>
          <t>A3</t>
        </is>
      </c>
      <c r="K495" s="29" t="inlineStr">
        <is>
          <t>▲ Up</t>
        </is>
      </c>
      <c r="L495" s="29" t="inlineStr">
        <is>
          <t>Engineering &amp; Development</t>
        </is>
      </c>
      <c r="M495" s="29" t="inlineStr">
        <is>
          <t>Backend Development</t>
        </is>
      </c>
      <c r="N495" s="29" t="inlineStr">
        <is>
          <t>• Confirm the reporting line — Manager</t>
        </is>
      </c>
      <c r="O495" s="29" t="n">
        <v>20</v>
      </c>
      <c r="P495" s="28" t="inlineStr">
        <is>
          <t>P2</t>
        </is>
      </c>
      <c r="Q495" s="29" t="inlineStr">
        <is>
          <t>Developing</t>
        </is>
      </c>
      <c r="R495" s="29" t="inlineStr">
        <is>
          <t>3 Apply</t>
        </is>
      </c>
      <c r="S495" s="29" t="inlineStr">
        <is>
          <t>2–4 yrs</t>
        </is>
      </c>
      <c r="T495" s="29" t="inlineStr">
        <is>
          <t>3–5 · 2–5</t>
        </is>
      </c>
      <c r="U495" s="29" t="inlineStr">
        <is>
          <t>Software Engineer</t>
        </is>
      </c>
      <c r="V495" s="29" t="inlineStr">
        <is>
          <t>Workiva: SE · Broadridge India: SE · Nasdaq / AxiomSL: SE · Salesforce: MTS · Atlassian: P40 · 3–7 yrs · Freshworks: Senior SE</t>
        </is>
      </c>
      <c r="W495" s="29" t="inlineStr">
        <is>
          <t>SFIA 9 · software development, programming; OWASP secure coding; cloud vendor certifications</t>
        </is>
      </c>
      <c r="X495" s="29" t="inlineStr">
        <is>
          <t>Core 2 · Future 2 · Functional 3 · Leadership not scored</t>
        </is>
      </c>
      <c r="Y495" s="52" t="n">
        <v>237</v>
      </c>
      <c r="Z495" s="53" t="inlineStr">
        <is>
          <t>IRIS2054</t>
        </is>
      </c>
      <c r="AA495" s="53" t="inlineStr">
        <is>
          <t>Employee</t>
        </is>
      </c>
      <c r="AB495" s="53" t="inlineStr">
        <is>
          <t>Active</t>
        </is>
      </c>
      <c r="AC495" s="53" t="inlineStr">
        <is>
          <t>Raj Chauhan</t>
        </is>
      </c>
      <c r="AD495" s="54" t="n">
        <v>44774</v>
      </c>
      <c r="AE495" s="53" t="inlineStr">
        <is>
          <t>Software Engineer</t>
        </is>
      </c>
      <c r="AF495" s="53" t="inlineStr">
        <is>
          <t>MSc</t>
        </is>
      </c>
      <c r="AG495" s="53" t="inlineStr">
        <is>
          <t>Chetan Kotwal</t>
        </is>
      </c>
      <c r="AH495" s="53" t="inlineStr">
        <is>
          <t>N-3</t>
        </is>
      </c>
      <c r="AI495" s="53" t="inlineStr">
        <is>
          <t>Manager</t>
        </is>
      </c>
      <c r="AJ495" s="53" t="inlineStr">
        <is>
          <t>0 years, 6 months, 0 days</t>
        </is>
      </c>
      <c r="AK495" s="53" t="inlineStr">
        <is>
          <t>4 years, 0 months, 24 days</t>
        </is>
      </c>
      <c r="AL495" s="53" t="inlineStr">
        <is>
          <t>Regtech</t>
        </is>
      </c>
      <c r="AM495" s="53" t="inlineStr">
        <is>
          <t>CARBON</t>
        </is>
      </c>
      <c r="AN495" s="53" t="inlineStr">
        <is>
          <t>Technology</t>
        </is>
      </c>
      <c r="AO495" s="53" t="inlineStr">
        <is>
          <t>Development</t>
        </is>
      </c>
      <c r="AP495" s="53" t="inlineStr">
        <is>
          <t>Yes</t>
        </is>
      </c>
      <c r="AQ495" s="53" t="inlineStr">
        <is>
          <t>Product/Project</t>
        </is>
      </c>
      <c r="AR495" s="53" t="inlineStr">
        <is>
          <t>.NET MVC</t>
        </is>
      </c>
      <c r="AS495" s="53" t="inlineStr">
        <is>
          <t>Technical - Developer</t>
        </is>
      </c>
      <c r="AT495" s="53" t="n">
        <v>20</v>
      </c>
      <c r="AU495" s="53" t="inlineStr">
        <is>
          <t>Covered</t>
        </is>
      </c>
      <c r="AV495" s="53" t="inlineStr">
        <is>
          <t>IRIS2054</t>
        </is>
      </c>
      <c r="AW495" s="53" t="inlineStr">
        <is>
          <t>Raj Chauhan</t>
        </is>
      </c>
      <c r="AX495" s="53" t="inlineStr">
        <is>
          <t>Technology</t>
        </is>
      </c>
      <c r="AY495" s="53" t="inlineStr">
        <is>
          <t>Engineering &amp; Development</t>
        </is>
      </c>
      <c r="AZ495" s="53" t="inlineStr">
        <is>
          <t>Full-Stack Engineering</t>
        </is>
      </c>
      <c r="BA495" s="53" t="n"/>
      <c r="BB495" s="53" t="n"/>
      <c r="BC495" s="53" t="inlineStr">
        <is>
          <t>Employee</t>
        </is>
      </c>
      <c r="BD495" s="53" t="inlineStr">
        <is>
          <t>Chetan Kotwal</t>
        </is>
      </c>
      <c r="BE495" s="53" t="inlineStr">
        <is>
          <t>Chetan Kotwal</t>
        </is>
      </c>
      <c r="BF495" s="53" t="inlineStr">
        <is>
          <t>No</t>
        </is>
      </c>
      <c r="BG495" s="53" t="inlineStr">
        <is>
          <t>Software Engineer</t>
        </is>
      </c>
      <c r="BH495" s="53" t="inlineStr">
        <is>
          <t>Software Engineer</t>
        </is>
      </c>
      <c r="BI495" s="53" t="inlineStr">
        <is>
          <t>No</t>
        </is>
      </c>
      <c r="BJ495" s="53" t="n">
        <v>2</v>
      </c>
      <c r="BK495" s="53" t="n">
        <v>2</v>
      </c>
      <c r="BL495" s="53" t="n">
        <v>0</v>
      </c>
      <c r="BM495" s="53" t="inlineStr">
        <is>
          <t>Consolidate / flatten</t>
        </is>
      </c>
      <c r="BN495" s="53" t="n">
        <v>2</v>
      </c>
      <c r="BO495" s="53" t="n">
        <v>2</v>
      </c>
      <c r="BP495" s="53" t="n">
        <v>0</v>
      </c>
      <c r="BQ495" s="53" t="inlineStr">
        <is>
          <t>Consolidate / flatten</t>
        </is>
      </c>
      <c r="BR495" s="53" t="inlineStr">
        <is>
          <t>No</t>
        </is>
      </c>
      <c r="BS495" s="53" t="inlineStr">
        <is>
          <t>L3 – Professional / Associate</t>
        </is>
      </c>
      <c r="BT495" s="53" t="inlineStr">
        <is>
          <t>L3 – Professional / Associate</t>
        </is>
      </c>
      <c r="BU495" s="53" t="inlineStr">
        <is>
          <t>No designation change — current record value carried forward</t>
        </is>
      </c>
      <c r="BV495" s="53" t="inlineStr">
        <is>
          <t>1.Deliver ≥ 95% committed MS 365 / Office Add-in tasks within agreed timelines with high-quality implementation.
2.Improve platform architecture by designing minimum 3 reusable components/frameworks that support “build once, reuse across modules”.
3.Strengthen system design and architecture skills by contributing to ≥ 50% design discussions involving Office add-ins, authentication, and integrations.
4.Reduce duplicate development effort by ≥ 40% YoY through reusable design patterns, shared components, and framework standardization.
5.Improve engineering quality by achieving ≥ 90% first-time-right delivery with strong edge-case handling.
6.Reduce task turnaround time by ≥ 25% YoY while maintaining quality.
7.Actively participate in peer code reviews and review minimum 80% of relevant pull requests / merge requests, ensuring defects and design issues are identified early.</t>
        </is>
      </c>
      <c r="BW495" s="53" t="n"/>
      <c r="BX495" s="53" t="inlineStr">
        <is>
          <t>All.</t>
        </is>
      </c>
      <c r="BY495" s="53" t="n"/>
      <c r="BZ495" s="53" t="n"/>
      <c r="CA495" s="53" t="n"/>
      <c r="CB495" s="53" t="n"/>
      <c r="CC495" s="53" t="n"/>
      <c r="CD495" s="53" t="n"/>
      <c r="CE495" s="53" t="n"/>
      <c r="CF495" s="53" t="n"/>
      <c r="CG495" s="53" t="n"/>
      <c r="CH495" s="53" t="n"/>
      <c r="CI495" s="53" t="n"/>
      <c r="CJ495" s="53" t="n"/>
      <c r="CK495" s="53" t="n"/>
      <c r="CL495" s="53" t="n"/>
      <c r="CM495" s="53" t="n"/>
      <c r="CN495" s="53" t="n"/>
      <c r="CO495" s="53" t="n"/>
      <c r="CP495" s="53" t="n"/>
      <c r="CQ495" s="53" t="n"/>
      <c r="CR495" s="53" t="n"/>
      <c r="CS495" s="53" t="n"/>
      <c r="CT495" s="53" t="n"/>
      <c r="CU495" s="53" t="n"/>
      <c r="CV495" s="53" t="n"/>
      <c r="CW495" s="53" t="n"/>
      <c r="CX495" s="53" t="n"/>
      <c r="CY495" s="53" t="n"/>
      <c r="CZ495" s="53" t="n"/>
      <c r="DA495" s="53" t="n"/>
      <c r="DB495" s="53" t="n"/>
      <c r="DC495" s="53" t="n"/>
      <c r="DD495" s="53" t="n"/>
      <c r="DE495" s="53" t="n"/>
      <c r="DF495" s="53" t="n"/>
      <c r="DG495" s="53" t="n"/>
      <c r="DH495" s="53" t="n"/>
      <c r="DI495" s="53" t="n"/>
      <c r="DJ495" s="53" t="n"/>
      <c r="DK495" s="53" t="n"/>
      <c r="DL495" s="53" t="n"/>
      <c r="DM495" s="53" t="n"/>
      <c r="DN495" s="53" t="n"/>
      <c r="DO495" s="53" t="n"/>
      <c r="DP495" s="53" t="n"/>
      <c r="DQ495" s="53" t="n"/>
      <c r="DR495" s="53" t="n"/>
      <c r="DS495" s="53" t="n"/>
      <c r="DT495" s="53" t="n"/>
      <c r="DU495" s="53" t="n"/>
      <c r="DV495" s="53" t="n"/>
      <c r="DW495" s="53" t="n"/>
      <c r="DX495" s="53" t="n"/>
      <c r="DY495" s="53" t="n"/>
      <c r="DZ495" s="53" t="n"/>
      <c r="EA495" s="53" t="n"/>
      <c r="EB495" s="53" t="n"/>
      <c r="EC495" s="53" t="n"/>
      <c r="ED495" s="53" t="n"/>
      <c r="EE495" s="53" t="n"/>
      <c r="EF495" s="53" t="n"/>
      <c r="EG495" s="53" t="n"/>
      <c r="EH495" s="53" t="n"/>
      <c r="EI495" s="53" t="n"/>
      <c r="EJ495" s="53" t="n"/>
      <c r="EK495" s="53" t="n"/>
      <c r="EL495" s="53" t="n"/>
      <c r="EM495" s="53" t="n"/>
      <c r="EN495" s="53" t="n"/>
      <c r="EO495" s="53" t="n"/>
      <c r="EP495" s="53" t="n"/>
      <c r="EQ495" s="53" t="n"/>
      <c r="ER495" s="53" t="n"/>
      <c r="ES495" s="53" t="n"/>
      <c r="ET495" s="53" t="n"/>
      <c r="EU495" s="53" t="n"/>
      <c r="EV495" s="53" t="n"/>
      <c r="EW495" s="52" t="n"/>
      <c r="EX495" s="53" t="inlineStr">
        <is>
          <t>• Role / sub-team: Technology — Software Engineer.
• Core purpose: As a software engineer is to build reliable, scalable digital solutions that drive business value and solve real user problems.
• Decision-making autonomy: Can independently technical RnD; Product optimization.
• Is this something only they do: A few of us - taking ownership, adhoc features, solving live issues.
• What's different about this role: I eliminate delivery risk by resolving feature edge cases and domain doubts prior to writing code.</t>
        </is>
      </c>
      <c r="EY495" s="53" t="inlineStr">
        <is>
          <t>• Key responsibilities include: Technical architecture; Feature ownership; Sprint delivery planning; Zero bug release; End to end delivery.
• Personally accountable for: I deliver scalable, production-ready features on time without compromising engineering quality.
• Impact if missed or done wrong: Cause missing ege cases,reopen bug and rework.
• How measured: Partly different.</t>
        </is>
      </c>
      <c r="EZ495" s="53" t="inlineStr">
        <is>
          <t>• Current capabilities: OfficeJS; Product knowledge; Debugging skill.
• Tools / software used: O365 applications; AI.
• Workload: Rated a heavy load · 4/5 in a typical week.
• Judgment/way of working: Team management; Cross team work.</t>
        </is>
      </c>
      <c r="FA495" s="53" t="inlineStr">
        <is>
          <t>• Development priorities: Team management.
• Learning and Development Need: Guidance from mentors. Smart work.
• Role evolving toward: AI first approach development.</t>
        </is>
      </c>
      <c r="FB495" s="53" t="inlineStr">
        <is>
          <t>• Key challenges: AI token limit; Adhoc requirements.
• Support required: Clear requirements.</t>
        </is>
      </c>
      <c r="FC495" s="53" t="n"/>
      <c r="FD495" s="53" t="n"/>
      <c r="FE495" s="57" t="inlineStr">
        <is>
          <t>1.Deliver ≥ 95% committed MS 365 / Office Add-in tasks within agreed timelines with high-quality implementation.
2.Improve platform architecture by designing minimum 3 reusable components/frameworks that support “build once, reuse across modules”.
3.Strengthen system design and architecture skills by contributing to ≥ 50% design discussions involving Office add-ins, authentication, and integrations.
4.Reduce duplicate development effort by ≥ 40% YoY through reusable design patterns, shared components, and framework standardization.
5.Improve engineering quality by achieving ≥ 90% first-time-right delivery with strong edge-case handling.
6.Reduce task turnaround time by ≥ 25% YoY while maintaining quality.
7.Actively participate in peer code reviews and review minimum 80% of relevant pull requests / merge requests, ensuring defects and design issues are identified early.</t>
        </is>
      </c>
      <c r="FF495" s="56" t="n"/>
      <c r="FG495" s="56" t="n"/>
      <c r="FH495" s="56" t="n"/>
      <c r="FI495" s="56" t="n"/>
      <c r="FJ495" s="56" t="inlineStr">
        <is>
          <t>Received · manager annual</t>
        </is>
      </c>
      <c r="FK495" s="56" t="inlineStr">
        <is>
          <t>CARBON Mapping Master</t>
        </is>
      </c>
      <c r="FL495" s="56" t="n">
        <v>20</v>
      </c>
      <c r="FM495" s="56" t="inlineStr">
        <is>
          <t>• Role / sub-team: Technology — Software Engineer.
• Core purpose: As a software engineer is to build reliable, scalable digital solutions that drive business value and solve real user problems.
• Decision-making autonomy: Can independently technical RnD; Product optimization.
• Is this something only they do: A few of us - taking ownership, adhoc features, solving live issues.
• What's different about this role: I eliminate delivery risk by resolving feature edge cases and domain doubts prior to writing code.</t>
        </is>
      </c>
      <c r="FN495" s="56" t="inlineStr">
        <is>
          <t>• Key responsibilities include: Technical architecture; Feature ownership; Sprint delivery planning; Zero bug release; End to end delivery.
• Personally accountable for: I deliver scalable, production-ready features on time without compromising engineering quality.
• Impact if missed or done wrong: Cause missing ege cases,reopen bug and rework.
• How measured: Partly different.</t>
        </is>
      </c>
      <c r="FO495" s="56" t="inlineStr">
        <is>
          <t>• Current capabilities: OfficeJS; Product knowledge; Debugging skill.
• Tools / software used: O365 applications; AI.
• Workload: Rated a heavy load · 4/5 in a typical week.
• Judgment/way of working: Team management; Cross team work.</t>
        </is>
      </c>
      <c r="FP495" s="56" t="inlineStr">
        <is>
          <t>• Development priorities: Team management.
• Learning and Development Need: Guidance from mentors. Smart work.
• Role evolving toward: AI first approach development.</t>
        </is>
      </c>
      <c r="FQ495" s="56" t="inlineStr">
        <is>
          <t>• Key challenges: AI token limit; Adhoc requirements.
• Support required: Clear requirements.</t>
        </is>
      </c>
      <c r="FR495" s="56" t="inlineStr">
        <is>
          <t>Complexity: Evidence reads like A3: Office JS features, ad-hoc features, live issues, sprint delivery planning; resolves edge cases upfront → moved up 0.5
Autonomy: Evidence reads like A3: Decides technical R&amp;D and product optimisation independently → matches the start
Accountability: Evidence reads like A3: Production-ready features end to end, delivered on time → moved down 0.5
Leadership: Evidence reads like A3: Lists sprint delivery planning, team management and cross-team work; 2 reports → moved down 0.5
Business Impact: No survey or manager-mapping signal on criticality: kept at the start point.</t>
        </is>
      </c>
      <c r="FS495"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495" s="56" t="inlineStr">
        <is>
          <t>Self-identified: Leadership &amp; people management
For the next role: Leadership &amp; people management</t>
        </is>
      </c>
      <c r="FU495" s="56" t="inlineStr">
        <is>
          <t>Per-person summary · CARBON Mapping Master</t>
        </is>
      </c>
    </row>
    <row r="496" ht="90" customHeight="1">
      <c r="A496" s="51" t="inlineStr">
        <is>
          <t>◂ Back</t>
        </is>
      </c>
      <c r="B496" s="29" t="inlineStr">
        <is>
          <t>Mapped</t>
        </is>
      </c>
      <c r="C496" s="28" t="inlineStr">
        <is>
          <t>CARBON</t>
        </is>
      </c>
      <c r="D496" s="29" t="inlineStr">
        <is>
          <t>IRIS2032</t>
        </is>
      </c>
      <c r="E496" s="29" t="inlineStr">
        <is>
          <t>Kinjal Rathod</t>
        </is>
      </c>
      <c r="F496" s="29" t="inlineStr">
        <is>
          <t>Technology</t>
        </is>
      </c>
      <c r="G496" s="29" t="inlineStr">
        <is>
          <t>Software Engineer</t>
        </is>
      </c>
      <c r="H496" s="29" t="inlineStr">
        <is>
          <t>Senior Software Engineer</t>
        </is>
      </c>
      <c r="I496" s="29" t="inlineStr">
        <is>
          <t>L3 – Professional / Associate</t>
        </is>
      </c>
      <c r="J496" s="29" t="inlineStr">
        <is>
          <t>A3</t>
        </is>
      </c>
      <c r="K496" s="29" t="inlineStr">
        <is>
          <t>▲ Up</t>
        </is>
      </c>
      <c r="L496" s="29" t="inlineStr">
        <is>
          <t>Engineering &amp; Development</t>
        </is>
      </c>
      <c r="M496" s="29" t="inlineStr">
        <is>
          <t>Backend Development</t>
        </is>
      </c>
      <c r="N496" s="29" t="n"/>
      <c r="O496" s="29" t="n">
        <v>20</v>
      </c>
      <c r="P496" s="28" t="inlineStr">
        <is>
          <t>P2</t>
        </is>
      </c>
      <c r="Q496" s="29" t="inlineStr">
        <is>
          <t>Developing</t>
        </is>
      </c>
      <c r="R496" s="29" t="inlineStr">
        <is>
          <t>3 Apply</t>
        </is>
      </c>
      <c r="S496" s="29" t="inlineStr">
        <is>
          <t>2–4 yrs</t>
        </is>
      </c>
      <c r="T496" s="29" t="inlineStr">
        <is>
          <t>3–5 · 2–5</t>
        </is>
      </c>
      <c r="U496" s="29" t="inlineStr">
        <is>
          <t>Software Engineer</t>
        </is>
      </c>
      <c r="V496" s="29" t="inlineStr">
        <is>
          <t>Workiva: SE · Broadridge India: SE · Nasdaq / AxiomSL: SE · Salesforce: MTS · Atlassian: P40 · 3–7 yrs · Freshworks: Senior SE</t>
        </is>
      </c>
      <c r="W496" s="29" t="inlineStr">
        <is>
          <t>SFIA 9 · software development, programming; OWASP secure coding; cloud vendor certifications</t>
        </is>
      </c>
      <c r="X496" s="29" t="inlineStr">
        <is>
          <t>Core 2 · Future 2 · Functional 3 · Leadership not scored</t>
        </is>
      </c>
      <c r="Y496" s="52" t="n">
        <v>226</v>
      </c>
      <c r="Z496" s="53" t="inlineStr">
        <is>
          <t>IRIS2032</t>
        </is>
      </c>
      <c r="AA496" s="53" t="inlineStr">
        <is>
          <t>Employee</t>
        </is>
      </c>
      <c r="AB496" s="53" t="inlineStr">
        <is>
          <t>Active</t>
        </is>
      </c>
      <c r="AC496" s="53" t="inlineStr">
        <is>
          <t>Kinjal Rathod</t>
        </is>
      </c>
      <c r="AD496" s="54" t="n">
        <v>44743</v>
      </c>
      <c r="AE496" s="53" t="inlineStr">
        <is>
          <t>Software Engineer</t>
        </is>
      </c>
      <c r="AF496" s="53" t="inlineStr">
        <is>
          <t>MSc</t>
        </is>
      </c>
      <c r="AG496" s="53" t="inlineStr">
        <is>
          <t>Raj Chauhan</t>
        </is>
      </c>
      <c r="AH496" s="53" t="inlineStr">
        <is>
          <t>N-4</t>
        </is>
      </c>
      <c r="AI496" s="53" t="inlineStr">
        <is>
          <t>Individual Contributor</t>
        </is>
      </c>
      <c r="AJ496" s="53" t="inlineStr">
        <is>
          <t>0 years, 0 months, 0 days</t>
        </is>
      </c>
      <c r="AK496" s="53" t="inlineStr">
        <is>
          <t>4 years, 1 months, 24 days</t>
        </is>
      </c>
      <c r="AL496" s="53" t="inlineStr">
        <is>
          <t>Regtech</t>
        </is>
      </c>
      <c r="AM496" s="53" t="inlineStr">
        <is>
          <t>CARBON</t>
        </is>
      </c>
      <c r="AN496" s="53" t="inlineStr">
        <is>
          <t>Technology</t>
        </is>
      </c>
      <c r="AO496" s="53" t="inlineStr">
        <is>
          <t>Development</t>
        </is>
      </c>
      <c r="AP496" s="53" t="inlineStr">
        <is>
          <t>Yes</t>
        </is>
      </c>
      <c r="AQ496" s="53" t="inlineStr">
        <is>
          <t>Product/Project</t>
        </is>
      </c>
      <c r="AR496" s="53" t="inlineStr">
        <is>
          <t>.NET MVC</t>
        </is>
      </c>
      <c r="AS496" s="53" t="inlineStr">
        <is>
          <t>Technical - Developer</t>
        </is>
      </c>
      <c r="AT496" s="53" t="n">
        <v>20</v>
      </c>
      <c r="AU496" s="53" t="inlineStr">
        <is>
          <t>Covered</t>
        </is>
      </c>
      <c r="AV496" s="53" t="inlineStr">
        <is>
          <t>IRIS2032</t>
        </is>
      </c>
      <c r="AW496" s="53" t="inlineStr">
        <is>
          <t>Kinjal Rathod</t>
        </is>
      </c>
      <c r="AX496" s="53" t="inlineStr">
        <is>
          <t>Technology</t>
        </is>
      </c>
      <c r="AY496" s="53" t="inlineStr">
        <is>
          <t>Engineering &amp; Development</t>
        </is>
      </c>
      <c r="AZ496" s="53" t="inlineStr">
        <is>
          <t>Backend Engineering ·.NET</t>
        </is>
      </c>
      <c r="BA496" s="53" t="n"/>
      <c r="BB496" s="53" t="n"/>
      <c r="BC496" s="53" t="inlineStr">
        <is>
          <t>Employee</t>
        </is>
      </c>
      <c r="BD496" s="53" t="inlineStr">
        <is>
          <t>Raj Chauhan</t>
        </is>
      </c>
      <c r="BE496" s="53" t="inlineStr">
        <is>
          <t>Raj Chauhan</t>
        </is>
      </c>
      <c r="BF496" s="53" t="inlineStr">
        <is>
          <t>No</t>
        </is>
      </c>
      <c r="BG496" s="53" t="inlineStr">
        <is>
          <t>Software Engineer</t>
        </is>
      </c>
      <c r="BH496" s="53" t="inlineStr">
        <is>
          <t>Software Engineer</t>
        </is>
      </c>
      <c r="BI496" s="53" t="inlineStr">
        <is>
          <t>No</t>
        </is>
      </c>
      <c r="BJ496" s="53" t="inlineStr">
        <is>
          <t>—</t>
        </is>
      </c>
      <c r="BK496" s="53" t="inlineStr">
        <is>
          <t>—</t>
        </is>
      </c>
      <c r="BL496" s="53" t="inlineStr">
        <is>
          <t>—</t>
        </is>
      </c>
      <c r="BM496" s="53" t="inlineStr">
        <is>
          <t>Not a manager</t>
        </is>
      </c>
      <c r="BN496" s="53" t="inlineStr">
        <is>
          <t>—</t>
        </is>
      </c>
      <c r="BO496" s="53" t="inlineStr">
        <is>
          <t>—</t>
        </is>
      </c>
      <c r="BP496" s="53" t="inlineStr">
        <is>
          <t>—</t>
        </is>
      </c>
      <c r="BQ496" s="53" t="inlineStr">
        <is>
          <t>Not a manager</t>
        </is>
      </c>
      <c r="BR496" s="53" t="inlineStr">
        <is>
          <t>—</t>
        </is>
      </c>
      <c r="BS496" s="53" t="inlineStr">
        <is>
          <t>L3 – Professional / Associate</t>
        </is>
      </c>
      <c r="BT496" s="53" t="inlineStr">
        <is>
          <t>L3 – Professional / Associate</t>
        </is>
      </c>
      <c r="BU496" s="53" t="inlineStr">
        <is>
          <t>No designation change — current record value carried forward</t>
        </is>
      </c>
      <c r="BV496" s="53" t="inlineStr">
        <is>
          <t>1.Deliver ≥ 90% committed development tasks within agreed timelines with improved implementation quality.
2.Reduce issue reopen rate and repeated defect occurrence by ≥ 50% YoY through stronger root-cause analysis and validation.
3.Improve logical problem-solving and debugging capability to independently resolve ≥ 75% assigned issues with minimal rework.
4.Strengthen expertise in React, MS 365 Add-in architecture, Office integration, and API workflows, contributing to ≥ 30% technical discussions.
5.Improve engineering quality by achieving ≥ 85% first-time-right delivery and maintaining ≥ 85% code quality compliance.
6.Take ownership of minimum 1–2 technical initiatives annually related to MS integration, reusable components, automation, or productivity improvement.</t>
        </is>
      </c>
      <c r="BW496" s="53" t="n"/>
      <c r="BX496" s="53" t="inlineStr">
        <is>
          <t>All.</t>
        </is>
      </c>
      <c r="BY496" s="53" t="n"/>
      <c r="BZ496" s="53" t="n"/>
      <c r="CA496" s="53" t="n"/>
      <c r="CB496" s="53" t="n"/>
      <c r="CC496" s="53" t="n"/>
      <c r="CD496" s="53" t="n"/>
      <c r="CE496" s="53" t="n"/>
      <c r="CF496" s="53" t="n"/>
      <c r="CG496" s="53" t="n"/>
      <c r="CH496" s="53" t="n"/>
      <c r="CI496" s="53" t="n"/>
      <c r="CJ496" s="53" t="n"/>
      <c r="CK496" s="53" t="n"/>
      <c r="CL496" s="53" t="n"/>
      <c r="CM496" s="53" t="n"/>
      <c r="CN496" s="53" t="n"/>
      <c r="CO496" s="53" t="n"/>
      <c r="CP496" s="53" t="n"/>
      <c r="CQ496" s="53" t="n"/>
      <c r="CR496" s="53" t="n"/>
      <c r="CS496" s="53" t="n"/>
      <c r="CT496" s="53" t="n"/>
      <c r="CU496" s="53" t="n"/>
      <c r="CV496" s="53" t="n"/>
      <c r="CW496" s="53" t="n"/>
      <c r="CX496" s="53" t="n"/>
      <c r="CY496" s="53" t="n"/>
      <c r="CZ496" s="53" t="n"/>
      <c r="DA496" s="53" t="n"/>
      <c r="DB496" s="53" t="n"/>
      <c r="DC496" s="53" t="n"/>
      <c r="DD496" s="53" t="n"/>
      <c r="DE496" s="53" t="n"/>
      <c r="DF496" s="53" t="n"/>
      <c r="DG496" s="53" t="n"/>
      <c r="DH496" s="53" t="n"/>
      <c r="DI496" s="53" t="n"/>
      <c r="DJ496" s="53" t="n"/>
      <c r="DK496" s="53" t="n"/>
      <c r="DL496" s="53" t="n"/>
      <c r="DM496" s="53" t="n"/>
      <c r="DN496" s="53" t="n"/>
      <c r="DO496" s="53" t="n"/>
      <c r="DP496" s="53" t="n"/>
      <c r="DQ496" s="53" t="n"/>
      <c r="DR496" s="53" t="n"/>
      <c r="DS496" s="53" t="n"/>
      <c r="DT496" s="53" t="n"/>
      <c r="DU496" s="53" t="n"/>
      <c r="DV496" s="53" t="n"/>
      <c r="DW496" s="53" t="n"/>
      <c r="DX496" s="53" t="n"/>
      <c r="DY496" s="53" t="n"/>
      <c r="DZ496" s="53" t="n"/>
      <c r="EA496" s="53" t="n"/>
      <c r="EB496" s="53" t="n"/>
      <c r="EC496" s="53" t="n"/>
      <c r="ED496" s="53" t="n"/>
      <c r="EE496" s="53" t="n"/>
      <c r="EF496" s="53" t="n"/>
      <c r="EG496" s="53" t="n"/>
      <c r="EH496" s="53" t="n"/>
      <c r="EI496" s="53" t="n"/>
      <c r="EJ496" s="53" t="n"/>
      <c r="EK496" s="53" t="n"/>
      <c r="EL496" s="53" t="n"/>
      <c r="EM496" s="53" t="n"/>
      <c r="EN496" s="53" t="n"/>
      <c r="EO496" s="53" t="n"/>
      <c r="EP496" s="53" t="n"/>
      <c r="EQ496" s="53" t="n"/>
      <c r="ER496" s="53" t="n"/>
      <c r="ES496" s="53" t="n"/>
      <c r="ET496" s="53" t="n"/>
      <c r="EU496" s="53" t="n"/>
      <c r="EV496" s="53" t="n"/>
      <c r="EW496" s="52" t="n"/>
      <c r="EX496" s="53" t="inlineStr">
        <is>
          <t>• Role / sub-team: Technology — Software Engineer.
• Core purpose: So basically i am a software engineer i will be responsible for both backend and frontend functionality.
• Decision-making autonomy: Can independently explore other better outp; Explore better outputs.
• Is this something only they do: A few of us.
• What's different about this role: Using AI for better and correct approach and delivers features.</t>
        </is>
      </c>
      <c r="EY496" s="53" t="inlineStr">
        <is>
          <t>• Key responsibilities include: Features development.
• Personally accountable for: So as software engineer i am completely accountable for the quality, correctness, maintenance, ownership and timely delivered features.
• Impact if missed or done wrong: Its means taking ownership, communication openly and properly, fixed the issue on time and leaned from it.
• How measured: Same as everyone.</t>
        </is>
      </c>
      <c r="EZ496" s="53" t="inlineStr">
        <is>
          <t>• Current capabilities: Technical architecture.
• Tools / software used: Co-pilot.
• Workload: Rated a heavy load · 4/5 in a typical week.
• Judgment/way of working: Delivered on time.</t>
        </is>
      </c>
      <c r="FA496" s="53" t="inlineStr">
        <is>
          <t>• Development priorities: Better AI tools used and gain deeper expertise in system design and architecture.
• Learning and Development Need: Communication skill. Improving knowledge and communication skills.
• Role evolving toward: AI first approach for improving productivity.</t>
        </is>
      </c>
      <c r="FB496" s="53" t="inlineStr">
        <is>
          <t>• Key challenges: Unclear requirements.
• Support required: Clarity of requirements.</t>
        </is>
      </c>
      <c r="FC496" s="53" t="n"/>
      <c r="FD496" s="53" t="n"/>
      <c r="FE496" s="57" t="inlineStr">
        <is>
          <t>1.Deliver ≥ 90% committed development tasks within agreed timelines with improved implementation quality.
2.Reduce issue reopen rate and repeated defect occurrence by ≥ 50% YoY through stronger root-cause analysis and validation.
3.Improve logical problem-solving and debugging capability to independently resolve ≥ 75% assigned issues with minimal rework.
4.Strengthen expertise in React, MS 365 Add-in architecture, Office integration, and API workflows, contributing to ≥ 30% technical discussions.
5.Improve engineering quality by achieving ≥ 85% first-time-right delivery and maintaining ≥ 85% code quality compliance.
6.Take ownership of minimum 1–2 technical initiatives annually related to MS integration, reusable components, automation, or productivity improvement.</t>
        </is>
      </c>
      <c r="FF496" s="56" t="n"/>
      <c r="FG496" s="56" t="n"/>
      <c r="FH496" s="56" t="n"/>
      <c r="FI496" s="56" t="n"/>
      <c r="FJ496" s="56" t="inlineStr">
        <is>
          <t>Received · manager annual</t>
        </is>
      </c>
      <c r="FK496" s="56" t="inlineStr">
        <is>
          <t>CARBON Mapping Master</t>
        </is>
      </c>
      <c r="FL496" s="56" t="n">
        <v>20</v>
      </c>
      <c r="FM496" s="56" t="inlineStr">
        <is>
          <t>• Role / sub-team: Technology — Software Engineer.
• Core purpose: So basically i am a software engineer i will be responsible for both backend and frontend functionality.
• Decision-making autonomy: Can independently explore other better outp; Explore better outputs.
• Is this something only they do: A few of us.
• What's different about this role: Using AI for better and correct approach and delivers features.</t>
        </is>
      </c>
      <c r="FN496" s="56" t="inlineStr">
        <is>
          <t>• Key responsibilities include: Features development.
• Personally accountable for: So as software engineer i am completely accountable for the quality, correctness, maintenance, ownership and timely delivered features.
• Impact if missed or done wrong: Its means taking ownership, communication openly and properly, fixed the issue on time and leaned from it.
• How measured: Same as everyone.</t>
        </is>
      </c>
      <c r="FO496" s="56" t="inlineStr">
        <is>
          <t>• Current capabilities: Technical architecture.
• Tools / software used: Co-pilot.
• Workload: Rated a heavy load · 4/5 in a typical week.
• Judgment/way of working: Delivered on time.</t>
        </is>
      </c>
      <c r="FP496" s="56" t="inlineStr">
        <is>
          <t>• Development priorities: Better AI tools used and gain deeper expertise in system design and architecture.
• Learning and Development Need: Communication skill. Improving knowledge and communication skills.
• Role evolving toward: AI first approach for improving productivity.</t>
        </is>
      </c>
      <c r="FQ496" s="56" t="inlineStr">
        <is>
          <t>• Key challenges: Unclear requirements.
• Support required: Clarity of requirements.</t>
        </is>
      </c>
      <c r="FR496" s="56" t="inlineStr">
        <is>
          <t>Complexity: Evidence reads like A2: Backend and frontend feature development; nothing beyond standard development described → matches the start
Autonomy: Evidence reads like A2: Only 'explore better outputs' given as independent decision → matches the start
Accountability: Evidence reads like A2: Quality, correctness and timely delivery of own features → matches the start
Leadership: Evidence reads like A1: No guidance of others described → matches the start
Business Impact: No survey or manager-mapping signal on criticality: kept at the start point.</t>
        </is>
      </c>
      <c r="FS496"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496" s="56" t="inlineStr">
        <is>
          <t>Self-identified: AI / automation · Technical depth &amp; architecture · Product &amp; tool knowledge
For the next role: AI / automation · Technical depth &amp; architecture · Product &amp; tool knowledge</t>
        </is>
      </c>
      <c r="FU496" s="56" t="inlineStr">
        <is>
          <t>Per-person summary · CARBON Mapping Master</t>
        </is>
      </c>
    </row>
    <row r="497" ht="90" customHeight="1">
      <c r="A497" s="51" t="inlineStr">
        <is>
          <t>◂ Back</t>
        </is>
      </c>
      <c r="B497" s="29" t="inlineStr">
        <is>
          <t>Mapped</t>
        </is>
      </c>
      <c r="C497" s="28" t="inlineStr">
        <is>
          <t>CARBON</t>
        </is>
      </c>
      <c r="D497" s="29" t="inlineStr">
        <is>
          <t>IRIS2455</t>
        </is>
      </c>
      <c r="E497" s="29" t="inlineStr">
        <is>
          <t>Soniya Paliwal</t>
        </is>
      </c>
      <c r="F497" s="29" t="inlineStr">
        <is>
          <t>Technology</t>
        </is>
      </c>
      <c r="G497" s="29" t="inlineStr">
        <is>
          <t>Trainee Software Engineer</t>
        </is>
      </c>
      <c r="H497" s="29" t="inlineStr">
        <is>
          <t>Trainee Software Engineer</t>
        </is>
      </c>
      <c r="I497" s="29" t="inlineStr">
        <is>
          <t>L2 – Trainee</t>
        </is>
      </c>
      <c r="J497" s="29" t="inlineStr">
        <is>
          <t>A1</t>
        </is>
      </c>
      <c r="K497" s="29" t="inlineStr">
        <is>
          <t>• Same level</t>
        </is>
      </c>
      <c r="L497" s="29" t="inlineStr">
        <is>
          <t>Engineering &amp; Development</t>
        </is>
      </c>
      <c r="M497" s="29" t="inlineStr">
        <is>
          <t>Full-Stack Development</t>
        </is>
      </c>
      <c r="N497" s="29" t="n"/>
      <c r="O497" s="29" t="n">
        <v>20</v>
      </c>
      <c r="P497" s="28" t="inlineStr">
        <is>
          <t>Entry / P1 · intern</t>
        </is>
      </c>
      <c r="Q497" s="29" t="inlineStr">
        <is>
          <t>Entry</t>
        </is>
      </c>
      <c r="R497" s="29" t="inlineStr">
        <is>
          <t>1 Follow</t>
        </is>
      </c>
      <c r="S497" s="29" t="inlineStr">
        <is>
          <t>0 yrs · fresher / intern</t>
        </is>
      </c>
      <c r="T497" s="29" t="inlineStr">
        <is>
          <t>—</t>
        </is>
      </c>
      <c r="U497" s="29" t="inlineStr">
        <is>
          <t>Associate Software Engineer</t>
        </is>
      </c>
      <c r="V497" s="29" t="inlineStr">
        <is>
          <t>—</t>
        </is>
      </c>
      <c r="W497" s="29" t="inlineStr">
        <is>
          <t>SFIA 9 · software development, programming; OWASP secure coding; cloud vendor certifications</t>
        </is>
      </c>
      <c r="X497" s="29" t="inlineStr">
        <is>
          <t>Core 1 · Future 1 · Functional 1 · Leadership not scored</t>
        </is>
      </c>
      <c r="Y497" s="52" t="n">
        <v>421</v>
      </c>
      <c r="Z497" s="53" t="inlineStr">
        <is>
          <t>IRIS2455</t>
        </is>
      </c>
      <c r="AA497" s="53" t="inlineStr">
        <is>
          <t>Employee</t>
        </is>
      </c>
      <c r="AB497" s="53" t="inlineStr">
        <is>
          <t>Active</t>
        </is>
      </c>
      <c r="AC497" s="53" t="inlineStr">
        <is>
          <t>Soniya Paliwal</t>
        </is>
      </c>
      <c r="AD497" s="54" t="n">
        <v>45995</v>
      </c>
      <c r="AE497" s="53" t="inlineStr">
        <is>
          <t>Trainee Software Engineer</t>
        </is>
      </c>
      <c r="AF497" s="53" t="inlineStr">
        <is>
          <t>B.Com</t>
        </is>
      </c>
      <c r="AG497" s="53" t="inlineStr">
        <is>
          <t>Raj Chauhan</t>
        </is>
      </c>
      <c r="AH497" s="53" t="inlineStr">
        <is>
          <t>N-4</t>
        </is>
      </c>
      <c r="AI497" s="53" t="inlineStr">
        <is>
          <t>Individual Contributor</t>
        </is>
      </c>
      <c r="AJ497" s="53" t="inlineStr">
        <is>
          <t>0 years, 0 months, 0 days</t>
        </is>
      </c>
      <c r="AK497" s="53" t="inlineStr">
        <is>
          <t>0 years, 8 months, 21 days</t>
        </is>
      </c>
      <c r="AL497" s="53" t="inlineStr">
        <is>
          <t>Regtech</t>
        </is>
      </c>
      <c r="AM497" s="53" t="inlineStr">
        <is>
          <t>CARBON</t>
        </is>
      </c>
      <c r="AN497" s="53" t="inlineStr">
        <is>
          <t>Technology</t>
        </is>
      </c>
      <c r="AO497" s="53" t="inlineStr">
        <is>
          <t>Development</t>
        </is>
      </c>
      <c r="AP497" s="53" t="inlineStr">
        <is>
          <t>Yes</t>
        </is>
      </c>
      <c r="AQ497" s="53" t="inlineStr">
        <is>
          <t>Product/Project</t>
        </is>
      </c>
      <c r="AR497" s="53" t="inlineStr">
        <is>
          <t>.NET MVC</t>
        </is>
      </c>
      <c r="AS497" s="53" t="inlineStr">
        <is>
          <t>Technical - Developer</t>
        </is>
      </c>
      <c r="AT497" s="53" t="n">
        <v>20</v>
      </c>
      <c r="AU497" s="53" t="inlineStr">
        <is>
          <t>Covered</t>
        </is>
      </c>
      <c r="AV497" s="53" t="inlineStr">
        <is>
          <t>IRIS2455</t>
        </is>
      </c>
      <c r="AW497" s="53" t="inlineStr">
        <is>
          <t>Soniya Paliwal</t>
        </is>
      </c>
      <c r="AX497" s="53" t="inlineStr">
        <is>
          <t>Technology</t>
        </is>
      </c>
      <c r="AY497" s="53" t="inlineStr">
        <is>
          <t>Engineering &amp; Development</t>
        </is>
      </c>
      <c r="AZ497" s="53" t="inlineStr">
        <is>
          <t>Backend Engineering ·.NET</t>
        </is>
      </c>
      <c r="BA497" s="53" t="n"/>
      <c r="BB497" s="53" t="n"/>
      <c r="BC497" s="53" t="inlineStr">
        <is>
          <t>Employee</t>
        </is>
      </c>
      <c r="BD497" s="53" t="inlineStr">
        <is>
          <t>Raj Chauhan</t>
        </is>
      </c>
      <c r="BE497" s="53" t="inlineStr">
        <is>
          <t>Raj Chauhan</t>
        </is>
      </c>
      <c r="BF497" s="53" t="inlineStr">
        <is>
          <t>No</t>
        </is>
      </c>
      <c r="BG497" s="53" t="inlineStr">
        <is>
          <t>Trainee Software Engineer</t>
        </is>
      </c>
      <c r="BH497" s="53" t="inlineStr">
        <is>
          <t>Trainee Software Engineer</t>
        </is>
      </c>
      <c r="BI497" s="53" t="inlineStr">
        <is>
          <t>No</t>
        </is>
      </c>
      <c r="BJ497" s="53" t="inlineStr">
        <is>
          <t>—</t>
        </is>
      </c>
      <c r="BK497" s="53" t="inlineStr">
        <is>
          <t>—</t>
        </is>
      </c>
      <c r="BL497" s="53" t="inlineStr">
        <is>
          <t>—</t>
        </is>
      </c>
      <c r="BM497" s="53" t="inlineStr">
        <is>
          <t>Not a manager</t>
        </is>
      </c>
      <c r="BN497" s="53" t="inlineStr">
        <is>
          <t>—</t>
        </is>
      </c>
      <c r="BO497" s="53" t="inlineStr">
        <is>
          <t>—</t>
        </is>
      </c>
      <c r="BP497" s="53" t="inlineStr">
        <is>
          <t>—</t>
        </is>
      </c>
      <c r="BQ497" s="53" t="inlineStr">
        <is>
          <t>Not a manager</t>
        </is>
      </c>
      <c r="BR497" s="53" t="inlineStr">
        <is>
          <t>—</t>
        </is>
      </c>
      <c r="BS497" s="53" t="inlineStr">
        <is>
          <t>L2 – Trainee</t>
        </is>
      </c>
      <c r="BT497" s="53" t="inlineStr">
        <is>
          <t>L2 – Trainee</t>
        </is>
      </c>
      <c r="BU497" s="53" t="inlineStr">
        <is>
          <t>No designation change — current record value carried forward</t>
        </is>
      </c>
      <c r="BV497" s="53" t="inlineStr">
        <is>
          <t>1.Improve technical fundamentals and successfully complete training in core engineering concepts, product workflows, and development practices.
2.Improve execution speed and reduce task completion turnaround time by ≥ 40% YoY.
3.Increase independent task execution capability and complete ≥ 70% assigned tasks with minimal handholding by FY end.
4.Improve delivery discipline by completing ≥ 85% assigned tasks within committed timelines.
5.Improve quality of deliverables and achieve ≥ 80% first-time-right completion with minimal rework.
6.Take ownership of minimum 1–2 small initiatives / automation / improvement tasks annually to improve productivity or team efficiency.</t>
        </is>
      </c>
      <c r="BW497" s="53" t="n"/>
      <c r="BX497" s="53" t="inlineStr">
        <is>
          <t>All.</t>
        </is>
      </c>
      <c r="BY497" s="53" t="n"/>
      <c r="BZ497" s="53" t="n"/>
      <c r="CA497" s="53" t="n"/>
      <c r="CB497" s="53" t="n"/>
      <c r="CC497" s="53" t="n"/>
      <c r="CD497" s="53" t="n"/>
      <c r="CE497" s="53" t="n"/>
      <c r="CF497" s="53" t="n"/>
      <c r="CG497" s="53" t="n"/>
      <c r="CH497" s="53" t="n"/>
      <c r="CI497" s="53" t="n"/>
      <c r="CJ497" s="53" t="n"/>
      <c r="CK497" s="53" t="n"/>
      <c r="CL497" s="53" t="n"/>
      <c r="CM497" s="53" t="n"/>
      <c r="CN497" s="53" t="n"/>
      <c r="CO497" s="53" t="n"/>
      <c r="CP497" s="53" t="n"/>
      <c r="CQ497" s="53" t="n"/>
      <c r="CR497" s="53" t="n"/>
      <c r="CS497" s="53" t="n"/>
      <c r="CT497" s="53" t="n"/>
      <c r="CU497" s="53" t="n"/>
      <c r="CV497" s="53" t="n"/>
      <c r="CW497" s="53" t="n"/>
      <c r="CX497" s="53" t="n"/>
      <c r="CY497" s="53" t="n"/>
      <c r="CZ497" s="53" t="n"/>
      <c r="DA497" s="53" t="n"/>
      <c r="DB497" s="53" t="n"/>
      <c r="DC497" s="53" t="n"/>
      <c r="DD497" s="53" t="n"/>
      <c r="DE497" s="53" t="n"/>
      <c r="DF497" s="53" t="n"/>
      <c r="DG497" s="53" t="n"/>
      <c r="DH497" s="53" t="n"/>
      <c r="DI497" s="53" t="n"/>
      <c r="DJ497" s="53" t="n"/>
      <c r="DK497" s="53" t="n"/>
      <c r="DL497" s="53" t="n"/>
      <c r="DM497" s="53" t="n"/>
      <c r="DN497" s="53" t="n"/>
      <c r="DO497" s="53" t="n"/>
      <c r="DP497" s="53" t="n"/>
      <c r="DQ497" s="53" t="n"/>
      <c r="DR497" s="53" t="n"/>
      <c r="DS497" s="53" t="n"/>
      <c r="DT497" s="53" t="n"/>
      <c r="DU497" s="53" t="n"/>
      <c r="DV497" s="53" t="n"/>
      <c r="DW497" s="53" t="n"/>
      <c r="DX497" s="53" t="n"/>
      <c r="DY497" s="53" t="n"/>
      <c r="DZ497" s="53" t="n"/>
      <c r="EA497" s="53" t="n"/>
      <c r="EB497" s="53" t="n"/>
      <c r="EC497" s="53" t="n"/>
      <c r="ED497" s="53" t="n"/>
      <c r="EE497" s="53" t="n"/>
      <c r="EF497" s="53" t="n"/>
      <c r="EG497" s="53" t="n"/>
      <c r="EH497" s="53" t="n"/>
      <c r="EI497" s="53" t="n"/>
      <c r="EJ497" s="53" t="n"/>
      <c r="EK497" s="53" t="n"/>
      <c r="EL497" s="53" t="n"/>
      <c r="EM497" s="53" t="n"/>
      <c r="EN497" s="53" t="n"/>
      <c r="EO497" s="53" t="n"/>
      <c r="EP497" s="53" t="n"/>
      <c r="EQ497" s="53" t="n"/>
      <c r="ER497" s="53" t="n"/>
      <c r="ES497" s="53" t="n"/>
      <c r="ET497" s="53" t="n"/>
      <c r="EU497" s="53" t="n"/>
      <c r="EV497" s="53" t="n"/>
      <c r="EW497" s="52" t="n"/>
      <c r="EX497" s="53" t="inlineStr">
        <is>
          <t>• Role / sub-team: Technology — Trainee Software Engineer.
• Core purpose: The backbone of iris carbon · dm product specifically, implementing/building what the clients' imagine/requires.
• Decision-making autonomy: Can independently find better approaches.
• Is this something only they do: Most of us.
• What's different about this role: Learning how to efficiently give Prompt to ai tools, to reduce the token usuage and receive desired results, improving the overall time of deliverables.</t>
        </is>
      </c>
      <c r="EY497" s="53" t="inlineStr">
        <is>
          <t>• Key responsibilities include: Development of front end; Bug fixing; Handling live issues; Taking ownership; Backend development.
• Personally accountable for: I am accountable for the frontend side majorly, its integration with the backend, complete and clean development of the UI.
• Impact if missed or done wrong: If missed · from my end/requirement added later have to work long hours and sometimes on weekends to deliver. When done wrong, have to rework on that · this can also lead to heated work environment.
• How measured: I have felt that everyone · including me is measured here differently depending on the person who is measuring. It depends on what perspective he/she has of you in their head.</t>
        </is>
      </c>
      <c r="EZ497" s="53" t="inlineStr">
        <is>
          <t>• Current capabilities: Dot net core; React; Javascript; Debugging skills.
• Tools / software used: Microsoft office 365; Vs code; Visual studio; Co pilot.
• Workload: Rated a moderate load · 3/5 in a typical week.
• Judgment/way of working: Understanding of the product in a technical aspect.</t>
        </is>
      </c>
      <c r="FA497" s="53" t="inlineStr">
        <is>
          <t>• Development priorities: Upskilling the tech stack.
• Learning and Development Need: Had a Buddy assigned to m. More in depth knowledge of tech stack used here.</t>
        </is>
      </c>
      <c r="FB497" s="53" t="inlineStr">
        <is>
          <t>• Key challenges: Lack of communication; Ai credits; Changes in requirements.
• Support required: Need clear requirements before any feature development; Need better people for mentorship, people who actually know how to lead.</t>
        </is>
      </c>
      <c r="FC497" s="53" t="n"/>
      <c r="FD497" s="53" t="n"/>
      <c r="FE497" s="57" t="inlineStr">
        <is>
          <t>1.Improve technical fundamentals and successfully complete training in core engineering concepts, product workflows, and development practices.
2.Improve execution speed and reduce task completion turnaround time by ≥ 40% YoY.
3.Increase independent task execution capability and complete ≥ 70% assigned tasks with minimal handholding by FY end.
4.Improve delivery discipline by completing ≥ 85% assigned tasks within committed timelines.
5.Improve quality of deliverables and achieve ≥ 80% first-time-right completion with minimal rework.
6.Take ownership of minimum 1–2 small initiatives / automation / improvement tasks annually to improve productivity or team efficiency.</t>
        </is>
      </c>
      <c r="FF497" s="56" t="n"/>
      <c r="FG497" s="56" t="n"/>
      <c r="FH497" s="56" t="n"/>
      <c r="FI497" s="56" t="n"/>
      <c r="FJ497" s="56" t="inlineStr">
        <is>
          <t>Received · manager annual</t>
        </is>
      </c>
      <c r="FK497" s="56" t="inlineStr">
        <is>
          <t>CARBON Mapping Master</t>
        </is>
      </c>
      <c r="FL497" s="56" t="n">
        <v>20</v>
      </c>
      <c r="FM497" s="56" t="inlineStr">
        <is>
          <t>• Role / sub-team: Technology — Trainee Software Engineer.
• Core purpose: The backbone of iris carbon · dm product specifically, implementing/building what the clients' imagine/requires.
• Decision-making autonomy: Can independently find better approaches.
• Is this something only they do: Most of us.
• What's different about this role: Learning how to efficiently give Prompt to ai tools, to reduce the token usuage and receive desired results, improving the overall time of deliverables.</t>
        </is>
      </c>
      <c r="FN497" s="56" t="inlineStr">
        <is>
          <t>• Key responsibilities include: Development of front end; Bug fixing; Handling live issues; Taking ownership; Backend development.
• Personally accountable for: I am accountable for the frontend side majorly, its integration with the backend, complete and clean development of the UI.
• Impact if missed or done wrong: If missed · from my end/requirement added later have to work long hours and sometimes on weekends to deliver. When done wrong, have to rework on that · this can also lead to heated work environment.
• How measured: I have felt that everyone · including me is measured here differently depending on the person who is measuring. It depends on what perspective he/she has of you in their head.</t>
        </is>
      </c>
      <c r="FO497" s="56" t="inlineStr">
        <is>
          <t>• Current capabilities: Dot net core; React; Javascript; Debugging skills.
• Tools / software used: Microsoft office 365; Vs code; Visual studio; Co pilot.
• Workload: Rated a moderate load · 3/5 in a typical week.
• Judgment/way of working: Understanding of the product in a technical aspect.</t>
        </is>
      </c>
      <c r="FP497" s="56" t="inlineStr">
        <is>
          <t>• Development priorities: Upskilling the tech stack.
• Learning and Development Need: Had a Buddy assigned to m. More in depth knowledge of tech stack used here.</t>
        </is>
      </c>
      <c r="FQ497" s="56" t="inlineStr">
        <is>
          <t>• Key challenges: Lack of communication; Ai credits; Changes in requirements.
• Support required: Need clear requirements before any feature development; Need better people for mentorship, people who actually know how to lead.</t>
        </is>
      </c>
      <c r="FR497" s="56" t="n"/>
      <c r="FS497" s="56" t="inlineStr">
        <is>
          <t>Common themes in role-holders' answers: improving · software
Common themes in role-holders' answers: bug fixing · development · feature
Common themes in role-holders' answers: features · bug fixes · technical · apis · software
Common themes in role-holders' answers: development · am
Common themes in role-holders' answers: approaches · implementation
If the work is missed · role-holders' themes: rework · lead · delays.
Measured on · manager-set KRA themes: complete · assigned · improve · code · technical · quality.</t>
        </is>
      </c>
      <c r="FT497" s="56" t="inlineStr">
        <is>
          <t>Self-identified: Answered · no common topic
For the next role: Answered · no common topic</t>
        </is>
      </c>
      <c r="FU497" s="56" t="inlineStr">
        <is>
          <t>Per-person summary · CARBON Mapping Master</t>
        </is>
      </c>
    </row>
    <row r="498" ht="90" customHeight="1">
      <c r="A498" s="51" t="inlineStr">
        <is>
          <t>◂ Back</t>
        </is>
      </c>
      <c r="B498" s="29" t="inlineStr">
        <is>
          <t>Mapped</t>
        </is>
      </c>
      <c r="C498" s="28" t="inlineStr">
        <is>
          <t>CARBON</t>
        </is>
      </c>
      <c r="D498" s="29" t="inlineStr">
        <is>
          <t>IRIS1477</t>
        </is>
      </c>
      <c r="E498" s="29" t="inlineStr">
        <is>
          <t>Dhiraj Suryawanshi</t>
        </is>
      </c>
      <c r="F498" s="29" t="inlineStr">
        <is>
          <t>Technology</t>
        </is>
      </c>
      <c r="G498" s="29" t="inlineStr">
        <is>
          <t>Lead Software Engineer</t>
        </is>
      </c>
      <c r="H498" s="29" t="inlineStr">
        <is>
          <t>Lead Software Engineer – POD Lead</t>
        </is>
      </c>
      <c r="I498" s="29" t="inlineStr">
        <is>
          <t>L5 – Lead · IC</t>
        </is>
      </c>
      <c r="J498" s="29" t="inlineStr">
        <is>
          <t>B2</t>
        </is>
      </c>
      <c r="K498" s="29" t="inlineStr">
        <is>
          <t>• Same level</t>
        </is>
      </c>
      <c r="L498" s="29" t="inlineStr">
        <is>
          <t>Engineering &amp; Development</t>
        </is>
      </c>
      <c r="M498" s="29" t="inlineStr">
        <is>
          <t>Full-Stack Development</t>
        </is>
      </c>
      <c r="N498" s="29" t="n"/>
      <c r="O498" s="29" t="n">
        <v>20</v>
      </c>
      <c r="P498" s="28" t="inlineStr">
        <is>
          <t>P4 / M3</t>
        </is>
      </c>
      <c r="Q498" s="29" t="inlineStr">
        <is>
          <t>Senior / Manager</t>
        </is>
      </c>
      <c r="R498" s="29" t="inlineStr">
        <is>
          <t>4–5</t>
        </is>
      </c>
      <c r="S498" s="29" t="inlineStr">
        <is>
          <t>6–9 yrs</t>
        </is>
      </c>
      <c r="T498" s="29" t="inlineStr">
        <is>
          <t>7–10 · 6–11</t>
        </is>
      </c>
      <c r="U498" s="29" t="inlineStr">
        <is>
          <t>Principal Engineer</t>
        </is>
      </c>
      <c r="V498" s="29" t="inlineStr">
        <is>
          <t>Workiva: Senior SE · Broadridge India: Lead SE · Nasdaq / AxiomSL: Senior SE · Salesforce: SMTS · Atlassian: P50 Senior · 6–12 yrs · Freshworks: Lead SE</t>
        </is>
      </c>
      <c r="W498" s="29" t="inlineStr">
        <is>
          <t>SFIA 9 · software development, programming; OWASP secure coding; cloud vendor certifications</t>
        </is>
      </c>
      <c r="X498" s="29" t="inlineStr">
        <is>
          <t>Core 3 · Future 3 · Functional 4 · Leadership 3</t>
        </is>
      </c>
      <c r="Y498" s="52" t="n">
        <v>123</v>
      </c>
      <c r="Z498" s="53" t="inlineStr">
        <is>
          <t>IRIS1477</t>
        </is>
      </c>
      <c r="AA498" s="53" t="inlineStr">
        <is>
          <t>Employee</t>
        </is>
      </c>
      <c r="AB498" s="53" t="inlineStr">
        <is>
          <t>Active</t>
        </is>
      </c>
      <c r="AC498" s="53" t="inlineStr">
        <is>
          <t>Dhiraj Suryawanshi</t>
        </is>
      </c>
      <c r="AD498" s="54" t="n">
        <v>41869</v>
      </c>
      <c r="AE498" s="53" t="inlineStr">
        <is>
          <t>Lead Software Engineer</t>
        </is>
      </c>
      <c r="AF498" s="53" t="inlineStr">
        <is>
          <t>B.E</t>
        </is>
      </c>
      <c r="AG498" s="53" t="inlineStr">
        <is>
          <t>Ashish Singhvi</t>
        </is>
      </c>
      <c r="AH498" s="53" t="inlineStr">
        <is>
          <t>N-2</t>
        </is>
      </c>
      <c r="AI498" s="53" t="inlineStr">
        <is>
          <t>Manager</t>
        </is>
      </c>
      <c r="AJ498" s="53" t="inlineStr">
        <is>
          <t>2 years, 4 months, 0 days</t>
        </is>
      </c>
      <c r="AK498" s="53" t="inlineStr">
        <is>
          <t>12 years, 0 months, 7 days</t>
        </is>
      </c>
      <c r="AL498" s="53" t="inlineStr">
        <is>
          <t>Regtech</t>
        </is>
      </c>
      <c r="AM498" s="53" t="inlineStr">
        <is>
          <t>CARBON</t>
        </is>
      </c>
      <c r="AN498" s="53" t="inlineStr">
        <is>
          <t>Technology</t>
        </is>
      </c>
      <c r="AO498" s="53" t="inlineStr">
        <is>
          <t>Development</t>
        </is>
      </c>
      <c r="AP498" s="53" t="inlineStr">
        <is>
          <t>Yes</t>
        </is>
      </c>
      <c r="AQ498" s="53" t="inlineStr">
        <is>
          <t>Product/Project</t>
        </is>
      </c>
      <c r="AR498" s="53" t="inlineStr">
        <is>
          <t>.NET MVC</t>
        </is>
      </c>
      <c r="AS498" s="53" t="inlineStr">
        <is>
          <t>Technical - Developer</t>
        </is>
      </c>
      <c r="AT498" s="53" t="n">
        <v>20</v>
      </c>
      <c r="AU498" s="53" t="inlineStr">
        <is>
          <t>Covered</t>
        </is>
      </c>
      <c r="AV498" s="53" t="inlineStr">
        <is>
          <t>IRIS1477</t>
        </is>
      </c>
      <c r="AW498" s="53" t="inlineStr">
        <is>
          <t>Dhiraj Suryawanshi</t>
        </is>
      </c>
      <c r="AX498" s="53" t="inlineStr">
        <is>
          <t>Technology</t>
        </is>
      </c>
      <c r="AY498" s="53" t="inlineStr">
        <is>
          <t>Engineering &amp; Development</t>
        </is>
      </c>
      <c r="AZ498" s="53" t="inlineStr">
        <is>
          <t>Full-Stack Engineering</t>
        </is>
      </c>
      <c r="BA498" s="53" t="n"/>
      <c r="BB498" s="53" t="n"/>
      <c r="BC498" s="53" t="inlineStr">
        <is>
          <t>Employee</t>
        </is>
      </c>
      <c r="BD498" s="53" t="inlineStr">
        <is>
          <t>Ashish Singhvi</t>
        </is>
      </c>
      <c r="BE498" s="53" t="inlineStr">
        <is>
          <t>Ashish Singhvi</t>
        </is>
      </c>
      <c r="BF498" s="53" t="inlineStr">
        <is>
          <t>No</t>
        </is>
      </c>
      <c r="BG498" s="53" t="inlineStr">
        <is>
          <t>Lead Software Engineer</t>
        </is>
      </c>
      <c r="BH498" s="53" t="inlineStr">
        <is>
          <t>Lead Software Engineer</t>
        </is>
      </c>
      <c r="BI498" s="53" t="inlineStr">
        <is>
          <t>No</t>
        </is>
      </c>
      <c r="BJ498" s="53" t="n">
        <v>3</v>
      </c>
      <c r="BK498" s="53" t="n">
        <v>3</v>
      </c>
      <c r="BL498" s="53" t="n">
        <v>0</v>
      </c>
      <c r="BM498" s="53" t="inlineStr">
        <is>
          <t>Review</t>
        </is>
      </c>
      <c r="BN498" s="53" t="n">
        <v>3</v>
      </c>
      <c r="BO498" s="53" t="n">
        <v>3</v>
      </c>
      <c r="BP498" s="53" t="n">
        <v>0</v>
      </c>
      <c r="BQ498" s="53" t="inlineStr">
        <is>
          <t>Review</t>
        </is>
      </c>
      <c r="BR498" s="53" t="inlineStr">
        <is>
          <t>No</t>
        </is>
      </c>
      <c r="BS498" s="53" t="inlineStr">
        <is>
          <t>L5 – Lead · IC</t>
        </is>
      </c>
      <c r="BT498" s="53" t="inlineStr">
        <is>
          <t>L5 – Lead · IC</t>
        </is>
      </c>
      <c r="BU498" s="53" t="inlineStr">
        <is>
          <t>No designation change — current record value carried forward</t>
        </is>
      </c>
      <c r="BV498" s="53" t="inlineStr">
        <is>
          <t>1.Successfully deliver 100% committed milestones for strategic projects · including ACRA mandate within agreed scope, quality, and timelines.
2.Improve engineering solution quality by ensuring ≥ 90% architecture/design decisions are documented and reviewed before implementation.
3.Reduce technical rework and design-related issues by ≥ 40% YoY through stronger design validation and system thinking.
4.Drive minimum 2 innovation initiatives / PoCs annually, contributing reusable technical accelerators for CARBON platform.
5.Complete advanced training in system design, architecture, and Agentic AI, demonstrating readiness for Architect / AI Solution Lead role.</t>
        </is>
      </c>
      <c r="BW498" s="53" t="n"/>
      <c r="BX498" s="53" t="inlineStr">
        <is>
          <t>ALL.</t>
        </is>
      </c>
      <c r="BY498" s="53" t="n"/>
      <c r="BZ498" s="53" t="n"/>
      <c r="CA498" s="53" t="n"/>
      <c r="CB498" s="53" t="n"/>
      <c r="CC498" s="53" t="n"/>
      <c r="CD498" s="53" t="n"/>
      <c r="CE498" s="53" t="n"/>
      <c r="CF498" s="53" t="n"/>
      <c r="CG498" s="53" t="n"/>
      <c r="CH498" s="53" t="n"/>
      <c r="CI498" s="53" t="n"/>
      <c r="CJ498" s="53" t="n"/>
      <c r="CK498" s="53" t="n"/>
      <c r="CL498" s="53" t="n"/>
      <c r="CM498" s="53" t="n"/>
      <c r="CN498" s="53" t="n"/>
      <c r="CO498" s="53" t="n"/>
      <c r="CP498" s="53" t="n"/>
      <c r="CQ498" s="53" t="n"/>
      <c r="CR498" s="53" t="n"/>
      <c r="CS498" s="53" t="n"/>
      <c r="CT498" s="53" t="n"/>
      <c r="CU498" s="53" t="n"/>
      <c r="CV498" s="53" t="n"/>
      <c r="CW498" s="53" t="n"/>
      <c r="CX498" s="53" t="n"/>
      <c r="CY498" s="53" t="n"/>
      <c r="CZ498" s="53" t="n"/>
      <c r="DA498" s="53" t="n"/>
      <c r="DB498" s="53" t="n"/>
      <c r="DC498" s="53" t="n"/>
      <c r="DD498" s="53" t="n"/>
      <c r="DE498" s="53" t="n"/>
      <c r="DF498" s="53" t="n"/>
      <c r="DG498" s="53" t="n"/>
      <c r="DH498" s="53" t="n"/>
      <c r="DI498" s="53" t="n"/>
      <c r="DJ498" s="53" t="n"/>
      <c r="DK498" s="53" t="n"/>
      <c r="DL498" s="53" t="n"/>
      <c r="DM498" s="53" t="n"/>
      <c r="DN498" s="53" t="n"/>
      <c r="DO498" s="53" t="n"/>
      <c r="DP498" s="53" t="n"/>
      <c r="DQ498" s="53" t="n"/>
      <c r="DR498" s="53" t="n"/>
      <c r="DS498" s="53" t="n"/>
      <c r="DT498" s="53" t="n"/>
      <c r="DU498" s="53" t="n"/>
      <c r="DV498" s="53" t="n"/>
      <c r="DW498" s="53" t="n"/>
      <c r="DX498" s="53" t="n"/>
      <c r="DY498" s="53" t="n"/>
      <c r="DZ498" s="53" t="n"/>
      <c r="EA498" s="53" t="n"/>
      <c r="EB498" s="53" t="n"/>
      <c r="EC498" s="53" t="n"/>
      <c r="ED498" s="53" t="n"/>
      <c r="EE498" s="53" t="n"/>
      <c r="EF498" s="53" t="n"/>
      <c r="EG498" s="53" t="n"/>
      <c r="EH498" s="53" t="n"/>
      <c r="EI498" s="53" t="n"/>
      <c r="EJ498" s="53" t="n"/>
      <c r="EK498" s="53" t="n"/>
      <c r="EL498" s="53" t="n"/>
      <c r="EM498" s="53" t="n"/>
      <c r="EN498" s="53" t="n"/>
      <c r="EO498" s="53" t="n"/>
      <c r="EP498" s="53" t="n"/>
      <c r="EQ498" s="53" t="n"/>
      <c r="ER498" s="53" t="n"/>
      <c r="ES498" s="53" t="n"/>
      <c r="ET498" s="53" t="n"/>
      <c r="EU498" s="53" t="n"/>
      <c r="EV498" s="53" t="n"/>
      <c r="EW498" s="52" t="n"/>
      <c r="EX498" s="53" t="inlineStr">
        <is>
          <t>• Role / sub-team: Technology — Lead Software Engineer.
• Core purpose: My role is to ensure the team delivers the right results in a smooth and dependable way. I also support people’s growth by giving clear direction, sharing knowledge, and continuously improving.
• Decision-making autonomy: Can independently r n D implementation; Architecture decisions; Code quality standards.
• Is this something only they do: A few of us do this—especially those focused on innovation and R&amp;D-driven solution design.
• What's different about this role: My role is to design solutions for complex problems by leveraging AI-based agentic workflows and Azure Intelligence driven document processing automation. I am accountable for delivering high quality.</t>
        </is>
      </c>
      <c r="EY498" s="53" t="inlineStr">
        <is>
          <t>• Key responsibilities include: Solution architecture; Technical decision; End-to-end delivery; Team technical mentorship; AI-driven innovation.
• Personally accountable for: Personally accountable for driving technical analysis and making the right architecture decisions for successful delivery.
team faces complex challenges, I lead problem-solving a effective solutions; I take ownership of R&amp;D initiatives and ensure innovative ideas are converted into practical outcomes.
• Impact if missed or done wrong: Rework and delays when things are done incorrectly; Deadline pressure and overtime - late nights/weekends to recover pending work; Production issues and bugs affecting quality and user experience.
• How measured: Different — my performance is measured by R&amp;D innovation delivered, architecture decisions.</t>
        </is>
      </c>
      <c r="EZ498" s="53" t="inlineStr">
        <is>
          <t>• Current capabilities: React; Microservices architectur.
• Tools / software used: GitHub Copilot; DOT NET CLI tools; Azure cloud services.
• Workload: Rated a moderate load · 3/5 in a typical week.
• Judgment/way of working: AI-first approach.</t>
        </is>
      </c>
      <c r="FA498" s="53" t="inlineStr">
        <is>
          <t>• Development priorities: Advanced AI Architecture; strengthen presentation skills.
• Learning and Development Need: Guidance from mentors. Structured Domain Knowledge Program.
• Role evolving toward: This role is evolving with an AI-first approach, increased use of automation tools, and a stronger focus on innovation-driven solution delivery.</t>
        </is>
      </c>
      <c r="FB498" s="53" t="inlineStr">
        <is>
          <t>• Key challenges: Requirement changes.
• Support required: Continuous AI upskilling program.</t>
        </is>
      </c>
      <c r="FC498" s="53" t="n"/>
      <c r="FD498" s="53" t="n"/>
      <c r="FE498" s="57" t="inlineStr">
        <is>
          <t>1.Successfully deliver 100% committed milestones for strategic projects · including ACRA mandate within agreed scope, quality, and timelines.
2.Improve engineering solution quality by ensuring ≥ 90% architecture/design decisions are documented and reviewed before implementation.
3.Reduce technical rework and design-related issues by ≥ 40% YoY through stronger design validation and system thinking.
4.Drive minimum 2 innovation initiatives / PoCs annually, contributing reusable technical accelerators for CARBON platform.
5.Complete advanced training in system design, architecture, and Agentic AI, demonstrating readiness for Architect / AI Solution Lead role.</t>
        </is>
      </c>
      <c r="FF498" s="56" t="n"/>
      <c r="FG498" s="56" t="n"/>
      <c r="FH498" s="56" t="n"/>
      <c r="FI498" s="56" t="n"/>
      <c r="FJ498" s="56" t="inlineStr">
        <is>
          <t>Received · manager annual</t>
        </is>
      </c>
      <c r="FK498" s="56" t="inlineStr">
        <is>
          <t>CARBON Mapping Master</t>
        </is>
      </c>
      <c r="FL498" s="56" t="n">
        <v>20</v>
      </c>
      <c r="FM498" s="56" t="inlineStr">
        <is>
          <t>• Role / sub-team: Technology — Lead Software Engineer.
• Core purpose: My role is to ensure the team delivers the right results in a smooth and dependable way. I also support people’s growth by giving clear direction, sharing knowledge, and continuously improving.
• Decision-making autonomy: Can independently r n D implementation; Architecture decisions; Code quality standards.
• Is this something only they do: A few of us do this—especially those focused on innovation and R&amp;D-driven solution design.
• What's different about this role: My role is to design solutions for complex problems by leveraging AI-based agentic workflows and Azure Intelligence driven document processing automation. I am accountable for delivering high quality.</t>
        </is>
      </c>
      <c r="FN498" s="56" t="inlineStr">
        <is>
          <t>• Key responsibilities include: Solution architecture; Technical decision; End-to-end delivery; Team technical mentorship; AI-driven innovation.
• Personally accountable for: Personally accountable for driving technical analysis and making the right architecture decisions for successful delivery.
team faces complex challenges, I lead problem-solving a effective solutions; I take ownership of R&amp;D initiatives and ensure innovative ideas are converted into practical outcomes.
• Impact if missed or done wrong: Rework and delays when things are done incorrectly; Deadline pressure and overtime - late nights/weekends to recover pending work; Production issues and bugs affecting quality and user experience.
• How measured: Different — my performance is measured by R&amp;D innovation delivered, architecture decisions.</t>
        </is>
      </c>
      <c r="FO498" s="56" t="inlineStr">
        <is>
          <t>• Current capabilities: React; Microservices architectur.
• Tools / software used: GitHub Copilot; DOT NET CLI tools; Azure cloud services.
• Workload: Rated a moderate load · 3/5 in a typical week.
• Judgment/way of working: AI-first approach.</t>
        </is>
      </c>
      <c r="FP498" s="56" t="inlineStr">
        <is>
          <t>• Development priorities: Advanced AI Architecture; strengthen presentation skills.
• Learning and Development Need: Guidance from mentors. Structured Domain Knowledge Program.
• Role evolving toward: This role is evolving with an AI-first approach, increased use of automation tools, and a stronger focus on innovation-driven solution delivery.</t>
        </is>
      </c>
      <c r="FQ498" s="56" t="inlineStr">
        <is>
          <t>• Key challenges: Requirement changes.
• Support required: Continuous AI upskilling program.</t>
        </is>
      </c>
      <c r="FR498" s="56" t="inlineStr">
        <is>
          <t>Complexity: Evidence reads like B2: Solution architecture for AI agentic workflows and Azure document-processing automation; leads problem-solving on team's complex challenges → moved down 0.5
Autonomy: Evidence reads like B1: Decides architecture, R&amp;D implementation and code quality standards for the team → moved down 1
Accountability: Evidence reads like B1: Architecture decisions, end-to-end delivery and R&amp;D outcomes for a 3-person team → moved down 0.5
Leadership: Evidence reads like B1: Team technical mentorship as a listed responsibility; 3 direct reports → moved down 0.5
Business Impact: No survey or manager-mapping signal on criticality: kept at the start point.</t>
        </is>
      </c>
      <c r="FS498" s="56" t="inlineStr">
        <is>
          <t>Common themes in sub-family holders, all levels' answers: software · develop · solutions · product · improve · business
Common themes in sub-family holders, all levels' answers: development · bug · fixing · feature · support · code
Common themes in sub-family holders, all levels' answers: features · software · fixes · bug · solutions · product
Common themes in sub-family holders, all levels' answers: accountable · production · development · quality · delivery · am
Common themes in sub-family holders, all levels' answers: code · implementation · technical · approaches · independently · decisions
If the work is missed · role-holders' themes: delays · rework · issues.</t>
        </is>
      </c>
      <c r="FT498" s="56" t="inlineStr">
        <is>
          <t>Self-identified: AI / automation · Technical depth &amp; architecture · Communication &amp; presentation
For the next role: AI / automation · Technical depth &amp; architecture · Communication &amp; presentation</t>
        </is>
      </c>
      <c r="FU498" s="56" t="inlineStr">
        <is>
          <t>Per-person summary · CARBON Mapping Master</t>
        </is>
      </c>
    </row>
    <row r="499" ht="90" customHeight="1">
      <c r="A499" s="51" t="inlineStr">
        <is>
          <t>◂ Back</t>
        </is>
      </c>
      <c r="B499" s="29" t="inlineStr">
        <is>
          <t>Mapped</t>
        </is>
      </c>
      <c r="C499" s="28" t="inlineStr">
        <is>
          <t>CARBON</t>
        </is>
      </c>
      <c r="D499" s="29" t="inlineStr">
        <is>
          <t>IRIS2021</t>
        </is>
      </c>
      <c r="E499" s="29" t="inlineStr">
        <is>
          <t>Alpesh Chaudhari</t>
        </is>
      </c>
      <c r="F499" s="29" t="inlineStr">
        <is>
          <t>Technology</t>
        </is>
      </c>
      <c r="G499" s="29" t="inlineStr">
        <is>
          <t>Software Engineer</t>
        </is>
      </c>
      <c r="H499" s="29" t="inlineStr">
        <is>
          <t>Senior Software Engineer</t>
        </is>
      </c>
      <c r="I499" s="29" t="inlineStr">
        <is>
          <t>L3 – Professional / Associate</t>
        </is>
      </c>
      <c r="J499" s="29" t="inlineStr">
        <is>
          <t>A3</t>
        </is>
      </c>
      <c r="K499" s="29" t="inlineStr">
        <is>
          <t>▲ Up</t>
        </is>
      </c>
      <c r="L499" s="29" t="inlineStr">
        <is>
          <t>Engineering &amp; Development</t>
        </is>
      </c>
      <c r="M499" s="29" t="inlineStr">
        <is>
          <t>Backend Development</t>
        </is>
      </c>
      <c r="N499" s="29" t="inlineStr">
        <is>
          <t>• Confirm the reporting line — Manager</t>
        </is>
      </c>
      <c r="O499" s="29" t="n">
        <v>20</v>
      </c>
      <c r="P499" s="28" t="inlineStr">
        <is>
          <t>P2</t>
        </is>
      </c>
      <c r="Q499" s="29" t="inlineStr">
        <is>
          <t>Developing</t>
        </is>
      </c>
      <c r="R499" s="29" t="inlineStr">
        <is>
          <t>3 Apply</t>
        </is>
      </c>
      <c r="S499" s="29" t="inlineStr">
        <is>
          <t>2–4 yrs</t>
        </is>
      </c>
      <c r="T499" s="29" t="inlineStr">
        <is>
          <t>3–5 · 2–5</t>
        </is>
      </c>
      <c r="U499" s="29" t="inlineStr">
        <is>
          <t>Software Engineer</t>
        </is>
      </c>
      <c r="V499" s="29" t="inlineStr">
        <is>
          <t>Workiva: SE · Broadridge India: SE · Nasdaq / AxiomSL: SE · Salesforce: MTS · Atlassian: P40 · 3–7 yrs · Freshworks: Senior SE</t>
        </is>
      </c>
      <c r="W499" s="29" t="inlineStr">
        <is>
          <t>SFIA 9 · software development, programming; OWASP secure coding; cloud vendor certifications</t>
        </is>
      </c>
      <c r="X499" s="29" t="inlineStr">
        <is>
          <t>Core 2 · Future 2 · Functional 3 · Leadership not scored</t>
        </is>
      </c>
      <c r="Y499" s="52" t="n">
        <v>220</v>
      </c>
      <c r="Z499" s="53" t="inlineStr">
        <is>
          <t>IRIS2021</t>
        </is>
      </c>
      <c r="AA499" s="53" t="inlineStr">
        <is>
          <t>Employee</t>
        </is>
      </c>
      <c r="AB499" s="53" t="inlineStr">
        <is>
          <t>Active</t>
        </is>
      </c>
      <c r="AC499" s="53" t="inlineStr">
        <is>
          <t>Alpesh Chaudhari</t>
        </is>
      </c>
      <c r="AD499" s="54" t="n">
        <v>44713</v>
      </c>
      <c r="AE499" s="53" t="inlineStr">
        <is>
          <t>Software Engineer</t>
        </is>
      </c>
      <c r="AF499" s="53" t="inlineStr">
        <is>
          <t>MCA</t>
        </is>
      </c>
      <c r="AG499" s="53" t="inlineStr">
        <is>
          <t>Dhiraj Suryawanshi</t>
        </is>
      </c>
      <c r="AH499" s="53" t="inlineStr">
        <is>
          <t>N-3</t>
        </is>
      </c>
      <c r="AI499" s="53" t="inlineStr">
        <is>
          <t>Manager</t>
        </is>
      </c>
      <c r="AJ499" s="53" t="inlineStr">
        <is>
          <t>0 years, 4 months, 0 days</t>
        </is>
      </c>
      <c r="AK499" s="53" t="inlineStr">
        <is>
          <t>4 years, 2 months, 24 days</t>
        </is>
      </c>
      <c r="AL499" s="53" t="inlineStr">
        <is>
          <t>Regtech</t>
        </is>
      </c>
      <c r="AM499" s="53" t="inlineStr">
        <is>
          <t>CARBON</t>
        </is>
      </c>
      <c r="AN499" s="53" t="inlineStr">
        <is>
          <t>Technology</t>
        </is>
      </c>
      <c r="AO499" s="53" t="inlineStr">
        <is>
          <t>Development</t>
        </is>
      </c>
      <c r="AP499" s="53" t="inlineStr">
        <is>
          <t>Yes</t>
        </is>
      </c>
      <c r="AQ499" s="53" t="inlineStr">
        <is>
          <t>Product/Project</t>
        </is>
      </c>
      <c r="AR499" s="53" t="inlineStr">
        <is>
          <t>.NET MVC</t>
        </is>
      </c>
      <c r="AS499" s="53" t="inlineStr">
        <is>
          <t>Technical - Developer</t>
        </is>
      </c>
      <c r="AT499" s="53" t="n">
        <v>20</v>
      </c>
      <c r="AU499" s="53" t="inlineStr">
        <is>
          <t>Covered</t>
        </is>
      </c>
      <c r="AV499" s="53" t="inlineStr">
        <is>
          <t>IRIS2021</t>
        </is>
      </c>
      <c r="AW499" s="53" t="inlineStr">
        <is>
          <t>Alpesh Chaudhari</t>
        </is>
      </c>
      <c r="AX499" s="53" t="inlineStr">
        <is>
          <t>Technology</t>
        </is>
      </c>
      <c r="AY499" s="53" t="inlineStr">
        <is>
          <t>Engineering &amp; Development</t>
        </is>
      </c>
      <c r="AZ499" s="53" t="inlineStr">
        <is>
          <t>AI / ML Engineering</t>
        </is>
      </c>
      <c r="BA499" s="53" t="n"/>
      <c r="BB499" s="53" t="n"/>
      <c r="BC499" s="53" t="inlineStr">
        <is>
          <t>Employee</t>
        </is>
      </c>
      <c r="BD499" s="53" t="inlineStr">
        <is>
          <t>Dhiraj Suryawanshi</t>
        </is>
      </c>
      <c r="BE499" s="53" t="inlineStr">
        <is>
          <t>Dhiraj Suryawanshi</t>
        </is>
      </c>
      <c r="BF499" s="53" t="inlineStr">
        <is>
          <t>No</t>
        </is>
      </c>
      <c r="BG499" s="53" t="inlineStr">
        <is>
          <t>Software Engineer</t>
        </is>
      </c>
      <c r="BH499" s="53" t="inlineStr">
        <is>
          <t>Software Engineer</t>
        </is>
      </c>
      <c r="BI499" s="53" t="inlineStr">
        <is>
          <t>No</t>
        </is>
      </c>
      <c r="BJ499" s="53" t="n">
        <v>3</v>
      </c>
      <c r="BK499" s="53" t="n">
        <v>3</v>
      </c>
      <c r="BL499" s="53" t="n">
        <v>0</v>
      </c>
      <c r="BM499" s="53" t="inlineStr">
        <is>
          <t>Review</t>
        </is>
      </c>
      <c r="BN499" s="53" t="n">
        <v>3</v>
      </c>
      <c r="BO499" s="53" t="n">
        <v>3</v>
      </c>
      <c r="BP499" s="53" t="n">
        <v>0</v>
      </c>
      <c r="BQ499" s="53" t="inlineStr">
        <is>
          <t>Review</t>
        </is>
      </c>
      <c r="BR499" s="53" t="inlineStr">
        <is>
          <t>No</t>
        </is>
      </c>
      <c r="BS499" s="53" t="inlineStr">
        <is>
          <t>L3 – Professional / Associate</t>
        </is>
      </c>
      <c r="BT499" s="53" t="inlineStr">
        <is>
          <t>L3 – Professional / Associate</t>
        </is>
      </c>
      <c r="BU499" s="53" t="inlineStr">
        <is>
          <t>No designation change — current record value carried forward</t>
        </is>
      </c>
      <c r="BV499" s="53" t="inlineStr">
        <is>
          <t>1.Deliver ≥ 95% committed AI / adhoc engineering tasks within agreed timelines with high-quality implementation.
2.Design and implement minimum 3 AI/Agentic AI initiatives or PoCs relevant to CARBON product by FY end.
3.Strengthen AI engineering expertise in LLMs, RAG, agents, embeddings, and orchestration frameworks, contributing to ≥ 50% AI architecture discussions.
4.Improve solution quality by achieving ≥ 90% first-time-right delivery and reducing rework by ≥ 30% YoY.
5.Maintain high engineering standards with ≥ 90% code quality compliance and participation in ≥ 70% relevant code reviews.
6.Drive innovation by converting minimum 2 research ideas into production-ready AI features / accelerators.</t>
        </is>
      </c>
      <c r="BW499" s="53" t="n"/>
      <c r="BX499" s="53" t="inlineStr">
        <is>
          <t>USA; Europe; Brazil.</t>
        </is>
      </c>
      <c r="BY499" s="53" t="n"/>
      <c r="BZ499" s="53" t="n"/>
      <c r="CA499" s="53" t="n"/>
      <c r="CB499" s="53" t="n"/>
      <c r="CC499" s="53" t="n"/>
      <c r="CD499" s="53" t="n"/>
      <c r="CE499" s="53" t="n"/>
      <c r="CF499" s="53" t="n"/>
      <c r="CG499" s="53" t="n"/>
      <c r="CH499" s="53" t="n"/>
      <c r="CI499" s="53" t="n"/>
      <c r="CJ499" s="53" t="n"/>
      <c r="CK499" s="53" t="n"/>
      <c r="CL499" s="53" t="n"/>
      <c r="CM499" s="53" t="n"/>
      <c r="CN499" s="53" t="n"/>
      <c r="CO499" s="53" t="n"/>
      <c r="CP499" s="53" t="n"/>
      <c r="CQ499" s="53" t="n"/>
      <c r="CR499" s="53" t="n"/>
      <c r="CS499" s="53" t="n"/>
      <c r="CT499" s="53" t="n"/>
      <c r="CU499" s="53" t="n"/>
      <c r="CV499" s="53" t="n"/>
      <c r="CW499" s="53" t="n"/>
      <c r="CX499" s="53" t="n"/>
      <c r="CY499" s="53" t="n"/>
      <c r="CZ499" s="53" t="n"/>
      <c r="DA499" s="53" t="n"/>
      <c r="DB499" s="53" t="n"/>
      <c r="DC499" s="53" t="n"/>
      <c r="DD499" s="53" t="n"/>
      <c r="DE499" s="53" t="n"/>
      <c r="DF499" s="53" t="n"/>
      <c r="DG499" s="53" t="n"/>
      <c r="DH499" s="53" t="n"/>
      <c r="DI499" s="53" t="n"/>
      <c r="DJ499" s="53" t="n"/>
      <c r="DK499" s="53" t="n"/>
      <c r="DL499" s="53" t="n"/>
      <c r="DM499" s="53" t="n"/>
      <c r="DN499" s="53" t="n"/>
      <c r="DO499" s="53" t="n"/>
      <c r="DP499" s="53" t="n"/>
      <c r="DQ499" s="53" t="n"/>
      <c r="DR499" s="53" t="n"/>
      <c r="DS499" s="53" t="n"/>
      <c r="DT499" s="53" t="n"/>
      <c r="DU499" s="53" t="n"/>
      <c r="DV499" s="53" t="n"/>
      <c r="DW499" s="53" t="n"/>
      <c r="DX499" s="53" t="n"/>
      <c r="DY499" s="53" t="n"/>
      <c r="DZ499" s="53" t="n"/>
      <c r="EA499" s="53" t="n"/>
      <c r="EB499" s="53" t="n"/>
      <c r="EC499" s="53" t="n"/>
      <c r="ED499" s="53" t="n"/>
      <c r="EE499" s="53" t="n"/>
      <c r="EF499" s="53" t="n"/>
      <c r="EG499" s="53" t="n"/>
      <c r="EH499" s="53" t="n"/>
      <c r="EI499" s="53" t="n"/>
      <c r="EJ499" s="53" t="n"/>
      <c r="EK499" s="53" t="n"/>
      <c r="EL499" s="53" t="n"/>
      <c r="EM499" s="53" t="n"/>
      <c r="EN499" s="53" t="n"/>
      <c r="EO499" s="53" t="n"/>
      <c r="EP499" s="53" t="n"/>
      <c r="EQ499" s="53" t="n"/>
      <c r="ER499" s="53" t="n"/>
      <c r="ES499" s="53" t="n"/>
      <c r="ET499" s="53" t="n"/>
      <c r="EU499" s="53" t="n"/>
      <c r="EV499" s="53" t="n"/>
      <c r="EW499" s="52" t="n"/>
      <c r="EX499" s="53" t="inlineStr">
        <is>
          <t>• Role / sub-team: Technology — Software Engineer.
• Core purpose: The core purpose of my role is to develop reliable software solutions while providing technical leadership and guidance to a team of junior developers. I use my years of experience and strong logica.
• Decision-making autonomy: Can independently research on new approach; Fixing existing bugs; Optimization in existing.
• Is this something only they do: A few us on some modules.
• What's different about this role: Working on the new future AI based features and also use my past experience for the quick delivery on the production.</t>
        </is>
      </c>
      <c r="EY499" s="53" t="inlineStr">
        <is>
          <t>• Key responsibilities include: Production ready feature; Reduce Complexity; Technical guidence; Logic building.
• Personally accountable for: Pick the most complex feature and implement it with production ready. Implement the new features based on AI. Take the ownership and maintain in the future.
• Impact if missed or done wrong: If some issues are arrive in the production then It will affect on the use experience.  And also we loose the reliability; Some time due to less time for developement , developers will make mistakes and issue will arrive in the production due to unknowns scenarios.
• How measured: Partly diffrent.</t>
        </is>
      </c>
      <c r="EZ499" s="53" t="inlineStr">
        <is>
          <t>• Current capabilities: Logic building; Architect solutions; Prompt enginnering; Quick decision; Quick learning.
• Tools / software used: Langgraph; Co-pilot; Claude; Jira.
• Workload: Rated a very heavy load · 5/5 in a typical week.
• Judgment/way of working: Logical thinking; Bring solution from concept to actual product feature.</t>
        </is>
      </c>
      <c r="FA499" s="53" t="inlineStr">
        <is>
          <t>• Development priorities: Communicate with the above leaders; Understanding the buisness market; AI and Machinery learning knowledge and Architect solutions from scratch to production ready.
• Learning and Development Need: Transparent communication; Improve the knowledge. Improve communication and improve the knowledge in the machinery learning and AI; How to do smart work effectively and take the good decision; Understand the business domain before the 30 days.
• Role evolving toward: Yes, it's completely changed from junior to senior software engineer. Now I am able to understand the buisness, tech stack deeply and deliver the new features; In current era of AI due to AI deadline is given to short , but reality is different from high level to ground level. AI not able to do some task when the complexity is there.</t>
        </is>
      </c>
      <c r="FB499" s="53" t="inlineStr">
        <is>
          <t>• Key challenges: AI tokens; AI credits; Unwanted requirement; Less development time.
• Support required: Give the permission for take the own decision some time. And also for the R and D stuff related to new work.; Clear requirements; Documented requirments; Work and time flexibility.</t>
        </is>
      </c>
      <c r="FC499" s="53" t="n"/>
      <c r="FD499" s="53" t="n"/>
      <c r="FE499" s="57" t="inlineStr">
        <is>
          <t>1.Deliver ≥ 95% committed AI / adhoc engineering tasks within agreed timelines with high-quality implementation.
2.Design and implement minimum 3 AI/Agentic AI initiatives or PoCs relevant to CARBON product by FY end.
3.Strengthen AI engineering expertise in LLMs, RAG, agents, embeddings, and orchestration frameworks, contributing to ≥ 50% AI architecture discussions.
4.Improve solution quality by achieving ≥ 90% first-time-right delivery and reducing rework by ≥ 30% YoY.
5.Maintain high engineering standards with ≥ 90% code quality compliance and participation in ≥ 70% relevant code reviews.
6.Drive innovation by converting minimum 2 research ideas into production-ready AI features / accelerators.</t>
        </is>
      </c>
      <c r="FF499" s="56" t="n"/>
      <c r="FG499" s="56" t="n"/>
      <c r="FH499" s="56" t="n"/>
      <c r="FI499" s="56" t="n"/>
      <c r="FJ499" s="56" t="inlineStr">
        <is>
          <t>Received · manager annual</t>
        </is>
      </c>
      <c r="FK499" s="56" t="inlineStr">
        <is>
          <t>CARBON Mapping Master</t>
        </is>
      </c>
      <c r="FL499" s="56" t="n">
        <v>20</v>
      </c>
      <c r="FM499" s="56" t="inlineStr">
        <is>
          <t>• Role / sub-team: Technology — Software Engineer.
• Core purpose: The core purpose of my role is to develop reliable software solutions while providing technical leadership and guidance to a team of junior developers. I use my years of experience and strong logica.
• Decision-making autonomy: Can independently research on new approach; Fixing existing bugs; Optimization in existing.
• Is this something only they do: A few us on some modules.
• What's different about this role: Working on the new future AI based features and also use my past experience for the quick delivery on the production.</t>
        </is>
      </c>
      <c r="FN499" s="56" t="inlineStr">
        <is>
          <t>• Key responsibilities include: Production ready feature; Reduce Complexity; Technical guidence; Logic building.
• Personally accountable for: Pick the most complex feature and implement it with production ready. Implement the new features based on AI. Take the ownership and maintain in the future.
• Impact if missed or done wrong: If some issues are arrive in the production then It will affect on the use experience.  And also we loose the reliability; Some time due to less time for developement , developers will make mistakes and issue will arrive in the production due to unknowns scenarios.
• How measured: Partly diffrent.</t>
        </is>
      </c>
      <c r="FO499" s="56" t="inlineStr">
        <is>
          <t>• Current capabilities: Logic building; Architect solutions; Prompt enginnering; Quick decision; Quick learning.
• Tools / software used: Langgraph; Co-pilot; Claude; Jira.
• Workload: Rated a very heavy load · 5/5 in a typical week.
• Judgment/way of working: Logical thinking; Bring solution from concept to actual product feature.</t>
        </is>
      </c>
      <c r="FP499" s="56" t="inlineStr">
        <is>
          <t>• Development priorities: Communicate with the above leaders; Understanding the buisness market; AI and Machinery learning knowledge and Architect solutions from scratch to production ready.
• Learning and Development Need: Transparent communication; Improve the knowledge. Improve communication and improve the knowledge in the machinery learning and AI; How to do smart work effectively and take the good decision; Understand the business domain before the 30 days.
• Role evolving toward: Yes, it's completely changed from junior to senior software engineer. Now I am able to understand the buisness, tech stack deeply and deliver the new features; In current era of AI due to AI deadline is given to short , but reality is different from high level to ground level. AI not able to do some task when the complexity is there.</t>
        </is>
      </c>
      <c r="FQ499" s="56" t="inlineStr">
        <is>
          <t>• Key challenges: AI tokens; AI credits; Unwanted requirement; Less development time.
• Support required: Give the permission for take the own decision some time. And also for the R and D stuff related to new work.; Clear requirements; Documented requirments; Work and time flexibility.</t>
        </is>
      </c>
      <c r="FR499" s="56" t="inlineStr">
        <is>
          <t>Complexity: Evidence reads like B1: Takes the most complex features to production; builds AI features with LangGraph; architects solutions → moved up 1
Autonomy: Evidence reads like A3: Decides research on new approaches, bug fixes and optimisation of existing code → matches the start
Accountability: Evidence reads like A3: Complex and AI-based features made production-ready, then owned and maintained → moved down 0.5
Leadership: Evidence reads like B1: Gives technical leadership and guidance to a team of junior developers; 3 reports → matches the start
Business Impact: No survey or manager-mapping signal on criticality: kept at the start point.</t>
        </is>
      </c>
      <c r="FS499"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499" s="56" t="inlineStr">
        <is>
          <t>Self-identified: AI / automation · Leadership &amp; people management · Technical depth &amp; architecture · Communication &amp; presentation
For the next role: AI / automation · Leadership &amp; people management · Technical depth &amp; architecture · Product &amp; tool knowledge · Communication &amp; presentation</t>
        </is>
      </c>
      <c r="FU499" s="56" t="inlineStr">
        <is>
          <t>Per-person summary · CARBON Mapping Master</t>
        </is>
      </c>
    </row>
    <row r="500" ht="90" customHeight="1">
      <c r="A500" s="51" t="inlineStr">
        <is>
          <t>◂ Back</t>
        </is>
      </c>
      <c r="B500" s="29" t="inlineStr">
        <is>
          <t>Mapped</t>
        </is>
      </c>
      <c r="C500" s="28" t="inlineStr">
        <is>
          <t>CARBON</t>
        </is>
      </c>
      <c r="D500" s="29" t="inlineStr">
        <is>
          <t>IRIS2444</t>
        </is>
      </c>
      <c r="E500" s="29" t="inlineStr">
        <is>
          <t>Dev Hinged</t>
        </is>
      </c>
      <c r="F500" s="29" t="inlineStr">
        <is>
          <t>Technology</t>
        </is>
      </c>
      <c r="G500" s="29" t="inlineStr">
        <is>
          <t>Trainee AI Engineer</t>
        </is>
      </c>
      <c r="H500" s="29" t="inlineStr">
        <is>
          <t>AI/ML Engineer</t>
        </is>
      </c>
      <c r="I500" s="29" t="inlineStr">
        <is>
          <t>L2 – Trainee</t>
        </is>
      </c>
      <c r="J500" s="29" t="inlineStr">
        <is>
          <t>A2</t>
        </is>
      </c>
      <c r="K500" s="29" t="inlineStr">
        <is>
          <t>▲ Up</t>
        </is>
      </c>
      <c r="L500" s="29" t="inlineStr">
        <is>
          <t>Engineering &amp; Development</t>
        </is>
      </c>
      <c r="M500" s="29" t="inlineStr">
        <is>
          <t>AI / ML &amp; GenAI Engineering</t>
        </is>
      </c>
      <c r="N500" s="29" t="n"/>
      <c r="O500" s="29" t="n">
        <v>20</v>
      </c>
      <c r="P500" s="28" t="inlineStr">
        <is>
          <t>P1–P2</t>
        </is>
      </c>
      <c r="Q500" s="29" t="inlineStr">
        <is>
          <t>Entry / Developing</t>
        </is>
      </c>
      <c r="R500" s="29" t="inlineStr">
        <is>
          <t>2 Assist</t>
        </is>
      </c>
      <c r="S500" s="29" t="inlineStr">
        <is>
          <t>0–2 yrs</t>
        </is>
      </c>
      <c r="T500" s="29" t="inlineStr">
        <is>
          <t>1–3 · 0–3</t>
        </is>
      </c>
      <c r="U500" s="29" t="inlineStr">
        <is>
          <t>Associate Software Engineer / Software Engineer</t>
        </is>
      </c>
      <c r="V500" s="29" t="inlineStr">
        <is>
          <t>Workiva: Associate SE · Broadridge India: SE · Nasdaq / AxiomSL: SE · Salesforce: AMTS · Atlassian: P30 Junior · 0–2 yrs · Freshworks: SE</t>
        </is>
      </c>
      <c r="W500" s="29" t="inlineStr">
        <is>
          <t>SFIA 9 · software development, programming; OWASP secure coding; cloud vendor certifications</t>
        </is>
      </c>
      <c r="X500" s="29" t="inlineStr">
        <is>
          <t>Core 2 · Future 2 · Functional 2 · Leadership not scored</t>
        </is>
      </c>
      <c r="Y500" s="52" t="n">
        <v>411</v>
      </c>
      <c r="Z500" s="53" t="inlineStr">
        <is>
          <t>IRIS2444</t>
        </is>
      </c>
      <c r="AA500" s="53" t="inlineStr">
        <is>
          <t>Employee</t>
        </is>
      </c>
      <c r="AB500" s="53" t="inlineStr">
        <is>
          <t>Active</t>
        </is>
      </c>
      <c r="AC500" s="53" t="inlineStr">
        <is>
          <t>Dev Hinged</t>
        </is>
      </c>
      <c r="AD500" s="54" t="n">
        <v>45972</v>
      </c>
      <c r="AE500" s="53" t="inlineStr">
        <is>
          <t>Trainee AI Engineer</t>
        </is>
      </c>
      <c r="AF500" s="53" t="inlineStr">
        <is>
          <t>B.Tech</t>
        </is>
      </c>
      <c r="AG500" s="53" t="inlineStr">
        <is>
          <t>Alpesh Chaudhari</t>
        </is>
      </c>
      <c r="AH500" s="53" t="inlineStr">
        <is>
          <t>N-4</t>
        </is>
      </c>
      <c r="AI500" s="53" t="inlineStr">
        <is>
          <t>Individual Contributor</t>
        </is>
      </c>
      <c r="AJ500" s="53" t="inlineStr">
        <is>
          <t>0 years, 7 months, 0 days</t>
        </is>
      </c>
      <c r="AK500" s="53" t="inlineStr">
        <is>
          <t>0 years, 9 months, 14 days</t>
        </is>
      </c>
      <c r="AL500" s="53" t="inlineStr">
        <is>
          <t>Regtech</t>
        </is>
      </c>
      <c r="AM500" s="53" t="inlineStr">
        <is>
          <t>CARBON</t>
        </is>
      </c>
      <c r="AN500" s="53" t="inlineStr">
        <is>
          <t>Technology</t>
        </is>
      </c>
      <c r="AO500" s="53" t="inlineStr">
        <is>
          <t>Development</t>
        </is>
      </c>
      <c r="AP500" s="53" t="inlineStr">
        <is>
          <t>Yes</t>
        </is>
      </c>
      <c r="AQ500" s="53" t="inlineStr">
        <is>
          <t>Product/Project</t>
        </is>
      </c>
      <c r="AR500" s="53" t="inlineStr">
        <is>
          <t>AI/ML</t>
        </is>
      </c>
      <c r="AS500" s="53" t="inlineStr">
        <is>
          <t>Technical - Developer</t>
        </is>
      </c>
      <c r="AT500" s="53" t="n">
        <v>20</v>
      </c>
      <c r="AU500" s="53" t="inlineStr">
        <is>
          <t>Covered</t>
        </is>
      </c>
      <c r="AV500" s="53" t="inlineStr">
        <is>
          <t>IRIS2444</t>
        </is>
      </c>
      <c r="AW500" s="53" t="inlineStr">
        <is>
          <t>Dev Hinged</t>
        </is>
      </c>
      <c r="AX500" s="53" t="inlineStr">
        <is>
          <t>Technology</t>
        </is>
      </c>
      <c r="AY500" s="53" t="inlineStr">
        <is>
          <t>Engineering &amp; Development</t>
        </is>
      </c>
      <c r="AZ500" s="53" t="inlineStr">
        <is>
          <t>AI / ML Engineering</t>
        </is>
      </c>
      <c r="BA500" s="53" t="n"/>
      <c r="BB500" s="53" t="n"/>
      <c r="BC500" s="53" t="inlineStr">
        <is>
          <t>Employee</t>
        </is>
      </c>
      <c r="BD500" s="53" t="inlineStr">
        <is>
          <t>Alpesh Chaudhari</t>
        </is>
      </c>
      <c r="BE500" s="53" t="inlineStr">
        <is>
          <t>Alpesh Chaudhari</t>
        </is>
      </c>
      <c r="BF500" s="53" t="inlineStr">
        <is>
          <t>No</t>
        </is>
      </c>
      <c r="BG500" s="53" t="inlineStr">
        <is>
          <t>Trainee AI Engineer</t>
        </is>
      </c>
      <c r="BH500" s="53" t="inlineStr">
        <is>
          <t>Trainee AI Engineer</t>
        </is>
      </c>
      <c r="BI500" s="53" t="inlineStr">
        <is>
          <t>No</t>
        </is>
      </c>
      <c r="BJ500" s="53" t="inlineStr">
        <is>
          <t>—</t>
        </is>
      </c>
      <c r="BK500" s="53" t="inlineStr">
        <is>
          <t>—</t>
        </is>
      </c>
      <c r="BL500" s="53" t="inlineStr">
        <is>
          <t>—</t>
        </is>
      </c>
      <c r="BM500" s="53" t="inlineStr">
        <is>
          <t>Not a manager</t>
        </is>
      </c>
      <c r="BN500" s="53" t="inlineStr">
        <is>
          <t>—</t>
        </is>
      </c>
      <c r="BO500" s="53" t="inlineStr">
        <is>
          <t>—</t>
        </is>
      </c>
      <c r="BP500" s="53" t="inlineStr">
        <is>
          <t>—</t>
        </is>
      </c>
      <c r="BQ500" s="53" t="inlineStr">
        <is>
          <t>Not a manager</t>
        </is>
      </c>
      <c r="BR500" s="53" t="inlineStr">
        <is>
          <t>—</t>
        </is>
      </c>
      <c r="BS500" s="53" t="inlineStr">
        <is>
          <t>L2 – Trainee</t>
        </is>
      </c>
      <c r="BT500" s="53" t="inlineStr">
        <is>
          <t>L2 – Trainee</t>
        </is>
      </c>
      <c r="BU500" s="53" t="inlineStr">
        <is>
          <t>No designation change — current record value carried forward</t>
        </is>
      </c>
      <c r="BV500" s="53" t="inlineStr">
        <is>
          <t>1.Build strong expertise in Agentic AI, LLM workflows, and document intelligence pipelines through structured learning and practical implementation.
2.Contribute to IDP · Intelligent Document Processing by implementing minimum 3 AI use cases / modules related to document extraction, classification, summarization, or validation.
3.Improve AI engineering capability by contributing to ≥ 85% assigned AI tasks within agreed timelines.
4.Develop advanced document understanding solutions to improve extraction/classification accuracy by ≥ 20% for targeted IDP workflows.
5.Maintain strong engineering quality with ≥ 85% code quality compliance and active usage of AI-assisted development workflows.
6.Demonstrate growth toward independent AI ownership by handling minimum 2 modules / PoCs with minimal supervision.</t>
        </is>
      </c>
      <c r="BW500" s="53" t="n"/>
      <c r="BX500" s="53" t="inlineStr">
        <is>
          <t>Global.</t>
        </is>
      </c>
      <c r="BY500" s="53" t="n"/>
      <c r="BZ500" s="53" t="n"/>
      <c r="CA500" s="53" t="n"/>
      <c r="CB500" s="53" t="n"/>
      <c r="CC500" s="53" t="n"/>
      <c r="CD500" s="53" t="n"/>
      <c r="CE500" s="53" t="n"/>
      <c r="CF500" s="53" t="n"/>
      <c r="CG500" s="53" t="n"/>
      <c r="CH500" s="53" t="n"/>
      <c r="CI500" s="53" t="n"/>
      <c r="CJ500" s="53" t="n"/>
      <c r="CK500" s="53" t="n"/>
      <c r="CL500" s="53" t="n"/>
      <c r="CM500" s="53" t="n"/>
      <c r="CN500" s="53" t="n"/>
      <c r="CO500" s="53" t="n"/>
      <c r="CP500" s="53" t="n"/>
      <c r="CQ500" s="53" t="n"/>
      <c r="CR500" s="53" t="n"/>
      <c r="CS500" s="53" t="n"/>
      <c r="CT500" s="53" t="n"/>
      <c r="CU500" s="53" t="n"/>
      <c r="CV500" s="53" t="n"/>
      <c r="CW500" s="53" t="n"/>
      <c r="CX500" s="53" t="n"/>
      <c r="CY500" s="53" t="n"/>
      <c r="CZ500" s="53" t="n"/>
      <c r="DA500" s="53" t="n"/>
      <c r="DB500" s="53" t="n"/>
      <c r="DC500" s="53" t="n"/>
      <c r="DD500" s="53" t="n"/>
      <c r="DE500" s="53" t="n"/>
      <c r="DF500" s="53" t="n"/>
      <c r="DG500" s="53" t="n"/>
      <c r="DH500" s="53" t="n"/>
      <c r="DI500" s="53" t="n"/>
      <c r="DJ500" s="53" t="n"/>
      <c r="DK500" s="53" t="n"/>
      <c r="DL500" s="53" t="n"/>
      <c r="DM500" s="53" t="n"/>
      <c r="DN500" s="53" t="n"/>
      <c r="DO500" s="53" t="n"/>
      <c r="DP500" s="53" t="n"/>
      <c r="DQ500" s="53" t="n"/>
      <c r="DR500" s="53" t="n"/>
      <c r="DS500" s="53" t="n"/>
      <c r="DT500" s="53" t="n"/>
      <c r="DU500" s="53" t="n"/>
      <c r="DV500" s="53" t="n"/>
      <c r="DW500" s="53" t="n"/>
      <c r="DX500" s="53" t="n"/>
      <c r="DY500" s="53" t="n"/>
      <c r="DZ500" s="53" t="n"/>
      <c r="EA500" s="53" t="n"/>
      <c r="EB500" s="53" t="n"/>
      <c r="EC500" s="53" t="n"/>
      <c r="ED500" s="53" t="n"/>
      <c r="EE500" s="53" t="n"/>
      <c r="EF500" s="53" t="n"/>
      <c r="EG500" s="53" t="n"/>
      <c r="EH500" s="53" t="n"/>
      <c r="EI500" s="53" t="n"/>
      <c r="EJ500" s="53" t="n"/>
      <c r="EK500" s="53" t="n"/>
      <c r="EL500" s="53" t="n"/>
      <c r="EM500" s="53" t="n"/>
      <c r="EN500" s="53" t="n"/>
      <c r="EO500" s="53" t="n"/>
      <c r="EP500" s="53" t="n"/>
      <c r="EQ500" s="53" t="n"/>
      <c r="ER500" s="53" t="n"/>
      <c r="ES500" s="53" t="n"/>
      <c r="ET500" s="53" t="n"/>
      <c r="EU500" s="53" t="n"/>
      <c r="EV500" s="53" t="n"/>
      <c r="EW500" s="52" t="n"/>
      <c r="EX500" s="53" t="inlineStr">
        <is>
          <t>• Role / sub-team: Technology — Trainee AI Engineer.
• Core purpose: The core purpose is to solve complex business problems by building smarter, more efficient, and automated solutions that reduce manual effort and improve accuracy.
• Decision-making autonomy: Can independently identify best approach; RND on new technologies.
• Is this something only they do: Most of us.
• What's different about this role: Requires knowledge of Azure Document Intelligence, LLMs, prompt engineering, data structures, system logic, outputs, and how these components work together.</t>
        </is>
      </c>
      <c r="EY500" s="53" t="inlineStr">
        <is>
          <t>• Key responsibilities include: Technical Problem-Solving; System Optimization; LLM Integration; Quality Assurance; AI Involvement.
• Personally accountable for: My responsibility is to develop, optimize, and maintain intelligent, LLM-driven solutions, including prompt engineering and system logic, while ensuring the overall solution is accurate, reliable.
• Impact if missed or done wrong: Incorrect or missed work can lead to inaccurate results, rework, and project delays, which can ultimately affect client satisfaction and the company’s reputation.
• How measured: Same as everyone.</t>
        </is>
      </c>
      <c r="EZ500" s="53" t="inlineStr">
        <is>
          <t>• Current capabilities: Python Programming; FastAPI Basics; Data Structures; LLM Fundamentals; Embeddings Vector Searc; Debugging Troubleshooti; AILLM APIs; Writing Clean Maintainab.
• Tools / software used: Visual Studio; Vs Code; Postman; Azure Document Intelligen; FAISS.
• Workload: Rated a heavy load · 4/5 in a typical week.
• Judgment/way of working: Attention to every small requirement.</t>
        </is>
      </c>
      <c r="FA500" s="53" t="inlineStr">
        <is>
          <t>• Development priorities: I would focus on using AI effectively to solve problems, improve productivity, and accelerate learning, while maintaining a strong basic understanding of the relevant domain.
• Learning and Development Need: Debugging Training; Hands-on Project Experien; Technical Mentoring; Problem-Solving Experienc. I wish I had documented all requirements clearly before starting and cross-checked them with my manager to ensure proper alignment.
• Role evolving toward: Yes, new AI tools and LLM capabilities are changing the role, creating opportunities for faster solutions while also requiring continuous learning and adaptation.</t>
        </is>
      </c>
      <c r="FB500" s="53" t="inlineStr">
        <is>
          <t>• Key challenges: Frequent approach changes.
• Support required: Regular training on new AI tools.</t>
        </is>
      </c>
      <c r="FC500" s="53" t="n"/>
      <c r="FD500" s="53" t="n"/>
      <c r="FE500" s="57" t="inlineStr">
        <is>
          <t>1.Build strong expertise in Agentic AI, LLM workflows, and document intelligence pipelines through structured learning and practical implementation.
2.Contribute to IDP · Intelligent Document Processing by implementing minimum 3 AI use cases / modules related to document extraction, classification, summarization, or validation.
3.Improve AI engineering capability by contributing to ≥ 85% assigned AI tasks within agreed timelines.
4.Develop advanced document understanding solutions to improve extraction/classification accuracy by ≥ 20% for targeted IDP workflows.
5.Maintain strong engineering quality with ≥ 85% code quality compliance and active usage of AI-assisted development workflows.
6.Demonstrate growth toward independent AI ownership by handling minimum 2 modules / PoCs with minimal supervision.</t>
        </is>
      </c>
      <c r="FF500" s="56" t="n"/>
      <c r="FG500" s="56" t="n"/>
      <c r="FH500" s="56" t="n"/>
      <c r="FI500" s="56" t="n"/>
      <c r="FJ500" s="56" t="inlineStr">
        <is>
          <t>Received · manager annual</t>
        </is>
      </c>
      <c r="FK500" s="56" t="inlineStr">
        <is>
          <t>CARBON Mapping Master</t>
        </is>
      </c>
      <c r="FL500" s="56" t="n">
        <v>20</v>
      </c>
      <c r="FM500" s="56" t="inlineStr">
        <is>
          <t>• Role / sub-team: Technology — Trainee AI Engineer.
• Core purpose: The core purpose is to solve complex business problems by building smarter, more efficient, and automated solutions that reduce manual effort and improve accuracy.
• Decision-making autonomy: Can independently identify best approach; RND on new technologies.
• Is this something only they do: Most of us.
• What's different about this role: Requires knowledge of Azure Document Intelligence, LLMs, prompt engineering, data structures, system logic, outputs, and how these components work together.</t>
        </is>
      </c>
      <c r="FN500" s="56" t="inlineStr">
        <is>
          <t>• Key responsibilities include: Technical Problem-Solving; System Optimization; LLM Integration; Quality Assurance; AI Involvement.
• Personally accountable for: My responsibility is to develop, optimize, and maintain intelligent, LLM-driven solutions, including prompt engineering and system logic, while ensuring the overall solution is accurate, reliable.
• Impact if missed or done wrong: Incorrect or missed work can lead to inaccurate results, rework, and project delays, which can ultimately affect client satisfaction and the company’s reputation.
• How measured: Same as everyone.</t>
        </is>
      </c>
      <c r="FO500" s="56" t="inlineStr">
        <is>
          <t>• Current capabilities: Python Programming; FastAPI Basics; Data Structures; LLM Fundamentals; Embeddings Vector Searc; Debugging Troubleshooti; AILLM APIs; Writing Clean Maintainab.
• Tools / software used: Visual Studio; Vs Code; Postman; Azure Document Intelligen; FAISS.
• Workload: Rated a heavy load · 4/5 in a typical week.
• Judgment/way of working: Attention to every small requirement.</t>
        </is>
      </c>
      <c r="FP500" s="56" t="inlineStr">
        <is>
          <t>• Development priorities: I would focus on using AI effectively to solve problems, improve productivity, and accelerate learning, while maintaining a strong basic understanding of the relevant domain.
• Learning and Development Need: Debugging Training; Hands-on Project Experien; Technical Mentoring; Problem-Solving Experienc. I wish I had documented all requirements clearly before starting and cross-checked them with my manager to ensure proper alignment.
• Role evolving toward: Yes, new AI tools and LLM capabilities are changing the role, creating opportunities for faster solutions while also requiring continuous learning and adaptation.</t>
        </is>
      </c>
      <c r="FQ500" s="56" t="inlineStr">
        <is>
          <t>• Key challenges: Frequent approach changes.
• Support required: Regular training on new AI tools.</t>
        </is>
      </c>
      <c r="FR500" s="56" t="inlineStr">
        <is>
          <t>Complexity: Evidence reads like A3: Builds LLM solutions for automated tagging, table classification, anomaly detection using Azure Document Intelligence and FAISS → moved up 1
Autonomy: Evidence reads like A2: Identifies best approach and researches new technologies; nothing beyond own approach → moved up 0.5
Accountability: Evidence reads like A2: Accuracy and reliability of the LLM solutions and prompts personally developed → moved up 0.5
Leadership: Evidence reads like A1: None described → matches the start
Business Impact: No survey or manager-mapping signal on criticality: kept at the start point.</t>
        </is>
      </c>
      <c r="FS500" s="56" t="inlineStr">
        <is>
          <t>Common themes in role-holders' answers: building · solve · business · solutions
Common themes in role-holders' answers: ai · solution · testing · technical
Common themes in role-holders' answers: ai · solutions
Common themes in role-holders' answers: testing · develop · quality · solutions · ai · accountable
If the work is missed · role-holders' themes: incorrect · lead · delays · rework.</t>
        </is>
      </c>
      <c r="FT500" s="56" t="inlineStr">
        <is>
          <t>Self-identified: AI / automation · Product &amp; tool knowledge
For the next role: AI / automation · Domain, regulatory &amp; XBRL · Product &amp; tool knowledge</t>
        </is>
      </c>
      <c r="FU500" s="56" t="inlineStr">
        <is>
          <t>Per-person summary · CARBON Mapping Master</t>
        </is>
      </c>
    </row>
    <row r="501" ht="90" customHeight="1">
      <c r="A501" s="51" t="inlineStr">
        <is>
          <t>◂ Back</t>
        </is>
      </c>
      <c r="B501" s="29" t="inlineStr">
        <is>
          <t>Mapped</t>
        </is>
      </c>
      <c r="C501" s="28" t="inlineStr">
        <is>
          <t>CARBON</t>
        </is>
      </c>
      <c r="D501" s="29" t="inlineStr">
        <is>
          <t>IRIS2394</t>
        </is>
      </c>
      <c r="E501" s="29" t="inlineStr">
        <is>
          <t>Meet Patel</t>
        </is>
      </c>
      <c r="F501" s="29" t="inlineStr">
        <is>
          <t>Technology</t>
        </is>
      </c>
      <c r="G501" s="29" t="inlineStr">
        <is>
          <t>Trainee Software Engineer</t>
        </is>
      </c>
      <c r="H501" s="29" t="inlineStr">
        <is>
          <t>Software Engineer</t>
        </is>
      </c>
      <c r="I501" s="29" t="inlineStr">
        <is>
          <t>L2 – Trainee</t>
        </is>
      </c>
      <c r="J501" s="29" t="inlineStr">
        <is>
          <t>A2</t>
        </is>
      </c>
      <c r="K501" s="29" t="inlineStr">
        <is>
          <t>▲ Up</t>
        </is>
      </c>
      <c r="L501" s="29" t="inlineStr">
        <is>
          <t>Engineering &amp; Development</t>
        </is>
      </c>
      <c r="M501" s="29" t="inlineStr">
        <is>
          <t>Backend Development</t>
        </is>
      </c>
      <c r="N501" s="29" t="n"/>
      <c r="O501" s="29" t="n">
        <v>20</v>
      </c>
      <c r="P501" s="28" t="inlineStr">
        <is>
          <t>P1–P2</t>
        </is>
      </c>
      <c r="Q501" s="29" t="inlineStr">
        <is>
          <t>Entry / Developing</t>
        </is>
      </c>
      <c r="R501" s="29" t="inlineStr">
        <is>
          <t>2 Assist</t>
        </is>
      </c>
      <c r="S501" s="29" t="inlineStr">
        <is>
          <t>0–2 yrs</t>
        </is>
      </c>
      <c r="T501" s="29" t="inlineStr">
        <is>
          <t>1–3 · 0–3</t>
        </is>
      </c>
      <c r="U501" s="29" t="inlineStr">
        <is>
          <t>Associate Software Engineer / Software Engineer</t>
        </is>
      </c>
      <c r="V501" s="29" t="inlineStr">
        <is>
          <t>Workiva: Associate SE · Broadridge India: SE · Nasdaq / AxiomSL: SE · Salesforce: AMTS · Atlassian: P30 Junior · 0–2 yrs · Freshworks: SE</t>
        </is>
      </c>
      <c r="W501" s="29" t="inlineStr">
        <is>
          <t>SFIA 9 · software development, programming; OWASP secure coding; cloud vendor certifications</t>
        </is>
      </c>
      <c r="X501" s="29" t="inlineStr">
        <is>
          <t>Core 2 · Future 2 · Functional 2 · Leadership not scored</t>
        </is>
      </c>
      <c r="Y501" s="52" t="n">
        <v>380</v>
      </c>
      <c r="Z501" s="53" t="inlineStr">
        <is>
          <t>IRIS2394</t>
        </is>
      </c>
      <c r="AA501" s="53" t="inlineStr">
        <is>
          <t>Employee</t>
        </is>
      </c>
      <c r="AB501" s="53" t="inlineStr">
        <is>
          <t>Active</t>
        </is>
      </c>
      <c r="AC501" s="53" t="inlineStr">
        <is>
          <t>Meet Patel</t>
        </is>
      </c>
      <c r="AD501" s="54" t="n">
        <v>45839</v>
      </c>
      <c r="AE501" s="53" t="inlineStr">
        <is>
          <t>Trainee Software Engineer</t>
        </is>
      </c>
      <c r="AF501" s="53" t="inlineStr">
        <is>
          <t>B.Sc</t>
        </is>
      </c>
      <c r="AG501" s="53" t="inlineStr">
        <is>
          <t>Alpesh Chaudhari</t>
        </is>
      </c>
      <c r="AH501" s="53" t="inlineStr">
        <is>
          <t>N-4</t>
        </is>
      </c>
      <c r="AI501" s="53" t="inlineStr">
        <is>
          <t>Individual Contributor</t>
        </is>
      </c>
      <c r="AJ501" s="53" t="inlineStr">
        <is>
          <t>0 years, 0 months, 0 days</t>
        </is>
      </c>
      <c r="AK501" s="53" t="inlineStr">
        <is>
          <t>1 years, 1 months, 24 days</t>
        </is>
      </c>
      <c r="AL501" s="53" t="inlineStr">
        <is>
          <t>Regtech</t>
        </is>
      </c>
      <c r="AM501" s="53" t="inlineStr">
        <is>
          <t>CARBON</t>
        </is>
      </c>
      <c r="AN501" s="53" t="inlineStr">
        <is>
          <t>Technology</t>
        </is>
      </c>
      <c r="AO501" s="53" t="inlineStr">
        <is>
          <t>Development</t>
        </is>
      </c>
      <c r="AP501" s="53" t="inlineStr">
        <is>
          <t>Yes</t>
        </is>
      </c>
      <c r="AQ501" s="53" t="inlineStr">
        <is>
          <t>Product/Project</t>
        </is>
      </c>
      <c r="AR501" s="53" t="inlineStr">
        <is>
          <t>.NET MVC</t>
        </is>
      </c>
      <c r="AS501" s="53" t="inlineStr">
        <is>
          <t>Technical - Developer</t>
        </is>
      </c>
      <c r="AT501" s="53" t="n">
        <v>20</v>
      </c>
      <c r="AU501" s="53" t="inlineStr">
        <is>
          <t>Covered</t>
        </is>
      </c>
      <c r="AV501" s="53" t="inlineStr">
        <is>
          <t>IRIS2394</t>
        </is>
      </c>
      <c r="AW501" s="53" t="inlineStr">
        <is>
          <t>Meet Patel</t>
        </is>
      </c>
      <c r="AX501" s="53" t="inlineStr">
        <is>
          <t>Technology</t>
        </is>
      </c>
      <c r="AY501" s="53" t="inlineStr">
        <is>
          <t>Engineering &amp; Development</t>
        </is>
      </c>
      <c r="AZ501" s="53" t="inlineStr">
        <is>
          <t>Full-Stack Engineering</t>
        </is>
      </c>
      <c r="BA501" s="53" t="n"/>
      <c r="BB501" s="53" t="n"/>
      <c r="BC501" s="53" t="inlineStr">
        <is>
          <t>Employee</t>
        </is>
      </c>
      <c r="BD501" s="53" t="inlineStr">
        <is>
          <t>Alpesh Chaudhari</t>
        </is>
      </c>
      <c r="BE501" s="53" t="inlineStr">
        <is>
          <t>Alpesh Chaudhari</t>
        </is>
      </c>
      <c r="BF501" s="53" t="inlineStr">
        <is>
          <t>No</t>
        </is>
      </c>
      <c r="BG501" s="53" t="inlineStr">
        <is>
          <t>Trainee Software Engineer</t>
        </is>
      </c>
      <c r="BH501" s="53" t="inlineStr">
        <is>
          <t>Trainee Software Engineer</t>
        </is>
      </c>
      <c r="BI501" s="53" t="inlineStr">
        <is>
          <t>No</t>
        </is>
      </c>
      <c r="BJ501" s="53" t="inlineStr">
        <is>
          <t>—</t>
        </is>
      </c>
      <c r="BK501" s="53" t="inlineStr">
        <is>
          <t>—</t>
        </is>
      </c>
      <c r="BL501" s="53" t="inlineStr">
        <is>
          <t>—</t>
        </is>
      </c>
      <c r="BM501" s="53" t="inlineStr">
        <is>
          <t>Not a manager</t>
        </is>
      </c>
      <c r="BN501" s="53" t="inlineStr">
        <is>
          <t>—</t>
        </is>
      </c>
      <c r="BO501" s="53" t="inlineStr">
        <is>
          <t>—</t>
        </is>
      </c>
      <c r="BP501" s="53" t="inlineStr">
        <is>
          <t>—</t>
        </is>
      </c>
      <c r="BQ501" s="53" t="inlineStr">
        <is>
          <t>Not a manager</t>
        </is>
      </c>
      <c r="BR501" s="53" t="inlineStr">
        <is>
          <t>—</t>
        </is>
      </c>
      <c r="BS501" s="53" t="inlineStr">
        <is>
          <t>L2 – Trainee</t>
        </is>
      </c>
      <c r="BT501" s="53" t="inlineStr">
        <is>
          <t>L2 – Trainee</t>
        </is>
      </c>
      <c r="BU501" s="53" t="inlineStr">
        <is>
          <t>No designation change — current record value carried forward</t>
        </is>
      </c>
      <c r="BV501" s="53" t="inlineStr">
        <is>
          <t>1.Deliver ≥ 90% committed development tasks within agreed timelines with high-quality implementation.
2.Strengthen technical capability in advanced.NET Core, React, API design, and full-stack development, contributing to ≥ 30% technical discussions by FY end.
3.Build stronger system understanding in system design, architecture patterns, and data modeling to independently handle minimum 2 complex modules/features.
4.Maintain strong engineering quality by achieving ≥ 85% first-time-right delivery and reducing rework by ≥ 30% YoY.
5.Maintain engineering standards with ≥ 85% code quality compliance and participation in ≥ 50% relevant code reviews.
6.Take ownership of minimum 1–2 technical initiatives annually · automation, reusable component, performance optimization, etc..</t>
        </is>
      </c>
      <c r="BW501" s="53" t="n"/>
      <c r="BX501" s="53" t="inlineStr">
        <is>
          <t>Global.</t>
        </is>
      </c>
      <c r="BY501" s="53" t="n"/>
      <c r="BZ501" s="53" t="n"/>
      <c r="CA501" s="53" t="n"/>
      <c r="CB501" s="53" t="n"/>
      <c r="CC501" s="53" t="n"/>
      <c r="CD501" s="53" t="n"/>
      <c r="CE501" s="53" t="n"/>
      <c r="CF501" s="53" t="n"/>
      <c r="CG501" s="53" t="n"/>
      <c r="CH501" s="53" t="n"/>
      <c r="CI501" s="53" t="n"/>
      <c r="CJ501" s="53" t="n"/>
      <c r="CK501" s="53" t="n"/>
      <c r="CL501" s="53" t="n"/>
      <c r="CM501" s="53" t="n"/>
      <c r="CN501" s="53" t="n"/>
      <c r="CO501" s="53" t="n"/>
      <c r="CP501" s="53" t="n"/>
      <c r="CQ501" s="53" t="n"/>
      <c r="CR501" s="53" t="n"/>
      <c r="CS501" s="53" t="n"/>
      <c r="CT501" s="53" t="n"/>
      <c r="CU501" s="53" t="n"/>
      <c r="CV501" s="53" t="n"/>
      <c r="CW501" s="53" t="n"/>
      <c r="CX501" s="53" t="n"/>
      <c r="CY501" s="53" t="n"/>
      <c r="CZ501" s="53" t="n"/>
      <c r="DA501" s="53" t="n"/>
      <c r="DB501" s="53" t="n"/>
      <c r="DC501" s="53" t="n"/>
      <c r="DD501" s="53" t="n"/>
      <c r="DE501" s="53" t="n"/>
      <c r="DF501" s="53" t="n"/>
      <c r="DG501" s="53" t="n"/>
      <c r="DH501" s="53" t="n"/>
      <c r="DI501" s="53" t="n"/>
      <c r="DJ501" s="53" t="n"/>
      <c r="DK501" s="53" t="n"/>
      <c r="DL501" s="53" t="n"/>
      <c r="DM501" s="53" t="n"/>
      <c r="DN501" s="53" t="n"/>
      <c r="DO501" s="53" t="n"/>
      <c r="DP501" s="53" t="n"/>
      <c r="DQ501" s="53" t="n"/>
      <c r="DR501" s="53" t="n"/>
      <c r="DS501" s="53" t="n"/>
      <c r="DT501" s="53" t="n"/>
      <c r="DU501" s="53" t="n"/>
      <c r="DV501" s="53" t="n"/>
      <c r="DW501" s="53" t="n"/>
      <c r="DX501" s="53" t="n"/>
      <c r="DY501" s="53" t="n"/>
      <c r="DZ501" s="53" t="n"/>
      <c r="EA501" s="53" t="n"/>
      <c r="EB501" s="53" t="n"/>
      <c r="EC501" s="53" t="n"/>
      <c r="ED501" s="53" t="n"/>
      <c r="EE501" s="53" t="n"/>
      <c r="EF501" s="53" t="n"/>
      <c r="EG501" s="53" t="n"/>
      <c r="EH501" s="53" t="n"/>
      <c r="EI501" s="53" t="n"/>
      <c r="EJ501" s="53" t="n"/>
      <c r="EK501" s="53" t="n"/>
      <c r="EL501" s="53" t="n"/>
      <c r="EM501" s="53" t="n"/>
      <c r="EN501" s="53" t="n"/>
      <c r="EO501" s="53" t="n"/>
      <c r="EP501" s="53" t="n"/>
      <c r="EQ501" s="53" t="n"/>
      <c r="ER501" s="53" t="n"/>
      <c r="ES501" s="53" t="n"/>
      <c r="ET501" s="53" t="n"/>
      <c r="EU501" s="53" t="n"/>
      <c r="EV501" s="53" t="n"/>
      <c r="EW501" s="52" t="n"/>
      <c r="EX501" s="53" t="inlineStr">
        <is>
          <t>• Role / sub-team: Technology — Trainee Software Engineer.
• Core purpose: Take resposibility of my work and complete it on time also help others who need any help.
• Decision-making autonomy: Can independently implement tech solutions.
• Is this something only they do: Partly different; Most of us.
• What's different about this role: Using AI for a better approach across trying multiple approaches and using an AI approach first.</t>
        </is>
      </c>
      <c r="EY501" s="53" t="inlineStr">
        <is>
          <t>• Key responsibilities include: Full stack development; Bug fixing; Api development.
• Personally accountable for: For responsive design, frontend functionality, usability, and delivering reliable, bug free user experiences.
• Impact if missed or done wrong: Cause bug, poor user exp, mainly rework..
• How measured: Partialy different.</t>
        </is>
      </c>
      <c r="EZ501" s="53" t="inlineStr">
        <is>
          <t>• Current capabilities: Full stack Development; Domain language.
• Tools / software used: Postman; Claude.
• Workload: Rated a heavy load · 4/5 in a typical week.
• Judgment/way of working: AI first approach.</t>
        </is>
      </c>
      <c r="FA501" s="53" t="inlineStr">
        <is>
          <t>• Development priorities: Leadership experience.
• Learning and Development Need: On the job mentoring. About tech stack used in Carbon...
• Role evolving toward: AI based development.</t>
        </is>
      </c>
      <c r="FB501" s="53" t="inlineStr">
        <is>
          <t>• Key challenges: Ai credits.
• Support required: Clear requirements.</t>
        </is>
      </c>
      <c r="FC501" s="53" t="n"/>
      <c r="FD501" s="53" t="n"/>
      <c r="FE501" s="57" t="inlineStr">
        <is>
          <t>1.Deliver ≥ 90% committed development tasks within agreed timelines with high-quality implementation.
2.Strengthen technical capability in advanced .NET Core, React, API design, and full-stack development, contributing to ≥ 30% technical discussions by FY end.
3.Build stronger system understanding in system design, architecture patterns, and data modeling to independently handle minimum 2 complex modules/features.
4.Maintain strong engineering quality by achieving ≥ 85% first-time-right delivery and reducing rework by ≥ 30% YoY.
5.Maintain engineering standards with ≥ 85% code quality compliance and participation in ≥ 50% relevant code reviews.
6.Take ownership of minimum 1–2 technical initiatives annually · automation, reusable component, performance optimization, etc..</t>
        </is>
      </c>
      <c r="FF501" s="56" t="n"/>
      <c r="FG501" s="56" t="n"/>
      <c r="FH501" s="56" t="n"/>
      <c r="FI501" s="56" t="n"/>
      <c r="FJ501" s="56" t="inlineStr">
        <is>
          <t>Received · manager annual</t>
        </is>
      </c>
      <c r="FK501" s="56" t="inlineStr">
        <is>
          <t>CARBON Mapping Master</t>
        </is>
      </c>
      <c r="FL501" s="56" t="n">
        <v>20</v>
      </c>
      <c r="FM501" s="56" t="inlineStr">
        <is>
          <t>• Role / sub-team: Technology — Trainee Software Engineer.
• Core purpose: Take resposibility of my work and complete it on time also help others who need any help.
• Decision-making autonomy: Can independently implement tech solutions.
• Is this something only they do: Partly different; Most of us.
• What's different about this role: Using AI for a better approach across trying multiple approaches and using an AI approach first.</t>
        </is>
      </c>
      <c r="FN501" s="56" t="inlineStr">
        <is>
          <t>• Key responsibilities include: Full stack development; Bug fixing; Api development.
• Personally accountable for: For responsive design, frontend functionality, usability, and delivering reliable, bug free user experiences.
• Impact if missed or done wrong: Cause bug, poor user exp, mainly rework..
• How measured: Partialy different.</t>
        </is>
      </c>
      <c r="FO501" s="56" t="inlineStr">
        <is>
          <t>• Current capabilities: Full stack Development; Domain language.
• Tools / software used: Postman; Claude.
• Workload: Rated a heavy load · 4/5 in a typical week.
• Judgment/way of working: AI first approach.</t>
        </is>
      </c>
      <c r="FP501" s="56" t="inlineStr">
        <is>
          <t>• Development priorities: Leadership experience.
• Learning and Development Need: On the job mentoring. About tech stack used in Carbon...
• Role evolving toward: AI based development.</t>
        </is>
      </c>
      <c r="FQ501" s="56" t="inlineStr">
        <is>
          <t>• Key challenges: Ai credits.
• Support required: Clear requirements.</t>
        </is>
      </c>
      <c r="FR501" s="56" t="inlineStr">
        <is>
          <t>Complexity: Evidence reads like A2: own survey / KRA answers · summarised by the rater; not quoted → moved up 0.5
Autonomy: Evidence reads like A2: Decides how to implement technical solutions for own tasks → moved up 0.5
Accountability: Evidence reads like A2: own survey / KRA answers · summarised by the rater; not quoted → moved up 0.5
Leadership: Evidence reads like A2: Says helps others who need help → moved up 0.5
Business Impact: No survey or manager-mapping signal on criticality: kept at the start point.</t>
        </is>
      </c>
      <c r="FS501" s="56" t="inlineStr">
        <is>
          <t>Common themes in role-holders' answers: software · time · maintain · take · solutions · efficiency
Common themes in role-holders' answers: fixing · quality · bug · development · client · code
Common themes in role-holders' answers: solutions · bug · fixes · features
Common themes in role-holders' answers: quality · personally · reliable · delivering · am · accountable
Common themes in role-holders' answers: implement · solutions · issues · structure · design
If the work is missed · role-holders' themes: rework · incorrectly · issues · delays.
Measured on · manager-set KRA themes: improve · deliver · modules · committed · coverage · automated.</t>
        </is>
      </c>
      <c r="FT501" s="56" t="inlineStr">
        <is>
          <t>Self-identified: Leadership &amp; people management
For the next role: Leadership &amp; people management</t>
        </is>
      </c>
      <c r="FU501" s="56" t="inlineStr">
        <is>
          <t>Per-person summary · CARBON Mapping Master</t>
        </is>
      </c>
    </row>
    <row r="502" ht="90" customHeight="1">
      <c r="A502" s="51" t="inlineStr">
        <is>
          <t>◂ Back</t>
        </is>
      </c>
      <c r="B502" s="29" t="inlineStr">
        <is>
          <t>Mapped</t>
        </is>
      </c>
      <c r="C502" s="28" t="inlineStr">
        <is>
          <t>CARBON</t>
        </is>
      </c>
      <c r="D502" s="29" t="inlineStr">
        <is>
          <t>IRIS2454</t>
        </is>
      </c>
      <c r="E502" s="29" t="inlineStr">
        <is>
          <t>Ayush Sharma</t>
        </is>
      </c>
      <c r="F502" s="29" t="inlineStr">
        <is>
          <t>Technology</t>
        </is>
      </c>
      <c r="G502" s="29" t="inlineStr">
        <is>
          <t>Trainee Software Engineer</t>
        </is>
      </c>
      <c r="H502" s="29" t="inlineStr">
        <is>
          <t>Trainee Software Engineer</t>
        </is>
      </c>
      <c r="I502" s="29" t="inlineStr">
        <is>
          <t>L2 – Trainee</t>
        </is>
      </c>
      <c r="J502" s="29" t="inlineStr">
        <is>
          <t>A1</t>
        </is>
      </c>
      <c r="K502" s="29" t="inlineStr">
        <is>
          <t>• Same level</t>
        </is>
      </c>
      <c r="L502" s="29" t="inlineStr">
        <is>
          <t>Engineering &amp; Development</t>
        </is>
      </c>
      <c r="M502" s="29" t="inlineStr">
        <is>
          <t>Backend Development</t>
        </is>
      </c>
      <c r="N502" s="29" t="n"/>
      <c r="O502" s="29" t="n">
        <v>20</v>
      </c>
      <c r="P502" s="28" t="inlineStr">
        <is>
          <t>Entry / P1 · intern</t>
        </is>
      </c>
      <c r="Q502" s="29" t="inlineStr">
        <is>
          <t>Entry</t>
        </is>
      </c>
      <c r="R502" s="29" t="inlineStr">
        <is>
          <t>1 Follow</t>
        </is>
      </c>
      <c r="S502" s="29" t="inlineStr">
        <is>
          <t>0 yrs · fresher / intern</t>
        </is>
      </c>
      <c r="T502" s="29" t="inlineStr">
        <is>
          <t>—</t>
        </is>
      </c>
      <c r="U502" s="29" t="inlineStr">
        <is>
          <t>Associate Software Engineer</t>
        </is>
      </c>
      <c r="V502" s="29" t="inlineStr">
        <is>
          <t>—</t>
        </is>
      </c>
      <c r="W502" s="29" t="inlineStr">
        <is>
          <t>SFIA 9 · software development, programming; OWASP secure coding; cloud vendor certifications</t>
        </is>
      </c>
      <c r="X502" s="29" t="inlineStr">
        <is>
          <t>Core 1 · Future 1 · Functional 1 · Leadership not scored</t>
        </is>
      </c>
      <c r="Y502" s="52" t="n">
        <v>420</v>
      </c>
      <c r="Z502" s="53" t="inlineStr">
        <is>
          <t>IRIS2454</t>
        </is>
      </c>
      <c r="AA502" s="53" t="inlineStr">
        <is>
          <t>Employee</t>
        </is>
      </c>
      <c r="AB502" s="53" t="inlineStr">
        <is>
          <t>Active</t>
        </is>
      </c>
      <c r="AC502" s="53" t="inlineStr">
        <is>
          <t>Ayush Sharma</t>
        </is>
      </c>
      <c r="AD502" s="54" t="n">
        <v>45995</v>
      </c>
      <c r="AE502" s="53" t="inlineStr">
        <is>
          <t>Trainee Software Engineer</t>
        </is>
      </c>
      <c r="AF502" s="53" t="inlineStr">
        <is>
          <t>B.Tech</t>
        </is>
      </c>
      <c r="AG502" s="53" t="inlineStr">
        <is>
          <t>Alpesh Chaudhari</t>
        </is>
      </c>
      <c r="AH502" s="53" t="inlineStr">
        <is>
          <t>N-4</t>
        </is>
      </c>
      <c r="AI502" s="53" t="inlineStr">
        <is>
          <t>Individual Contributor</t>
        </is>
      </c>
      <c r="AJ502" s="53" t="inlineStr">
        <is>
          <t>0 years, 0 months, 0 days</t>
        </is>
      </c>
      <c r="AK502" s="53" t="inlineStr">
        <is>
          <t>0 years, 8 months, 21 days</t>
        </is>
      </c>
      <c r="AL502" s="53" t="inlineStr">
        <is>
          <t>Regtech</t>
        </is>
      </c>
      <c r="AM502" s="53" t="inlineStr">
        <is>
          <t>CARBON</t>
        </is>
      </c>
      <c r="AN502" s="53" t="inlineStr">
        <is>
          <t>Technology</t>
        </is>
      </c>
      <c r="AO502" s="53" t="inlineStr">
        <is>
          <t>Development</t>
        </is>
      </c>
      <c r="AP502" s="53" t="inlineStr">
        <is>
          <t>Yes</t>
        </is>
      </c>
      <c r="AQ502" s="53" t="inlineStr">
        <is>
          <t>Product/Project</t>
        </is>
      </c>
      <c r="AR502" s="53" t="inlineStr">
        <is>
          <t>.NET MVC</t>
        </is>
      </c>
      <c r="AS502" s="53" t="inlineStr">
        <is>
          <t>Technical - Developer</t>
        </is>
      </c>
      <c r="AT502" s="53" t="n">
        <v>20</v>
      </c>
      <c r="AU502" s="53" t="inlineStr">
        <is>
          <t>Covered</t>
        </is>
      </c>
      <c r="AV502" s="53" t="inlineStr">
        <is>
          <t>IRIS2454</t>
        </is>
      </c>
      <c r="AW502" s="53" t="inlineStr">
        <is>
          <t>Ayush Sharma</t>
        </is>
      </c>
      <c r="AX502" s="53" t="inlineStr">
        <is>
          <t>Technology</t>
        </is>
      </c>
      <c r="AY502" s="53" t="inlineStr">
        <is>
          <t>Engineering &amp; Development</t>
        </is>
      </c>
      <c r="AZ502" s="53" t="inlineStr">
        <is>
          <t>Full-Stack Engineering</t>
        </is>
      </c>
      <c r="BA502" s="53" t="n"/>
      <c r="BB502" s="53" t="n"/>
      <c r="BC502" s="53" t="inlineStr">
        <is>
          <t>Employee</t>
        </is>
      </c>
      <c r="BD502" s="53" t="inlineStr">
        <is>
          <t>Alpesh Chaudhari</t>
        </is>
      </c>
      <c r="BE502" s="53" t="inlineStr">
        <is>
          <t>Alpesh Chaudhari</t>
        </is>
      </c>
      <c r="BF502" s="53" t="inlineStr">
        <is>
          <t>No</t>
        </is>
      </c>
      <c r="BG502" s="53" t="inlineStr">
        <is>
          <t>Trainee Software Engineer</t>
        </is>
      </c>
      <c r="BH502" s="53" t="inlineStr">
        <is>
          <t>Trainee Software Engineer</t>
        </is>
      </c>
      <c r="BI502" s="53" t="inlineStr">
        <is>
          <t>No</t>
        </is>
      </c>
      <c r="BJ502" s="53" t="inlineStr">
        <is>
          <t>—</t>
        </is>
      </c>
      <c r="BK502" s="53" t="inlineStr">
        <is>
          <t>—</t>
        </is>
      </c>
      <c r="BL502" s="53" t="inlineStr">
        <is>
          <t>—</t>
        </is>
      </c>
      <c r="BM502" s="53" t="inlineStr">
        <is>
          <t>Not a manager</t>
        </is>
      </c>
      <c r="BN502" s="53" t="inlineStr">
        <is>
          <t>—</t>
        </is>
      </c>
      <c r="BO502" s="53" t="inlineStr">
        <is>
          <t>—</t>
        </is>
      </c>
      <c r="BP502" s="53" t="inlineStr">
        <is>
          <t>—</t>
        </is>
      </c>
      <c r="BQ502" s="53" t="inlineStr">
        <is>
          <t>Not a manager</t>
        </is>
      </c>
      <c r="BR502" s="53" t="inlineStr">
        <is>
          <t>—</t>
        </is>
      </c>
      <c r="BS502" s="53" t="inlineStr">
        <is>
          <t>L2 – Trainee</t>
        </is>
      </c>
      <c r="BT502" s="53" t="inlineStr">
        <is>
          <t>L2 – Trainee</t>
        </is>
      </c>
      <c r="BU502" s="53" t="inlineStr">
        <is>
          <t>No designation change — current record value carried forward</t>
        </is>
      </c>
      <c r="BV502" s="53" t="inlineStr">
        <is>
          <t>1.Deliver ≥ 90% committed full-stack tasks within agreed timelines with improved implementation quality and reduced rework.
2.Strengthen technical capability in advanced.NET Core, React, API design, and full-stack development, contributing to ≥ 30% technical discussions by FY end.
3.Improve engineering quality by reducing issue reopen / repeated defect rate by ≥ 50% YoY through stronger validation and testing.
4.Build stronger system understanding in system design, architecture patterns, and data modeling to independently handle minimum 2 complex modules/features.
5.Maintain strong engineering standards with ≥ 85% code quality compliance and participation in ≥ 60% relevant code reviews.
6.Take ownership of minimum 1–2 technical initiatives annually · automation, reusable components, performance optimization, etc..</t>
        </is>
      </c>
      <c r="BW502" s="53" t="n"/>
      <c r="BX502" s="53" t="inlineStr">
        <is>
          <t>Global</t>
        </is>
      </c>
      <c r="BY502" s="53" t="n"/>
      <c r="BZ502" s="53" t="n"/>
      <c r="CA502" s="53" t="n"/>
      <c r="CB502" s="53" t="n"/>
      <c r="CC502" s="53" t="n"/>
      <c r="CD502" s="53" t="n"/>
      <c r="CE502" s="53" t="n"/>
      <c r="CF502" s="53" t="n"/>
      <c r="CG502" s="53" t="n"/>
      <c r="CH502" s="53" t="n"/>
      <c r="CI502" s="53" t="n"/>
      <c r="CJ502" s="53" t="n"/>
      <c r="CK502" s="53" t="n"/>
      <c r="CL502" s="53" t="n"/>
      <c r="CM502" s="53" t="n"/>
      <c r="CN502" s="53" t="n"/>
      <c r="CO502" s="53" t="n"/>
      <c r="CP502" s="53" t="n"/>
      <c r="CQ502" s="53" t="n"/>
      <c r="CR502" s="53" t="n"/>
      <c r="CS502" s="53" t="n"/>
      <c r="CT502" s="53" t="n"/>
      <c r="CU502" s="53" t="n"/>
      <c r="CV502" s="53" t="n"/>
      <c r="CW502" s="53" t="n"/>
      <c r="CX502" s="53" t="n"/>
      <c r="CY502" s="53" t="n"/>
      <c r="CZ502" s="53" t="n"/>
      <c r="DA502" s="53" t="n"/>
      <c r="DB502" s="53" t="n"/>
      <c r="DC502" s="53" t="n"/>
      <c r="DD502" s="53" t="n"/>
      <c r="DE502" s="53" t="n"/>
      <c r="DF502" s="53" t="n"/>
      <c r="DG502" s="53" t="n"/>
      <c r="DH502" s="53" t="n"/>
      <c r="DI502" s="53" t="n"/>
      <c r="DJ502" s="53" t="n"/>
      <c r="DK502" s="53" t="n"/>
      <c r="DL502" s="53" t="n"/>
      <c r="DM502" s="53" t="n"/>
      <c r="DN502" s="53" t="n"/>
      <c r="DO502" s="53" t="n"/>
      <c r="DP502" s="53" t="n"/>
      <c r="DQ502" s="53" t="n"/>
      <c r="DR502" s="53" t="n"/>
      <c r="DS502" s="53" t="n"/>
      <c r="DT502" s="53" t="n"/>
      <c r="DU502" s="53" t="n"/>
      <c r="DV502" s="53" t="n"/>
      <c r="DW502" s="53" t="n"/>
      <c r="DX502" s="53" t="n"/>
      <c r="DY502" s="53" t="n"/>
      <c r="DZ502" s="53" t="n"/>
      <c r="EA502" s="53" t="n"/>
      <c r="EB502" s="53" t="n"/>
      <c r="EC502" s="53" t="n"/>
      <c r="ED502" s="53" t="n"/>
      <c r="EE502" s="53" t="n"/>
      <c r="EF502" s="53" t="n"/>
      <c r="EG502" s="53" t="n"/>
      <c r="EH502" s="53" t="n"/>
      <c r="EI502" s="53" t="n"/>
      <c r="EJ502" s="53" t="n"/>
      <c r="EK502" s="53" t="n"/>
      <c r="EL502" s="53" t="n"/>
      <c r="EM502" s="53" t="n"/>
      <c r="EN502" s="53" t="n"/>
      <c r="EO502" s="53" t="n"/>
      <c r="EP502" s="53" t="n"/>
      <c r="EQ502" s="53" t="n"/>
      <c r="ER502" s="53" t="n"/>
      <c r="ES502" s="53" t="n"/>
      <c r="ET502" s="53" t="n"/>
      <c r="EU502" s="53" t="n"/>
      <c r="EV502" s="53" t="n"/>
      <c r="EW502" s="52" t="n"/>
      <c r="EX502" s="53" t="inlineStr">
        <is>
          <t>As a Software Engineer, my core purpose is to design, develop, and maintain reliable, scalable software solutions that solve business and user problems. React, .Net The core purpose of a Software Engineer is to design, develop, and maintain reliable software solutions that solve business and customer problems.; Technical decisions</t>
        </is>
      </c>
      <c r="EY502" s="53" t="inlineStr">
        <is>
          <t>scalable software appln; I’m accountable for the quality, reliability, and timely delivery of the features and software I develop.; Develop Software Features; It can lead to bugs, delays, rework, or production issues.</t>
        </is>
      </c>
      <c r="EZ502" s="53" t="inlineStr">
        <is>
          <t>NET Java React; Visual Studio VS Code; Problem-solving, ownership, and sound technical judgment.</t>
        </is>
      </c>
      <c r="FA502" s="53" t="inlineStr">
        <is>
          <t>System architecture, project workflows, and priorities.; hands-on project expern; System design, cloud technologies, AI/GenAI, and leadership skills.</t>
        </is>
      </c>
      <c r="FB502" s="53" t="inlineStr">
        <is>
          <t>High workload and shift; Better workload planning and clearer priorities.</t>
        </is>
      </c>
      <c r="FC502" s="53" t="n"/>
      <c r="FD502" s="53" t="n"/>
      <c r="FE502" s="57" t="inlineStr">
        <is>
          <t>1.Deliver ≥ 90% committed full-stack tasks within agreed timelines with improved implementation quality and reduced rework.
2.Strengthen technical capability in advanced .NET Core, React, API design, and full-stack development, contributing to ≥ 30% technical discussions by FY end.
3.Improve engineering quality by reducing issue reopen / repeated defect rate by ≥ 50% YoY through stronger validation and testing.
4.Build stronger system understanding in system design, architecture patterns, and data modeling to independently handle minimum 2 complex modules/features.
5.Maintain strong engineering standards with ≥ 85% code quality compliance and participation in ≥ 60% relevant code reviews.
6.Take ownership of minimum 1–2 technical initiatives annually · automation, reusable components, performance optimization, etc..</t>
        </is>
      </c>
      <c r="FF502" s="56" t="n"/>
      <c r="FG502" s="56" t="n"/>
      <c r="FH502" s="56" t="n"/>
      <c r="FI502" s="56" t="n"/>
      <c r="FJ502" s="56" t="inlineStr">
        <is>
          <t>Received · manager annual</t>
        </is>
      </c>
      <c r="FK502" s="56" t="inlineStr">
        <is>
          <t>CARBON Mapping Master</t>
        </is>
      </c>
      <c r="FL502" s="56" t="n">
        <v>20</v>
      </c>
      <c r="FM502" s="56" t="inlineStr">
        <is>
          <t>As a Software Engineer, my core purpose is to design, develop, and maintain reliable, scalable software solutions that solve business and user problems. React, .Net The core purpose of a Software Engineer is to design, develop, and maintain reliable software solutions that solve business and customer problems.; Technical decisions</t>
        </is>
      </c>
      <c r="FN502" s="56" t="inlineStr">
        <is>
          <t>scalable software appln; I’m accountable for the quality, reliability, and timely delivery of the features and software I develop.; Develop Software Features; It can lead to bugs, delays, rework, or production issues.</t>
        </is>
      </c>
      <c r="FO502" s="56" t="inlineStr">
        <is>
          <t>NET Java React; Visual Studio VS Code; Problem-solving, ownership, and sound technical judgment.</t>
        </is>
      </c>
      <c r="FP502" s="56" t="inlineStr">
        <is>
          <t>System architecture, project workflows, and priorities.; hands-on project expern; System design, cloud technologies, AI/GenAI, and leadership skills.</t>
        </is>
      </c>
      <c r="FQ502" s="56" t="inlineStr">
        <is>
          <t>High workload and shift; Better workload planning and clearer priorities.</t>
        </is>
      </c>
      <c r="FR502" s="56" t="n"/>
      <c r="FS502" s="56" t="inlineStr">
        <is>
          <t>Common themes in role-holders' answers: learn · core · software engineer · develop · purpose · design
Common themes in role-holders' answers: features · software · development · learning
Common themes in role-holders' answers: software · code · features
Common themes in role-holders' answers: quality · accountable · timely · if · data
Common themes in role-holders' answers: decisions · technical
If the work is missed · role-holders' themes: lead · delays · rework.
Measured on · manager-set KRA themes: code · technical · agreed · deliver · application · maintain.</t>
        </is>
      </c>
      <c r="FT502" s="56" t="inlineStr">
        <is>
          <t>Self-identified: AI / automation · Leadership &amp; people management · Technical depth &amp; architecture
For the next role: AI / automation · Leadership &amp; people management · Technical depth &amp; architecture</t>
        </is>
      </c>
      <c r="FU502" s="56" t="inlineStr">
        <is>
          <t>Per-person summary · CARBON Mapping Master</t>
        </is>
      </c>
    </row>
    <row r="503" ht="90" customHeight="1">
      <c r="A503" s="51" t="inlineStr">
        <is>
          <t>◂ Back</t>
        </is>
      </c>
      <c r="B503" s="29" t="inlineStr">
        <is>
          <t>Mapped</t>
        </is>
      </c>
      <c r="C503" s="28" t="inlineStr">
        <is>
          <t>CARBON</t>
        </is>
      </c>
      <c r="D503" s="29" t="inlineStr">
        <is>
          <t>IRIS2024</t>
        </is>
      </c>
      <c r="E503" s="29" t="inlineStr">
        <is>
          <t>Imtiyaz Pathan</t>
        </is>
      </c>
      <c r="F503" s="29" t="inlineStr">
        <is>
          <t>Technology</t>
        </is>
      </c>
      <c r="G503" s="29" t="inlineStr">
        <is>
          <t>Software Engineer</t>
        </is>
      </c>
      <c r="H503" s="29" t="inlineStr">
        <is>
          <t>Senior Software Engineer</t>
        </is>
      </c>
      <c r="I503" s="29" t="inlineStr">
        <is>
          <t>L3 – Professional / Associate</t>
        </is>
      </c>
      <c r="J503" s="29" t="inlineStr">
        <is>
          <t>A3</t>
        </is>
      </c>
      <c r="K503" s="29" t="inlineStr">
        <is>
          <t>▲ Up</t>
        </is>
      </c>
      <c r="L503" s="29" t="inlineStr">
        <is>
          <t>Engineering &amp; Development</t>
        </is>
      </c>
      <c r="M503" s="29" t="inlineStr">
        <is>
          <t>Backend Development</t>
        </is>
      </c>
      <c r="N503" s="29" t="n"/>
      <c r="O503" s="29" t="n">
        <v>20</v>
      </c>
      <c r="P503" s="28" t="inlineStr">
        <is>
          <t>P2</t>
        </is>
      </c>
      <c r="Q503" s="29" t="inlineStr">
        <is>
          <t>Developing</t>
        </is>
      </c>
      <c r="R503" s="29" t="inlineStr">
        <is>
          <t>3 Apply</t>
        </is>
      </c>
      <c r="S503" s="29" t="inlineStr">
        <is>
          <t>2–4 yrs</t>
        </is>
      </c>
      <c r="T503" s="29" t="inlineStr">
        <is>
          <t>3–5 · 2–5</t>
        </is>
      </c>
      <c r="U503" s="29" t="inlineStr">
        <is>
          <t>Software Engineer</t>
        </is>
      </c>
      <c r="V503" s="29" t="inlineStr">
        <is>
          <t>Workiva: SE · Broadridge India: SE · Nasdaq / AxiomSL: SE · Salesforce: MTS · Atlassian: P40 · 3–7 yrs · Freshworks: Senior SE</t>
        </is>
      </c>
      <c r="W503" s="29" t="inlineStr">
        <is>
          <t>SFIA 9 · software development, programming; OWASP secure coding; cloud vendor certifications</t>
        </is>
      </c>
      <c r="X503" s="29" t="inlineStr">
        <is>
          <t>Core 2 · Future 2 · Functional 3 · Leadership not scored</t>
        </is>
      </c>
      <c r="Y503" s="52" t="n">
        <v>221</v>
      </c>
      <c r="Z503" s="53" t="inlineStr">
        <is>
          <t>IRIS2024</t>
        </is>
      </c>
      <c r="AA503" s="53" t="inlineStr">
        <is>
          <t>Employee</t>
        </is>
      </c>
      <c r="AB503" s="53" t="inlineStr">
        <is>
          <t>Active</t>
        </is>
      </c>
      <c r="AC503" s="53" t="inlineStr">
        <is>
          <t>Imtiyaz Pathan</t>
        </is>
      </c>
      <c r="AD503" s="54" t="n">
        <v>44714</v>
      </c>
      <c r="AE503" s="53" t="inlineStr">
        <is>
          <t>Software Engineer</t>
        </is>
      </c>
      <c r="AF503" s="53" t="inlineStr">
        <is>
          <t>MCA</t>
        </is>
      </c>
      <c r="AG503" s="53" t="inlineStr">
        <is>
          <t>Dhiraj Suryawanshi</t>
        </is>
      </c>
      <c r="AH503" s="53" t="inlineStr">
        <is>
          <t>N-3</t>
        </is>
      </c>
      <c r="AI503" s="53" t="inlineStr">
        <is>
          <t>Individual Contributor</t>
        </is>
      </c>
      <c r="AJ503" s="53" t="inlineStr">
        <is>
          <t>0 years, 0 months, 0 days</t>
        </is>
      </c>
      <c r="AK503" s="53" t="inlineStr">
        <is>
          <t>4 years, 2 months, 23 days</t>
        </is>
      </c>
      <c r="AL503" s="53" t="inlineStr">
        <is>
          <t>Regtech</t>
        </is>
      </c>
      <c r="AM503" s="53" t="inlineStr">
        <is>
          <t>CARBON</t>
        </is>
      </c>
      <c r="AN503" s="53" t="inlineStr">
        <is>
          <t>Technology</t>
        </is>
      </c>
      <c r="AO503" s="53" t="inlineStr">
        <is>
          <t>Development</t>
        </is>
      </c>
      <c r="AP503" s="53" t="inlineStr">
        <is>
          <t>Yes</t>
        </is>
      </c>
      <c r="AQ503" s="53" t="inlineStr">
        <is>
          <t>Product/Project</t>
        </is>
      </c>
      <c r="AR503" s="53" t="inlineStr">
        <is>
          <t>.NET MVC</t>
        </is>
      </c>
      <c r="AS503" s="53" t="inlineStr">
        <is>
          <t>Technical - Developer</t>
        </is>
      </c>
      <c r="AT503" s="53" t="n">
        <v>20</v>
      </c>
      <c r="AU503" s="53" t="inlineStr">
        <is>
          <t>Covered</t>
        </is>
      </c>
      <c r="AV503" s="53" t="inlineStr">
        <is>
          <t>IRIS2024</t>
        </is>
      </c>
      <c r="AW503" s="53" t="inlineStr">
        <is>
          <t>Imtiyaz Pathan</t>
        </is>
      </c>
      <c r="AX503" s="53" t="inlineStr">
        <is>
          <t>Technology</t>
        </is>
      </c>
      <c r="AY503" s="53" t="inlineStr">
        <is>
          <t>Engineering &amp; Development</t>
        </is>
      </c>
      <c r="AZ503" s="53" t="inlineStr">
        <is>
          <t>Full-Stack Engineering</t>
        </is>
      </c>
      <c r="BA503" s="53" t="n"/>
      <c r="BB503" s="53" t="n"/>
      <c r="BC503" s="53" t="inlineStr">
        <is>
          <t>Employee</t>
        </is>
      </c>
      <c r="BD503" s="53" t="inlineStr">
        <is>
          <t>Dhiraj Suryawanshi</t>
        </is>
      </c>
      <c r="BE503" s="53" t="inlineStr">
        <is>
          <t>Dhiraj Suryawanshi</t>
        </is>
      </c>
      <c r="BF503" s="53" t="inlineStr">
        <is>
          <t>No</t>
        </is>
      </c>
      <c r="BG503" s="53" t="inlineStr">
        <is>
          <t>Software Engineer</t>
        </is>
      </c>
      <c r="BH503" s="53" t="inlineStr">
        <is>
          <t>Software Engineer</t>
        </is>
      </c>
      <c r="BI503" s="53" t="inlineStr">
        <is>
          <t>No</t>
        </is>
      </c>
      <c r="BJ503" s="53" t="inlineStr">
        <is>
          <t>—</t>
        </is>
      </c>
      <c r="BK503" s="53" t="inlineStr">
        <is>
          <t>—</t>
        </is>
      </c>
      <c r="BL503" s="53" t="inlineStr">
        <is>
          <t>—</t>
        </is>
      </c>
      <c r="BM503" s="53" t="inlineStr">
        <is>
          <t>Not a manager</t>
        </is>
      </c>
      <c r="BN503" s="53" t="inlineStr">
        <is>
          <t>—</t>
        </is>
      </c>
      <c r="BO503" s="53" t="inlineStr">
        <is>
          <t>—</t>
        </is>
      </c>
      <c r="BP503" s="53" t="inlineStr">
        <is>
          <t>—</t>
        </is>
      </c>
      <c r="BQ503" s="53" t="inlineStr">
        <is>
          <t>Not a manager</t>
        </is>
      </c>
      <c r="BR503" s="53" t="inlineStr">
        <is>
          <t>—</t>
        </is>
      </c>
      <c r="BS503" s="53" t="inlineStr">
        <is>
          <t>L3 – Professional / Associate</t>
        </is>
      </c>
      <c r="BT503" s="53" t="inlineStr">
        <is>
          <t>L3 – Professional / Associate</t>
        </is>
      </c>
      <c r="BU503" s="53" t="inlineStr">
        <is>
          <t>No designation change — current record value carried forward</t>
        </is>
      </c>
      <c r="BV503" s="53" t="inlineStr">
        <is>
          <t>1.Deliver ≥ 95% committed full-stack tasks within agreed timelines with high-quality implementation.
2.Improve technical depth by independently owning minimum 3 complex full-stack modules/features by FY end.
3.Maintain strong engineering quality by achieving ≥ 90% first-time-right delivery and reducing rework by ≥ 35% YoY.
4.Strengthen architecture and design capability by contributing to ≥ 45% technical design discussions and proposing reusable solutions.
5.Maintain high engineering standards with ≥ 90% code quality compliance and participation in ≥ 70% relevant code reviews.
6.Demonstrate strong ownership and technical maturity to become ready for Senior Engineer / Module Lead role.</t>
        </is>
      </c>
      <c r="BW503" s="53" t="n"/>
      <c r="BX503" s="53" t="inlineStr">
        <is>
          <t>Global.</t>
        </is>
      </c>
      <c r="BY503" s="53" t="n"/>
      <c r="BZ503" s="53" t="n"/>
      <c r="CA503" s="53" t="n"/>
      <c r="CB503" s="53" t="n"/>
      <c r="CC503" s="53" t="n"/>
      <c r="CD503" s="53" t="n"/>
      <c r="CE503" s="53" t="n"/>
      <c r="CF503" s="53" t="n"/>
      <c r="CG503" s="53" t="n"/>
      <c r="CH503" s="53" t="n"/>
      <c r="CI503" s="53" t="n"/>
      <c r="CJ503" s="53" t="n"/>
      <c r="CK503" s="53" t="n"/>
      <c r="CL503" s="53" t="n"/>
      <c r="CM503" s="53" t="n"/>
      <c r="CN503" s="53" t="n"/>
      <c r="CO503" s="53" t="n"/>
      <c r="CP503" s="53" t="n"/>
      <c r="CQ503" s="53" t="n"/>
      <c r="CR503" s="53" t="n"/>
      <c r="CS503" s="53" t="n"/>
      <c r="CT503" s="53" t="n"/>
      <c r="CU503" s="53" t="n"/>
      <c r="CV503" s="53" t="n"/>
      <c r="CW503" s="53" t="n"/>
      <c r="CX503" s="53" t="n"/>
      <c r="CY503" s="53" t="n"/>
      <c r="CZ503" s="53" t="n"/>
      <c r="DA503" s="53" t="n"/>
      <c r="DB503" s="53" t="n"/>
      <c r="DC503" s="53" t="n"/>
      <c r="DD503" s="53" t="n"/>
      <c r="DE503" s="53" t="n"/>
      <c r="DF503" s="53" t="n"/>
      <c r="DG503" s="53" t="n"/>
      <c r="DH503" s="53" t="n"/>
      <c r="DI503" s="53" t="n"/>
      <c r="DJ503" s="53" t="n"/>
      <c r="DK503" s="53" t="n"/>
      <c r="DL503" s="53" t="n"/>
      <c r="DM503" s="53" t="n"/>
      <c r="DN503" s="53" t="n"/>
      <c r="DO503" s="53" t="n"/>
      <c r="DP503" s="53" t="n"/>
      <c r="DQ503" s="53" t="n"/>
      <c r="DR503" s="53" t="n"/>
      <c r="DS503" s="53" t="n"/>
      <c r="DT503" s="53" t="n"/>
      <c r="DU503" s="53" t="n"/>
      <c r="DV503" s="53" t="n"/>
      <c r="DW503" s="53" t="n"/>
      <c r="DX503" s="53" t="n"/>
      <c r="DY503" s="53" t="n"/>
      <c r="DZ503" s="53" t="n"/>
      <c r="EA503" s="53" t="n"/>
      <c r="EB503" s="53" t="n"/>
      <c r="EC503" s="53" t="n"/>
      <c r="ED503" s="53" t="n"/>
      <c r="EE503" s="53" t="n"/>
      <c r="EF503" s="53" t="n"/>
      <c r="EG503" s="53" t="n"/>
      <c r="EH503" s="53" t="n"/>
      <c r="EI503" s="53" t="n"/>
      <c r="EJ503" s="53" t="n"/>
      <c r="EK503" s="53" t="n"/>
      <c r="EL503" s="53" t="n"/>
      <c r="EM503" s="53" t="n"/>
      <c r="EN503" s="53" t="n"/>
      <c r="EO503" s="53" t="n"/>
      <c r="EP503" s="53" t="n"/>
      <c r="EQ503" s="53" t="n"/>
      <c r="ER503" s="53" t="n"/>
      <c r="ES503" s="53" t="n"/>
      <c r="ET503" s="53" t="n"/>
      <c r="EU503" s="53" t="n"/>
      <c r="EV503" s="53" t="n"/>
      <c r="EW503" s="52" t="n"/>
      <c r="EX503" s="53" t="inlineStr">
        <is>
          <t>• Role / sub-team: Technology — Software Engineer.
• Core purpose: My role is to understand business requirements, develop and maintain software solutions, solve technical problems, and ensure quality delivery. I work closely with the team throughout the development.
• Decision-making autonomy: Can independently technical Implementation.
• Is this something only they do: A few of us.
• What's different about this role: The role requires working across different technologies, understanding specific business requirements, and following processes where accuracy and quality are important.</t>
        </is>
      </c>
      <c r="EY503" s="53" t="inlineStr">
        <is>
          <t>• Key responsibilities include: Feature Development; API Development; AI Automation; Bug Resolution.
• Personally accountable for: For automation and AI-based features, I’m also accountable for ensuring the workflow works reliably, handles expected scenarios, and provides the intended business outcome.
• Impact if missed or done wrong: If a feature is missed or implemented incorrectly, it can lead to rework, delays, bugs, or impact other parts of the application.
• How measured: Same as Everyone.</t>
        </is>
      </c>
      <c r="EZ503" s="53" t="inlineStr">
        <is>
          <t>• Current capabilities: Software development.
• Tools / software used: VS Code; Github and Copilot.
• Workload: Rated a moderate load · 3/5 in a typical week.
• Judgment/way of working: Understanding the business requirement.</t>
        </is>
      </c>
      <c r="FA503" s="53" t="inlineStr">
        <is>
          <t>• Development priorities: I would need more exposure to AI, system design, technical decision-making, leadership, and end-to-end ownership. I would also like opportunities to work on larger and more complex projects.
• Learning and Development Need: Guidance from seniors. AI Tech Stack.
• Role evolving toward: Role is gradually evolving with new tools and technologies, especially around AI, automation, and modern development frameworks. There is also a shift toward more end-to-end ownership, automation.</t>
        </is>
      </c>
      <c r="FB503" s="53" t="inlineStr">
        <is>
          <t>• Key challenges: Juggling between multiple.
• Support required: Frequent context switching.</t>
        </is>
      </c>
      <c r="FC503" s="53" t="n"/>
      <c r="FD503" s="53" t="n"/>
      <c r="FE503" s="57" t="inlineStr">
        <is>
          <t>1.Deliver ≥ 95% committed full-stack tasks within agreed timelines with high-quality implementation.
2.Improve technical depth by independently owning minimum 3 complex full-stack modules/features by FY end.
3.Maintain strong engineering quality by achieving ≥ 90% first-time-right delivery and reducing rework by ≥ 35% YoY.
4.Strengthen architecture and design capability by contributing to ≥ 45% technical design discussions and proposing reusable solutions.
5.Maintain high engineering standards with ≥ 90% code quality compliance and participation in ≥ 70% relevant code reviews.
6.Demonstrate strong ownership and technical maturity to become ready for Senior Engineer / Module Lead role.</t>
        </is>
      </c>
      <c r="FF503" s="56" t="n"/>
      <c r="FG503" s="56" t="n"/>
      <c r="FH503" s="56" t="n"/>
      <c r="FI503" s="56" t="n"/>
      <c r="FJ503" s="56" t="inlineStr">
        <is>
          <t>Received · manager annual</t>
        </is>
      </c>
      <c r="FK503" s="56" t="inlineStr">
        <is>
          <t>CARBON Mapping Master</t>
        </is>
      </c>
      <c r="FL503" s="56" t="n">
        <v>20</v>
      </c>
      <c r="FM503" s="56" t="inlineStr">
        <is>
          <t>• Role / sub-team: Technology — Software Engineer.
• Core purpose: My role is to understand business requirements, develop and maintain software solutions, solve technical problems, and ensure quality delivery. I work closely with the team throughout the development.
• Decision-making autonomy: Can independently technical Implementation.
• Is this something only they do: A few of us.
• What's different about this role: The role requires working across different technologies, understanding specific business requirements, and following processes where accuracy and quality are important.</t>
        </is>
      </c>
      <c r="FN503" s="56" t="inlineStr">
        <is>
          <t>• Key responsibilities include: Feature Development; API Development; AI Automation; Bug Resolution.
• Personally accountable for: For automation and AI-based features, I’m also accountable for ensuring the workflow works reliably, handles expected scenarios, and provides the intended business outcome.
• Impact if missed or done wrong: If a feature is missed or implemented incorrectly, it can lead to rework, delays, bugs, or impact other parts of the application.
• How measured: Same as Everyone.</t>
        </is>
      </c>
      <c r="FO503" s="56" t="inlineStr">
        <is>
          <t>• Current capabilities: Software development.
• Tools / software used: VS Code; Github and Copilot.
• Workload: Rated a moderate load · 3/5 in a typical week.
• Judgment/way of working: Understanding the business requirement.</t>
        </is>
      </c>
      <c r="FP503" s="56" t="inlineStr">
        <is>
          <t>• Development priorities: I would need more exposure to AI, system design, technical decision-making, leadership, and end-to-end ownership. I would also like opportunities to work on larger and more complex projects.
• Learning and Development Need: Guidance from seniors. AI Tech Stack.
• Role evolving toward: Role is gradually evolving with new tools and technologies, especially around AI, automation, and modern development frameworks. There is also a shift toward more end-to-end ownership, automation.</t>
        </is>
      </c>
      <c r="FQ503" s="56" t="inlineStr">
        <is>
          <t>• Key challenges: Juggling between multiple.
• Support required: Frequent context switching.</t>
        </is>
      </c>
      <c r="FR503" s="56" t="inlineStr">
        <is>
          <t>Complexity: Evidence reads like A2: own survey / KRA answers · summarised by the rater; not quoted → matches the start
Autonomy: Evidence reads like A2: Independent only on 'technical implementation' of own tasks → matches the start
Accountability: Evidence reads like A2: Own features and automation workflows working reliably; errors cause rework and bugs → matches the start
Leadership: Evidence reads like A1: No guidance or review of others described → matches the start
Business Impact: No survey or manager-mapping signal on criticality: kept at the start point.</t>
        </is>
      </c>
      <c r="FS503"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503" s="56" t="inlineStr">
        <is>
          <t>Self-identified: AI / automation · Leadership &amp; people management · Technical depth &amp; architecture · Strategy &amp; business acumen · Broader exposure &amp; ownership
For the next role: AI / automation · Leadership &amp; people management · Project / programme management · Technical depth &amp; architecture · Strategy &amp; business acumen · Broader exposure &amp; ownership</t>
        </is>
      </c>
      <c r="FU503" s="56" t="inlineStr">
        <is>
          <t>Per-person summary · CARBON Mapping Master</t>
        </is>
      </c>
    </row>
    <row r="504" ht="90" customHeight="1">
      <c r="A504" s="51" t="inlineStr">
        <is>
          <t>◂ Back</t>
        </is>
      </c>
      <c r="B504" s="29" t="inlineStr">
        <is>
          <t>Mapped</t>
        </is>
      </c>
      <c r="C504" s="28" t="inlineStr">
        <is>
          <t>CARBON</t>
        </is>
      </c>
      <c r="D504" s="29" t="inlineStr">
        <is>
          <t>IRIS1920</t>
        </is>
      </c>
      <c r="E504" s="29" t="inlineStr">
        <is>
          <t>Pritesh Wani</t>
        </is>
      </c>
      <c r="F504" s="29" t="inlineStr">
        <is>
          <t>Technology</t>
        </is>
      </c>
      <c r="G504" s="29" t="inlineStr">
        <is>
          <t>Software Engineer</t>
        </is>
      </c>
      <c r="H504" s="29" t="inlineStr">
        <is>
          <t>Senior Software Engineer</t>
        </is>
      </c>
      <c r="I504" s="29" t="inlineStr">
        <is>
          <t>L3 – Professional / Associate</t>
        </is>
      </c>
      <c r="J504" s="29" t="inlineStr">
        <is>
          <t>A3</t>
        </is>
      </c>
      <c r="K504" s="29" t="inlineStr">
        <is>
          <t>▲ Up</t>
        </is>
      </c>
      <c r="L504" s="29" t="inlineStr">
        <is>
          <t>Engineering &amp; Development</t>
        </is>
      </c>
      <c r="M504" s="29" t="inlineStr">
        <is>
          <t>Backend Development</t>
        </is>
      </c>
      <c r="N504" s="29" t="inlineStr">
        <is>
          <t>• Confirm the reporting line — Manager</t>
        </is>
      </c>
      <c r="O504" s="29" t="n">
        <v>20</v>
      </c>
      <c r="P504" s="28" t="inlineStr">
        <is>
          <t>P2</t>
        </is>
      </c>
      <c r="Q504" s="29" t="inlineStr">
        <is>
          <t>Developing</t>
        </is>
      </c>
      <c r="R504" s="29" t="inlineStr">
        <is>
          <t>3 Apply</t>
        </is>
      </c>
      <c r="S504" s="29" t="inlineStr">
        <is>
          <t>2–4 yrs</t>
        </is>
      </c>
      <c r="T504" s="29" t="inlineStr">
        <is>
          <t>3–5 · 2–5</t>
        </is>
      </c>
      <c r="U504" s="29" t="inlineStr">
        <is>
          <t>Software Engineer</t>
        </is>
      </c>
      <c r="V504" s="29" t="inlineStr">
        <is>
          <t>Workiva: SE · Broadridge India: SE · Nasdaq / AxiomSL: SE · Salesforce: MTS · Atlassian: P40 · 3–7 yrs · Freshworks: Senior SE</t>
        </is>
      </c>
      <c r="W504" s="29" t="inlineStr">
        <is>
          <t>SFIA 9 · software development, programming; OWASP secure coding; cloud vendor certifications</t>
        </is>
      </c>
      <c r="X504" s="29" t="inlineStr">
        <is>
          <t>Core 2 · Future 2 · Functional 3 · Leadership not scored</t>
        </is>
      </c>
      <c r="Y504" s="52" t="n">
        <v>184</v>
      </c>
      <c r="Z504" s="53" t="inlineStr">
        <is>
          <t>IRIS1920</t>
        </is>
      </c>
      <c r="AA504" s="53" t="inlineStr">
        <is>
          <t>Employee</t>
        </is>
      </c>
      <c r="AB504" s="53" t="inlineStr">
        <is>
          <t>Active</t>
        </is>
      </c>
      <c r="AC504" s="53" t="inlineStr">
        <is>
          <t>Pritesh Wani</t>
        </is>
      </c>
      <c r="AD504" s="54" t="n">
        <v>44368</v>
      </c>
      <c r="AE504" s="53" t="inlineStr">
        <is>
          <t>Software Engineer</t>
        </is>
      </c>
      <c r="AF504" s="53" t="inlineStr">
        <is>
          <t>MCA</t>
        </is>
      </c>
      <c r="AG504" s="53" t="inlineStr">
        <is>
          <t>Dhiraj Suryawanshi</t>
        </is>
      </c>
      <c r="AH504" s="53" t="inlineStr">
        <is>
          <t>N-3</t>
        </is>
      </c>
      <c r="AI504" s="53" t="inlineStr">
        <is>
          <t>Individual Contributor</t>
        </is>
      </c>
      <c r="AJ504" s="53" t="inlineStr">
        <is>
          <t>0 years, 0 months, 0 days</t>
        </is>
      </c>
      <c r="AK504" s="53" t="inlineStr">
        <is>
          <t>5 years, 2 months, 4 days</t>
        </is>
      </c>
      <c r="AL504" s="53" t="inlineStr">
        <is>
          <t>Regtech</t>
        </is>
      </c>
      <c r="AM504" s="53" t="inlineStr">
        <is>
          <t>CARBON</t>
        </is>
      </c>
      <c r="AN504" s="53" t="inlineStr">
        <is>
          <t>Technology</t>
        </is>
      </c>
      <c r="AO504" s="53" t="inlineStr">
        <is>
          <t>Development</t>
        </is>
      </c>
      <c r="AP504" s="53" t="inlineStr">
        <is>
          <t>Yes</t>
        </is>
      </c>
      <c r="AQ504" s="53" t="inlineStr">
        <is>
          <t>Product/Project</t>
        </is>
      </c>
      <c r="AR504" s="53" t="inlineStr">
        <is>
          <t>.NET MVC</t>
        </is>
      </c>
      <c r="AS504" s="53" t="inlineStr">
        <is>
          <t>Technical - Developer</t>
        </is>
      </c>
      <c r="AT504" s="53" t="n">
        <v>20</v>
      </c>
      <c r="AU504" s="53" t="inlineStr">
        <is>
          <t>Covered</t>
        </is>
      </c>
      <c r="AV504" s="53" t="inlineStr">
        <is>
          <t>IRIS1920</t>
        </is>
      </c>
      <c r="AW504" s="53" t="inlineStr">
        <is>
          <t>Pritesh Wani</t>
        </is>
      </c>
      <c r="AX504" s="53" t="inlineStr">
        <is>
          <t>Technology</t>
        </is>
      </c>
      <c r="AY504" s="53" t="inlineStr">
        <is>
          <t>Engineering &amp; Development</t>
        </is>
      </c>
      <c r="AZ504" s="53" t="inlineStr">
        <is>
          <t>Full-Stack Engineering</t>
        </is>
      </c>
      <c r="BA504" s="53" t="n"/>
      <c r="BB504" s="53" t="n"/>
      <c r="BC504" s="53" t="inlineStr">
        <is>
          <t>Employee</t>
        </is>
      </c>
      <c r="BD504" s="53" t="inlineStr">
        <is>
          <t>Dhiraj Suryawanshi</t>
        </is>
      </c>
      <c r="BE504" s="53" t="inlineStr">
        <is>
          <t>Dhiraj Suryawanshi</t>
        </is>
      </c>
      <c r="BF504" s="53" t="inlineStr">
        <is>
          <t>No</t>
        </is>
      </c>
      <c r="BG504" s="53" t="inlineStr">
        <is>
          <t>Software Engineer</t>
        </is>
      </c>
      <c r="BH504" s="53" t="inlineStr">
        <is>
          <t>Software Engineer</t>
        </is>
      </c>
      <c r="BI504" s="53" t="inlineStr">
        <is>
          <t>No</t>
        </is>
      </c>
      <c r="BJ504" s="53" t="inlineStr">
        <is>
          <t>—</t>
        </is>
      </c>
      <c r="BK504" s="53" t="inlineStr">
        <is>
          <t>—</t>
        </is>
      </c>
      <c r="BL504" s="53" t="inlineStr">
        <is>
          <t>—</t>
        </is>
      </c>
      <c r="BM504" s="53" t="inlineStr">
        <is>
          <t>Not a manager</t>
        </is>
      </c>
      <c r="BN504" s="53" t="inlineStr">
        <is>
          <t>—</t>
        </is>
      </c>
      <c r="BO504" s="53" t="inlineStr">
        <is>
          <t>—</t>
        </is>
      </c>
      <c r="BP504" s="53" t="inlineStr">
        <is>
          <t>—</t>
        </is>
      </c>
      <c r="BQ504" s="53" t="inlineStr">
        <is>
          <t>Not a manager</t>
        </is>
      </c>
      <c r="BR504" s="53" t="inlineStr">
        <is>
          <t>—</t>
        </is>
      </c>
      <c r="BS504" s="53" t="inlineStr">
        <is>
          <t>L3 – Professional / Associate</t>
        </is>
      </c>
      <c r="BT504" s="53" t="inlineStr">
        <is>
          <t>L3 – Professional / Associate</t>
        </is>
      </c>
      <c r="BU504" s="53" t="inlineStr">
        <is>
          <t>No designation change — current record value carried forward</t>
        </is>
      </c>
      <c r="BV504" s="53" t="inlineStr">
        <is>
          <t>1.Deliver ≥ 95% committed backend and frontend tasks within agreed timelines with high-quality implementation.
2.Improve technical contribution by independently owning minimum 3 complex modules / critical initiatives annually.
3.Maintain strong engineering quality by achieving ≥ 90% first-time-right delivery and reducing rework by ≥ 35% YoY.
4.Strengthen architecture and design contribution by participating in ≥ 50% system design discussions and proposing reusable solutions.
5.Improve code quality and collaboration by maintaining ≥ 90% code quality compliance and reviewing ≥ 75% relevant PRs/MRs.
6.Develop leadership, communication, and people management capabilities to demonstrate readiness for Tech Lead / Solution Lead role.</t>
        </is>
      </c>
      <c r="BW504" s="53" t="n"/>
      <c r="BX504" s="53" t="inlineStr">
        <is>
          <t>EU; Europian Union.</t>
        </is>
      </c>
      <c r="BY504" s="53" t="n"/>
      <c r="BZ504" s="53" t="n"/>
      <c r="CA504" s="53" t="n"/>
      <c r="CB504" s="53" t="n"/>
      <c r="CC504" s="53" t="n"/>
      <c r="CD504" s="53" t="n"/>
      <c r="CE504" s="53" t="n"/>
      <c r="CF504" s="53" t="n"/>
      <c r="CG504" s="53" t="n"/>
      <c r="CH504" s="53" t="n"/>
      <c r="CI504" s="53" t="n"/>
      <c r="CJ504" s="53" t="n"/>
      <c r="CK504" s="53" t="n"/>
      <c r="CL504" s="53" t="n"/>
      <c r="CM504" s="53" t="n"/>
      <c r="CN504" s="53" t="n"/>
      <c r="CO504" s="53" t="n"/>
      <c r="CP504" s="53" t="n"/>
      <c r="CQ504" s="53" t="n"/>
      <c r="CR504" s="53" t="n"/>
      <c r="CS504" s="53" t="n"/>
      <c r="CT504" s="53" t="n"/>
      <c r="CU504" s="53" t="n"/>
      <c r="CV504" s="53" t="n"/>
      <c r="CW504" s="53" t="n"/>
      <c r="CX504" s="53" t="n"/>
      <c r="CY504" s="53" t="n"/>
      <c r="CZ504" s="53" t="n"/>
      <c r="DA504" s="53" t="n"/>
      <c r="DB504" s="53" t="n"/>
      <c r="DC504" s="53" t="n"/>
      <c r="DD504" s="53" t="n"/>
      <c r="DE504" s="53" t="n"/>
      <c r="DF504" s="53" t="n"/>
      <c r="DG504" s="53" t="n"/>
      <c r="DH504" s="53" t="n"/>
      <c r="DI504" s="53" t="n"/>
      <c r="DJ504" s="53" t="n"/>
      <c r="DK504" s="53" t="n"/>
      <c r="DL504" s="53" t="n"/>
      <c r="DM504" s="53" t="n"/>
      <c r="DN504" s="53" t="n"/>
      <c r="DO504" s="53" t="n"/>
      <c r="DP504" s="53" t="n"/>
      <c r="DQ504" s="53" t="n"/>
      <c r="DR504" s="53" t="n"/>
      <c r="DS504" s="53" t="n"/>
      <c r="DT504" s="53" t="n"/>
      <c r="DU504" s="53" t="n"/>
      <c r="DV504" s="53" t="n"/>
      <c r="DW504" s="53" t="n"/>
      <c r="DX504" s="53" t="n"/>
      <c r="DY504" s="53" t="n"/>
      <c r="DZ504" s="53" t="n"/>
      <c r="EA504" s="53" t="n"/>
      <c r="EB504" s="53" t="n"/>
      <c r="EC504" s="53" t="n"/>
      <c r="ED504" s="53" t="n"/>
      <c r="EE504" s="53" t="n"/>
      <c r="EF504" s="53" t="n"/>
      <c r="EG504" s="53" t="n"/>
      <c r="EH504" s="53" t="n"/>
      <c r="EI504" s="53" t="n"/>
      <c r="EJ504" s="53" t="n"/>
      <c r="EK504" s="53" t="n"/>
      <c r="EL504" s="53" t="n"/>
      <c r="EM504" s="53" t="n"/>
      <c r="EN504" s="53" t="n"/>
      <c r="EO504" s="53" t="n"/>
      <c r="EP504" s="53" t="n"/>
      <c r="EQ504" s="53" t="n"/>
      <c r="ER504" s="53" t="n"/>
      <c r="ES504" s="53" t="n"/>
      <c r="ET504" s="53" t="n"/>
      <c r="EU504" s="53" t="n"/>
      <c r="EV504" s="53" t="n"/>
      <c r="EW504" s="52" t="n"/>
      <c r="EX504" s="53" t="inlineStr">
        <is>
          <t>• Role / sub-team: Technology — Software Engineer.
• Core purpose: I plan the work for my team break down bigger problems into smaller parts and guid the team as well as do development for fulfilling engineering requirements for IRIS CARBON product.
• Decision-making autonomy: Can independently optimization and rnd.
• Is this something only they do: A few of us for adhoc tasks, automation and optimization, live issues n all;  otherwise regular development most of us do.
• What's different about this role: Give optimised, robust bug free solution by deeply understanding problem in quick Manner and utilizes the AI tools for better solutions.</t>
        </is>
      </c>
      <c r="EY504" s="53" t="inlineStr">
        <is>
          <t>• Key responsibilities include: Development n automation; Optimization.
• Personally accountable for: I am accountable for Developing feature s and automation for some of them · mostly impactful part for reducing user efforts on time taking process and development complex tasks.
• Impact if missed or done wrong: If performance is poor;  clients - CEM OCR team may have to spent more time in preparation of document  resulting in delayed in client deliverables.
• How measured: Same as everyone.</t>
        </is>
      </c>
      <c r="EZ504" s="53" t="inlineStr">
        <is>
          <t>• Current capabilities: Domain knowledge AI tools.
• Tools / software used: Vs code co pilot; Visual studio.
• Workload: Rated a moderate load · 3/5 in a typical week.
• Judgment/way of working: Logical thinking , knowledge of different scenarios for documents , analysis of engineering requirements.</t>
        </is>
      </c>
      <c r="FA504" s="53" t="inlineStr">
        <is>
          <t>• Development priorities: Team management, better planning and communication, learning efficient usage of AI , AI tools And implementation of AI in product , leadership experience.
• Learning and Development Need: Guidance from mentors. Time management, work life balance, improvements communications,.
• Role evolving toward: New tools for development helped a lot, but for some using AI based approach incorrectly it is slowing down development by un covered scenarios and improper implementation results in bugs.</t>
        </is>
      </c>
      <c r="FB504" s="53" t="inlineStr">
        <is>
          <t>• Key challenges: Unclear requirements.
• Support required: Clear requirements that doesn't change on the go, Ai tools using training sessions.</t>
        </is>
      </c>
      <c r="FC504" s="53" t="n"/>
      <c r="FD504" s="53" t="n"/>
      <c r="FE504" s="57" t="inlineStr">
        <is>
          <t>1.Deliver ≥ 95% committed backend and frontend tasks within agreed timelines with high-quality implementation.
2.Improve technical contribution by independently owning minimum 3 complex modules / critical initiatives annually.
3.Maintain strong engineering quality by achieving ≥ 90% first-time-right delivery and reducing rework by ≥ 35% YoY.
4.Strengthen architecture and design contribution by participating in ≥ 50% system design discussions and proposing reusable solutions.
5.Improve code quality and collaboration by maintaining ≥ 90% code quality compliance and reviewing ≥ 75% relevant PRs/MRs.
6.Develop leadership, communication, and people management capabilities to demonstrate readiness for Tech Lead / Solution Lead role.</t>
        </is>
      </c>
      <c r="FF504" s="56" t="n"/>
      <c r="FG504" s="56" t="n"/>
      <c r="FH504" s="56" t="n"/>
      <c r="FI504" s="56" t="n"/>
      <c r="FJ504" s="56" t="inlineStr">
        <is>
          <t>Received · manager annual</t>
        </is>
      </c>
      <c r="FK504" s="56" t="inlineStr">
        <is>
          <t>CARBON Mapping Master</t>
        </is>
      </c>
      <c r="FL504" s="56" t="n">
        <v>20</v>
      </c>
      <c r="FM504" s="56" t="inlineStr">
        <is>
          <t>• Role / sub-team: Technology — Software Engineer.
• Core purpose: I plan the work for my team break down bigger problems into smaller parts and guid the team as well as do development for fulfilling engineering requirements for IRIS CARBON product.
• Decision-making autonomy: Can independently optimization and rnd.
• Is this something only they do: A few of us for adhoc tasks, automation and optimization, live issues n all;  otherwise regular development most of us do.
• What's different about this role: Give optimised, robust bug free solution by deeply understanding problem in quick Manner and utilizes the AI tools for better solutions.</t>
        </is>
      </c>
      <c r="FN504" s="56" t="inlineStr">
        <is>
          <t>• Key responsibilities include: Development n automation; Optimization.
• Personally accountable for: I am accountable for Developing feature s and automation for some of them · mostly impactful part for reducing user efforts on time taking process and development complex tasks.
• Impact if missed or done wrong: If performance is poor;  clients - CEM OCR team may have to spent more time in preparation of document  resulting in delayed in client deliverables.
• How measured: Same as everyone.</t>
        </is>
      </c>
      <c r="FO504" s="56" t="inlineStr">
        <is>
          <t>• Current capabilities: Domain knowledge AI tools.
• Tools / software used: Vs code co pilot; Visual studio.
• Workload: Rated a moderate load · 3/5 in a typical week.
• Judgment/way of working: Logical thinking , knowledge of different scenarios for documents , analysis of engineering requirements.</t>
        </is>
      </c>
      <c r="FP504" s="56" t="inlineStr">
        <is>
          <t>• Development priorities: Team management, better planning and communication, learning efficient usage of AI , AI tools And implementation of AI in product , leadership experience.
• Learning and Development Need: Guidance from mentors. Time management, work life balance, improvements communications,.
• Role evolving toward: New tools for development helped a lot, but for some using AI based approach incorrectly it is slowing down development by un covered scenarios and improper implementation results in bugs.</t>
        </is>
      </c>
      <c r="FQ504" s="56" t="inlineStr">
        <is>
          <t>• Key challenges: Unclear requirements.
• Support required: Clear requirements that doesn't change on the go, Ai tools using training sessions.</t>
        </is>
      </c>
      <c r="FR504" s="56" t="inlineStr">
        <is>
          <t>Complexity: Evidence reads like A3: Complex tasks, automation, optimisation, ad-hoc and live issues handled by few → moved up 0.5
Autonomy: Evidence reads like B1: Plans the team's work and breaks down bigger problems; decides optimisation and R&amp;D → moved up 1
Accountability: Evidence reads like A3: Features and automation that cut effort for internal CEM/OCR document preparation → moved up 0.5
Leadership: Evidence reads like A3: Says he plans work for and guides his team; team size not stated → moved up 1
Business Impact: No survey or manager-mapping signal on criticality: kept at the start point.</t>
        </is>
      </c>
      <c r="FS504"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504" s="56" t="inlineStr">
        <is>
          <t>Self-identified: AI / automation · Leadership &amp; people management · Product &amp; tool knowledge · Communication &amp; presentation
For the next role: AI / automation · Leadership &amp; people management · Product &amp; tool knowledge · Communication &amp; presentation</t>
        </is>
      </c>
      <c r="FU504" s="56" t="inlineStr">
        <is>
          <t>Per-person summary · CARBON Mapping Master</t>
        </is>
      </c>
    </row>
    <row r="505" ht="90" customHeight="1">
      <c r="A505" s="51" t="inlineStr">
        <is>
          <t>◂ Back</t>
        </is>
      </c>
      <c r="B505" s="29" t="inlineStr">
        <is>
          <t>Mapped</t>
        </is>
      </c>
      <c r="C505" s="28" t="inlineStr">
        <is>
          <t>CARBON</t>
        </is>
      </c>
      <c r="D505" s="29" t="inlineStr">
        <is>
          <t>IRIS0622</t>
        </is>
      </c>
      <c r="E505" s="29" t="inlineStr">
        <is>
          <t>Prasad Shirke</t>
        </is>
      </c>
      <c r="F505" s="29" t="inlineStr">
        <is>
          <t>Technology</t>
        </is>
      </c>
      <c r="G505" s="29" t="inlineStr">
        <is>
          <t>Senior Business Analyst</t>
        </is>
      </c>
      <c r="H505" s="29" t="inlineStr">
        <is>
          <t>Senior Business Analysis Specialist – POD Lead</t>
        </is>
      </c>
      <c r="I505" s="29" t="inlineStr">
        <is>
          <t>L4 – Senior</t>
        </is>
      </c>
      <c r="J505" s="29" t="inlineStr">
        <is>
          <t>B2</t>
        </is>
      </c>
      <c r="K505" s="29" t="inlineStr">
        <is>
          <t>▲ Up</t>
        </is>
      </c>
      <c r="L505" s="29" t="inlineStr">
        <is>
          <t>Business Analysis</t>
        </is>
      </c>
      <c r="M505" s="29" t="inlineStr">
        <is>
          <t>Business Analysis</t>
        </is>
      </c>
      <c r="N505" s="29" t="inlineStr">
        <is>
          <t>• Confirm the reporting line — Manager</t>
        </is>
      </c>
      <c r="O505" s="29" t="n">
        <v>20</v>
      </c>
      <c r="P505" s="28" t="inlineStr">
        <is>
          <t>P4 / M3</t>
        </is>
      </c>
      <c r="Q505" s="29" t="inlineStr">
        <is>
          <t>Senior / Manager</t>
        </is>
      </c>
      <c r="R505" s="29" t="inlineStr">
        <is>
          <t>4–5</t>
        </is>
      </c>
      <c r="S505" s="29" t="inlineStr">
        <is>
          <t>6–9 yrs</t>
        </is>
      </c>
      <c r="T505" s="29" t="inlineStr">
        <is>
          <t>7–10 · 6–11</t>
        </is>
      </c>
      <c r="U505" s="29" t="inlineStr">
        <is>
          <t>Lead Business Analyst</t>
        </is>
      </c>
      <c r="V505" s="29" t="inlineStr">
        <is>
          <t>Regnology — regulatory reporting: Senior BA · Reg Reporting · Big Four consulting: Manager · IRIS Vs Market Benchmark — IIBA certification pathway: CBAP · Infosys / Accenture: JL5 · L8 Associate Manager</t>
        </is>
      </c>
      <c r="W505" s="29" t="inlineStr">
        <is>
          <t>IIBA BABOK v3; certifications ECBA · entry → CCBA → CBAP · senior</t>
        </is>
      </c>
      <c r="X505" s="29" t="inlineStr">
        <is>
          <t>Core 3 · Future 3 · Functional 4 · Leadership 3</t>
        </is>
      </c>
      <c r="Y505" s="52" t="n">
        <v>83</v>
      </c>
      <c r="Z505" s="53" t="inlineStr">
        <is>
          <t>IRIS0622</t>
        </is>
      </c>
      <c r="AA505" s="53" t="inlineStr">
        <is>
          <t>Employee</t>
        </is>
      </c>
      <c r="AB505" s="53" t="inlineStr">
        <is>
          <t>Active</t>
        </is>
      </c>
      <c r="AC505" s="53" t="inlineStr">
        <is>
          <t>Prasad Shirke</t>
        </is>
      </c>
      <c r="AD505" s="54" t="n">
        <v>40669</v>
      </c>
      <c r="AE505" s="53" t="inlineStr">
        <is>
          <t>Senior Business Analyst</t>
        </is>
      </c>
      <c r="AF505" s="53" t="inlineStr">
        <is>
          <t>B.Com</t>
        </is>
      </c>
      <c r="AG505" s="53" t="inlineStr">
        <is>
          <t>Ashish Singhvi</t>
        </is>
      </c>
      <c r="AH505" s="53" t="inlineStr">
        <is>
          <t>N-2</t>
        </is>
      </c>
      <c r="AI505" s="53" t="inlineStr">
        <is>
          <t>Manager</t>
        </is>
      </c>
      <c r="AJ505" s="53" t="inlineStr">
        <is>
          <t>0 years, 0 months, 0 days</t>
        </is>
      </c>
      <c r="AK505" s="53" t="inlineStr">
        <is>
          <t>15 years, 3 months, 19 days</t>
        </is>
      </c>
      <c r="AL505" s="53" t="inlineStr">
        <is>
          <t>Regtech</t>
        </is>
      </c>
      <c r="AM505" s="53" t="inlineStr">
        <is>
          <t>CARBON</t>
        </is>
      </c>
      <c r="AN505" s="53" t="inlineStr">
        <is>
          <t>Technology</t>
        </is>
      </c>
      <c r="AO505" s="53" t="inlineStr">
        <is>
          <t>Business Analysis</t>
        </is>
      </c>
      <c r="AP505" s="53" t="inlineStr">
        <is>
          <t>No</t>
        </is>
      </c>
      <c r="AQ505" s="53" t="inlineStr">
        <is>
          <t>Product/Project</t>
        </is>
      </c>
      <c r="AR505" s="53" t="inlineStr">
        <is>
          <t>Business Analysis</t>
        </is>
      </c>
      <c r="AS505" s="53" t="inlineStr">
        <is>
          <t>Technical · BA, PM and QA</t>
        </is>
      </c>
      <c r="AT505" s="53" t="n">
        <v>20</v>
      </c>
      <c r="AU505" s="53" t="inlineStr">
        <is>
          <t>Covered</t>
        </is>
      </c>
      <c r="AV505" s="53" t="inlineStr">
        <is>
          <t>IRIS0622</t>
        </is>
      </c>
      <c r="AW505" s="53" t="inlineStr">
        <is>
          <t>Prasad Shirke</t>
        </is>
      </c>
      <c r="AX505" s="53" t="inlineStr">
        <is>
          <t>Technology</t>
        </is>
      </c>
      <c r="AY505" s="53" t="inlineStr">
        <is>
          <t>Business Analysis</t>
        </is>
      </c>
      <c r="AZ505" s="53" t="inlineStr">
        <is>
          <t>Product / Technology Business Analysis</t>
        </is>
      </c>
      <c r="BA505" s="53" t="n"/>
      <c r="BB505" s="53" t="n"/>
      <c r="BC505" s="53" t="inlineStr">
        <is>
          <t>Employee</t>
        </is>
      </c>
      <c r="BD505" s="53" t="inlineStr">
        <is>
          <t>Ashish Singhvi</t>
        </is>
      </c>
      <c r="BE505" s="53" t="inlineStr">
        <is>
          <t>Ashish Singhvi</t>
        </is>
      </c>
      <c r="BF505" s="53" t="inlineStr">
        <is>
          <t>No</t>
        </is>
      </c>
      <c r="BG505" s="53" t="inlineStr">
        <is>
          <t>Senior Business Analyst</t>
        </is>
      </c>
      <c r="BH505" s="53" t="inlineStr">
        <is>
          <t>Senior Business Analyst</t>
        </is>
      </c>
      <c r="BI505" s="53" t="inlineStr">
        <is>
          <t>No</t>
        </is>
      </c>
      <c r="BJ505" s="53" t="n">
        <v>3</v>
      </c>
      <c r="BK505" s="53" t="n">
        <v>3</v>
      </c>
      <c r="BL505" s="53" t="n">
        <v>0</v>
      </c>
      <c r="BM505" s="53" t="inlineStr">
        <is>
          <t>Review</t>
        </is>
      </c>
      <c r="BN505" s="53" t="n">
        <v>3</v>
      </c>
      <c r="BO505" s="53" t="n">
        <v>3</v>
      </c>
      <c r="BP505" s="53" t="n">
        <v>0</v>
      </c>
      <c r="BQ505" s="53" t="inlineStr">
        <is>
          <t>Review</t>
        </is>
      </c>
      <c r="BR505" s="53" t="inlineStr">
        <is>
          <t>No</t>
        </is>
      </c>
      <c r="BS505" s="53" t="inlineStr">
        <is>
          <t>L4 – Senior</t>
        </is>
      </c>
      <c r="BT505" s="53" t="inlineStr">
        <is>
          <t>L4 – Senior</t>
        </is>
      </c>
      <c r="BU505" s="53" t="inlineStr">
        <is>
          <t>No designation change — current record value carried forward</t>
        </is>
      </c>
      <c r="BV505" s="53" t="inlineStr">
        <is>
          <t>1.Improve requirement clarity and completeness by ensuring ≥ 95% user stories are delivered with clear acceptance criteria, business rules, and dependencies before sprint planning.
2.Collaborate with Product and Engineering teams to reduce requirement ambiguity and achieve ≥ 50% reduction in requirement-related defects / rework.
3.Ensure 100% sprint planning, backlog grooming, and requirement clarification sessions are conducted on schedule with proper stakeholder participation.
4.Improve release quality by contributing to ≥ 90% defect-free releases through better requirement analysis and early gap identification.
5.Build Scrum Master readiness by improving sprint governance, velocity tracking, blocker management, and delivery predictability to achieve ≥ 85% sprint commitment adherence.</t>
        </is>
      </c>
      <c r="BW505" s="53" t="n"/>
      <c r="BX505" s="53" t="inlineStr">
        <is>
          <t>US EU South Africa Brazil</t>
        </is>
      </c>
      <c r="BY505" s="53" t="n"/>
      <c r="BZ505" s="53" t="n"/>
      <c r="CA505" s="53" t="n"/>
      <c r="CB505" s="53" t="n"/>
      <c r="CC505" s="53" t="n"/>
      <c r="CD505" s="53" t="n"/>
      <c r="CE505" s="53" t="n"/>
      <c r="CF505" s="53" t="n"/>
      <c r="CG505" s="53" t="n"/>
      <c r="CH505" s="53" t="n"/>
      <c r="CI505" s="53" t="n"/>
      <c r="CJ505" s="53" t="n"/>
      <c r="CK505" s="53" t="n"/>
      <c r="CL505" s="53" t="n"/>
      <c r="CM505" s="53" t="n"/>
      <c r="CN505" s="53" t="n"/>
      <c r="CO505" s="53" t="n"/>
      <c r="CP505" s="53" t="n"/>
      <c r="CQ505" s="53" t="n"/>
      <c r="CR505" s="53" t="n"/>
      <c r="CS505" s="53" t="n"/>
      <c r="CT505" s="53" t="n"/>
      <c r="CU505" s="53" t="n"/>
      <c r="CV505" s="53" t="n"/>
      <c r="CW505" s="53" t="n"/>
      <c r="CX505" s="53" t="n"/>
      <c r="CY505" s="53" t="n"/>
      <c r="CZ505" s="53" t="n"/>
      <c r="DA505" s="53" t="n"/>
      <c r="DB505" s="53" t="n"/>
      <c r="DC505" s="53" t="n"/>
      <c r="DD505" s="53" t="n"/>
      <c r="DE505" s="53" t="n"/>
      <c r="DF505" s="53" t="n"/>
      <c r="DG505" s="53" t="n"/>
      <c r="DH505" s="53" t="n"/>
      <c r="DI505" s="53" t="n"/>
      <c r="DJ505" s="53" t="n"/>
      <c r="DK505" s="53" t="n"/>
      <c r="DL505" s="53" t="n"/>
      <c r="DM505" s="53" t="n"/>
      <c r="DN505" s="53" t="n"/>
      <c r="DO505" s="53" t="n"/>
      <c r="DP505" s="53" t="n"/>
      <c r="DQ505" s="53" t="n"/>
      <c r="DR505" s="53" t="n"/>
      <c r="DS505" s="53" t="n"/>
      <c r="DT505" s="53" t="n"/>
      <c r="DU505" s="53" t="n"/>
      <c r="DV505" s="53" t="n"/>
      <c r="DW505" s="53" t="n"/>
      <c r="DX505" s="53" t="n"/>
      <c r="DY505" s="53" t="n"/>
      <c r="DZ505" s="53" t="n"/>
      <c r="EA505" s="53" t="n"/>
      <c r="EB505" s="53" t="n"/>
      <c r="EC505" s="53" t="n"/>
      <c r="ED505" s="53" t="n"/>
      <c r="EE505" s="53" t="n"/>
      <c r="EF505" s="53" t="n"/>
      <c r="EG505" s="53" t="n"/>
      <c r="EH505" s="53" t="n"/>
      <c r="EI505" s="53" t="n"/>
      <c r="EJ505" s="53" t="n"/>
      <c r="EK505" s="53" t="n"/>
      <c r="EL505" s="53" t="n"/>
      <c r="EM505" s="53" t="n"/>
      <c r="EN505" s="53" t="n"/>
      <c r="EO505" s="53" t="n"/>
      <c r="EP505" s="53" t="n"/>
      <c r="EQ505" s="53" t="n"/>
      <c r="ER505" s="53" t="n"/>
      <c r="ES505" s="53" t="n"/>
      <c r="ET505" s="53" t="n"/>
      <c r="EU505" s="53" t="n"/>
      <c r="EV505" s="53" t="n"/>
      <c r="EW505" s="52" t="inlineStr">
        <is>
          <t>Needs more time to develop - plus headcount itself is small - Can be developed for project management role.</t>
        </is>
      </c>
      <c r="EX505" s="53" t="inlineStr">
        <is>
          <t>To bridge business needs and product development by turning requirements into valuable, user-focused solutions.; Requirements priorities</t>
        </is>
      </c>
      <c r="EY505" s="53" t="inlineStr">
        <is>
          <t>Product solutions; I am accountable for clear requirements, accurate user stories, stakeholder alignment, and ensuring solutions meet business needs and are delivered successfully.; Requirements Management User Story Creation Stakeholder Alignment SOC Audit XBRL Certification CARBON; Missed requirements cause rework, delays, defects, user dissatisfaction, and delivery risks, while poor decisions can impact product quality, timelines, and stakeholder trust.</t>
        </is>
      </c>
      <c r="EZ505" s="53" t="inlineStr">
        <is>
          <t>XML and taxonomy concepts UI and workflow XBRL and SEC reporting Excel and Word; Quick Scrum Excel Word PPT XBRL APIs; Yes. Strong business judgment, clear communication, stakeholder management, problem solving, and understanding user needs distinguish effective performance.</t>
        </is>
      </c>
      <c r="FA505" s="53" t="inlineStr">
        <is>
          <t>I wish I had understood the product architecture, business workflows, key dependencies, stakeholder expectations, technical limitations, and priority areas earlier to make better decisions and deliver; Agile training and mentor Product training XBRL product training Technical domain training; I need greater exposure to product strategy, leadership, advanced stakeholder management, business decisions, AI and automation, and end to end product ownership.</t>
        </is>
      </c>
      <c r="FB505" s="53" t="inlineStr">
        <is>
          <t>Changing requirements; I would improve cross team coordination, establish clearer priorities, reduce dependency related delays, and ensure faster stakeholder decisions to support smoother and more predictable delivery.</t>
        </is>
      </c>
      <c r="FC505" s="53" t="n"/>
      <c r="FD505" s="53" t="n"/>
      <c r="FE505" s="57" t="inlineStr">
        <is>
          <t>1.Improve requirement clarity and completeness by ensuring ≥ 95% user stories are delivered with clear acceptance criteria, business rules, and dependencies before sprint planning.
2.Collaborate with Product and Engineering teams to reduce requirement ambiguity and achieve ≥ 50% reduction in requirement-related defects / rework.
3.Ensure 100% sprint planning, backlog grooming, and requirement clarification sessions are conducted on schedule with proper stakeholder participation.
4.Improve release quality by contributing to ≥ 90% defect-free releases through better requirement analysis and early gap identification.
5.Build Scrum Master readiness by improving sprint governance, velocity tracking, blocker management, and delivery predictability to achieve ≥ 85% sprint commitment adherence.</t>
        </is>
      </c>
      <c r="FF505" s="56" t="n"/>
      <c r="FG505" s="56" t="n"/>
      <c r="FH505" s="56" t="n"/>
      <c r="FI505" s="56" t="n"/>
      <c r="FJ505" s="56" t="inlineStr">
        <is>
          <t>Received · manager annual</t>
        </is>
      </c>
      <c r="FK505" s="56" t="inlineStr">
        <is>
          <t>CARBON Mapping Master</t>
        </is>
      </c>
      <c r="FL505" s="56" t="n">
        <v>20</v>
      </c>
      <c r="FM505" s="56" t="inlineStr">
        <is>
          <t>To bridge business needs and product development by turning requirements into valuable, user-focused solutions.; Requirements priorities</t>
        </is>
      </c>
      <c r="FN505" s="56" t="inlineStr">
        <is>
          <t>Product solutions; I am accountable for clear requirements, accurate user stories, stakeholder alignment, and ensuring solutions meet business needs and are delivered successfully.; Requirements Management User Story Creation Stakeholder Alignment SOC Audit XBRL Certification CARBON; Missed requirements cause rework, delays, defects, user dissatisfaction, and delivery risks, while poor decisions can impact product quality, timelines, and stakeholder trust.</t>
        </is>
      </c>
      <c r="FO505" s="56" t="inlineStr">
        <is>
          <t>XML and taxonomy concepts UI and workflow XBRL and SEC reporting Excel and Word; Quick Scrum Excel Word PPT XBRL APIs; Yes. Strong business judgment, clear communication, stakeholder management, problem solving, and understanding user needs distinguish effective performance.</t>
        </is>
      </c>
      <c r="FP505" s="56" t="inlineStr">
        <is>
          <t>I wish I had understood the product architecture, business workflows, key dependencies, stakeholder expectations, technical limitations, and priority areas earlier to make better decisions and deliver; Agile training and mentor Product training XBRL product training Technical domain training; I need greater exposure to product strategy, leadership, advanced stakeholder management, business decisions, AI and automation, and end to end product ownership.</t>
        </is>
      </c>
      <c r="FQ505" s="56" t="inlineStr">
        <is>
          <t>Changing requirements; I would improve cross team coordination, establish clearer priorities, reduce dependency related delays, and ensure faster stakeholder decisions to support smoother and more predictable delivery.</t>
        </is>
      </c>
      <c r="FR505" s="56" t="inlineStr">
        <is>
          <t>Complexity: Evidence reads like A3: Requirements and user stories for XBRL/SEC reporting product; SOC audit and XBRL certification → moved down 0.5
Autonomy: Evidence reads like A3: Decides requirement priorities; nothing else named → moved down 0.5
Accountability: Evidence reads like A3: Requirement and user-story accuracy; SOC audit and XBRL certification for CARBON → moved down 0.5
Leadership: Evidence reads like A3: 3 direct reports; survey describes no people leadership → moved down 0.5
Business Impact: No survey or manager-mapping signal on criticality: kept at the start point.</t>
        </is>
      </c>
      <c r="FS505" s="56" t="inlineStr">
        <is>
          <t>Common themes in sub-family holders, all levels' answers: business · requirements · bridge · analyst · between · technical
Common themes in sub-family holders, all levels' answers: requirement · documentation · stakeholder · client · gathering · analysis
Common themes in sub-family holders, all levels' answers: product · user stories · requirements · process · client · deliver
Common themes in sub-family holders, all levels' answers: requirements · accountable · documentation · delivery · am · business
Common themes in sub-family holders, all levels' answers: requirements · user · documentation · process · stories · assign
If the work is missed · role-holders' themes: client · rework · delays.</t>
        </is>
      </c>
      <c r="FT505" s="56" t="inlineStr">
        <is>
          <t>Self-identified: AI / automation · Leadership &amp; people management · Product &amp; tool knowledge · Client, sales &amp; stakeholders · Strategy &amp; business acumen · Broader exposure &amp; ownership
For the next role: AI / automation · Leadership &amp; people management · Product &amp; tool knowledge · Client, sales &amp; stakeholders · Strategy &amp; business acumen · Broader exposure &amp; ownership</t>
        </is>
      </c>
      <c r="FU505" s="56" t="inlineStr">
        <is>
          <t>Per-person summary · CARBON Mapping Master</t>
        </is>
      </c>
    </row>
    <row r="506" ht="90" customHeight="1">
      <c r="A506" s="51" t="inlineStr">
        <is>
          <t>◂ Back</t>
        </is>
      </c>
      <c r="B506" s="29" t="inlineStr">
        <is>
          <t>Mapped</t>
        </is>
      </c>
      <c r="C506" s="28" t="inlineStr">
        <is>
          <t>CARBON</t>
        </is>
      </c>
      <c r="D506" s="29" t="inlineStr">
        <is>
          <t>IRIS0591</t>
        </is>
      </c>
      <c r="E506" s="29" t="inlineStr">
        <is>
          <t>Vinod Katekar</t>
        </is>
      </c>
      <c r="F506" s="29" t="inlineStr">
        <is>
          <t>Quality Assurance</t>
        </is>
      </c>
      <c r="G506" s="29" t="inlineStr">
        <is>
          <t>QA-Lead</t>
        </is>
      </c>
      <c r="H506" s="29" t="inlineStr">
        <is>
          <t>QA Manager</t>
        </is>
      </c>
      <c r="I506" s="29" t="inlineStr">
        <is>
          <t>L5 – Lead · IC</t>
        </is>
      </c>
      <c r="J506" s="29" t="inlineStr">
        <is>
          <t>B2</t>
        </is>
      </c>
      <c r="K506" s="29" t="inlineStr">
        <is>
          <t>▼ Down · protected</t>
        </is>
      </c>
      <c r="L506" s="29" t="inlineStr">
        <is>
          <t>Quality Assurance</t>
        </is>
      </c>
      <c r="M506" s="29" t="inlineStr">
        <is>
          <t>Test Management &amp; QA Leadership</t>
        </is>
      </c>
      <c r="N506" s="29" t="inlineStr">
        <is>
          <t>• Confirm the reporting line — Manager</t>
        </is>
      </c>
      <c r="O506" s="29" t="n">
        <v>20</v>
      </c>
      <c r="P506" s="28" t="inlineStr">
        <is>
          <t>P4 / M3</t>
        </is>
      </c>
      <c r="Q506" s="29" t="inlineStr">
        <is>
          <t>Senior / Manager</t>
        </is>
      </c>
      <c r="R506" s="29" t="inlineStr">
        <is>
          <t>4–5</t>
        </is>
      </c>
      <c r="S506" s="29" t="inlineStr">
        <is>
          <t>6–9 yrs</t>
        </is>
      </c>
      <c r="T506" s="29" t="inlineStr">
        <is>
          <t>7–10 · 6–11</t>
        </is>
      </c>
      <c r="U506" s="29" t="inlineStr">
        <is>
          <t>Manager</t>
        </is>
      </c>
      <c r="V506" s="29" t="inlineStr">
        <is>
          <t>Workiva: Senior SE · Broadridge India: Lead SE · Nasdaq / AxiomSL: Senior SE · IRIS Vs Market Benchmark — ISTQB certification pathway: Advanced · Test Manager / TAE · IRIS Vs Competitor Benchmark — testing managers: QA Manager</t>
        </is>
      </c>
      <c r="W506" s="29" t="inlineStr">
        <is>
          <t>ISTQB Foundation → Advanced → Expert; SFIA testing</t>
        </is>
      </c>
      <c r="X506" s="29" t="inlineStr">
        <is>
          <t>Core 3 · Future 3 · Functional 4 · Leadership 3</t>
        </is>
      </c>
      <c r="Y506" s="52" t="n">
        <v>79</v>
      </c>
      <c r="Z506" s="53" t="inlineStr">
        <is>
          <t>IRIS0591</t>
        </is>
      </c>
      <c r="AA506" s="53" t="inlineStr">
        <is>
          <t>Employee</t>
        </is>
      </c>
      <c r="AB506" s="53" t="inlineStr">
        <is>
          <t>Active</t>
        </is>
      </c>
      <c r="AC506" s="53" t="inlineStr">
        <is>
          <t>Vinod Katekar</t>
        </is>
      </c>
      <c r="AD506" s="54" t="n">
        <v>40644</v>
      </c>
      <c r="AE506" s="53" t="inlineStr">
        <is>
          <t>QA-Lead</t>
        </is>
      </c>
      <c r="AF506" s="53" t="inlineStr">
        <is>
          <t>B.Com</t>
        </is>
      </c>
      <c r="AG506" s="53" t="inlineStr">
        <is>
          <t>Prasad Shirke</t>
        </is>
      </c>
      <c r="AH506" s="53" t="inlineStr">
        <is>
          <t>N-3</t>
        </is>
      </c>
      <c r="AI506" s="53" t="inlineStr">
        <is>
          <t>Manager</t>
        </is>
      </c>
      <c r="AJ506" s="53" t="inlineStr">
        <is>
          <t>0 years, 0 months, 0 days</t>
        </is>
      </c>
      <c r="AK506" s="53" t="inlineStr">
        <is>
          <t>15 years, 4 months, 14 days</t>
        </is>
      </c>
      <c r="AL506" s="53" t="inlineStr">
        <is>
          <t>Regtech</t>
        </is>
      </c>
      <c r="AM506" s="53" t="inlineStr">
        <is>
          <t>CARBON</t>
        </is>
      </c>
      <c r="AN506" s="53" t="inlineStr">
        <is>
          <t>Quality Assurance</t>
        </is>
      </c>
      <c r="AO506" s="53" t="inlineStr">
        <is>
          <t>Quality Assurance</t>
        </is>
      </c>
      <c r="AP506" s="53" t="inlineStr">
        <is>
          <t>No</t>
        </is>
      </c>
      <c r="AQ506" s="53" t="inlineStr">
        <is>
          <t>Product/Project</t>
        </is>
      </c>
      <c r="AR506" s="53" t="inlineStr">
        <is>
          <t>Software Testing</t>
        </is>
      </c>
      <c r="AS506" s="53" t="inlineStr">
        <is>
          <t>Technical · BA, PM and QA</t>
        </is>
      </c>
      <c r="AT506" s="53" t="n">
        <v>20</v>
      </c>
      <c r="AU506" s="53" t="inlineStr">
        <is>
          <t>Covered</t>
        </is>
      </c>
      <c r="AV506" s="53" t="inlineStr">
        <is>
          <t>IRIS0591</t>
        </is>
      </c>
      <c r="AW506" s="53" t="inlineStr">
        <is>
          <t>Vinod Katekar</t>
        </is>
      </c>
      <c r="AX506" s="53" t="inlineStr">
        <is>
          <t>Technology</t>
        </is>
      </c>
      <c r="AY506" s="53" t="inlineStr">
        <is>
          <t>Quality Assurance</t>
        </is>
      </c>
      <c r="AZ506" s="53" t="inlineStr">
        <is>
          <t>Quality Testing</t>
        </is>
      </c>
      <c r="BA506" s="53" t="n"/>
      <c r="BB506" s="53" t="n"/>
      <c r="BC506" s="53" t="inlineStr">
        <is>
          <t>Employee</t>
        </is>
      </c>
      <c r="BD506" s="53" t="inlineStr">
        <is>
          <t>Prasad Shirke</t>
        </is>
      </c>
      <c r="BE506" s="53" t="inlineStr">
        <is>
          <t>Prasad Shirke</t>
        </is>
      </c>
      <c r="BF506" s="53" t="inlineStr">
        <is>
          <t>No</t>
        </is>
      </c>
      <c r="BG506" s="53" t="inlineStr">
        <is>
          <t>QA-Lead</t>
        </is>
      </c>
      <c r="BH506" s="53" t="inlineStr">
        <is>
          <t>QA-Lead</t>
        </is>
      </c>
      <c r="BI506" s="53" t="inlineStr">
        <is>
          <t>No</t>
        </is>
      </c>
      <c r="BJ506" s="53" t="n">
        <v>4</v>
      </c>
      <c r="BK506" s="53" t="n">
        <v>4</v>
      </c>
      <c r="BL506" s="53" t="n">
        <v>0</v>
      </c>
      <c r="BM506" s="53" t="inlineStr">
        <is>
          <t>Review</t>
        </is>
      </c>
      <c r="BN506" s="53" t="n">
        <v>4</v>
      </c>
      <c r="BO506" s="53" t="n">
        <v>4</v>
      </c>
      <c r="BP506" s="53" t="n">
        <v>0</v>
      </c>
      <c r="BQ506" s="53" t="inlineStr">
        <is>
          <t>Review</t>
        </is>
      </c>
      <c r="BR506" s="53" t="inlineStr">
        <is>
          <t>No</t>
        </is>
      </c>
      <c r="BS506" s="53" t="inlineStr">
        <is>
          <t>L5 – Lead · IC</t>
        </is>
      </c>
      <c r="BT506" s="53" t="inlineStr">
        <is>
          <t>L5 – Lead · IC</t>
        </is>
      </c>
      <c r="BU506" s="53" t="inlineStr">
        <is>
          <t>No designation change — current record value carried forward</t>
        </is>
      </c>
      <c r="BV506" s="53" t="inlineStr">
        <is>
          <t>1.Ensure 100% test coverage, release readiness, and quality sign-off for all owned modules and deliveries.
2.Drive automation strategy and achieve agreed automation targets across the team and modules.
3.Ensure all critical customer defects are converted into regression coverage within one sprint of closure.
5.Monitor test execution metrics, defect trends, and quality KPIs, and present regular status updates to stakeholders.
6.Mentor team members, conduct reviews, and support skill development initiatives within the QA team.
7.Improve overall testing efficiency through process standardization, reusable assets, and continuous improvement initiatives.
8.Collaborate with development, product, and release teams to ensure smooth and high-quality product delivery.</t>
        </is>
      </c>
      <c r="BW506" s="53" t="n"/>
      <c r="BX506" s="53" t="inlineStr">
        <is>
          <t>All available regions.</t>
        </is>
      </c>
      <c r="BY506" s="53" t="n"/>
      <c r="BZ506" s="53" t="n"/>
      <c r="CA506" s="53" t="n"/>
      <c r="CB506" s="53" t="n"/>
      <c r="CC506" s="53" t="n"/>
      <c r="CD506" s="53" t="n"/>
      <c r="CE506" s="53" t="n"/>
      <c r="CF506" s="53" t="n"/>
      <c r="CG506" s="53" t="n"/>
      <c r="CH506" s="53" t="n"/>
      <c r="CI506" s="53" t="n"/>
      <c r="CJ506" s="53" t="n"/>
      <c r="CK506" s="53" t="n"/>
      <c r="CL506" s="53" t="n"/>
      <c r="CM506" s="53" t="n"/>
      <c r="CN506" s="53" t="n"/>
      <c r="CO506" s="53" t="n"/>
      <c r="CP506" s="53" t="n"/>
      <c r="CQ506" s="53" t="n"/>
      <c r="CR506" s="53" t="n"/>
      <c r="CS506" s="53" t="n"/>
      <c r="CT506" s="53" t="n"/>
      <c r="CU506" s="53" t="n"/>
      <c r="CV506" s="53" t="n"/>
      <c r="CW506" s="53" t="n"/>
      <c r="CX506" s="53" t="n"/>
      <c r="CY506" s="53" t="n"/>
      <c r="CZ506" s="53" t="n"/>
      <c r="DA506" s="53" t="n"/>
      <c r="DB506" s="53" t="n"/>
      <c r="DC506" s="53" t="n"/>
      <c r="DD506" s="53" t="n"/>
      <c r="DE506" s="53" t="n"/>
      <c r="DF506" s="53" t="n"/>
      <c r="DG506" s="53" t="n"/>
      <c r="DH506" s="53" t="n"/>
      <c r="DI506" s="53" t="n"/>
      <c r="DJ506" s="53" t="n"/>
      <c r="DK506" s="53" t="n"/>
      <c r="DL506" s="53" t="n"/>
      <c r="DM506" s="53" t="n"/>
      <c r="DN506" s="53" t="n"/>
      <c r="DO506" s="53" t="n"/>
      <c r="DP506" s="53" t="n"/>
      <c r="DQ506" s="53" t="n"/>
      <c r="DR506" s="53" t="n"/>
      <c r="DS506" s="53" t="n"/>
      <c r="DT506" s="53" t="n"/>
      <c r="DU506" s="53" t="n"/>
      <c r="DV506" s="53" t="n"/>
      <c r="DW506" s="53" t="n"/>
      <c r="DX506" s="53" t="n"/>
      <c r="DY506" s="53" t="n"/>
      <c r="DZ506" s="53" t="n"/>
      <c r="EA506" s="53" t="n"/>
      <c r="EB506" s="53" t="n"/>
      <c r="EC506" s="53" t="n"/>
      <c r="ED506" s="53" t="n"/>
      <c r="EE506" s="53" t="n"/>
      <c r="EF506" s="53" t="n"/>
      <c r="EG506" s="53" t="n"/>
      <c r="EH506" s="53" t="n"/>
      <c r="EI506" s="53" t="n"/>
      <c r="EJ506" s="53" t="n"/>
      <c r="EK506" s="53" t="n"/>
      <c r="EL506" s="53" t="n"/>
      <c r="EM506" s="53" t="n"/>
      <c r="EN506" s="53" t="n"/>
      <c r="EO506" s="53" t="n"/>
      <c r="EP506" s="53" t="n"/>
      <c r="EQ506" s="53" t="n"/>
      <c r="ER506" s="53" t="n"/>
      <c r="ES506" s="53" t="n"/>
      <c r="ET506" s="53" t="n"/>
      <c r="EU506" s="53" t="n"/>
      <c r="EV506" s="53" t="n"/>
      <c r="EW506" s="52" t="n"/>
      <c r="EX506" s="53" t="inlineStr">
        <is>
          <t>• Role / sub-team: QA — Test Planning &amp; Team Coordination.
• Core purpose: Own test planning, execution, defect management and quality reporting so the business has confidence a product is ready to release; help ensure customers receive a product that works as expected.
• Top 5 responsibilities: Test planning; team coordination; test execution; defect management; quality reporting.
• Decision-making autonomy: Can independently set test priorities and QA actions.
• What's different about this role: Handles more complex testing, works closely with multiple stakeholders, and is responsible for surfacing and communicating key quality risks.</t>
        </is>
      </c>
      <c r="EY506" s="53" t="inlineStr">
        <is>
          <t>• Key responsibilities include: Test plans, test scenarios and cases, test execution results, defect reports and test status updates; QA sign-off before release.
• Personally accountable for: Delivering tested and verified software with clear visibility into defects, test results and quality risks — the outcome being confidence the product is release-ready.
• Additional responsibility beyond peers: Coordination, quality oversight, and guiding the wider QA team.
• Impact if missed or done wrong: Quality issues, delays and rework; customers may face problems, releases can be delayed, and the team needs extra time to fix issues.</t>
        </is>
      </c>
      <c r="EZ506" s="53" t="inlineStr">
        <is>
          <t>• Current capabilities: Test case design; defect management; risk assessment; test planning; stakeholder communication; test management tools; product knowledge; attention to detail; prioritizing risks; clear communication; knowing when to escalate an issue.
• Tools / software used: Quick Scrum; VS Code / Eclipse; Word, Excel, PowerPoint.
• Workload: Rated a moderate load · 3/5 in a typical week.</t>
        </is>
      </c>
      <c r="FA506" s="53" t="inlineStr">
        <is>
          <t>• Development priorities: Wants more exposure to automation, AI tools, and overall test strategy to move into the next role.
• Learning and Development Need: Automation testing · the training that made the most difference so far; clearer requirements gathering.
• AI Enablement Need: AI prompt engineering and using AI to increase efficiency — sees AI as useful for creating test scenarios, reviewing test cases, analyzing defects, understanding requirements, and reducing repetitive work; wants more exposure to AI and automation tools as the role evolves.</t>
        </is>
      </c>
      <c r="FB506" s="53" t="inlineStr">
        <is>
          <t>• Key challenges: Unclear requirements consistently slow the work down.
• Support required: Clearer requirements from the outset.</t>
        </is>
      </c>
      <c r="FC506" s="53" t="n"/>
      <c r="FD506" s="53" t="n"/>
      <c r="FE506" s="57" t="inlineStr">
        <is>
          <t>1.Ensure 100% test coverage, release readiness, and quality sign-off for all owned modules and deliveries.
2.Drive automation strategy and achieve agreed automation targets across the team and modules.
3.Ensure all critical customer defects are converted into regression coverage within one sprint of closure.
5.Monitor test execution metrics, defect trends, and quality KPIs, and present regular status updates to stakeholders.
6.Mentor team members, conduct reviews, and support skill development initiatives within the QA team.
7.Improve overall testing efficiency through process standardization, reusable assets, and continuous improvement initiatives.
8.Collaborate with development, product, and release teams to ensure smooth and high-quality product delivery.</t>
        </is>
      </c>
      <c r="FF506" s="56" t="n"/>
      <c r="FG506" s="56" t="n"/>
      <c r="FH506" s="56" t="n"/>
      <c r="FI506" s="56" t="n"/>
      <c r="FJ506" s="56" t="inlineStr">
        <is>
          <t>Received · manager annual</t>
        </is>
      </c>
      <c r="FK506" s="56" t="inlineStr">
        <is>
          <t>CARBON Mapping Master</t>
        </is>
      </c>
      <c r="FL506" s="56" t="n">
        <v>20</v>
      </c>
      <c r="FM506" s="56" t="inlineStr">
        <is>
          <t>• Role / sub-team: QA — Test Planning &amp; Team Coordination.
• Core purpose: Own test planning, execution, defect management and quality reporting so the business has confidence a product is ready to release; help ensure customers receive a product that works as expected.
• Top 5 responsibilities: Test planning; team coordination; test execution; defect management; quality reporting.
• Decision-making autonomy: Can independently set test priorities and QA actions.
• What's different about this role: Handles more complex testing, works closely with multiple stakeholders, and is responsible for surfacing and communicating key quality risks.</t>
        </is>
      </c>
      <c r="FN506" s="56" t="inlineStr">
        <is>
          <t>• Key responsibilities include: Test plans, test scenarios and cases, test execution results, defect reports and test status updates; QA sign-off before release.
• Personally accountable for: Delivering tested and verified software with clear visibility into defects, test results and quality risks — the outcome being confidence the product is release-ready.
• Additional responsibility beyond peers: Coordination, quality oversight, and guiding the wider QA team.
• Impact if missed or done wrong: Quality issues, delays and rework; customers may face problems, releases can be delayed, and the team needs extra time to fix issues.</t>
        </is>
      </c>
      <c r="FO506" s="56" t="inlineStr">
        <is>
          <t>• Current capabilities: Test case design; defect management; risk assessment; test planning; stakeholder communication; test management tools; product knowledge; attention to detail; prioritizing risks; clear communication; knowing when to escalate an issue.
• Tools / software used: Quick Scrum; VS Code / Eclipse; Word, Excel, PowerPoint.
• Workload: Rated a moderate load · 3/5 in a typical week.</t>
        </is>
      </c>
      <c r="FP506" s="56" t="inlineStr">
        <is>
          <t>• Development priorities: Wants more exposure to automation, AI tools, and overall test strategy to move into the next role.
• Learning and Development Need: Automation testing · the training that made the most difference so far; clearer requirements gathering.
• AI Enablement Need: AI prompt engineering and using AI to increase efficiency — sees AI as useful for creating test scenarios, reviewing test cases, analyzing defects, understanding requirements, and reducing repetitive work; wants more exposure to AI and automation tools as the role evolves.</t>
        </is>
      </c>
      <c r="FQ506" s="56" t="inlineStr">
        <is>
          <t>• Key challenges: Unclear requirements consistently slow the work down.
• Support required: Clearer requirements from the outset.</t>
        </is>
      </c>
      <c r="FR506" s="56" t="inlineStr">
        <is>
          <t>Complexity: Evidence reads like B1: Plans tests, handles the more complex testing, identifies and communicates release quality risks → matches the start
Autonomy: Evidence reads like B1: Independently sets test priorities and QA actions for the testing team → moved down 0.5
Accountability: Evidence reads like B1: Gives QA sign-off; answers for tested software and visibility of defects and risks → moved down 1
Leadership: Evidence reads like B1: Leads manual testing and coordinates a team of five reports → moved down 1
Business Impact: No survey or manager-mapping signal on criticality: kept at the start point.</t>
        </is>
      </c>
      <c r="FS506" s="56" t="inlineStr">
        <is>
          <t>Common themes in sub-family holders, all levels' answers: testing · lead
Common themes in sub-family holders, all levels' answers: test · quality · planning
Common themes in sub-family holders, all levels' answers: test results · software
If the work is missed · role-holders' themes: delays · rework.</t>
        </is>
      </c>
      <c r="FT506" s="56" t="inlineStr">
        <is>
          <t>Self-identified: AI / automation · Testing &amp; quality · Product &amp; tool knowledge · Strategy &amp; business acumen · Broader exposure &amp; ownership
For the next role: AI / automation · Testing &amp; quality · Product &amp; tool knowledge · Strategy &amp; business acumen · Broader exposure &amp; ownership</t>
        </is>
      </c>
      <c r="FU506" s="56" t="inlineStr">
        <is>
          <t>Per-person summary · CARBON Mapping Master</t>
        </is>
      </c>
    </row>
    <row r="507" ht="90" customHeight="1">
      <c r="A507" s="51" t="inlineStr">
        <is>
          <t>◂ Back</t>
        </is>
      </c>
      <c r="B507" s="29" t="inlineStr">
        <is>
          <t>Mapped</t>
        </is>
      </c>
      <c r="C507" s="28" t="inlineStr">
        <is>
          <t>CARBON</t>
        </is>
      </c>
      <c r="D507" s="29" t="inlineStr">
        <is>
          <t>IRIS2374</t>
        </is>
      </c>
      <c r="E507" s="29" t="inlineStr">
        <is>
          <t>Huzefa Petit</t>
        </is>
      </c>
      <c r="F507" s="29" t="inlineStr">
        <is>
          <t>Technology</t>
        </is>
      </c>
      <c r="G507" s="29" t="inlineStr">
        <is>
          <t>Technical Support Lead</t>
        </is>
      </c>
      <c r="H507" s="29" t="inlineStr">
        <is>
          <t>Technical Specialist</t>
        </is>
      </c>
      <c r="I507" s="29" t="inlineStr">
        <is>
          <t>L5 – Lead · IC</t>
        </is>
      </c>
      <c r="J507" s="29" t="inlineStr">
        <is>
          <t>B1</t>
        </is>
      </c>
      <c r="K507" s="29" t="inlineStr">
        <is>
          <t>▼ Down · protected</t>
        </is>
      </c>
      <c r="L507" s="29" t="inlineStr">
        <is>
          <t>Engineering &amp; Development</t>
        </is>
      </c>
      <c r="M507" s="29" t="inlineStr">
        <is>
          <t>Backend Development</t>
        </is>
      </c>
      <c r="N507" s="29" t="inlineStr">
        <is>
          <t>• Confirm the reporting line — Manager</t>
        </is>
      </c>
      <c r="O507" s="29" t="n">
        <v>20</v>
      </c>
      <c r="P507" s="28" t="inlineStr">
        <is>
          <t>P3 / M2</t>
        </is>
      </c>
      <c r="Q507" s="29" t="inlineStr">
        <is>
          <t>Career / · Team Lead</t>
        </is>
      </c>
      <c r="R507" s="29" t="inlineStr">
        <is>
          <t>4 Enable</t>
        </is>
      </c>
      <c r="S507" s="29" t="inlineStr">
        <is>
          <t>4–7 yrs</t>
        </is>
      </c>
      <c r="T507" s="29" t="inlineStr">
        <is>
          <t>5–8 · 4–8</t>
        </is>
      </c>
      <c r="U507" s="29" t="inlineStr">
        <is>
          <t>Senior Software Engineer</t>
        </is>
      </c>
      <c r="V507" s="29" t="inlineStr">
        <is>
          <t>Workiva: SE / Senior SE · Broadridge India: Senior SE · Nasdaq / AxiomSL: Senior SE · Salesforce: MTS · Atlassian: P40 · Freshworks: Senior SE</t>
        </is>
      </c>
      <c r="W507" s="29" t="inlineStr">
        <is>
          <t>SFIA 9 · software development, programming; OWASP secure coding; cloud vendor certifications</t>
        </is>
      </c>
      <c r="X507" s="29" t="inlineStr">
        <is>
          <t>Core 3 · Future 3 · Functional 3 · Leadership 1</t>
        </is>
      </c>
      <c r="Y507" s="52" t="n">
        <v>370</v>
      </c>
      <c r="Z507" s="53" t="inlineStr">
        <is>
          <t>IRIS2374</t>
        </is>
      </c>
      <c r="AA507" s="53" t="inlineStr">
        <is>
          <t>Employee</t>
        </is>
      </c>
      <c r="AB507" s="53" t="inlineStr">
        <is>
          <t>Active</t>
        </is>
      </c>
      <c r="AC507" s="53" t="inlineStr">
        <is>
          <t>Huzefa Petit</t>
        </is>
      </c>
      <c r="AD507" s="54" t="n">
        <v>45789</v>
      </c>
      <c r="AE507" s="53" t="inlineStr">
        <is>
          <t>Technical Support Lead</t>
        </is>
      </c>
      <c r="AF507" s="53" t="inlineStr">
        <is>
          <t>MCA</t>
        </is>
      </c>
      <c r="AG507" s="53" t="inlineStr">
        <is>
          <t>Vinod Katekar</t>
        </is>
      </c>
      <c r="AH507" s="53" t="inlineStr">
        <is>
          <t>N-4</t>
        </is>
      </c>
      <c r="AI507" s="53" t="inlineStr">
        <is>
          <t>Individual Contributor</t>
        </is>
      </c>
      <c r="AJ507" s="53" t="inlineStr">
        <is>
          <t>15 years, 0 months, 0 days</t>
        </is>
      </c>
      <c r="AK507" s="53" t="inlineStr">
        <is>
          <t>1 years, 3 months, 13 days</t>
        </is>
      </c>
      <c r="AL507" s="53" t="inlineStr">
        <is>
          <t>Regtech</t>
        </is>
      </c>
      <c r="AM507" s="53" t="inlineStr">
        <is>
          <t>CARBON</t>
        </is>
      </c>
      <c r="AN507" s="53" t="inlineStr">
        <is>
          <t>Technology</t>
        </is>
      </c>
      <c r="AO507" s="53" t="inlineStr">
        <is>
          <t>Development</t>
        </is>
      </c>
      <c r="AP507" s="53" t="inlineStr">
        <is>
          <t>Yes</t>
        </is>
      </c>
      <c r="AQ507" s="53" t="inlineStr">
        <is>
          <t>Product/Project</t>
        </is>
      </c>
      <c r="AR507" s="53" t="inlineStr">
        <is>
          <t>.NET MVC</t>
        </is>
      </c>
      <c r="AS507" s="53" t="inlineStr">
        <is>
          <t>Technical - Developer</t>
        </is>
      </c>
      <c r="AT507" s="53" t="n">
        <v>20</v>
      </c>
      <c r="AU507" s="53" t="inlineStr">
        <is>
          <t>Covered</t>
        </is>
      </c>
      <c r="AV507" s="53" t="inlineStr">
        <is>
          <t>IRIS2374</t>
        </is>
      </c>
      <c r="AW507" s="53" t="inlineStr">
        <is>
          <t>Huzefa Petit</t>
        </is>
      </c>
      <c r="AX507" s="53" t="inlineStr">
        <is>
          <t>Technology</t>
        </is>
      </c>
      <c r="AY507" s="53" t="inlineStr">
        <is>
          <t>Quality Assurance</t>
        </is>
      </c>
      <c r="AZ507" s="53" t="inlineStr">
        <is>
          <t>QA Automation</t>
        </is>
      </c>
      <c r="BA507" s="53" t="n"/>
      <c r="BB507" s="53" t="n"/>
      <c r="BC507" s="53" t="inlineStr">
        <is>
          <t>Employee</t>
        </is>
      </c>
      <c r="BD507" s="53" t="inlineStr">
        <is>
          <t>Ashish Singhvi</t>
        </is>
      </c>
      <c r="BE507" s="53" t="inlineStr">
        <is>
          <t>Ashish Singhvi</t>
        </is>
      </c>
      <c r="BF507" s="53" t="inlineStr">
        <is>
          <t>No</t>
        </is>
      </c>
      <c r="BG507" s="53" t="inlineStr">
        <is>
          <t>Technical Support Lead</t>
        </is>
      </c>
      <c r="BH507" s="53" t="inlineStr">
        <is>
          <t>Technical Support Lead - Test Automation Lead</t>
        </is>
      </c>
      <c r="BI507" s="53" t="inlineStr">
        <is>
          <t>Check</t>
        </is>
      </c>
      <c r="BJ507" s="53" t="n">
        <v>2</v>
      </c>
      <c r="BK507" s="53" t="n">
        <v>2</v>
      </c>
      <c r="BL507" s="53" t="n">
        <v>0</v>
      </c>
      <c r="BM507" s="53" t="inlineStr">
        <is>
          <t>Consolidate / flatten</t>
        </is>
      </c>
      <c r="BN507" s="53" t="n">
        <v>2</v>
      </c>
      <c r="BO507" s="53" t="n">
        <v>2</v>
      </c>
      <c r="BP507" s="53" t="n">
        <v>0</v>
      </c>
      <c r="BQ507" s="53" t="inlineStr">
        <is>
          <t>Consolidate / flatten</t>
        </is>
      </c>
      <c r="BR507" s="53" t="inlineStr">
        <is>
          <t>No</t>
        </is>
      </c>
      <c r="BS507" s="53" t="inlineStr">
        <is>
          <t>L5 – Lead · IC</t>
        </is>
      </c>
      <c r="BT507" s="53" t="inlineStr">
        <is>
          <t>L5 – Lead · IC</t>
        </is>
      </c>
      <c r="BU507" s="53" t="inlineStr">
        <is>
          <t>No designation change — current record value carried forward</t>
        </is>
      </c>
      <c r="BV507" s="53" t="inlineStr">
        <is>
          <t>1.Increase automation coverage across CARBON 3.0 to ≥ 90% UI regression coverage by FY end.
2.Enhance API performance testing framework using JMeter to support 100% critical APIs with configurable thresholds, scheduling, and automated reporting.
3.Reduce performance bottleneck identification time by ≥ 50% through proactive weekly performance monitoring and reporting.
4.Reduce escaped production defects by ≥ 50% YoY through stronger automation and performance validation.
5.Improve advanced automation capability by completing training in framework design, CI/CD integration, and scalable test architecture, achieving independent ownership of automation pipelines.
6.Improve AI adoption and productivity by using AI tools for automation development, debugging, and script generation to achieve ≥ 30% productivity improvement.</t>
        </is>
      </c>
      <c r="BW507" s="53" t="n"/>
      <c r="BX507" s="53" t="inlineStr">
        <is>
          <t>Internal; All.</t>
        </is>
      </c>
      <c r="BY507" s="53" t="n"/>
      <c r="BZ507" s="53" t="n"/>
      <c r="CA507" s="53" t="n"/>
      <c r="CB507" s="53" t="n"/>
      <c r="CC507" s="53" t="n"/>
      <c r="CD507" s="53" t="n"/>
      <c r="CE507" s="53" t="n"/>
      <c r="CF507" s="53" t="n"/>
      <c r="CG507" s="53" t="n"/>
      <c r="CH507" s="53" t="n"/>
      <c r="CI507" s="53" t="n"/>
      <c r="CJ507" s="53" t="n"/>
      <c r="CK507" s="53" t="n"/>
      <c r="CL507" s="53" t="n"/>
      <c r="CM507" s="53" t="n"/>
      <c r="CN507" s="53" t="n"/>
      <c r="CO507" s="53" t="n"/>
      <c r="CP507" s="53" t="n"/>
      <c r="CQ507" s="53" t="n"/>
      <c r="CR507" s="53" t="n"/>
      <c r="CS507" s="53" t="n"/>
      <c r="CT507" s="53" t="n"/>
      <c r="CU507" s="53" t="n"/>
      <c r="CV507" s="53" t="n"/>
      <c r="CW507" s="53" t="n"/>
      <c r="CX507" s="53" t="n"/>
      <c r="CY507" s="53" t="n"/>
      <c r="CZ507" s="53" t="n"/>
      <c r="DA507" s="53" t="n"/>
      <c r="DB507" s="53" t="n"/>
      <c r="DC507" s="53" t="n"/>
      <c r="DD507" s="53" t="n"/>
      <c r="DE507" s="53" t="n"/>
      <c r="DF507" s="53" t="n"/>
      <c r="DG507" s="53" t="n"/>
      <c r="DH507" s="53" t="n"/>
      <c r="DI507" s="53" t="n"/>
      <c r="DJ507" s="53" t="n"/>
      <c r="DK507" s="53" t="n"/>
      <c r="DL507" s="53" t="n"/>
      <c r="DM507" s="53" t="n"/>
      <c r="DN507" s="53" t="n"/>
      <c r="DO507" s="53" t="n"/>
      <c r="DP507" s="53" t="n"/>
      <c r="DQ507" s="53" t="n"/>
      <c r="DR507" s="53" t="n"/>
      <c r="DS507" s="53" t="n"/>
      <c r="DT507" s="53" t="n"/>
      <c r="DU507" s="53" t="n"/>
      <c r="DV507" s="53" t="n"/>
      <c r="DW507" s="53" t="n"/>
      <c r="DX507" s="53" t="n"/>
      <c r="DY507" s="53" t="n"/>
      <c r="DZ507" s="53" t="n"/>
      <c r="EA507" s="53" t="n"/>
      <c r="EB507" s="53" t="n"/>
      <c r="EC507" s="53" t="n"/>
      <c r="ED507" s="53" t="n"/>
      <c r="EE507" s="53" t="n"/>
      <c r="EF507" s="53" t="n"/>
      <c r="EG507" s="53" t="n"/>
      <c r="EH507" s="53" t="n"/>
      <c r="EI507" s="53" t="n"/>
      <c r="EJ507" s="53" t="n"/>
      <c r="EK507" s="53" t="n"/>
      <c r="EL507" s="53" t="n"/>
      <c r="EM507" s="53" t="n"/>
      <c r="EN507" s="53" t="n"/>
      <c r="EO507" s="53" t="n"/>
      <c r="EP507" s="53" t="n"/>
      <c r="EQ507" s="53" t="n"/>
      <c r="ER507" s="53" t="n"/>
      <c r="ES507" s="53" t="n"/>
      <c r="ET507" s="53" t="n"/>
      <c r="EU507" s="53" t="n"/>
      <c r="EV507" s="53" t="n"/>
      <c r="EW507" s="52" t="n"/>
      <c r="EX507" s="53" t="inlineStr">
        <is>
          <t>• Role / sub-team: Technology — Technical Support Lead.
• Core purpose: My role is to basically lead the customer support team and guide the peer team members to support the customer facing an issue while using the carbon product at any point of time.
• Decision-making autonomy: Can independently best approach of doing; Current work; Exploring better output; In current and existing; Process.
• Is this something only they do: A few of us.
• What's different about this role: Exploring new tools.
Asking AI for the better approach of doing it with the current as well as new or alternate tools available.
AI first approach.; I can We can approach .
If we all do the work with proper focus and dedication surely it will help the team to build the product with best features and with minimal rework efforts.</t>
        </is>
      </c>
      <c r="EY507" s="53" t="inlineStr">
        <is>
          <t>• Key responsibilities include: Automation testing; API's testing; Make Automation ease; Better way of testing pro.
• Personally accountable for: Automation testing, APIs testing, any thing that can be automated, and makes work easy, as an automation engineer I try to do that.
• Impact if missed or done wrong: Need to finish it up all the pending work based on the seriousness of the work, by working late, even on weekends and working late till midnight for the deadline to meet.
• How measured: Partly different.</t>
        </is>
      </c>
      <c r="EZ507" s="53" t="inlineStr">
        <is>
          <t>• Current capabilities: Automation testing; Web UI automation testing; APIs performance Testing.
• Tools / software used: Apache Jmeter; Postman; VS code; Eclipse; Co pilot; Git.
• Workload: Rated a heavy load · 4/5 in a typical week.
• Judgment/way of working: AI first approach 
Logical thinking.</t>
        </is>
      </c>
      <c r="FA507" s="53" t="inlineStr">
        <is>
          <t>• Development priorities: Proper guidance to grow; How to use AI better.
• Learning and Development Need: Constant push; Rondo unknown work; Believe in your ability; Learning framework. Better and Easy UI automation testing environment setup; AI skills.
• Role evolving toward: Ease of working using AI and other tools; More Smarter AI Based tools to explore.</t>
        </is>
      </c>
      <c r="FB507" s="53" t="inlineStr">
        <is>
          <t>• Key challenges: Learning new skills; More dependency on AI; Bug fixing.
• Support required: More work flexibility; IT team support; Clear requirements; Team building exercises to be implemented; Long team meetings.</t>
        </is>
      </c>
      <c r="FC507" s="53" t="n"/>
      <c r="FD507" s="53" t="n"/>
      <c r="FE507" s="57" t="inlineStr">
        <is>
          <t>1.Increase automation coverage across CARBON 3.0 to ≥ 90% UI regression coverage by FY end.
2.Enhance API performance testing framework using JMeter to support 100% critical APIs with configurable thresholds, scheduling, and automated reporting.
3.Reduce performance bottleneck identification time by ≥ 50% through proactive weekly performance monitoring and reporting.
4.Reduce escaped production defects by ≥ 50% YoY through stronger automation and performance validation.
5.Improve advanced automation capability by completing training in framework design, CI/CD integration, and scalable test architecture, achieving independent ownership of automation pipelines.
6.Improve AI adoption and productivity by using AI tools for automation development, debugging, and script generation to achieve ≥ 30% productivity improvement.</t>
        </is>
      </c>
      <c r="FF507" s="56" t="n"/>
      <c r="FG507" s="56" t="n"/>
      <c r="FH507" s="56" t="n"/>
      <c r="FI507" s="56" t="n"/>
      <c r="FJ507" s="56" t="inlineStr">
        <is>
          <t>Received · manager annual</t>
        </is>
      </c>
      <c r="FK507" s="56" t="inlineStr">
        <is>
          <t>CARBON Mapping Master</t>
        </is>
      </c>
      <c r="FL507" s="56" t="n">
        <v>20</v>
      </c>
      <c r="FM507" s="56" t="inlineStr">
        <is>
          <t>• Role / sub-team: Technology — Technical Support Lead.
• Core purpose: My role is to basically lead the customer support team and guide the peer team members to support the customer facing an issue while using the carbon product at any point of time.
• Decision-making autonomy: Can independently best approach of doing; Current work; Exploring better output; In current and existing; Process.
• Is this something only they do: A few of us.
• What's different about this role: Exploring new tools.
Asking AI for the better approach of doing it with the current as well as new or alternate tools available.
AI first approach.; I can We can approach .
If we all do the work with proper focus and dedication surely it will help the team to build the product with best features and with minimal rework efforts.</t>
        </is>
      </c>
      <c r="FN507" s="56" t="inlineStr">
        <is>
          <t>• Key responsibilities include: Automation testing; API's testing; Make Automation ease; Better way of testing pro.
• Personally accountable for: Automation testing, APIs testing, any thing that can be automated, and makes work easy, as an automation engineer I try to do that.
• Impact if missed or done wrong: Need to finish it up all the pending work based on the seriousness of the work, by working late, even on weekends and working late till midnight for the deadline to meet.
• How measured: Partly different.</t>
        </is>
      </c>
      <c r="FO507" s="56" t="inlineStr">
        <is>
          <t>• Current capabilities: Automation testing; Web UI automation testing; APIs performance Testing.
• Tools / software used: Apache Jmeter; Postman; VS code; Eclipse; Co pilot; Git.
• Workload: Rated a heavy load · 4/5 in a typical week.
• Judgment/way of working: AI first approach 
Logical thinking.</t>
        </is>
      </c>
      <c r="FP507" s="56" t="inlineStr">
        <is>
          <t>• Development priorities: Proper guidance to grow; How to use AI better.
• Learning and Development Need: Constant push; Rondo unknown work; Believe in your ability; Learning framework. Better and Easy UI automation testing environment setup; AI skills.
• Role evolving toward: Ease of working using AI and other tools; More Smarter AI Based tools to explore.</t>
        </is>
      </c>
      <c r="FQ507" s="56" t="inlineStr">
        <is>
          <t>• Key challenges: Learning new skills; More dependency on AI; Bug fixing.
• Support required: More work flexibility; IT team support; Clear requirements; Team building exercises to be implemented; Long team meetings.</t>
        </is>
      </c>
      <c r="FR507" s="56" t="inlineStr">
        <is>
          <t>Complexity: Evidence reads like A3: Builds web UI automation, API and performance tests with JMeter and Postman → moved down 0.5
Autonomy: Evidence reads like A2: Chooses best approach and tools for own current testing work → moved down 0.5
Accountability: Evidence reads like A2: Accountable for own automation and API testing output → moved down 0.5
Leadership: Evidence reads like A3: Says leads support team and guides peers; all concrete work is own testing; 0 reports → matches the start
Business Impact: No survey or manager-mapping signal on criticality: kept at the start point.</t>
        </is>
      </c>
      <c r="FS507" s="56" t="inlineStr">
        <is>
          <t>Common themes in role-holders' answers: technical · members · guide · lead · time · support
Common themes in role-holders' answers: development · requirement · testing · support · software · solution
Common themes in role-holders' answers: features · technical · issue · code · releases
Common themes in role-holders' answers: code · requirement · delivery · changes · am · delivering
Common themes in role-holders' answers: technical · approach · decisions · process · issue · code
If the work is missed · role-holders' themes: timeline · delays · rework.
Measured on · manager-set KRA themes: reduce · production · time · quarterly · incidents resolved · stability critical.</t>
        </is>
      </c>
      <c r="FT507" s="56" t="inlineStr">
        <is>
          <t>Self-identified: AI / automation
For the next role: AI / automation</t>
        </is>
      </c>
      <c r="FU507" s="56" t="inlineStr">
        <is>
          <t>Per-person summary · CARBON Mapping Master</t>
        </is>
      </c>
    </row>
    <row r="508" ht="90" customHeight="1">
      <c r="A508" s="51" t="inlineStr">
        <is>
          <t>◂ Back</t>
        </is>
      </c>
      <c r="B508" s="29" t="inlineStr">
        <is>
          <t>Mapped</t>
        </is>
      </c>
      <c r="C508" s="28" t="inlineStr">
        <is>
          <t>CARBON</t>
        </is>
      </c>
      <c r="D508" s="29" t="inlineStr">
        <is>
          <t>IRIS1672</t>
        </is>
      </c>
      <c r="E508" s="29" t="inlineStr">
        <is>
          <t>Brehmjit Gopalkrishnan</t>
        </is>
      </c>
      <c r="F508" s="29" t="inlineStr">
        <is>
          <t>Quality Assurance</t>
        </is>
      </c>
      <c r="G508" s="29" t="inlineStr">
        <is>
          <t>Client Solutions Executive</t>
        </is>
      </c>
      <c r="H508" s="29" t="inlineStr">
        <is>
          <t>Senior QA Engineer</t>
        </is>
      </c>
      <c r="I508" s="29" t="inlineStr">
        <is>
          <t>L3 – Professional / Associate</t>
        </is>
      </c>
      <c r="J508" s="29" t="inlineStr">
        <is>
          <t>A3</t>
        </is>
      </c>
      <c r="K508" s="29" t="inlineStr">
        <is>
          <t>▲ Up</t>
        </is>
      </c>
      <c r="L508" s="29" t="inlineStr">
        <is>
          <t>Quality Assurance</t>
        </is>
      </c>
      <c r="M508" s="29" t="inlineStr">
        <is>
          <t>Functional &amp; Domain Testing</t>
        </is>
      </c>
      <c r="N508" s="29" t="n"/>
      <c r="O508" s="29" t="n">
        <v>20</v>
      </c>
      <c r="P508" s="28" t="inlineStr">
        <is>
          <t>P2</t>
        </is>
      </c>
      <c r="Q508" s="29" t="inlineStr">
        <is>
          <t>Developing</t>
        </is>
      </c>
      <c r="R508" s="29" t="inlineStr">
        <is>
          <t>3 Apply</t>
        </is>
      </c>
      <c r="S508" s="29" t="inlineStr">
        <is>
          <t>2–4 yrs</t>
        </is>
      </c>
      <c r="T508" s="29" t="inlineStr">
        <is>
          <t>3–5 · 2–5</t>
        </is>
      </c>
      <c r="U508" s="29" t="inlineStr">
        <is>
          <t>QA Engineer</t>
        </is>
      </c>
      <c r="V508" s="29" t="inlineStr">
        <is>
          <t>Workiva: SE · Broadridge India: SE · Nasdaq / AxiomSL: SE · IRIS Vs Market Benchmark — ISTQB certification pathway: Foundation</t>
        </is>
      </c>
      <c r="W508" s="29" t="inlineStr">
        <is>
          <t>ISTQB Foundation → Advanced → Expert; SFIA testing</t>
        </is>
      </c>
      <c r="X508" s="29" t="inlineStr">
        <is>
          <t>Core 2 · Future 2 · Functional 3 · Leadership not scored</t>
        </is>
      </c>
      <c r="Y508" s="52" t="n">
        <v>139</v>
      </c>
      <c r="Z508" s="53" t="inlineStr">
        <is>
          <t>IRIS1672</t>
        </is>
      </c>
      <c r="AA508" s="53" t="inlineStr">
        <is>
          <t>Employee</t>
        </is>
      </c>
      <c r="AB508" s="53" t="inlineStr">
        <is>
          <t>Active</t>
        </is>
      </c>
      <c r="AC508" s="53" t="inlineStr">
        <is>
          <t>Brehmjit Gopalkrishnan</t>
        </is>
      </c>
      <c r="AD508" s="54" t="n">
        <v>43020</v>
      </c>
      <c r="AE508" s="53" t="inlineStr">
        <is>
          <t>Client Solutions Executive</t>
        </is>
      </c>
      <c r="AF508" s="53" t="inlineStr">
        <is>
          <t>B.Com</t>
        </is>
      </c>
      <c r="AG508" s="53" t="inlineStr">
        <is>
          <t>Vinod Katekar</t>
        </is>
      </c>
      <c r="AH508" s="53" t="inlineStr">
        <is>
          <t>N-4</t>
        </is>
      </c>
      <c r="AI508" s="53" t="inlineStr">
        <is>
          <t>Individual Contributor</t>
        </is>
      </c>
      <c r="AJ508" s="53" t="inlineStr">
        <is>
          <t>8 years, 0 months, 0 days</t>
        </is>
      </c>
      <c r="AK508" s="53" t="inlineStr">
        <is>
          <t>8 years, 10 months, 13 days</t>
        </is>
      </c>
      <c r="AL508" s="53" t="inlineStr">
        <is>
          <t>Regtech</t>
        </is>
      </c>
      <c r="AM508" s="53" t="inlineStr">
        <is>
          <t>CARBON</t>
        </is>
      </c>
      <c r="AN508" s="53" t="inlineStr">
        <is>
          <t>Quality Assurance</t>
        </is>
      </c>
      <c r="AO508" s="53" t="inlineStr">
        <is>
          <t>Quality Assurance</t>
        </is>
      </c>
      <c r="AP508" s="53" t="inlineStr">
        <is>
          <t>No</t>
        </is>
      </c>
      <c r="AQ508" s="53" t="inlineStr">
        <is>
          <t>Product/Project</t>
        </is>
      </c>
      <c r="AR508" s="53" t="inlineStr">
        <is>
          <t>Software Testing</t>
        </is>
      </c>
      <c r="AS508" s="53" t="inlineStr">
        <is>
          <t>Technical · BA, PM and QA</t>
        </is>
      </c>
      <c r="AT508" s="53" t="n">
        <v>20</v>
      </c>
      <c r="AU508" s="53" t="inlineStr">
        <is>
          <t>Covered</t>
        </is>
      </c>
      <c r="AV508" s="53" t="inlineStr">
        <is>
          <t>IRIS1672</t>
        </is>
      </c>
      <c r="AW508" s="53" t="inlineStr">
        <is>
          <t>Brehmjit Gopalkrishnan</t>
        </is>
      </c>
      <c r="AX508" s="53" t="inlineStr">
        <is>
          <t>Technology</t>
        </is>
      </c>
      <c r="AY508" s="53" t="inlineStr">
        <is>
          <t>Quality Assurance</t>
        </is>
      </c>
      <c r="AZ508" s="53" t="inlineStr">
        <is>
          <t>Quality Testing</t>
        </is>
      </c>
      <c r="BA508" s="53" t="n"/>
      <c r="BB508" s="53" t="n"/>
      <c r="BC508" s="53" t="inlineStr">
        <is>
          <t>Employee</t>
        </is>
      </c>
      <c r="BD508" s="53" t="inlineStr">
        <is>
          <t>Vinod Katekar</t>
        </is>
      </c>
      <c r="BE508" s="53" t="inlineStr">
        <is>
          <t>Vinod Katekar</t>
        </is>
      </c>
      <c r="BF508" s="53" t="inlineStr">
        <is>
          <t>No</t>
        </is>
      </c>
      <c r="BG508" s="53" t="inlineStr">
        <is>
          <t>Client Solutions Executive</t>
        </is>
      </c>
      <c r="BH508" s="53" t="inlineStr">
        <is>
          <t>QA Tester</t>
        </is>
      </c>
      <c r="BI508" s="53" t="inlineStr">
        <is>
          <t>No</t>
        </is>
      </c>
      <c r="BJ508" s="53" t="inlineStr">
        <is>
          <t>—</t>
        </is>
      </c>
      <c r="BK508" s="53" t="inlineStr">
        <is>
          <t>—</t>
        </is>
      </c>
      <c r="BL508" s="53" t="inlineStr">
        <is>
          <t>—</t>
        </is>
      </c>
      <c r="BM508" s="53" t="inlineStr">
        <is>
          <t>Not a manager</t>
        </is>
      </c>
      <c r="BN508" s="53" t="inlineStr">
        <is>
          <t>—</t>
        </is>
      </c>
      <c r="BO508" s="53" t="inlineStr">
        <is>
          <t>—</t>
        </is>
      </c>
      <c r="BP508" s="53" t="inlineStr">
        <is>
          <t>—</t>
        </is>
      </c>
      <c r="BQ508" s="53" t="inlineStr">
        <is>
          <t>Not a manager</t>
        </is>
      </c>
      <c r="BR508" s="53" t="inlineStr">
        <is>
          <t>—</t>
        </is>
      </c>
      <c r="BS508" s="53" t="inlineStr">
        <is>
          <t>L3 – Professional / Associate</t>
        </is>
      </c>
      <c r="BT508" s="53" t="inlineStr">
        <is>
          <t>L3 – Professional / Associate</t>
        </is>
      </c>
      <c r="BU508" s="53" t="inlineStr">
        <is>
          <t>No designation change — current record value carried forward</t>
        </is>
      </c>
      <c r="BV508" s="53" t="inlineStr">
        <is>
          <t>1. Begin exploring and contributing to automation testing initiatives by learning the automation framework, understanding best practices, and developing reusable automated test scripts for assigned modules.
2. Support the organization's hybrid and in-office collaboration initiatives by ensuring regular presence and active participation from the designated office location as per business and team requirements.
3 Support release readiness activities by ensuring timely test execution, defect closure tracking, and quality sign-off for production deployments.</t>
        </is>
      </c>
      <c r="BW508" s="53" t="n"/>
      <c r="BX508" s="53" t="inlineStr">
        <is>
          <t>All regions.</t>
        </is>
      </c>
      <c r="BY508" s="53" t="n"/>
      <c r="BZ508" s="53" t="n"/>
      <c r="CA508" s="53" t="n"/>
      <c r="CB508" s="53" t="n"/>
      <c r="CC508" s="53" t="n"/>
      <c r="CD508" s="53" t="n"/>
      <c r="CE508" s="53" t="n"/>
      <c r="CF508" s="53" t="n"/>
      <c r="CG508" s="53" t="n"/>
      <c r="CH508" s="53" t="n"/>
      <c r="CI508" s="53" t="n"/>
      <c r="CJ508" s="53" t="n"/>
      <c r="CK508" s="53" t="n"/>
      <c r="CL508" s="53" t="n"/>
      <c r="CM508" s="53" t="n"/>
      <c r="CN508" s="53" t="n"/>
      <c r="CO508" s="53" t="n"/>
      <c r="CP508" s="53" t="n"/>
      <c r="CQ508" s="53" t="n"/>
      <c r="CR508" s="53" t="n"/>
      <c r="CS508" s="53" t="n"/>
      <c r="CT508" s="53" t="n"/>
      <c r="CU508" s="53" t="n"/>
      <c r="CV508" s="53" t="n"/>
      <c r="CW508" s="53" t="n"/>
      <c r="CX508" s="53" t="n"/>
      <c r="CY508" s="53" t="n"/>
      <c r="CZ508" s="53" t="n"/>
      <c r="DA508" s="53" t="n"/>
      <c r="DB508" s="53" t="n"/>
      <c r="DC508" s="53" t="n"/>
      <c r="DD508" s="53" t="n"/>
      <c r="DE508" s="53" t="n"/>
      <c r="DF508" s="53" t="n"/>
      <c r="DG508" s="53" t="n"/>
      <c r="DH508" s="53" t="n"/>
      <c r="DI508" s="53" t="n"/>
      <c r="DJ508" s="53" t="n"/>
      <c r="DK508" s="53" t="n"/>
      <c r="DL508" s="53" t="n"/>
      <c r="DM508" s="53" t="n"/>
      <c r="DN508" s="53" t="n"/>
      <c r="DO508" s="53" t="n"/>
      <c r="DP508" s="53" t="n"/>
      <c r="DQ508" s="53" t="n"/>
      <c r="DR508" s="53" t="n"/>
      <c r="DS508" s="53" t="n"/>
      <c r="DT508" s="53" t="n"/>
      <c r="DU508" s="53" t="n"/>
      <c r="DV508" s="53" t="n"/>
      <c r="DW508" s="53" t="n"/>
      <c r="DX508" s="53" t="n"/>
      <c r="DY508" s="53" t="n"/>
      <c r="DZ508" s="53" t="n"/>
      <c r="EA508" s="53" t="n"/>
      <c r="EB508" s="53" t="n"/>
      <c r="EC508" s="53" t="n"/>
      <c r="ED508" s="53" t="n"/>
      <c r="EE508" s="53" t="n"/>
      <c r="EF508" s="53" t="n"/>
      <c r="EG508" s="53" t="n"/>
      <c r="EH508" s="53" t="n"/>
      <c r="EI508" s="53" t="n"/>
      <c r="EJ508" s="53" t="n"/>
      <c r="EK508" s="53" t="n"/>
      <c r="EL508" s="53" t="n"/>
      <c r="EM508" s="53" t="n"/>
      <c r="EN508" s="53" t="n"/>
      <c r="EO508" s="53" t="n"/>
      <c r="EP508" s="53" t="n"/>
      <c r="EQ508" s="53" t="n"/>
      <c r="ER508" s="53" t="n"/>
      <c r="ES508" s="53" t="n"/>
      <c r="ET508" s="53" t="n"/>
      <c r="EU508" s="53" t="n"/>
      <c r="EV508" s="53" t="n"/>
      <c r="EW508" s="52" t="n"/>
      <c r="EX508" s="53" t="inlineStr">
        <is>
          <t>• Role / sub-team: QA.
• Core purpose: Test software thoroughly and try to break it in every possible way, catching bugs and slow performance early so it works smoothly and reliably; make sure applications don't break, run slow, or return wrong numbers.
• Top 5 responsibilities: Test case execution; sprint/team alignment; defect logging; regression testing; release planning.
• Decision-making autonomy: Can independently decide testing scenarios and bug logging.
• What's different about this role: Works across different regulators and tests accordingly.</t>
        </is>
      </c>
      <c r="EY508" s="53" t="inlineStr">
        <is>
          <t>• Key responsibilities include: Daily bug and test logs.
• Personally accountable for: Defect detection accuracy and release sign-offs — held accountable if critical bugs slip into production, regressions are missed, or test statuses are misreported.
• Impact if missed or done wrong: Critical bugs escaping to production, causing client escalations, emergency rollbacks, and loss of team credibility; incorrect verdicts can also block valid releases.</t>
        </is>
      </c>
      <c r="EZ508" s="53" t="inlineStr">
        <is>
          <t>• Current capabilities: Test analysis and QA logic; analytical thinking; attention to detail; thinking like an end user to spot hidden edge cases and protect product trust before shipping.
• Tools / software used: Quickscrum; XBRL validation; Gemini / GitHub.
• Workload: Rated a moderate load · 3/5 in a typical week.
• How this role compares: Measured mostly on standard QA metrics · defect leak rate, test velocity, with additional weight on zero-defect tolerance for compliance accuracy; core QA responsibilities are shared broadly across the room, with differences only when someone owns a specific module or unique delivery task.</t>
        </is>
      </c>
      <c r="FA508" s="53" t="inlineStr">
        <is>
          <t>• Development priorities: Build test automation skills to replace repetitive manual checks; get exposure to end-to-end framework development.
• Learning and Development Need: Coding and test automation · wishes this had been learned earlier, to make regression testing faster and more scalable; domain training and real-time sprint reviews cited as training that made a difference.
• AI Enablement Need: AI prompt engineering and using AI to increase efficiency — keen to learn AI testing tools to enhance scenario design, and expects the role to increasingly adopt AI for rapid test case generation and triage.</t>
        </is>
      </c>
      <c r="FB508" s="53" t="inlineStr">
        <is>
          <t>• Key challenges: Frequent scope changes; unclear requirements.
• Support required: Dedicated, stable test environments with reliable test data upfront to minimize downtime and false blockers; clearer, finalized documentation and edge-case definitions before development handoff to cut down delays from mid-execution scope clarification.</t>
        </is>
      </c>
      <c r="FC508" s="53" t="n"/>
      <c r="FD508" s="53" t="n"/>
      <c r="FE508" s="57" t="inlineStr">
        <is>
          <t>1. Begin exploring and contributing to automation testing initiatives by learning the automation framework, understanding best practices, and developing reusable automated test scripts for assigned modules.
2. Support the organization's hybrid and in-office collaboration initiatives by ensuring regular presence and active participation from the designated office location as per business and team requirements.
3 Support release readiness activities by ensuring timely test execution, defect closure tracking, and quality sign-off for production deployments.</t>
        </is>
      </c>
      <c r="FF508" s="56" t="n"/>
      <c r="FG508" s="56" t="n"/>
      <c r="FH508" s="56" t="n"/>
      <c r="FI508" s="56" t="n"/>
      <c r="FJ508" s="56" t="inlineStr">
        <is>
          <t>Received · manager annual</t>
        </is>
      </c>
      <c r="FK508" s="56" t="inlineStr">
        <is>
          <t>CARBON Mapping Master</t>
        </is>
      </c>
      <c r="FL508" s="56" t="n">
        <v>20</v>
      </c>
      <c r="FM508" s="56" t="inlineStr">
        <is>
          <t>• Role / sub-team: QA.
• Core purpose: Test software thoroughly and try to break it in every possible way, catching bugs and slow performance early so it works smoothly and reliably; make sure applications don't break, run slow, or return wrong numbers.
• Top 5 responsibilities: Test case execution; sprint/team alignment; defect logging; regression testing; release planning.
• Decision-making autonomy: Can independently decide testing scenarios and bug logging.
• What's different about this role: Works across different regulators and tests accordingly.</t>
        </is>
      </c>
      <c r="FN508" s="56" t="inlineStr">
        <is>
          <t>• Key responsibilities include: Daily bug and test logs.
• Personally accountable for: Defect detection accuracy and release sign-offs — held accountable if critical bugs slip into production, regressions are missed, or test statuses are misreported.
• Impact if missed or done wrong: Critical bugs escaping to production, causing client escalations, emergency rollbacks, and loss of team credibility; incorrect verdicts can also block valid releases.</t>
        </is>
      </c>
      <c r="FO508" s="56" t="inlineStr">
        <is>
          <t>• Current capabilities: Test analysis and QA logic; analytical thinking; attention to detail; thinking like an end user to spot hidden edge cases and protect product trust before shipping.
• Tools / software used: Quickscrum; XBRL validation; Gemini / GitHub.
• Workload: Rated a moderate load · 3/5 in a typical week.
• How this role compares: Measured mostly on standard QA metrics · defect leak rate, test velocity, with additional weight on zero-defect tolerance for compliance accuracy; core QA responsibilities are shared broadly across the room, with differences only when someone owns a specific module or unique delivery task.</t>
        </is>
      </c>
      <c r="FP508" s="56" t="inlineStr">
        <is>
          <t>• Development priorities: Build test automation skills to replace repetitive manual checks; get exposure to end-to-end framework development.
• Learning and Development Need: Coding and test automation · wishes this had been learned earlier, to make regression testing faster and more scalable; domain training and real-time sprint reviews cited as training that made a difference.
• AI Enablement Need: AI prompt engineering and using AI to increase efficiency — keen to learn AI testing tools to enhance scenario design, and expects the role to increasingly adopt AI for rapid test case generation and triage.</t>
        </is>
      </c>
      <c r="FQ508" s="56" t="inlineStr">
        <is>
          <t>• Key challenges: Frequent scope changes; unclear requirements.
• Support required: Dedicated, stable test environments with reliable test data upfront to minimize downtime and false blockers; clearer, finalized documentation and edge-case definitions before development handoff to cut down delays from mid-execution scope clarification.</t>
        </is>
      </c>
      <c r="FR508" s="56" t="inlineStr">
        <is>
          <t>Complexity: Evidence reads like A2: Test case execution, regression testing and defect logging across different regulators' requirements → matches the start
Autonomy: Evidence reads like A2: Decides testing scenarios and bug logging → matches the start
Accountability: Evidence reads like A3: own survey / KRA answers · summarised by the rater; not quoted → moved up 0.5
Leadership: Evidence reads like A1: Sprint team alignment only; no guidance of others described → matches the start
Business Impact: No survey or manager-mapping signal on criticality: kept at the start point.</t>
        </is>
      </c>
      <c r="FS508" s="56"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FT508" s="56" t="inlineStr">
        <is>
          <t>Self-identified: AI / automation · Testing &amp; quality · Product &amp; tool knowledge · Broader exposure &amp; ownership
For the next role: AI / automation · Testing &amp; quality · Product &amp; tool knowledge · Broader exposure &amp; ownership</t>
        </is>
      </c>
      <c r="FU508" s="56" t="inlineStr">
        <is>
          <t>Per-person summary · CARBON Mapping Master</t>
        </is>
      </c>
    </row>
    <row r="509" ht="90" customHeight="1">
      <c r="A509" s="51" t="inlineStr">
        <is>
          <t>◂ Back</t>
        </is>
      </c>
      <c r="B509" s="29" t="inlineStr">
        <is>
          <t>Mapped</t>
        </is>
      </c>
      <c r="C509" s="28" t="inlineStr">
        <is>
          <t>CARBON</t>
        </is>
      </c>
      <c r="D509" s="29" t="inlineStr">
        <is>
          <t>IRIS0625</t>
        </is>
      </c>
      <c r="E509" s="29" t="inlineStr">
        <is>
          <t>Pooja Gawas</t>
        </is>
      </c>
      <c r="F509" s="29" t="inlineStr">
        <is>
          <t>Quality Assurance</t>
        </is>
      </c>
      <c r="G509" s="29" t="inlineStr">
        <is>
          <t>QA Engineer</t>
        </is>
      </c>
      <c r="H509" s="29" t="inlineStr">
        <is>
          <t>Senior QA Engineer</t>
        </is>
      </c>
      <c r="I509" s="29" t="inlineStr">
        <is>
          <t>L3 – Professional / Associate</t>
        </is>
      </c>
      <c r="J509" s="29" t="inlineStr">
        <is>
          <t>A3</t>
        </is>
      </c>
      <c r="K509" s="29" t="inlineStr">
        <is>
          <t>▲ Up</t>
        </is>
      </c>
      <c r="L509" s="29" t="inlineStr">
        <is>
          <t>Quality Assurance</t>
        </is>
      </c>
      <c r="M509" s="29" t="inlineStr">
        <is>
          <t>Functional &amp; Domain Testing</t>
        </is>
      </c>
      <c r="N509" s="29" t="inlineStr">
        <is>
          <t>• Confirm the reporting line — Manager</t>
        </is>
      </c>
      <c r="O509" s="29" t="n">
        <v>20</v>
      </c>
      <c r="P509" s="28" t="inlineStr">
        <is>
          <t>P2</t>
        </is>
      </c>
      <c r="Q509" s="29" t="inlineStr">
        <is>
          <t>Developing</t>
        </is>
      </c>
      <c r="R509" s="29" t="inlineStr">
        <is>
          <t>3 Apply</t>
        </is>
      </c>
      <c r="S509" s="29" t="inlineStr">
        <is>
          <t>2–4 yrs</t>
        </is>
      </c>
      <c r="T509" s="29" t="inlineStr">
        <is>
          <t>3–5 · 2–5</t>
        </is>
      </c>
      <c r="U509" s="29" t="inlineStr">
        <is>
          <t>QA Engineer</t>
        </is>
      </c>
      <c r="V509" s="29" t="inlineStr">
        <is>
          <t>Workiva: SE · Broadridge India: SE · Nasdaq / AxiomSL: SE · IRIS Vs Market Benchmark — ISTQB certification pathway: Foundation</t>
        </is>
      </c>
      <c r="W509" s="29" t="inlineStr">
        <is>
          <t>ISTQB Foundation → Advanced → Expert; SFIA testing</t>
        </is>
      </c>
      <c r="X509" s="29" t="inlineStr">
        <is>
          <t>Core 2 · Future 2 · Functional 3 · Leadership not scored</t>
        </is>
      </c>
      <c r="Y509" s="52" t="n">
        <v>84</v>
      </c>
      <c r="Z509" s="53" t="inlineStr">
        <is>
          <t>IRIS0625</t>
        </is>
      </c>
      <c r="AA509" s="53" t="inlineStr">
        <is>
          <t>Employee</t>
        </is>
      </c>
      <c r="AB509" s="53" t="inlineStr">
        <is>
          <t>Active</t>
        </is>
      </c>
      <c r="AC509" s="53" t="inlineStr">
        <is>
          <t>Pooja Gawas</t>
        </is>
      </c>
      <c r="AD509" s="54" t="n">
        <v>40669</v>
      </c>
      <c r="AE509" s="53" t="inlineStr">
        <is>
          <t>QA Engineer</t>
        </is>
      </c>
      <c r="AF509" s="53" t="inlineStr">
        <is>
          <t>B.Com</t>
        </is>
      </c>
      <c r="AG509" s="53" t="inlineStr">
        <is>
          <t>Vinod Katekar</t>
        </is>
      </c>
      <c r="AH509" s="53" t="inlineStr">
        <is>
          <t>N-4</t>
        </is>
      </c>
      <c r="AI509" s="53" t="inlineStr">
        <is>
          <t>Manager</t>
        </is>
      </c>
      <c r="AJ509" s="53" t="inlineStr">
        <is>
          <t>0 years, 0 months, 0 days</t>
        </is>
      </c>
      <c r="AK509" s="53" t="inlineStr">
        <is>
          <t>15 years, 3 months, 19 days</t>
        </is>
      </c>
      <c r="AL509" s="53" t="inlineStr">
        <is>
          <t>Regtech</t>
        </is>
      </c>
      <c r="AM509" s="53" t="inlineStr">
        <is>
          <t>CARBON</t>
        </is>
      </c>
      <c r="AN509" s="53" t="inlineStr">
        <is>
          <t>Quality Assurance</t>
        </is>
      </c>
      <c r="AO509" s="53" t="inlineStr">
        <is>
          <t>Quality Assurance</t>
        </is>
      </c>
      <c r="AP509" s="53" t="inlineStr">
        <is>
          <t>No</t>
        </is>
      </c>
      <c r="AQ509" s="53" t="inlineStr">
        <is>
          <t>Product/Project</t>
        </is>
      </c>
      <c r="AR509" s="53" t="inlineStr">
        <is>
          <t>Software Testing</t>
        </is>
      </c>
      <c r="AS509" s="53" t="inlineStr">
        <is>
          <t>Technical · BA, PM and QA</t>
        </is>
      </c>
      <c r="AT509" s="53" t="n">
        <v>20</v>
      </c>
      <c r="AU509" s="53" t="inlineStr">
        <is>
          <t>Covered</t>
        </is>
      </c>
      <c r="AV509" s="53" t="inlineStr">
        <is>
          <t>IRIS0625</t>
        </is>
      </c>
      <c r="AW509" s="53" t="inlineStr">
        <is>
          <t>Pooja Gawas</t>
        </is>
      </c>
      <c r="AX509" s="53" t="inlineStr">
        <is>
          <t>Technology</t>
        </is>
      </c>
      <c r="AY509" s="53" t="inlineStr">
        <is>
          <t>Quality Assurance</t>
        </is>
      </c>
      <c r="AZ509" s="53" t="inlineStr">
        <is>
          <t>Quality Testing</t>
        </is>
      </c>
      <c r="BA509" s="53" t="n"/>
      <c r="BB509" s="53" t="n"/>
      <c r="BC509" s="53" t="inlineStr">
        <is>
          <t>Employee</t>
        </is>
      </c>
      <c r="BD509" s="53" t="inlineStr">
        <is>
          <t>Vinod Katekar</t>
        </is>
      </c>
      <c r="BE509" s="53" t="inlineStr">
        <is>
          <t>Vinod Katekar</t>
        </is>
      </c>
      <c r="BF509" s="53" t="inlineStr">
        <is>
          <t>No</t>
        </is>
      </c>
      <c r="BG509" s="53" t="inlineStr">
        <is>
          <t>QA Engineer</t>
        </is>
      </c>
      <c r="BH509" s="53" t="inlineStr">
        <is>
          <t>QA Tester</t>
        </is>
      </c>
      <c r="BI509" s="53" t="inlineStr">
        <is>
          <t>No</t>
        </is>
      </c>
      <c r="BJ509" s="53" t="n">
        <v>1</v>
      </c>
      <c r="BK509" s="53" t="n">
        <v>1</v>
      </c>
      <c r="BL509" s="53" t="n">
        <v>0</v>
      </c>
      <c r="BM509" s="53" t="inlineStr">
        <is>
          <t>Consolidate / flatten</t>
        </is>
      </c>
      <c r="BN509" s="53" t="n">
        <v>1</v>
      </c>
      <c r="BO509" s="53" t="n">
        <v>1</v>
      </c>
      <c r="BP509" s="53" t="n">
        <v>0</v>
      </c>
      <c r="BQ509" s="53" t="inlineStr">
        <is>
          <t>Consolidate / flatten</t>
        </is>
      </c>
      <c r="BR509" s="53" t="inlineStr">
        <is>
          <t>No</t>
        </is>
      </c>
      <c r="BS509" s="53" t="inlineStr">
        <is>
          <t>L3 – Professional / Associate</t>
        </is>
      </c>
      <c r="BT509" s="53" t="inlineStr">
        <is>
          <t>L3 – Professional / Associate</t>
        </is>
      </c>
      <c r="BU509" s="53" t="inlineStr">
        <is>
          <t>No designation change — current record value carried forward</t>
        </is>
      </c>
      <c r="BV509" s="53" t="inlineStr">
        <is>
          <t>1.Ensure 100% functional, regression, and release validation coverage for owned modules across ESG releases.
2.Increase automation coverage for owned modules to achieve at least 60% UI regression automation coverage by FY end.
3.Reduce manual regression effort for owned modules by at least 50% through automation and reusable test assets.
4.Reduce escaped production defects for owned modules by at least 50% year-over-year through stronger validation and risk-based testing.
5.Ensure 100% of critical customer defects are added to regression suites within one sprint of closure.
6.Mentor junior team members and contribute to test strategy, reviews, and process improvements.</t>
        </is>
      </c>
      <c r="BW509" s="53" t="n"/>
      <c r="BX509" s="53" t="inlineStr">
        <is>
          <t>Global.</t>
        </is>
      </c>
      <c r="BY509" s="53" t="n"/>
      <c r="BZ509" s="53" t="n"/>
      <c r="CA509" s="53" t="n"/>
      <c r="CB509" s="53" t="n"/>
      <c r="CC509" s="53" t="n"/>
      <c r="CD509" s="53" t="n"/>
      <c r="CE509" s="53" t="n"/>
      <c r="CF509" s="53" t="n"/>
      <c r="CG509" s="53" t="n"/>
      <c r="CH509" s="53" t="n"/>
      <c r="CI509" s="53" t="n"/>
      <c r="CJ509" s="53" t="n"/>
      <c r="CK509" s="53" t="n"/>
      <c r="CL509" s="53" t="n"/>
      <c r="CM509" s="53" t="n"/>
      <c r="CN509" s="53" t="n"/>
      <c r="CO509" s="53" t="n"/>
      <c r="CP509" s="53" t="n"/>
      <c r="CQ509" s="53" t="n"/>
      <c r="CR509" s="53" t="n"/>
      <c r="CS509" s="53" t="n"/>
      <c r="CT509" s="53" t="n"/>
      <c r="CU509" s="53" t="n"/>
      <c r="CV509" s="53" t="n"/>
      <c r="CW509" s="53" t="n"/>
      <c r="CX509" s="53" t="n"/>
      <c r="CY509" s="53" t="n"/>
      <c r="CZ509" s="53" t="n"/>
      <c r="DA509" s="53" t="n"/>
      <c r="DB509" s="53" t="n"/>
      <c r="DC509" s="53" t="n"/>
      <c r="DD509" s="53" t="n"/>
      <c r="DE509" s="53" t="n"/>
      <c r="DF509" s="53" t="n"/>
      <c r="DG509" s="53" t="n"/>
      <c r="DH509" s="53" t="n"/>
      <c r="DI509" s="53" t="n"/>
      <c r="DJ509" s="53" t="n"/>
      <c r="DK509" s="53" t="n"/>
      <c r="DL509" s="53" t="n"/>
      <c r="DM509" s="53" t="n"/>
      <c r="DN509" s="53" t="n"/>
      <c r="DO509" s="53" t="n"/>
      <c r="DP509" s="53" t="n"/>
      <c r="DQ509" s="53" t="n"/>
      <c r="DR509" s="53" t="n"/>
      <c r="DS509" s="53" t="n"/>
      <c r="DT509" s="53" t="n"/>
      <c r="DU509" s="53" t="n"/>
      <c r="DV509" s="53" t="n"/>
      <c r="DW509" s="53" t="n"/>
      <c r="DX509" s="53" t="n"/>
      <c r="DY509" s="53" t="n"/>
      <c r="DZ509" s="53" t="n"/>
      <c r="EA509" s="53" t="n"/>
      <c r="EB509" s="53" t="n"/>
      <c r="EC509" s="53" t="n"/>
      <c r="ED509" s="53" t="n"/>
      <c r="EE509" s="53" t="n"/>
      <c r="EF509" s="53" t="n"/>
      <c r="EG509" s="53" t="n"/>
      <c r="EH509" s="53" t="n"/>
      <c r="EI509" s="53" t="n"/>
      <c r="EJ509" s="53" t="n"/>
      <c r="EK509" s="53" t="n"/>
      <c r="EL509" s="53" t="n"/>
      <c r="EM509" s="53" t="n"/>
      <c r="EN509" s="53" t="n"/>
      <c r="EO509" s="53" t="n"/>
      <c r="EP509" s="53" t="n"/>
      <c r="EQ509" s="53" t="n"/>
      <c r="ER509" s="53" t="n"/>
      <c r="ES509" s="53" t="n"/>
      <c r="ET509" s="53" t="n"/>
      <c r="EU509" s="53" t="n"/>
      <c r="EV509" s="53" t="n"/>
      <c r="EW509" s="52" t="n"/>
      <c r="EX509" s="53" t="inlineStr">
        <is>
          <t>• Role / sub-team: QA Tester — ESG product.
• Core purpose: Perform software product testing on the ESG product; test features and bugs and provide sign-off for the dev and prod environments, with bugs and user stories tracked in Quick Scrum, sending a sign-off mail on completion.
• Top responsibility highlighted: Understanding requirements.
• Decision-making autonomy: Can independently drive test strategy and execution.
• What's different about this role: Works specifically on the ESG product, and takes ownership by proactively suggesting product enhancements.</t>
        </is>
      </c>
      <c r="EY509" s="53" t="inlineStr">
        <is>
          <t>• Key responsibilities include: QA test cases and bugs; testing features, logging defects, and issuing sign-off for dev/prod environments.
• Personally accountable for: The work assigned to her.
• Impact if missed or done wrong: A missed test case or scenario.</t>
        </is>
      </c>
      <c r="EZ509" s="53" t="inlineStr">
        <is>
          <t>• Current capabilities: Understanding requirements; offering differing perspectives to help enhance the product.
• Tools / software used: Co-pilot; mail access; Quick Scrum.
• Workload: Rated a moderate load · 3/5 in a typical week.
• How this role compares: KPI measured the same way as the rest of the team; the work itself is mostly the same as others in the room.</t>
        </is>
      </c>
      <c r="FA509" s="53" t="inlineStr">
        <is>
          <t>• Development priorities: Keep upskilling and get certified, with automation as the intended next step; wants exposure to automation, database testing, and an AI workshop to move into the next role.
• Learning and Development Need: Domain knowledge; automation testing; database testing.
• AI Enablement Need: AI prompt engineering and using AI to increase efficiency — has already suggested building AI-based test cases and automating unit tests, cites AI-based testing as training that made a difference, and expects more AI adoption and faster-paced work ahead.</t>
        </is>
      </c>
      <c r="FB509" s="53" t="inlineStr">
        <is>
          <t>• Key challenges: More bugs arriving from developers slows the work down.
• Support required: No input received.</t>
        </is>
      </c>
      <c r="FC509" s="53" t="n"/>
      <c r="FD509" s="53" t="n"/>
      <c r="FE509" s="57" t="inlineStr">
        <is>
          <t>1.Ensure 100% functional, regression, and release validation coverage for owned modules across ESG releases.
2.Increase automation coverage for owned modules to achieve at least 60% UI regression automation coverage by FY end.
3.Reduce manual regression effort for owned modules by at least 50% through automation and reusable test assets.
4.Reduce escaped production defects for owned modules by at least 50% year-over-year through stronger validation and risk-based testing.
5.Ensure 100% of critical customer defects are added to regression suites within one sprint of closure.
6.Mentor junior team members and contribute to test strategy, reviews, and process improvements.</t>
        </is>
      </c>
      <c r="FF509" s="56" t="n"/>
      <c r="FG509" s="56" t="n"/>
      <c r="FH509" s="56" t="n"/>
      <c r="FI509" s="56" t="n"/>
      <c r="FJ509" s="56" t="inlineStr">
        <is>
          <t>Received · manager annual</t>
        </is>
      </c>
      <c r="FK509" s="56" t="inlineStr">
        <is>
          <t>CARBON Mapping Master</t>
        </is>
      </c>
      <c r="FL509" s="56" t="n">
        <v>20</v>
      </c>
      <c r="FM509" s="56" t="inlineStr">
        <is>
          <t>• Role / sub-team: QA Tester — ESG product.
• Core purpose: Perform software product testing on the ESG product; test features and bugs and provide sign-off for the dev and prod environments, with bugs and user stories tracked in Quick Scrum, sending a sign-off mail on completion.
• Top responsibility highlighted: Understanding requirements.
• Decision-making autonomy: Can independently drive test strategy and execution.
• What's different about this role: Works specifically on the ESG product, and takes ownership by proactively suggesting product enhancements.</t>
        </is>
      </c>
      <c r="FN509" s="56" t="inlineStr">
        <is>
          <t>• Key responsibilities include: QA test cases and bugs; testing features, logging defects, and issuing sign-off for dev/prod environments.
• Personally accountable for: The work assigned to her.
• Impact if missed or done wrong: A missed test case or scenario.</t>
        </is>
      </c>
      <c r="FO509" s="56" t="inlineStr">
        <is>
          <t>• Current capabilities: Understanding requirements; offering differing perspectives to help enhance the product.
• Tools / software used: Co-pilot; mail access; Quick Scrum.
• Workload: Rated a moderate load · 3/5 in a typical week.
• How this role compares: KPI measured the same way as the rest of the team; the work itself is mostly the same as others in the room.</t>
        </is>
      </c>
      <c r="FP509" s="56" t="inlineStr">
        <is>
          <t>• Development priorities: Keep upskilling and get certified, with automation as the intended next step; wants exposure to automation, database testing, and an AI workshop to move into the next role.
• Learning and Development Need: Domain knowledge; automation testing; database testing.
• AI Enablement Need: AI prompt engineering and using AI to increase efficiency — has already suggested building AI-based test cases and automating unit tests, cites AI-based testing as training that made a difference, and expects more AI adoption and faster-paced work ahead.</t>
        </is>
      </c>
      <c r="FQ509" s="56" t="inlineStr">
        <is>
          <t>• Key challenges: More bugs arriving from developers slows the work down.
• Support required: No input received.</t>
        </is>
      </c>
      <c r="FR509" s="56" t="inlineStr">
        <is>
          <t>Complexity: Evidence reads like A2: Tests features and bugs on the ESG product; writes test cases; tracked in QuickScrum → matches the start
Autonomy: Evidence reads like A2: Names only 'test strategy execution'; no exception or priority calls described → moved down 0.5
Accountability: Evidence reads like A3: Personally gives sign-off for dev and prod environments by sign-off mail → moved down 0.5
Leadership: Evidence reads like A1: One report in HR data but no guiding or leading described → moved down 0.5</t>
        </is>
      </c>
      <c r="FS509" s="56"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FT509" s="56" t="inlineStr">
        <is>
          <t>Self-identified: AI / automation · Testing &amp; quality · Data, SQL &amp; analytics · Certification / formal course
For the next role: AI / automation · Testing &amp; quality · Data, SQL &amp; analytics · Certification / formal course</t>
        </is>
      </c>
      <c r="FU509" s="56" t="inlineStr">
        <is>
          <t>Per-person summary · CARBON Mapping Master</t>
        </is>
      </c>
    </row>
    <row r="510" ht="90" customHeight="1">
      <c r="A510" s="51" t="inlineStr">
        <is>
          <t>◂ Back</t>
        </is>
      </c>
      <c r="B510" s="29" t="inlineStr">
        <is>
          <t>Mapped</t>
        </is>
      </c>
      <c r="C510" s="28" t="inlineStr">
        <is>
          <t>CARBON</t>
        </is>
      </c>
      <c r="D510" s="29" t="inlineStr">
        <is>
          <t>IRIS2405</t>
        </is>
      </c>
      <c r="E510" s="29" t="inlineStr">
        <is>
          <t>Tasmiyah Patni</t>
        </is>
      </c>
      <c r="F510" s="29" t="inlineStr">
        <is>
          <t>Quality Assurance</t>
        </is>
      </c>
      <c r="G510" s="29" t="inlineStr">
        <is>
          <t>QA Engineer</t>
        </is>
      </c>
      <c r="H510" s="29" t="inlineStr">
        <is>
          <t>Senior QA Engineer</t>
        </is>
      </c>
      <c r="I510" s="29" t="inlineStr">
        <is>
          <t>L3 – Professional / Associate</t>
        </is>
      </c>
      <c r="J510" s="29" t="inlineStr">
        <is>
          <t>A3</t>
        </is>
      </c>
      <c r="K510" s="29" t="inlineStr">
        <is>
          <t>▲ Up</t>
        </is>
      </c>
      <c r="L510" s="29" t="inlineStr">
        <is>
          <t>Quality Assurance</t>
        </is>
      </c>
      <c r="M510" s="29" t="inlineStr">
        <is>
          <t>Functional &amp; Domain Testing</t>
        </is>
      </c>
      <c r="N510" s="29" t="n"/>
      <c r="O510" s="29" t="n">
        <v>20</v>
      </c>
      <c r="P510" s="28" t="inlineStr">
        <is>
          <t>P2</t>
        </is>
      </c>
      <c r="Q510" s="29" t="inlineStr">
        <is>
          <t>Developing</t>
        </is>
      </c>
      <c r="R510" s="29" t="inlineStr">
        <is>
          <t>3 Apply</t>
        </is>
      </c>
      <c r="S510" s="29" t="inlineStr">
        <is>
          <t>2–4 yrs</t>
        </is>
      </c>
      <c r="T510" s="29" t="inlineStr">
        <is>
          <t>3–5 · 2–5</t>
        </is>
      </c>
      <c r="U510" s="29" t="inlineStr">
        <is>
          <t>QA Engineer</t>
        </is>
      </c>
      <c r="V510" s="29" t="inlineStr">
        <is>
          <t>Workiva: SE · Broadridge India: SE · Nasdaq / AxiomSL: SE · IRIS Vs Market Benchmark — ISTQB certification pathway: Foundation</t>
        </is>
      </c>
      <c r="W510" s="29" t="inlineStr">
        <is>
          <t>ISTQB Foundation → Advanced → Expert; SFIA testing</t>
        </is>
      </c>
      <c r="X510" s="29" t="inlineStr">
        <is>
          <t>Core 2 · Future 2 · Functional 3 · Leadership not scored</t>
        </is>
      </c>
      <c r="Y510" s="52" t="n">
        <v>385</v>
      </c>
      <c r="Z510" s="53" t="inlineStr">
        <is>
          <t>IRIS2405</t>
        </is>
      </c>
      <c r="AA510" s="53" t="inlineStr">
        <is>
          <t>Employee</t>
        </is>
      </c>
      <c r="AB510" s="53" t="inlineStr">
        <is>
          <t>Active</t>
        </is>
      </c>
      <c r="AC510" s="53" t="inlineStr">
        <is>
          <t>Tasmiyah Patni</t>
        </is>
      </c>
      <c r="AD510" s="54" t="n">
        <v>45852</v>
      </c>
      <c r="AE510" s="53" t="inlineStr">
        <is>
          <t>QA Engineer</t>
        </is>
      </c>
      <c r="AF510" s="53" t="inlineStr">
        <is>
          <t>B.Sc</t>
        </is>
      </c>
      <c r="AG510" s="53" t="inlineStr">
        <is>
          <t>Pooja Gawas</t>
        </is>
      </c>
      <c r="AH510" s="53" t="inlineStr">
        <is>
          <t>N-5</t>
        </is>
      </c>
      <c r="AI510" s="53" t="inlineStr">
        <is>
          <t>Individual Contributor</t>
        </is>
      </c>
      <c r="AJ510" s="53" t="inlineStr">
        <is>
          <t>3 years, 2 months, 0 days</t>
        </is>
      </c>
      <c r="AK510" s="53" t="inlineStr">
        <is>
          <t>1 years, 1 months, 11 days</t>
        </is>
      </c>
      <c r="AL510" s="53" t="inlineStr">
        <is>
          <t>Regtech</t>
        </is>
      </c>
      <c r="AM510" s="53" t="inlineStr">
        <is>
          <t>CARBON</t>
        </is>
      </c>
      <c r="AN510" s="53" t="inlineStr">
        <is>
          <t>Quality Assurance</t>
        </is>
      </c>
      <c r="AO510" s="53" t="inlineStr">
        <is>
          <t>Quality Assurance</t>
        </is>
      </c>
      <c r="AP510" s="53" t="inlineStr">
        <is>
          <t>No</t>
        </is>
      </c>
      <c r="AQ510" s="53" t="inlineStr">
        <is>
          <t>Product/Project</t>
        </is>
      </c>
      <c r="AR510" s="53" t="inlineStr">
        <is>
          <t>Software Testing</t>
        </is>
      </c>
      <c r="AS510" s="53" t="inlineStr">
        <is>
          <t>Technical · BA, PM and QA</t>
        </is>
      </c>
      <c r="AT510" s="53" t="n">
        <v>20</v>
      </c>
      <c r="AU510" s="53" t="inlineStr">
        <is>
          <t>Covered</t>
        </is>
      </c>
      <c r="AV510" s="53" t="inlineStr">
        <is>
          <t>IRIS2405</t>
        </is>
      </c>
      <c r="AW510" s="53" t="inlineStr">
        <is>
          <t>Tasmiyah Patni</t>
        </is>
      </c>
      <c r="AX510" s="53" t="inlineStr">
        <is>
          <t>Technology</t>
        </is>
      </c>
      <c r="AY510" s="53" t="inlineStr">
        <is>
          <t>Quality Assurance</t>
        </is>
      </c>
      <c r="AZ510" s="53" t="inlineStr">
        <is>
          <t>Quality Testing</t>
        </is>
      </c>
      <c r="BA510" s="53" t="n"/>
      <c r="BB510" s="53" t="n"/>
      <c r="BC510" s="53" t="inlineStr">
        <is>
          <t>Employee</t>
        </is>
      </c>
      <c r="BD510" s="53" t="inlineStr">
        <is>
          <t>Pooja Gawas</t>
        </is>
      </c>
      <c r="BE510" s="53" t="inlineStr">
        <is>
          <t>Pooja Gawas</t>
        </is>
      </c>
      <c r="BF510" s="53" t="inlineStr">
        <is>
          <t>No</t>
        </is>
      </c>
      <c r="BG510" s="53" t="inlineStr">
        <is>
          <t>QA Engineer</t>
        </is>
      </c>
      <c r="BH510" s="53" t="inlineStr">
        <is>
          <t>QA Engineer</t>
        </is>
      </c>
      <c r="BI510" s="53" t="inlineStr">
        <is>
          <t>No</t>
        </is>
      </c>
      <c r="BJ510" s="53" t="inlineStr">
        <is>
          <t>—</t>
        </is>
      </c>
      <c r="BK510" s="53" t="inlineStr">
        <is>
          <t>—</t>
        </is>
      </c>
      <c r="BL510" s="53" t="inlineStr">
        <is>
          <t>—</t>
        </is>
      </c>
      <c r="BM510" s="53" t="inlineStr">
        <is>
          <t>Not a manager</t>
        </is>
      </c>
      <c r="BN510" s="53" t="inlineStr">
        <is>
          <t>—</t>
        </is>
      </c>
      <c r="BO510" s="53" t="inlineStr">
        <is>
          <t>—</t>
        </is>
      </c>
      <c r="BP510" s="53" t="inlineStr">
        <is>
          <t>—</t>
        </is>
      </c>
      <c r="BQ510" s="53" t="inlineStr">
        <is>
          <t>Not a manager</t>
        </is>
      </c>
      <c r="BR510" s="53" t="inlineStr">
        <is>
          <t>—</t>
        </is>
      </c>
      <c r="BS510" s="53" t="inlineStr">
        <is>
          <t>L3 – Professional / Associate</t>
        </is>
      </c>
      <c r="BT510" s="53" t="inlineStr">
        <is>
          <t>L3 – Professional / Associate</t>
        </is>
      </c>
      <c r="BU510" s="53" t="inlineStr">
        <is>
          <t>No designation change — current record value carried forward</t>
        </is>
      </c>
      <c r="BV510" s="53" t="inlineStr">
        <is>
          <t>1. Ensure 100% execution and validation of assigned functional and regression test cases for planned releases.
2.Develop strong product and domain knowledge for assigned modules and participate actively in requirement analysis and test design activities.
3.Contribute to automation efforts by creating or maintaining at least 50 reusable automated test scripts during the financial year.
4. Ensure all customer-reported critical defects related to assigned areas are converted into regression test cases within one sprint of closure.
5.Maintain high-quality defect reporting with complete reproduction steps, logs, and impact analysis.
6.Participate in release validation activities and provide timely execution updates and sign-off inputs.
7.Complete agreed automation and technical upskilling goals during the financial year.</t>
        </is>
      </c>
      <c r="BW510" s="53" t="n"/>
      <c r="BX510" s="53" t="inlineStr">
        <is>
          <t>Global.</t>
        </is>
      </c>
      <c r="BY510" s="53" t="n"/>
      <c r="BZ510" s="53" t="n"/>
      <c r="CA510" s="53" t="n"/>
      <c r="CB510" s="53" t="n"/>
      <c r="CC510" s="53" t="n"/>
      <c r="CD510" s="53" t="n"/>
      <c r="CE510" s="53" t="n"/>
      <c r="CF510" s="53" t="n"/>
      <c r="CG510" s="53" t="n"/>
      <c r="CH510" s="53" t="n"/>
      <c r="CI510" s="53" t="n"/>
      <c r="CJ510" s="53" t="n"/>
      <c r="CK510" s="53" t="n"/>
      <c r="CL510" s="53" t="n"/>
      <c r="CM510" s="53" t="n"/>
      <c r="CN510" s="53" t="n"/>
      <c r="CO510" s="53" t="n"/>
      <c r="CP510" s="53" t="n"/>
      <c r="CQ510" s="53" t="n"/>
      <c r="CR510" s="53" t="n"/>
      <c r="CS510" s="53" t="n"/>
      <c r="CT510" s="53" t="n"/>
      <c r="CU510" s="53" t="n"/>
      <c r="CV510" s="53" t="n"/>
      <c r="CW510" s="53" t="n"/>
      <c r="CX510" s="53" t="n"/>
      <c r="CY510" s="53" t="n"/>
      <c r="CZ510" s="53" t="n"/>
      <c r="DA510" s="53" t="n"/>
      <c r="DB510" s="53" t="n"/>
      <c r="DC510" s="53" t="n"/>
      <c r="DD510" s="53" t="n"/>
      <c r="DE510" s="53" t="n"/>
      <c r="DF510" s="53" t="n"/>
      <c r="DG510" s="53" t="n"/>
      <c r="DH510" s="53" t="n"/>
      <c r="DI510" s="53" t="n"/>
      <c r="DJ510" s="53" t="n"/>
      <c r="DK510" s="53" t="n"/>
      <c r="DL510" s="53" t="n"/>
      <c r="DM510" s="53" t="n"/>
      <c r="DN510" s="53" t="n"/>
      <c r="DO510" s="53" t="n"/>
      <c r="DP510" s="53" t="n"/>
      <c r="DQ510" s="53" t="n"/>
      <c r="DR510" s="53" t="n"/>
      <c r="DS510" s="53" t="n"/>
      <c r="DT510" s="53" t="n"/>
      <c r="DU510" s="53" t="n"/>
      <c r="DV510" s="53" t="n"/>
      <c r="DW510" s="53" t="n"/>
      <c r="DX510" s="53" t="n"/>
      <c r="DY510" s="53" t="n"/>
      <c r="DZ510" s="53" t="n"/>
      <c r="EA510" s="53" t="n"/>
      <c r="EB510" s="53" t="n"/>
      <c r="EC510" s="53" t="n"/>
      <c r="ED510" s="53" t="n"/>
      <c r="EE510" s="53" t="n"/>
      <c r="EF510" s="53" t="n"/>
      <c r="EG510" s="53" t="n"/>
      <c r="EH510" s="53" t="n"/>
      <c r="EI510" s="53" t="n"/>
      <c r="EJ510" s="53" t="n"/>
      <c r="EK510" s="53" t="n"/>
      <c r="EL510" s="53" t="n"/>
      <c r="EM510" s="53" t="n"/>
      <c r="EN510" s="53" t="n"/>
      <c r="EO510" s="53" t="n"/>
      <c r="EP510" s="53" t="n"/>
      <c r="EQ510" s="53" t="n"/>
      <c r="ER510" s="53" t="n"/>
      <c r="ES510" s="53" t="n"/>
      <c r="ET510" s="53" t="n"/>
      <c r="EU510" s="53" t="n"/>
      <c r="EV510" s="53" t="n"/>
      <c r="EW510" s="52" t="n"/>
      <c r="EX510" s="53" t="inlineStr">
        <is>
          <t>• Role / sub-team: Quality Assurance — QA Engineer.
• Core purpose: I'm a QA Engineer, the main purpose is to ensure the software works as expected and is free from major defects, delivering a reliable and smooth experience for users.
• Decision-making autonomy: Can independently testing decisions.
• Is this something only they do: Few others also do it, all share similar responsibilities.
• What's different about this role: The level of risk involved in delivering quality software.</t>
        </is>
      </c>
      <c r="EY510" s="53" t="inlineStr">
        <is>
          <t>• Key responsibilities include: Testing; Defect Identification; Test Case Execution; API Automation.
• Personally accountable for: I am accountable for ensuring the software is tested, reliable, and meets the required quality standards.
• Impact if missed or done wrong: It can lead to software bugs, delayed releases, customer complaints, and reduced product quality.
• How measured: Partially Different.</t>
        </is>
      </c>
      <c r="EZ510" s="53" t="inlineStr">
        <is>
          <t>• Current capabilities: Software testing.
• Tools / software used: Visual Studio.
• Workload: Rated a moderate load · 3/5 in a typical week.
• Judgment/way of working: Yes, attention to detail, analytical thinking, and knowing what to prioritize are important to perform well.</t>
        </is>
      </c>
      <c r="FA510" s="53" t="inlineStr">
        <is>
          <t>• Development priorities: Advanced automation, domain knowledge and more use of AI in testing.
• Learning and Development Need: Automation training. Domain knowledge.
• Role evolving toward: Yes, increased automation and AI-based testing are shaping the role.</t>
        </is>
      </c>
      <c r="FB510" s="53" t="inlineStr">
        <is>
          <t>• Key challenges: Untested builds.
• Support required: Better-tested builds before QA handover and clearer requirements.</t>
        </is>
      </c>
      <c r="FC510" s="53" t="n"/>
      <c r="FD510" s="53" t="n"/>
      <c r="FE510" s="57" t="inlineStr">
        <is>
          <t>1. Ensure 100% execution and validation of assigned functional and regression test cases for planned releases.
2.Develop strong product and domain knowledge for assigned modules and participate actively in requirement analysis and test design activities.
3.Contribute to automation efforts by creating or maintaining at least 50 reusable automated test scripts during the financial year.
4. Ensure all customer-reported critical defects related to assigned areas are converted into regression test cases within one sprint of closure.
5.Maintain high-quality defect reporting with complete reproduction steps, logs, and impact analysis.
6.Participate in release validation activities and provide timely execution updates and sign-off inputs.
7.Complete agreed automation and technical upskilling goals during the financial year.</t>
        </is>
      </c>
      <c r="FF510" s="56" t="n"/>
      <c r="FG510" s="56" t="n"/>
      <c r="FH510" s="56" t="n"/>
      <c r="FI510" s="56" t="n"/>
      <c r="FJ510" s="56" t="inlineStr">
        <is>
          <t>Received · manager annual</t>
        </is>
      </c>
      <c r="FK510" s="56" t="inlineStr">
        <is>
          <t>CARBON Mapping Master</t>
        </is>
      </c>
      <c r="FL510" s="56" t="n">
        <v>20</v>
      </c>
      <c r="FM510" s="56" t="inlineStr">
        <is>
          <t>• Role / sub-team: Quality Assurance — QA Engineer.
• Core purpose: I'm a QA Engineer, the main purpose is to ensure the software works as expected and is free from major defects, delivering a reliable and smooth experience for users.
• Decision-making autonomy: Can independently testing decisions.
• Is this something only they do: Few others also do it, all share similar responsibilities.
• What's different about this role: The level of risk involved in delivering quality software.</t>
        </is>
      </c>
      <c r="FN510" s="56" t="inlineStr">
        <is>
          <t>• Key responsibilities include: Testing; Defect Identification; Test Case Execution; API Automation.
• Personally accountable for: I am accountable for ensuring the software is tested, reliable, and meets the required quality standards.
• Impact if missed or done wrong: It can lead to software bugs, delayed releases, customer complaints, and reduced product quality.
• How measured: Partially Different.</t>
        </is>
      </c>
      <c r="FO510" s="56" t="inlineStr">
        <is>
          <t>• Current capabilities: Software testing.
• Tools / software used: Visual Studio.
• Workload: Rated a moderate load · 3/5 in a typical week.
• Judgment/way of working: Yes, attention to detail, analytical thinking, and knowing what to prioritize are important to perform well.</t>
        </is>
      </c>
      <c r="FP510" s="56" t="inlineStr">
        <is>
          <t>• Development priorities: Advanced automation, domain knowledge and more use of AI in testing.
• Learning and Development Need: Automation training. Domain knowledge.
• Role evolving toward: Yes, increased automation and AI-based testing are shaping the role.</t>
        </is>
      </c>
      <c r="FQ510" s="56" t="inlineStr">
        <is>
          <t>• Key challenges: Untested builds.
• Support required: Better-tested builds before QA handover and clearer requirements.</t>
        </is>
      </c>
      <c r="FR510" s="56" t="inlineStr">
        <is>
          <t>Complexity: Evidence reads like A2: Testing, test case execution, defect identification and API automation; no specifics given → matches the start
Autonomy: Evidence reads like A2: States only 'testing decisions'; nothing concrete → matches the start
Accountability: Evidence reads like A2: Own testing output meeting quality standards; no module or sign-off named → matches the start
Leadership: Evidence reads like A1: No guiding or leading of others described → matches the start
Business Impact: No survey or manager-mapping signal on criticality: kept at the start point.</t>
        </is>
      </c>
      <c r="FS510" s="56"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FT510" s="56" t="inlineStr">
        <is>
          <t>Self-identified: AI / automation · Testing &amp; quality · Domain, regulatory &amp; XBRL
For the next role: AI / automation · Testing &amp; quality · Domain, regulatory &amp; XBRL</t>
        </is>
      </c>
      <c r="FU510" s="56" t="inlineStr">
        <is>
          <t>Per-person summary · CARBON Mapping Master</t>
        </is>
      </c>
    </row>
    <row r="511" ht="90" customHeight="1">
      <c r="A511" s="51" t="inlineStr">
        <is>
          <t>◂ Back</t>
        </is>
      </c>
      <c r="B511" s="29" t="inlineStr">
        <is>
          <t>Mapped</t>
        </is>
      </c>
      <c r="C511" s="28" t="inlineStr">
        <is>
          <t>CARBON</t>
        </is>
      </c>
      <c r="D511" s="29" t="inlineStr">
        <is>
          <t>IRIS2014</t>
        </is>
      </c>
      <c r="E511" s="29" t="inlineStr">
        <is>
          <t>Vishal Panchal</t>
        </is>
      </c>
      <c r="F511" s="29" t="inlineStr">
        <is>
          <t>Quality Assurance</t>
        </is>
      </c>
      <c r="G511" s="29" t="inlineStr">
        <is>
          <t>QA Engineer</t>
        </is>
      </c>
      <c r="H511" s="29" t="inlineStr">
        <is>
          <t>Senior QA Engineer</t>
        </is>
      </c>
      <c r="I511" s="29" t="inlineStr">
        <is>
          <t>L3 – Professional / Associate</t>
        </is>
      </c>
      <c r="J511" s="29" t="inlineStr">
        <is>
          <t>A3</t>
        </is>
      </c>
      <c r="K511" s="29" t="inlineStr">
        <is>
          <t>▲ Up</t>
        </is>
      </c>
      <c r="L511" s="29" t="inlineStr">
        <is>
          <t>Quality Assurance</t>
        </is>
      </c>
      <c r="M511" s="29" t="inlineStr">
        <is>
          <t>Functional &amp; Domain Testing</t>
        </is>
      </c>
      <c r="N511" s="29" t="inlineStr">
        <is>
          <t>• Confirm the reporting line — Manager</t>
        </is>
      </c>
      <c r="O511" s="29" t="n">
        <v>20</v>
      </c>
      <c r="P511" s="28" t="inlineStr">
        <is>
          <t>P2</t>
        </is>
      </c>
      <c r="Q511" s="29" t="inlineStr">
        <is>
          <t>Developing</t>
        </is>
      </c>
      <c r="R511" s="29" t="inlineStr">
        <is>
          <t>3 Apply</t>
        </is>
      </c>
      <c r="S511" s="29" t="inlineStr">
        <is>
          <t>2–4 yrs</t>
        </is>
      </c>
      <c r="T511" s="29" t="inlineStr">
        <is>
          <t>3–5 · 2–5</t>
        </is>
      </c>
      <c r="U511" s="29" t="inlineStr">
        <is>
          <t>QA Engineer</t>
        </is>
      </c>
      <c r="V511" s="29" t="inlineStr">
        <is>
          <t>Workiva: SE · Broadridge India: SE · Nasdaq / AxiomSL: SE · IRIS Vs Market Benchmark — ISTQB certification pathway: Foundation</t>
        </is>
      </c>
      <c r="W511" s="29" t="inlineStr">
        <is>
          <t>ISTQB Foundation → Advanced → Expert; SFIA testing</t>
        </is>
      </c>
      <c r="X511" s="29" t="inlineStr">
        <is>
          <t>Core 2 · Future 2 · Functional 3 · Leadership not scored</t>
        </is>
      </c>
      <c r="Y511" s="52" t="n">
        <v>216</v>
      </c>
      <c r="Z511" s="53" t="inlineStr">
        <is>
          <t>IRIS2014</t>
        </is>
      </c>
      <c r="AA511" s="53" t="inlineStr">
        <is>
          <t>Employee</t>
        </is>
      </c>
      <c r="AB511" s="53" t="inlineStr">
        <is>
          <t>Active</t>
        </is>
      </c>
      <c r="AC511" s="53" t="inlineStr">
        <is>
          <t>Vishal Panchal</t>
        </is>
      </c>
      <c r="AD511" s="54" t="n">
        <v>44684</v>
      </c>
      <c r="AE511" s="53" t="inlineStr">
        <is>
          <t>QA Engineer</t>
        </is>
      </c>
      <c r="AF511" s="53" t="inlineStr">
        <is>
          <t>B.E</t>
        </is>
      </c>
      <c r="AG511" s="53" t="inlineStr">
        <is>
          <t>Vinod Katekar</t>
        </is>
      </c>
      <c r="AH511" s="53" t="inlineStr">
        <is>
          <t>N-4</t>
        </is>
      </c>
      <c r="AI511" s="53" t="inlineStr">
        <is>
          <t>Manager</t>
        </is>
      </c>
      <c r="AJ511" s="53" t="inlineStr">
        <is>
          <t>4 years, 0 months, 0 days</t>
        </is>
      </c>
      <c r="AK511" s="53" t="inlineStr">
        <is>
          <t>4 years, 3 months, 22 days</t>
        </is>
      </c>
      <c r="AL511" s="53" t="inlineStr">
        <is>
          <t>Regtech</t>
        </is>
      </c>
      <c r="AM511" s="53" t="inlineStr">
        <is>
          <t>CARBON</t>
        </is>
      </c>
      <c r="AN511" s="53" t="inlineStr">
        <is>
          <t>Quality Assurance</t>
        </is>
      </c>
      <c r="AO511" s="53" t="inlineStr">
        <is>
          <t>Quality Assurance</t>
        </is>
      </c>
      <c r="AP511" s="53" t="inlineStr">
        <is>
          <t>No</t>
        </is>
      </c>
      <c r="AQ511" s="53" t="inlineStr">
        <is>
          <t>Product/Project</t>
        </is>
      </c>
      <c r="AR511" s="53" t="inlineStr">
        <is>
          <t>Software Testing</t>
        </is>
      </c>
      <c r="AS511" s="53" t="inlineStr">
        <is>
          <t>Technical · BA, PM and QA</t>
        </is>
      </c>
      <c r="AT511" s="53" t="n">
        <v>20</v>
      </c>
      <c r="AU511" s="53" t="inlineStr">
        <is>
          <t>Covered</t>
        </is>
      </c>
      <c r="AV511" s="53" t="inlineStr">
        <is>
          <t>IRIS2014</t>
        </is>
      </c>
      <c r="AW511" s="53" t="inlineStr">
        <is>
          <t>Vishal Panchal</t>
        </is>
      </c>
      <c r="AX511" s="53" t="inlineStr">
        <is>
          <t>Technology</t>
        </is>
      </c>
      <c r="AY511" s="53" t="inlineStr">
        <is>
          <t>Quality Assurance</t>
        </is>
      </c>
      <c r="AZ511" s="53" t="inlineStr">
        <is>
          <t>QA Automation</t>
        </is>
      </c>
      <c r="BA511" s="53" t="n"/>
      <c r="BB511" s="53" t="n"/>
      <c r="BC511" s="53" t="inlineStr">
        <is>
          <t>Employee</t>
        </is>
      </c>
      <c r="BD511" s="53" t="inlineStr">
        <is>
          <t>Vinod Katekar</t>
        </is>
      </c>
      <c r="BE511" s="53" t="inlineStr">
        <is>
          <t>Vinod Katekar</t>
        </is>
      </c>
      <c r="BF511" s="53" t="inlineStr">
        <is>
          <t>No</t>
        </is>
      </c>
      <c r="BG511" s="53" t="inlineStr">
        <is>
          <t>QA Engineer</t>
        </is>
      </c>
      <c r="BH511" s="53" t="inlineStr">
        <is>
          <t>QA Automation Engineer</t>
        </is>
      </c>
      <c r="BI511" s="53" t="inlineStr">
        <is>
          <t>No</t>
        </is>
      </c>
      <c r="BJ511" s="53" t="n">
        <v>2</v>
      </c>
      <c r="BK511" s="53" t="n">
        <v>2</v>
      </c>
      <c r="BL511" s="53" t="n">
        <v>0</v>
      </c>
      <c r="BM511" s="53" t="inlineStr">
        <is>
          <t>Consolidate / flatten</t>
        </is>
      </c>
      <c r="BN511" s="53" t="n">
        <v>2</v>
      </c>
      <c r="BO511" s="53" t="n">
        <v>2</v>
      </c>
      <c r="BP511" s="53" t="n">
        <v>0</v>
      </c>
      <c r="BQ511" s="53" t="inlineStr">
        <is>
          <t>Consolidate / flatten</t>
        </is>
      </c>
      <c r="BR511" s="53" t="inlineStr">
        <is>
          <t>No</t>
        </is>
      </c>
      <c r="BS511" s="53" t="inlineStr">
        <is>
          <t>L3 – Professional / Associate</t>
        </is>
      </c>
      <c r="BT511" s="53" t="inlineStr">
        <is>
          <t>L3 – Professional / Associate</t>
        </is>
      </c>
      <c r="BU511" s="53" t="inlineStr">
        <is>
          <t>No designation change — current record value carried forward</t>
        </is>
      </c>
      <c r="BV511" s="53" t="inlineStr">
        <is>
          <t>1.Ensure 100% functional, regression, and release validation coverage for the complete DM module across all major releases.
2.Increase automation coverage for DM and CARBON 3.0 modules from current baseline to ≥ 60% UI regression automation by FY end.
3.Reduce manual regression execution effort for owned modules by ≥ 50% through automation adoption and reusable test assets.
4.Reduce escaped production defects in DM module by ≥ 50% YoY through stronger test coverage and proactive validation.
5.Complete automation upskilling and independently develop minimum 150 reusable automated test scripts by FY end.
6.Ensure 100% critical customer-reported defects for DM are converted into regression test cases · manual or automated within 1 sprint of closure.</t>
        </is>
      </c>
      <c r="BW511" s="53" t="n"/>
      <c r="BX511" s="53" t="inlineStr">
        <is>
          <t>Global.</t>
        </is>
      </c>
      <c r="BY511" s="53" t="n"/>
      <c r="BZ511" s="53" t="n"/>
      <c r="CA511" s="53" t="n"/>
      <c r="CB511" s="53" t="n"/>
      <c r="CC511" s="53" t="n"/>
      <c r="CD511" s="53" t="n"/>
      <c r="CE511" s="53" t="n"/>
      <c r="CF511" s="53" t="n"/>
      <c r="CG511" s="53" t="n"/>
      <c r="CH511" s="53" t="n"/>
      <c r="CI511" s="53" t="n"/>
      <c r="CJ511" s="53" t="n"/>
      <c r="CK511" s="53" t="n"/>
      <c r="CL511" s="53" t="n"/>
      <c r="CM511" s="53" t="n"/>
      <c r="CN511" s="53" t="n"/>
      <c r="CO511" s="53" t="n"/>
      <c r="CP511" s="53" t="n"/>
      <c r="CQ511" s="53" t="n"/>
      <c r="CR511" s="53" t="n"/>
      <c r="CS511" s="53" t="n"/>
      <c r="CT511" s="53" t="n"/>
      <c r="CU511" s="53" t="n"/>
      <c r="CV511" s="53" t="n"/>
      <c r="CW511" s="53" t="n"/>
      <c r="CX511" s="53" t="n"/>
      <c r="CY511" s="53" t="n"/>
      <c r="CZ511" s="53" t="n"/>
      <c r="DA511" s="53" t="n"/>
      <c r="DB511" s="53" t="n"/>
      <c r="DC511" s="53" t="n"/>
      <c r="DD511" s="53" t="n"/>
      <c r="DE511" s="53" t="n"/>
      <c r="DF511" s="53" t="n"/>
      <c r="DG511" s="53" t="n"/>
      <c r="DH511" s="53" t="n"/>
      <c r="DI511" s="53" t="n"/>
      <c r="DJ511" s="53" t="n"/>
      <c r="DK511" s="53" t="n"/>
      <c r="DL511" s="53" t="n"/>
      <c r="DM511" s="53" t="n"/>
      <c r="DN511" s="53" t="n"/>
      <c r="DO511" s="53" t="n"/>
      <c r="DP511" s="53" t="n"/>
      <c r="DQ511" s="53" t="n"/>
      <c r="DR511" s="53" t="n"/>
      <c r="DS511" s="53" t="n"/>
      <c r="DT511" s="53" t="n"/>
      <c r="DU511" s="53" t="n"/>
      <c r="DV511" s="53" t="n"/>
      <c r="DW511" s="53" t="n"/>
      <c r="DX511" s="53" t="n"/>
      <c r="DY511" s="53" t="n"/>
      <c r="DZ511" s="53" t="n"/>
      <c r="EA511" s="53" t="n"/>
      <c r="EB511" s="53" t="n"/>
      <c r="EC511" s="53" t="n"/>
      <c r="ED511" s="53" t="n"/>
      <c r="EE511" s="53" t="n"/>
      <c r="EF511" s="53" t="n"/>
      <c r="EG511" s="53" t="n"/>
      <c r="EH511" s="53" t="n"/>
      <c r="EI511" s="53" t="n"/>
      <c r="EJ511" s="53" t="n"/>
      <c r="EK511" s="53" t="n"/>
      <c r="EL511" s="53" t="n"/>
      <c r="EM511" s="53" t="n"/>
      <c r="EN511" s="53" t="n"/>
      <c r="EO511" s="53" t="n"/>
      <c r="EP511" s="53" t="n"/>
      <c r="EQ511" s="53" t="n"/>
      <c r="ER511" s="53" t="n"/>
      <c r="ES511" s="53" t="n"/>
      <c r="ET511" s="53" t="n"/>
      <c r="EU511" s="53" t="n"/>
      <c r="EV511" s="53" t="n"/>
      <c r="EW511" s="52" t="n"/>
      <c r="EX511" s="53" t="inlineStr">
        <is>
          <t>• Role / sub-team: QA — Manual &amp; UX Testing.
• Core purpose: Check the software and find defects, going beyond defect-finding to also assess tool/software performance; verify the software runs smoothly with no errors once live.
• Top 5 responsibilities: Create test cases; execute test cases; follow-ups; report major issues to the group; regression testing; sanity testing; share QA status with the team.
• Decision-making autonomy: Can decide when to take help from others and how to ensure all scenarios are covered.
• What's different about this role: Goes beyond what's developed to give input/suggestions on user experience; rechecks stories already tested by teammates, since different people notice different things.</t>
        </is>
      </c>
      <c r="EY511" s="53" t="inlineStr">
        <is>
          <t>• Key responsibilities include: Sign-off backed by test cases.
• Personally accountable for: Any scenario or test case missed on dev/stage that surfaces in production after release.
• Impact if missed or done wrong: A wrong value update reaching the client, treated as a major issue.</t>
        </is>
      </c>
      <c r="EZ511" s="53" t="inlineStr">
        <is>
          <t>• Current capabilities: Identifying test scenarios; thinking from the client's perspective; good communication; maintaining good working relationships to help avoid missed points.
• Tools / software used: Quick Scrum; VS Code; test case drive access; Word, Excel, PowerPoint; mail access.
• Workload: Rated a heavy load · 4/5 in a typical week.
• How this role compares: Measured differently, based on individual performance; all QA team members can cover each other's tasks.</t>
        </is>
      </c>
      <c r="FA511" s="53" t="inlineStr">
        <is>
          <t>• Development priorities: Learn the current automation framework and API testing to move into the next role · currently writes and executes automation test cases but hasn't yet learned the framework itself.
• Learning and Development Need: Automation testing · over manual testing; a proper product walkthrough; consistent documentation practices.
• AI Enablement Need: No input received.</t>
        </is>
      </c>
      <c r="FB511" s="53" t="inlineStr">
        <is>
          <t>• Key challenges: Rework; unclear requirements; retesting the same points repeatedly.
• Support required: Clear requirements from top management with a formal approval and code-review process for any code changes, and user stories written with very clear requirements.</t>
        </is>
      </c>
      <c r="FC511" s="53" t="n"/>
      <c r="FD511" s="53" t="n"/>
      <c r="FE511" s="57" t="inlineStr">
        <is>
          <t>1.Ensure 100% functional, regression, and release validation coverage for the complete DM module across all major releases.
2.Increase automation coverage for DM and CARBON 3.0 modules from current baseline to ≥ 60% UI regression automation by FY end.
3.Reduce manual regression execution effort for owned modules by ≥ 50% through automation adoption and reusable test assets.
4.Reduce escaped production defects in DM module by ≥ 50% YoY through stronger test coverage and proactive validation.
5.Complete automation upskilling and independently develop minimum 150 reusable automated test scripts by FY end.
6.Ensure 100% critical customer-reported defects for DM are converted into regression test cases · manual or automated within 1 sprint of closure.</t>
        </is>
      </c>
      <c r="FF511" s="56" t="n"/>
      <c r="FG511" s="56" t="n"/>
      <c r="FH511" s="56" t="n"/>
      <c r="FI511" s="56" t="n"/>
      <c r="FJ511" s="56" t="inlineStr">
        <is>
          <t>Received · manager annual</t>
        </is>
      </c>
      <c r="FK511" s="56" t="inlineStr">
        <is>
          <t>CARBON Mapping Master</t>
        </is>
      </c>
      <c r="FL511" s="56" t="n">
        <v>20</v>
      </c>
      <c r="FM511" s="56" t="inlineStr">
        <is>
          <t>• Role / sub-team: QA — Manual &amp; UX Testing.
• Core purpose: Check the software and find defects, going beyond defect-finding to also assess tool/software performance; verify the software runs smoothly with no errors once live.
• Top 5 responsibilities: Create test cases; execute test cases; follow-ups; report major issues to the group; regression testing; sanity testing; share QA status with the team.
• Decision-making autonomy: Can decide when to take help from others and how to ensure all scenarios are covered.
• What's different about this role: Goes beyond what's developed to give input/suggestions on user experience; rechecks stories already tested by teammates, since different people notice different things.</t>
        </is>
      </c>
      <c r="FN511" s="56" t="inlineStr">
        <is>
          <t>• Key responsibilities include: Sign-off backed by test cases.
• Personally accountable for: Any scenario or test case missed on dev/stage that surfaces in production after release.
• Impact if missed or done wrong: A wrong value update reaching the client, treated as a major issue.</t>
        </is>
      </c>
      <c r="FO511" s="56" t="inlineStr">
        <is>
          <t>• Current capabilities: Identifying test scenarios; thinking from the client's perspective; good communication; maintaining good working relationships to help avoid missed points.
• Tools / software used: Quick Scrum; VS Code; test case drive access; Word, Excel, PowerPoint; mail access.
• Workload: Rated a heavy load · 4/5 in a typical week.
• How this role compares: Measured differently, based on individual performance; all QA team members can cover each other's tasks.</t>
        </is>
      </c>
      <c r="FP511" s="56" t="inlineStr">
        <is>
          <t>• Development priorities: Learn the current automation framework and API testing to move into the next role · currently writes and executes automation test cases but hasn't yet learned the framework itself.
• Learning and Development Need: Automation testing · over manual testing; a proper product walkthrough; consistent documentation practices.
• AI Enablement Need: No input received.</t>
        </is>
      </c>
      <c r="FQ511" s="56" t="inlineStr">
        <is>
          <t>• Key challenges: Rework; unclear requirements; retesting the same points repeatedly.
• Support required: Clear requirements from top management with a formal approval and code-review process for any code changes, and user stories written with very clear requirements.</t>
        </is>
      </c>
      <c r="FR511" s="56" t="inlineStr">
        <is>
          <t>Complexity: Evidence reads like A3: Creates and executes test cases, regression and sanity; rechecks stories tested by teammates; gives UX input → moved up 0.5
Autonomy: Evidence reads like A2: Decides how to cover scenarios and when to seek help; routine → moved down 0.5
Accountability: Evidence reads like A3: Gives sign-off; scenarios missed on dev/stage but found in production are their responsibility → moved down 0.5
Leadership: Evidence reads like A3: Rechecks stories tested by the team and shares QA status; two reports → moved down 0.5
Business Impact: No survey or manager-mapping signal on criticality: kept at the start point.</t>
        </is>
      </c>
      <c r="FS511" s="56"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FT511" s="56" t="inlineStr">
        <is>
          <t>Self-identified: AI / automation · Testing &amp; quality
For the next role: AI / automation · Testing &amp; quality</t>
        </is>
      </c>
      <c r="FU511" s="56" t="inlineStr">
        <is>
          <t>Per-person summary · CARBON Mapping Master</t>
        </is>
      </c>
    </row>
    <row r="512" ht="90" customHeight="1">
      <c r="A512" s="51" t="inlineStr">
        <is>
          <t>◂ Back</t>
        </is>
      </c>
      <c r="B512" s="29" t="inlineStr">
        <is>
          <t>Mapped</t>
        </is>
      </c>
      <c r="C512" s="28" t="inlineStr">
        <is>
          <t>CARBON</t>
        </is>
      </c>
      <c r="D512" s="29" t="inlineStr">
        <is>
          <t>IRIS2388</t>
        </is>
      </c>
      <c r="E512" s="29" t="inlineStr">
        <is>
          <t>Hrishikesh Thombare</t>
        </is>
      </c>
      <c r="F512" s="29" t="inlineStr">
        <is>
          <t>Quality Assurance</t>
        </is>
      </c>
      <c r="G512" s="29" t="inlineStr">
        <is>
          <t>QA Engineer</t>
        </is>
      </c>
      <c r="H512" s="29" t="inlineStr">
        <is>
          <t>Senior QA Engineer</t>
        </is>
      </c>
      <c r="I512" s="29" t="inlineStr">
        <is>
          <t>L3 – Professional / Associate</t>
        </is>
      </c>
      <c r="J512" s="29" t="inlineStr">
        <is>
          <t>A3</t>
        </is>
      </c>
      <c r="K512" s="29" t="inlineStr">
        <is>
          <t>▲ Up</t>
        </is>
      </c>
      <c r="L512" s="29" t="inlineStr">
        <is>
          <t>Quality Assurance</t>
        </is>
      </c>
      <c r="M512" s="29" t="inlineStr">
        <is>
          <t>Functional &amp; Domain Testing</t>
        </is>
      </c>
      <c r="N512" s="29" t="n"/>
      <c r="O512" s="29" t="n">
        <v>20</v>
      </c>
      <c r="P512" s="28" t="inlineStr">
        <is>
          <t>P2</t>
        </is>
      </c>
      <c r="Q512" s="29" t="inlineStr">
        <is>
          <t>Developing</t>
        </is>
      </c>
      <c r="R512" s="29" t="inlineStr">
        <is>
          <t>3 Apply</t>
        </is>
      </c>
      <c r="S512" s="29" t="inlineStr">
        <is>
          <t>2–4 yrs</t>
        </is>
      </c>
      <c r="T512" s="29" t="inlineStr">
        <is>
          <t>3–5 · 2–5</t>
        </is>
      </c>
      <c r="U512" s="29" t="inlineStr">
        <is>
          <t>QA Engineer</t>
        </is>
      </c>
      <c r="V512" s="29" t="inlineStr">
        <is>
          <t>Workiva: SE · Broadridge India: SE · Nasdaq / AxiomSL: SE · IRIS Vs Market Benchmark — ISTQB certification pathway: Foundation</t>
        </is>
      </c>
      <c r="W512" s="29" t="inlineStr">
        <is>
          <t>ISTQB Foundation → Advanced → Expert; SFIA testing</t>
        </is>
      </c>
      <c r="X512" s="29" t="inlineStr">
        <is>
          <t>Core 2 · Future 2 · Functional 3 · Leadership not scored</t>
        </is>
      </c>
      <c r="Y512" s="52" t="n">
        <v>377</v>
      </c>
      <c r="Z512" s="53" t="inlineStr">
        <is>
          <t>IRIS2388</t>
        </is>
      </c>
      <c r="AA512" s="53" t="inlineStr">
        <is>
          <t>Employee</t>
        </is>
      </c>
      <c r="AB512" s="53" t="inlineStr">
        <is>
          <t>Active</t>
        </is>
      </c>
      <c r="AC512" s="53" t="inlineStr">
        <is>
          <t>Hrishikesh Thombare</t>
        </is>
      </c>
      <c r="AD512" s="54" t="n">
        <v>45831</v>
      </c>
      <c r="AE512" s="53" t="inlineStr">
        <is>
          <t>QA Engineer</t>
        </is>
      </c>
      <c r="AF512" s="53" t="inlineStr">
        <is>
          <t>B.Com</t>
        </is>
      </c>
      <c r="AG512" s="53" t="inlineStr">
        <is>
          <t>Vishal Panchal</t>
        </is>
      </c>
      <c r="AH512" s="53" t="inlineStr">
        <is>
          <t>N-5</t>
        </is>
      </c>
      <c r="AI512" s="53" t="inlineStr">
        <is>
          <t>Individual Contributor</t>
        </is>
      </c>
      <c r="AJ512" s="53" t="inlineStr">
        <is>
          <t>2 years, 9 months, 0 days</t>
        </is>
      </c>
      <c r="AK512" s="53" t="inlineStr">
        <is>
          <t>1 years, 2 months, 2 days</t>
        </is>
      </c>
      <c r="AL512" s="53" t="inlineStr">
        <is>
          <t>Regtech</t>
        </is>
      </c>
      <c r="AM512" s="53" t="inlineStr">
        <is>
          <t>CARBON</t>
        </is>
      </c>
      <c r="AN512" s="53" t="inlineStr">
        <is>
          <t>Quality Assurance</t>
        </is>
      </c>
      <c r="AO512" s="53" t="inlineStr">
        <is>
          <t>Quality Assurance</t>
        </is>
      </c>
      <c r="AP512" s="53" t="inlineStr">
        <is>
          <t>No</t>
        </is>
      </c>
      <c r="AQ512" s="53" t="inlineStr">
        <is>
          <t>Product/Project</t>
        </is>
      </c>
      <c r="AR512" s="53" t="inlineStr">
        <is>
          <t>Software Testing</t>
        </is>
      </c>
      <c r="AS512" s="53" t="inlineStr">
        <is>
          <t>Technical · BA, PM and QA</t>
        </is>
      </c>
      <c r="AT512" s="53" t="n">
        <v>20</v>
      </c>
      <c r="AU512" s="53" t="inlineStr">
        <is>
          <t>Covered</t>
        </is>
      </c>
      <c r="AV512" s="53" t="inlineStr">
        <is>
          <t>IRIS2388</t>
        </is>
      </c>
      <c r="AW512" s="53" t="inlineStr">
        <is>
          <t>Hrishikesh Thombare</t>
        </is>
      </c>
      <c r="AX512" s="53" t="inlineStr">
        <is>
          <t>Technology</t>
        </is>
      </c>
      <c r="AY512" s="53" t="inlineStr">
        <is>
          <t>Quality Assurance</t>
        </is>
      </c>
      <c r="AZ512" s="53" t="inlineStr">
        <is>
          <t>Quality Testing</t>
        </is>
      </c>
      <c r="BA512" s="53" t="n"/>
      <c r="BB512" s="53" t="n"/>
      <c r="BC512" s="53" t="inlineStr">
        <is>
          <t>Employee</t>
        </is>
      </c>
      <c r="BD512" s="53" t="inlineStr">
        <is>
          <t>Vishal Panchal</t>
        </is>
      </c>
      <c r="BE512" s="53" t="inlineStr">
        <is>
          <t>Vishal Panchal</t>
        </is>
      </c>
      <c r="BF512" s="53" t="inlineStr">
        <is>
          <t>No</t>
        </is>
      </c>
      <c r="BG512" s="53" t="inlineStr">
        <is>
          <t>QA Engineer</t>
        </is>
      </c>
      <c r="BH512" s="53" t="inlineStr">
        <is>
          <t>QA Engineer</t>
        </is>
      </c>
      <c r="BI512" s="53" t="inlineStr">
        <is>
          <t>No</t>
        </is>
      </c>
      <c r="BJ512" s="53" t="inlineStr">
        <is>
          <t>—</t>
        </is>
      </c>
      <c r="BK512" s="53" t="inlineStr">
        <is>
          <t>—</t>
        </is>
      </c>
      <c r="BL512" s="53" t="inlineStr">
        <is>
          <t>—</t>
        </is>
      </c>
      <c r="BM512" s="53" t="inlineStr">
        <is>
          <t>Not a manager</t>
        </is>
      </c>
      <c r="BN512" s="53" t="inlineStr">
        <is>
          <t>—</t>
        </is>
      </c>
      <c r="BO512" s="53" t="inlineStr">
        <is>
          <t>—</t>
        </is>
      </c>
      <c r="BP512" s="53" t="inlineStr">
        <is>
          <t>—</t>
        </is>
      </c>
      <c r="BQ512" s="53" t="inlineStr">
        <is>
          <t>Not a manager</t>
        </is>
      </c>
      <c r="BR512" s="53" t="inlineStr">
        <is>
          <t>—</t>
        </is>
      </c>
      <c r="BS512" s="53" t="inlineStr">
        <is>
          <t>L3 – Professional / Associate</t>
        </is>
      </c>
      <c r="BT512" s="53" t="inlineStr">
        <is>
          <t>L3 – Professional / Associate</t>
        </is>
      </c>
      <c r="BU512" s="53" t="inlineStr">
        <is>
          <t>No designation change — current record value carried forward</t>
        </is>
      </c>
      <c r="BV512" s="53" t="inlineStr">
        <is>
          <t>1.Ensure 100% execution and validation of assigned functional and regression test cases for planned releases.
2.Develop strong product and domain knowledge for assigned modules and participate actively in requirement analysis and test design activities.
3.Ensure all customer-reported critical defects related to assigned areas are converted into regression test cases within one sprint of closure.
4.Maintain high-quality defect reporting with complete reproduction steps, logs, and impact analysis.
5. Participate in release validation activities and provide timely execution updates and sign-off inputs.
6.Complete agreed automation and technical upskilling goals during the financial year.</t>
        </is>
      </c>
      <c r="BW512" s="53" t="n"/>
      <c r="BX512" s="53" t="n"/>
      <c r="BY512" s="53" t="n"/>
      <c r="BZ512" s="53" t="n"/>
      <c r="CA512" s="53" t="n"/>
      <c r="CB512" s="53" t="n"/>
      <c r="CC512" s="53" t="n"/>
      <c r="CD512" s="53" t="n"/>
      <c r="CE512" s="53" t="n"/>
      <c r="CF512" s="53" t="n"/>
      <c r="CG512" s="53" t="n"/>
      <c r="CH512" s="53" t="n"/>
      <c r="CI512" s="53" t="n"/>
      <c r="CJ512" s="53" t="n"/>
      <c r="CK512" s="53" t="n"/>
      <c r="CL512" s="53" t="n"/>
      <c r="CM512" s="53" t="n"/>
      <c r="CN512" s="53" t="n"/>
      <c r="CO512" s="53" t="n"/>
      <c r="CP512" s="53" t="n"/>
      <c r="CQ512" s="53" t="n"/>
      <c r="CR512" s="53" t="n"/>
      <c r="CS512" s="53" t="n"/>
      <c r="CT512" s="53" t="n"/>
      <c r="CU512" s="53" t="n"/>
      <c r="CV512" s="53" t="n"/>
      <c r="CW512" s="53" t="n"/>
      <c r="CX512" s="53" t="n"/>
      <c r="CY512" s="53" t="n"/>
      <c r="CZ512" s="53" t="n"/>
      <c r="DA512" s="53" t="n"/>
      <c r="DB512" s="53" t="n"/>
      <c r="DC512" s="53" t="n"/>
      <c r="DD512" s="53" t="n"/>
      <c r="DE512" s="53" t="n"/>
      <c r="DF512" s="53" t="n"/>
      <c r="DG512" s="53" t="n"/>
      <c r="DH512" s="53" t="n"/>
      <c r="DI512" s="53" t="n"/>
      <c r="DJ512" s="53" t="n"/>
      <c r="DK512" s="53" t="n"/>
      <c r="DL512" s="53" t="n"/>
      <c r="DM512" s="53" t="n"/>
      <c r="DN512" s="53" t="n"/>
      <c r="DO512" s="53" t="n"/>
      <c r="DP512" s="53" t="n"/>
      <c r="DQ512" s="53" t="n"/>
      <c r="DR512" s="53" t="n"/>
      <c r="DS512" s="53" t="n"/>
      <c r="DT512" s="53" t="n"/>
      <c r="DU512" s="53" t="n"/>
      <c r="DV512" s="53" t="n"/>
      <c r="DW512" s="53" t="n"/>
      <c r="DX512" s="53" t="n"/>
      <c r="DY512" s="53" t="n"/>
      <c r="DZ512" s="53" t="n"/>
      <c r="EA512" s="53" t="n"/>
      <c r="EB512" s="53" t="n"/>
      <c r="EC512" s="53" t="n"/>
      <c r="ED512" s="53" t="n"/>
      <c r="EE512" s="53" t="n"/>
      <c r="EF512" s="53" t="n"/>
      <c r="EG512" s="53" t="n"/>
      <c r="EH512" s="53" t="n"/>
      <c r="EI512" s="53" t="n"/>
      <c r="EJ512" s="53" t="n"/>
      <c r="EK512" s="53" t="n"/>
      <c r="EL512" s="53" t="n"/>
      <c r="EM512" s="53" t="n"/>
      <c r="EN512" s="53" t="n"/>
      <c r="EO512" s="53" t="n"/>
      <c r="EP512" s="53" t="n"/>
      <c r="EQ512" s="53" t="n"/>
      <c r="ER512" s="53" t="n"/>
      <c r="ES512" s="53" t="n"/>
      <c r="ET512" s="53" t="n"/>
      <c r="EU512" s="53" t="n"/>
      <c r="EV512" s="53" t="n"/>
      <c r="EW512" s="52" t="n"/>
      <c r="EX512" s="53" t="n"/>
      <c r="EY512" s="53" t="n"/>
      <c r="EZ512" s="53" t="n"/>
      <c r="FA512" s="53" t="n"/>
      <c r="FB512" s="53" t="n"/>
      <c r="FC512" s="53" t="n"/>
      <c r="FD512" s="53" t="n"/>
      <c r="FE512" s="57" t="inlineStr">
        <is>
          <t>1.Ensure 100% execution and validation of assigned functional and regression test cases for planned releases.
2.Develop strong product and domain knowledge for assigned modules and participate actively in requirement analysis and test design activities.
3.Ensure all customer-reported critical defects related to assigned areas are converted into regression test cases within one sprint of closure.
4.Maintain high-quality defect reporting with complete reproduction steps, logs, and impact analysis.
5. Participate in release validation activities and provide timely execution updates and sign-off inputs.
6.Complete agreed automation and technical upskilling goals during the financial year.</t>
        </is>
      </c>
      <c r="FF512" s="56" t="n"/>
      <c r="FG512" s="56" t="n"/>
      <c r="FH512" s="56" t="n"/>
      <c r="FI512" s="56" t="n"/>
      <c r="FJ512" s="56" t="inlineStr">
        <is>
          <t>Received · manager annual</t>
        </is>
      </c>
      <c r="FK512" s="56" t="inlineStr">
        <is>
          <t>CARBON Mapping Master</t>
        </is>
      </c>
      <c r="FL512" s="56" t="n">
        <v>20</v>
      </c>
      <c r="FM512" s="32" t="inlineStr">
        <is>
          <t>Full survey answers not in the files received · How We Grow export needed · HR</t>
        </is>
      </c>
      <c r="FN512" s="56" t="inlineStr">
        <is>
          <t>—</t>
        </is>
      </c>
      <c r="FO512" s="56" t="inlineStr">
        <is>
          <t>—</t>
        </is>
      </c>
      <c r="FP512" s="56" t="inlineStr">
        <is>
          <t>—</t>
        </is>
      </c>
      <c r="FQ512" s="56" t="inlineStr">
        <is>
          <t>—</t>
        </is>
      </c>
      <c r="FR512" s="56" t="inlineStr">
        <is>
          <t>Complexity: Evidence reads like A2: Manual functional and regression testing, test case creation on XBRL disclosure-management workflows; standard QA method → matches the start
Autonomy: Evidence reads like A2: Chooses which positive, negative and boundary scenarios to cover; judges whether a retest passes → matches the start
Accountability: Evidence reads like A2: Quality and completeness of own testing, defect documentation and fix validation → matches the start
Leadership: Evidence reads like A1: No guiding or leading of others described → matches the start
Business Impact: No survey or manager-mapping signal on criticality: kept at the start point.</t>
        </is>
      </c>
      <c r="FS512" s="56"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FT512" s="56" t="inlineStr">
        <is>
          <t>Self-identified: AI / automation · Technical depth &amp; architecture · Testing &amp; quality · Data, SQL &amp; analytics · Product &amp; tool knowledge · Strategy &amp; business acumen · Broader exposure &amp; ownership
For the next role: AI / automation · Leadership &amp; people management · Technical depth &amp; architecture · Testing &amp; quality · Data, SQL &amp; analytics · Product &amp; tool knowledge · Strategy &amp; business acumen · Broader exposure &amp; ownership</t>
        </is>
      </c>
      <c r="FU512" s="32" t="inlineStr">
        <is>
          <t>Full survey answers not in the files received · How We Grow export needed · HR</t>
        </is>
      </c>
    </row>
    <row r="513" ht="90" customHeight="1">
      <c r="A513" s="51" t="inlineStr">
        <is>
          <t>◂ Back</t>
        </is>
      </c>
      <c r="B513" s="29" t="inlineStr">
        <is>
          <t>Mapped</t>
        </is>
      </c>
      <c r="C513" s="28" t="inlineStr">
        <is>
          <t>CARBON</t>
        </is>
      </c>
      <c r="D513" s="29" t="inlineStr">
        <is>
          <t>IRIS2107</t>
        </is>
      </c>
      <c r="E513" s="29" t="inlineStr">
        <is>
          <t>Pratikkumar Mistry</t>
        </is>
      </c>
      <c r="F513" s="29" t="inlineStr">
        <is>
          <t>Quality Assurance</t>
        </is>
      </c>
      <c r="G513" s="29" t="inlineStr">
        <is>
          <t>QA Engineer</t>
        </is>
      </c>
      <c r="H513" s="29" t="inlineStr">
        <is>
          <t>Senior QA Engineer</t>
        </is>
      </c>
      <c r="I513" s="29" t="inlineStr">
        <is>
          <t>L3 – Professional / Associate</t>
        </is>
      </c>
      <c r="J513" s="29" t="inlineStr">
        <is>
          <t>A3</t>
        </is>
      </c>
      <c r="K513" s="29" t="inlineStr">
        <is>
          <t>▲ Up</t>
        </is>
      </c>
      <c r="L513" s="29" t="inlineStr">
        <is>
          <t>Quality Assurance</t>
        </is>
      </c>
      <c r="M513" s="29" t="inlineStr">
        <is>
          <t>Functional &amp; Domain Testing</t>
        </is>
      </c>
      <c r="N513" s="29" t="n"/>
      <c r="O513" s="29" t="n">
        <v>20</v>
      </c>
      <c r="P513" s="28" t="inlineStr">
        <is>
          <t>P2</t>
        </is>
      </c>
      <c r="Q513" s="29" t="inlineStr">
        <is>
          <t>Developing</t>
        </is>
      </c>
      <c r="R513" s="29" t="inlineStr">
        <is>
          <t>3 Apply</t>
        </is>
      </c>
      <c r="S513" s="29" t="inlineStr">
        <is>
          <t>2–4 yrs</t>
        </is>
      </c>
      <c r="T513" s="29" t="inlineStr">
        <is>
          <t>3–5 · 2–5</t>
        </is>
      </c>
      <c r="U513" s="29" t="inlineStr">
        <is>
          <t>QA Engineer</t>
        </is>
      </c>
      <c r="V513" s="29" t="inlineStr">
        <is>
          <t>Workiva: SE · Broadridge India: SE · Nasdaq / AxiomSL: SE · IRIS Vs Market Benchmark — ISTQB certification pathway: Foundation</t>
        </is>
      </c>
      <c r="W513" s="29" t="inlineStr">
        <is>
          <t>ISTQB Foundation → Advanced → Expert; SFIA testing</t>
        </is>
      </c>
      <c r="X513" s="29" t="inlineStr">
        <is>
          <t>Core 2 · Future 2 · Functional 3 · Leadership not scored</t>
        </is>
      </c>
      <c r="Y513" s="52" t="n">
        <v>265</v>
      </c>
      <c r="Z513" s="53" t="inlineStr">
        <is>
          <t>IRIS2107</t>
        </is>
      </c>
      <c r="AA513" s="53" t="inlineStr">
        <is>
          <t>Employee</t>
        </is>
      </c>
      <c r="AB513" s="53" t="inlineStr">
        <is>
          <t>Active</t>
        </is>
      </c>
      <c r="AC513" s="53" t="inlineStr">
        <is>
          <t>Pratikkumar Mistry</t>
        </is>
      </c>
      <c r="AD513" s="54" t="n">
        <v>45005</v>
      </c>
      <c r="AE513" s="53" t="inlineStr">
        <is>
          <t>QA Engineer</t>
        </is>
      </c>
      <c r="AF513" s="53" t="inlineStr">
        <is>
          <t>B.E</t>
        </is>
      </c>
      <c r="AG513" s="53" t="inlineStr">
        <is>
          <t>Vishal Panchal</t>
        </is>
      </c>
      <c r="AH513" s="53" t="inlineStr">
        <is>
          <t>N-5</t>
        </is>
      </c>
      <c r="AI513" s="53" t="inlineStr">
        <is>
          <t>Individual Contributor</t>
        </is>
      </c>
      <c r="AJ513" s="53" t="inlineStr">
        <is>
          <t>3 years, 5 months, 0 days</t>
        </is>
      </c>
      <c r="AK513" s="53" t="inlineStr">
        <is>
          <t>3 years, 5 months, 5 days</t>
        </is>
      </c>
      <c r="AL513" s="53" t="inlineStr">
        <is>
          <t>Regtech</t>
        </is>
      </c>
      <c r="AM513" s="53" t="inlineStr">
        <is>
          <t>CARBON</t>
        </is>
      </c>
      <c r="AN513" s="53" t="inlineStr">
        <is>
          <t>Quality Assurance</t>
        </is>
      </c>
      <c r="AO513" s="53" t="inlineStr">
        <is>
          <t>Quality Assurance</t>
        </is>
      </c>
      <c r="AP513" s="53" t="inlineStr">
        <is>
          <t>No</t>
        </is>
      </c>
      <c r="AQ513" s="53" t="inlineStr">
        <is>
          <t>Product/Project</t>
        </is>
      </c>
      <c r="AR513" s="53" t="inlineStr">
        <is>
          <t>Software Testing</t>
        </is>
      </c>
      <c r="AS513" s="53" t="inlineStr">
        <is>
          <t>Technical · BA, PM and QA</t>
        </is>
      </c>
      <c r="AT513" s="53" t="n">
        <v>20</v>
      </c>
      <c r="AU513" s="53" t="inlineStr">
        <is>
          <t>Covered</t>
        </is>
      </c>
      <c r="AV513" s="53" t="inlineStr">
        <is>
          <t>IRIS2107</t>
        </is>
      </c>
      <c r="AW513" s="53" t="inlineStr">
        <is>
          <t>Pratikkumar Mistry</t>
        </is>
      </c>
      <c r="AX513" s="53" t="inlineStr">
        <is>
          <t>Technology</t>
        </is>
      </c>
      <c r="AY513" s="53" t="inlineStr">
        <is>
          <t>Quality Assurance</t>
        </is>
      </c>
      <c r="AZ513" s="53" t="inlineStr">
        <is>
          <t>Quality Testing</t>
        </is>
      </c>
      <c r="BA513" s="53" t="n"/>
      <c r="BB513" s="53" t="n"/>
      <c r="BC513" s="53" t="inlineStr">
        <is>
          <t>Employee</t>
        </is>
      </c>
      <c r="BD513" s="53" t="inlineStr">
        <is>
          <t>Vishal Panchal</t>
        </is>
      </c>
      <c r="BE513" s="53" t="inlineStr">
        <is>
          <t>Vishal Panchal</t>
        </is>
      </c>
      <c r="BF513" s="53" t="inlineStr">
        <is>
          <t>No</t>
        </is>
      </c>
      <c r="BG513" s="53" t="inlineStr">
        <is>
          <t>QA Engineer</t>
        </is>
      </c>
      <c r="BH513" s="53" t="inlineStr">
        <is>
          <t>QA Engineer</t>
        </is>
      </c>
      <c r="BI513" s="53" t="inlineStr">
        <is>
          <t>No</t>
        </is>
      </c>
      <c r="BJ513" s="53" t="inlineStr">
        <is>
          <t>—</t>
        </is>
      </c>
      <c r="BK513" s="53" t="inlineStr">
        <is>
          <t>—</t>
        </is>
      </c>
      <c r="BL513" s="53" t="inlineStr">
        <is>
          <t>—</t>
        </is>
      </c>
      <c r="BM513" s="53" t="inlineStr">
        <is>
          <t>Not a manager</t>
        </is>
      </c>
      <c r="BN513" s="53" t="inlineStr">
        <is>
          <t>—</t>
        </is>
      </c>
      <c r="BO513" s="53" t="inlineStr">
        <is>
          <t>—</t>
        </is>
      </c>
      <c r="BP513" s="53" t="inlineStr">
        <is>
          <t>—</t>
        </is>
      </c>
      <c r="BQ513" s="53" t="inlineStr">
        <is>
          <t>Not a manager</t>
        </is>
      </c>
      <c r="BR513" s="53" t="inlineStr">
        <is>
          <t>—</t>
        </is>
      </c>
      <c r="BS513" s="53" t="inlineStr">
        <is>
          <t>L3 – Professional / Associate</t>
        </is>
      </c>
      <c r="BT513" s="53" t="inlineStr">
        <is>
          <t>L3 – Professional / Associate</t>
        </is>
      </c>
      <c r="BU513" s="53" t="inlineStr">
        <is>
          <t>No designation change — current record value carried forward</t>
        </is>
      </c>
      <c r="BV513" s="53" t="inlineStr">
        <is>
          <t>1. Own end-to-end quality assurance activities for assigned modules and ensure complete functional, regression, and release validation coverage for all planned releases.
2. Ensure that all critical customer-reported defects are incorporated into the regression suite · manual or automated within one sprint of defect resolution.
3. Participate actively in requirement reviews, design discussions, and risk assessments to identify quality concerns early in the development lifecycle.
4. Support release readiness activities by ensuring timely test execution, defect closure tracking, and quality sign-off for production deployments.
5.Contribute to continuous improvement initiatives by identifying opportunities to enhance processes, coverage, efficiency, and overall product quality.</t>
        </is>
      </c>
      <c r="BW513" s="53" t="n"/>
      <c r="BX513" s="53" t="inlineStr">
        <is>
          <t>Europe and United States.</t>
        </is>
      </c>
      <c r="BY513" s="53" t="n"/>
      <c r="BZ513" s="53" t="n"/>
      <c r="CA513" s="53" t="n"/>
      <c r="CB513" s="53" t="n"/>
      <c r="CC513" s="53" t="n"/>
      <c r="CD513" s="53" t="n"/>
      <c r="CE513" s="53" t="n"/>
      <c r="CF513" s="53" t="n"/>
      <c r="CG513" s="53" t="n"/>
      <c r="CH513" s="53" t="n"/>
      <c r="CI513" s="53" t="n"/>
      <c r="CJ513" s="53" t="n"/>
      <c r="CK513" s="53" t="n"/>
      <c r="CL513" s="53" t="n"/>
      <c r="CM513" s="53" t="n"/>
      <c r="CN513" s="53" t="n"/>
      <c r="CO513" s="53" t="n"/>
      <c r="CP513" s="53" t="n"/>
      <c r="CQ513" s="53" t="n"/>
      <c r="CR513" s="53" t="n"/>
      <c r="CS513" s="53" t="n"/>
      <c r="CT513" s="53" t="n"/>
      <c r="CU513" s="53" t="n"/>
      <c r="CV513" s="53" t="n"/>
      <c r="CW513" s="53" t="n"/>
      <c r="CX513" s="53" t="n"/>
      <c r="CY513" s="53" t="n"/>
      <c r="CZ513" s="53" t="n"/>
      <c r="DA513" s="53" t="n"/>
      <c r="DB513" s="53" t="n"/>
      <c r="DC513" s="53" t="n"/>
      <c r="DD513" s="53" t="n"/>
      <c r="DE513" s="53" t="n"/>
      <c r="DF513" s="53" t="n"/>
      <c r="DG513" s="53" t="n"/>
      <c r="DH513" s="53" t="n"/>
      <c r="DI513" s="53" t="n"/>
      <c r="DJ513" s="53" t="n"/>
      <c r="DK513" s="53" t="n"/>
      <c r="DL513" s="53" t="n"/>
      <c r="DM513" s="53" t="n"/>
      <c r="DN513" s="53" t="n"/>
      <c r="DO513" s="53" t="n"/>
      <c r="DP513" s="53" t="n"/>
      <c r="DQ513" s="53" t="n"/>
      <c r="DR513" s="53" t="n"/>
      <c r="DS513" s="53" t="n"/>
      <c r="DT513" s="53" t="n"/>
      <c r="DU513" s="53" t="n"/>
      <c r="DV513" s="53" t="n"/>
      <c r="DW513" s="53" t="n"/>
      <c r="DX513" s="53" t="n"/>
      <c r="DY513" s="53" t="n"/>
      <c r="DZ513" s="53" t="n"/>
      <c r="EA513" s="53" t="n"/>
      <c r="EB513" s="53" t="n"/>
      <c r="EC513" s="53" t="n"/>
      <c r="ED513" s="53" t="n"/>
      <c r="EE513" s="53" t="n"/>
      <c r="EF513" s="53" t="n"/>
      <c r="EG513" s="53" t="n"/>
      <c r="EH513" s="53" t="n"/>
      <c r="EI513" s="53" t="n"/>
      <c r="EJ513" s="53" t="n"/>
      <c r="EK513" s="53" t="n"/>
      <c r="EL513" s="53" t="n"/>
      <c r="EM513" s="53" t="n"/>
      <c r="EN513" s="53" t="n"/>
      <c r="EO513" s="53" t="n"/>
      <c r="EP513" s="53" t="n"/>
      <c r="EQ513" s="53" t="n"/>
      <c r="ER513" s="53" t="n"/>
      <c r="ES513" s="53" t="n"/>
      <c r="ET513" s="53" t="n"/>
      <c r="EU513" s="53" t="n"/>
      <c r="EV513" s="53" t="n"/>
      <c r="EW513" s="52" t="n"/>
      <c r="EX513" s="53" t="inlineStr">
        <is>
          <t>• Role / sub-team: QA.
• Core purpose: Check the product/features and verify that the client's stated requirements are met, finding defects/bugs before the system reaches production.
• Top 5 responsibilities: Write test cases; execute test cases; defect reporting; sprint grooming; replicating live issues.
• Decision-making autonomy: Free to generate test cases and offer suggestions independently.
• What's different about this role: Different products, stories and scenarios depending on the platform.</t>
        </is>
      </c>
      <c r="EY513" s="53" t="inlineStr">
        <is>
          <t>• Key responsibilities include: Test case generation, execution, and defect finding.
• Personally accountable for: Full responsibility for assigned features — test case generation, execution, bug reporting, and closing bugs — across Dev, Stage, and Live platforms.
• Impact if missed or done wrong: Rework and client escalation; release delay.</t>
        </is>
      </c>
      <c r="EZ513" s="53" t="inlineStr">
        <is>
          <t>• Current capabilities: Test case generation; execution; defect reporting; requirement understanding; product knowledge; prioritizing work.
• Tools / software used: Bug-reporting tool; Office 365; Arelle.
• Workload: Rated a heavy load · 4/5 in a typical week.
• How this role compares: Each person's KPI is measured differently, based on individual performance and responsibility; the team covers each other's work.</t>
        </is>
      </c>
      <c r="FA513" s="53" t="inlineStr">
        <is>
          <t>• Development priorities: Automation testing and improved communication skills, to move into the next role.
• Learning and Development Need: Automation testing; database testing; API testing; communication.
• AI Enablement Need: AI prompt engineering and using AI to increase efficiency — has proposed AI-based test case generation as an improvement, and expects new AI tools to be used more in day-to-day work.</t>
        </is>
      </c>
      <c r="FB513" s="53" t="inlineStr">
        <is>
          <t>• Key challenges: Unclear requirements; lack of unit testing.
• Support required: AI-based test case generation, clearer requirements, and unit-tested features.</t>
        </is>
      </c>
      <c r="FC513" s="53" t="n"/>
      <c r="FD513" s="53" t="n"/>
      <c r="FE513" s="57" t="inlineStr">
        <is>
          <t>1. Own end-to-end quality assurance activities for assigned modules and ensure complete functional, regression, and release validation coverage for all planned releases.
2. Ensure that all critical customer-reported defects are incorporated into the regression suite · manual or automated within one sprint of defect resolution.
3. Participate actively in requirement reviews, design discussions, and risk assessments to identify quality concerns early in the development lifecycle.
4. Support release readiness activities by ensuring timely test execution, defect closure tracking, and quality sign-off for production deployments.
5.Contribute to continuous improvement initiatives by identifying opportunities to enhance processes, coverage, efficiency, and overall product quality.</t>
        </is>
      </c>
      <c r="FF513" s="56" t="n"/>
      <c r="FG513" s="56" t="n"/>
      <c r="FH513" s="56" t="n"/>
      <c r="FI513" s="56" t="n"/>
      <c r="FJ513" s="56" t="inlineStr">
        <is>
          <t>Received · manager annual</t>
        </is>
      </c>
      <c r="FK513" s="56" t="inlineStr">
        <is>
          <t>CARBON Mapping Master</t>
        </is>
      </c>
      <c r="FL513" s="56" t="n">
        <v>20</v>
      </c>
      <c r="FM513" s="56" t="inlineStr">
        <is>
          <t>• Role / sub-team: QA.
• Core purpose: Check the product/features and verify that the client's stated requirements are met, finding defects/bugs before the system reaches production.
• Top 5 responsibilities: Write test cases; execute test cases; defect reporting; sprint grooming; replicating live issues.
• Decision-making autonomy: Free to generate test cases and offer suggestions independently.
• What's different about this role: Different products, stories and scenarios depending on the platform.</t>
        </is>
      </c>
      <c r="FN513" s="56" t="inlineStr">
        <is>
          <t>• Key responsibilities include: Test case generation, execution, and defect finding.
• Personally accountable for: Full responsibility for assigned features — test case generation, execution, bug reporting, and closing bugs — across Dev, Stage, and Live platforms.
• Impact if missed or done wrong: Rework and client escalation; release delay.</t>
        </is>
      </c>
      <c r="FO513" s="56" t="inlineStr">
        <is>
          <t>• Current capabilities: Test case generation; execution; defect reporting; requirement understanding; product knowledge; prioritizing work.
• Tools / software used: Bug-reporting tool; Office 365; Arelle.
• Workload: Rated a heavy load · 4/5 in a typical week.
• How this role compares: Each person's KPI is measured differently, based on individual performance and responsibility; the team covers each other's work.</t>
        </is>
      </c>
      <c r="FP513" s="56" t="inlineStr">
        <is>
          <t>• Development priorities: Automation testing and improved communication skills, to move into the next role.
• Learning and Development Need: Automation testing; database testing; API testing; communication.
• AI Enablement Need: AI prompt engineering and using AI to increase efficiency — has proposed AI-based test case generation as an improvement, and expects new AI tools to be used more in day-to-day work.</t>
        </is>
      </c>
      <c r="FQ513" s="56" t="inlineStr">
        <is>
          <t>• Key challenges: Unclear requirements; lack of unit testing.
• Support required: AI-based test case generation, clearer requirements, and unit-tested features.</t>
        </is>
      </c>
      <c r="FR513" s="56" t="inlineStr">
        <is>
          <t>Complexity: Evidence reads like A2: Writes and executes test cases, reports defects, joins sprint grooming, replicates live issues → matches the start
Autonomy: Evidence reads like A2: own survey / KRA answers · summarised by the rater; not quoted → matches the start
Accountability: Evidence reads like A2: Assigned features' test cases, execution and bug closure across Dev, Stage and Live → matches the start
Leadership: Evidence reads like A1: No guiding or leading of others described → matches the start
Business Impact: No survey or manager-mapping signal on criticality: kept at the start point.</t>
        </is>
      </c>
      <c r="FS513" s="56" t="inlineStr">
        <is>
          <t>Common themes in role-holders' answers: software · product · user · quality · works · requirements
Common themes in role-holders' answers: test · regression · defect · case · reporting · execution
Common themes in role-holders' answers: test · quality · reports · cases · product · bug
Common themes in role-holders' answers: accountable · quality · am · test · release · missed
Common themes in role-holders' answers: testing · prioritize · scenarios · independently · cases · routine
If the work is missed · role-holders' themes: rework · production · client · customer.
Measured on · manager-set KRA themes: project · quality · production · knowledge · test.</t>
        </is>
      </c>
      <c r="FT513" s="56" t="inlineStr">
        <is>
          <t>Self-identified: AI / automation · Testing &amp; quality · Communication &amp; presentation
For the next role: AI / automation · Testing &amp; quality · Communication &amp; presentation</t>
        </is>
      </c>
      <c r="FU513" s="56" t="inlineStr">
        <is>
          <t>Per-person summary · CARBON Mapping Master</t>
        </is>
      </c>
    </row>
    <row r="514" ht="90" customHeight="1">
      <c r="A514" s="51" t="inlineStr">
        <is>
          <t>◂ Back</t>
        </is>
      </c>
      <c r="B514" s="29" t="inlineStr">
        <is>
          <t>Mapped</t>
        </is>
      </c>
      <c r="C514" s="28" t="inlineStr">
        <is>
          <t>CARBON</t>
        </is>
      </c>
      <c r="D514" s="29" t="inlineStr">
        <is>
          <t>IRIS2112</t>
        </is>
      </c>
      <c r="E514" s="29" t="inlineStr">
        <is>
          <t>Vitiksha Gamit</t>
        </is>
      </c>
      <c r="F514" s="29" t="inlineStr">
        <is>
          <t>Quality Assurance</t>
        </is>
      </c>
      <c r="G514" s="29" t="inlineStr">
        <is>
          <t>QA Automation Engineer</t>
        </is>
      </c>
      <c r="H514" s="29" t="inlineStr">
        <is>
          <t>Senior QA Automation Engineer</t>
        </is>
      </c>
      <c r="I514" s="29" t="inlineStr">
        <is>
          <t>L3 – Professional / Associate</t>
        </is>
      </c>
      <c r="J514" s="29" t="inlineStr">
        <is>
          <t>A3</t>
        </is>
      </c>
      <c r="K514" s="29" t="inlineStr">
        <is>
          <t>▲ Up</t>
        </is>
      </c>
      <c r="L514" s="29" t="inlineStr">
        <is>
          <t>Quality Assurance</t>
        </is>
      </c>
      <c r="M514" s="29" t="inlineStr">
        <is>
          <t>Test Automation</t>
        </is>
      </c>
      <c r="N514" s="29" t="n"/>
      <c r="O514" s="29" t="n">
        <v>20</v>
      </c>
      <c r="P514" s="28" t="inlineStr">
        <is>
          <t>P2</t>
        </is>
      </c>
      <c r="Q514" s="29" t="inlineStr">
        <is>
          <t>Developing</t>
        </is>
      </c>
      <c r="R514" s="29" t="inlineStr">
        <is>
          <t>3 Apply</t>
        </is>
      </c>
      <c r="S514" s="29" t="inlineStr">
        <is>
          <t>2–4 yrs</t>
        </is>
      </c>
      <c r="T514" s="29" t="inlineStr">
        <is>
          <t>3–5 · 2–5</t>
        </is>
      </c>
      <c r="U514" s="29" t="inlineStr">
        <is>
          <t>QA Engineer</t>
        </is>
      </c>
      <c r="V514" s="29" t="inlineStr">
        <is>
          <t>Workiva: SE · Broadridge India: SE · Nasdaq / AxiomSL: SE · IRIS Vs Market Benchmark — ISTQB certification pathway: Foundation</t>
        </is>
      </c>
      <c r="W514" s="29" t="inlineStr">
        <is>
          <t>ISTQB Foundation → Advanced → Expert; SFIA testing</t>
        </is>
      </c>
      <c r="X514" s="29" t="inlineStr">
        <is>
          <t>Core 2 · Future 2 · Functional 3 · Leadership not scored</t>
        </is>
      </c>
      <c r="Y514" s="52" t="n">
        <v>267</v>
      </c>
      <c r="Z514" s="53" t="inlineStr">
        <is>
          <t>IRIS2112</t>
        </is>
      </c>
      <c r="AA514" s="53" t="inlineStr">
        <is>
          <t>Employee</t>
        </is>
      </c>
      <c r="AB514" s="53" t="inlineStr">
        <is>
          <t>Active</t>
        </is>
      </c>
      <c r="AC514" s="53" t="inlineStr">
        <is>
          <t>Vitiksha Gamit</t>
        </is>
      </c>
      <c r="AD514" s="54" t="n">
        <v>45026</v>
      </c>
      <c r="AE514" s="53" t="inlineStr">
        <is>
          <t>QA Automation Engineer</t>
        </is>
      </c>
      <c r="AF514" s="53" t="inlineStr">
        <is>
          <t>MSC</t>
        </is>
      </c>
      <c r="AG514" s="53" t="inlineStr">
        <is>
          <t>Vinod Katekar</t>
        </is>
      </c>
      <c r="AH514" s="53" t="inlineStr">
        <is>
          <t>N-4</t>
        </is>
      </c>
      <c r="AI514" s="53" t="inlineStr">
        <is>
          <t>Individual Contributor</t>
        </is>
      </c>
      <c r="AJ514" s="53" t="inlineStr">
        <is>
          <t>0 years, 0 months, 0 days</t>
        </is>
      </c>
      <c r="AK514" s="53" t="inlineStr">
        <is>
          <t>3 years, 4 months, 15 days</t>
        </is>
      </c>
      <c r="AL514" s="53" t="inlineStr">
        <is>
          <t>Regtech</t>
        </is>
      </c>
      <c r="AM514" s="53" t="inlineStr">
        <is>
          <t>CARBON</t>
        </is>
      </c>
      <c r="AN514" s="53" t="inlineStr">
        <is>
          <t>Quality Assurance</t>
        </is>
      </c>
      <c r="AO514" s="53" t="inlineStr">
        <is>
          <t>Quality Assurance</t>
        </is>
      </c>
      <c r="AP514" s="53" t="inlineStr">
        <is>
          <t>No</t>
        </is>
      </c>
      <c r="AQ514" s="53" t="inlineStr">
        <is>
          <t>Product/Project</t>
        </is>
      </c>
      <c r="AR514" s="53" t="inlineStr">
        <is>
          <t>Software Testing</t>
        </is>
      </c>
      <c r="AS514" s="53" t="inlineStr">
        <is>
          <t>Technical · BA, PM and QA</t>
        </is>
      </c>
      <c r="AT514" s="53" t="n">
        <v>20</v>
      </c>
      <c r="AU514" s="53" t="inlineStr">
        <is>
          <t>Covered</t>
        </is>
      </c>
      <c r="AV514" s="53" t="inlineStr">
        <is>
          <t>IRIS2112</t>
        </is>
      </c>
      <c r="AW514" s="53" t="inlineStr">
        <is>
          <t>Vitiksha Gamit</t>
        </is>
      </c>
      <c r="AX514" s="53" t="inlineStr">
        <is>
          <t>Technology</t>
        </is>
      </c>
      <c r="AY514" s="53" t="inlineStr">
        <is>
          <t>Quality Assurance</t>
        </is>
      </c>
      <c r="AZ514" s="53" t="inlineStr">
        <is>
          <t>QA Automation</t>
        </is>
      </c>
      <c r="BA514" s="53" t="n"/>
      <c r="BB514" s="53" t="n"/>
      <c r="BC514" s="53" t="inlineStr">
        <is>
          <t>Employee</t>
        </is>
      </c>
      <c r="BD514" s="53" t="inlineStr">
        <is>
          <t>Vinod Katekar</t>
        </is>
      </c>
      <c r="BE514" s="53" t="inlineStr">
        <is>
          <t>Vinod Katekar</t>
        </is>
      </c>
      <c r="BF514" s="53" t="inlineStr">
        <is>
          <t>No</t>
        </is>
      </c>
      <c r="BG514" s="53" t="inlineStr">
        <is>
          <t>QA Automation Engineer</t>
        </is>
      </c>
      <c r="BH514" s="53" t="inlineStr">
        <is>
          <t>QA Automation Engineer</t>
        </is>
      </c>
      <c r="BI514" s="53" t="inlineStr">
        <is>
          <t>No</t>
        </is>
      </c>
      <c r="BJ514" s="53" t="inlineStr">
        <is>
          <t>—</t>
        </is>
      </c>
      <c r="BK514" s="53" t="inlineStr">
        <is>
          <t>—</t>
        </is>
      </c>
      <c r="BL514" s="53" t="inlineStr">
        <is>
          <t>—</t>
        </is>
      </c>
      <c r="BM514" s="53" t="inlineStr">
        <is>
          <t>Not a manager</t>
        </is>
      </c>
      <c r="BN514" s="53" t="inlineStr">
        <is>
          <t>—</t>
        </is>
      </c>
      <c r="BO514" s="53" t="inlineStr">
        <is>
          <t>—</t>
        </is>
      </c>
      <c r="BP514" s="53" t="inlineStr">
        <is>
          <t>—</t>
        </is>
      </c>
      <c r="BQ514" s="53" t="inlineStr">
        <is>
          <t>Not a manager</t>
        </is>
      </c>
      <c r="BR514" s="53" t="inlineStr">
        <is>
          <t>—</t>
        </is>
      </c>
      <c r="BS514" s="53" t="inlineStr">
        <is>
          <t>L3 – Professional / Associate</t>
        </is>
      </c>
      <c r="BT514" s="53" t="inlineStr">
        <is>
          <t>L3 – Professional / Associate</t>
        </is>
      </c>
      <c r="BU514" s="53" t="inlineStr">
        <is>
          <t>No designation change — current record value carried forward</t>
        </is>
      </c>
      <c r="BV514" s="53" t="inlineStr">
        <is>
          <t>1.Increase end-to-end automation coverage across all IRIS CARBON suites · DM, ESG, Carbon from current baseline to ≥ 90% regression coverage by end of FY.
2.Reduce complete regression execution cycle from current baseline to ≤ 5 hours per release through optimized automation framework and parallel execution.
3.Maintain automation delivery lag to maximum 1 sprint behind development for 100% of major feature releases.
4.Reduce escaped production defects / defect leakage by ≥ 70% YoY through stronger regression coverage and proactive defect prevention.
5.Train and certify minimum 5 QA engineers on automation framework, enabling ≥ 50% QA team automation readiness by year-end.
6.Ensure 100% critical customer-reported defects are converted into reusable regression automation test cases within 1 sprint of defect closure.</t>
        </is>
      </c>
      <c r="BW514" s="53" t="n"/>
      <c r="BX514" s="53" t="inlineStr">
        <is>
          <t>Global.</t>
        </is>
      </c>
      <c r="BY514" s="53" t="n"/>
      <c r="BZ514" s="53" t="n"/>
      <c r="CA514" s="53" t="n"/>
      <c r="CB514" s="53" t="n"/>
      <c r="CC514" s="53" t="n"/>
      <c r="CD514" s="53" t="n"/>
      <c r="CE514" s="53" t="n"/>
      <c r="CF514" s="53" t="n"/>
      <c r="CG514" s="53" t="n"/>
      <c r="CH514" s="53" t="n"/>
      <c r="CI514" s="53" t="n"/>
      <c r="CJ514" s="53" t="n"/>
      <c r="CK514" s="53" t="n"/>
      <c r="CL514" s="53" t="n"/>
      <c r="CM514" s="53" t="n"/>
      <c r="CN514" s="53" t="n"/>
      <c r="CO514" s="53" t="n"/>
      <c r="CP514" s="53" t="n"/>
      <c r="CQ514" s="53" t="n"/>
      <c r="CR514" s="53" t="n"/>
      <c r="CS514" s="53" t="n"/>
      <c r="CT514" s="53" t="n"/>
      <c r="CU514" s="53" t="n"/>
      <c r="CV514" s="53" t="n"/>
      <c r="CW514" s="53" t="n"/>
      <c r="CX514" s="53" t="n"/>
      <c r="CY514" s="53" t="n"/>
      <c r="CZ514" s="53" t="n"/>
      <c r="DA514" s="53" t="n"/>
      <c r="DB514" s="53" t="n"/>
      <c r="DC514" s="53" t="n"/>
      <c r="DD514" s="53" t="n"/>
      <c r="DE514" s="53" t="n"/>
      <c r="DF514" s="53" t="n"/>
      <c r="DG514" s="53" t="n"/>
      <c r="DH514" s="53" t="n"/>
      <c r="DI514" s="53" t="n"/>
      <c r="DJ514" s="53" t="n"/>
      <c r="DK514" s="53" t="n"/>
      <c r="DL514" s="53" t="n"/>
      <c r="DM514" s="53" t="n"/>
      <c r="DN514" s="53" t="n"/>
      <c r="DO514" s="53" t="n"/>
      <c r="DP514" s="53" t="n"/>
      <c r="DQ514" s="53" t="n"/>
      <c r="DR514" s="53" t="n"/>
      <c r="DS514" s="53" t="n"/>
      <c r="DT514" s="53" t="n"/>
      <c r="DU514" s="53" t="n"/>
      <c r="DV514" s="53" t="n"/>
      <c r="DW514" s="53" t="n"/>
      <c r="DX514" s="53" t="n"/>
      <c r="DY514" s="53" t="n"/>
      <c r="DZ514" s="53" t="n"/>
      <c r="EA514" s="53" t="n"/>
      <c r="EB514" s="53" t="n"/>
      <c r="EC514" s="53" t="n"/>
      <c r="ED514" s="53" t="n"/>
      <c r="EE514" s="53" t="n"/>
      <c r="EF514" s="53" t="n"/>
      <c r="EG514" s="53" t="n"/>
      <c r="EH514" s="53" t="n"/>
      <c r="EI514" s="53" t="n"/>
      <c r="EJ514" s="53" t="n"/>
      <c r="EK514" s="53" t="n"/>
      <c r="EL514" s="53" t="n"/>
      <c r="EM514" s="53" t="n"/>
      <c r="EN514" s="53" t="n"/>
      <c r="EO514" s="53" t="n"/>
      <c r="EP514" s="53" t="n"/>
      <c r="EQ514" s="53" t="n"/>
      <c r="ER514" s="53" t="n"/>
      <c r="ES514" s="53" t="n"/>
      <c r="ET514" s="53" t="n"/>
      <c r="EU514" s="53" t="n"/>
      <c r="EV514" s="53" t="n"/>
      <c r="EW514" s="52" t="n"/>
      <c r="EX514" s="53" t="inlineStr">
        <is>
          <t>• Role / sub-team: QA Automation.
• Core purpose: Create and maintain automation tests to make sure the application works correctly, reducing manual testing, finding defects early, and improving overall product quality.
• Top 5 responsibilities: Create automation scripts; execute automated test cases; find and report defects; improve automation coverage; reduce manual testing.
• Decision-making autonomy: Has the freedom to try new approaches independently.
• What's different about this role: Can take ownership of new automation tasks and find simple ways to improve existing scripts.</t>
        </is>
      </c>
      <c r="EY514" s="53" t="inlineStr">
        <is>
          <t>• Key responsibilities include: Execution reports from automated testing.
• Personally accountable for: Creating and maintaining automation tests, running them, and reporting defects.
• Impact if missed or done wrong: Can lead to missed defects or test failures, so issues are identified and fixed before release.</t>
        </is>
      </c>
      <c r="EZ514" s="53" t="inlineStr">
        <is>
          <t>• Current capabilities: Maintaining automation frameworks; writing reliable, reusable automation scripts; finding issues early; continuously improving automation.
• Tools / software used: VS Code; Word.
• Workload: Rated a manageable load · 2/5 in a typical week.
• How this role compares: Measured somewhat differently from the rest of the team — mainly on automation coverage, successful test execution, defect detection, and automation improvements.</t>
        </is>
      </c>
      <c r="FA514" s="53" t="inlineStr">
        <is>
          <t>• Development priorities: Wants advanced automation skills and leadership experience to move into the next role.
• Learning and Development Need: Advanced automation skills; leadership exposure.
• AI Enablement Need: AI prompt engineering and using AI to increase efficiency — new automation tools and technologies are entering the role, alongside more framework and automation improvement work.</t>
        </is>
      </c>
      <c r="FB514" s="53" t="inlineStr">
        <is>
          <t>• Key challenges: Unclear requirements.
• Support required: Would like more time to try new automation ideas and improve the framework.</t>
        </is>
      </c>
      <c r="FC514" s="53" t="n"/>
      <c r="FD514" s="53" t="n"/>
      <c r="FE514" s="57" t="inlineStr">
        <is>
          <t>1.Increase end-to-end automation coverage across all IRIS CARBON suites · DM, ESG, Carbon from current baseline to ≥ 90% regression coverage by end of FY.
2.Reduce complete regression execution cycle from current baseline to ≤ 5 hours per release through optimized automation framework and parallel execution.
3.Maintain automation delivery lag to maximum 1 sprint behind development for 100% of major feature releases.
4.Reduce escaped production defects / defect leakage by ≥ 70% YoY through stronger regression coverage and proactive defect prevention.
5.Train and certify minimum 5 QA engineers on automation framework, enabling ≥ 50% QA team automation readiness by year-end.
6.Ensure 100% critical customer-reported defects are converted into reusable regression automation test cases within 1 sprint of defect closure.</t>
        </is>
      </c>
      <c r="FF514" s="56" t="n"/>
      <c r="FG514" s="56" t="n"/>
      <c r="FH514" s="56" t="n"/>
      <c r="FI514" s="56" t="n"/>
      <c r="FJ514" s="56" t="inlineStr">
        <is>
          <t>Received · manager annual</t>
        </is>
      </c>
      <c r="FK514" s="56" t="inlineStr">
        <is>
          <t>CARBON Mapping Master</t>
        </is>
      </c>
      <c r="FL514" s="56" t="n">
        <v>20</v>
      </c>
      <c r="FM514" s="56" t="inlineStr">
        <is>
          <t>• Role / sub-team: QA Automation.
• Core purpose: Create and maintain automation tests to make sure the application works correctly, reducing manual testing, finding defects early, and improving overall product quality.
• Top 5 responsibilities: Create automation scripts; execute automated test cases; find and report defects; improve automation coverage; reduce manual testing.
• Decision-making autonomy: Has the freedom to try new approaches independently.
• What's different about this role: Can take ownership of new automation tasks and find simple ways to improve existing scripts.</t>
        </is>
      </c>
      <c r="FN514" s="56" t="inlineStr">
        <is>
          <t>• Key responsibilities include: Execution reports from automated testing.
• Personally accountable for: Creating and maintaining automation tests, running them, and reporting defects.
• Impact if missed or done wrong: Can lead to missed defects or test failures, so issues are identified and fixed before release.</t>
        </is>
      </c>
      <c r="FO514" s="56" t="inlineStr">
        <is>
          <t>• Current capabilities: Maintaining automation frameworks; writing reliable, reusable automation scripts; finding issues early; continuously improving automation.
• Tools / software used: VS Code; Word.
• Workload: Rated a manageable load · 2/5 in a typical week.
• How this role compares: Measured somewhat differently from the rest of the team — mainly on automation coverage, successful test execution, defect detection, and automation improvements.</t>
        </is>
      </c>
      <c r="FP514" s="56" t="inlineStr">
        <is>
          <t>• Development priorities: Wants advanced automation skills and leadership experience to move into the next role.
• Learning and Development Need: Advanced automation skills; leadership exposure.
• AI Enablement Need: AI prompt engineering and using AI to increase efficiency — new automation tools and technologies are entering the role, alongside more framework and automation improvement work.</t>
        </is>
      </c>
      <c r="FQ514" s="56" t="inlineStr">
        <is>
          <t>• Key challenges: Unclear requirements.
• Support required: Would like more time to try new automation ideas and improve the framework.</t>
        </is>
      </c>
      <c r="FR514" s="56" t="inlineStr">
        <is>
          <t>Complexity: Evidence reads like A2: Creates, maintains and runs automation scripts and reports defects; no harder cases described → moved down 0.5
Autonomy: Evidence reads like A2: Only says 'freedom to try' new approaches; no concrete decisions named → moved down 0.5
Accountability: Evidence reads like A2: Own automation tests, execution reports and defect reports → moved down 0.5
Leadership: Evidence reads like A1: No guiding or leading of others described → moved down 0.5
Business Impact: No survey or manager-mapping signal on criticality: kept at the start point.</t>
        </is>
      </c>
      <c r="FS514" s="56" t="inlineStr">
        <is>
          <t>Common themes in role-holders' answers: early · product · quality · automation · tests · testing
Common themes in role-holders' answers: testing · scripts · defects · testcase · automation · report
Common themes in role-holders' answers: reports · software · scripts · quality · test
Common themes in role-holders' answers: test · automation · quality · accountable · defect · identification
Common themes in role-holders' answers: testing
If the work is missed · role-holders' themes: testing · product · defects.
Measured on · manager-set KRA themes: test coverage · business · automation · knowledge · activities · comprehensive.</t>
        </is>
      </c>
      <c r="FT514" s="56" t="inlineStr">
        <is>
          <t>Self-identified: AI / automation · Leadership &amp; people management
For the next role: AI / automation · Leadership &amp; people management</t>
        </is>
      </c>
      <c r="FU514" s="56" t="inlineStr">
        <is>
          <t>Per-person summary · CARBON Mapping Master</t>
        </is>
      </c>
    </row>
    <row r="515" ht="90" customHeight="1">
      <c r="A515" s="51" t="inlineStr">
        <is>
          <t>◂ Back</t>
        </is>
      </c>
      <c r="B515" s="29" t="inlineStr">
        <is>
          <t>Mapped</t>
        </is>
      </c>
      <c r="C515" s="28" t="inlineStr">
        <is>
          <t>CARBON</t>
        </is>
      </c>
      <c r="D515" s="29" t="inlineStr">
        <is>
          <t>IRIS2153</t>
        </is>
      </c>
      <c r="E515" s="29" t="inlineStr">
        <is>
          <t>Dhaval Lotwala</t>
        </is>
      </c>
      <c r="F515" s="29" t="inlineStr">
        <is>
          <t>Technology</t>
        </is>
      </c>
      <c r="G515" s="29" t="inlineStr">
        <is>
          <t>Senior Business Analyst</t>
        </is>
      </c>
      <c r="H515" s="29" t="inlineStr">
        <is>
          <t>Business Analysis Specialist</t>
        </is>
      </c>
      <c r="I515" s="29" t="inlineStr">
        <is>
          <t>L4 – Senior</t>
        </is>
      </c>
      <c r="J515" s="29" t="inlineStr">
        <is>
          <t>B1</t>
        </is>
      </c>
      <c r="K515" s="29" t="inlineStr">
        <is>
          <t>▲ Up</t>
        </is>
      </c>
      <c r="L515" s="29" t="inlineStr">
        <is>
          <t>Business Analysis</t>
        </is>
      </c>
      <c r="M515" s="29" t="inlineStr">
        <is>
          <t>Business Analysis</t>
        </is>
      </c>
      <c r="N515" s="29" t="n"/>
      <c r="O515" s="29" t="n">
        <v>20</v>
      </c>
      <c r="P515" s="28" t="inlineStr">
        <is>
          <t>P3 / M2</t>
        </is>
      </c>
      <c r="Q515" s="29" t="inlineStr">
        <is>
          <t>Career / · Team Lead</t>
        </is>
      </c>
      <c r="R515" s="29" t="inlineStr">
        <is>
          <t>4 Enable</t>
        </is>
      </c>
      <c r="S515" s="29" t="inlineStr">
        <is>
          <t>4–7 yrs</t>
        </is>
      </c>
      <c r="T515" s="29" t="inlineStr">
        <is>
          <t>5–8 · 4–8</t>
        </is>
      </c>
      <c r="U515" s="29" t="inlineStr">
        <is>
          <t>Senior Business Analyst</t>
        </is>
      </c>
      <c r="V515" s="29" t="inlineStr">
        <is>
          <t>Regnology — regulatory reporting: BA · Reg Reporting · Big Four consulting: Senior Consultant · IRIS Vs Market Benchmark — IIBA certification pathway: CCBA · Infosys / Accenture: JL4 · L9 Consultant</t>
        </is>
      </c>
      <c r="W515" s="29" t="inlineStr">
        <is>
          <t>IIBA BABOK v3; certifications ECBA · entry → CCBA → CBAP · senior</t>
        </is>
      </c>
      <c r="X515" s="29" t="inlineStr">
        <is>
          <t>Core 3 · Future 3 · Functional 3 · Leadership 1</t>
        </is>
      </c>
      <c r="Y515" s="52" t="n">
        <v>283</v>
      </c>
      <c r="Z515" s="53" t="inlineStr">
        <is>
          <t>IRIS2153</t>
        </is>
      </c>
      <c r="AA515" s="53" t="inlineStr">
        <is>
          <t>Employee</t>
        </is>
      </c>
      <c r="AB515" s="53" t="inlineStr">
        <is>
          <t>Active</t>
        </is>
      </c>
      <c r="AC515" s="53" t="inlineStr">
        <is>
          <t>Dhaval Lotwala</t>
        </is>
      </c>
      <c r="AD515" s="54" t="n">
        <v>45110</v>
      </c>
      <c r="AE515" s="53" t="inlineStr">
        <is>
          <t>Senior Business Analyst</t>
        </is>
      </c>
      <c r="AF515" s="53" t="inlineStr">
        <is>
          <t>B.E</t>
        </is>
      </c>
      <c r="AG515" s="53" t="inlineStr">
        <is>
          <t>Prasad Shirke</t>
        </is>
      </c>
      <c r="AH515" s="53" t="inlineStr">
        <is>
          <t>N-3</t>
        </is>
      </c>
      <c r="AI515" s="53" t="inlineStr">
        <is>
          <t>Individual Contributor</t>
        </is>
      </c>
      <c r="AJ515" s="53" t="inlineStr">
        <is>
          <t>8 years, 5 months, 0 days</t>
        </is>
      </c>
      <c r="AK515" s="53" t="inlineStr">
        <is>
          <t>3 years, 1 months, 22 days</t>
        </is>
      </c>
      <c r="AL515" s="53" t="inlineStr">
        <is>
          <t>Regtech</t>
        </is>
      </c>
      <c r="AM515" s="53" t="inlineStr">
        <is>
          <t>CARBON</t>
        </is>
      </c>
      <c r="AN515" s="53" t="inlineStr">
        <is>
          <t>Technology</t>
        </is>
      </c>
      <c r="AO515" s="53" t="inlineStr">
        <is>
          <t>Business Analysis</t>
        </is>
      </c>
      <c r="AP515" s="53" t="inlineStr">
        <is>
          <t>No</t>
        </is>
      </c>
      <c r="AQ515" s="53" t="inlineStr">
        <is>
          <t>Product/Project</t>
        </is>
      </c>
      <c r="AR515" s="53" t="inlineStr">
        <is>
          <t>Business Analysis</t>
        </is>
      </c>
      <c r="AS515" s="53" t="inlineStr">
        <is>
          <t>Technical · BA, PM and QA</t>
        </is>
      </c>
      <c r="AT515" s="53" t="n">
        <v>20</v>
      </c>
      <c r="AU515" s="53" t="inlineStr">
        <is>
          <t>Covered</t>
        </is>
      </c>
      <c r="AV515" s="53" t="inlineStr">
        <is>
          <t>IRIS2153</t>
        </is>
      </c>
      <c r="AW515" s="53" t="inlineStr">
        <is>
          <t>Dhaval Lotwala</t>
        </is>
      </c>
      <c r="AX515" s="53" t="inlineStr">
        <is>
          <t>Technology</t>
        </is>
      </c>
      <c r="AY515" s="53" t="inlineStr">
        <is>
          <t>Business Analysis</t>
        </is>
      </c>
      <c r="AZ515" s="53" t="inlineStr">
        <is>
          <t>Product / Technology Business Analysis</t>
        </is>
      </c>
      <c r="BA515" s="53" t="n"/>
      <c r="BB515" s="53" t="n"/>
      <c r="BC515" s="53" t="inlineStr">
        <is>
          <t>Employee</t>
        </is>
      </c>
      <c r="BD515" s="53" t="inlineStr">
        <is>
          <t>Prasad Shirke</t>
        </is>
      </c>
      <c r="BE515" s="53" t="inlineStr">
        <is>
          <t>Prasad Shirke</t>
        </is>
      </c>
      <c r="BF515" s="53" t="inlineStr">
        <is>
          <t>No</t>
        </is>
      </c>
      <c r="BG515" s="53" t="inlineStr">
        <is>
          <t>Senior Business Analyst</t>
        </is>
      </c>
      <c r="BH515" s="53" t="inlineStr">
        <is>
          <t>Senior Business Analyst</t>
        </is>
      </c>
      <c r="BI515" s="53" t="inlineStr">
        <is>
          <t>No</t>
        </is>
      </c>
      <c r="BJ515" s="53" t="inlineStr">
        <is>
          <t>—</t>
        </is>
      </c>
      <c r="BK515" s="53" t="inlineStr">
        <is>
          <t>—</t>
        </is>
      </c>
      <c r="BL515" s="53" t="inlineStr">
        <is>
          <t>—</t>
        </is>
      </c>
      <c r="BM515" s="53" t="inlineStr">
        <is>
          <t>Not a manager</t>
        </is>
      </c>
      <c r="BN515" s="53" t="inlineStr">
        <is>
          <t>—</t>
        </is>
      </c>
      <c r="BO515" s="53" t="inlineStr">
        <is>
          <t>—</t>
        </is>
      </c>
      <c r="BP515" s="53" t="inlineStr">
        <is>
          <t>—</t>
        </is>
      </c>
      <c r="BQ515" s="53" t="inlineStr">
        <is>
          <t>Not a manager</t>
        </is>
      </c>
      <c r="BR515" s="53" t="inlineStr">
        <is>
          <t>—</t>
        </is>
      </c>
      <c r="BS515" s="53" t="inlineStr">
        <is>
          <t>L4 – Senior</t>
        </is>
      </c>
      <c r="BT515" s="53" t="inlineStr">
        <is>
          <t>L4 – Senior</t>
        </is>
      </c>
      <c r="BU515" s="53" t="inlineStr">
        <is>
          <t>No designation change — current record value carried forward</t>
        </is>
      </c>
      <c r="BV515" s="53" t="inlineStr">
        <is>
          <t>1.Ensure ≥ 95% user stories are prepared before development start with complete business requirements, acceptance criteria, dependencies, and edge-case coverage.
2.Improve sprint planning effectiveness by ensuring 100% stories are grooming-ready before sprint planning, reducing last-minute clarifications and spillovers.
3.Reduce requirement-related rework and repeated effort by ≥ 70% YoY through better analysis and documentation.
4.Improve requirement communication quality to achieve ≥ 80% reduction in clarification loops during development.
5.Ensure ≥ 90% test cases are prepared before QA execution with proper coverage of positive, negative, and edge scenarios.
6.Improve productivity and task turnaround by reducing story preparation cycle time by ≥ 80%.</t>
        </is>
      </c>
      <c r="BW515" s="53" t="n"/>
      <c r="BX515" s="53" t="inlineStr">
        <is>
          <t>Global.</t>
        </is>
      </c>
      <c r="BY515" s="53" t="n"/>
      <c r="BZ515" s="53" t="n"/>
      <c r="CA515" s="53" t="n"/>
      <c r="CB515" s="53" t="n"/>
      <c r="CC515" s="53" t="n"/>
      <c r="CD515" s="53" t="n"/>
      <c r="CE515" s="53" t="n"/>
      <c r="CF515" s="53" t="n"/>
      <c r="CG515" s="53" t="n"/>
      <c r="CH515" s="53" t="n"/>
      <c r="CI515" s="53" t="n"/>
      <c r="CJ515" s="53" t="n"/>
      <c r="CK515" s="53" t="n"/>
      <c r="CL515" s="53" t="n"/>
      <c r="CM515" s="53" t="n"/>
      <c r="CN515" s="53" t="n"/>
      <c r="CO515" s="53" t="n"/>
      <c r="CP515" s="53" t="n"/>
      <c r="CQ515" s="53" t="n"/>
      <c r="CR515" s="53" t="n"/>
      <c r="CS515" s="53" t="n"/>
      <c r="CT515" s="53" t="n"/>
      <c r="CU515" s="53" t="n"/>
      <c r="CV515" s="53" t="n"/>
      <c r="CW515" s="53" t="n"/>
      <c r="CX515" s="53" t="n"/>
      <c r="CY515" s="53" t="n"/>
      <c r="CZ515" s="53" t="n"/>
      <c r="DA515" s="53" t="n"/>
      <c r="DB515" s="53" t="n"/>
      <c r="DC515" s="53" t="n"/>
      <c r="DD515" s="53" t="n"/>
      <c r="DE515" s="53" t="n"/>
      <c r="DF515" s="53" t="n"/>
      <c r="DG515" s="53" t="n"/>
      <c r="DH515" s="53" t="n"/>
      <c r="DI515" s="53" t="n"/>
      <c r="DJ515" s="53" t="n"/>
      <c r="DK515" s="53" t="n"/>
      <c r="DL515" s="53" t="n"/>
      <c r="DM515" s="53" t="n"/>
      <c r="DN515" s="53" t="n"/>
      <c r="DO515" s="53" t="n"/>
      <c r="DP515" s="53" t="n"/>
      <c r="DQ515" s="53" t="n"/>
      <c r="DR515" s="53" t="n"/>
      <c r="DS515" s="53" t="n"/>
      <c r="DT515" s="53" t="n"/>
      <c r="DU515" s="53" t="n"/>
      <c r="DV515" s="53" t="n"/>
      <c r="DW515" s="53" t="n"/>
      <c r="DX515" s="53" t="n"/>
      <c r="DY515" s="53" t="n"/>
      <c r="DZ515" s="53" t="n"/>
      <c r="EA515" s="53" t="n"/>
      <c r="EB515" s="53" t="n"/>
      <c r="EC515" s="53" t="n"/>
      <c r="ED515" s="53" t="n"/>
      <c r="EE515" s="53" t="n"/>
      <c r="EF515" s="53" t="n"/>
      <c r="EG515" s="53" t="n"/>
      <c r="EH515" s="53" t="n"/>
      <c r="EI515" s="53" t="n"/>
      <c r="EJ515" s="53" t="n"/>
      <c r="EK515" s="53" t="n"/>
      <c r="EL515" s="53" t="n"/>
      <c r="EM515" s="53" t="n"/>
      <c r="EN515" s="53" t="n"/>
      <c r="EO515" s="53" t="n"/>
      <c r="EP515" s="53" t="n"/>
      <c r="EQ515" s="53" t="n"/>
      <c r="ER515" s="53" t="n"/>
      <c r="ES515" s="53" t="n"/>
      <c r="ET515" s="53" t="n"/>
      <c r="EU515" s="53" t="n"/>
      <c r="EV515" s="53" t="n"/>
      <c r="EW515" s="52" t="n"/>
      <c r="EX515" s="53" t="inlineStr">
        <is>
          <t>• Role / sub-team: Technology — Senior Business Analyst.
• Core purpose: To improve the productivity, communicate with multiple teams to improved inter team collaboration and felicitate agile workflow to the product team.
• Decision-making autonomy: Can independently stakeholder communication; Defining system flow.
• Is this something only they do: A few of us
Inter team communication
Requirement analysis.
• What's different about this role: Preparing mock up that will give more clear idea of requirement and recently preparing working model that helps with basic code that will help developers to minimize their work; Using AI to understand and translate the requirements in more efficient way; Connect with individual team members to understand what difficulties they are facing to achieve timely delivery and trying to overcome.</t>
        </is>
      </c>
      <c r="EY515" s="53" t="inlineStr">
        <is>
          <t>• Key responsibilities include: Stakeholder communication; Story writing; Requirement analysis; User stories; Acceptance criteria.
• Personally accountable for: Discrepancy between Requirement and actual outcome.
• Impact if missed or done wrong: Cannot match client expectation, eventually we can loose the one.
• How measured: Same as everyone.</t>
        </is>
      </c>
      <c r="EZ515" s="53" t="inlineStr">
        <is>
          <t>• Current capabilities: AI - mockup preparation; clear acceptance criteria.
• Tools / software used: Lovable; Copilot; Figma; VS code; Quickscrum.
• Workload: Rated a moderate load · 3/5 in a typical week.
• Judgment/way of working: Interpersonal skill to understand what difficulties team members are facing to achieve their define goal or deliverables and helping them with best possible information or detailing.</t>
        </is>
      </c>
      <c r="FA515" s="53" t="inlineStr">
        <is>
          <t>• Development priorities: CSPO Certification.
• Learning and Development Need: Domain. Domain knowledge.
• Role evolving toward: Yes AI tools help me to present clear requirement to the team.</t>
        </is>
      </c>
      <c r="FB515" s="53" t="inlineStr">
        <is>
          <t>• Key challenges: Thinking of developers.
• Support required: Think before start working.</t>
        </is>
      </c>
      <c r="FC515" s="53" t="n"/>
      <c r="FD515" s="53" t="n"/>
      <c r="FE515" s="57" t="inlineStr">
        <is>
          <t>1.Ensure ≥ 95% user stories are prepared before development start with complete business requirements, acceptance criteria, dependencies, and edge-case coverage.
2.Improve sprint planning effectiveness by ensuring 100% stories are grooming-ready before sprint planning, reducing last-minute clarifications and spillovers.
3.Reduce requirement-related rework and repeated effort by ≥ 70% YoY through better analysis and documentation.
4.Improve requirement communication quality to achieve ≥ 80% reduction in clarification loops during development.
5.Ensure ≥ 90% test cases are prepared before QA execution with proper coverage of positive, negative, and edge scenarios.
6.Improve productivity and task turnaround by reducing story preparation cycle time by ≥ 80%.</t>
        </is>
      </c>
      <c r="FF515" s="56" t="n"/>
      <c r="FG515" s="56" t="n"/>
      <c r="FH515" s="56" t="n"/>
      <c r="FI515" s="56" t="n"/>
      <c r="FJ515" s="56" t="inlineStr">
        <is>
          <t>Received · manager annual</t>
        </is>
      </c>
      <c r="FK515" s="56" t="inlineStr">
        <is>
          <t>CARBON Mapping Master</t>
        </is>
      </c>
      <c r="FL515" s="56" t="n">
        <v>20</v>
      </c>
      <c r="FM515" s="56" t="inlineStr">
        <is>
          <t>• Role / sub-team: Technology — Senior Business Analyst.
• Core purpose: To improve the productivity, communicate with multiple teams to improved inter team collaboration and felicitate agile workflow to the product team.
• Decision-making autonomy: Can independently stakeholder communication; Defining system flow.
• Is this something only they do: A few of us
Inter team communication
Requirement analysis.
• What's different about this role: Preparing mock up that will give more clear idea of requirement and recently preparing working model that helps with basic code that will help developers to minimize their work; Using AI to understand and translate the requirements in more efficient way; Connect with individual team members to understand what difficulties they are facing to achieve timely delivery and trying to overcome.</t>
        </is>
      </c>
      <c r="FN515" s="56" t="inlineStr">
        <is>
          <t>• Key responsibilities include: Stakeholder communication; Story writing; Requirement analysis; User stories; Acceptance criteria.
• Personally accountable for: Discrepancy between Requirement and actual outcome.
• Impact if missed or done wrong: Cannot match client expectation, eventually we can loose the one.
• How measured: Same as everyone.</t>
        </is>
      </c>
      <c r="FO515" s="56" t="inlineStr">
        <is>
          <t>• Current capabilities: AI - mockup preparation; clear acceptance criteria.
• Tools / software used: Lovable; Copilot; Figma; VS code; Quickscrum.
• Workload: Rated a moderate load · 3/5 in a typical week.
• Judgment/way of working: Interpersonal skill to understand what difficulties team members are facing to achieve their define goal or deliverables and helping them with best possible information or detailing.</t>
        </is>
      </c>
      <c r="FP515" s="56" t="inlineStr">
        <is>
          <t>• Development priorities: CSPO Certification.
• Learning and Development Need: Domain. Domain knowledge.
• Role evolving toward: Yes AI tools help me to present clear requirement to the team.</t>
        </is>
      </c>
      <c r="FQ515" s="56" t="inlineStr">
        <is>
          <t>• Key challenges: Thinking of developers.
• Support required: Think before start working.</t>
        </is>
      </c>
      <c r="FR515" s="56" t="inlineStr">
        <is>
          <t>Complexity: Evidence reads like A3: own survey / KRA answers · summarised by the rater; not quoted → moved down 0.5
Autonomy: Evidence reads like A3: Decides stakeholder communication and system flow definition → moved down 0.5
Accountability: Evidence reads like A3: own survey / KRA answers · summarised by the rater; not quoted → moved down 0.5
Leadership: Evidence reads like A2: Checks in with team members on blockers and helps with detail → moved down 0.5
Business Impact: No survey or manager-mapping signal on criticality: kept at the start point.</t>
        </is>
      </c>
      <c r="FS515" s="56" t="inlineStr">
        <is>
          <t>Common themes in role-holders' answers: business · smooth · between · client · am · requirements
Common themes in role-holders' answers: requirement · stakeholder · gathering · client · project · portfolio
Common themes in role-holders' answers: product · regulator
Common themes in role-holders' answers: requirement · client · time · issue · assigned
Common themes in role-holders' answers: documentation
If the work is missed · role-holders' themes: client · delivery · escalation · unresolved · without.
Measured on · manager-set KRA themes: releases · satisfaction · delivery · assigned · requirement.</t>
        </is>
      </c>
      <c r="FT515" s="56" t="inlineStr">
        <is>
          <t>Self-identified: Certification / formal course
For the next role: Certification / formal course</t>
        </is>
      </c>
      <c r="FU515" s="56" t="inlineStr">
        <is>
          <t>Per-person summary · CARBON Mapping Master</t>
        </is>
      </c>
    </row>
    <row r="516" ht="90" customHeight="1">
      <c r="A516" s="51" t="inlineStr">
        <is>
          <t>◂ Back</t>
        </is>
      </c>
      <c r="B516" s="29" t="inlineStr">
        <is>
          <t>Mapped</t>
        </is>
      </c>
      <c r="C516" s="28" t="inlineStr">
        <is>
          <t>CARBON</t>
        </is>
      </c>
      <c r="D516" s="29" t="inlineStr">
        <is>
          <t>IRIS2284</t>
        </is>
      </c>
      <c r="E516" s="29" t="inlineStr">
        <is>
          <t>Saniya Baxi</t>
        </is>
      </c>
      <c r="F516" s="29" t="inlineStr">
        <is>
          <t>Technology</t>
        </is>
      </c>
      <c r="G516" s="29" t="inlineStr">
        <is>
          <t>Trainee Business Analyst</t>
        </is>
      </c>
      <c r="H516" s="29" t="inlineStr">
        <is>
          <t>Business Analyst</t>
        </is>
      </c>
      <c r="I516" s="29" t="inlineStr">
        <is>
          <t>L2 – Trainee</t>
        </is>
      </c>
      <c r="J516" s="29" t="inlineStr">
        <is>
          <t>A2</t>
        </is>
      </c>
      <c r="K516" s="29" t="inlineStr">
        <is>
          <t>▲ Up</t>
        </is>
      </c>
      <c r="L516" s="29" t="inlineStr">
        <is>
          <t>Business Analysis</t>
        </is>
      </c>
      <c r="M516" s="29" t="inlineStr">
        <is>
          <t>Business Analysis</t>
        </is>
      </c>
      <c r="N516" s="29" t="n"/>
      <c r="O516" s="29" t="n">
        <v>20</v>
      </c>
      <c r="P516" s="28" t="inlineStr">
        <is>
          <t>P1–P2</t>
        </is>
      </c>
      <c r="Q516" s="29" t="inlineStr">
        <is>
          <t>Entry / Developing</t>
        </is>
      </c>
      <c r="R516" s="29" t="inlineStr">
        <is>
          <t>2 Assist</t>
        </is>
      </c>
      <c r="S516" s="29" t="inlineStr">
        <is>
          <t>0–2 yrs</t>
        </is>
      </c>
      <c r="T516" s="29" t="inlineStr">
        <is>
          <t>1–3 · 0–3</t>
        </is>
      </c>
      <c r="U516" s="29" t="inlineStr">
        <is>
          <t>Associate Business Analyst / Business Analyst</t>
        </is>
      </c>
      <c r="V516" s="29" t="inlineStr">
        <is>
          <t>Big Four consulting: Analyst · IRIS Vs Market Benchmark — IIBA certification pathway: ECBA · Infosys / Accenture: JL3B · L11 Analyst</t>
        </is>
      </c>
      <c r="W516" s="29" t="inlineStr">
        <is>
          <t>IIBA BABOK v3; certifications ECBA · entry → CCBA → CBAP · senior</t>
        </is>
      </c>
      <c r="X516" s="29" t="inlineStr">
        <is>
          <t>Core 2 · Future 2 · Functional 2 · Leadership not scored</t>
        </is>
      </c>
      <c r="Y516" s="52" t="n">
        <v>329</v>
      </c>
      <c r="Z516" s="53" t="inlineStr">
        <is>
          <t>IRIS2284</t>
        </is>
      </c>
      <c r="AA516" s="53" t="inlineStr">
        <is>
          <t>Employee</t>
        </is>
      </c>
      <c r="AB516" s="53" t="inlineStr">
        <is>
          <t>Active</t>
        </is>
      </c>
      <c r="AC516" s="53" t="inlineStr">
        <is>
          <t>Saniya Baxi</t>
        </is>
      </c>
      <c r="AD516" s="54" t="n">
        <v>45474</v>
      </c>
      <c r="AE516" s="53" t="inlineStr">
        <is>
          <t>Trainee Business Analyst</t>
        </is>
      </c>
      <c r="AF516" s="53" t="inlineStr">
        <is>
          <t>Bachelor of Science</t>
        </is>
      </c>
      <c r="AG516" s="53" t="inlineStr">
        <is>
          <t>Prasad Shirke</t>
        </is>
      </c>
      <c r="AH516" s="53" t="inlineStr">
        <is>
          <t>N-3</t>
        </is>
      </c>
      <c r="AI516" s="53" t="inlineStr">
        <is>
          <t>Individual Contributor</t>
        </is>
      </c>
      <c r="AJ516" s="53" t="inlineStr">
        <is>
          <t>0 years, 0 months, 0 days</t>
        </is>
      </c>
      <c r="AK516" s="53" t="inlineStr">
        <is>
          <t>2 years, 1 months, 24 days</t>
        </is>
      </c>
      <c r="AL516" s="53" t="inlineStr">
        <is>
          <t>Regtech</t>
        </is>
      </c>
      <c r="AM516" s="53" t="inlineStr">
        <is>
          <t>CARBON</t>
        </is>
      </c>
      <c r="AN516" s="53" t="inlineStr">
        <is>
          <t>Technology</t>
        </is>
      </c>
      <c r="AO516" s="53" t="inlineStr">
        <is>
          <t>Business Analysis</t>
        </is>
      </c>
      <c r="AP516" s="53" t="inlineStr">
        <is>
          <t>No</t>
        </is>
      </c>
      <c r="AQ516" s="53" t="inlineStr">
        <is>
          <t>Product/Project</t>
        </is>
      </c>
      <c r="AR516" s="53" t="inlineStr">
        <is>
          <t>Business Analysis</t>
        </is>
      </c>
      <c r="AS516" s="53" t="inlineStr">
        <is>
          <t>Technical · BA, PM and QA</t>
        </is>
      </c>
      <c r="AT516" s="53" t="n">
        <v>20</v>
      </c>
      <c r="AU516" s="53" t="inlineStr">
        <is>
          <t>Covered</t>
        </is>
      </c>
      <c r="AV516" s="53" t="inlineStr">
        <is>
          <t>IRIS2284</t>
        </is>
      </c>
      <c r="AW516" s="53" t="inlineStr">
        <is>
          <t>Saniya Baxi</t>
        </is>
      </c>
      <c r="AX516" s="53" t="inlineStr">
        <is>
          <t>Technology</t>
        </is>
      </c>
      <c r="AY516" s="53" t="inlineStr">
        <is>
          <t>Business Analysis</t>
        </is>
      </c>
      <c r="AZ516" s="53" t="inlineStr">
        <is>
          <t>Product / Technology Business Analysis</t>
        </is>
      </c>
      <c r="BA516" s="53" t="n"/>
      <c r="BB516" s="53" t="n"/>
      <c r="BC516" s="53" t="inlineStr">
        <is>
          <t>Employee</t>
        </is>
      </c>
      <c r="BD516" s="53" t="inlineStr">
        <is>
          <t>Prasad Shirke</t>
        </is>
      </c>
      <c r="BE516" s="53" t="inlineStr">
        <is>
          <t>Prasad Shirke</t>
        </is>
      </c>
      <c r="BF516" s="53" t="inlineStr">
        <is>
          <t>No</t>
        </is>
      </c>
      <c r="BG516" s="53" t="inlineStr">
        <is>
          <t>Trainee Business Analyst</t>
        </is>
      </c>
      <c r="BH516" s="53" t="inlineStr">
        <is>
          <t>Trainee Business Analyst</t>
        </is>
      </c>
      <c r="BI516" s="53" t="inlineStr">
        <is>
          <t>No</t>
        </is>
      </c>
      <c r="BJ516" s="53" t="inlineStr">
        <is>
          <t>—</t>
        </is>
      </c>
      <c r="BK516" s="53" t="inlineStr">
        <is>
          <t>—</t>
        </is>
      </c>
      <c r="BL516" s="53" t="inlineStr">
        <is>
          <t>—</t>
        </is>
      </c>
      <c r="BM516" s="53" t="inlineStr">
        <is>
          <t>Not a manager</t>
        </is>
      </c>
      <c r="BN516" s="53" t="inlineStr">
        <is>
          <t>—</t>
        </is>
      </c>
      <c r="BO516" s="53" t="inlineStr">
        <is>
          <t>—</t>
        </is>
      </c>
      <c r="BP516" s="53" t="inlineStr">
        <is>
          <t>—</t>
        </is>
      </c>
      <c r="BQ516" s="53" t="inlineStr">
        <is>
          <t>Not a manager</t>
        </is>
      </c>
      <c r="BR516" s="53" t="inlineStr">
        <is>
          <t>—</t>
        </is>
      </c>
      <c r="BS516" s="53" t="inlineStr">
        <is>
          <t>L2 – Trainee</t>
        </is>
      </c>
      <c r="BT516" s="53" t="inlineStr">
        <is>
          <t>L2 – Trainee</t>
        </is>
      </c>
      <c r="BU516" s="53" t="inlineStr">
        <is>
          <t>No designation change — current record value carried forward</t>
        </is>
      </c>
      <c r="BV516" s="53" t="inlineStr">
        <is>
          <t>1.Ensure ≥ 95% user stories for ESG module are documented with complete business rules, acceptance criteria, dependencies, and edge cases before sprint planning.
2.Reduce requirement clarification gaps and requirement-related rework by ≥ 40% YoY through better analysis and documentation.
3.Improve sprint planning effectiveness and support ≥ 85% sprint commitment accuracy for ESG deliveries.
4.Strengthen technical understanding · API flows, database basics, architecture, product workflows and contribute meaningfully to ≥ 70% technical discussions.
5.Conduct regular sprint planning, grooming, and stakeholder coordination sessions with improved efficiency and communication.
6.Take ownership of minimum 2–3 process improvement initiatives annually · story templates, sprint dashboards, requirement quality improvements, reporting automation, etc..</t>
        </is>
      </c>
      <c r="BW516" s="53" t="n"/>
      <c r="BX516" s="53" t="inlineStr">
        <is>
          <t>Global; US EU BR.</t>
        </is>
      </c>
      <c r="BY516" s="53" t="n"/>
      <c r="BZ516" s="53" t="n"/>
      <c r="CA516" s="53" t="n"/>
      <c r="CB516" s="53" t="n"/>
      <c r="CC516" s="53" t="n"/>
      <c r="CD516" s="53" t="n"/>
      <c r="CE516" s="53" t="n"/>
      <c r="CF516" s="53" t="n"/>
      <c r="CG516" s="53" t="n"/>
      <c r="CH516" s="53" t="n"/>
      <c r="CI516" s="53" t="n"/>
      <c r="CJ516" s="53" t="n"/>
      <c r="CK516" s="53" t="n"/>
      <c r="CL516" s="53" t="n"/>
      <c r="CM516" s="53" t="n"/>
      <c r="CN516" s="53" t="n"/>
      <c r="CO516" s="53" t="n"/>
      <c r="CP516" s="53" t="n"/>
      <c r="CQ516" s="53" t="n"/>
      <c r="CR516" s="53" t="n"/>
      <c r="CS516" s="53" t="n"/>
      <c r="CT516" s="53" t="n"/>
      <c r="CU516" s="53" t="n"/>
      <c r="CV516" s="53" t="n"/>
      <c r="CW516" s="53" t="n"/>
      <c r="CX516" s="53" t="n"/>
      <c r="CY516" s="53" t="n"/>
      <c r="CZ516" s="53" t="n"/>
      <c r="DA516" s="53" t="n"/>
      <c r="DB516" s="53" t="n"/>
      <c r="DC516" s="53" t="n"/>
      <c r="DD516" s="53" t="n"/>
      <c r="DE516" s="53" t="n"/>
      <c r="DF516" s="53" t="n"/>
      <c r="DG516" s="53" t="n"/>
      <c r="DH516" s="53" t="n"/>
      <c r="DI516" s="53" t="n"/>
      <c r="DJ516" s="53" t="n"/>
      <c r="DK516" s="53" t="n"/>
      <c r="DL516" s="53" t="n"/>
      <c r="DM516" s="53" t="n"/>
      <c r="DN516" s="53" t="n"/>
      <c r="DO516" s="53" t="n"/>
      <c r="DP516" s="53" t="n"/>
      <c r="DQ516" s="53" t="n"/>
      <c r="DR516" s="53" t="n"/>
      <c r="DS516" s="53" t="n"/>
      <c r="DT516" s="53" t="n"/>
      <c r="DU516" s="53" t="n"/>
      <c r="DV516" s="53" t="n"/>
      <c r="DW516" s="53" t="n"/>
      <c r="DX516" s="53" t="n"/>
      <c r="DY516" s="53" t="n"/>
      <c r="DZ516" s="53" t="n"/>
      <c r="EA516" s="53" t="n"/>
      <c r="EB516" s="53" t="n"/>
      <c r="EC516" s="53" t="n"/>
      <c r="ED516" s="53" t="n"/>
      <c r="EE516" s="53" t="n"/>
      <c r="EF516" s="53" t="n"/>
      <c r="EG516" s="53" t="n"/>
      <c r="EH516" s="53" t="n"/>
      <c r="EI516" s="53" t="n"/>
      <c r="EJ516" s="53" t="n"/>
      <c r="EK516" s="53" t="n"/>
      <c r="EL516" s="53" t="n"/>
      <c r="EM516" s="53" t="n"/>
      <c r="EN516" s="53" t="n"/>
      <c r="EO516" s="53" t="n"/>
      <c r="EP516" s="53" t="n"/>
      <c r="EQ516" s="53" t="n"/>
      <c r="ER516" s="53" t="n"/>
      <c r="ES516" s="53" t="n"/>
      <c r="ET516" s="53" t="n"/>
      <c r="EU516" s="53" t="n"/>
      <c r="EV516" s="53" t="n"/>
      <c r="EW516" s="52" t="n"/>
      <c r="EX516" s="53" t="inlineStr">
        <is>
          <t>• Role / sub-team: Technology — Trainee Business Analyst.
• Core purpose: Ensuring that the needs and road-blocks of the end users are communicated correctly across all teams in a structured and well-defined manner.  Translating wants into full-fledged features.
• Decision-making autonomy: Can independently brainstorming user flows.
• Is this something only they do: A few of us.
• What's different about this role: End-to-end ownership and flat structure. As long as you’ve a clear idea, you can take it from pilot to delivery.</t>
        </is>
      </c>
      <c r="EY516" s="53" t="inlineStr">
        <is>
          <t>• Key responsibilities include: Stakeholder communication; Documenting workflows; Prototyping; UAT end to end delivery.
• Personally accountable for: That what the business truly needs is correctly infused in the product. Any escalations or major issues that are communicated to me.
• Impact if missed or done wrong: Development and client delivery timelines may get messed up.; If complexity in products is missed in the discovery/discussion phase, it leads to continuous reworks and may lead to burnout from all ends.
• How measured: Same as everyone.</t>
        </is>
      </c>
      <c r="EZ516" s="53" t="inlineStr">
        <is>
          <t>• Current capabilities: Requirement analysis; AI-based Prototyping; Sprint-based workflow.
• Tools / software used: Figma; Agile tool; Excel.
• Workload: Rated a heavy load · 4/5 in a typical week.
• Judgment/way of working: Being empathetic and figuring out ways that provides end results and may help reduce effort.; Understanding why something is needed instead of simply doing it.; Truly listening and asking questions in the beginning.</t>
        </is>
      </c>
      <c r="FA516" s="53" t="inlineStr">
        <is>
          <t>• Development priorities: Proper certification wrt agile · CSM etc. would help. 
Exposure to data analysis knowledge &amp; tools for better decision making.
• Learning and Development Need: Trust esp in freshers; Interaction opportunities. Involve your mentors. Don’t be scared of speaking up even if you did something incorrectly. Ask for the right approach to do it.
• Role evolving toward: It has become more AI-assisted. AI does the grunt work - drafting documents/preparing prototypes. More time can be devoted to actual thinking, analysis, and planning.</t>
        </is>
      </c>
      <c r="FB516" s="53" t="inlineStr">
        <is>
          <t>• Key challenges: Changing priorities; Lack of ownership; Unclear responsibilities.
• Support required: Data-driven decision making and approach. Anything that needs to be built should have sufficient data on why it needs to be built to avoid ghost features and optimize product delivery time.</t>
        </is>
      </c>
      <c r="FC516" s="53" t="n"/>
      <c r="FD516" s="53" t="n"/>
      <c r="FE516" s="57" t="inlineStr">
        <is>
          <t>1.Ensure ≥ 95% user stories for ESG module are documented with complete business rules, acceptance criteria, dependencies, and edge cases before sprint planning.
2.Reduce requirement clarification gaps and requirement-related rework by ≥ 40% YoY through better analysis and documentation.
3.Improve sprint planning effectiveness and support ≥ 85% sprint commitment accuracy for ESG deliveries.
4.Strengthen technical understanding · API flows, database basics, architecture, product workflows and contribute meaningfully to ≥ 70% technical discussions.
5.Conduct regular sprint planning, grooming, and stakeholder coordination sessions with improved efficiency and communication.
6.Take ownership of minimum 2–3 process improvement initiatives annually · story templates, sprint dashboards, requirement quality improvements, reporting automation, etc..</t>
        </is>
      </c>
      <c r="FF516" s="56" t="n"/>
      <c r="FG516" s="56" t="n"/>
      <c r="FH516" s="56" t="n"/>
      <c r="FI516" s="56" t="n"/>
      <c r="FJ516" s="56" t="inlineStr">
        <is>
          <t>Received · manager annual</t>
        </is>
      </c>
      <c r="FK516" s="56" t="inlineStr">
        <is>
          <t>CARBON Mapping Master</t>
        </is>
      </c>
      <c r="FL516" s="56" t="n">
        <v>20</v>
      </c>
      <c r="FM516" s="56" t="inlineStr">
        <is>
          <t>• Role / sub-team: Technology — Trainee Business Analyst.
• Core purpose: Ensuring that the needs and road-blocks of the end users are communicated correctly across all teams in a structured and well-defined manner.  Translating wants into full-fledged features.
• Decision-making autonomy: Can independently brainstorming user flows.
• Is this something only they do: A few of us.
• What's different about this role: End-to-end ownership and flat structure. As long as you’ve a clear idea, you can take it from pilot to delivery.</t>
        </is>
      </c>
      <c r="FN516" s="56" t="inlineStr">
        <is>
          <t>• Key responsibilities include: Stakeholder communication; Documenting workflows; Prototyping; UAT end to end delivery.
• Personally accountable for: That what the business truly needs is correctly infused in the product. Any escalations or major issues that are communicated to me.
• Impact if missed or done wrong: Development and client delivery timelines may get messed up.; If complexity in products is missed in the discovery/discussion phase, it leads to continuous reworks and may lead to burnout from all ends.
• How measured: Same as everyone.</t>
        </is>
      </c>
      <c r="FO516" s="56" t="inlineStr">
        <is>
          <t>• Current capabilities: Requirement analysis; AI-based Prototyping; Sprint-based workflow.
• Tools / software used: Figma; Agile tool; Excel.
• Workload: Rated a heavy load · 4/5 in a typical week.
• Judgment/way of working: Being empathetic and figuring out ways that provides end results and may help reduce effort.; Understanding why something is needed instead of simply doing it.; Truly listening and asking questions in the beginning.</t>
        </is>
      </c>
      <c r="FP516" s="56" t="inlineStr">
        <is>
          <t>• Development priorities: Proper certification wrt agile · CSM etc. would help. 
Exposure to data analysis knowledge &amp; tools for better decision making.
• Learning and Development Need: Trust esp in freshers; Interaction opportunities. Involve your mentors. Don’t be scared of speaking up even if you did something incorrectly. Ask for the right approach to do it.
• Role evolving toward: It has become more AI-assisted. AI does the grunt work - drafting documents/preparing prototypes. More time can be devoted to actual thinking, analysis, and planning.</t>
        </is>
      </c>
      <c r="FQ516" s="56" t="inlineStr">
        <is>
          <t>• Key challenges: Changing priorities; Lack of ownership; Unclear responsibilities.
• Support required: Data-driven decision making and approach. Anything that needs to be built should have sufficient data on why it needs to be built to avoid ghost features and optimize product delivery time.</t>
        </is>
      </c>
      <c r="FR516" s="56" t="inlineStr">
        <is>
          <t>Complexity: Evidence reads like A3: BRDs, user stories, Figma prototypes and UAT through delivery; handles escalations raised to them → moved up 1
Autonomy: Evidence reads like A2: Only 'brainstorming user flows' named as an independent decision → moved up 0.5
Accountability: Evidence reads like A2: That business needs are correctly captured in the product requirements → moved up 0.5
Leadership: Evidence reads like A1: None described → matches the start
Business Impact: No survey or manager-mapping signal on criticality: kept at the start point.</t>
        </is>
      </c>
      <c r="FS516" s="56" t="inlineStr">
        <is>
          <t>Common themes in sub-family holders, all levels' answers: business · requirements · bridge · analyst · between · technical
Common themes in sub-family holders, all levels' answers: requirement · documentation · stakeholder · client · gathering · analysis
Common themes in sub-family holders, all levels' answers: product · user stories · requirements · process · client · deliver
Common themes in sub-family holders, all levels' answers: requirements · accountable · documentation · delivery · am · business
Common themes in sub-family holders, all levels' answers: requirements · user · documentation · process · stories · assign
If the work is missed · role-holders' themes: client · rework · delays.</t>
        </is>
      </c>
      <c r="FT516" s="56" t="inlineStr">
        <is>
          <t>Self-identified: Project / programme management · Data, SQL &amp; analytics · Product &amp; tool knowledge · Strategy &amp; business acumen · Certification / formal course · Broader exposure &amp; ownership
For the next role: Project / programme management · Data, SQL &amp; analytics · Product &amp; tool knowledge · Strategy &amp; business acumen · Certification / formal course · Broader exposure &amp; ownership</t>
        </is>
      </c>
      <c r="FU516" s="56" t="inlineStr">
        <is>
          <t>Per-person summary · CARBON Mapping Master</t>
        </is>
      </c>
    </row>
    <row r="517" ht="90" customHeight="1">
      <c r="A517" s="51" t="inlineStr">
        <is>
          <t>◂ Back</t>
        </is>
      </c>
      <c r="B517" s="29" t="inlineStr">
        <is>
          <t>Mapped</t>
        </is>
      </c>
      <c r="C517" s="28" t="inlineStr">
        <is>
          <t>CARBON</t>
        </is>
      </c>
      <c r="D517" s="29" t="inlineStr">
        <is>
          <t>IRIS1986</t>
        </is>
      </c>
      <c r="E517" s="29" t="inlineStr">
        <is>
          <t>Sarfaraz Badi</t>
        </is>
      </c>
      <c r="F517" s="29" t="inlineStr">
        <is>
          <t>Technology</t>
        </is>
      </c>
      <c r="G517" s="29" t="inlineStr">
        <is>
          <t>Lead Software Engineer</t>
        </is>
      </c>
      <c r="H517" s="29" t="inlineStr">
        <is>
          <t>Lead Software Engineer – POD Lead</t>
        </is>
      </c>
      <c r="I517" s="29" t="inlineStr">
        <is>
          <t>L5 – Lead · IC</t>
        </is>
      </c>
      <c r="J517" s="29" t="inlineStr">
        <is>
          <t>B2</t>
        </is>
      </c>
      <c r="K517" s="29" t="inlineStr">
        <is>
          <t>• Same level</t>
        </is>
      </c>
      <c r="L517" s="29" t="inlineStr">
        <is>
          <t>Engineering &amp; Development</t>
        </is>
      </c>
      <c r="M517" s="29" t="inlineStr">
        <is>
          <t>Backend Development</t>
        </is>
      </c>
      <c r="N517" s="29" t="n"/>
      <c r="O517" s="29" t="n">
        <v>20</v>
      </c>
      <c r="P517" s="28" t="inlineStr">
        <is>
          <t>P4 / M3</t>
        </is>
      </c>
      <c r="Q517" s="29" t="inlineStr">
        <is>
          <t>Senior / Manager</t>
        </is>
      </c>
      <c r="R517" s="29" t="inlineStr">
        <is>
          <t>4–5</t>
        </is>
      </c>
      <c r="S517" s="29" t="inlineStr">
        <is>
          <t>6–9 yrs</t>
        </is>
      </c>
      <c r="T517" s="29" t="inlineStr">
        <is>
          <t>7–10 · 6–11</t>
        </is>
      </c>
      <c r="U517" s="29" t="inlineStr">
        <is>
          <t>Principal Engineer</t>
        </is>
      </c>
      <c r="V517" s="29" t="inlineStr">
        <is>
          <t>Workiva: Senior SE · Broadridge India: Lead SE · Nasdaq / AxiomSL: Senior SE · Salesforce: SMTS · Atlassian: P50 Senior · 6–12 yrs · Freshworks: Lead SE</t>
        </is>
      </c>
      <c r="W517" s="29" t="inlineStr">
        <is>
          <t>SFIA 9 · software development, programming; OWASP secure coding; cloud vendor certifications</t>
        </is>
      </c>
      <c r="X517" s="29" t="inlineStr">
        <is>
          <t>Core 3 · Future 3 · Functional 4 · Leadership 3</t>
        </is>
      </c>
      <c r="Y517" s="52" t="n">
        <v>208</v>
      </c>
      <c r="Z517" s="53" t="inlineStr">
        <is>
          <t>IRIS1986</t>
        </is>
      </c>
      <c r="AA517" s="53" t="inlineStr">
        <is>
          <t>Employee</t>
        </is>
      </c>
      <c r="AB517" s="53" t="inlineStr">
        <is>
          <t>Active</t>
        </is>
      </c>
      <c r="AC517" s="53" t="inlineStr">
        <is>
          <t>Sarfaraz Badi</t>
        </is>
      </c>
      <c r="AD517" s="54" t="n">
        <v>44593</v>
      </c>
      <c r="AE517" s="53" t="inlineStr">
        <is>
          <t>Lead Software Engineer</t>
        </is>
      </c>
      <c r="AF517" s="53" t="inlineStr">
        <is>
          <t>MCA</t>
        </is>
      </c>
      <c r="AG517" s="53" t="inlineStr">
        <is>
          <t>Ashish Singhvi</t>
        </is>
      </c>
      <c r="AH517" s="53" t="inlineStr">
        <is>
          <t>N-2</t>
        </is>
      </c>
      <c r="AI517" s="53" t="inlineStr">
        <is>
          <t>Manager</t>
        </is>
      </c>
      <c r="AJ517" s="53" t="inlineStr">
        <is>
          <t>9 years, 0 months, 0 days</t>
        </is>
      </c>
      <c r="AK517" s="53" t="inlineStr">
        <is>
          <t>4 years, 6 months, 24 days</t>
        </is>
      </c>
      <c r="AL517" s="53" t="inlineStr">
        <is>
          <t>Regtech</t>
        </is>
      </c>
      <c r="AM517" s="53" t="inlineStr">
        <is>
          <t>CARBON</t>
        </is>
      </c>
      <c r="AN517" s="53" t="inlineStr">
        <is>
          <t>Technology</t>
        </is>
      </c>
      <c r="AO517" s="53" t="inlineStr">
        <is>
          <t>Development</t>
        </is>
      </c>
      <c r="AP517" s="53" t="inlineStr">
        <is>
          <t>Yes</t>
        </is>
      </c>
      <c r="AQ517" s="53" t="inlineStr">
        <is>
          <t>Product/Project</t>
        </is>
      </c>
      <c r="AR517" s="53" t="inlineStr">
        <is>
          <t>.NET MVC</t>
        </is>
      </c>
      <c r="AS517" s="53" t="inlineStr">
        <is>
          <t>Technical - Developer</t>
        </is>
      </c>
      <c r="AT517" s="53" t="n">
        <v>20</v>
      </c>
      <c r="AU517" s="53" t="inlineStr">
        <is>
          <t>Covered</t>
        </is>
      </c>
      <c r="AV517" s="53" t="inlineStr">
        <is>
          <t>IRIS1986</t>
        </is>
      </c>
      <c r="AW517" s="53" t="inlineStr">
        <is>
          <t>Sarfaraz Badi</t>
        </is>
      </c>
      <c r="AX517" s="53" t="inlineStr">
        <is>
          <t>Technology</t>
        </is>
      </c>
      <c r="AY517" s="53" t="inlineStr">
        <is>
          <t>Engineering &amp; Development</t>
        </is>
      </c>
      <c r="AZ517" s="53" t="inlineStr">
        <is>
          <t>Full-Stack Engineering</t>
        </is>
      </c>
      <c r="BA517" s="53" t="n"/>
      <c r="BB517" s="53" t="n"/>
      <c r="BC517" s="53" t="inlineStr">
        <is>
          <t>Employee</t>
        </is>
      </c>
      <c r="BD517" s="53" t="inlineStr">
        <is>
          <t>Ashish Singhvi</t>
        </is>
      </c>
      <c r="BE517" s="53" t="inlineStr">
        <is>
          <t>Ashish Singhvi</t>
        </is>
      </c>
      <c r="BF517" s="53" t="inlineStr">
        <is>
          <t>No</t>
        </is>
      </c>
      <c r="BG517" s="53" t="inlineStr">
        <is>
          <t>Lead Software Engineer</t>
        </is>
      </c>
      <c r="BH517" s="53" t="inlineStr">
        <is>
          <t>Lead Software Engineer</t>
        </is>
      </c>
      <c r="BI517" s="53" t="inlineStr">
        <is>
          <t>No</t>
        </is>
      </c>
      <c r="BJ517" s="53" t="n">
        <v>4</v>
      </c>
      <c r="BK517" s="53" t="n">
        <v>4</v>
      </c>
      <c r="BL517" s="53" t="n">
        <v>0</v>
      </c>
      <c r="BM517" s="53" t="inlineStr">
        <is>
          <t>Review</t>
        </is>
      </c>
      <c r="BN517" s="53" t="n">
        <v>4</v>
      </c>
      <c r="BO517" s="53" t="n">
        <v>4</v>
      </c>
      <c r="BP517" s="53" t="n">
        <v>0</v>
      </c>
      <c r="BQ517" s="53" t="inlineStr">
        <is>
          <t>Review</t>
        </is>
      </c>
      <c r="BR517" s="53" t="inlineStr">
        <is>
          <t>No</t>
        </is>
      </c>
      <c r="BS517" s="53" t="inlineStr">
        <is>
          <t>L5 – Lead · IC</t>
        </is>
      </c>
      <c r="BT517" s="53" t="inlineStr">
        <is>
          <t>L5 – Lead · IC</t>
        </is>
      </c>
      <c r="BU517" s="53" t="inlineStr">
        <is>
          <t>No designation change — current record value carried forward</t>
        </is>
      </c>
      <c r="BV517" s="53" t="inlineStr">
        <is>
          <t>1.Improve engineering fundamentals and ensure ≥ 90% assigned deliverables meet expected quality standards without missing basic validations.
2.Reduce rework and repeated corrections by ≥ 60% YoY through better analysis, review, and validation before delivery.
3.Improve delivery ownership by completing ≥ 85% assigned tasks within committed timelines with minimal managerial follow-up.
4.Improve first-time-right delivery quality to ≥ 85%, reducing repeated clarification and reimplementation effort.
5.Improve collaboration and communication with team members, reducing delivery escalations and coordination issues by ≥ 40% YoY.
6.Rebuild technical credibility by contributing meaningfully to ≥ 40% design / technical discussions and demonstrating improved problem-solving ability.
7.Take ownership of and deliver minimum 2–3 improvement initiatives annually · automation, reusable utility, process optimization, documentation, or productivity enhancement to improve team efficiency.</t>
        </is>
      </c>
      <c r="BW517" s="53" t="n"/>
      <c r="BX517" s="53" t="inlineStr">
        <is>
          <t>Global.</t>
        </is>
      </c>
      <c r="BY517" s="53" t="n"/>
      <c r="BZ517" s="53" t="n"/>
      <c r="CA517" s="53" t="n"/>
      <c r="CB517" s="53" t="n"/>
      <c r="CC517" s="53" t="n"/>
      <c r="CD517" s="53" t="n"/>
      <c r="CE517" s="53" t="n"/>
      <c r="CF517" s="53" t="n"/>
      <c r="CG517" s="53" t="n"/>
      <c r="CH517" s="53" t="n"/>
      <c r="CI517" s="53" t="n"/>
      <c r="CJ517" s="53" t="n"/>
      <c r="CK517" s="53" t="n"/>
      <c r="CL517" s="53" t="n"/>
      <c r="CM517" s="53" t="n"/>
      <c r="CN517" s="53" t="n"/>
      <c r="CO517" s="53" t="n"/>
      <c r="CP517" s="53" t="n"/>
      <c r="CQ517" s="53" t="n"/>
      <c r="CR517" s="53" t="n"/>
      <c r="CS517" s="53" t="n"/>
      <c r="CT517" s="53" t="n"/>
      <c r="CU517" s="53" t="n"/>
      <c r="CV517" s="53" t="n"/>
      <c r="CW517" s="53" t="n"/>
      <c r="CX517" s="53" t="n"/>
      <c r="CY517" s="53" t="n"/>
      <c r="CZ517" s="53" t="n"/>
      <c r="DA517" s="53" t="n"/>
      <c r="DB517" s="53" t="n"/>
      <c r="DC517" s="53" t="n"/>
      <c r="DD517" s="53" t="n"/>
      <c r="DE517" s="53" t="n"/>
      <c r="DF517" s="53" t="n"/>
      <c r="DG517" s="53" t="n"/>
      <c r="DH517" s="53" t="n"/>
      <c r="DI517" s="53" t="n"/>
      <c r="DJ517" s="53" t="n"/>
      <c r="DK517" s="53" t="n"/>
      <c r="DL517" s="53" t="n"/>
      <c r="DM517" s="53" t="n"/>
      <c r="DN517" s="53" t="n"/>
      <c r="DO517" s="53" t="n"/>
      <c r="DP517" s="53" t="n"/>
      <c r="DQ517" s="53" t="n"/>
      <c r="DR517" s="53" t="n"/>
      <c r="DS517" s="53" t="n"/>
      <c r="DT517" s="53" t="n"/>
      <c r="DU517" s="53" t="n"/>
      <c r="DV517" s="53" t="n"/>
      <c r="DW517" s="53" t="n"/>
      <c r="DX517" s="53" t="n"/>
      <c r="DY517" s="53" t="n"/>
      <c r="DZ517" s="53" t="n"/>
      <c r="EA517" s="53" t="n"/>
      <c r="EB517" s="53" t="n"/>
      <c r="EC517" s="53" t="n"/>
      <c r="ED517" s="53" t="n"/>
      <c r="EE517" s="53" t="n"/>
      <c r="EF517" s="53" t="n"/>
      <c r="EG517" s="53" t="n"/>
      <c r="EH517" s="53" t="n"/>
      <c r="EI517" s="53" t="n"/>
      <c r="EJ517" s="53" t="n"/>
      <c r="EK517" s="53" t="n"/>
      <c r="EL517" s="53" t="n"/>
      <c r="EM517" s="53" t="n"/>
      <c r="EN517" s="53" t="n"/>
      <c r="EO517" s="53" t="n"/>
      <c r="EP517" s="53" t="n"/>
      <c r="EQ517" s="53" t="n"/>
      <c r="ER517" s="53" t="n"/>
      <c r="ES517" s="53" t="n"/>
      <c r="ET517" s="53" t="n"/>
      <c r="EU517" s="53" t="n"/>
      <c r="EV517" s="53" t="n"/>
      <c r="EW517" s="52" t="n"/>
      <c r="EX517" s="53" t="inlineStr">
        <is>
          <t>• Role / sub-team: Technology — Lead Software Engineer.
• Core purpose: To provide technical leadership and build scalable reliable solutions while helping to team and high quality productivity and continues improvement in engineering practices and skills.
• Decision-making autonomy: Can independently technical decision; implementation approach; AI based technology selec; development priority; problem resolution.
• Is this something only they do: A few of us; a few of us - Code review.
• What's different about this role: Learn new skills like AI, cross team dependencies, higher ownership and architecture responsibility; Greater technical complexity, cross-team dependencies, higher ownership, and broader architectural responsibility.</t>
        </is>
      </c>
      <c r="EY517" s="53" t="inlineStr">
        <is>
          <t>• Key responsibilities include: End to end delivery; good Team leadership; Technical strategy; ownership; guide to team members.
• Personally accountable for: I am personally accountable for technical design, quality, successful delivery of the solution, technical decision , code quality  and ensure team delivery efficiency and contribute skill to comapny.
• Impact if missed or done wrong: Missed or incorrect work can lead to bugs, rework and production issues and impact on the team or company or client.
• How measured: My performance is measured on delivery, technical quality, architecture, ownership, and team impact, with expectations varying based on the complexity and scope of the role.</t>
        </is>
      </c>
      <c r="EZ517" s="53" t="inlineStr">
        <is>
          <t>• Current capabilities: Technical skills and lead; Knowledge sharing; learn and implement.
• Tools / software used: AI-Assisted Development; AI Code Review; Prompt Engineering; Claude AI.
• Workload: Rated a heavy load · 4/5 in a typical week.
• Judgment/way of working: Strong ownership, correct decision, proactive problem-solving, and balancing technical quality with business priorities and delivery; Time management and priority, ownership of end to end delivery.</t>
        </is>
      </c>
      <c r="FA517" s="53" t="inlineStr">
        <is>
          <t>• Development priorities: Ownership, AI Skills and Architecture Exposure.
• Learning and Development Need: AI training and support; support from senior. I had understood the business context and priorities, enabling broader ownership, faster decisions, and greater impact.
• Role evolving toward: Advance AI adoption skills, evolving technologies and increased focus on scalable and strategic solutions.</t>
        </is>
      </c>
      <c r="FB517" s="53" t="inlineStr">
        <is>
          <t>• Key challenges: Unclear requirements; Manual processes; Context switching.
• Support required: AI based training; Clearer ownership, stronger decision-making authority; streamlined processes.</t>
        </is>
      </c>
      <c r="FC517" s="53" t="n"/>
      <c r="FD517" s="53" t="n"/>
      <c r="FE517" s="57" t="inlineStr">
        <is>
          <t>1.Improve engineering fundamentals and ensure ≥ 90% assigned deliverables meet expected quality standards without missing basic validations.
2.Reduce rework and repeated corrections by ≥ 60% YoY through better analysis, review, and validation before delivery.
3.Improve delivery ownership by completing ≥ 85% assigned tasks within committed timelines with minimal managerial follow-up.
4.Improve first-time-right delivery quality to ≥ 85%, reducing repeated clarification and reimplementation effort.
5.Improve collaboration and communication with team members, reducing delivery escalations and coordination issues by ≥ 40% YoY.
6.Rebuild technical credibility by contributing meaningfully to ≥ 40% design / technical discussions and demonstrating improved problem-solving ability.
7.Take ownership of and deliver minimum 2–3 improvement initiatives annually · automation, reusable utility, process optimization, documentation, or productivity enhancement to improve team efficiency.</t>
        </is>
      </c>
      <c r="FF517" s="56" t="n"/>
      <c r="FG517" s="56" t="n"/>
      <c r="FH517" s="56" t="n"/>
      <c r="FI517" s="56" t="n"/>
      <c r="FJ517" s="56" t="inlineStr">
        <is>
          <t>Received · manager annual</t>
        </is>
      </c>
      <c r="FK517" s="56" t="inlineStr">
        <is>
          <t>CARBON Mapping Master</t>
        </is>
      </c>
      <c r="FL517" s="56" t="n">
        <v>20</v>
      </c>
      <c r="FM517" s="56" t="inlineStr">
        <is>
          <t>• Role / sub-team: Technology — Lead Software Engineer.
• Core purpose: To provide technical leadership and build scalable reliable solutions while helping to team and high quality productivity and continues improvement in engineering practices and skills.
• Decision-making autonomy: Can independently technical decision; implementation approach; AI based technology selec; development priority; problem resolution.
• Is this something only they do: A few of us; a few of us - Code review.
• What's different about this role: Learn new skills like AI, cross team dependencies, higher ownership and architecture responsibility; Greater technical complexity, cross-team dependencies, higher ownership, and broader architectural responsibility.</t>
        </is>
      </c>
      <c r="FN517" s="56" t="inlineStr">
        <is>
          <t>• Key responsibilities include: End to end delivery; good Team leadership; Technical strategy; ownership; guide to team members.
• Personally accountable for: I am personally accountable for technical design, quality, successful delivery of the solution, technical decision , code quality  and ensure team delivery efficiency and contribute skill to comapny.
• Impact if missed or done wrong: Missed or incorrect work can lead to bugs, rework and production issues and impact on the team or company or client.
• How measured: My performance is measured on delivery, technical quality, architecture, ownership, and team impact, with expectations varying based on the complexity and scope of the role.</t>
        </is>
      </c>
      <c r="FO517" s="56" t="inlineStr">
        <is>
          <t>• Current capabilities: Technical skills and lead; Knowledge sharing; learn and implement.
• Tools / software used: AI-Assisted Development; AI Code Review; Prompt Engineering; Claude AI.
• Workload: Rated a heavy load · 4/5 in a typical week.
• Judgment/way of working: Strong ownership, correct decision, proactive problem-solving, and balancing technical quality with business priorities and delivery; Time management and priority, ownership of end to end delivery.</t>
        </is>
      </c>
      <c r="FP517" s="56" t="inlineStr">
        <is>
          <t>• Development priorities: Ownership, AI Skills and Architecture Exposure.
• Learning and Development Need: AI training and support; support from senior. I had understood the business context and priorities, enabling broader ownership, faster decisions, and greater impact.
• Role evolving toward: Advance AI adoption skills, evolving technologies and increased focus on scalable and strategic solutions.</t>
        </is>
      </c>
      <c r="FQ517" s="56" t="inlineStr">
        <is>
          <t>• Key challenges: Unclear requirements; Manual processes; Context switching.
• Support required: AI based training; Clearer ownership, stronger decision-making authority; streamlined processes.</t>
        </is>
      </c>
      <c r="FR517" s="56" t="inlineStr">
        <is>
          <t>Complexity: Evidence reads like B2: Technical design and leadership; cross-team dependencies, architecture responsibility, AI technology selection → moved down 0.5
Autonomy: Evidence reads like B1: Decides implementation approach, AI technology selection, development priority, problem resolution → moved down 1
Accountability: Evidence reads like B1: Technical design, code quality and team delivery efficiency for a 3-person team → moved down 0.5
Leadership: Evidence reads like B1: Team leadership and guiding team members; code review; 3 direct reports → moved down 0.5
Business Impact: No survey or manager-mapping signal on criticality: kept at the start point.</t>
        </is>
      </c>
      <c r="FS517" s="56" t="inlineStr">
        <is>
          <t>Common themes in role-holders' answers: solutions · technical · reliable · scalable · software · business
Common themes in role-holders' answers: delivery · technical · code · solution design · ownership · leadership
Common themes in role-holders' answers: documentation · features · software · produce · deliver
Common themes in role-holders' answers: design · am · accountable · solution · technical · delivery
Common themes in role-holders' answers: technical · approach · design · implementation · ai · code
If the work is missed · role-holders' themes: rework · client · impact · production · issues.
Measured on · manager-set KRA themes: modules · coverage · complete · components · committed · sprint.</t>
        </is>
      </c>
      <c r="FT517" s="56" t="inlineStr">
        <is>
          <t>Self-identified: AI / automation · Technical depth &amp; architecture · Broader exposure &amp; ownership
For the next role: AI / automation · Technical depth &amp; architecture · Broader exposure &amp; ownership</t>
        </is>
      </c>
      <c r="FU517" s="56" t="inlineStr">
        <is>
          <t>Per-person summary · CARBON Mapping Master</t>
        </is>
      </c>
    </row>
    <row r="518" ht="90" customHeight="1">
      <c r="A518" s="51" t="inlineStr">
        <is>
          <t>◂ Back</t>
        </is>
      </c>
      <c r="B518" s="29" t="inlineStr">
        <is>
          <t>Mapped</t>
        </is>
      </c>
      <c r="C518" s="28" t="inlineStr">
        <is>
          <t>CARBON</t>
        </is>
      </c>
      <c r="D518" s="29" t="inlineStr">
        <is>
          <t>IRIS2440</t>
        </is>
      </c>
      <c r="E518" s="29" t="inlineStr">
        <is>
          <t>Aniket Kale</t>
        </is>
      </c>
      <c r="F518" s="29" t="inlineStr">
        <is>
          <t>Technology</t>
        </is>
      </c>
      <c r="G518" s="29" t="inlineStr">
        <is>
          <t>Senior Software Engineer</t>
        </is>
      </c>
      <c r="H518" s="29" t="inlineStr">
        <is>
          <t>Senior Software Engineer</t>
        </is>
      </c>
      <c r="I518" s="29" t="inlineStr">
        <is>
          <t>L4 – Senior</t>
        </is>
      </c>
      <c r="J518" s="29" t="inlineStr">
        <is>
          <t>A3</t>
        </is>
      </c>
      <c r="K518" s="29" t="inlineStr">
        <is>
          <t>• Same level</t>
        </is>
      </c>
      <c r="L518" s="29" t="inlineStr">
        <is>
          <t>Engineering &amp; Development</t>
        </is>
      </c>
      <c r="M518" s="29" t="inlineStr">
        <is>
          <t>Backend Development</t>
        </is>
      </c>
      <c r="N518" s="29" t="n"/>
      <c r="O518" s="29" t="n">
        <v>20</v>
      </c>
      <c r="P518" s="28" t="inlineStr">
        <is>
          <t>P2</t>
        </is>
      </c>
      <c r="Q518" s="29" t="inlineStr">
        <is>
          <t>Developing</t>
        </is>
      </c>
      <c r="R518" s="29" t="inlineStr">
        <is>
          <t>3 Apply</t>
        </is>
      </c>
      <c r="S518" s="29" t="inlineStr">
        <is>
          <t>2–4 yrs</t>
        </is>
      </c>
      <c r="T518" s="29" t="inlineStr">
        <is>
          <t>3–5 · 2–5</t>
        </is>
      </c>
      <c r="U518" s="29" t="inlineStr">
        <is>
          <t>Software Engineer</t>
        </is>
      </c>
      <c r="V518" s="29" t="inlineStr">
        <is>
          <t>Workiva: SE · Broadridge India: SE · Nasdaq / AxiomSL: SE · Salesforce: MTS · Atlassian: P40 · 3–7 yrs · Freshworks: Senior SE</t>
        </is>
      </c>
      <c r="W518" s="29" t="inlineStr">
        <is>
          <t>SFIA 9 · software development, programming; OWASP secure coding; cloud vendor certifications</t>
        </is>
      </c>
      <c r="X518" s="29" t="inlineStr">
        <is>
          <t>Core 2 · Future 2 · Functional 3 · Leadership not scored</t>
        </is>
      </c>
      <c r="Y518" s="52" t="n">
        <v>407</v>
      </c>
      <c r="Z518" s="53" t="inlineStr">
        <is>
          <t>IRIS2440</t>
        </is>
      </c>
      <c r="AA518" s="53" t="inlineStr">
        <is>
          <t>Employee</t>
        </is>
      </c>
      <c r="AB518" s="53" t="inlineStr">
        <is>
          <t>Active</t>
        </is>
      </c>
      <c r="AC518" s="53" t="inlineStr">
        <is>
          <t>Aniket Kale</t>
        </is>
      </c>
      <c r="AD518" s="54" t="n">
        <v>45952</v>
      </c>
      <c r="AE518" s="53" t="inlineStr">
        <is>
          <t>Senior Software Engineer</t>
        </is>
      </c>
      <c r="AF518" s="53" t="inlineStr">
        <is>
          <t>B.E</t>
        </is>
      </c>
      <c r="AG518" s="53" t="inlineStr">
        <is>
          <t>Sarfaraz Badi</t>
        </is>
      </c>
      <c r="AH518" s="53" t="inlineStr">
        <is>
          <t>N-3</t>
        </is>
      </c>
      <c r="AI518" s="53" t="inlineStr">
        <is>
          <t>Individual Contributor</t>
        </is>
      </c>
      <c r="AJ518" s="53" t="inlineStr">
        <is>
          <t>6 years, 0 months, 0 days</t>
        </is>
      </c>
      <c r="AK518" s="53" t="inlineStr">
        <is>
          <t>0 years, 10 months, 3 days</t>
        </is>
      </c>
      <c r="AL518" s="53" t="inlineStr">
        <is>
          <t>Regtech</t>
        </is>
      </c>
      <c r="AM518" s="53" t="inlineStr">
        <is>
          <t>CARBON</t>
        </is>
      </c>
      <c r="AN518" s="53" t="inlineStr">
        <is>
          <t>Technology</t>
        </is>
      </c>
      <c r="AO518" s="53" t="inlineStr">
        <is>
          <t>Development</t>
        </is>
      </c>
      <c r="AP518" s="53" t="inlineStr">
        <is>
          <t>Yes</t>
        </is>
      </c>
      <c r="AQ518" s="53" t="inlineStr">
        <is>
          <t>Product/Project</t>
        </is>
      </c>
      <c r="AR518" s="53" t="inlineStr">
        <is>
          <t>.NET MVC</t>
        </is>
      </c>
      <c r="AS518" s="53" t="inlineStr">
        <is>
          <t>Technical - Developer</t>
        </is>
      </c>
      <c r="AT518" s="53" t="n">
        <v>20</v>
      </c>
      <c r="AU518" s="53" t="inlineStr">
        <is>
          <t>Covered</t>
        </is>
      </c>
      <c r="AV518" s="53" t="inlineStr">
        <is>
          <t>IRIS2440</t>
        </is>
      </c>
      <c r="AW518" s="53" t="inlineStr">
        <is>
          <t>Aniket Kale</t>
        </is>
      </c>
      <c r="AX518" s="53" t="inlineStr">
        <is>
          <t>Technology</t>
        </is>
      </c>
      <c r="AY518" s="53" t="inlineStr">
        <is>
          <t>Engineering &amp; Development</t>
        </is>
      </c>
      <c r="AZ518" s="53" t="inlineStr">
        <is>
          <t>Full-Stack Engineering</t>
        </is>
      </c>
      <c r="BA518" s="53" t="n"/>
      <c r="BB518" s="53" t="n"/>
      <c r="BC518" s="53" t="inlineStr">
        <is>
          <t>Employee</t>
        </is>
      </c>
      <c r="BD518" s="53" t="inlineStr">
        <is>
          <t>Sarfaraz Badi</t>
        </is>
      </c>
      <c r="BE518" s="53" t="inlineStr">
        <is>
          <t>Sarfaraz Badi</t>
        </is>
      </c>
      <c r="BF518" s="53" t="inlineStr">
        <is>
          <t>No</t>
        </is>
      </c>
      <c r="BG518" s="53" t="inlineStr">
        <is>
          <t>Senior Software Engineer</t>
        </is>
      </c>
      <c r="BH518" s="53" t="inlineStr">
        <is>
          <t>Senior Software Engineer</t>
        </is>
      </c>
      <c r="BI518" s="53" t="inlineStr">
        <is>
          <t>No</t>
        </is>
      </c>
      <c r="BJ518" s="53" t="inlineStr">
        <is>
          <t>—</t>
        </is>
      </c>
      <c r="BK518" s="53" t="inlineStr">
        <is>
          <t>—</t>
        </is>
      </c>
      <c r="BL518" s="53" t="inlineStr">
        <is>
          <t>—</t>
        </is>
      </c>
      <c r="BM518" s="53" t="inlineStr">
        <is>
          <t>Not a manager</t>
        </is>
      </c>
      <c r="BN518" s="53" t="inlineStr">
        <is>
          <t>—</t>
        </is>
      </c>
      <c r="BO518" s="53" t="inlineStr">
        <is>
          <t>—</t>
        </is>
      </c>
      <c r="BP518" s="53" t="inlineStr">
        <is>
          <t>—</t>
        </is>
      </c>
      <c r="BQ518" s="53" t="inlineStr">
        <is>
          <t>Not a manager</t>
        </is>
      </c>
      <c r="BR518" s="53" t="inlineStr">
        <is>
          <t>—</t>
        </is>
      </c>
      <c r="BS518" s="53" t="inlineStr">
        <is>
          <t>L4 – Senior</t>
        </is>
      </c>
      <c r="BT518" s="53" t="inlineStr">
        <is>
          <t>L4 – Senior</t>
        </is>
      </c>
      <c r="BU518" s="53" t="inlineStr">
        <is>
          <t>No designation change — current record value carried forward</t>
        </is>
      </c>
      <c r="BV518" s="53" t="inlineStr">
        <is>
          <t>1. Achieve ≥ 92% sprint and release delivery adherence by completing committed tasks within agreed timelines with high-quality execution and minimal dependency.
2. Strengthen advanced technical expertise in .NET, APIs, database design, system design, and scalable implementation by contributing to ≥ 60% end-to-end technical solutions.
3. Demonstrate strong ownership by independently driving ≥ 90% assigned modules/tasks from requirement understanding to implementation, testing, and deployment readiness.
4. Increase involvement in team discussions by contributing meaningful inputs in ≥ 70% technical, solution, and requirement discussions.
5. Improve engineering quality by ensuring ≥ 90% deliverables are accepted with minimal rework and reducing repeated issues by ≥ 40% YoY.
6. Demonstrate leadership readiness by proactively resolving blockers, supporting team delivery, mentoring team members, and contributing to overall team growth through knowledge sharing and technical guidance.</t>
        </is>
      </c>
      <c r="BW518" s="53" t="n"/>
      <c r="BX518" s="53" t="inlineStr">
        <is>
          <t>Global.</t>
        </is>
      </c>
      <c r="BY518" s="53" t="n"/>
      <c r="BZ518" s="53" t="n"/>
      <c r="CA518" s="53" t="n"/>
      <c r="CB518" s="53" t="n"/>
      <c r="CC518" s="53" t="n"/>
      <c r="CD518" s="53" t="n"/>
      <c r="CE518" s="53" t="n"/>
      <c r="CF518" s="53" t="n"/>
      <c r="CG518" s="53" t="n"/>
      <c r="CH518" s="53" t="n"/>
      <c r="CI518" s="53" t="n"/>
      <c r="CJ518" s="53" t="n"/>
      <c r="CK518" s="53" t="n"/>
      <c r="CL518" s="53" t="n"/>
      <c r="CM518" s="53" t="n"/>
      <c r="CN518" s="53" t="n"/>
      <c r="CO518" s="53" t="n"/>
      <c r="CP518" s="53" t="n"/>
      <c r="CQ518" s="53" t="n"/>
      <c r="CR518" s="53" t="n"/>
      <c r="CS518" s="53" t="n"/>
      <c r="CT518" s="53" t="n"/>
      <c r="CU518" s="53" t="n"/>
      <c r="CV518" s="53" t="n"/>
      <c r="CW518" s="53" t="n"/>
      <c r="CX518" s="53" t="n"/>
      <c r="CY518" s="53" t="n"/>
      <c r="CZ518" s="53" t="n"/>
      <c r="DA518" s="53" t="n"/>
      <c r="DB518" s="53" t="n"/>
      <c r="DC518" s="53" t="n"/>
      <c r="DD518" s="53" t="n"/>
      <c r="DE518" s="53" t="n"/>
      <c r="DF518" s="53" t="n"/>
      <c r="DG518" s="53" t="n"/>
      <c r="DH518" s="53" t="n"/>
      <c r="DI518" s="53" t="n"/>
      <c r="DJ518" s="53" t="n"/>
      <c r="DK518" s="53" t="n"/>
      <c r="DL518" s="53" t="n"/>
      <c r="DM518" s="53" t="n"/>
      <c r="DN518" s="53" t="n"/>
      <c r="DO518" s="53" t="n"/>
      <c r="DP518" s="53" t="n"/>
      <c r="DQ518" s="53" t="n"/>
      <c r="DR518" s="53" t="n"/>
      <c r="DS518" s="53" t="n"/>
      <c r="DT518" s="53" t="n"/>
      <c r="DU518" s="53" t="n"/>
      <c r="DV518" s="53" t="n"/>
      <c r="DW518" s="53" t="n"/>
      <c r="DX518" s="53" t="n"/>
      <c r="DY518" s="53" t="n"/>
      <c r="DZ518" s="53" t="n"/>
      <c r="EA518" s="53" t="n"/>
      <c r="EB518" s="53" t="n"/>
      <c r="EC518" s="53" t="n"/>
      <c r="ED518" s="53" t="n"/>
      <c r="EE518" s="53" t="n"/>
      <c r="EF518" s="53" t="n"/>
      <c r="EG518" s="53" t="n"/>
      <c r="EH518" s="53" t="n"/>
      <c r="EI518" s="53" t="n"/>
      <c r="EJ518" s="53" t="n"/>
      <c r="EK518" s="53" t="n"/>
      <c r="EL518" s="53" t="n"/>
      <c r="EM518" s="53" t="n"/>
      <c r="EN518" s="53" t="n"/>
      <c r="EO518" s="53" t="n"/>
      <c r="EP518" s="53" t="n"/>
      <c r="EQ518" s="53" t="n"/>
      <c r="ER518" s="53" t="n"/>
      <c r="ES518" s="53" t="n"/>
      <c r="ET518" s="53" t="n"/>
      <c r="EU518" s="53" t="n"/>
      <c r="EV518" s="53" t="n"/>
      <c r="EW518" s="52" t="n"/>
      <c r="EX518" s="53" t="inlineStr">
        <is>
          <t>• Role / sub-team: Technology — Senior Software Engineer.
• Core purpose: The core purpose of this role is to design, build, and improve scalable, reliable product solutions that solve user and business problems while maintaining high quality and engineering standards.
• Decision-making autonomy: No input received.
• Is this something only they do: A few of us for adhoc queries, Live issues. Rest of us do development and delivery.</t>
        </is>
      </c>
      <c r="EY518" s="53" t="inlineStr">
        <is>
          <t>• Key responsibilities include: Better product.
• Personally accountable for: For the quality, reliability, and successful delivery of the solutions I own—including making sure they solve the intended user/business problem and meet engineering standards.
• Impact if missed or done wrong: No input received.
• How measured: Partly different.</t>
        </is>
      </c>
      <c r="EZ518" s="53" t="inlineStr">
        <is>
          <t>• Current capabilities: Scalability; Technical knowledge.
• Tools / software used: VS code AI tools VS.
• Workload: Rated a moderate load · 3/5 in a typical week.
• Judgment/way of working: Team Coordination.</t>
        </is>
      </c>
      <c r="FA518" s="53" t="inlineStr">
        <is>
          <t>• Development priorities: More exposure to DevOps and AI.
• Learning and Development Need: Handling people at workplace with better communication.</t>
        </is>
      </c>
      <c r="FB518" s="53" t="inlineStr">
        <is>
          <t>• Key challenges: No input received.
• Support required: More Work Flexibility; Better AI tools.</t>
        </is>
      </c>
      <c r="FC518" s="53" t="n"/>
      <c r="FD518" s="53" t="n"/>
      <c r="FE518" s="57" t="inlineStr">
        <is>
          <t>1. Achieve ≥ 92% sprint and release delivery adherence by completing committed tasks within agreed timelines with high-quality execution and minimal dependency.
2. Strengthen advanced technical expertise in .NET, APIs, database design, system design, and scalable implementation by contributing to ≥ 60% end-to-end technical solutions.
3. Demonstrate strong ownership by independently driving ≥ 90% assigned modules/tasks from requirement understanding to implementation, testing, and deployment readiness.
4. Increase involvement in team discussions by contributing meaningful inputs in ≥ 70% technical, solution, and requirement discussions.
5. Improve engineering quality by ensuring ≥ 90% deliverables are accepted with minimal rework and reducing repeated issues by ≥ 40% YoY.
6. Demonstrate leadership readiness by proactively resolving blockers, supporting team delivery, mentoring team members, and contributing to overall team growth through knowledge sharing and technical guidance.</t>
        </is>
      </c>
      <c r="FF518" s="56" t="n"/>
      <c r="FG518" s="56" t="n"/>
      <c r="FH518" s="56" t="n"/>
      <c r="FI518" s="56" t="n"/>
      <c r="FJ518" s="56" t="inlineStr">
        <is>
          <t>Received · manager annual</t>
        </is>
      </c>
      <c r="FK518" s="56" t="inlineStr">
        <is>
          <t>CARBON Mapping Master</t>
        </is>
      </c>
      <c r="FL518" s="56" t="n">
        <v>20</v>
      </c>
      <c r="FM518" s="56" t="inlineStr">
        <is>
          <t>• Role / sub-team: Technology — Senior Software Engineer.
• Core purpose: The core purpose of this role is to design, build, and improve scalable, reliable product solutions that solve user and business problems while maintaining high quality and engineering standards.
• Decision-making autonomy: No input received.
• Is this something only they do: A few of us for adhoc queries, Live issues. Rest of us do development and delivery.</t>
        </is>
      </c>
      <c r="FN518" s="56" t="inlineStr">
        <is>
          <t>• Key responsibilities include: Better product.
• Personally accountable for: For the quality, reliability, and successful delivery of the solutions I own—including making sure they solve the intended user/business problem and meet engineering standards.
• Impact if missed or done wrong: No input received.
• How measured: Partly different.</t>
        </is>
      </c>
      <c r="FO518" s="56" t="inlineStr">
        <is>
          <t>• Current capabilities: Scalability; Technical knowledge.
• Tools / software used: VS code AI tools VS.
• Workload: Rated a moderate load · 3/5 in a typical week.
• Judgment/way of working: Team Coordination.</t>
        </is>
      </c>
      <c r="FP518" s="56" t="inlineStr">
        <is>
          <t>• Development priorities: More exposure to DevOps and AI.
• Learning and Development Need: Handling people at workplace with better communication.</t>
        </is>
      </c>
      <c r="FQ518" s="56" t="inlineStr">
        <is>
          <t>• Key challenges: No input received.
• Support required: More Work Flexibility; Better AI tools.</t>
        </is>
      </c>
      <c r="FR518" s="56" t="inlineStr">
        <is>
          <t>Complexity: Evidence reads like A3: Handles production issues, builds release packages, works on new POCs → matches the start
Autonomy: Evidence reads like A3: Decides code changes; mentors juniors → matches the start
Accountability: Evidence reads like A3: Solutions owned; production issue fixes and release packages → matches the start
Leadership: Evidence reads like A3: Mentors juniors and assists team members to finish work on time → moved up 0.5
Business Impact: No survey or manager-mapping signal on criticality: kept at the start point.</t>
        </is>
      </c>
      <c r="FS518"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518" s="56" t="inlineStr">
        <is>
          <t>Self-identified: AI / automation · Technical depth &amp; architecture · Broader exposure &amp; ownership
For the next role: AI / automation · Technical depth &amp; architecture · Broader exposure &amp; ownership</t>
        </is>
      </c>
      <c r="FU518" s="56" t="inlineStr">
        <is>
          <t>Per-person summary · CARBON Mapping Master</t>
        </is>
      </c>
    </row>
    <row r="519" ht="90" customHeight="1">
      <c r="A519" s="51" t="inlineStr">
        <is>
          <t>◂ Back</t>
        </is>
      </c>
      <c r="B519" s="29" t="inlineStr">
        <is>
          <t>Mapped</t>
        </is>
      </c>
      <c r="C519" s="28" t="inlineStr">
        <is>
          <t>CARBON</t>
        </is>
      </c>
      <c r="D519" s="29" t="inlineStr">
        <is>
          <t>IRIS2434</t>
        </is>
      </c>
      <c r="E519" s="29" t="inlineStr">
        <is>
          <t>Prachi Digambar Raut</t>
        </is>
      </c>
      <c r="F519" s="29" t="inlineStr">
        <is>
          <t>Technology</t>
        </is>
      </c>
      <c r="G519" s="29" t="inlineStr">
        <is>
          <t>Software Engineer</t>
        </is>
      </c>
      <c r="H519" s="29" t="inlineStr">
        <is>
          <t>Senior Software Engineer</t>
        </is>
      </c>
      <c r="I519" s="29" t="inlineStr">
        <is>
          <t>L3 – Professional / Associate</t>
        </is>
      </c>
      <c r="J519" s="29" t="inlineStr">
        <is>
          <t>A3</t>
        </is>
      </c>
      <c r="K519" s="29" t="inlineStr">
        <is>
          <t>▲ Up</t>
        </is>
      </c>
      <c r="L519" s="29" t="inlineStr">
        <is>
          <t>Engineering &amp; Development</t>
        </is>
      </c>
      <c r="M519" s="29" t="inlineStr">
        <is>
          <t>Full-Stack Development</t>
        </is>
      </c>
      <c r="N519" s="29" t="inlineStr">
        <is>
          <t>• Confirm the reporting line — Manager</t>
        </is>
      </c>
      <c r="O519" s="29" t="n">
        <v>20</v>
      </c>
      <c r="P519" s="28" t="inlineStr">
        <is>
          <t>P2</t>
        </is>
      </c>
      <c r="Q519" s="29" t="inlineStr">
        <is>
          <t>Developing</t>
        </is>
      </c>
      <c r="R519" s="29" t="inlineStr">
        <is>
          <t>3 Apply</t>
        </is>
      </c>
      <c r="S519" s="29" t="inlineStr">
        <is>
          <t>2–4 yrs</t>
        </is>
      </c>
      <c r="T519" s="29" t="inlineStr">
        <is>
          <t>3–5 · 2–5</t>
        </is>
      </c>
      <c r="U519" s="29" t="inlineStr">
        <is>
          <t>Software Engineer</t>
        </is>
      </c>
      <c r="V519" s="29" t="inlineStr">
        <is>
          <t>Workiva: SE · Broadridge India: SE · Nasdaq / AxiomSL: SE · Salesforce: MTS · Atlassian: P40 · 3–7 yrs · Freshworks: Senior SE</t>
        </is>
      </c>
      <c r="W519" s="29" t="inlineStr">
        <is>
          <t>SFIA 9 · software development, programming; OWASP secure coding; cloud vendor certifications</t>
        </is>
      </c>
      <c r="X519" s="29" t="inlineStr">
        <is>
          <t>Core 2 · Future 2 · Functional 3 · Leadership not scored</t>
        </is>
      </c>
      <c r="Y519" s="52" t="n">
        <v>402</v>
      </c>
      <c r="Z519" s="53" t="inlineStr">
        <is>
          <t>IRIS2434</t>
        </is>
      </c>
      <c r="AA519" s="53" t="inlineStr">
        <is>
          <t>Employee</t>
        </is>
      </c>
      <c r="AB519" s="53" t="inlineStr">
        <is>
          <t>Active</t>
        </is>
      </c>
      <c r="AC519" s="53" t="inlineStr">
        <is>
          <t>Prachi Digambar Raut</t>
        </is>
      </c>
      <c r="AD519" s="54" t="n">
        <v>45925</v>
      </c>
      <c r="AE519" s="53" t="inlineStr">
        <is>
          <t>Software Engineer</t>
        </is>
      </c>
      <c r="AF519" s="53" t="inlineStr">
        <is>
          <t>BCA</t>
        </is>
      </c>
      <c r="AG519" s="53" t="inlineStr">
        <is>
          <t>Sarfaraz Badi</t>
        </is>
      </c>
      <c r="AH519" s="53" t="inlineStr">
        <is>
          <t>N-3</t>
        </is>
      </c>
      <c r="AI519" s="53" t="inlineStr">
        <is>
          <t>Manager</t>
        </is>
      </c>
      <c r="AJ519" s="53" t="inlineStr">
        <is>
          <t>3 years, 2 months, 00 days</t>
        </is>
      </c>
      <c r="AK519" s="53" t="inlineStr">
        <is>
          <t>0 years, 11 months, 0 days</t>
        </is>
      </c>
      <c r="AL519" s="53" t="inlineStr">
        <is>
          <t>Regtech</t>
        </is>
      </c>
      <c r="AM519" s="53" t="inlineStr">
        <is>
          <t>CARBON</t>
        </is>
      </c>
      <c r="AN519" s="53" t="inlineStr">
        <is>
          <t>Technology</t>
        </is>
      </c>
      <c r="AO519" s="53" t="inlineStr">
        <is>
          <t>Development</t>
        </is>
      </c>
      <c r="AP519" s="53" t="inlineStr">
        <is>
          <t>Yes</t>
        </is>
      </c>
      <c r="AQ519" s="53" t="inlineStr">
        <is>
          <t>Product/Project</t>
        </is>
      </c>
      <c r="AR519" s="53" t="inlineStr">
        <is>
          <t>.NET MVC + React</t>
        </is>
      </c>
      <c r="AS519" s="53" t="inlineStr">
        <is>
          <t>Technical - Developer</t>
        </is>
      </c>
      <c r="AT519" s="53" t="n">
        <v>20</v>
      </c>
      <c r="AU519" s="53" t="inlineStr">
        <is>
          <t>Covered</t>
        </is>
      </c>
      <c r="AV519" s="53" t="inlineStr">
        <is>
          <t>IRIS2434</t>
        </is>
      </c>
      <c r="AW519" s="53" t="inlineStr">
        <is>
          <t>Prachi Digambar Raut</t>
        </is>
      </c>
      <c r="AX519" s="53" t="inlineStr">
        <is>
          <t>Technology</t>
        </is>
      </c>
      <c r="AY519" s="53" t="inlineStr">
        <is>
          <t>Engineering &amp; Development</t>
        </is>
      </c>
      <c r="AZ519" s="53" t="inlineStr">
        <is>
          <t>Full-Stack Engineering</t>
        </is>
      </c>
      <c r="BA519" s="53" t="n"/>
      <c r="BB519" s="53" t="n"/>
      <c r="BC519" s="53" t="inlineStr">
        <is>
          <t>Employee</t>
        </is>
      </c>
      <c r="BD519" s="53" t="inlineStr">
        <is>
          <t>Sarfaraz Badi</t>
        </is>
      </c>
      <c r="BE519" s="53" t="inlineStr">
        <is>
          <t>Sarfaraz Badi</t>
        </is>
      </c>
      <c r="BF519" s="53" t="inlineStr">
        <is>
          <t>No</t>
        </is>
      </c>
      <c r="BG519" s="53" t="inlineStr">
        <is>
          <t>Software Engineer</t>
        </is>
      </c>
      <c r="BH519" s="53" t="inlineStr">
        <is>
          <t>Software Engineer</t>
        </is>
      </c>
      <c r="BI519" s="53" t="inlineStr">
        <is>
          <t>No</t>
        </is>
      </c>
      <c r="BJ519" s="53" t="n">
        <v>4</v>
      </c>
      <c r="BK519" s="53" t="n">
        <v>4</v>
      </c>
      <c r="BL519" s="53" t="n">
        <v>0</v>
      </c>
      <c r="BM519" s="53" t="inlineStr">
        <is>
          <t>Review</t>
        </is>
      </c>
      <c r="BN519" s="53" t="n">
        <v>4</v>
      </c>
      <c r="BO519" s="53" t="n">
        <v>4</v>
      </c>
      <c r="BP519" s="53" t="n">
        <v>0</v>
      </c>
      <c r="BQ519" s="53" t="inlineStr">
        <is>
          <t>Review</t>
        </is>
      </c>
      <c r="BR519" s="53" t="inlineStr">
        <is>
          <t>No</t>
        </is>
      </c>
      <c r="BS519" s="53" t="inlineStr">
        <is>
          <t>L3 – Professional / Associate</t>
        </is>
      </c>
      <c r="BT519" s="53" t="inlineStr">
        <is>
          <t>L3 – Professional / Associate</t>
        </is>
      </c>
      <c r="BU519" s="53" t="inlineStr">
        <is>
          <t>No designation change — current record value carried forward</t>
        </is>
      </c>
      <c r="BV519" s="53" t="inlineStr">
        <is>
          <t>1.Deliver ≥ 95% committed sprint and release tasks within agreed timelines with high-quality execution.
2.Improve solution quality by ensuring ≥ 90% major technical implementations include documented design considerations and architecture review.
3.Strengthen system design and architectural decision-making to reduce design-related rework by ≥ 40% YoY.
4.Complete advanced technical upskilling in .NET Core, React, system design, and scalable architecture, contributing to ≥ 60% architecture discussions by FY end.
5.Mentor and support team members through minimum 6 technical knowledge-sharing / mentoring sessions annually.
6.Demonstrate leadership readiness by independently handling high-pressure deliveries and leading minimum 2 critical initiatives / modules.</t>
        </is>
      </c>
      <c r="BW519" s="53" t="n"/>
      <c r="BX519" s="53" t="inlineStr">
        <is>
          <t>India</t>
        </is>
      </c>
      <c r="BY519" s="53" t="n"/>
      <c r="BZ519" s="53" t="n"/>
      <c r="CA519" s="53" t="n"/>
      <c r="CB519" s="53" t="n"/>
      <c r="CC519" s="53" t="n"/>
      <c r="CD519" s="53" t="n"/>
      <c r="CE519" s="53" t="n"/>
      <c r="CF519" s="53" t="n"/>
      <c r="CG519" s="53" t="n"/>
      <c r="CH519" s="53" t="n"/>
      <c r="CI519" s="53" t="n"/>
      <c r="CJ519" s="53" t="n"/>
      <c r="CK519" s="53" t="n"/>
      <c r="CL519" s="53" t="n"/>
      <c r="CM519" s="53" t="n"/>
      <c r="CN519" s="53" t="n"/>
      <c r="CO519" s="53" t="n"/>
      <c r="CP519" s="53" t="n"/>
      <c r="CQ519" s="53" t="n"/>
      <c r="CR519" s="53" t="n"/>
      <c r="CS519" s="53" t="n"/>
      <c r="CT519" s="53" t="n"/>
      <c r="CU519" s="53" t="n"/>
      <c r="CV519" s="53" t="n"/>
      <c r="CW519" s="53" t="n"/>
      <c r="CX519" s="53" t="n"/>
      <c r="CY519" s="53" t="n"/>
      <c r="CZ519" s="53" t="n"/>
      <c r="DA519" s="53" t="n"/>
      <c r="DB519" s="53" t="n"/>
      <c r="DC519" s="53" t="n"/>
      <c r="DD519" s="53" t="n"/>
      <c r="DE519" s="53" t="n"/>
      <c r="DF519" s="53" t="n"/>
      <c r="DG519" s="53" t="n"/>
      <c r="DH519" s="53" t="n"/>
      <c r="DI519" s="53" t="n"/>
      <c r="DJ519" s="53" t="n"/>
      <c r="DK519" s="53" t="n"/>
      <c r="DL519" s="53" t="n"/>
      <c r="DM519" s="53" t="n"/>
      <c r="DN519" s="53" t="n"/>
      <c r="DO519" s="53" t="n"/>
      <c r="DP519" s="53" t="n"/>
      <c r="DQ519" s="53" t="n"/>
      <c r="DR519" s="53" t="n"/>
      <c r="DS519" s="53" t="n"/>
      <c r="DT519" s="53" t="n"/>
      <c r="DU519" s="53" t="n"/>
      <c r="DV519" s="53" t="n"/>
      <c r="DW519" s="53" t="n"/>
      <c r="DX519" s="53" t="n"/>
      <c r="DY519" s="53" t="n"/>
      <c r="DZ519" s="53" t="n"/>
      <c r="EA519" s="53" t="n"/>
      <c r="EB519" s="53" t="n"/>
      <c r="EC519" s="53" t="n"/>
      <c r="ED519" s="53" t="n"/>
      <c r="EE519" s="53" t="n"/>
      <c r="EF519" s="53" t="n"/>
      <c r="EG519" s="53" t="n"/>
      <c r="EH519" s="53" t="n"/>
      <c r="EI519" s="53" t="n"/>
      <c r="EJ519" s="53" t="n"/>
      <c r="EK519" s="53" t="n"/>
      <c r="EL519" s="53" t="n"/>
      <c r="EM519" s="53" t="n"/>
      <c r="EN519" s="53" t="n"/>
      <c r="EO519" s="53" t="n"/>
      <c r="EP519" s="53" t="n"/>
      <c r="EQ519" s="53" t="n"/>
      <c r="ER519" s="53" t="n"/>
      <c r="ES519" s="53" t="n"/>
      <c r="ET519" s="53" t="n"/>
      <c r="EU519" s="53" t="n"/>
      <c r="EV519" s="53" t="n"/>
      <c r="EW519" s="52" t="n"/>
      <c r="EX519" s="53" t="inlineStr">
        <is>
          <t>My current role is Software Engineer, developing features, provide optimized solutions, brainstorming with team members for gathering ideas, Guiding team members as i m in a managerial background also; Brainstorming</t>
        </is>
      </c>
      <c r="EY519" s="53" t="inlineStr">
        <is>
          <t>Scalable Features; Every team member is accountable as we work as a team- any feature is not working, any story is delayed to be released, blocker bug and requirements are not clear. We have to collaborate and look into; Development and Team work; Try debugging the bug which is found out solve it if flow is known to us, else will discuss out with team member who has worked on it and will try to fix it asap and inform higher authorities as well</t>
        </is>
      </c>
      <c r="EZ519" s="53" t="inlineStr">
        <is>
          <t>OOPs and database design; Copilot; Brainstorming with team member coz discussion takes our thinking out of the box or can include the edge cases which we missed</t>
        </is>
      </c>
      <c r="FA519" s="53" t="inlineStr">
        <is>
          <t>Enhance more managerial skills, time management, Command in any suggestions or task assignments; Appreciation and Guidance; I m already in a managerial role but need to learn more about handling urgent situations, task delegation</t>
        </is>
      </c>
      <c r="FB519" s="53" t="inlineStr">
        <is>
          <t>Many tasks and urgency; Clear Requirements, if major changes in requirement then discuss it and provide proper time to do it, proper discussions with involvement of complete team.</t>
        </is>
      </c>
      <c r="FC519" s="53" t="n"/>
      <c r="FD519" s="53" t="n"/>
      <c r="FE519" s="57" t="inlineStr">
        <is>
          <t>1.Deliver ≥ 95% committed sprint and release tasks within agreed timelines with high-quality execution.
2.Improve solution quality by ensuring ≥ 90% major technical implementations include documented design considerations and architecture review.
3.Strengthen system design and architectural decision-making to reduce design-related rework by ≥ 40% YoY.
4.Complete advanced technical upskilling in .NET Core, React, system design, and scalable architecture, contributing to ≥ 60% architecture discussions by FY end.
5.Mentor and support team members through minimum 6 technical knowledge-sharing / mentoring sessions annually.
6.Demonstrate leadership readiness by independently handling high-pressure deliveries and leading minimum 2 critical initiatives / modules.</t>
        </is>
      </c>
      <c r="FF519" s="56" t="n"/>
      <c r="FG519" s="56" t="n"/>
      <c r="FH519" s="56" t="n"/>
      <c r="FI519" s="56" t="n"/>
      <c r="FJ519" s="56" t="inlineStr">
        <is>
          <t>Received · manager annual</t>
        </is>
      </c>
      <c r="FK519" s="56" t="inlineStr">
        <is>
          <t>CARBON Mapping Master</t>
        </is>
      </c>
      <c r="FL519" s="56" t="n">
        <v>20</v>
      </c>
      <c r="FM519" s="56" t="inlineStr">
        <is>
          <t>My current role is Software Engineer, developing features, provide optimized solutions, brainstorming with team members for gathering ideas, Guiding team members as i m in a managerial background also; Brainstorming</t>
        </is>
      </c>
      <c r="FN519" s="56" t="inlineStr">
        <is>
          <t>Scalable Features; Every team member is accountable as we work as a team- any feature is not working, any story is delayed to be released, blocker bug and requirements are not clear. We have to collaborate and look into; Development and Team work; Try debugging the bug which is found out solve it if flow is known to us, else will discuss out with team member who has worked on it and will try to fix it asap and inform higher authorities as well</t>
        </is>
      </c>
      <c r="FO519" s="56" t="inlineStr">
        <is>
          <t>OOPs and database design; Copilot; Brainstorming with team member coz discussion takes our thinking out of the box or can include the edge cases which we missed</t>
        </is>
      </c>
      <c r="FP519" s="56" t="inlineStr">
        <is>
          <t>Enhance more managerial skills, time management, Command in any suggestions or task assignments; Appreciation and Guidance; I m already in a managerial role but need to learn more about handling urgent situations, task delegation</t>
        </is>
      </c>
      <c r="FQ519" s="56" t="inlineStr">
        <is>
          <t>Many tasks and urgency; Clear Requirements, if major changes in requirement then discuss it and provide proper time to do it, proper discussions with involvement of complete team.</t>
        </is>
      </c>
      <c r="FR519" s="56" t="inlineStr">
        <is>
          <t>Complexity: Evidence reads like A2: Feature development and report generation; OOP and database design; no specifics beyond that → matches the start
Autonomy: Evidence reads like A2: Only 'brainstorming' listed; discusses with team and informs higher authorities on issues → moved down 0.5
Accountability: Evidence reads like A2: Describes accountability as shared by the team, not personal → moved down 0.5
Leadership: Evidence reads like A3: Guides team members and brainstorms with them; 4 reports, no allocation described → moved down 0.5</t>
        </is>
      </c>
      <c r="FS519" s="56"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FT519" s="56" t="inlineStr">
        <is>
          <t>Self-identified: Leadership &amp; people management
For the next role: Leadership &amp; people management</t>
        </is>
      </c>
      <c r="FU519" s="56" t="inlineStr">
        <is>
          <t>Per-person summary · CARBON Mapping Master</t>
        </is>
      </c>
    </row>
    <row r="520" ht="90" customHeight="1">
      <c r="A520" s="51" t="inlineStr">
        <is>
          <t>◂ Back</t>
        </is>
      </c>
      <c r="B520" s="29" t="inlineStr">
        <is>
          <t>Mapped</t>
        </is>
      </c>
      <c r="C520" s="28" t="inlineStr">
        <is>
          <t>CARBON</t>
        </is>
      </c>
      <c r="D520" s="29" t="inlineStr">
        <is>
          <t>IRIS2473</t>
        </is>
      </c>
      <c r="E520" s="29" t="inlineStr">
        <is>
          <t>Anuj Pardeshi</t>
        </is>
      </c>
      <c r="F520" s="29" t="inlineStr">
        <is>
          <t>Technology</t>
        </is>
      </c>
      <c r="G520" s="29" t="inlineStr">
        <is>
          <t>Software Engineer</t>
        </is>
      </c>
      <c r="H520" s="29" t="inlineStr">
        <is>
          <t>Senior Software Engineer</t>
        </is>
      </c>
      <c r="I520" s="29" t="inlineStr">
        <is>
          <t>L3 – Professional / Associate</t>
        </is>
      </c>
      <c r="J520" s="29" t="inlineStr">
        <is>
          <t>A3</t>
        </is>
      </c>
      <c r="K520" s="29" t="inlineStr">
        <is>
          <t>▲ Up</t>
        </is>
      </c>
      <c r="L520" s="29" t="inlineStr">
        <is>
          <t>Engineering &amp; Development</t>
        </is>
      </c>
      <c r="M520" s="29" t="inlineStr">
        <is>
          <t>Full-Stack Development</t>
        </is>
      </c>
      <c r="N520" s="29" t="n"/>
      <c r="O520" s="29" t="n">
        <v>20</v>
      </c>
      <c r="P520" s="28" t="inlineStr">
        <is>
          <t>P2</t>
        </is>
      </c>
      <c r="Q520" s="29" t="inlineStr">
        <is>
          <t>Developing</t>
        </is>
      </c>
      <c r="R520" s="29" t="inlineStr">
        <is>
          <t>3 Apply</t>
        </is>
      </c>
      <c r="S520" s="29" t="inlineStr">
        <is>
          <t>2–4 yrs</t>
        </is>
      </c>
      <c r="T520" s="29" t="inlineStr">
        <is>
          <t>3–5 · 2–5</t>
        </is>
      </c>
      <c r="U520" s="29" t="inlineStr">
        <is>
          <t>Software Engineer</t>
        </is>
      </c>
      <c r="V520" s="29" t="inlineStr">
        <is>
          <t>Workiva: SE · Broadridge India: SE · Nasdaq / AxiomSL: SE · Salesforce: MTS · Atlassian: P40 · 3–7 yrs · Freshworks: Senior SE</t>
        </is>
      </c>
      <c r="W520" s="29" t="inlineStr">
        <is>
          <t>SFIA 9 · software development, programming; OWASP secure coding; cloud vendor certifications</t>
        </is>
      </c>
      <c r="X520" s="29" t="inlineStr">
        <is>
          <t>Core 2 · Future 2 · Functional 3 · Leadership not scored</t>
        </is>
      </c>
      <c r="Y520" s="52" t="n">
        <v>446</v>
      </c>
      <c r="Z520" s="53" t="inlineStr">
        <is>
          <t>IRIS2473</t>
        </is>
      </c>
      <c r="AA520" s="53" t="inlineStr">
        <is>
          <t>Employee</t>
        </is>
      </c>
      <c r="AB520" s="53" t="inlineStr">
        <is>
          <t>Serving Notice</t>
        </is>
      </c>
      <c r="AC520" s="53" t="inlineStr">
        <is>
          <t>Anuj Pardeshi</t>
        </is>
      </c>
      <c r="AD520" s="54" t="n">
        <v>46055</v>
      </c>
      <c r="AE520" s="53" t="inlineStr">
        <is>
          <t>Software Engineer</t>
        </is>
      </c>
      <c r="AF520" s="53" t="inlineStr">
        <is>
          <t>B.Tech</t>
        </is>
      </c>
      <c r="AG520" s="53" t="inlineStr">
        <is>
          <t>Prachi Digambar Raut</t>
        </is>
      </c>
      <c r="AH520" s="53" t="inlineStr">
        <is>
          <t>N-4</t>
        </is>
      </c>
      <c r="AI520" s="53" t="inlineStr">
        <is>
          <t>Individual Contributor</t>
        </is>
      </c>
      <c r="AJ520" s="53" t="inlineStr">
        <is>
          <t>3 years, 5 months, 0 days</t>
        </is>
      </c>
      <c r="AK520" s="53" t="inlineStr">
        <is>
          <t>0 years, 6 months, 23 days</t>
        </is>
      </c>
      <c r="AL520" s="53" t="inlineStr">
        <is>
          <t>Regtech</t>
        </is>
      </c>
      <c r="AM520" s="53" t="inlineStr">
        <is>
          <t>CARBON</t>
        </is>
      </c>
      <c r="AN520" s="53" t="inlineStr">
        <is>
          <t>Technology</t>
        </is>
      </c>
      <c r="AO520" s="53" t="inlineStr">
        <is>
          <t>Development</t>
        </is>
      </c>
      <c r="AP520" s="53" t="inlineStr">
        <is>
          <t>Yes</t>
        </is>
      </c>
      <c r="AQ520" s="53" t="inlineStr">
        <is>
          <t>Product/Project</t>
        </is>
      </c>
      <c r="AR520" s="53" t="inlineStr">
        <is>
          <t>.NET MVC + React</t>
        </is>
      </c>
      <c r="AS520" s="53" t="inlineStr">
        <is>
          <t>Technical - Developer</t>
        </is>
      </c>
      <c r="AT520" s="53" t="n">
        <v>20</v>
      </c>
      <c r="AU520" s="53" t="inlineStr">
        <is>
          <t>Covered</t>
        </is>
      </c>
      <c r="AV520" s="53" t="inlineStr">
        <is>
          <t>IRIS2473</t>
        </is>
      </c>
      <c r="AW520" s="53" t="inlineStr">
        <is>
          <t>Anuj Pardeshi</t>
        </is>
      </c>
      <c r="AX520" s="53" t="inlineStr">
        <is>
          <t>Technology</t>
        </is>
      </c>
      <c r="AY520" s="53" t="inlineStr">
        <is>
          <t>Engineering &amp; Development</t>
        </is>
      </c>
      <c r="AZ520" s="53" t="inlineStr">
        <is>
          <t>Backend Engineering ·.NET</t>
        </is>
      </c>
      <c r="BA520" s="53" t="n"/>
      <c r="BB520" s="53" t="n"/>
      <c r="BC520" s="53" t="inlineStr">
        <is>
          <t>Employee</t>
        </is>
      </c>
      <c r="BD520" s="53" t="inlineStr">
        <is>
          <t>Prachi Digambar Raut</t>
        </is>
      </c>
      <c r="BE520" s="53" t="inlineStr">
        <is>
          <t>Prachi Digambar Raut</t>
        </is>
      </c>
      <c r="BF520" s="53" t="inlineStr">
        <is>
          <t>No</t>
        </is>
      </c>
      <c r="BG520" s="53" t="inlineStr">
        <is>
          <t>Software Engineer</t>
        </is>
      </c>
      <c r="BH520" s="53" t="inlineStr">
        <is>
          <t>Software Engineer</t>
        </is>
      </c>
      <c r="BI520" s="53" t="inlineStr">
        <is>
          <t>No</t>
        </is>
      </c>
      <c r="BJ520" s="53" t="inlineStr">
        <is>
          <t>—</t>
        </is>
      </c>
      <c r="BK520" s="53" t="inlineStr">
        <is>
          <t>—</t>
        </is>
      </c>
      <c r="BL520" s="53" t="inlineStr">
        <is>
          <t>—</t>
        </is>
      </c>
      <c r="BM520" s="53" t="inlineStr">
        <is>
          <t>Not a manager</t>
        </is>
      </c>
      <c r="BN520" s="53" t="inlineStr">
        <is>
          <t>—</t>
        </is>
      </c>
      <c r="BO520" s="53" t="inlineStr">
        <is>
          <t>—</t>
        </is>
      </c>
      <c r="BP520" s="53" t="inlineStr">
        <is>
          <t>—</t>
        </is>
      </c>
      <c r="BQ520" s="53" t="inlineStr">
        <is>
          <t>Not a manager</t>
        </is>
      </c>
      <c r="BR520" s="53" t="inlineStr">
        <is>
          <t>—</t>
        </is>
      </c>
      <c r="BS520" s="53" t="inlineStr">
        <is>
          <t>L3 – Professional / Associate</t>
        </is>
      </c>
      <c r="BT520" s="53" t="inlineStr">
        <is>
          <t>L3 – Professional / Associate</t>
        </is>
      </c>
      <c r="BU520" s="53" t="inlineStr">
        <is>
          <t>No designation change — current record value carried forward</t>
        </is>
      </c>
      <c r="BV520" s="53" t="inlineStr">
        <is>
          <t>1. Achieve ≥ 90% sprint delivery adherence by completing committed tasks within agreed timelines with high-quality execution and minimal dependency.
2. Strengthen advanced technical expertise in .NET, React, APIs, database handling, and system design by contributing to ≥ 50% end-to-end implementation tasks.
3. Improve engineering quality by ensuring ≥ 85% deliverables are accepted with minimal rework and reducing repeated issues by ≥ 40% YoY.
4. Increase involvement in team discussions by contributing meaningful inputs in ≥ 60% technical, solution, and requirement discussions using strong logical and scenario-based thinking.
5. Strengthen solution and model designing capability by effectively designing scalable models, workflows, and implementation approaches for assigned tasks.
6. Improve ownership and execution by independently driving ≥ 80% assigned tasks from requirement understanding to implementation and delivery within agreed timelines.</t>
        </is>
      </c>
      <c r="BW520" s="53" t="n"/>
      <c r="BX520" s="53" t="inlineStr">
        <is>
          <t>India</t>
        </is>
      </c>
      <c r="BY520" s="53" t="n"/>
      <c r="BZ520" s="53" t="n"/>
      <c r="CA520" s="53" t="n"/>
      <c r="CB520" s="53" t="n"/>
      <c r="CC520" s="53" t="n"/>
      <c r="CD520" s="53" t="n"/>
      <c r="CE520" s="53" t="n"/>
      <c r="CF520" s="53" t="n"/>
      <c r="CG520" s="53" t="n"/>
      <c r="CH520" s="53" t="n"/>
      <c r="CI520" s="53" t="n"/>
      <c r="CJ520" s="53" t="n"/>
      <c r="CK520" s="53" t="n"/>
      <c r="CL520" s="53" t="n"/>
      <c r="CM520" s="53" t="n"/>
      <c r="CN520" s="53" t="n"/>
      <c r="CO520" s="53" t="n"/>
      <c r="CP520" s="53" t="n"/>
      <c r="CQ520" s="53" t="n"/>
      <c r="CR520" s="53" t="n"/>
      <c r="CS520" s="53" t="n"/>
      <c r="CT520" s="53" t="n"/>
      <c r="CU520" s="53" t="n"/>
      <c r="CV520" s="53" t="n"/>
      <c r="CW520" s="53" t="n"/>
      <c r="CX520" s="53" t="n"/>
      <c r="CY520" s="53" t="n"/>
      <c r="CZ520" s="53" t="n"/>
      <c r="DA520" s="53" t="n"/>
      <c r="DB520" s="53" t="n"/>
      <c r="DC520" s="53" t="n"/>
      <c r="DD520" s="53" t="n"/>
      <c r="DE520" s="53" t="n"/>
      <c r="DF520" s="53" t="n"/>
      <c r="DG520" s="53" t="n"/>
      <c r="DH520" s="53" t="n"/>
      <c r="DI520" s="53" t="n"/>
      <c r="DJ520" s="53" t="n"/>
      <c r="DK520" s="53" t="n"/>
      <c r="DL520" s="53" t="n"/>
      <c r="DM520" s="53" t="n"/>
      <c r="DN520" s="53" t="n"/>
      <c r="DO520" s="53" t="n"/>
      <c r="DP520" s="53" t="n"/>
      <c r="DQ520" s="53" t="n"/>
      <c r="DR520" s="53" t="n"/>
      <c r="DS520" s="53" t="n"/>
      <c r="DT520" s="53" t="n"/>
      <c r="DU520" s="53" t="n"/>
      <c r="DV520" s="53" t="n"/>
      <c r="DW520" s="53" t="n"/>
      <c r="DX520" s="53" t="n"/>
      <c r="DY520" s="53" t="n"/>
      <c r="DZ520" s="53" t="n"/>
      <c r="EA520" s="53" t="n"/>
      <c r="EB520" s="53" t="n"/>
      <c r="EC520" s="53" t="n"/>
      <c r="ED520" s="53" t="n"/>
      <c r="EE520" s="53" t="n"/>
      <c r="EF520" s="53" t="n"/>
      <c r="EG520" s="53" t="n"/>
      <c r="EH520" s="53" t="n"/>
      <c r="EI520" s="53" t="n"/>
      <c r="EJ520" s="53" t="n"/>
      <c r="EK520" s="53" t="n"/>
      <c r="EL520" s="53" t="n"/>
      <c r="EM520" s="53" t="n"/>
      <c r="EN520" s="53" t="n"/>
      <c r="EO520" s="53" t="n"/>
      <c r="EP520" s="53" t="n"/>
      <c r="EQ520" s="53" t="n"/>
      <c r="ER520" s="53" t="n"/>
      <c r="ES520" s="53" t="n"/>
      <c r="ET520" s="53" t="n"/>
      <c r="EU520" s="53" t="n"/>
      <c r="EV520" s="53" t="n"/>
      <c r="EW520" s="52" t="n"/>
      <c r="EX520" s="53" t="inlineStr">
        <is>
          <t>Im a software engineer at iris developing and Maintaining esg product.; I connot</t>
        </is>
      </c>
      <c r="EY520" s="53" t="inlineStr">
        <is>
          <t>Product Features; Module of Carbon Calculator, Reports; Deployment support Backend model creation Database changes; Database changes</t>
        </is>
      </c>
      <c r="EZ520" s="53" t="inlineStr">
        <is>
          <t>NET Development Angular React Javascript; Github Copilot Cursor; Impact analysis even for small changes</t>
        </is>
      </c>
      <c r="FA520" s="53" t="inlineStr">
        <is>
          <t>the biggest thing I wish I'd known is that building relationships and understanding the unique company culture matter far more than trying to ship a major feature; Training of app by team AI optimization of tokens; Mangement skills, Better understanding of the product goals</t>
        </is>
      </c>
      <c r="FB520" s="53" t="inlineStr">
        <is>
          <t>Backlog of existing featu; more automated tools for routine data so the team can spend more time on high-impact strategy.</t>
        </is>
      </c>
      <c r="FC520" s="53" t="n"/>
      <c r="FD520" s="53" t="n"/>
      <c r="FE520" s="57" t="inlineStr">
        <is>
          <t>1. Achieve ≥ 90% sprint delivery adherence by completing committed tasks within agreed timelines with high-quality execution and minimal dependency.
2. Strengthen advanced technical expertise in .NET, React, APIs, database handling, and system design by contributing to ≥ 50% end-to-end implementation tasks.
3. Improve engineering quality by ensuring ≥ 85% deliverables are accepted with minimal rework and reducing repeated issues by ≥ 40% YoY.
4. Increase involvement in team discussions by contributing meaningful inputs in ≥ 60% technical, solution, and requirement discussions using strong logical and scenario-based thinking.
5. Strengthen solution and model designing capability by effectively designing scalable models, workflows, and implementation approaches for assigned tasks.
6. Improve ownership and execution by independently driving ≥ 80% assigned tasks from requirement understanding to implementation and delivery within agreed timelines.</t>
        </is>
      </c>
      <c r="FF520" s="56" t="n"/>
      <c r="FG520" s="56" t="n"/>
      <c r="FH520" s="56" t="n"/>
      <c r="FI520" s="56" t="n"/>
      <c r="FJ520" s="56" t="inlineStr">
        <is>
          <t>Received · manager annual</t>
        </is>
      </c>
      <c r="FK520" s="56" t="inlineStr">
        <is>
          <t>CARBON Mapping Master</t>
        </is>
      </c>
      <c r="FL520" s="56" t="n">
        <v>20</v>
      </c>
      <c r="FM520" s="56" t="inlineStr">
        <is>
          <t>Im a software engineer at iris developing and Maintaining esg product.; I connot</t>
        </is>
      </c>
      <c r="FN520" s="56" t="inlineStr">
        <is>
          <t>Product Features; Module of Carbon Calculator, Reports; Deployment support Backend model creation Database changes; Database changes</t>
        </is>
      </c>
      <c r="FO520" s="56" t="inlineStr">
        <is>
          <t>NET Development Angular React Javascript; Github Copilot Cursor; Impact analysis even for small changes</t>
        </is>
      </c>
      <c r="FP520" s="56" t="inlineStr">
        <is>
          <t>the biggest thing I wish I'd known is that building relationships and understanding the unique company culture matter far more than trying to ship a major feature; Training of app by team AI optimization of tokens; Mangement skills, Better understanding of the product goals</t>
        </is>
      </c>
      <c r="FQ520" s="56" t="inlineStr">
        <is>
          <t>Backlog of existing featu; more automated tools for routine data so the team can spend more time on high-impact strategy.</t>
        </is>
      </c>
      <c r="FR520" s="56" t="inlineStr">
        <is>
          <t>Complexity: Evidence reads like A2: own survey / KRA answers · summarised by the rater; not quoted → matches the start
Autonomy: Evidence reads like A1: Answers 'I cannot' when asked what is decided independently → moved down 0.5
Accountability: Evidence reads like A2: Work on Carbon Calculator and Reports modules; no end-to-end ownership described → matches the start
Leadership: Evidence reads like A1: No guiding or reviewing of others described → matches the start
Business Impact: No survey or manager-mapping signal on criticality: kept at the start point.</t>
        </is>
      </c>
      <c r="FS520" s="56"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FT520" s="56" t="inlineStr">
        <is>
          <t>Self-identified: Product &amp; tool knowledge
For the next role: Product &amp; tool knowledge</t>
        </is>
      </c>
      <c r="FU520" s="56" t="inlineStr">
        <is>
          <t>Per-person summary · CARBON Mapping Master</t>
        </is>
      </c>
    </row>
    <row r="521" ht="90" customHeight="1">
      <c r="A521" s="51" t="inlineStr">
        <is>
          <t>◂ Back</t>
        </is>
      </c>
      <c r="B521" s="29" t="inlineStr">
        <is>
          <t>Mapped</t>
        </is>
      </c>
      <c r="C521" s="28" t="inlineStr">
        <is>
          <t>CARBON</t>
        </is>
      </c>
      <c r="D521" s="29" t="inlineStr">
        <is>
          <t>IRIS2472</t>
        </is>
      </c>
      <c r="E521" s="29" t="inlineStr">
        <is>
          <t>Karan Kapadia</t>
        </is>
      </c>
      <c r="F521" s="29" t="inlineStr">
        <is>
          <t>Technology</t>
        </is>
      </c>
      <c r="G521" s="29" t="inlineStr">
        <is>
          <t>Software Engineer</t>
        </is>
      </c>
      <c r="H521" s="29" t="inlineStr">
        <is>
          <t>Senior Software Engineer</t>
        </is>
      </c>
      <c r="I521" s="29" t="inlineStr">
        <is>
          <t>L3 – Professional / Associate</t>
        </is>
      </c>
      <c r="J521" s="29" t="inlineStr">
        <is>
          <t>A3</t>
        </is>
      </c>
      <c r="K521" s="29" t="inlineStr">
        <is>
          <t>▲ Up</t>
        </is>
      </c>
      <c r="L521" s="29" t="inlineStr">
        <is>
          <t>Engineering &amp; Development</t>
        </is>
      </c>
      <c r="M521" s="29" t="inlineStr">
        <is>
          <t>Full-Stack Development</t>
        </is>
      </c>
      <c r="N521" s="29" t="n"/>
      <c r="O521" s="29" t="n">
        <v>19</v>
      </c>
      <c r="P521" s="28" t="inlineStr">
        <is>
          <t>P2</t>
        </is>
      </c>
      <c r="Q521" s="29" t="inlineStr">
        <is>
          <t>Developing</t>
        </is>
      </c>
      <c r="R521" s="29" t="inlineStr">
        <is>
          <t>3 Apply</t>
        </is>
      </c>
      <c r="S521" s="29" t="inlineStr">
        <is>
          <t>2–4 yrs</t>
        </is>
      </c>
      <c r="T521" s="29" t="inlineStr">
        <is>
          <t>3–5 · 2–5</t>
        </is>
      </c>
      <c r="U521" s="29" t="inlineStr">
        <is>
          <t>Software Engineer</t>
        </is>
      </c>
      <c r="V521" s="29" t="inlineStr">
        <is>
          <t>Workiva: SE · Broadridge India: SE · Nasdaq / AxiomSL: SE · Salesforce: MTS · Atlassian: P40 · 3–7 yrs · Freshworks: Senior SE</t>
        </is>
      </c>
      <c r="W521" s="29" t="inlineStr">
        <is>
          <t>SFIA 9 · software development, programming; OWASP secure coding; cloud vendor certifications</t>
        </is>
      </c>
      <c r="X521" s="29" t="inlineStr">
        <is>
          <t>Core 2 · Future 2 · Functional 3 · Leadership not scored</t>
        </is>
      </c>
      <c r="Y521" s="52" t="n">
        <v>445</v>
      </c>
      <c r="Z521" s="53" t="inlineStr">
        <is>
          <t>IRIS2472</t>
        </is>
      </c>
      <c r="AA521" s="53" t="inlineStr">
        <is>
          <t>Employee</t>
        </is>
      </c>
      <c r="AB521" s="53" t="inlineStr">
        <is>
          <t>Active</t>
        </is>
      </c>
      <c r="AC521" s="53" t="inlineStr">
        <is>
          <t>Karan Kapadia</t>
        </is>
      </c>
      <c r="AD521" s="54" t="n">
        <v>46055</v>
      </c>
      <c r="AE521" s="53" t="inlineStr">
        <is>
          <t>Software Engineer</t>
        </is>
      </c>
      <c r="AF521" s="53" t="inlineStr">
        <is>
          <t>MCA</t>
        </is>
      </c>
      <c r="AG521" s="53" t="inlineStr">
        <is>
          <t>Prachi Digambar Raut</t>
        </is>
      </c>
      <c r="AH521" s="53" t="inlineStr">
        <is>
          <t>N-4</t>
        </is>
      </c>
      <c r="AI521" s="53" t="inlineStr">
        <is>
          <t>Individual Contributor</t>
        </is>
      </c>
      <c r="AJ521" s="53" t="inlineStr">
        <is>
          <t>3 years, 10 months, 0 days</t>
        </is>
      </c>
      <c r="AK521" s="53" t="inlineStr">
        <is>
          <t>0 years, 6 months, 23 days</t>
        </is>
      </c>
      <c r="AL521" s="53" t="inlineStr">
        <is>
          <t>Regtech</t>
        </is>
      </c>
      <c r="AM521" s="53" t="inlineStr">
        <is>
          <t>CARBON</t>
        </is>
      </c>
      <c r="AN521" s="53" t="inlineStr">
        <is>
          <t>Technology</t>
        </is>
      </c>
      <c r="AO521" s="53" t="inlineStr">
        <is>
          <t>Development</t>
        </is>
      </c>
      <c r="AP521" s="53" t="inlineStr">
        <is>
          <t>Yes</t>
        </is>
      </c>
      <c r="AQ521" s="53" t="inlineStr">
        <is>
          <t>Product/Project</t>
        </is>
      </c>
      <c r="AR521" s="53" t="inlineStr">
        <is>
          <t>.NET MVC + React</t>
        </is>
      </c>
      <c r="AS521" s="53" t="inlineStr">
        <is>
          <t>Technical - Developer</t>
        </is>
      </c>
      <c r="AT521" s="53" t="n">
        <v>20</v>
      </c>
      <c r="AU521" s="53" t="inlineStr">
        <is>
          <t>Covered</t>
        </is>
      </c>
      <c r="AV521" s="53" t="inlineStr">
        <is>
          <t>IRIS2472</t>
        </is>
      </c>
      <c r="AW521" s="53" t="inlineStr">
        <is>
          <t>Karan Kapadia</t>
        </is>
      </c>
      <c r="AX521" s="53" t="inlineStr">
        <is>
          <t>Technology</t>
        </is>
      </c>
      <c r="AY521" s="53" t="inlineStr">
        <is>
          <t>Engineering &amp; Development</t>
        </is>
      </c>
      <c r="AZ521" s="53" t="inlineStr">
        <is>
          <t>Full-Stack Engineering</t>
        </is>
      </c>
      <c r="BA521" s="53" t="n"/>
      <c r="BB521" s="53" t="n"/>
      <c r="BC521" s="53" t="inlineStr">
        <is>
          <t>Employee</t>
        </is>
      </c>
      <c r="BD521" s="53" t="inlineStr">
        <is>
          <t>Prachi Digambar Raut</t>
        </is>
      </c>
      <c r="BE521" s="53" t="inlineStr">
        <is>
          <t>Prachi Digambar Raut</t>
        </is>
      </c>
      <c r="BF521" s="53" t="inlineStr">
        <is>
          <t>No</t>
        </is>
      </c>
      <c r="BG521" s="53" t="inlineStr">
        <is>
          <t>Software Engineer</t>
        </is>
      </c>
      <c r="BH521" s="53" t="inlineStr">
        <is>
          <t>Software Engineer</t>
        </is>
      </c>
      <c r="BI521" s="53" t="inlineStr">
        <is>
          <t>No</t>
        </is>
      </c>
      <c r="BJ521" s="53" t="inlineStr">
        <is>
          <t>—</t>
        </is>
      </c>
      <c r="BK521" s="53" t="inlineStr">
        <is>
          <t>—</t>
        </is>
      </c>
      <c r="BL521" s="53" t="inlineStr">
        <is>
          <t>—</t>
        </is>
      </c>
      <c r="BM521" s="53" t="inlineStr">
        <is>
          <t>Not a manager</t>
        </is>
      </c>
      <c r="BN521" s="53" t="inlineStr">
        <is>
          <t>—</t>
        </is>
      </c>
      <c r="BO521" s="53" t="inlineStr">
        <is>
          <t>—</t>
        </is>
      </c>
      <c r="BP521" s="53" t="inlineStr">
        <is>
          <t>—</t>
        </is>
      </c>
      <c r="BQ521" s="53" t="inlineStr">
        <is>
          <t>Not a manager</t>
        </is>
      </c>
      <c r="BR521" s="53" t="inlineStr">
        <is>
          <t>—</t>
        </is>
      </c>
      <c r="BS521" s="53" t="inlineStr">
        <is>
          <t>L3 – Professional / Associate</t>
        </is>
      </c>
      <c r="BT521" s="53" t="inlineStr">
        <is>
          <t>L3 – Professional / Associate</t>
        </is>
      </c>
      <c r="BU521" s="53" t="inlineStr">
        <is>
          <t>No designation change — current record value carried forward</t>
        </is>
      </c>
      <c r="BV521" s="53" t="inlineStr">
        <is>
          <t>1. Strengthen technical expertise in .NET, React, APIs, database handling, and full-stack development by contributing to ≥ 50% end-to-end implementation tasks.
2. Achieve ≥ 90% sprint delivery adherence by completing committed tasks within agreed timelines with high-quality execution and minimal dependency.
3. Strengthen ownership by independently handling ≥ 80% assigned tasks from requirement understanding to implementation, testing, and deployment readiness.
4. Improve engineering quality by ensuring ≥ 85% deliverables are accepted with minimal rework and reducing bug leakage / repeated issues by ≥ 40% YoY.
5. Improve solution effectiveness by analyzing business and technical impact before implementation to ensure changes are well-planned, optimized, and aligned with expected outcomes.
6. Deliver stable and reliable implementations by ensuring assigned stories are mostly bug-free, well-tested, and require minimal production fixes or post-release changes.</t>
        </is>
      </c>
      <c r="BW521" s="53" t="n"/>
      <c r="BX521" s="53" t="inlineStr">
        <is>
          <t>Global.</t>
        </is>
      </c>
      <c r="BY521" s="53" t="n"/>
      <c r="BZ521" s="53" t="n"/>
      <c r="CA521" s="53" t="n"/>
      <c r="CB521" s="53" t="n"/>
      <c r="CC521" s="53" t="n"/>
      <c r="CD521" s="53" t="n"/>
      <c r="CE521" s="53" t="n"/>
      <c r="CF521" s="53" t="n"/>
      <c r="CG521" s="53" t="n"/>
      <c r="CH521" s="53" t="n"/>
      <c r="CI521" s="53" t="n"/>
      <c r="CJ521" s="53" t="n"/>
      <c r="CK521" s="53" t="n"/>
      <c r="CL521" s="53" t="n"/>
      <c r="CM521" s="53" t="n"/>
      <c r="CN521" s="53" t="n"/>
      <c r="CO521" s="53" t="n"/>
      <c r="CP521" s="53" t="n"/>
      <c r="CQ521" s="53" t="n"/>
      <c r="CR521" s="53" t="n"/>
      <c r="CS521" s="53" t="n"/>
      <c r="CT521" s="53" t="n"/>
      <c r="CU521" s="53" t="n"/>
      <c r="CV521" s="53" t="n"/>
      <c r="CW521" s="53" t="n"/>
      <c r="CX521" s="53" t="n"/>
      <c r="CY521" s="53" t="n"/>
      <c r="CZ521" s="53" t="n"/>
      <c r="DA521" s="53" t="n"/>
      <c r="DB521" s="53" t="n"/>
      <c r="DC521" s="53" t="n"/>
      <c r="DD521" s="53" t="n"/>
      <c r="DE521" s="53" t="n"/>
      <c r="DF521" s="53" t="n"/>
      <c r="DG521" s="53" t="n"/>
      <c r="DH521" s="53" t="n"/>
      <c r="DI521" s="53" t="n"/>
      <c r="DJ521" s="53" t="n"/>
      <c r="DK521" s="53" t="n"/>
      <c r="DL521" s="53" t="n"/>
      <c r="DM521" s="53" t="n"/>
      <c r="DN521" s="53" t="n"/>
      <c r="DO521" s="53" t="n"/>
      <c r="DP521" s="53" t="n"/>
      <c r="DQ521" s="53" t="n"/>
      <c r="DR521" s="53" t="n"/>
      <c r="DS521" s="53" t="n"/>
      <c r="DT521" s="53" t="n"/>
      <c r="DU521" s="53" t="n"/>
      <c r="DV521" s="53" t="n"/>
      <c r="DW521" s="53" t="n"/>
      <c r="DX521" s="53" t="n"/>
      <c r="DY521" s="53" t="n"/>
      <c r="DZ521" s="53" t="n"/>
      <c r="EA521" s="53" t="n"/>
      <c r="EB521" s="53" t="n"/>
      <c r="EC521" s="53" t="n"/>
      <c r="ED521" s="53" t="n"/>
      <c r="EE521" s="53" t="n"/>
      <c r="EF521" s="53" t="n"/>
      <c r="EG521" s="53" t="n"/>
      <c r="EH521" s="53" t="n"/>
      <c r="EI521" s="53" t="n"/>
      <c r="EJ521" s="53" t="n"/>
      <c r="EK521" s="53" t="n"/>
      <c r="EL521" s="53" t="n"/>
      <c r="EM521" s="53" t="n"/>
      <c r="EN521" s="53" t="n"/>
      <c r="EO521" s="53" t="n"/>
      <c r="EP521" s="53" t="n"/>
      <c r="EQ521" s="53" t="n"/>
      <c r="ER521" s="53" t="n"/>
      <c r="ES521" s="53" t="n"/>
      <c r="ET521" s="53" t="n"/>
      <c r="EU521" s="53" t="n"/>
      <c r="EV521" s="53" t="n"/>
      <c r="EW521" s="52" t="n"/>
      <c r="EX521" s="53" t="inlineStr">
        <is>
          <t>• Role / sub-team: Technology — Software Engineer.
• Core purpose: Understand the product domain rest will be manageable.
• Decision-making autonomy: Can independently model change request.
• Is this something only they do: Most of us.
• What's different about this role: Data Integration.</t>
        </is>
      </c>
      <c r="EY521" s="53" t="inlineStr">
        <is>
          <t>• Key responsibilities include: Product Understanding; System design; Logic.
• Personally accountable for: I can be held responsible for whatever I have developed not for what existed.
• Impact if missed or done wrong: Client Escalation, Weaker position for our product in market.
• How measured: Partly Different; Partly Different - example rnd task takes more time than other development task or bug solving task but performance is compared to it.</t>
        </is>
      </c>
      <c r="EZ521" s="53" t="inlineStr">
        <is>
          <t>• Current capabilities: Dotnet Core; pyhton; Mongo; React.
• Tools / software used: Cursor; Better New Monitor.
• Workload: Rated a heavy load · 4/5 in a typical week.</t>
        </is>
      </c>
      <c r="FA521" s="53" t="inlineStr">
        <is>
          <t>• Development priorities: Management skills.
• Learning and Development Need: Good Senior Members.</t>
        </is>
      </c>
      <c r="FB521" s="53" t="inlineStr">
        <is>
          <t>• Key challenges: Other task given in betwe; co-pilot over cursor.
• Support required: Sensible Manager.</t>
        </is>
      </c>
      <c r="FC521" s="53" t="n"/>
      <c r="FD521" s="53" t="n"/>
      <c r="FE521" s="57" t="inlineStr">
        <is>
          <t>1. Strengthen technical expertise in .NET, React, APIs, database handling, and full-stack development by contributing to ≥ 50% end-to-end implementation tasks.
2. Achieve ≥ 90% sprint delivery adherence by completing committed tasks within agreed timelines with high-quality execution and minimal dependency.
3. Strengthen ownership by independently handling ≥ 80% assigned tasks from requirement understanding to implementation, testing, and deployment readiness.
4. Improve engineering quality by ensuring ≥ 85% deliverables are accepted with minimal rework and reducing bug leakage / repeated issues by ≥ 40% YoY.
5. Improve solution effectiveness by analyzing business and technical impact before implementation to ensure changes are well-planned, optimized, and aligned with expected outcomes.
6. Deliver stable and reliable implementations by ensuring assigned stories are mostly bug-free, well-tested, and require minimal production fixes or post-release changes.</t>
        </is>
      </c>
      <c r="FF521" s="56" t="n"/>
      <c r="FG521" s="56" t="n"/>
      <c r="FH521" s="56" t="n"/>
      <c r="FI521" s="56" t="n"/>
      <c r="FJ521" s="56" t="inlineStr">
        <is>
          <t>Received · manager annual</t>
        </is>
      </c>
      <c r="FK521" s="56" t="inlineStr">
        <is>
          <t>CARBON Mapping Master</t>
        </is>
      </c>
      <c r="FL521" s="56" t="n">
        <v>19</v>
      </c>
      <c r="FM521" s="56" t="inlineStr">
        <is>
          <t>• Role / sub-team: Technology — Software Engineer.
• Core purpose: Understand the product domain rest will be manageable.
• Decision-making autonomy: Can independently model change request.
• Is this something only they do: Most of us.
• What's different about this role: Data Integration.</t>
        </is>
      </c>
      <c r="FN521" s="56" t="inlineStr">
        <is>
          <t>• Key responsibilities include: Product Understanding; System design; Logic.
• Personally accountable for: I can be held responsible for whatever I have developed not for what existed.
• Impact if missed or done wrong: Client Escalation, Weaker position for our product in market.
• How measured: Partly Different; Partly Different - example rnd task takes more time than other development task or bug solving task but performance is compared to it.</t>
        </is>
      </c>
      <c r="FO521" s="56" t="inlineStr">
        <is>
          <t>• Current capabilities: Dotnet Core; pyhton; Mongo; React.
• Tools / software used: Cursor; Better New Monitor.
• Workload: Rated a heavy load · 4/5 in a typical week.</t>
        </is>
      </c>
      <c r="FP521" s="56" t="inlineStr">
        <is>
          <t>• Development priorities: Management skills.
• Learning and Development Need: Good Senior Members.</t>
        </is>
      </c>
      <c r="FQ521" s="56" t="inlineStr">
        <is>
          <t>• Key challenges: Other task given in betwe; co-pilot over cursor.
• Support required: Sensible Manager.</t>
        </is>
      </c>
      <c r="FR521" s="56" t="inlineStr">
        <is>
          <t>Complexity: Evidence reads like A2: Lists product understanding, system design, logic; data integration; no concrete problems described → matches the start
Autonomy: Evidence reads like A2: Decides model change requests; discusses with team before starting any work → matches the start
Accountability: Evidence reads like A2: own survey / KRA answers · summarised by the rater; not quoted → matches the start
Leadership: Evidence reads like A1: No guidance of others described → matches the start
Business Impact: No survey or manager-mapping signal on criticality: kept at the start point.</t>
        </is>
      </c>
      <c r="FS521" s="56"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FT521" s="56" t="inlineStr">
        <is>
          <t>Self-identified: Answered · no common topic
For the next role: Answered · no common topic</t>
        </is>
      </c>
      <c r="FU521" s="56" t="inlineStr">
        <is>
          <t>Per-person summary · CARBON Mapping Master</t>
        </is>
      </c>
    </row>
    <row r="522" ht="90" customHeight="1">
      <c r="A522" s="51" t="inlineStr">
        <is>
          <t>◂ Back</t>
        </is>
      </c>
      <c r="B522" s="29" t="inlineStr">
        <is>
          <t>Mapped</t>
        </is>
      </c>
      <c r="C522" s="28" t="inlineStr">
        <is>
          <t>CARBON</t>
        </is>
      </c>
      <c r="D522" s="29" t="inlineStr">
        <is>
          <t>IRIS2418</t>
        </is>
      </c>
      <c r="E522" s="29" t="inlineStr">
        <is>
          <t>Omkar Dhumal</t>
        </is>
      </c>
      <c r="F522" s="29" t="inlineStr">
        <is>
          <t>Technology</t>
        </is>
      </c>
      <c r="G522" s="29" t="inlineStr">
        <is>
          <t>Software Engineer</t>
        </is>
      </c>
      <c r="H522" s="29" t="inlineStr">
        <is>
          <t>Senior UI Developer</t>
        </is>
      </c>
      <c r="I522" s="29" t="inlineStr">
        <is>
          <t>L3 – Professional / Associate</t>
        </is>
      </c>
      <c r="J522" s="29" t="inlineStr">
        <is>
          <t>A3</t>
        </is>
      </c>
      <c r="K522" s="29" t="inlineStr">
        <is>
          <t>▲ Up</t>
        </is>
      </c>
      <c r="L522" s="29" t="inlineStr">
        <is>
          <t>Engineering &amp; Development</t>
        </is>
      </c>
      <c r="M522" s="29" t="inlineStr">
        <is>
          <t>Front-End / UI Development</t>
        </is>
      </c>
      <c r="N522" s="29" t="n"/>
      <c r="O522" s="29" t="n">
        <v>20</v>
      </c>
      <c r="P522" s="28" t="inlineStr">
        <is>
          <t>P2</t>
        </is>
      </c>
      <c r="Q522" s="29" t="inlineStr">
        <is>
          <t>Developing</t>
        </is>
      </c>
      <c r="R522" s="29" t="inlineStr">
        <is>
          <t>3 Apply</t>
        </is>
      </c>
      <c r="S522" s="29" t="inlineStr">
        <is>
          <t>2–4 yrs</t>
        </is>
      </c>
      <c r="T522" s="29" t="inlineStr">
        <is>
          <t>3–5 · 2–5</t>
        </is>
      </c>
      <c r="U522" s="29" t="inlineStr">
        <is>
          <t>Software Engineer</t>
        </is>
      </c>
      <c r="V522" s="29" t="inlineStr">
        <is>
          <t>Workiva: SE · Broadridge India: SE · Nasdaq / AxiomSL: SE · Salesforce: MTS · Atlassian: P40 · 3–7 yrs · Freshworks: Senior SE</t>
        </is>
      </c>
      <c r="W522" s="29" t="inlineStr">
        <is>
          <t>SFIA 9 · software development, programming; OWASP secure coding; cloud vendor certifications</t>
        </is>
      </c>
      <c r="X522" s="29" t="inlineStr">
        <is>
          <t>Core 2 · Future 2 · Functional 3 · Leadership not scored</t>
        </is>
      </c>
      <c r="Y522" s="52" t="n">
        <v>390</v>
      </c>
      <c r="Z522" s="53" t="inlineStr">
        <is>
          <t>IRIS2418</t>
        </is>
      </c>
      <c r="AA522" s="53" t="inlineStr">
        <is>
          <t>Employee</t>
        </is>
      </c>
      <c r="AB522" s="53" t="inlineStr">
        <is>
          <t>Active</t>
        </is>
      </c>
      <c r="AC522" s="53" t="inlineStr">
        <is>
          <t>Omkar Dhumal</t>
        </is>
      </c>
      <c r="AD522" s="54" t="n">
        <v>45880</v>
      </c>
      <c r="AE522" s="53" t="inlineStr">
        <is>
          <t>Software Engineer</t>
        </is>
      </c>
      <c r="AF522" s="53" t="inlineStr">
        <is>
          <t>M.Sc</t>
        </is>
      </c>
      <c r="AG522" s="53" t="inlineStr">
        <is>
          <t>Prachi Digambar Raut</t>
        </is>
      </c>
      <c r="AH522" s="53" t="inlineStr">
        <is>
          <t>N-4</t>
        </is>
      </c>
      <c r="AI522" s="53" t="inlineStr">
        <is>
          <t>Individual Contributor</t>
        </is>
      </c>
      <c r="AJ522" s="53" t="inlineStr">
        <is>
          <t>2 years, 3 months, 0 days</t>
        </is>
      </c>
      <c r="AK522" s="53" t="inlineStr">
        <is>
          <t>1 years, 0 months, 14 days</t>
        </is>
      </c>
      <c r="AL522" s="53" t="inlineStr">
        <is>
          <t>Regtech</t>
        </is>
      </c>
      <c r="AM522" s="53" t="inlineStr">
        <is>
          <t>CARBON</t>
        </is>
      </c>
      <c r="AN522" s="53" t="inlineStr">
        <is>
          <t>Technology</t>
        </is>
      </c>
      <c r="AO522" s="53" t="inlineStr">
        <is>
          <t>Development</t>
        </is>
      </c>
      <c r="AP522" s="53" t="inlineStr">
        <is>
          <t>Yes</t>
        </is>
      </c>
      <c r="AQ522" s="53" t="inlineStr">
        <is>
          <t>Product/Project</t>
        </is>
      </c>
      <c r="AR522" s="53" t="inlineStr">
        <is>
          <t>UI</t>
        </is>
      </c>
      <c r="AS522" s="53" t="inlineStr">
        <is>
          <t>Technical - Developer</t>
        </is>
      </c>
      <c r="AT522" s="53" t="n">
        <v>20</v>
      </c>
      <c r="AU522" s="53" t="inlineStr">
        <is>
          <t>Covered</t>
        </is>
      </c>
      <c r="AV522" s="53" t="inlineStr">
        <is>
          <t>IRIS2418</t>
        </is>
      </c>
      <c r="AW522" s="53" t="inlineStr">
        <is>
          <t>Omkar Dhumal</t>
        </is>
      </c>
      <c r="AX522" s="53" t="inlineStr">
        <is>
          <t>Technology</t>
        </is>
      </c>
      <c r="AY522" s="53" t="inlineStr">
        <is>
          <t>Engineering &amp; Development</t>
        </is>
      </c>
      <c r="AZ522" s="53" t="inlineStr">
        <is>
          <t>Frontend / UI Engineering</t>
        </is>
      </c>
      <c r="BA522" s="53" t="n"/>
      <c r="BB522" s="53" t="n"/>
      <c r="BC522" s="53" t="inlineStr">
        <is>
          <t>Employee</t>
        </is>
      </c>
      <c r="BD522" s="53" t="inlineStr">
        <is>
          <t>Prachi Digambar Raut</t>
        </is>
      </c>
      <c r="BE522" s="53" t="inlineStr">
        <is>
          <t>Prachi Digambar Raut</t>
        </is>
      </c>
      <c r="BF522" s="53" t="inlineStr">
        <is>
          <t>No</t>
        </is>
      </c>
      <c r="BG522" s="53" t="inlineStr">
        <is>
          <t>Software Engineer</t>
        </is>
      </c>
      <c r="BH522" s="53" t="inlineStr">
        <is>
          <t>Software Engineer</t>
        </is>
      </c>
      <c r="BI522" s="53" t="inlineStr">
        <is>
          <t>No</t>
        </is>
      </c>
      <c r="BJ522" s="53" t="inlineStr">
        <is>
          <t>—</t>
        </is>
      </c>
      <c r="BK522" s="53" t="inlineStr">
        <is>
          <t>—</t>
        </is>
      </c>
      <c r="BL522" s="53" t="inlineStr">
        <is>
          <t>—</t>
        </is>
      </c>
      <c r="BM522" s="53" t="inlineStr">
        <is>
          <t>Not a manager</t>
        </is>
      </c>
      <c r="BN522" s="53" t="inlineStr">
        <is>
          <t>—</t>
        </is>
      </c>
      <c r="BO522" s="53" t="inlineStr">
        <is>
          <t>—</t>
        </is>
      </c>
      <c r="BP522" s="53" t="inlineStr">
        <is>
          <t>—</t>
        </is>
      </c>
      <c r="BQ522" s="53" t="inlineStr">
        <is>
          <t>Not a manager</t>
        </is>
      </c>
      <c r="BR522" s="53" t="inlineStr">
        <is>
          <t>—</t>
        </is>
      </c>
      <c r="BS522" s="53" t="inlineStr">
        <is>
          <t>L3 – Professional / Associate</t>
        </is>
      </c>
      <c r="BT522" s="53" t="inlineStr">
        <is>
          <t>L3 – Professional / Associate</t>
        </is>
      </c>
      <c r="BU522" s="53" t="inlineStr">
        <is>
          <t>No designation change — current record value carried forward</t>
        </is>
      </c>
      <c r="BV522" s="53" t="inlineStr">
        <is>
          <t>1. Achieve ≥ 90% sprint delivery adherence by completing committed tasks within agreed timelines with high-quality execution and minimal dependency.
2. Build strong full-stack development capability by contributing to ≥ 50% end-to-end implementation across frontend, backend, database, and API integration.
3. Strengthen ownership by independently driving ≥ 80% assigned stories from requirement understanding to deployment with minimal follow-up.
4. Improve engineering quality by ensuring ≥ 85% deliverables are accepted without major rework and reducing repeated effort by ≥ 40% YoY.
5. Develop strong end-to-end delivery capability by owning complete story implementation including UI, backend logic, testing, validation, and deployment readiness.
6. Increase involvement in team discussions by contributing meaningful inputs in ≥ 50% sprint planning, technical discussions, and solution discussions.
7. Improve solution effectiveness by analyzing and measuring impact of implemented changes through performance improvement, reduced defects, better usability, and business value delivered.</t>
        </is>
      </c>
      <c r="BW522" s="53" t="n"/>
      <c r="BX522" s="53" t="inlineStr">
        <is>
          <t>No input received — attended/was listed as a respondent but did not provide answers to any of the survey questions.</t>
        </is>
      </c>
      <c r="BY522" s="53" t="n"/>
      <c r="BZ522" s="53" t="n"/>
      <c r="CA522" s="53" t="n"/>
      <c r="CB522" s="53" t="n"/>
      <c r="CC522" s="53" t="n"/>
      <c r="CD522" s="53" t="n"/>
      <c r="CE522" s="53" t="n"/>
      <c r="CF522" s="53" t="n"/>
      <c r="CG522" s="53" t="n"/>
      <c r="CH522" s="53" t="n"/>
      <c r="CI522" s="53" t="n"/>
      <c r="CJ522" s="53" t="n"/>
      <c r="CK522" s="53" t="n"/>
      <c r="CL522" s="53" t="n"/>
      <c r="CM522" s="53" t="n"/>
      <c r="CN522" s="53" t="n"/>
      <c r="CO522" s="53" t="n"/>
      <c r="CP522" s="53" t="n"/>
      <c r="CQ522" s="53" t="n"/>
      <c r="CR522" s="53" t="n"/>
      <c r="CS522" s="53" t="n"/>
      <c r="CT522" s="53" t="n"/>
      <c r="CU522" s="53" t="n"/>
      <c r="CV522" s="53" t="n"/>
      <c r="CW522" s="53" t="n"/>
      <c r="CX522" s="53" t="n"/>
      <c r="CY522" s="53" t="n"/>
      <c r="CZ522" s="53" t="n"/>
      <c r="DA522" s="53" t="n"/>
      <c r="DB522" s="53" t="n"/>
      <c r="DC522" s="53" t="n"/>
      <c r="DD522" s="53" t="n"/>
      <c r="DE522" s="53" t="n"/>
      <c r="DF522" s="53" t="n"/>
      <c r="DG522" s="53" t="n"/>
      <c r="DH522" s="53" t="n"/>
      <c r="DI522" s="53" t="n"/>
      <c r="DJ522" s="53" t="n"/>
      <c r="DK522" s="53" t="n"/>
      <c r="DL522" s="53" t="n"/>
      <c r="DM522" s="53" t="n"/>
      <c r="DN522" s="53" t="n"/>
      <c r="DO522" s="53" t="n"/>
      <c r="DP522" s="53" t="n"/>
      <c r="DQ522" s="53" t="n"/>
      <c r="DR522" s="53" t="n"/>
      <c r="DS522" s="53" t="n"/>
      <c r="DT522" s="53" t="n"/>
      <c r="DU522" s="53" t="n"/>
      <c r="DV522" s="53" t="n"/>
      <c r="DW522" s="53" t="n"/>
      <c r="DX522" s="53" t="n"/>
      <c r="DY522" s="53" t="n"/>
      <c r="DZ522" s="53" t="n"/>
      <c r="EA522" s="53" t="n"/>
      <c r="EB522" s="53" t="n"/>
      <c r="EC522" s="53" t="n"/>
      <c r="ED522" s="53" t="n"/>
      <c r="EE522" s="53" t="n"/>
      <c r="EF522" s="53" t="n"/>
      <c r="EG522" s="53" t="n"/>
      <c r="EH522" s="53" t="n"/>
      <c r="EI522" s="53" t="n"/>
      <c r="EJ522" s="53" t="n"/>
      <c r="EK522" s="53" t="n"/>
      <c r="EL522" s="53" t="n"/>
      <c r="EM522" s="53" t="n"/>
      <c r="EN522" s="53" t="n"/>
      <c r="EO522" s="53" t="n"/>
      <c r="EP522" s="53" t="n"/>
      <c r="EQ522" s="53" t="n"/>
      <c r="ER522" s="53" t="n"/>
      <c r="ES522" s="53" t="n"/>
      <c r="ET522" s="53" t="n"/>
      <c r="EU522" s="53" t="n"/>
      <c r="EV522" s="53" t="n"/>
      <c r="EW522" s="52" t="n"/>
      <c r="EX522" s="53" t="inlineStr">
        <is>
          <t>• Role / sub-team: Technology — Software Engineer.
• Core purpose: Input not given by Participant.
• Decision-making autonomy: Input not given by Participant.
• Is this something only they do: Input not given by Participant.</t>
        </is>
      </c>
      <c r="EY522" s="53" t="inlineStr">
        <is>
          <t>• Key responsibilities include: Input not given by Participant.
• Impact if missed or done wrong: Input not given by Participant.
• How measured: Input not given by Participant.</t>
        </is>
      </c>
      <c r="EZ522" s="53" t="inlineStr">
        <is>
          <t>• Current capabilities: Input not given by Participant.
• Tools / software used: Input not given by Participant.</t>
        </is>
      </c>
      <c r="FA522" s="53" t="inlineStr">
        <is>
          <t>• Development priorities: Input not given by Participant.</t>
        </is>
      </c>
      <c r="FB522" s="53" t="inlineStr">
        <is>
          <t>• Key challenges: Input not given by Participant.
• Support required: Input not given by Participant.</t>
        </is>
      </c>
      <c r="FC522" s="53" t="n"/>
      <c r="FD522" s="53" t="n"/>
      <c r="FE522" s="57" t="inlineStr">
        <is>
          <t>1. Achieve ≥ 90% sprint delivery adherence by completing committed tasks within agreed timelines with high-quality execution and minimal dependency.
2. Build strong full-stack development capability by contributing to ≥ 50% end-to-end implementation across frontend, backend, database, and API integration.
3. Strengthen ownership by independently driving ≥ 80% assigned stories from requirement understanding to deployment with minimal follow-up.
4. Improve engineering quality by ensuring ≥ 85% deliverables are accepted without major rework and reducing repeated effort by ≥ 40% YoY.
5. Develop strong end-to-end delivery capability by owning complete story implementation including UI, backend logic, testing, validation, and deployment readiness.
6. Increase involvement in team discussions by contributing meaningful inputs in ≥ 50% sprint planning, technical discussions, and solution discussions.
7. Improve solution effectiveness by analyzing and measuring impact of implemented changes through performance improvement, reduced defects, better usability, and business value delivered.</t>
        </is>
      </c>
      <c r="FF522" s="56" t="n"/>
      <c r="FG522" s="56" t="n"/>
      <c r="FH522" s="56" t="n"/>
      <c r="FI522" s="56" t="n"/>
      <c r="FJ522" s="56" t="inlineStr">
        <is>
          <t>Received · manager annual</t>
        </is>
      </c>
      <c r="FK522" s="56" t="inlineStr">
        <is>
          <t>CARBON Mapping Master</t>
        </is>
      </c>
      <c r="FL522" s="56" t="n">
        <v>20</v>
      </c>
      <c r="FM522" s="56" t="inlineStr">
        <is>
          <t>• Role / sub-team: Technology — Software Engineer.
• Core purpose: Input not given by Participant.
• Decision-making autonomy: Input not given by Participant.
• Is this something only they do: Input not given by Participant.</t>
        </is>
      </c>
      <c r="FN522" s="56" t="inlineStr">
        <is>
          <t>• Key responsibilities include: Input not given by Participant.
• Impact if missed or done wrong: Input not given by Participant.
• How measured: Input not given by Participant.</t>
        </is>
      </c>
      <c r="FO522" s="56" t="inlineStr">
        <is>
          <t>• Current capabilities: Input not given by Participant.
• Tools / software used: Input not given by Participant.</t>
        </is>
      </c>
      <c r="FP522" s="56" t="inlineStr">
        <is>
          <t>• Development priorities: Input not given by Participant.</t>
        </is>
      </c>
      <c r="FQ522" s="56" t="inlineStr">
        <is>
          <t>• Key challenges: Input not given by Participant.
• Support required: Input not given by Participant.</t>
        </is>
      </c>
      <c r="FR522" s="56" t="inlineStr">
        <is>
          <t>Complexity: Evidence reads like A3: UI work across micro-frontends, module federation, multiple frameworks and backend integrations; performance focus → moved up 0.5
Autonomy: Evidence reads like A2: Decides user-experience aspects of own UI work only → matches the start
Accountability: Evidence reads like A2: UI he develops, currently the Disclosure Management add-in interface → matches the start
Leadership: Evidence reads like A1: No guidance of others described → matches the start
Business Impact: No survey or manager-mapping signal on criticality: kept at the start point.</t>
        </is>
      </c>
      <c r="FS522" s="56" t="inlineStr">
        <is>
          <t>Common themes in role-holders' answers: core · purpose · web · improve · business · user-friendly
Common themes in role-holders' answers: ui · user · performance · design · development · testing
Common themes in role-holders' answers: user · app
Common themes in role-holders' answers: development · am · accountable · quality · ui · responsive user-friendly
Common themes in role-holders' answers: code · ui
If the work is missed · role-holders' themes: impact · delivery · performance · overall.
Measured on · manager-set KRA themes: components · sprint · code · coverage · quality · maintain.</t>
        </is>
      </c>
      <c r="FT522" s="56" t="inlineStr">
        <is>
          <t>Self-identified: Answered · no common topic
For the next role: Answered · no common topic</t>
        </is>
      </c>
      <c r="FU522" s="56" t="inlineStr">
        <is>
          <t>Per-person summary · CARBON Mapping Master</t>
        </is>
      </c>
    </row>
    <row r="523" ht="90" customHeight="1">
      <c r="A523" s="51" t="inlineStr">
        <is>
          <t>◂ Back</t>
        </is>
      </c>
      <c r="B523" s="29" t="inlineStr">
        <is>
          <t>Mapped</t>
        </is>
      </c>
      <c r="C523" s="28" t="inlineStr">
        <is>
          <t>CARBON</t>
        </is>
      </c>
      <c r="D523" s="29" t="inlineStr">
        <is>
          <t>IRIS2375</t>
        </is>
      </c>
      <c r="E523" s="29" t="inlineStr">
        <is>
          <t>Shubham Baban Jagtap</t>
        </is>
      </c>
      <c r="F523" s="29" t="inlineStr">
        <is>
          <t>Technology</t>
        </is>
      </c>
      <c r="G523" s="29" t="inlineStr">
        <is>
          <t>Software Engineer</t>
        </is>
      </c>
      <c r="H523" s="29" t="inlineStr">
        <is>
          <t>Senior UI Developer</t>
        </is>
      </c>
      <c r="I523" s="29" t="inlineStr">
        <is>
          <t>L3 – Professional / Associate</t>
        </is>
      </c>
      <c r="J523" s="29" t="inlineStr">
        <is>
          <t>A3</t>
        </is>
      </c>
      <c r="K523" s="29" t="inlineStr">
        <is>
          <t>▲ Up</t>
        </is>
      </c>
      <c r="L523" s="29" t="inlineStr">
        <is>
          <t>Engineering &amp; Development</t>
        </is>
      </c>
      <c r="M523" s="29" t="inlineStr">
        <is>
          <t>Front-End / UI Development</t>
        </is>
      </c>
      <c r="N523" s="29" t="n"/>
      <c r="O523" s="29" t="n">
        <v>19</v>
      </c>
      <c r="P523" s="28" t="inlineStr">
        <is>
          <t>P2</t>
        </is>
      </c>
      <c r="Q523" s="29" t="inlineStr">
        <is>
          <t>Developing</t>
        </is>
      </c>
      <c r="R523" s="29" t="inlineStr">
        <is>
          <t>3 Apply</t>
        </is>
      </c>
      <c r="S523" s="29" t="inlineStr">
        <is>
          <t>2–4 yrs</t>
        </is>
      </c>
      <c r="T523" s="29" t="inlineStr">
        <is>
          <t>3–5 · 2–5</t>
        </is>
      </c>
      <c r="U523" s="29" t="inlineStr">
        <is>
          <t>Software Engineer</t>
        </is>
      </c>
      <c r="V523" s="29" t="inlineStr">
        <is>
          <t>Workiva: SE · Broadridge India: SE · Nasdaq / AxiomSL: SE · Salesforce: MTS · Atlassian: P40 · 3–7 yrs · Freshworks: Senior SE</t>
        </is>
      </c>
      <c r="W523" s="29" t="inlineStr">
        <is>
          <t>SFIA 9 · software development, programming; OWASP secure coding; cloud vendor certifications</t>
        </is>
      </c>
      <c r="X523" s="29" t="inlineStr">
        <is>
          <t>Core 2 · Future 2 · Functional 3 · Leadership not scored</t>
        </is>
      </c>
      <c r="Y523" s="52" t="n">
        <v>371</v>
      </c>
      <c r="Z523" s="53" t="inlineStr">
        <is>
          <t>IRIS2375</t>
        </is>
      </c>
      <c r="AA523" s="53" t="inlineStr">
        <is>
          <t>Employee</t>
        </is>
      </c>
      <c r="AB523" s="53" t="inlineStr">
        <is>
          <t>Active</t>
        </is>
      </c>
      <c r="AC523" s="53" t="inlineStr">
        <is>
          <t>Shubham Baban Jagtap</t>
        </is>
      </c>
      <c r="AD523" s="54" t="n">
        <v>45789</v>
      </c>
      <c r="AE523" s="53" t="inlineStr">
        <is>
          <t>Software Engineer</t>
        </is>
      </c>
      <c r="AF523" s="53" t="inlineStr">
        <is>
          <t>B.E</t>
        </is>
      </c>
      <c r="AG523" s="53" t="inlineStr">
        <is>
          <t>Prachi Digambar Raut</t>
        </is>
      </c>
      <c r="AH523" s="53" t="inlineStr">
        <is>
          <t>N-4</t>
        </is>
      </c>
      <c r="AI523" s="53" t="inlineStr">
        <is>
          <t>Individual Contributor</t>
        </is>
      </c>
      <c r="AJ523" s="53" t="inlineStr">
        <is>
          <t>3 years, 8 months, 0 days</t>
        </is>
      </c>
      <c r="AK523" s="53" t="inlineStr">
        <is>
          <t>1 years, 3 months, 13 days</t>
        </is>
      </c>
      <c r="AL523" s="53" t="inlineStr">
        <is>
          <t>Regtech</t>
        </is>
      </c>
      <c r="AM523" s="53" t="inlineStr">
        <is>
          <t>CARBON</t>
        </is>
      </c>
      <c r="AN523" s="53" t="inlineStr">
        <is>
          <t>Technology</t>
        </is>
      </c>
      <c r="AO523" s="53" t="inlineStr">
        <is>
          <t>Development</t>
        </is>
      </c>
      <c r="AP523" s="53" t="inlineStr">
        <is>
          <t>Yes</t>
        </is>
      </c>
      <c r="AQ523" s="53" t="inlineStr">
        <is>
          <t>Product/Project</t>
        </is>
      </c>
      <c r="AR523" s="53" t="inlineStr">
        <is>
          <t>UI</t>
        </is>
      </c>
      <c r="AS523" s="53" t="inlineStr">
        <is>
          <t>Technical - Developer</t>
        </is>
      </c>
      <c r="AT523" s="53" t="n">
        <v>20</v>
      </c>
      <c r="AU523" s="53" t="inlineStr">
        <is>
          <t>Covered</t>
        </is>
      </c>
      <c r="AV523" s="53" t="inlineStr">
        <is>
          <t>IRIS2375</t>
        </is>
      </c>
      <c r="AW523" s="53" t="inlineStr">
        <is>
          <t>Shubham Baban Jagtap</t>
        </is>
      </c>
      <c r="AX523" s="53" t="inlineStr">
        <is>
          <t>Technology</t>
        </is>
      </c>
      <c r="AY523" s="53" t="inlineStr">
        <is>
          <t>Engineering &amp; Development</t>
        </is>
      </c>
      <c r="AZ523" s="53" t="inlineStr">
        <is>
          <t>Frontend / UI Engineering</t>
        </is>
      </c>
      <c r="BA523" s="53" t="n"/>
      <c r="BB523" s="53" t="n"/>
      <c r="BC523" s="53" t="inlineStr">
        <is>
          <t>Employee</t>
        </is>
      </c>
      <c r="BD523" s="53" t="inlineStr">
        <is>
          <t>Prachi Digambar Raut</t>
        </is>
      </c>
      <c r="BE523" s="53" t="inlineStr">
        <is>
          <t>Prachi Digambar Raut</t>
        </is>
      </c>
      <c r="BF523" s="53" t="inlineStr">
        <is>
          <t>No</t>
        </is>
      </c>
      <c r="BG523" s="53" t="inlineStr">
        <is>
          <t>Software Engineer</t>
        </is>
      </c>
      <c r="BH523" s="53" t="inlineStr">
        <is>
          <t>Software Engineer</t>
        </is>
      </c>
      <c r="BI523" s="53" t="inlineStr">
        <is>
          <t>No</t>
        </is>
      </c>
      <c r="BJ523" s="53" t="inlineStr">
        <is>
          <t>—</t>
        </is>
      </c>
      <c r="BK523" s="53" t="inlineStr">
        <is>
          <t>—</t>
        </is>
      </c>
      <c r="BL523" s="53" t="inlineStr">
        <is>
          <t>—</t>
        </is>
      </c>
      <c r="BM523" s="53" t="inlineStr">
        <is>
          <t>Not a manager</t>
        </is>
      </c>
      <c r="BN523" s="53" t="inlineStr">
        <is>
          <t>—</t>
        </is>
      </c>
      <c r="BO523" s="53" t="inlineStr">
        <is>
          <t>—</t>
        </is>
      </c>
      <c r="BP523" s="53" t="inlineStr">
        <is>
          <t>—</t>
        </is>
      </c>
      <c r="BQ523" s="53" t="inlineStr">
        <is>
          <t>Not a manager</t>
        </is>
      </c>
      <c r="BR523" s="53" t="inlineStr">
        <is>
          <t>—</t>
        </is>
      </c>
      <c r="BS523" s="53" t="inlineStr">
        <is>
          <t>L3 – Professional / Associate</t>
        </is>
      </c>
      <c r="BT523" s="53" t="inlineStr">
        <is>
          <t>L3 – Professional / Associate</t>
        </is>
      </c>
      <c r="BU523" s="53" t="inlineStr">
        <is>
          <t>No designation change — current record value carried forward</t>
        </is>
      </c>
      <c r="BV523" s="53" t="inlineStr">
        <is>
          <t>1. Deliver ≥ 90% committed sprint tasks within agreed timelines with high-quality execution and minimal dependency.
2. Build strong full-stack development capability by contributing to ≥ 40% backend-related tasks and supporting end-to-end feature implementation.
3. Improve engineering quality by ensuring ≥ 85% deliverables are completed without major rework or repeated fixes.
4. Increase involvement in team technical discussions by contributing meaningful inputs in ≥ 50% sprint planning, design, and solution discussions.
5. Strengthen ownership and proactive execution by independently handling ≥ 75% assigned tasks without repeated follow-ups.
6. Improve problem-solving and adaptability by reducing task turnaround time by ≥ 35% Year over year while effectively handling frontend and backend responsibilities.</t>
        </is>
      </c>
      <c r="BW523" s="53" t="n"/>
      <c r="BX523" s="53" t="inlineStr">
        <is>
          <t>Global — no fixed region</t>
        </is>
      </c>
      <c r="BY523" s="53" t="n"/>
      <c r="BZ523" s="53" t="n"/>
      <c r="CA523" s="53" t="n"/>
      <c r="CB523" s="53" t="n"/>
      <c r="CC523" s="53" t="n"/>
      <c r="CD523" s="53" t="n"/>
      <c r="CE523" s="53" t="n"/>
      <c r="CF523" s="53" t="n"/>
      <c r="CG523" s="53" t="n"/>
      <c r="CH523" s="53" t="n"/>
      <c r="CI523" s="53" t="n"/>
      <c r="CJ523" s="53" t="n"/>
      <c r="CK523" s="53" t="n"/>
      <c r="CL523" s="53" t="n"/>
      <c r="CM523" s="53" t="n"/>
      <c r="CN523" s="53" t="n"/>
      <c r="CO523" s="53" t="n"/>
      <c r="CP523" s="53" t="n"/>
      <c r="CQ523" s="53" t="n"/>
      <c r="CR523" s="53" t="n"/>
      <c r="CS523" s="53" t="n"/>
      <c r="CT523" s="53" t="n"/>
      <c r="CU523" s="53" t="n"/>
      <c r="CV523" s="53" t="n"/>
      <c r="CW523" s="53" t="n"/>
      <c r="CX523" s="53" t="n"/>
      <c r="CY523" s="53" t="n"/>
      <c r="CZ523" s="53" t="n"/>
      <c r="DA523" s="53" t="n"/>
      <c r="DB523" s="53" t="n"/>
      <c r="DC523" s="53" t="n"/>
      <c r="DD523" s="53" t="n"/>
      <c r="DE523" s="53" t="n"/>
      <c r="DF523" s="53" t="n"/>
      <c r="DG523" s="53" t="n"/>
      <c r="DH523" s="53" t="n"/>
      <c r="DI523" s="53" t="n"/>
      <c r="DJ523" s="53" t="n"/>
      <c r="DK523" s="53" t="n"/>
      <c r="DL523" s="53" t="n"/>
      <c r="DM523" s="53" t="n"/>
      <c r="DN523" s="53" t="n"/>
      <c r="DO523" s="53" t="n"/>
      <c r="DP523" s="53" t="n"/>
      <c r="DQ523" s="53" t="n"/>
      <c r="DR523" s="53" t="n"/>
      <c r="DS523" s="53" t="n"/>
      <c r="DT523" s="53" t="n"/>
      <c r="DU523" s="53" t="n"/>
      <c r="DV523" s="53" t="n"/>
      <c r="DW523" s="53" t="n"/>
      <c r="DX523" s="53" t="n"/>
      <c r="DY523" s="53" t="n"/>
      <c r="DZ523" s="53" t="n"/>
      <c r="EA523" s="53" t="n"/>
      <c r="EB523" s="53" t="n"/>
      <c r="EC523" s="53" t="n"/>
      <c r="ED523" s="53" t="n"/>
      <c r="EE523" s="53" t="n"/>
      <c r="EF523" s="53" t="n"/>
      <c r="EG523" s="53" t="n"/>
      <c r="EH523" s="53" t="n"/>
      <c r="EI523" s="53" t="n"/>
      <c r="EJ523" s="53" t="n"/>
      <c r="EK523" s="53" t="n"/>
      <c r="EL523" s="53" t="n"/>
      <c r="EM523" s="53" t="n"/>
      <c r="EN523" s="53" t="n"/>
      <c r="EO523" s="53" t="n"/>
      <c r="EP523" s="53" t="n"/>
      <c r="EQ523" s="53" t="n"/>
      <c r="ER523" s="53" t="n"/>
      <c r="ES523" s="53" t="n"/>
      <c r="ET523" s="53" t="n"/>
      <c r="EU523" s="53" t="n"/>
      <c r="EV523" s="53" t="n"/>
      <c r="EW523" s="52" t="n"/>
      <c r="EX523" s="53" t="inlineStr">
        <is>
          <t>Here my role is a software engineer basically a full stack development; shared reusable component</t>
        </is>
      </c>
      <c r="EY523" s="53" t="inlineStr">
        <is>
          <t>ESG; .; UI components; If a decision I made turns out to be wrong, I take ownership, fix it quickly, and loop in the right people so it doesn't repeat.</t>
        </is>
      </c>
      <c r="EZ523" s="53" t="inlineStr">
        <is>
          <t>HTML CSS JS React; Git npm DevTools Figma; Anyone can write working code — what separates doing it well is judgment: knowing when a "quick fix" actually needs a second opinion, catching when a design spec doesn't quite make sense</t>
        </is>
      </c>
      <c r="FA523" s="53" t="inlineStr">
        <is>
          <t>I wish I'd known the team's unwritten conventions and who to ask earlier — I spent a lot of the first 30 days guessing instead of just asking.; Pairing with senior devs; To move to the next level, I'd need more exposure to system/architecture design and making higher-stakes decisions — not just implementing, but deciding how things should be built.</t>
        </is>
      </c>
      <c r="FB523" s="53" t="inlineStr">
        <is>
          <t>Unclear specs requirement; Getting clearer design specs and requirements upfront — it would cut down on back-and-forth and rework later.</t>
        </is>
      </c>
      <c r="FC523" s="53" t="n"/>
      <c r="FD523" s="53" t="n"/>
      <c r="FE523" s="57" t="inlineStr">
        <is>
          <t>1. Deliver ≥ 90% committed sprint tasks within agreed timelines with high-quality execution and minimal dependency.
2. Build strong full-stack development capability by contributing to ≥ 40% backend-related tasks and supporting end-to-end feature implementation.
3. Improve engineering quality by ensuring ≥ 85% deliverables are completed without major rework or repeated fixes.
4. Increase involvement in team technical discussions by contributing meaningful inputs in ≥ 50% sprint planning, design, and solution discussions.
5. Strengthen ownership and proactive execution by independently handling ≥ 75% assigned tasks without repeated follow-ups.
6. Improve problem-solving and adaptability by reducing task turnaround time by ≥ 35% Year over year while effectively handling frontend and backend responsibilities.</t>
        </is>
      </c>
      <c r="FF523" s="56" t="n"/>
      <c r="FG523" s="56" t="n"/>
      <c r="FH523" s="56" t="n"/>
      <c r="FI523" s="56" t="n"/>
      <c r="FJ523" s="56" t="inlineStr">
        <is>
          <t>Received · manager annual</t>
        </is>
      </c>
      <c r="FK523" s="56" t="inlineStr">
        <is>
          <t>CARBON Mapping Master</t>
        </is>
      </c>
      <c r="FL523" s="56" t="n">
        <v>19</v>
      </c>
      <c r="FM523" s="56" t="inlineStr">
        <is>
          <t>Here my role is a software engineer basically a full stack development; shared reusable component</t>
        </is>
      </c>
      <c r="FN523" s="56" t="inlineStr">
        <is>
          <t>ESG; .; UI components; If a decision I made turns out to be wrong, I take ownership, fix it quickly, and loop in the right people so it doesn't repeat.</t>
        </is>
      </c>
      <c r="FO523" s="56" t="inlineStr">
        <is>
          <t>HTML CSS JS React; Git npm DevTools Figma; Anyone can write working code — what separates doing it well is judgment: knowing when a "quick fix" actually needs a second opinion, catching when a design spec doesn't quite make sense</t>
        </is>
      </c>
      <c r="FP523" s="56" t="inlineStr">
        <is>
          <t>I wish I'd known the team's unwritten conventions and who to ask earlier — I spent a lot of the first 30 days guessing instead of just asking.; Pairing with senior devs; To move to the next level, I'd need more exposure to system/architecture design and making higher-stakes decisions — not just implementing, but deciding how things should be built.</t>
        </is>
      </c>
      <c r="FQ523" s="56" t="inlineStr">
        <is>
          <t>Unclear specs requirement; Getting clearer design specs and requirements upfront — it would cut down on back-and-forth and rework later.</t>
        </is>
      </c>
      <c r="FR523" s="56" t="inlineStr">
        <is>
          <t>Business Impact: No survey or manager-mapping signal on criticality: kept at the start point.</t>
        </is>
      </c>
      <c r="FS523" s="56" t="inlineStr">
        <is>
          <t>Common themes in role-holders' answers: core · purpose · web · improve · business · user-friendly
Common themes in role-holders' answers: ui · user · performance · design · development · testing
Common themes in role-holders' answers: user · app
Common themes in role-holders' answers: development · am · accountable · quality · ui · responsive user-friendly
Common themes in role-holders' answers: code · ui
If the work is missed · role-holders' themes: impact · delivery · performance · overall.
Measured on · manager-set KRA themes: components · sprint · code · coverage · quality · maintain.</t>
        </is>
      </c>
      <c r="FT523" s="56" t="inlineStr">
        <is>
          <t>Self-identified: Technical depth &amp; architecture · Strategy &amp; business acumen · Broader exposure &amp; ownership
For the next role: Technical depth &amp; architecture · Strategy &amp; business acumen · Broader exposure &amp; ownership</t>
        </is>
      </c>
      <c r="FU523" s="56" t="inlineStr">
        <is>
          <t>Per-person summary · CARBON Mapping Master</t>
        </is>
      </c>
    </row>
    <row r="524" ht="90" customHeight="1">
      <c r="A524" s="51" t="inlineStr">
        <is>
          <t>◂ Back</t>
        </is>
      </c>
      <c r="B524" s="29" t="inlineStr">
        <is>
          <t>Mapped</t>
        </is>
      </c>
      <c r="C524" s="28" t="inlineStr">
        <is>
          <t>CARBON</t>
        </is>
      </c>
      <c r="D524" s="29" t="inlineStr">
        <is>
          <t>IRIS1797</t>
        </is>
      </c>
      <c r="E524" s="29" t="inlineStr">
        <is>
          <t>Rahul Mejari</t>
        </is>
      </c>
      <c r="F524" s="29" t="inlineStr">
        <is>
          <t>Technology</t>
        </is>
      </c>
      <c r="G524" s="29" t="inlineStr">
        <is>
          <t>Senior UI Developer</t>
        </is>
      </c>
      <c r="H524" s="29" t="inlineStr">
        <is>
          <t>Senior UI Developer</t>
        </is>
      </c>
      <c r="I524" s="29" t="inlineStr">
        <is>
          <t>L4 – Senior</t>
        </is>
      </c>
      <c r="J524" s="29" t="inlineStr">
        <is>
          <t>A3</t>
        </is>
      </c>
      <c r="K524" s="29" t="inlineStr">
        <is>
          <t>• Same level</t>
        </is>
      </c>
      <c r="L524" s="29" t="inlineStr">
        <is>
          <t>Engineering &amp; Development</t>
        </is>
      </c>
      <c r="M524" s="29" t="inlineStr">
        <is>
          <t>Front-End / UI Development</t>
        </is>
      </c>
      <c r="N524" s="29" t="n"/>
      <c r="O524" s="29" t="n">
        <v>20</v>
      </c>
      <c r="P524" s="28" t="inlineStr">
        <is>
          <t>P2</t>
        </is>
      </c>
      <c r="Q524" s="29" t="inlineStr">
        <is>
          <t>Developing</t>
        </is>
      </c>
      <c r="R524" s="29" t="inlineStr">
        <is>
          <t>3 Apply</t>
        </is>
      </c>
      <c r="S524" s="29" t="inlineStr">
        <is>
          <t>2–4 yrs</t>
        </is>
      </c>
      <c r="T524" s="29" t="inlineStr">
        <is>
          <t>3–5 · 2–5</t>
        </is>
      </c>
      <c r="U524" s="29" t="inlineStr">
        <is>
          <t>Software Engineer</t>
        </is>
      </c>
      <c r="V524" s="29" t="inlineStr">
        <is>
          <t>Workiva: SE · Broadridge India: SE · Nasdaq / AxiomSL: SE · Salesforce: MTS · Atlassian: P40 · 3–7 yrs · Freshworks: Senior SE</t>
        </is>
      </c>
      <c r="W524" s="29" t="inlineStr">
        <is>
          <t>SFIA 9 · software development, programming; OWASP secure coding; cloud vendor certifications</t>
        </is>
      </c>
      <c r="X524" s="29" t="inlineStr">
        <is>
          <t>Core 2 · Future 2 · Functional 3 · Leadership not scored</t>
        </is>
      </c>
      <c r="Y524" s="52" t="n">
        <v>158</v>
      </c>
      <c r="Z524" s="53" t="inlineStr">
        <is>
          <t>IRIS1797</t>
        </is>
      </c>
      <c r="AA524" s="53" t="inlineStr">
        <is>
          <t>Employee</t>
        </is>
      </c>
      <c r="AB524" s="53" t="inlineStr">
        <is>
          <t>Active</t>
        </is>
      </c>
      <c r="AC524" s="53" t="inlineStr">
        <is>
          <t>Rahul Mejari</t>
        </is>
      </c>
      <c r="AD524" s="54" t="n">
        <v>43668</v>
      </c>
      <c r="AE524" s="53" t="inlineStr">
        <is>
          <t>Senior UI Developer</t>
        </is>
      </c>
      <c r="AF524" s="53" t="inlineStr">
        <is>
          <t>B.E</t>
        </is>
      </c>
      <c r="AG524" s="53" t="inlineStr">
        <is>
          <t>Sarfaraz Badi</t>
        </is>
      </c>
      <c r="AH524" s="53" t="inlineStr">
        <is>
          <t>N-3</t>
        </is>
      </c>
      <c r="AI524" s="53" t="inlineStr">
        <is>
          <t>Individual Contributor</t>
        </is>
      </c>
      <c r="AJ524" s="53" t="inlineStr">
        <is>
          <t>6 years, 10 months, 0 days</t>
        </is>
      </c>
      <c r="AK524" s="53" t="inlineStr">
        <is>
          <t>7 years, 1 months, 3 days</t>
        </is>
      </c>
      <c r="AL524" s="53" t="inlineStr">
        <is>
          <t>Regtech</t>
        </is>
      </c>
      <c r="AM524" s="53" t="inlineStr">
        <is>
          <t>CARBON</t>
        </is>
      </c>
      <c r="AN524" s="53" t="inlineStr">
        <is>
          <t>Technology</t>
        </is>
      </c>
      <c r="AO524" s="53" t="inlineStr">
        <is>
          <t>UI</t>
        </is>
      </c>
      <c r="AP524" s="53" t="inlineStr">
        <is>
          <t>No</t>
        </is>
      </c>
      <c r="AQ524" s="53" t="inlineStr">
        <is>
          <t>Product/Project</t>
        </is>
      </c>
      <c r="AR524" s="53" t="inlineStr">
        <is>
          <t>UI</t>
        </is>
      </c>
      <c r="AS524" s="53" t="inlineStr">
        <is>
          <t>Technical - Developer</t>
        </is>
      </c>
      <c r="AT524" s="53" t="n">
        <v>20</v>
      </c>
      <c r="AU524" s="53" t="inlineStr">
        <is>
          <t>Covered</t>
        </is>
      </c>
      <c r="AV524" s="53" t="inlineStr">
        <is>
          <t>IRIS1797</t>
        </is>
      </c>
      <c r="AW524" s="53" t="inlineStr">
        <is>
          <t>Rahul Mejari</t>
        </is>
      </c>
      <c r="AX524" s="53" t="inlineStr">
        <is>
          <t>Technology</t>
        </is>
      </c>
      <c r="AY524" s="53" t="inlineStr">
        <is>
          <t>Engineering &amp; Development</t>
        </is>
      </c>
      <c r="AZ524" s="53" t="inlineStr">
        <is>
          <t>Frontend / UI Engineering</t>
        </is>
      </c>
      <c r="BA524" s="53" t="n"/>
      <c r="BB524" s="53" t="n"/>
      <c r="BC524" s="53" t="inlineStr">
        <is>
          <t>Employee</t>
        </is>
      </c>
      <c r="BD524" s="53" t="inlineStr">
        <is>
          <t>Sarfaraz Badi</t>
        </is>
      </c>
      <c r="BE524" s="53" t="inlineStr">
        <is>
          <t>Sarfaraz Badi</t>
        </is>
      </c>
      <c r="BF524" s="53" t="inlineStr">
        <is>
          <t>No</t>
        </is>
      </c>
      <c r="BG524" s="53" t="inlineStr">
        <is>
          <t>Senior UI Developer</t>
        </is>
      </c>
      <c r="BH524" s="53" t="inlineStr">
        <is>
          <t>Senior UI Developer</t>
        </is>
      </c>
      <c r="BI524" s="53" t="inlineStr">
        <is>
          <t>No</t>
        </is>
      </c>
      <c r="BJ524" s="53" t="inlineStr">
        <is>
          <t>—</t>
        </is>
      </c>
      <c r="BK524" s="53" t="inlineStr">
        <is>
          <t>—</t>
        </is>
      </c>
      <c r="BL524" s="53" t="inlineStr">
        <is>
          <t>—</t>
        </is>
      </c>
      <c r="BM524" s="53" t="inlineStr">
        <is>
          <t>Not a manager</t>
        </is>
      </c>
      <c r="BN524" s="53" t="inlineStr">
        <is>
          <t>—</t>
        </is>
      </c>
      <c r="BO524" s="53" t="inlineStr">
        <is>
          <t>—</t>
        </is>
      </c>
      <c r="BP524" s="53" t="inlineStr">
        <is>
          <t>—</t>
        </is>
      </c>
      <c r="BQ524" s="53" t="inlineStr">
        <is>
          <t>Not a manager</t>
        </is>
      </c>
      <c r="BR524" s="53" t="inlineStr">
        <is>
          <t>—</t>
        </is>
      </c>
      <c r="BS524" s="53" t="inlineStr">
        <is>
          <t>L4 – Senior</t>
        </is>
      </c>
      <c r="BT524" s="53" t="inlineStr">
        <is>
          <t>L4 – Senior</t>
        </is>
      </c>
      <c r="BU524" s="53" t="inlineStr">
        <is>
          <t>No designation change — current record value carried forward</t>
        </is>
      </c>
      <c r="BV524" s="53" t="inlineStr">
        <is>
          <t>1. Ensure consistent sprint and release delivery by achieving ≥ 92% committed task completion within agreed timelines while maintaining high-quality execution.
2. Demonstrate strong ownership by independently driving critical modules/features and completing ≥ 85% assigned deliverables with minimal follow-up.
3. Improve engineering effectiveness by reducing rework and repeated effort by ≥ 50% YoY and ensuring ≥ 90% deliverables are accepted with minimal revisions.
4. Actively contribute to team success by participating in ≥ 70% design, sprint planning, architecture, and solution discussions with valuable technical inputs.
5. Strengthen full-stack engineering capability by contributing to ≥ 50% end-to-end implementations including backend integration and technical solutioning.
6. Exhibit leadership readiness by mentoring team members, proactively resolving blockers, influencing technical decisions, and conducting minimum 4 knowledge-sharing sessions annually.</t>
        </is>
      </c>
      <c r="BW524" s="53" t="n"/>
      <c r="BX524" s="53" t="inlineStr">
        <is>
          <t>Global Multiple Regions</t>
        </is>
      </c>
      <c r="BY524" s="53" t="n"/>
      <c r="BZ524" s="53" t="n"/>
      <c r="CA524" s="53" t="n"/>
      <c r="CB524" s="53" t="n"/>
      <c r="CC524" s="53" t="n"/>
      <c r="CD524" s="53" t="n"/>
      <c r="CE524" s="53" t="n"/>
      <c r="CF524" s="53" t="n"/>
      <c r="CG524" s="53" t="n"/>
      <c r="CH524" s="53" t="n"/>
      <c r="CI524" s="53" t="n"/>
      <c r="CJ524" s="53" t="n"/>
      <c r="CK524" s="53" t="n"/>
      <c r="CL524" s="53" t="n"/>
      <c r="CM524" s="53" t="n"/>
      <c r="CN524" s="53" t="n"/>
      <c r="CO524" s="53" t="n"/>
      <c r="CP524" s="53" t="n"/>
      <c r="CQ524" s="53" t="n"/>
      <c r="CR524" s="53" t="n"/>
      <c r="CS524" s="53" t="n"/>
      <c r="CT524" s="53" t="n"/>
      <c r="CU524" s="53" t="n"/>
      <c r="CV524" s="53" t="n"/>
      <c r="CW524" s="53" t="n"/>
      <c r="CX524" s="53" t="n"/>
      <c r="CY524" s="53" t="n"/>
      <c r="CZ524" s="53" t="n"/>
      <c r="DA524" s="53" t="n"/>
      <c r="DB524" s="53" t="n"/>
      <c r="DC524" s="53" t="n"/>
      <c r="DD524" s="53" t="n"/>
      <c r="DE524" s="53" t="n"/>
      <c r="DF524" s="53" t="n"/>
      <c r="DG524" s="53" t="n"/>
      <c r="DH524" s="53" t="n"/>
      <c r="DI524" s="53" t="n"/>
      <c r="DJ524" s="53" t="n"/>
      <c r="DK524" s="53" t="n"/>
      <c r="DL524" s="53" t="n"/>
      <c r="DM524" s="53" t="n"/>
      <c r="DN524" s="53" t="n"/>
      <c r="DO524" s="53" t="n"/>
      <c r="DP524" s="53" t="n"/>
      <c r="DQ524" s="53" t="n"/>
      <c r="DR524" s="53" t="n"/>
      <c r="DS524" s="53" t="n"/>
      <c r="DT524" s="53" t="n"/>
      <c r="DU524" s="53" t="n"/>
      <c r="DV524" s="53" t="n"/>
      <c r="DW524" s="53" t="n"/>
      <c r="DX524" s="53" t="n"/>
      <c r="DY524" s="53" t="n"/>
      <c r="DZ524" s="53" t="n"/>
      <c r="EA524" s="53" t="n"/>
      <c r="EB524" s="53" t="n"/>
      <c r="EC524" s="53" t="n"/>
      <c r="ED524" s="53" t="n"/>
      <c r="EE524" s="53" t="n"/>
      <c r="EF524" s="53" t="n"/>
      <c r="EG524" s="53" t="n"/>
      <c r="EH524" s="53" t="n"/>
      <c r="EI524" s="53" t="n"/>
      <c r="EJ524" s="53" t="n"/>
      <c r="EK524" s="53" t="n"/>
      <c r="EL524" s="53" t="n"/>
      <c r="EM524" s="53" t="n"/>
      <c r="EN524" s="53" t="n"/>
      <c r="EO524" s="53" t="n"/>
      <c r="EP524" s="53" t="n"/>
      <c r="EQ524" s="53" t="n"/>
      <c r="ER524" s="53" t="n"/>
      <c r="ES524" s="53" t="n"/>
      <c r="ET524" s="53" t="n"/>
      <c r="EU524" s="53" t="n"/>
      <c r="EV524" s="53" t="n"/>
      <c r="EW524" s="52" t="n"/>
      <c r="EX524" s="53" t="inlineStr">
        <is>
          <t>The core purpose of my role is to translate business and user requirements into scalable, high-quality, and user-friendly frontend solutions.; Decide code approach</t>
        </is>
      </c>
      <c r="EY524" s="53" t="inlineStr">
        <is>
          <t>I deliver scalable app; I am personally accountable for the quality, reliability, performance, and maintainability of the web application solutions I own. I am personally accountable for the quality and reliability of the UI solutions I own, including correct implementation of requirements, responsive and user-friendly design, code quality.; UI Architechture - Code; If any of these responsibilities are missed or done incorrectly, it can lead to UI defects, rework, performance or usability issues, delays in delivery, and potential impact on overall product.</t>
        </is>
      </c>
      <c r="EZ524" s="53" t="inlineStr">
        <is>
          <t>HTML CSS ReactJS; React JS; Yes. Beyond technical skills, the role requires strong judgment in understanding requirements, identifying risks and dependencies</t>
        </is>
      </c>
      <c r="FA524" s="53" t="inlineStr">
        <is>
          <t>I wish I had understood business workflows, key dependencies, deployment process, and existing technical challenges earlier.; technical discussions; I would like to strengthen my skills in mentoring, stakeholder communication, and making architectural and technical decisions.</t>
        </is>
      </c>
      <c r="FB524" s="53" t="inlineStr">
        <is>
          <t>Changing requirements; better technical planning, and earlier coordination across Product, UI, Backend, QA, and DevOps to reduce rework and improve delivery efficiency.</t>
        </is>
      </c>
      <c r="FC524" s="53" t="n"/>
      <c r="FD524" s="53" t="n"/>
      <c r="FE524" s="57" t="inlineStr">
        <is>
          <t>1. Ensure consistent sprint and release delivery by achieving ≥ 92% committed task completion within agreed timelines while maintaining high-quality execution.
2. Demonstrate strong ownership by independently driving critical modules/features and completing ≥ 85% assigned deliverables with minimal follow-up.
3. Improve engineering effectiveness by reducing rework and repeated effort by ≥ 50% YoY and ensuring ≥ 90% deliverables are accepted with minimal revisions.
4. Actively contribute to team success by participating in ≥ 70% design, sprint planning, architecture, and solution discussions with valuable technical inputs.
5. Strengthen full-stack engineering capability by contributing to ≥ 50% end-to-end implementations including backend integration and technical solutioning.
6. Exhibit leadership readiness by mentoring team members, proactively resolving blockers, influencing technical decisions, and conducting minimum 4 knowledge-sharing sessions annually.</t>
        </is>
      </c>
      <c r="FF524" s="56" t="n"/>
      <c r="FG524" s="56" t="n"/>
      <c r="FH524" s="56" t="n"/>
      <c r="FI524" s="56" t="n"/>
      <c r="FJ524" s="56" t="inlineStr">
        <is>
          <t>Received · manager annual</t>
        </is>
      </c>
      <c r="FK524" s="56" t="inlineStr">
        <is>
          <t>CARBON Mapping Master</t>
        </is>
      </c>
      <c r="FL524" s="56" t="n">
        <v>20</v>
      </c>
      <c r="FM524" s="56" t="inlineStr">
        <is>
          <t>The core purpose of my role is to translate business and user requirements into scalable, high-quality, and user-friendly frontend solutions.; Decide code approach</t>
        </is>
      </c>
      <c r="FN524" s="56" t="inlineStr">
        <is>
          <t>I deliver scalable app; I am personally accountable for the quality, reliability, performance, and maintainability of the web application solutions I own. I am personally accountable for the quality and reliability of the UI solutions I own, including correct implementation of requirements, responsive and user-friendly design, code quality.; UI Architechture - Code; If any of these responsibilities are missed or done incorrectly, it can lead to UI defects, rework, performance or usability issues, delays in delivery, and potential impact on overall product.</t>
        </is>
      </c>
      <c r="FO524" s="56" t="inlineStr">
        <is>
          <t>HTML CSS ReactJS; React JS; Yes. Beyond technical skills, the role requires strong judgment in understanding requirements, identifying risks and dependencies</t>
        </is>
      </c>
      <c r="FP524" s="56" t="inlineStr">
        <is>
          <t>I wish I had understood business workflows, key dependencies, deployment process, and existing technical challenges earlier.; technical discussions; I would like to strengthen my skills in mentoring, stakeholder communication, and making architectural and technical decisions.</t>
        </is>
      </c>
      <c r="FQ524" s="56" t="inlineStr">
        <is>
          <t>Changing requirements; better technical planning, and earlier coordination across Product, UI, Backend, QA, and DevOps to reduce rework and improve delivery efficiency.</t>
        </is>
      </c>
      <c r="FR524" s="56" t="inlineStr">
        <is>
          <t>Complexity: Evidence reads like A2: React/HTML/CSS front-end coding; 'UI architecture' named without any concrete example → moved down 0.5
Autonomy: Evidence reads like A2: Decides the code approach → moved down 0.5
Accountability: Evidence reads like A2: own survey / KRA answers · summarised by the rater; not quoted → moved down 0.5
Leadership: Evidence reads like A1: No guiding or reviewing of others described → moved down 0.5
Business Impact: No survey or manager-mapping signal on criticality: kept at the start point.</t>
        </is>
      </c>
      <c r="FS524" s="56" t="inlineStr">
        <is>
          <t>Common themes in role-holders' answers: core · purpose · web · improve · business · user-friendly
Common themes in role-holders' answers: ui · user · performance · design · development · testing
Common themes in role-holders' answers: user · app
Common themes in role-holders' answers: development · am · accountable · quality · ui · responsive user-friendly
Common themes in role-holders' answers: code · ui
If the work is missed · role-holders' themes: impact · delivery · performance · overall.
Measured on · manager-set KRA themes: components · sprint · code · coverage · quality · maintain.</t>
        </is>
      </c>
      <c r="FT524" s="56" t="inlineStr">
        <is>
          <t>Self-identified: Leadership &amp; people management · Technical depth &amp; architecture · Client, sales &amp; stakeholders · Communication &amp; presentation · Strategy &amp; business acumen
For the next role: Leadership &amp; people management · Technical depth &amp; architecture · Client, sales &amp; stakeholders · Communication &amp; presentation · Strategy &amp; business acumen</t>
        </is>
      </c>
      <c r="FU524" s="56" t="inlineStr">
        <is>
          <t>Per-person summary · CARBON Mapping Master</t>
        </is>
      </c>
    </row>
    <row r="525" ht="90" customHeight="1">
      <c r="A525" s="51" t="inlineStr">
        <is>
          <t>◂ Back</t>
        </is>
      </c>
      <c r="B525" s="29" t="inlineStr">
        <is>
          <t>Mapped</t>
        </is>
      </c>
      <c r="C525" s="28" t="inlineStr">
        <is>
          <t>CARBON</t>
        </is>
      </c>
      <c r="D525" s="29" t="inlineStr">
        <is>
          <t>IRIS1535</t>
        </is>
      </c>
      <c r="E525" s="29" t="inlineStr">
        <is>
          <t>Siddhesh Kadam</t>
        </is>
      </c>
      <c r="F525" s="29" t="inlineStr">
        <is>
          <t>Technology</t>
        </is>
      </c>
      <c r="G525" s="29" t="inlineStr">
        <is>
          <t>Senior Software Engineer</t>
        </is>
      </c>
      <c r="H525" s="29" t="inlineStr">
        <is>
          <t>Senior Technical Specialist – POD Lead</t>
        </is>
      </c>
      <c r="I525" s="29" t="inlineStr">
        <is>
          <t>L4 – Senior</t>
        </is>
      </c>
      <c r="J525" s="29" t="inlineStr">
        <is>
          <t>B2</t>
        </is>
      </c>
      <c r="K525" s="29" t="inlineStr">
        <is>
          <t>▲ Up</t>
        </is>
      </c>
      <c r="L525" s="29" t="inlineStr">
        <is>
          <t>Engineering &amp; Development</t>
        </is>
      </c>
      <c r="M525" s="29" t="inlineStr">
        <is>
          <t>Backend Development</t>
        </is>
      </c>
      <c r="N525" s="29" t="inlineStr">
        <is>
          <t>• Confirm the reporting line — Manager</t>
        </is>
      </c>
      <c r="O525" s="29" t="n">
        <v>20</v>
      </c>
      <c r="P525" s="28" t="inlineStr">
        <is>
          <t>P4 / M3</t>
        </is>
      </c>
      <c r="Q525" s="29" t="inlineStr">
        <is>
          <t>Senior / Manager</t>
        </is>
      </c>
      <c r="R525" s="29" t="inlineStr">
        <is>
          <t>4–5</t>
        </is>
      </c>
      <c r="S525" s="29" t="inlineStr">
        <is>
          <t>6–9 yrs</t>
        </is>
      </c>
      <c r="T525" s="29" t="inlineStr">
        <is>
          <t>7–10 · 6–11</t>
        </is>
      </c>
      <c r="U525" s="29" t="inlineStr">
        <is>
          <t>Lead / Staff Engineer</t>
        </is>
      </c>
      <c r="V525" s="29" t="inlineStr">
        <is>
          <t>Workiva: Senior SE · Broadridge India: Lead SE · Nasdaq / AxiomSL: Senior SE · Salesforce: SMTS · Atlassian: P50 Senior · 6–12 yrs · Freshworks: Lead SE</t>
        </is>
      </c>
      <c r="W525" s="29" t="inlineStr">
        <is>
          <t>SFIA 9 · software development, programming; OWASP secure coding; cloud vendor certifications</t>
        </is>
      </c>
      <c r="X525" s="29" t="inlineStr">
        <is>
          <t>Core 3 · Future 3 · Functional 4 · Leadership 3</t>
        </is>
      </c>
      <c r="Y525" s="52" t="n">
        <v>125</v>
      </c>
      <c r="Z525" s="53" t="inlineStr">
        <is>
          <t>IRIS1535</t>
        </is>
      </c>
      <c r="AA525" s="53" t="inlineStr">
        <is>
          <t>Employee</t>
        </is>
      </c>
      <c r="AB525" s="53" t="inlineStr">
        <is>
          <t>Active</t>
        </is>
      </c>
      <c r="AC525" s="53" t="inlineStr">
        <is>
          <t>Siddhesh Kadam</t>
        </is>
      </c>
      <c r="AD525" s="54" t="n">
        <v>42115</v>
      </c>
      <c r="AE525" s="53" t="inlineStr">
        <is>
          <t>Senior Software Engineer</t>
        </is>
      </c>
      <c r="AF525" s="53" t="inlineStr">
        <is>
          <t>B.E</t>
        </is>
      </c>
      <c r="AG525" s="53" t="inlineStr">
        <is>
          <t>Ashish Singhvi</t>
        </is>
      </c>
      <c r="AH525" s="53" t="inlineStr">
        <is>
          <t>N-2</t>
        </is>
      </c>
      <c r="AI525" s="53" t="inlineStr">
        <is>
          <t>Manager</t>
        </is>
      </c>
      <c r="AJ525" s="53" t="inlineStr">
        <is>
          <t>0 years, 0 months, 0 days</t>
        </is>
      </c>
      <c r="AK525" s="53" t="inlineStr">
        <is>
          <t>11 years, 4 months, 4 days</t>
        </is>
      </c>
      <c r="AL525" s="53" t="inlineStr">
        <is>
          <t>Regtech</t>
        </is>
      </c>
      <c r="AM525" s="53" t="inlineStr">
        <is>
          <t>CARBON</t>
        </is>
      </c>
      <c r="AN525" s="53" t="inlineStr">
        <is>
          <t>Technology</t>
        </is>
      </c>
      <c r="AO525" s="53" t="inlineStr">
        <is>
          <t>Development</t>
        </is>
      </c>
      <c r="AP525" s="53" t="inlineStr">
        <is>
          <t>Yes</t>
        </is>
      </c>
      <c r="AQ525" s="53" t="inlineStr">
        <is>
          <t>Product/Project</t>
        </is>
      </c>
      <c r="AR525" s="53" t="inlineStr">
        <is>
          <t>.NET MVC</t>
        </is>
      </c>
      <c r="AS525" s="53" t="inlineStr">
        <is>
          <t>Technical - Developer</t>
        </is>
      </c>
      <c r="AT525" s="53" t="n">
        <v>20</v>
      </c>
      <c r="AU525" s="53" t="inlineStr">
        <is>
          <t>Covered</t>
        </is>
      </c>
      <c r="AV525" s="53" t="inlineStr">
        <is>
          <t>IRIS1535</t>
        </is>
      </c>
      <c r="AW525" s="53" t="inlineStr">
        <is>
          <t>Siddhesh Kadam</t>
        </is>
      </c>
      <c r="AX525" s="53" t="inlineStr">
        <is>
          <t>Technology</t>
        </is>
      </c>
      <c r="AY525" s="53" t="inlineStr">
        <is>
          <t>Engineering &amp; Development</t>
        </is>
      </c>
      <c r="AZ525" s="53" t="inlineStr">
        <is>
          <t>Full-Stack Engineering</t>
        </is>
      </c>
      <c r="BA525" s="53" t="n"/>
      <c r="BB525" s="53" t="n"/>
      <c r="BC525" s="53" t="inlineStr">
        <is>
          <t>Employee</t>
        </is>
      </c>
      <c r="BD525" s="53" t="inlineStr">
        <is>
          <t>Ashish Singhvi</t>
        </is>
      </c>
      <c r="BE525" s="53" t="inlineStr">
        <is>
          <t>Ashish Singhvi</t>
        </is>
      </c>
      <c r="BF525" s="53" t="inlineStr">
        <is>
          <t>No</t>
        </is>
      </c>
      <c r="BG525" s="53" t="inlineStr">
        <is>
          <t>Senior Software Engineer</t>
        </is>
      </c>
      <c r="BH525" s="53" t="inlineStr">
        <is>
          <t>Senior Software Engineer</t>
        </is>
      </c>
      <c r="BI525" s="53" t="inlineStr">
        <is>
          <t>No</t>
        </is>
      </c>
      <c r="BJ525" s="53" t="n">
        <v>2</v>
      </c>
      <c r="BK525" s="53" t="n">
        <v>2</v>
      </c>
      <c r="BL525" s="53" t="n">
        <v>0</v>
      </c>
      <c r="BM525" s="53" t="inlineStr">
        <is>
          <t>Consolidate / flatten</t>
        </is>
      </c>
      <c r="BN525" s="53" t="n">
        <v>2</v>
      </c>
      <c r="BO525" s="53" t="n">
        <v>2</v>
      </c>
      <c r="BP525" s="53" t="n">
        <v>0</v>
      </c>
      <c r="BQ525" s="53" t="inlineStr">
        <is>
          <t>Consolidate / flatten</t>
        </is>
      </c>
      <c r="BR525" s="53" t="inlineStr">
        <is>
          <t>No</t>
        </is>
      </c>
      <c r="BS525" s="53" t="inlineStr">
        <is>
          <t>L4 – Senior</t>
        </is>
      </c>
      <c r="BT525" s="53" t="inlineStr">
        <is>
          <t>L4 – Senior</t>
        </is>
      </c>
      <c r="BU525" s="53" t="inlineStr">
        <is>
          <t>No designation change — current record value carried forward</t>
        </is>
      </c>
      <c r="BV525" s="53" t="inlineStr">
        <is>
          <t>1.Design, build, and maintain minimum 4 reusable organization-wide platforms/tools · such as Scanning Portal, ETL utilities, RFP Portal, pXBRL utilities to improve engineering productivity.
2.Ensure ≥ 80% adoption of developed internal portals/tools by relevant teams across the organization through enablement and training.
3.Improve project delivery predictability by achieving ≥ 90% on-time completion for assigned adhoc, innovation, and platform tasks.
4.Reduce manual operational effort for engineering teams by ≥ 40% through automation, DevOps utilities, and reusable workflows.
5.Conduct minimum 6 internal knowledge-sharing / training sessions annually to train teams on developed tools and frameworks.
6.Build DevOps competency and contribute to CI/CD, deployment automation, infrastructure monitoring, and adhoc engineering support, resolving ≥ 85% support requests within agreed SLA</t>
        </is>
      </c>
      <c r="BW525" s="53" t="n"/>
      <c r="BX525" s="53" t="inlineStr">
        <is>
          <t>Golbal.</t>
        </is>
      </c>
      <c r="BY525" s="53" t="n"/>
      <c r="BZ525" s="53" t="n"/>
      <c r="CA525" s="53" t="n"/>
      <c r="CB525" s="53" t="n"/>
      <c r="CC525" s="53" t="n"/>
      <c r="CD525" s="53" t="n"/>
      <c r="CE525" s="53" t="n"/>
      <c r="CF525" s="53" t="n"/>
      <c r="CG525" s="53" t="n"/>
      <c r="CH525" s="53" t="n"/>
      <c r="CI525" s="53" t="n"/>
      <c r="CJ525" s="53" t="n"/>
      <c r="CK525" s="53" t="n"/>
      <c r="CL525" s="53" t="n"/>
      <c r="CM525" s="53" t="n"/>
      <c r="CN525" s="53" t="n"/>
      <c r="CO525" s="53" t="n"/>
      <c r="CP525" s="53" t="n"/>
      <c r="CQ525" s="53" t="n"/>
      <c r="CR525" s="53" t="n"/>
      <c r="CS525" s="53" t="n"/>
      <c r="CT525" s="53" t="n"/>
      <c r="CU525" s="53" t="n"/>
      <c r="CV525" s="53" t="n"/>
      <c r="CW525" s="53" t="n"/>
      <c r="CX525" s="53" t="n"/>
      <c r="CY525" s="53" t="n"/>
      <c r="CZ525" s="53" t="n"/>
      <c r="DA525" s="53" t="n"/>
      <c r="DB525" s="53" t="n"/>
      <c r="DC525" s="53" t="n"/>
      <c r="DD525" s="53" t="n"/>
      <c r="DE525" s="53" t="n"/>
      <c r="DF525" s="53" t="n"/>
      <c r="DG525" s="53" t="n"/>
      <c r="DH525" s="53" t="n"/>
      <c r="DI525" s="53" t="n"/>
      <c r="DJ525" s="53" t="n"/>
      <c r="DK525" s="53" t="n"/>
      <c r="DL525" s="53" t="n"/>
      <c r="DM525" s="53" t="n"/>
      <c r="DN525" s="53" t="n"/>
      <c r="DO525" s="53" t="n"/>
      <c r="DP525" s="53" t="n"/>
      <c r="DQ525" s="53" t="n"/>
      <c r="DR525" s="53" t="n"/>
      <c r="DS525" s="53" t="n"/>
      <c r="DT525" s="53" t="n"/>
      <c r="DU525" s="53" t="n"/>
      <c r="DV525" s="53" t="n"/>
      <c r="DW525" s="53" t="n"/>
      <c r="DX525" s="53" t="n"/>
      <c r="DY525" s="53" t="n"/>
      <c r="DZ525" s="53" t="n"/>
      <c r="EA525" s="53" t="n"/>
      <c r="EB525" s="53" t="n"/>
      <c r="EC525" s="53" t="n"/>
      <c r="ED525" s="53" t="n"/>
      <c r="EE525" s="53" t="n"/>
      <c r="EF525" s="53" t="n"/>
      <c r="EG525" s="53" t="n"/>
      <c r="EH525" s="53" t="n"/>
      <c r="EI525" s="53" t="n"/>
      <c r="EJ525" s="53" t="n"/>
      <c r="EK525" s="53" t="n"/>
      <c r="EL525" s="53" t="n"/>
      <c r="EM525" s="53" t="n"/>
      <c r="EN525" s="53" t="n"/>
      <c r="EO525" s="53" t="n"/>
      <c r="EP525" s="53" t="n"/>
      <c r="EQ525" s="53" t="n"/>
      <c r="ER525" s="53" t="n"/>
      <c r="ES525" s="53" t="n"/>
      <c r="ET525" s="53" t="n"/>
      <c r="EU525" s="53" t="n"/>
      <c r="EV525" s="53" t="n"/>
      <c r="EW525" s="52" t="n"/>
      <c r="EX525" s="53" t="inlineStr">
        <is>
          <t>• Role / sub-team: Technology — Senior Software Engineer.
• Core purpose: Design, develop, and maintain reliable software solutions while contributing technical expertise to the team.
• Decision-making autonomy: Can independently design develop debug.
• Is this something only they do: My level of ownership and responsibility for complex technical tasks is higher.
• What's different about this role: The main difference is the level of technical ownership, complexity, and responsibility, along with deeper knowledge of the product, systems.</t>
        </is>
      </c>
      <c r="EY525" s="53" t="inlineStr">
        <is>
          <t>• Key responsibilities include: Software Development; Technical Problem Solving; Feature Delivery; Code Review Quality; Production Support.
• Personally accountable for: I am responsible for making sure my work is correct, reliable, delivered on time, and any issues in my area are properly identified and fixed.
• Impact if missed or done wrong: It can cause delays, bugs, rework, or impact other team members, so I need to identify issues early and make sure they are resolved properly.
• How measured: Additional focus on technical quality, ownership, delivery, and solving complex issues.</t>
        </is>
      </c>
      <c r="EZ525" s="53" t="inlineStr">
        <is>
          <t>• Current capabilities: Software development; system design; debugging; database knowledge; API development; problem-solving.
• Tools / software used: Git IDEs databases APIs; CICD cloud platforms; AI development tools.
• Workload: Rated a heavy load · 4/5 in a typical week.
• Judgment/way of working: Good judgment,ownership, understanding business needs, and choosing practical solutions while balancing quality, time, and risk.</t>
        </is>
      </c>
      <c r="FA525" s="53" t="inlineStr">
        <is>
          <t>• Development priorities: Advanced system architecture, technical leadership, stakeholder management, and broader business and product understanding.
• Learning and Development Need: Hands-on project experien; code reviews. A clearer understanding of the product, system architecture, priorities, and team processes would have helped me become effective faster.
• Role evolving toward: Yes, the role is evolving with increased use of AI tools, modern technologies, automation, and greater focus on technical ownership and efficiency.</t>
        </is>
      </c>
      <c r="FB525" s="53" t="inlineStr">
        <is>
          <t>• Key challenges: Changing priorities; unclear requirements; cross-team dependencies.
• Support required: Clearer requirements, better documentation, and faster cross-team communication.</t>
        </is>
      </c>
      <c r="FC525" s="53" t="n"/>
      <c r="FD525" s="53" t="n"/>
      <c r="FE525" s="57" t="inlineStr">
        <is>
          <t>1.Design, build, and maintain minimum 4 reusable organization-wide platforms/tools · such as Scanning Portal, ETL utilities, RFP Portal, pXBRL utilities to improve engineering productivity.
2.Ensure ≥ 80% adoption of developed internal portals/tools by relevant teams across the organization through enablement and training.
3.Improve project delivery predictability by achieving ≥ 90% on-time completion for assigned adhoc, innovation, and platform tasks.
4.Reduce manual operational effort for engineering teams by ≥ 40% through automation, DevOps utilities, and reusable workflows.
5.Conduct minimum 6 internal knowledge-sharing / training sessions annually to train teams on developed tools and frameworks.
6.Build DevOps competency and contribute to CI/CD, deployment automation, infrastructure monitoring, and adhoc engineering support, resolving ≥ 85% support requests within agreed SLA</t>
        </is>
      </c>
      <c r="FF525" s="56" t="n"/>
      <c r="FG525" s="56" t="n"/>
      <c r="FH525" s="56" t="n"/>
      <c r="FI525" s="56" t="n"/>
      <c r="FJ525" s="56" t="inlineStr">
        <is>
          <t>Received · manager annual</t>
        </is>
      </c>
      <c r="FK525" s="56" t="inlineStr">
        <is>
          <t>CARBON Mapping Master</t>
        </is>
      </c>
      <c r="FL525" s="56" t="n">
        <v>20</v>
      </c>
      <c r="FM525" s="56" t="inlineStr">
        <is>
          <t>• Role / sub-team: Technology — Senior Software Engineer.
• Core purpose: Design, develop, and maintain reliable software solutions while contributing technical expertise to the team.
• Decision-making autonomy: Can independently design develop debug.
• Is this something only they do: My level of ownership and responsibility for complex technical tasks is higher.
• What's different about this role: The main difference is the level of technical ownership, complexity, and responsibility, along with deeper knowledge of the product, systems.</t>
        </is>
      </c>
      <c r="FN525" s="56" t="inlineStr">
        <is>
          <t>• Key responsibilities include: Software Development; Technical Problem Solving; Feature Delivery; Code Review Quality; Production Support.
• Personally accountable for: I am responsible for making sure my work is correct, reliable, delivered on time, and any issues in my area are properly identified and fixed.
• Impact if missed or done wrong: It can cause delays, bugs, rework, or impact other team members, so I need to identify issues early and make sure they are resolved properly.
• How measured: Additional focus on technical quality, ownership, delivery, and solving complex issues.</t>
        </is>
      </c>
      <c r="FO525" s="56" t="inlineStr">
        <is>
          <t>• Current capabilities: Software development; system design; debugging; database knowledge; API development; problem-solving.
• Tools / software used: Git IDEs databases APIs; CICD cloud platforms; AI development tools.
• Workload: Rated a heavy load · 4/5 in a typical week.
• Judgment/way of working: Good judgment,ownership, understanding business needs, and choosing practical solutions while balancing quality, time, and risk.</t>
        </is>
      </c>
      <c r="FP525" s="56" t="inlineStr">
        <is>
          <t>• Development priorities: Advanced system architecture, technical leadership, stakeholder management, and broader business and product understanding.
• Learning and Development Need: Hands-on project experien; code reviews. A clearer understanding of the product, system architecture, priorities, and team processes would have helped me become effective faster.
• Role evolving toward: Yes, the role is evolving with increased use of AI tools, modern technologies, automation, and greater focus on technical ownership and efficiency.</t>
        </is>
      </c>
      <c r="FQ525" s="56" t="inlineStr">
        <is>
          <t>• Key challenges: Changing priorities; unclear requirements; cross-team dependencies.
• Support required: Clearer requirements, better documentation, and faster cross-team communication.</t>
        </is>
      </c>
      <c r="FR525" s="56" t="inlineStr">
        <is>
          <t>Business Impact: No survey or manager-mapping signal on criticality: kept at the start point.</t>
        </is>
      </c>
      <c r="FS525" s="56" t="inlineStr">
        <is>
          <t>Common themes in role-holders' answers: solutions · technical · reliable · scalable · software · business
Common themes in role-holders' answers: delivery · technical · code · solution design · ownership · leadership
Common themes in role-holders' answers: documentation · features · software · produce · deliver
Common themes in role-holders' answers: design · am · accountable · solution · technical · delivery
Common themes in role-holders' answers: technical · approach · design · implementation · ai · code
If the work is missed · role-holders' themes: rework · client · impact · production · issues.
Measured on · manager-set KRA themes: modules · coverage · complete · components · committed · sprint.</t>
        </is>
      </c>
      <c r="FT525" s="56" t="inlineStr">
        <is>
          <t>Self-identified: Leadership &amp; people management · Technical depth &amp; architecture · Product &amp; tool knowledge · Client, sales &amp; stakeholders
For the next role: Leadership &amp; people management · Technical depth &amp; architecture · Product &amp; tool knowledge · Client, sales &amp; stakeholders</t>
        </is>
      </c>
      <c r="FU525" s="56" t="inlineStr">
        <is>
          <t>Per-person summary · CARBON Mapping Master</t>
        </is>
      </c>
    </row>
    <row r="526" ht="90" customHeight="1">
      <c r="A526" s="51" t="inlineStr">
        <is>
          <t>◂ Back</t>
        </is>
      </c>
      <c r="B526" s="29" t="inlineStr">
        <is>
          <t>Mapped</t>
        </is>
      </c>
      <c r="C526" s="28" t="inlineStr">
        <is>
          <t>CARBON</t>
        </is>
      </c>
      <c r="D526" s="29" t="inlineStr">
        <is>
          <t>IRIS1890</t>
        </is>
      </c>
      <c r="E526" s="29" t="inlineStr">
        <is>
          <t>Hetal Chauhan</t>
        </is>
      </c>
      <c r="F526" s="29" t="inlineStr">
        <is>
          <t>Technology</t>
        </is>
      </c>
      <c r="G526" s="29" t="inlineStr">
        <is>
          <t>Software Engineer</t>
        </is>
      </c>
      <c r="H526" s="29" t="inlineStr">
        <is>
          <t>Technical Specialist – POD Lead</t>
        </is>
      </c>
      <c r="I526" s="29" t="inlineStr">
        <is>
          <t>L3 – Professional / Associate</t>
        </is>
      </c>
      <c r="J526" s="29" t="inlineStr">
        <is>
          <t>B1</t>
        </is>
      </c>
      <c r="K526" s="29" t="inlineStr">
        <is>
          <t>▲ Up</t>
        </is>
      </c>
      <c r="L526" s="29" t="inlineStr">
        <is>
          <t>Engineering &amp; Development</t>
        </is>
      </c>
      <c r="M526" s="29" t="inlineStr">
        <is>
          <t>Backend Development</t>
        </is>
      </c>
      <c r="N526" s="29" t="inlineStr">
        <is>
          <t>• Confirm the reporting line — Manager</t>
        </is>
      </c>
      <c r="O526" s="29" t="n">
        <v>19</v>
      </c>
      <c r="P526" s="28" t="inlineStr">
        <is>
          <t>P3 / M2</t>
        </is>
      </c>
      <c r="Q526" s="29" t="inlineStr">
        <is>
          <t>Career / · Team Lead</t>
        </is>
      </c>
      <c r="R526" s="29" t="inlineStr">
        <is>
          <t>4 Enable</t>
        </is>
      </c>
      <c r="S526" s="29" t="inlineStr">
        <is>
          <t>4–7 yrs</t>
        </is>
      </c>
      <c r="T526" s="29" t="inlineStr">
        <is>
          <t>5–8 · 4–8</t>
        </is>
      </c>
      <c r="U526" s="29" t="inlineStr">
        <is>
          <t>Senior Software Engineer</t>
        </is>
      </c>
      <c r="V526" s="29" t="inlineStr">
        <is>
          <t>Workiva: SE / Senior SE · Broadridge India: Senior SE · Nasdaq / AxiomSL: Senior SE · Salesforce: MTS · Atlassian: P40 · Freshworks: Senior SE</t>
        </is>
      </c>
      <c r="W526" s="29" t="inlineStr">
        <is>
          <t>SFIA 9 · software development, programming; OWASP secure coding; cloud vendor certifications</t>
        </is>
      </c>
      <c r="X526" s="29" t="inlineStr">
        <is>
          <t>Core 3 · Future 3 · Functional 3 · Leadership 2</t>
        </is>
      </c>
      <c r="Y526" s="52" t="n">
        <v>175</v>
      </c>
      <c r="Z526" s="53" t="inlineStr">
        <is>
          <t>IRIS1890</t>
        </is>
      </c>
      <c r="AA526" s="53" t="inlineStr">
        <is>
          <t>Employee</t>
        </is>
      </c>
      <c r="AB526" s="53" t="inlineStr">
        <is>
          <t>Active</t>
        </is>
      </c>
      <c r="AC526" s="53" t="inlineStr">
        <is>
          <t>Hetal Chauhan</t>
        </is>
      </c>
      <c r="AD526" s="54" t="n">
        <v>44200</v>
      </c>
      <c r="AE526" s="53" t="inlineStr">
        <is>
          <t>Software Engineer</t>
        </is>
      </c>
      <c r="AF526" s="53" t="inlineStr">
        <is>
          <t>MCA</t>
        </is>
      </c>
      <c r="AG526" s="53" t="inlineStr">
        <is>
          <t>Siddhesh Kadam</t>
        </is>
      </c>
      <c r="AH526" s="53" t="inlineStr">
        <is>
          <t>N-3</t>
        </is>
      </c>
      <c r="AI526" s="53" t="inlineStr">
        <is>
          <t>Manager</t>
        </is>
      </c>
      <c r="AJ526" s="53" t="inlineStr">
        <is>
          <t>11 years, 1 months, 0 days</t>
        </is>
      </c>
      <c r="AK526" s="53" t="inlineStr">
        <is>
          <t>5 years, 7 months, 21 days</t>
        </is>
      </c>
      <c r="AL526" s="53" t="inlineStr">
        <is>
          <t>Regtech</t>
        </is>
      </c>
      <c r="AM526" s="53" t="inlineStr">
        <is>
          <t>CARBON</t>
        </is>
      </c>
      <c r="AN526" s="53" t="inlineStr">
        <is>
          <t>Technology</t>
        </is>
      </c>
      <c r="AO526" s="53" t="inlineStr">
        <is>
          <t>Development</t>
        </is>
      </c>
      <c r="AP526" s="53" t="inlineStr">
        <is>
          <t>Yes</t>
        </is>
      </c>
      <c r="AQ526" s="53" t="inlineStr">
        <is>
          <t>Product/Project</t>
        </is>
      </c>
      <c r="AR526" s="53" t="inlineStr">
        <is>
          <t>.NET MVC</t>
        </is>
      </c>
      <c r="AS526" s="53" t="inlineStr">
        <is>
          <t>Technical - Developer</t>
        </is>
      </c>
      <c r="AT526" s="53" t="n">
        <v>20</v>
      </c>
      <c r="AU526" s="53" t="inlineStr">
        <is>
          <t>Covered</t>
        </is>
      </c>
      <c r="AV526" s="53" t="inlineStr">
        <is>
          <t>IRIS1890</t>
        </is>
      </c>
      <c r="AW526" s="53" t="inlineStr">
        <is>
          <t>Hetal Chauhan</t>
        </is>
      </c>
      <c r="AX526" s="53" t="inlineStr">
        <is>
          <t>Technology</t>
        </is>
      </c>
      <c r="AY526" s="53" t="inlineStr">
        <is>
          <t>Engineering &amp; Development</t>
        </is>
      </c>
      <c r="AZ526" s="53" t="inlineStr">
        <is>
          <t>Backend Engineering ·.NET</t>
        </is>
      </c>
      <c r="BA526" s="53" t="n"/>
      <c r="BB526" s="53" t="n"/>
      <c r="BC526" s="53" t="inlineStr">
        <is>
          <t>Employee</t>
        </is>
      </c>
      <c r="BD526" s="53" t="inlineStr">
        <is>
          <t>Siddhesh Kadam</t>
        </is>
      </c>
      <c r="BE526" s="53" t="inlineStr">
        <is>
          <t>Siddhesh Kadam</t>
        </is>
      </c>
      <c r="BF526" s="53" t="inlineStr">
        <is>
          <t>No</t>
        </is>
      </c>
      <c r="BG526" s="53" t="inlineStr">
        <is>
          <t>Software Engineer</t>
        </is>
      </c>
      <c r="BH526" s="53" t="inlineStr">
        <is>
          <t>Software Engineer</t>
        </is>
      </c>
      <c r="BI526" s="53" t="inlineStr">
        <is>
          <t>No</t>
        </is>
      </c>
      <c r="BJ526" s="53" t="n">
        <v>3</v>
      </c>
      <c r="BK526" s="53" t="n">
        <v>3</v>
      </c>
      <c r="BL526" s="53" t="n">
        <v>0</v>
      </c>
      <c r="BM526" s="53" t="inlineStr">
        <is>
          <t>Review</t>
        </is>
      </c>
      <c r="BN526" s="53" t="n">
        <v>3</v>
      </c>
      <c r="BO526" s="53" t="n">
        <v>3</v>
      </c>
      <c r="BP526" s="53" t="n">
        <v>0</v>
      </c>
      <c r="BQ526" s="53" t="inlineStr">
        <is>
          <t>Review</t>
        </is>
      </c>
      <c r="BR526" s="53" t="inlineStr">
        <is>
          <t>No</t>
        </is>
      </c>
      <c r="BS526" s="53" t="inlineStr">
        <is>
          <t>L3 – Professional / Associate</t>
        </is>
      </c>
      <c r="BT526" s="53" t="inlineStr">
        <is>
          <t>L3 – Professional / Associate</t>
        </is>
      </c>
      <c r="BU526" s="53" t="inlineStr">
        <is>
          <t>No designation change — current record value carried forward</t>
        </is>
      </c>
      <c r="BV526" s="53" t="inlineStr">
        <is>
          <t>1.Deliver ≥ 95% committed tasks for legacy and current CARBON modules within agreed timelines with high-quality execution.
2.Maintain stable ownership of legacy CARBON stack and ensure ≥ 90% critical production issues are resolved within agreed SLA.
3.Improve design and architecture capability by contributing to ≥ 40% technical design discussions and proposing scalable solutions.
4.Reduce repeated production/support issues by ≥ 35% YoY through root-cause analysis and preventive improvements.
5.Maintain strong engineering standards with ≥ 90% code quality compliance and participation in ≥ 70% relevant code reviews.
6.Learn minimum 1 new technology stack/framework relevant to CARBON and independently lead minimum 1 critical initiative by FY end.</t>
        </is>
      </c>
      <c r="BW526" s="53" t="n"/>
      <c r="BX526" s="53" t="inlineStr">
        <is>
          <t>No input received — attended/was listed as a respondent but did not provide answers to any of the survey questions.</t>
        </is>
      </c>
      <c r="BY526" s="53" t="n"/>
      <c r="BZ526" s="53" t="n"/>
      <c r="CA526" s="53" t="n"/>
      <c r="CB526" s="53" t="n"/>
      <c r="CC526" s="53" t="n"/>
      <c r="CD526" s="53" t="n"/>
      <c r="CE526" s="53" t="n"/>
      <c r="CF526" s="53" t="n"/>
      <c r="CG526" s="53" t="n"/>
      <c r="CH526" s="53" t="n"/>
      <c r="CI526" s="53" t="n"/>
      <c r="CJ526" s="53" t="n"/>
      <c r="CK526" s="53" t="n"/>
      <c r="CL526" s="53" t="n"/>
      <c r="CM526" s="53" t="n"/>
      <c r="CN526" s="53" t="n"/>
      <c r="CO526" s="53" t="n"/>
      <c r="CP526" s="53" t="n"/>
      <c r="CQ526" s="53" t="n"/>
      <c r="CR526" s="53" t="n"/>
      <c r="CS526" s="53" t="n"/>
      <c r="CT526" s="53" t="n"/>
      <c r="CU526" s="53" t="n"/>
      <c r="CV526" s="53" t="n"/>
      <c r="CW526" s="53" t="n"/>
      <c r="CX526" s="53" t="n"/>
      <c r="CY526" s="53" t="n"/>
      <c r="CZ526" s="53" t="n"/>
      <c r="DA526" s="53" t="n"/>
      <c r="DB526" s="53" t="n"/>
      <c r="DC526" s="53" t="n"/>
      <c r="DD526" s="53" t="n"/>
      <c r="DE526" s="53" t="n"/>
      <c r="DF526" s="53" t="n"/>
      <c r="DG526" s="53" t="n"/>
      <c r="DH526" s="53" t="n"/>
      <c r="DI526" s="53" t="n"/>
      <c r="DJ526" s="53" t="n"/>
      <c r="DK526" s="53" t="n"/>
      <c r="DL526" s="53" t="n"/>
      <c r="DM526" s="53" t="n"/>
      <c r="DN526" s="53" t="n"/>
      <c r="DO526" s="53" t="n"/>
      <c r="DP526" s="53" t="n"/>
      <c r="DQ526" s="53" t="n"/>
      <c r="DR526" s="53" t="n"/>
      <c r="DS526" s="53" t="n"/>
      <c r="DT526" s="53" t="n"/>
      <c r="DU526" s="53" t="n"/>
      <c r="DV526" s="53" t="n"/>
      <c r="DW526" s="53" t="n"/>
      <c r="DX526" s="53" t="n"/>
      <c r="DY526" s="53" t="n"/>
      <c r="DZ526" s="53" t="n"/>
      <c r="EA526" s="53" t="n"/>
      <c r="EB526" s="53" t="n"/>
      <c r="EC526" s="53" t="n"/>
      <c r="ED526" s="53" t="n"/>
      <c r="EE526" s="53" t="n"/>
      <c r="EF526" s="53" t="n"/>
      <c r="EG526" s="53" t="n"/>
      <c r="EH526" s="53" t="n"/>
      <c r="EI526" s="53" t="n"/>
      <c r="EJ526" s="53" t="n"/>
      <c r="EK526" s="53" t="n"/>
      <c r="EL526" s="53" t="n"/>
      <c r="EM526" s="53" t="n"/>
      <c r="EN526" s="53" t="n"/>
      <c r="EO526" s="53" t="n"/>
      <c r="EP526" s="53" t="n"/>
      <c r="EQ526" s="53" t="n"/>
      <c r="ER526" s="53" t="n"/>
      <c r="ES526" s="53" t="n"/>
      <c r="ET526" s="53" t="n"/>
      <c r="EU526" s="53" t="n"/>
      <c r="EV526" s="53" t="n"/>
      <c r="EW526" s="52" t="n"/>
      <c r="EX526" s="53" t="inlineStr">
        <is>
          <t>• Role / sub-team: Technology — Software Engineer.
• Core purpose: Input not given by Participant.
• Decision-making autonomy: Input not given by Participant.
• Is this something only they do: Input not given by Participant.</t>
        </is>
      </c>
      <c r="EY526" s="53" t="inlineStr">
        <is>
          <t>• Key responsibilities include: Input not given by Participant.
• Impact if missed or done wrong: Input not given by Participant.
• How measured: Input not given by Participant.</t>
        </is>
      </c>
      <c r="EZ526" s="53" t="inlineStr">
        <is>
          <t>• Current capabilities: Input not given by Participant.
• Tools / software used: Input not given by Participant.</t>
        </is>
      </c>
      <c r="FA526" s="53" t="inlineStr">
        <is>
          <t>• Development priorities: Input not given by Participant.</t>
        </is>
      </c>
      <c r="FB526" s="53" t="inlineStr">
        <is>
          <t>• Key challenges: Input not given by Participant.
• Support required: Input not given by Participant.</t>
        </is>
      </c>
      <c r="FC526" s="53" t="n"/>
      <c r="FD526" s="53" t="n"/>
      <c r="FE526" s="57" t="inlineStr">
        <is>
          <t>1.Deliver ≥ 95% committed tasks for legacy and current CARBON modules within agreed timelines with high-quality execution.
2.Maintain stable ownership of legacy CARBON stack and ensure ≥ 90% critical production issues are resolved within agreed SLA.
3.Improve design and architecture capability by contributing to ≥ 40% technical design discussions and proposing scalable solutions.
4.Reduce repeated production/support issues by ≥ 35% YoY through root-cause analysis and preventive improvements.
5.Maintain strong engineering standards with ≥ 90% code quality compliance and participation in ≥ 70% relevant code reviews.
6.Learn minimum 1 new technology stack/framework relevant to CARBON and independently lead minimum 1 critical initiative by FY end.</t>
        </is>
      </c>
      <c r="FF526" s="56" t="n"/>
      <c r="FG526" s="56" t="n"/>
      <c r="FH526" s="56" t="n"/>
      <c r="FI526" s="56" t="n"/>
      <c r="FJ526" s="56" t="inlineStr">
        <is>
          <t>Received · manager annual</t>
        </is>
      </c>
      <c r="FK526" s="56" t="inlineStr">
        <is>
          <t>CARBON Mapping Master</t>
        </is>
      </c>
      <c r="FL526" s="56" t="n">
        <v>19</v>
      </c>
      <c r="FM526" s="56" t="inlineStr">
        <is>
          <t>• Role / sub-team: Technology — Software Engineer.
• Core purpose: Input not given by Participant.
• Decision-making autonomy: Input not given by Participant.
• Is this something only they do: Input not given by Participant.</t>
        </is>
      </c>
      <c r="FN526" s="56" t="inlineStr">
        <is>
          <t>• Key responsibilities include: Input not given by Participant.
• Impact if missed or done wrong: Input not given by Participant.
• How measured: Input not given by Participant.</t>
        </is>
      </c>
      <c r="FO526" s="56" t="inlineStr">
        <is>
          <t>• Current capabilities: Input not given by Participant.
• Tools / software used: Input not given by Participant.</t>
        </is>
      </c>
      <c r="FP526" s="56" t="inlineStr">
        <is>
          <t>• Development priorities: Input not given by Participant.</t>
        </is>
      </c>
      <c r="FQ526" s="56" t="inlineStr">
        <is>
          <t>• Key challenges: Input not given by Participant.
• Support required: Input not given by Participant.</t>
        </is>
      </c>
      <c r="FR526" s="56" t="inlineStr">
        <is>
          <t>Complexity: Evidence reads like A3: Development plus requirement analysis, live-issue quick fixes and guiding team members; answers are brief → moved up 0.5
Autonomy: Evidence reads like A3: Decides quick fixes of live issues on his own → matches the start
Accountability: Evidence reads like A3: On-time delivery of product requirements; errors pass wrong message to customer → moved down 0.5
Leadership: Evidence reads like A3: States 'guide team member' twice; 3 reports, no allocation or review described → moved down 0.5
Business Impact: No survey or manager-mapping signal on criticality: kept at the start point.</t>
        </is>
      </c>
      <c r="FS526" s="56" t="inlineStr">
        <is>
          <t>Common themes in role-holders' answers: technical · members · guide · lead · time · support
Common themes in role-holders' answers: development · requirement · testing · support · software · solution
Common themes in role-holders' answers: features · technical · issue · code · releases
Common themes in role-holders' answers: code · requirement · delivery · changes · am · delivering
Common themes in role-holders' answers: technical · approach · decisions · process · issue · code
If the work is missed · role-holders' themes: timeline · delays · rework.
Measured on · manager-set KRA themes: reduce · production · time · quarterly · incidents resolved · stability critical.</t>
        </is>
      </c>
      <c r="FT526" s="56" t="inlineStr">
        <is>
          <t>Self-identified: AI / automation
For the next role: AI / automation</t>
        </is>
      </c>
      <c r="FU526" s="56" t="inlineStr">
        <is>
          <t>Per-person summary · CARBON Mapping Master</t>
        </is>
      </c>
    </row>
    <row r="527" ht="90" customHeight="1">
      <c r="A527" s="51" t="inlineStr">
        <is>
          <t>◂ Back</t>
        </is>
      </c>
      <c r="B527" s="29" t="inlineStr">
        <is>
          <t>Mapped</t>
        </is>
      </c>
      <c r="C527" s="28" t="inlineStr">
        <is>
          <t>CARBON</t>
        </is>
      </c>
      <c r="D527" s="29" t="inlineStr">
        <is>
          <t>IRIS2280</t>
        </is>
      </c>
      <c r="E527" s="29" t="inlineStr">
        <is>
          <t>Harsh Borad</t>
        </is>
      </c>
      <c r="F527" s="29" t="inlineStr">
        <is>
          <t>Technology</t>
        </is>
      </c>
      <c r="G527" s="29" t="inlineStr">
        <is>
          <t>Software Engineer</t>
        </is>
      </c>
      <c r="H527" s="29" t="inlineStr">
        <is>
          <t>Senior Software Engineer</t>
        </is>
      </c>
      <c r="I527" s="29" t="inlineStr">
        <is>
          <t>L3 – Professional / Associate</t>
        </is>
      </c>
      <c r="J527" s="29" t="inlineStr">
        <is>
          <t>A3</t>
        </is>
      </c>
      <c r="K527" s="29" t="inlineStr">
        <is>
          <t>▲ Up</t>
        </is>
      </c>
      <c r="L527" s="29" t="inlineStr">
        <is>
          <t>Engineering &amp; Development</t>
        </is>
      </c>
      <c r="M527" s="29" t="inlineStr">
        <is>
          <t>Full-Stack Development</t>
        </is>
      </c>
      <c r="N527" s="29" t="n"/>
      <c r="O527" s="29" t="n">
        <v>20</v>
      </c>
      <c r="P527" s="28" t="inlineStr">
        <is>
          <t>P2</t>
        </is>
      </c>
      <c r="Q527" s="29" t="inlineStr">
        <is>
          <t>Developing</t>
        </is>
      </c>
      <c r="R527" s="29" t="inlineStr">
        <is>
          <t>3 Apply</t>
        </is>
      </c>
      <c r="S527" s="29" t="inlineStr">
        <is>
          <t>2–4 yrs</t>
        </is>
      </c>
      <c r="T527" s="29" t="inlineStr">
        <is>
          <t>3–5 · 2–5</t>
        </is>
      </c>
      <c r="U527" s="29" t="inlineStr">
        <is>
          <t>Software Engineer</t>
        </is>
      </c>
      <c r="V527" s="29" t="inlineStr">
        <is>
          <t>Workiva: SE · Broadridge India: SE · Nasdaq / AxiomSL: SE · Salesforce: MTS · Atlassian: P40 · 3–7 yrs · Freshworks: Senior SE</t>
        </is>
      </c>
      <c r="W527" s="29" t="inlineStr">
        <is>
          <t>SFIA 9 · software development, programming; OWASP secure coding; cloud vendor certifications</t>
        </is>
      </c>
      <c r="X527" s="29" t="inlineStr">
        <is>
          <t>Core 2 · Future 2 · Functional 3 · Leadership not scored</t>
        </is>
      </c>
      <c r="Y527" s="52" t="n">
        <v>326</v>
      </c>
      <c r="Z527" s="53" t="inlineStr">
        <is>
          <t>IRIS2280</t>
        </is>
      </c>
      <c r="AA527" s="53" t="inlineStr">
        <is>
          <t>Employee</t>
        </is>
      </c>
      <c r="AB527" s="53" t="inlineStr">
        <is>
          <t>Active</t>
        </is>
      </c>
      <c r="AC527" s="53" t="inlineStr">
        <is>
          <t>Harsh Borad</t>
        </is>
      </c>
      <c r="AD527" s="54" t="n">
        <v>45474</v>
      </c>
      <c r="AE527" s="53" t="inlineStr">
        <is>
          <t>Software Engineer</t>
        </is>
      </c>
      <c r="AF527" s="53" t="inlineStr">
        <is>
          <t>B.Tech</t>
        </is>
      </c>
      <c r="AG527" s="53" t="inlineStr">
        <is>
          <t>Hetal Chauhan</t>
        </is>
      </c>
      <c r="AH527" s="53" t="inlineStr">
        <is>
          <t>N-4</t>
        </is>
      </c>
      <c r="AI527" s="53" t="inlineStr">
        <is>
          <t>Individual Contributor</t>
        </is>
      </c>
      <c r="AJ527" s="53" t="inlineStr">
        <is>
          <t>0 years, 2 months, 0 days</t>
        </is>
      </c>
      <c r="AK527" s="53" t="inlineStr">
        <is>
          <t>2 years, 1 months, 24 days</t>
        </is>
      </c>
      <c r="AL527" s="53" t="inlineStr">
        <is>
          <t>Regtech</t>
        </is>
      </c>
      <c r="AM527" s="53" t="inlineStr">
        <is>
          <t>CARBON</t>
        </is>
      </c>
      <c r="AN527" s="53" t="inlineStr">
        <is>
          <t>Technology</t>
        </is>
      </c>
      <c r="AO527" s="53" t="inlineStr">
        <is>
          <t>Development</t>
        </is>
      </c>
      <c r="AP527" s="53" t="inlineStr">
        <is>
          <t>Yes</t>
        </is>
      </c>
      <c r="AQ527" s="53" t="inlineStr">
        <is>
          <t>Product/Project</t>
        </is>
      </c>
      <c r="AR527" s="53" t="inlineStr">
        <is>
          <t>.NET MVC + Angular</t>
        </is>
      </c>
      <c r="AS527" s="53" t="inlineStr">
        <is>
          <t>Technical - Developer</t>
        </is>
      </c>
      <c r="AT527" s="53" t="n">
        <v>20</v>
      </c>
      <c r="AU527" s="53" t="inlineStr">
        <is>
          <t>Covered</t>
        </is>
      </c>
      <c r="AV527" s="53" t="inlineStr">
        <is>
          <t>IRIS2280</t>
        </is>
      </c>
      <c r="AW527" s="53" t="inlineStr">
        <is>
          <t>Harsh Borad</t>
        </is>
      </c>
      <c r="AX527" s="53" t="inlineStr">
        <is>
          <t>Technology</t>
        </is>
      </c>
      <c r="AY527" s="53" t="inlineStr">
        <is>
          <t>Engineering &amp; Development</t>
        </is>
      </c>
      <c r="AZ527" s="53" t="inlineStr">
        <is>
          <t>Frontend / UI Engineering</t>
        </is>
      </c>
      <c r="BA527" s="53" t="n"/>
      <c r="BB527" s="53" t="n"/>
      <c r="BC527" s="53" t="inlineStr">
        <is>
          <t>Employee</t>
        </is>
      </c>
      <c r="BD527" s="53" t="inlineStr">
        <is>
          <t>Hetal Chauhan</t>
        </is>
      </c>
      <c r="BE527" s="53" t="inlineStr">
        <is>
          <t>Hetal Chauhan</t>
        </is>
      </c>
      <c r="BF527" s="53" t="inlineStr">
        <is>
          <t>No</t>
        </is>
      </c>
      <c r="BG527" s="53" t="inlineStr">
        <is>
          <t>Software Engineer</t>
        </is>
      </c>
      <c r="BH527" s="53" t="inlineStr">
        <is>
          <t>Software Engineer</t>
        </is>
      </c>
      <c r="BI527" s="53" t="inlineStr">
        <is>
          <t>No</t>
        </is>
      </c>
      <c r="BJ527" s="53" t="inlineStr">
        <is>
          <t>—</t>
        </is>
      </c>
      <c r="BK527" s="53" t="inlineStr">
        <is>
          <t>—</t>
        </is>
      </c>
      <c r="BL527" s="53" t="inlineStr">
        <is>
          <t>—</t>
        </is>
      </c>
      <c r="BM527" s="53" t="inlineStr">
        <is>
          <t>Not a manager</t>
        </is>
      </c>
      <c r="BN527" s="53" t="inlineStr">
        <is>
          <t>—</t>
        </is>
      </c>
      <c r="BO527" s="53" t="inlineStr">
        <is>
          <t>—</t>
        </is>
      </c>
      <c r="BP527" s="53" t="inlineStr">
        <is>
          <t>—</t>
        </is>
      </c>
      <c r="BQ527" s="53" t="inlineStr">
        <is>
          <t>Not a manager</t>
        </is>
      </c>
      <c r="BR527" s="53" t="inlineStr">
        <is>
          <t>—</t>
        </is>
      </c>
      <c r="BS527" s="53" t="inlineStr">
        <is>
          <t>L3 – Professional / Associate</t>
        </is>
      </c>
      <c r="BT527" s="53" t="inlineStr">
        <is>
          <t>L3 – Professional / Associate</t>
        </is>
      </c>
      <c r="BU527" s="53" t="inlineStr">
        <is>
          <t>No designation change — current record value carried forward</t>
        </is>
      </c>
      <c r="BV527" s="53" t="inlineStr">
        <is>
          <t>1.Deliver ≥ 85% committed frontend tasks within agreed timelines with improved execution speed and quality.
2.Improve execution speed and reduce task completion turnaround time by ≥ 35% YoY.
3.Reduce dependency on detailed task-level guidance by independently completing ≥ 70% assigned tasks by FY end.
4.Strengthen frontend capability in advanced React, reusable component design, UI optimization, and frontend architecture, contributing to ≥ 25% technical discussions.
5.Improve engineering quality by achieving ≥ 80% first-time-right delivery and reducing rework by ≥ 30% YoY.
6.Take ownership of minimum 1–2 frontend initiatives annually · reusable components, UI enhancement, design automation, etc..</t>
        </is>
      </c>
      <c r="BW527" s="53" t="n"/>
      <c r="BX527" s="53" t="inlineStr">
        <is>
          <t>US - ESMA; Global.</t>
        </is>
      </c>
      <c r="BY527" s="53" t="n"/>
      <c r="BZ527" s="53" t="n"/>
      <c r="CA527" s="53" t="n"/>
      <c r="CB527" s="53" t="n"/>
      <c r="CC527" s="53" t="n"/>
      <c r="CD527" s="53" t="n"/>
      <c r="CE527" s="53" t="n"/>
      <c r="CF527" s="53" t="n"/>
      <c r="CG527" s="53" t="n"/>
      <c r="CH527" s="53" t="n"/>
      <c r="CI527" s="53" t="n"/>
      <c r="CJ527" s="53" t="n"/>
      <c r="CK527" s="53" t="n"/>
      <c r="CL527" s="53" t="n"/>
      <c r="CM527" s="53" t="n"/>
      <c r="CN527" s="53" t="n"/>
      <c r="CO527" s="53" t="n"/>
      <c r="CP527" s="53" t="n"/>
      <c r="CQ527" s="53" t="n"/>
      <c r="CR527" s="53" t="n"/>
      <c r="CS527" s="53" t="n"/>
      <c r="CT527" s="53" t="n"/>
      <c r="CU527" s="53" t="n"/>
      <c r="CV527" s="53" t="n"/>
      <c r="CW527" s="53" t="n"/>
      <c r="CX527" s="53" t="n"/>
      <c r="CY527" s="53" t="n"/>
      <c r="CZ527" s="53" t="n"/>
      <c r="DA527" s="53" t="n"/>
      <c r="DB527" s="53" t="n"/>
      <c r="DC527" s="53" t="n"/>
      <c r="DD527" s="53" t="n"/>
      <c r="DE527" s="53" t="n"/>
      <c r="DF527" s="53" t="n"/>
      <c r="DG527" s="53" t="n"/>
      <c r="DH527" s="53" t="n"/>
      <c r="DI527" s="53" t="n"/>
      <c r="DJ527" s="53" t="n"/>
      <c r="DK527" s="53" t="n"/>
      <c r="DL527" s="53" t="n"/>
      <c r="DM527" s="53" t="n"/>
      <c r="DN527" s="53" t="n"/>
      <c r="DO527" s="53" t="n"/>
      <c r="DP527" s="53" t="n"/>
      <c r="DQ527" s="53" t="n"/>
      <c r="DR527" s="53" t="n"/>
      <c r="DS527" s="53" t="n"/>
      <c r="DT527" s="53" t="n"/>
      <c r="DU527" s="53" t="n"/>
      <c r="DV527" s="53" t="n"/>
      <c r="DW527" s="53" t="n"/>
      <c r="DX527" s="53" t="n"/>
      <c r="DY527" s="53" t="n"/>
      <c r="DZ527" s="53" t="n"/>
      <c r="EA527" s="53" t="n"/>
      <c r="EB527" s="53" t="n"/>
      <c r="EC527" s="53" t="n"/>
      <c r="ED527" s="53" t="n"/>
      <c r="EE527" s="53" t="n"/>
      <c r="EF527" s="53" t="n"/>
      <c r="EG527" s="53" t="n"/>
      <c r="EH527" s="53" t="n"/>
      <c r="EI527" s="53" t="n"/>
      <c r="EJ527" s="53" t="n"/>
      <c r="EK527" s="53" t="n"/>
      <c r="EL527" s="53" t="n"/>
      <c r="EM527" s="53" t="n"/>
      <c r="EN527" s="53" t="n"/>
      <c r="EO527" s="53" t="n"/>
      <c r="EP527" s="53" t="n"/>
      <c r="EQ527" s="53" t="n"/>
      <c r="ER527" s="53" t="n"/>
      <c r="ES527" s="53" t="n"/>
      <c r="ET527" s="53" t="n"/>
      <c r="EU527" s="53" t="n"/>
      <c r="EV527" s="53" t="n"/>
      <c r="EW527" s="52" t="n"/>
      <c r="EX527" s="53" t="inlineStr">
        <is>
          <t>• Role / sub-team: Technology — Software Engineer.
• Core purpose: I am responsible to create resuable components for frontend and create the REST apis on backend for and entire feature and giving end to end feature delivery.
• Decision-making autonomy: Can independently feature enhancement; solving performance issue; Code structure; Bug fixes.
• Is this something only they do: Finding flaws in ui/ux of product and correct them with further discussions; Yes, work beyond role and sees over project structure.
• What's different about this role: Complax feature development, development of solutions which can be integrated in any other product inside org or outside the org.</t>
        </is>
      </c>
      <c r="EY527" s="53" t="inlineStr">
        <is>
          <t>• Key responsibilities include: Understanding requirement; Feature Development; Bug fixing and Maintenanc; Less Bugs development.
• Personally accountable for: I'm responsible for the end to end delivery of the feature I am assigned to  like from understanding the requirements and development to unit testing and fixing bugs
and delivery with expeced quality.
• Impact if missed or done wrong: It can cause delay in feature rollout; can cause bug and can impact very critically, could be clinet escalation.
• How measured: Partly Different; Partly Different based on the pace one can deliver instead of quality.</t>
        </is>
      </c>
      <c r="EZ527" s="53" t="inlineStr">
        <is>
          <t>• Current capabilities: Debugging; System Architecture; domain knowledge; UI-UX based development.
• Tools / software used: VS Code; Claude Cose; Claude Code; Postman; AI assisted Development.
• Workload: Rated a heavy load · 4/5 in a typical week.
• Judgment/way of working: AI literacy; Adaptability, Flexibility; Understanding Individual's way of work; Resource Management.</t>
        </is>
      </c>
      <c r="FA527" s="53" t="inlineStr">
        <is>
          <t>• Development priorities: Upskill the Tech Stack; Better AI tools.
• Learning and Development Need: Opportunity to prove; Better Lead. Don't delay by planning tasks, just execute first then one can get the clarity; Keep the track of what you do , mind memory is not evidence.
• Role evolving toward: AI based development; Less priority to frontend coz AI is there it will do it!; High Expectations , Low performing AI tools and credit as well.</t>
        </is>
      </c>
      <c r="FB527" s="53" t="inlineStr">
        <is>
          <t>• Key challenges: AI Credits; Laptop; Ad hoc requirements; No Clarity in requirement; Changing in requirements.
• Support required: Clear Requirements and better AI tools; AI tools usage training; Technical Lead with Better tech knowledge in specific Tech Stack.</t>
        </is>
      </c>
      <c r="FC527" s="53" t="n"/>
      <c r="FD527" s="53" t="n"/>
      <c r="FE527" s="57" t="inlineStr">
        <is>
          <t>1.Deliver ≥ 85% committed frontend tasks within agreed timelines with improved execution speed and quality.
2.Improve execution speed and reduce task completion turnaround time by ≥ 35% YoY.
3.Reduce dependency on detailed task-level guidance by independently completing ≥ 70% assigned tasks by FY end.
4.Strengthen frontend capability in advanced React, reusable component design, UI optimization, and frontend architecture, contributing to ≥ 25% technical discussions.
5.Improve engineering quality by achieving ≥ 80% first-time-right delivery and reducing rework by ≥ 30% YoY.
6.Take ownership of minimum 1–2 frontend initiatives annually · reusable components, UI enhancement, design automation, etc..</t>
        </is>
      </c>
      <c r="FF527" s="56" t="n"/>
      <c r="FG527" s="56" t="n"/>
      <c r="FH527" s="56" t="n"/>
      <c r="FI527" s="56" t="n"/>
      <c r="FJ527" s="56" t="inlineStr">
        <is>
          <t>Received · manager annual</t>
        </is>
      </c>
      <c r="FK527" s="56" t="inlineStr">
        <is>
          <t>CARBON Mapping Master</t>
        </is>
      </c>
      <c r="FL527" s="56" t="n">
        <v>20</v>
      </c>
      <c r="FM527" s="56" t="inlineStr">
        <is>
          <t>• Role / sub-team: Technology — Software Engineer.
• Core purpose: I am responsible to create resuable components for frontend and create the REST apis on backend for and entire feature and giving end to end feature delivery.
• Decision-making autonomy: Can independently feature enhancement; solving performance issue; Code structure; Bug fixes.
• Is this something only they do: Finding flaws in ui/ux of product and correct them with further discussions; Yes, work beyond role and sees over project structure.
• What's different about this role: Complax feature development, development of solutions which can be integrated in any other product inside org or outside the org.</t>
        </is>
      </c>
      <c r="FN527" s="56" t="inlineStr">
        <is>
          <t>• Key responsibilities include: Understanding requirement; Feature Development; Bug fixing and Maintenanc; Less Bugs development.
• Personally accountable for: I'm responsible for the end to end delivery of the feature I am assigned to  like from understanding the requirements and development to unit testing and fixing bugs
and delivery with expeced quality.
• Impact if missed or done wrong: It can cause delay in feature rollout; can cause bug and can impact very critically, could be clinet escalation.
• How measured: Partly Different; Partly Different based on the pace one can deliver instead of quality.</t>
        </is>
      </c>
      <c r="FO527" s="56" t="inlineStr">
        <is>
          <t>• Current capabilities: Debugging; System Architecture; domain knowledge; UI-UX based development.
• Tools / software used: VS Code; Claude Cose; Claude Code; Postman; AI assisted Development.
• Workload: Rated a heavy load · 4/5 in a typical week.
• Judgment/way of working: AI literacy; Adaptability, Flexibility; Understanding Individual's way of work; Resource Management.</t>
        </is>
      </c>
      <c r="FP527" s="56" t="inlineStr">
        <is>
          <t>• Development priorities: Upskill the Tech Stack; Better AI tools.
• Learning and Development Need: Opportunity to prove; Better Lead. Don't delay by planning tasks, just execute first then one can get the clarity; Keep the track of what you do , mind memory is not evidence.
• Role evolving toward: AI based development; Less priority to frontend coz AI is there it will do it!; High Expectations , Low performing AI tools and credit as well.</t>
        </is>
      </c>
      <c r="FQ527" s="56" t="inlineStr">
        <is>
          <t>• Key challenges: AI Credits; Laptop; Ad hoc requirements; No Clarity in requirement; Changing in requirements.
• Support required: Clear Requirements and better AI tools; AI tools usage training; Technical Lead with Better tech knowledge in specific Tech Stack.</t>
        </is>
      </c>
      <c r="FR527" s="56" t="inlineStr">
        <is>
          <t>Complexity: Evidence reads like A3: Builds reusable front-end components and REST APIs for whole features; solves performance issues → moved up 0.5
Autonomy: Evidence reads like A3: Decides feature enhancements, code structure, performance and bug fixes on own features → moved up 0.5
Accountability: Evidence reads like A2: own survey / KRA answers · summarised by the rater; not quoted → matches the start
Leadership: Evidence reads like A1: No guiding or reviewing of others described → matches the start
Business Impact: No survey or manager-mapping signal on criticality: kept at the start point.</t>
        </is>
      </c>
      <c r="FS527" s="56"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FT527" s="56" t="inlineStr">
        <is>
          <t>Self-identified: AI / automation · Product &amp; tool knowledge
For the next role: AI / automation · Product &amp; tool knowledge</t>
        </is>
      </c>
      <c r="FU527" s="56" t="inlineStr">
        <is>
          <t>Per-person summary · CARBON Mapping Master</t>
        </is>
      </c>
    </row>
    <row r="528" ht="90" customHeight="1">
      <c r="A528" s="51" t="inlineStr">
        <is>
          <t>◂ Back</t>
        </is>
      </c>
      <c r="B528" s="29" t="inlineStr">
        <is>
          <t>Mapped</t>
        </is>
      </c>
      <c r="C528" s="28" t="inlineStr">
        <is>
          <t>CARBON</t>
        </is>
      </c>
      <c r="D528" s="29" t="inlineStr">
        <is>
          <t>IRIS2160</t>
        </is>
      </c>
      <c r="E528" s="29" t="inlineStr">
        <is>
          <t>Parth Jitendrabhai Parmar</t>
        </is>
      </c>
      <c r="F528" s="29" t="inlineStr">
        <is>
          <t>Technology</t>
        </is>
      </c>
      <c r="G528" s="29" t="inlineStr">
        <is>
          <t>Software Engineer</t>
        </is>
      </c>
      <c r="H528" s="29" t="inlineStr">
        <is>
          <t>Senior Software Engineer</t>
        </is>
      </c>
      <c r="I528" s="29" t="inlineStr">
        <is>
          <t>L3 – Professional / Associate</t>
        </is>
      </c>
      <c r="J528" s="29" t="inlineStr">
        <is>
          <t>A3</t>
        </is>
      </c>
      <c r="K528" s="29" t="inlineStr">
        <is>
          <t>▲ Up</t>
        </is>
      </c>
      <c r="L528" s="29" t="inlineStr">
        <is>
          <t>Engineering &amp; Development</t>
        </is>
      </c>
      <c r="M528" s="29" t="inlineStr">
        <is>
          <t>Full-Stack Development</t>
        </is>
      </c>
      <c r="N528" s="29" t="inlineStr">
        <is>
          <t>• Confirm the reporting line — Manager</t>
        </is>
      </c>
      <c r="O528" s="29" t="n">
        <v>20</v>
      </c>
      <c r="P528" s="28" t="inlineStr">
        <is>
          <t>P2</t>
        </is>
      </c>
      <c r="Q528" s="29" t="inlineStr">
        <is>
          <t>Developing</t>
        </is>
      </c>
      <c r="R528" s="29" t="inlineStr">
        <is>
          <t>3 Apply</t>
        </is>
      </c>
      <c r="S528" s="29" t="inlineStr">
        <is>
          <t>2–4 yrs</t>
        </is>
      </c>
      <c r="T528" s="29" t="inlineStr">
        <is>
          <t>3–5 · 2–5</t>
        </is>
      </c>
      <c r="U528" s="29" t="inlineStr">
        <is>
          <t>Software Engineer</t>
        </is>
      </c>
      <c r="V528" s="29" t="inlineStr">
        <is>
          <t>Workiva: SE · Broadridge India: SE · Nasdaq / AxiomSL: SE · Salesforce: MTS · Atlassian: P40 · 3–7 yrs · Freshworks: Senior SE</t>
        </is>
      </c>
      <c r="W528" s="29" t="inlineStr">
        <is>
          <t>SFIA 9 · software development, programming; OWASP secure coding; cloud vendor certifications</t>
        </is>
      </c>
      <c r="X528" s="29" t="inlineStr">
        <is>
          <t>Core 2 · Future 2 · Functional 3 · Leadership not scored</t>
        </is>
      </c>
      <c r="Y528" s="52" t="n">
        <v>285</v>
      </c>
      <c r="Z528" s="53" t="inlineStr">
        <is>
          <t>IRIS2160</t>
        </is>
      </c>
      <c r="AA528" s="53" t="inlineStr">
        <is>
          <t>Employee</t>
        </is>
      </c>
      <c r="AB528" s="53" t="inlineStr">
        <is>
          <t>Active</t>
        </is>
      </c>
      <c r="AC528" s="53" t="inlineStr">
        <is>
          <t>Parth Jitendrabhai Parmar</t>
        </is>
      </c>
      <c r="AD528" s="54" t="n">
        <v>45131</v>
      </c>
      <c r="AE528" s="53" t="inlineStr">
        <is>
          <t>Software Engineer</t>
        </is>
      </c>
      <c r="AF528" s="53" t="inlineStr">
        <is>
          <t>B.SC</t>
        </is>
      </c>
      <c r="AG528" s="53" t="inlineStr">
        <is>
          <t>Hetal Chauhan</t>
        </is>
      </c>
      <c r="AH528" s="53" t="inlineStr">
        <is>
          <t>N-4</t>
        </is>
      </c>
      <c r="AI528" s="53" t="inlineStr">
        <is>
          <t>Manager</t>
        </is>
      </c>
      <c r="AJ528" s="53" t="inlineStr">
        <is>
          <t>1 years, 3 months, 0 days</t>
        </is>
      </c>
      <c r="AK528" s="53" t="inlineStr">
        <is>
          <t>3 years, 1 months, 1 days</t>
        </is>
      </c>
      <c r="AL528" s="53" t="inlineStr">
        <is>
          <t>Regtech</t>
        </is>
      </c>
      <c r="AM528" s="53" t="inlineStr">
        <is>
          <t>CARBON</t>
        </is>
      </c>
      <c r="AN528" s="53" t="inlineStr">
        <is>
          <t>Technology</t>
        </is>
      </c>
      <c r="AO528" s="53" t="inlineStr">
        <is>
          <t>Development</t>
        </is>
      </c>
      <c r="AP528" s="53" t="inlineStr">
        <is>
          <t>Yes</t>
        </is>
      </c>
      <c r="AQ528" s="53" t="inlineStr">
        <is>
          <t>Product/Project</t>
        </is>
      </c>
      <c r="AR528" s="53" t="inlineStr">
        <is>
          <t>Fullstack</t>
        </is>
      </c>
      <c r="AS528" s="53" t="inlineStr">
        <is>
          <t>Technical - Developer</t>
        </is>
      </c>
      <c r="AT528" s="53" t="n">
        <v>20</v>
      </c>
      <c r="AU528" s="53" t="inlineStr">
        <is>
          <t>Covered</t>
        </is>
      </c>
      <c r="AV528" s="53" t="inlineStr">
        <is>
          <t>IRIS2160</t>
        </is>
      </c>
      <c r="AW528" s="53" t="inlineStr">
        <is>
          <t>Parth Jitendrabhai Parmar</t>
        </is>
      </c>
      <c r="AX528" s="53" t="inlineStr">
        <is>
          <t>Technology</t>
        </is>
      </c>
      <c r="AY528" s="53" t="inlineStr">
        <is>
          <t>Engineering &amp; Development</t>
        </is>
      </c>
      <c r="AZ528" s="53" t="inlineStr">
        <is>
          <t>Full-Stack Engineering &amp; Devops</t>
        </is>
      </c>
      <c r="BA528" s="53" t="n"/>
      <c r="BB528" s="53" t="n"/>
      <c r="BC528" s="53" t="inlineStr">
        <is>
          <t>Employee</t>
        </is>
      </c>
      <c r="BD528" s="53" t="inlineStr">
        <is>
          <t>Hetal Chauhan</t>
        </is>
      </c>
      <c r="BE528" s="53" t="inlineStr">
        <is>
          <t>Hetal Chauhan</t>
        </is>
      </c>
      <c r="BF528" s="53" t="inlineStr">
        <is>
          <t>No</t>
        </is>
      </c>
      <c r="BG528" s="53" t="inlineStr">
        <is>
          <t>Software Engineer</t>
        </is>
      </c>
      <c r="BH528" s="53" t="inlineStr">
        <is>
          <t>Software Engineer</t>
        </is>
      </c>
      <c r="BI528" s="53" t="inlineStr">
        <is>
          <t>No</t>
        </is>
      </c>
      <c r="BJ528" s="53" t="n">
        <v>2</v>
      </c>
      <c r="BK528" s="53" t="n">
        <v>2</v>
      </c>
      <c r="BL528" s="53" t="n">
        <v>0</v>
      </c>
      <c r="BM528" s="53" t="inlineStr">
        <is>
          <t>Consolidate / flatten</t>
        </is>
      </c>
      <c r="BN528" s="53" t="n">
        <v>2</v>
      </c>
      <c r="BO528" s="53" t="n">
        <v>2</v>
      </c>
      <c r="BP528" s="53" t="n">
        <v>0</v>
      </c>
      <c r="BQ528" s="53" t="inlineStr">
        <is>
          <t>Consolidate / flatten</t>
        </is>
      </c>
      <c r="BR528" s="53" t="inlineStr">
        <is>
          <t>No</t>
        </is>
      </c>
      <c r="BS528" s="53" t="inlineStr">
        <is>
          <t>L3 – Professional / Associate</t>
        </is>
      </c>
      <c r="BT528" s="53" t="inlineStr">
        <is>
          <t>L3 – Professional / Associate</t>
        </is>
      </c>
      <c r="BU528" s="53" t="inlineStr">
        <is>
          <t>No designation change — current record value carried forward</t>
        </is>
      </c>
      <c r="BV528" s="53" t="inlineStr">
        <is>
          <t>1.Deliver ≥ 95% committed full-stack and DevOps tasks within agreed timelines with high-quality execution.
2.Successfully manage and deliver critical mandates · including FERC and CBCR support with ≥ 90% milestone adherence.
3.Improve DevOps automation and reduce manual deployment/operational effort by ≥ 40% YoY through scripts, CI/CD, and infrastructure automation.
4.Strengthen platform reliability by ensuring ≥ 99% uptime for critical services and environments.
5.Maintain strong engineering standards with ≥ 90% code quality compliance and participation in ≥ 70% code reviews / deployment reviews.
6.Develop advanced DevOps and platform engineering capability to independently own minimum 2 critical infrastructure / automation initiatives.</t>
        </is>
      </c>
      <c r="BW528" s="53" t="n"/>
      <c r="BX528" s="53" t="inlineStr">
        <is>
          <t>US-FERC.</t>
        </is>
      </c>
      <c r="BY528" s="53" t="n"/>
      <c r="BZ528" s="53" t="n"/>
      <c r="CA528" s="53" t="n"/>
      <c r="CB528" s="53" t="n"/>
      <c r="CC528" s="53" t="n"/>
      <c r="CD528" s="53" t="n"/>
      <c r="CE528" s="53" t="n"/>
      <c r="CF528" s="53" t="n"/>
      <c r="CG528" s="53" t="n"/>
      <c r="CH528" s="53" t="n"/>
      <c r="CI528" s="53" t="n"/>
      <c r="CJ528" s="53" t="n"/>
      <c r="CK528" s="53" t="n"/>
      <c r="CL528" s="53" t="n"/>
      <c r="CM528" s="53" t="n"/>
      <c r="CN528" s="53" t="n"/>
      <c r="CO528" s="53" t="n"/>
      <c r="CP528" s="53" t="n"/>
      <c r="CQ528" s="53" t="n"/>
      <c r="CR528" s="53" t="n"/>
      <c r="CS528" s="53" t="n"/>
      <c r="CT528" s="53" t="n"/>
      <c r="CU528" s="53" t="n"/>
      <c r="CV528" s="53" t="n"/>
      <c r="CW528" s="53" t="n"/>
      <c r="CX528" s="53" t="n"/>
      <c r="CY528" s="53" t="n"/>
      <c r="CZ528" s="53" t="n"/>
      <c r="DA528" s="53" t="n"/>
      <c r="DB528" s="53" t="n"/>
      <c r="DC528" s="53" t="n"/>
      <c r="DD528" s="53" t="n"/>
      <c r="DE528" s="53" t="n"/>
      <c r="DF528" s="53" t="n"/>
      <c r="DG528" s="53" t="n"/>
      <c r="DH528" s="53" t="n"/>
      <c r="DI528" s="53" t="n"/>
      <c r="DJ528" s="53" t="n"/>
      <c r="DK528" s="53" t="n"/>
      <c r="DL528" s="53" t="n"/>
      <c r="DM528" s="53" t="n"/>
      <c r="DN528" s="53" t="n"/>
      <c r="DO528" s="53" t="n"/>
      <c r="DP528" s="53" t="n"/>
      <c r="DQ528" s="53" t="n"/>
      <c r="DR528" s="53" t="n"/>
      <c r="DS528" s="53" t="n"/>
      <c r="DT528" s="53" t="n"/>
      <c r="DU528" s="53" t="n"/>
      <c r="DV528" s="53" t="n"/>
      <c r="DW528" s="53" t="n"/>
      <c r="DX528" s="53" t="n"/>
      <c r="DY528" s="53" t="n"/>
      <c r="DZ528" s="53" t="n"/>
      <c r="EA528" s="53" t="n"/>
      <c r="EB528" s="53" t="n"/>
      <c r="EC528" s="53" t="n"/>
      <c r="ED528" s="53" t="n"/>
      <c r="EE528" s="53" t="n"/>
      <c r="EF528" s="53" t="n"/>
      <c r="EG528" s="53" t="n"/>
      <c r="EH528" s="53" t="n"/>
      <c r="EI528" s="53" t="n"/>
      <c r="EJ528" s="53" t="n"/>
      <c r="EK528" s="53" t="n"/>
      <c r="EL528" s="53" t="n"/>
      <c r="EM528" s="53" t="n"/>
      <c r="EN528" s="53" t="n"/>
      <c r="EO528" s="53" t="n"/>
      <c r="EP528" s="53" t="n"/>
      <c r="EQ528" s="53" t="n"/>
      <c r="ER528" s="53" t="n"/>
      <c r="ES528" s="53" t="n"/>
      <c r="ET528" s="53" t="n"/>
      <c r="EU528" s="53" t="n"/>
      <c r="EV528" s="53" t="n"/>
      <c r="EW528" s="52" t="n"/>
      <c r="EX528" s="53" t="inlineStr">
        <is>
          <t>• Role / sub-team: Technology — Software Engineer.
• Core purpose: To build scalable, secure, and high-quality full-stack solutions while leveraging AI and modern technologies to improve product capabilities and engineering efficiency.
• Decision-making autonomy: Can independently design solution; optimize code; taking ownership; Repeated task automation.
• Is this something only they do: A few of us - Production Deployment.
• What's different about this role: Level of ownership; I own the feature end to end from understanding the requirement and designing the solution to development, production readiness, and customer impact.</t>
        </is>
      </c>
      <c r="EY528" s="53" t="inlineStr">
        <is>
          <t>• Key responsibilities include: Feature ownership; Performance; DevOps Automatiob; Product quality; zero defect delivery; Deployment Automation; Zero bug release.
• Personally accountable for: End to end feature ownership from design and development to production ready, with zero defect delivery.
• Impact if missed or done wrong: Client trust, satisfaction, and our reputation.
• How measured: Same as everyone.</t>
        </is>
      </c>
      <c r="EZ528" s="53" t="inlineStr">
        <is>
          <t>• Current capabilities: Domain knowledge; technical architecture; product domain knowledge; Debugging Skill; Learning capability.
• Tools / software used: Visual Studio; postman; Microsoft Azure; Podman Desktop; QuickScrum.
• Workload: Rated a heavy load · 4/5 in a typical week.
• Judgment/way of working: Making the right technical decisions.</t>
        </is>
      </c>
      <c r="FA528" s="53" t="inlineStr">
        <is>
          <t>• Development priorities: Advanced system design.
• Learning and Development Need: My first line managers; first buddy assigned to m. Clear understanding of end to end product development process.
• Role evolving toward: AI is improving productivity and edge-case coverage, but developers must still understand and validate the generated code.</t>
        </is>
      </c>
      <c r="FB528" s="53" t="inlineStr">
        <is>
          <t>• Key challenges: Approval delays; Laptop; AI Credits; Changing Requirements; lenevo laptop.
• Support required: Clear requirements upfront, with no changes during development.</t>
        </is>
      </c>
      <c r="FC528" s="53" t="n"/>
      <c r="FD528" s="53" t="n"/>
      <c r="FE528" s="57" t="inlineStr">
        <is>
          <t>1.Deliver ≥ 95% committed full-stack and DevOps tasks within agreed timelines with high-quality execution.
2.Successfully manage and deliver critical mandates · including FERC and CBCR support with ≥ 90% milestone adherence.
3.Improve DevOps automation and reduce manual deployment/operational effort by ≥ 40% YoY through scripts, CI/CD, and infrastructure automation.
4.Strengthen platform reliability by ensuring ≥ 99% uptime for critical services and environments.
5.Maintain strong engineering standards with ≥ 90% code quality compliance and participation in ≥ 70% code reviews / deployment reviews.
6.Develop advanced DevOps and platform engineering capability to independently own minimum 2 critical infrastructure / automation initiatives.</t>
        </is>
      </c>
      <c r="FF528" s="56" t="n"/>
      <c r="FG528" s="56" t="n"/>
      <c r="FH528" s="56" t="n"/>
      <c r="FI528" s="56" t="n"/>
      <c r="FJ528" s="56" t="inlineStr">
        <is>
          <t>Received · manager annual</t>
        </is>
      </c>
      <c r="FK528" s="56" t="inlineStr">
        <is>
          <t>CARBON Mapping Master</t>
        </is>
      </c>
      <c r="FL528" s="56" t="n">
        <v>20</v>
      </c>
      <c r="FM528" s="56" t="inlineStr">
        <is>
          <t>• Role / sub-team: Technology — Software Engineer.
• Core purpose: To build scalable, secure, and high-quality full-stack solutions while leveraging AI and modern technologies to improve product capabilities and engineering efficiency.
• Decision-making autonomy: Can independently design solution; optimize code; taking ownership; Repeated task automation.
• Is this something only they do: A few of us - Production Deployment.
• What's different about this role: Level of ownership; I own the feature end to end from understanding the requirement and designing the solution to development, production readiness, and customer impact.</t>
        </is>
      </c>
      <c r="FN528" s="56" t="inlineStr">
        <is>
          <t>• Key responsibilities include: Feature ownership; Performance; DevOps Automatiob; Product quality; zero defect delivery; Deployment Automation; Zero bug release.
• Personally accountable for: End to end feature ownership from design and development to production ready, with zero defect delivery.
• Impact if missed or done wrong: Client trust, satisfaction, and our reputation.
• How measured: Same as everyone.</t>
        </is>
      </c>
      <c r="FO528" s="56" t="inlineStr">
        <is>
          <t>• Current capabilities: Domain knowledge; technical architecture; product domain knowledge; Debugging Skill; Learning capability.
• Tools / software used: Visual Studio; postman; Microsoft Azure; Podman Desktop; QuickScrum.
• Workload: Rated a heavy load · 4/5 in a typical week.
• Judgment/way of working: Making the right technical decisions.</t>
        </is>
      </c>
      <c r="FP528" s="56" t="inlineStr">
        <is>
          <t>• Development priorities: Advanced system design.
• Learning and Development Need: My first line managers; first buddy assigned to m. Clear understanding of end to end product development process.
• Role evolving toward: AI is improving productivity and edge-case coverage, but developers must still understand and validate the generated code.</t>
        </is>
      </c>
      <c r="FQ528" s="56" t="inlineStr">
        <is>
          <t>• Key challenges: Approval delays; Laptop; AI Credits; Changing Requirements; lenevo laptop.
• Support required: Clear requirements upfront, with no changes during development.</t>
        </is>
      </c>
      <c r="FR528" s="56" t="inlineStr">
        <is>
          <t>Complexity: Evidence reads like A3: Designs and builds full-stack features; deployment and DevOps automation; production deployment done by few → moved up 0.5
Autonomy: Evidence reads like A3: Independently designs solution, optimises code and automates repeated tasks → matches the start
Accountability: Evidence reads like A3: Feature end to end from design to production readiness → moved down 0.5
Leadership: Evidence reads like A1: No guidance of others described despite 2 reports → moved down 1
Business Impact: No survey or manager-mapping signal on criticality: kept at the start point.</t>
        </is>
      </c>
      <c r="FS528" s="56"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FT528" s="56" t="inlineStr">
        <is>
          <t>Self-identified: Technical depth &amp; architecture
For the next role: Technical depth &amp; architecture</t>
        </is>
      </c>
      <c r="FU528" s="56" t="inlineStr">
        <is>
          <t>Per-person summary · CARBON Mapping Master</t>
        </is>
      </c>
    </row>
    <row r="529" ht="90" customHeight="1">
      <c r="A529" s="51" t="inlineStr">
        <is>
          <t>◂ Back</t>
        </is>
      </c>
      <c r="B529" s="29" t="inlineStr">
        <is>
          <t>Mapped</t>
        </is>
      </c>
      <c r="C529" s="28" t="inlineStr">
        <is>
          <t>CARBON</t>
        </is>
      </c>
      <c r="D529" s="29" t="inlineStr">
        <is>
          <t>IRIS2031</t>
        </is>
      </c>
      <c r="E529" s="29" t="inlineStr">
        <is>
          <t>Bansi Amipara</t>
        </is>
      </c>
      <c r="F529" s="29" t="inlineStr">
        <is>
          <t>Technology</t>
        </is>
      </c>
      <c r="G529" s="29" t="inlineStr">
        <is>
          <t>Software Engineer</t>
        </is>
      </c>
      <c r="H529" s="29" t="inlineStr">
        <is>
          <t>Senior Software Engineer</t>
        </is>
      </c>
      <c r="I529" s="29" t="inlineStr">
        <is>
          <t>L3 – Professional / Associate</t>
        </is>
      </c>
      <c r="J529" s="29" t="inlineStr">
        <is>
          <t>A3</t>
        </is>
      </c>
      <c r="K529" s="29" t="inlineStr">
        <is>
          <t>▲ Up</t>
        </is>
      </c>
      <c r="L529" s="29" t="inlineStr">
        <is>
          <t>Engineering &amp; Development</t>
        </is>
      </c>
      <c r="M529" s="29" t="inlineStr">
        <is>
          <t>Backend Development</t>
        </is>
      </c>
      <c r="N529" s="29" t="n"/>
      <c r="O529" s="29" t="n">
        <v>20</v>
      </c>
      <c r="P529" s="28" t="inlineStr">
        <is>
          <t>P2</t>
        </is>
      </c>
      <c r="Q529" s="29" t="inlineStr">
        <is>
          <t>Developing</t>
        </is>
      </c>
      <c r="R529" s="29" t="inlineStr">
        <is>
          <t>3 Apply</t>
        </is>
      </c>
      <c r="S529" s="29" t="inlineStr">
        <is>
          <t>2–4 yrs</t>
        </is>
      </c>
      <c r="T529" s="29" t="inlineStr">
        <is>
          <t>3–5 · 2–5</t>
        </is>
      </c>
      <c r="U529" s="29" t="inlineStr">
        <is>
          <t>Software Engineer</t>
        </is>
      </c>
      <c r="V529" s="29" t="inlineStr">
        <is>
          <t>Workiva: SE · Broadridge India: SE · Nasdaq / AxiomSL: SE · Salesforce: MTS · Atlassian: P40 · 3–7 yrs · Freshworks: Senior SE</t>
        </is>
      </c>
      <c r="W529" s="29" t="inlineStr">
        <is>
          <t>SFIA 9 · software development, programming; OWASP secure coding; cloud vendor certifications</t>
        </is>
      </c>
      <c r="X529" s="29" t="inlineStr">
        <is>
          <t>Core 2 · Future 2 · Functional 3 · Leadership not scored</t>
        </is>
      </c>
      <c r="Y529" s="52" t="n">
        <v>225</v>
      </c>
      <c r="Z529" s="53" t="inlineStr">
        <is>
          <t>IRIS2031</t>
        </is>
      </c>
      <c r="AA529" s="53" t="inlineStr">
        <is>
          <t>Employee</t>
        </is>
      </c>
      <c r="AB529" s="53" t="inlineStr">
        <is>
          <t>Active</t>
        </is>
      </c>
      <c r="AC529" s="53" t="inlineStr">
        <is>
          <t>Bansi Amipara</t>
        </is>
      </c>
      <c r="AD529" s="54" t="n">
        <v>44743</v>
      </c>
      <c r="AE529" s="53" t="inlineStr">
        <is>
          <t>Software Engineer</t>
        </is>
      </c>
      <c r="AF529" s="53" t="inlineStr">
        <is>
          <t>MSC-ICT</t>
        </is>
      </c>
      <c r="AG529" s="53" t="inlineStr">
        <is>
          <t>Parth Jitendrabhai Parmar</t>
        </is>
      </c>
      <c r="AH529" s="53" t="inlineStr">
        <is>
          <t>N-5</t>
        </is>
      </c>
      <c r="AI529" s="53" t="inlineStr">
        <is>
          <t>Individual Contributor</t>
        </is>
      </c>
      <c r="AJ529" s="53" t="inlineStr">
        <is>
          <t>0 years, 0 months, 0 days</t>
        </is>
      </c>
      <c r="AK529" s="53" t="inlineStr">
        <is>
          <t>4 years, 1 months, 24 days</t>
        </is>
      </c>
      <c r="AL529" s="53" t="inlineStr">
        <is>
          <t>Regtech</t>
        </is>
      </c>
      <c r="AM529" s="53" t="inlineStr">
        <is>
          <t>CARBON</t>
        </is>
      </c>
      <c r="AN529" s="53" t="inlineStr">
        <is>
          <t>Technology</t>
        </is>
      </c>
      <c r="AO529" s="53" t="inlineStr">
        <is>
          <t>Development</t>
        </is>
      </c>
      <c r="AP529" s="53" t="inlineStr">
        <is>
          <t>Yes</t>
        </is>
      </c>
      <c r="AQ529" s="53" t="inlineStr">
        <is>
          <t>Product/Project</t>
        </is>
      </c>
      <c r="AR529" s="53" t="inlineStr">
        <is>
          <t>.NET MVC</t>
        </is>
      </c>
      <c r="AS529" s="53" t="inlineStr">
        <is>
          <t>Technical - Developer</t>
        </is>
      </c>
      <c r="AT529" s="53" t="n">
        <v>20</v>
      </c>
      <c r="AU529" s="53" t="inlineStr">
        <is>
          <t>Covered</t>
        </is>
      </c>
      <c r="AV529" s="53" t="inlineStr">
        <is>
          <t>IRIS2031</t>
        </is>
      </c>
      <c r="AW529" s="53" t="inlineStr">
        <is>
          <t>Bansi Amipara</t>
        </is>
      </c>
      <c r="AX529" s="53" t="inlineStr">
        <is>
          <t>Technology</t>
        </is>
      </c>
      <c r="AY529" s="53" t="inlineStr">
        <is>
          <t>Engineering &amp; Development</t>
        </is>
      </c>
      <c r="AZ529" s="53" t="inlineStr">
        <is>
          <t>Frontend / UI Engineering</t>
        </is>
      </c>
      <c r="BA529" s="53" t="n"/>
      <c r="BB529" s="53" t="n"/>
      <c r="BC529" s="53" t="inlineStr">
        <is>
          <t>Employee</t>
        </is>
      </c>
      <c r="BD529" s="53" t="inlineStr">
        <is>
          <t>Parth Jitendrabhai Parmar</t>
        </is>
      </c>
      <c r="BE529" s="53" t="inlineStr">
        <is>
          <t>Parth Jitendrabhai Parmar</t>
        </is>
      </c>
      <c r="BF529" s="53" t="inlineStr">
        <is>
          <t>No</t>
        </is>
      </c>
      <c r="BG529" s="53" t="inlineStr">
        <is>
          <t>Software Engineer</t>
        </is>
      </c>
      <c r="BH529" s="53" t="inlineStr">
        <is>
          <t>Software Engineer</t>
        </is>
      </c>
      <c r="BI529" s="53" t="inlineStr">
        <is>
          <t>No</t>
        </is>
      </c>
      <c r="BJ529" s="53" t="inlineStr">
        <is>
          <t>—</t>
        </is>
      </c>
      <c r="BK529" s="53" t="inlineStr">
        <is>
          <t>—</t>
        </is>
      </c>
      <c r="BL529" s="53" t="inlineStr">
        <is>
          <t>—</t>
        </is>
      </c>
      <c r="BM529" s="53" t="inlineStr">
        <is>
          <t>Not a manager</t>
        </is>
      </c>
      <c r="BN529" s="53" t="inlineStr">
        <is>
          <t>—</t>
        </is>
      </c>
      <c r="BO529" s="53" t="inlineStr">
        <is>
          <t>—</t>
        </is>
      </c>
      <c r="BP529" s="53" t="inlineStr">
        <is>
          <t>—</t>
        </is>
      </c>
      <c r="BQ529" s="53" t="inlineStr">
        <is>
          <t>Not a manager</t>
        </is>
      </c>
      <c r="BR529" s="53" t="inlineStr">
        <is>
          <t>—</t>
        </is>
      </c>
      <c r="BS529" s="53" t="inlineStr">
        <is>
          <t>L3 – Professional / Associate</t>
        </is>
      </c>
      <c r="BT529" s="53" t="inlineStr">
        <is>
          <t>L3 – Professional / Associate</t>
        </is>
      </c>
      <c r="BU529" s="53" t="inlineStr">
        <is>
          <t>No designation change — current record value carried forward</t>
        </is>
      </c>
      <c r="BV529" s="53" t="inlineStr">
        <is>
          <t>1.Deliver ≥ 95% committed frontend/full-stack tasks within agreed timelines with high-quality implementation.
2.Strengthen expertise in advanced React, frontend architecture, reusable component design, and performance optimization, contributing to ≥ 40% technical design discussions.
3.Expand into full-stack capability by learning backend APIs, system design, architecture modeling, and database workflows, contributing to ≥ 30% backend/full-stack tasks by FY end.
4.Maintain excellent engineering quality by achieving ≥ 92% first-time-right delivery and reducing rework by ≥ 40% YoY.
5.Maintain high engineering standards with ≥ 92% code quality compliance and participation in ≥ 75% relevant code reviews, leveraging AI tools effectively for productivity improvement.
6.Take ownership of minimum 2–3 technical initiatives annually · AI-assisted engineering, reusable components, performance improvements, automation, etc. and mentor at least 1 junior team member.</t>
        </is>
      </c>
      <c r="BW529" s="53" t="n"/>
      <c r="BX529" s="53" t="inlineStr">
        <is>
          <t>Global.</t>
        </is>
      </c>
      <c r="BY529" s="53" t="n"/>
      <c r="BZ529" s="53" t="n"/>
      <c r="CA529" s="53" t="n"/>
      <c r="CB529" s="53" t="n"/>
      <c r="CC529" s="53" t="n"/>
      <c r="CD529" s="53" t="n"/>
      <c r="CE529" s="53" t="n"/>
      <c r="CF529" s="53" t="n"/>
      <c r="CG529" s="53" t="n"/>
      <c r="CH529" s="53" t="n"/>
      <c r="CI529" s="53" t="n"/>
      <c r="CJ529" s="53" t="n"/>
      <c r="CK529" s="53" t="n"/>
      <c r="CL529" s="53" t="n"/>
      <c r="CM529" s="53" t="n"/>
      <c r="CN529" s="53" t="n"/>
      <c r="CO529" s="53" t="n"/>
      <c r="CP529" s="53" t="n"/>
      <c r="CQ529" s="53" t="n"/>
      <c r="CR529" s="53" t="n"/>
      <c r="CS529" s="53" t="n"/>
      <c r="CT529" s="53" t="n"/>
      <c r="CU529" s="53" t="n"/>
      <c r="CV529" s="53" t="n"/>
      <c r="CW529" s="53" t="n"/>
      <c r="CX529" s="53" t="n"/>
      <c r="CY529" s="53" t="n"/>
      <c r="CZ529" s="53" t="n"/>
      <c r="DA529" s="53" t="n"/>
      <c r="DB529" s="53" t="n"/>
      <c r="DC529" s="53" t="n"/>
      <c r="DD529" s="53" t="n"/>
      <c r="DE529" s="53" t="n"/>
      <c r="DF529" s="53" t="n"/>
      <c r="DG529" s="53" t="n"/>
      <c r="DH529" s="53" t="n"/>
      <c r="DI529" s="53" t="n"/>
      <c r="DJ529" s="53" t="n"/>
      <c r="DK529" s="53" t="n"/>
      <c r="DL529" s="53" t="n"/>
      <c r="DM529" s="53" t="n"/>
      <c r="DN529" s="53" t="n"/>
      <c r="DO529" s="53" t="n"/>
      <c r="DP529" s="53" t="n"/>
      <c r="DQ529" s="53" t="n"/>
      <c r="DR529" s="53" t="n"/>
      <c r="DS529" s="53" t="n"/>
      <c r="DT529" s="53" t="n"/>
      <c r="DU529" s="53" t="n"/>
      <c r="DV529" s="53" t="n"/>
      <c r="DW529" s="53" t="n"/>
      <c r="DX529" s="53" t="n"/>
      <c r="DY529" s="53" t="n"/>
      <c r="DZ529" s="53" t="n"/>
      <c r="EA529" s="53" t="n"/>
      <c r="EB529" s="53" t="n"/>
      <c r="EC529" s="53" t="n"/>
      <c r="ED529" s="53" t="n"/>
      <c r="EE529" s="53" t="n"/>
      <c r="EF529" s="53" t="n"/>
      <c r="EG529" s="53" t="n"/>
      <c r="EH529" s="53" t="n"/>
      <c r="EI529" s="53" t="n"/>
      <c r="EJ529" s="53" t="n"/>
      <c r="EK529" s="53" t="n"/>
      <c r="EL529" s="53" t="n"/>
      <c r="EM529" s="53" t="n"/>
      <c r="EN529" s="53" t="n"/>
      <c r="EO529" s="53" t="n"/>
      <c r="EP529" s="53" t="n"/>
      <c r="EQ529" s="53" t="n"/>
      <c r="ER529" s="53" t="n"/>
      <c r="ES529" s="53" t="n"/>
      <c r="ET529" s="53" t="n"/>
      <c r="EU529" s="53" t="n"/>
      <c r="EV529" s="53" t="n"/>
      <c r="EW529" s="52" t="n"/>
      <c r="EX529" s="53" t="inlineStr">
        <is>
          <t>• Role / sub-team: Technology — Software Engineer.
• Core purpose: Create the ai based  reuable component, so that process will improve and better way to run the product.
• Decision-making autonomy: Can independently optimising existing outpt.
• Is this something only they do: A few of us.</t>
        </is>
      </c>
      <c r="EY529" s="53" t="inlineStr">
        <is>
          <t>• Key responsibilities include: End to end ownership; Use the AI approch first; Full stack developer.
• Personally accountable for: I am accountable for develop the common component, stability of the features and for ensuring that my deliverables meet the expected standards.
• Impact if missed or done wrong: If requirement is cleared then we perform the more better way and timely manner.
• How measured: Same as everyone.</t>
        </is>
      </c>
      <c r="EZ529" s="53" t="inlineStr">
        <is>
          <t>• Current capabilities: How to devide problems.
• Tools / software used: Vs code; Copilot.
• Workload: Rated a heavy load · 4/5 in a typical week.
• Judgment/way of working: Quick learner; AI first approch, flexibility.</t>
        </is>
      </c>
      <c r="FA529" s="53" t="inlineStr">
        <is>
          <t>• Development priorities: Use more the AI tools and also Manage the ai tools credits, improve full stack developing.
• Learning and Development Need: Opportunity to prove. Clear communication with manager; What is build and what use in this ,this all  dicide the before start the work,.</t>
        </is>
      </c>
      <c r="FB529" s="53" t="inlineStr">
        <is>
          <t>• Key challenges: Unclear requirements.
• Support required: Need to clear requirement before develop any features.</t>
        </is>
      </c>
      <c r="FC529" s="53" t="n"/>
      <c r="FD529" s="53" t="n"/>
      <c r="FE529" s="57" t="inlineStr">
        <is>
          <t>1.Deliver ≥ 95% committed frontend/full-stack tasks within agreed timelines with high-quality implementation.
2.Strengthen expertise in advanced React, frontend architecture, reusable component design, and performance optimization, contributing to ≥ 40% technical design discussions.
3.Expand into full-stack capability by learning backend APIs, system design, architecture modeling, and database workflows, contributing to ≥ 30% backend/full-stack tasks by FY end.
4.Maintain excellent engineering quality by achieving ≥ 92% first-time-right delivery and reducing rework by ≥ 40% YoY.
5.Maintain high engineering standards with ≥ 92% code quality compliance and participation in ≥ 75% relevant code reviews, leveraging AI tools effectively for productivity improvement.
6.Take ownership of minimum 2–3 technical initiatives annually · AI-assisted engineering, reusable components, performance improvements, automation, etc. and mentor at least 1 junior team member.</t>
        </is>
      </c>
      <c r="FF529" s="56" t="n"/>
      <c r="FG529" s="56" t="n"/>
      <c r="FH529" s="56" t="n"/>
      <c r="FI529" s="56" t="n"/>
      <c r="FJ529" s="56" t="inlineStr">
        <is>
          <t>Received · manager annual</t>
        </is>
      </c>
      <c r="FK529" s="56" t="inlineStr">
        <is>
          <t>CARBON Mapping Master</t>
        </is>
      </c>
      <c r="FL529" s="56" t="n">
        <v>20</v>
      </c>
      <c r="FM529" s="56" t="inlineStr">
        <is>
          <t>• Role / sub-team: Technology — Software Engineer.
• Core purpose: Create the ai based  reuable component, so that process will improve and better way to run the product.
• Decision-making autonomy: Can independently optimising existing outpt.
• Is this something only they do: A few of us.</t>
        </is>
      </c>
      <c r="FN529" s="56" t="inlineStr">
        <is>
          <t>• Key responsibilities include: End to end ownership; Use the AI approch first; Full stack developer.
• Personally accountable for: I am accountable for develop the common component, stability of the features and for ensuring that my deliverables meet the expected standards.
• Impact if missed or done wrong: If requirement is cleared then we perform the more better way and timely manner.
• How measured: Same as everyone.</t>
        </is>
      </c>
      <c r="FO529" s="56" t="inlineStr">
        <is>
          <t>• Current capabilities: How to devide problems.
• Tools / software used: Vs code; Copilot.
• Workload: Rated a heavy load · 4/5 in a typical week.
• Judgment/way of working: Quick learner; AI first approch, flexibility.</t>
        </is>
      </c>
      <c r="FP529" s="56" t="inlineStr">
        <is>
          <t>• Development priorities: Use more the AI tools and also Manage the ai tools credits, improve full stack developing.
• Learning and Development Need: Opportunity to prove. Clear communication with manager; What is build and what use in this ,this all  dicide the before start the work,.</t>
        </is>
      </c>
      <c r="FQ529" s="56" t="inlineStr">
        <is>
          <t>• Key challenges: Unclear requirements.
• Support required: Need to clear requirement before develop any features.</t>
        </is>
      </c>
      <c r="FR529" s="56" t="inlineStr">
        <is>
          <t>Complexity: Evidence reads like A2: Full-stack development of AI-based reusable components; no harder cases described → matches the start
Autonomy: Evidence reads like A2: Decides only on optimising existing output → matches the start
Accountability: Evidence reads like A2: Own common components and feature stability meeting expected standards → matches the start
Leadership: Evidence reads like A1: No guiding or reviewing of others described → matches the start
Business Impact: No survey or manager-mapping signal on criticality: kept at the start point.</t>
        </is>
      </c>
      <c r="FS529"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529" s="56" t="inlineStr">
        <is>
          <t>Self-identified: AI / automation · Technical depth &amp; architecture · Product &amp; tool knowledge
For the next role: AI / automation · Technical depth &amp; architecture · Product &amp; tool knowledge</t>
        </is>
      </c>
      <c r="FU529" s="56" t="inlineStr">
        <is>
          <t>Per-person summary · CARBON Mapping Master</t>
        </is>
      </c>
    </row>
    <row r="530" ht="90" customHeight="1">
      <c r="A530" s="51" t="inlineStr">
        <is>
          <t>◂ Back</t>
        </is>
      </c>
      <c r="B530" s="29" t="inlineStr">
        <is>
          <t>Mapped</t>
        </is>
      </c>
      <c r="C530" s="28" t="inlineStr">
        <is>
          <t>CARBON</t>
        </is>
      </c>
      <c r="D530" s="29" t="inlineStr">
        <is>
          <t>IRIS2159</t>
        </is>
      </c>
      <c r="E530" s="29" t="inlineStr">
        <is>
          <t>Rushali Patel</t>
        </is>
      </c>
      <c r="F530" s="29" t="inlineStr">
        <is>
          <t>Technology</t>
        </is>
      </c>
      <c r="G530" s="29" t="inlineStr">
        <is>
          <t>Software Engineer</t>
        </is>
      </c>
      <c r="H530" s="29" t="inlineStr">
        <is>
          <t>Senior UI Developer</t>
        </is>
      </c>
      <c r="I530" s="29" t="inlineStr">
        <is>
          <t>L3 – Professional / Associate</t>
        </is>
      </c>
      <c r="J530" s="29" t="inlineStr">
        <is>
          <t>A3</t>
        </is>
      </c>
      <c r="K530" s="29" t="inlineStr">
        <is>
          <t>▲ Up</t>
        </is>
      </c>
      <c r="L530" s="29" t="inlineStr">
        <is>
          <t>Engineering &amp; Development</t>
        </is>
      </c>
      <c r="M530" s="29" t="inlineStr">
        <is>
          <t>Front-End / UI Development</t>
        </is>
      </c>
      <c r="N530" s="29" t="n"/>
      <c r="O530" s="29" t="n">
        <v>20</v>
      </c>
      <c r="P530" s="28" t="inlineStr">
        <is>
          <t>P2</t>
        </is>
      </c>
      <c r="Q530" s="29" t="inlineStr">
        <is>
          <t>Developing</t>
        </is>
      </c>
      <c r="R530" s="29" t="inlineStr">
        <is>
          <t>3 Apply</t>
        </is>
      </c>
      <c r="S530" s="29" t="inlineStr">
        <is>
          <t>2–4 yrs</t>
        </is>
      </c>
      <c r="T530" s="29" t="inlineStr">
        <is>
          <t>3–5 · 2–5</t>
        </is>
      </c>
      <c r="U530" s="29" t="inlineStr">
        <is>
          <t>Software Engineer</t>
        </is>
      </c>
      <c r="V530" s="29" t="inlineStr">
        <is>
          <t>Workiva: SE · Broadridge India: SE · Nasdaq / AxiomSL: SE · Salesforce: MTS · Atlassian: P40 · 3–7 yrs · Freshworks: Senior SE</t>
        </is>
      </c>
      <c r="W530" s="29" t="inlineStr">
        <is>
          <t>SFIA 9 · software development, programming; OWASP secure coding; cloud vendor certifications</t>
        </is>
      </c>
      <c r="X530" s="29" t="inlineStr">
        <is>
          <t>Core 2 · Future 2 · Functional 3 · Leadership not scored</t>
        </is>
      </c>
      <c r="Y530" s="52" t="n">
        <v>284</v>
      </c>
      <c r="Z530" s="53" t="inlineStr">
        <is>
          <t>IRIS2159</t>
        </is>
      </c>
      <c r="AA530" s="53" t="inlineStr">
        <is>
          <t>Employee</t>
        </is>
      </c>
      <c r="AB530" s="53" t="inlineStr">
        <is>
          <t>Active</t>
        </is>
      </c>
      <c r="AC530" s="53" t="inlineStr">
        <is>
          <t>Rushali Patel</t>
        </is>
      </c>
      <c r="AD530" s="54" t="n">
        <v>45125</v>
      </c>
      <c r="AE530" s="53" t="inlineStr">
        <is>
          <t>Software Engineer</t>
        </is>
      </c>
      <c r="AF530" s="53" t="inlineStr">
        <is>
          <t>MSc</t>
        </is>
      </c>
      <c r="AG530" s="53" t="inlineStr">
        <is>
          <t>Parth Jitendrabhai Parmar</t>
        </is>
      </c>
      <c r="AH530" s="53" t="inlineStr">
        <is>
          <t>N-5</t>
        </is>
      </c>
      <c r="AI530" s="53" t="inlineStr">
        <is>
          <t>Individual Contributor</t>
        </is>
      </c>
      <c r="AJ530" s="53" t="inlineStr">
        <is>
          <t>0 years, 0 months, 0 days</t>
        </is>
      </c>
      <c r="AK530" s="53" t="inlineStr">
        <is>
          <t>3 years, 1 months, 7 days</t>
        </is>
      </c>
      <c r="AL530" s="53" t="inlineStr">
        <is>
          <t>Regtech</t>
        </is>
      </c>
      <c r="AM530" s="53" t="inlineStr">
        <is>
          <t>CARBON</t>
        </is>
      </c>
      <c r="AN530" s="53" t="inlineStr">
        <is>
          <t>Technology</t>
        </is>
      </c>
      <c r="AO530" s="53" t="inlineStr">
        <is>
          <t>UI</t>
        </is>
      </c>
      <c r="AP530" s="53" t="inlineStr">
        <is>
          <t>Yes</t>
        </is>
      </c>
      <c r="AQ530" s="53" t="inlineStr">
        <is>
          <t>Product/Project</t>
        </is>
      </c>
      <c r="AR530" s="53" t="inlineStr">
        <is>
          <t>UI</t>
        </is>
      </c>
      <c r="AS530" s="53" t="inlineStr">
        <is>
          <t>Technical - Developer</t>
        </is>
      </c>
      <c r="AT530" s="53" t="n">
        <v>20</v>
      </c>
      <c r="AU530" s="53" t="inlineStr">
        <is>
          <t>Covered</t>
        </is>
      </c>
      <c r="AV530" s="53" t="inlineStr">
        <is>
          <t>IRIS2159</t>
        </is>
      </c>
      <c r="AW530" s="53" t="inlineStr">
        <is>
          <t>Rushali Patel</t>
        </is>
      </c>
      <c r="AX530" s="53" t="inlineStr">
        <is>
          <t>Technology</t>
        </is>
      </c>
      <c r="AY530" s="53" t="inlineStr">
        <is>
          <t>Engineering &amp; Development</t>
        </is>
      </c>
      <c r="AZ530" s="53" t="inlineStr">
        <is>
          <t>Frontend / UI Engineering</t>
        </is>
      </c>
      <c r="BA530" s="53" t="n"/>
      <c r="BB530" s="53" t="n"/>
      <c r="BC530" s="53" t="inlineStr">
        <is>
          <t>Employee</t>
        </is>
      </c>
      <c r="BD530" s="53" t="inlineStr">
        <is>
          <t>Parth Jitendrabhai Parmar</t>
        </is>
      </c>
      <c r="BE530" s="53" t="inlineStr">
        <is>
          <t>Parth Jitendrabhai Parmar</t>
        </is>
      </c>
      <c r="BF530" s="53" t="inlineStr">
        <is>
          <t>No</t>
        </is>
      </c>
      <c r="BG530" s="53" t="inlineStr">
        <is>
          <t>Software Engineer</t>
        </is>
      </c>
      <c r="BH530" s="53" t="inlineStr">
        <is>
          <t>Software Engineer</t>
        </is>
      </c>
      <c r="BI530" s="53" t="inlineStr">
        <is>
          <t>No</t>
        </is>
      </c>
      <c r="BJ530" s="53" t="inlineStr">
        <is>
          <t>—</t>
        </is>
      </c>
      <c r="BK530" s="53" t="inlineStr">
        <is>
          <t>—</t>
        </is>
      </c>
      <c r="BL530" s="53" t="inlineStr">
        <is>
          <t>—</t>
        </is>
      </c>
      <c r="BM530" s="53" t="inlineStr">
        <is>
          <t>Not a manager</t>
        </is>
      </c>
      <c r="BN530" s="53" t="inlineStr">
        <is>
          <t>—</t>
        </is>
      </c>
      <c r="BO530" s="53" t="inlineStr">
        <is>
          <t>—</t>
        </is>
      </c>
      <c r="BP530" s="53" t="inlineStr">
        <is>
          <t>—</t>
        </is>
      </c>
      <c r="BQ530" s="53" t="inlineStr">
        <is>
          <t>Not a manager</t>
        </is>
      </c>
      <c r="BR530" s="53" t="inlineStr">
        <is>
          <t>—</t>
        </is>
      </c>
      <c r="BS530" s="53" t="inlineStr">
        <is>
          <t>L3 – Professional / Associate</t>
        </is>
      </c>
      <c r="BT530" s="53" t="inlineStr">
        <is>
          <t>L3 – Professional / Associate</t>
        </is>
      </c>
      <c r="BU530" s="53" t="inlineStr">
        <is>
          <t>No designation change — current record value carried forward</t>
        </is>
      </c>
      <c r="BV530" s="53" t="inlineStr">
        <is>
          <t>1.Deliver ≥ 95% committed frontend/full-stack tasks within agreed timelines with high-quality implementation.
2.Strengthen frontend architecture expertise in React, component design, performance optimization, and reusable UI framework development, contributing to ≥ 40% frontend design discussions.
3.Build full-stack capability by learning backend APIs, system design, architecture modeling, and database workflows, contributing to ≥ 30% backend/full-stack tasks by FY end.
4.Maintain strong engineering quality by achieving ≥ 90% first-time-right delivery and reducing rework by ≥ 30% YoY.
5.Maintain high engineering standards with ≥ 90% code quality compliance and participation in ≥ 60% relevant code reviews.
6.Improve communication and confidence by actively participating in ≥ 70% sprint discussions, demos, and team meetings, while delivering 2–3 technical initiatives annually.</t>
        </is>
      </c>
      <c r="BW530" s="53" t="n"/>
      <c r="BX530" s="53" t="inlineStr">
        <is>
          <t>Internal.</t>
        </is>
      </c>
      <c r="BY530" s="53" t="n"/>
      <c r="BZ530" s="53" t="n"/>
      <c r="CA530" s="53" t="n"/>
      <c r="CB530" s="53" t="n"/>
      <c r="CC530" s="53" t="n"/>
      <c r="CD530" s="53" t="n"/>
      <c r="CE530" s="53" t="n"/>
      <c r="CF530" s="53" t="n"/>
      <c r="CG530" s="53" t="n"/>
      <c r="CH530" s="53" t="n"/>
      <c r="CI530" s="53" t="n"/>
      <c r="CJ530" s="53" t="n"/>
      <c r="CK530" s="53" t="n"/>
      <c r="CL530" s="53" t="n"/>
      <c r="CM530" s="53" t="n"/>
      <c r="CN530" s="53" t="n"/>
      <c r="CO530" s="53" t="n"/>
      <c r="CP530" s="53" t="n"/>
      <c r="CQ530" s="53" t="n"/>
      <c r="CR530" s="53" t="n"/>
      <c r="CS530" s="53" t="n"/>
      <c r="CT530" s="53" t="n"/>
      <c r="CU530" s="53" t="n"/>
      <c r="CV530" s="53" t="n"/>
      <c r="CW530" s="53" t="n"/>
      <c r="CX530" s="53" t="n"/>
      <c r="CY530" s="53" t="n"/>
      <c r="CZ530" s="53" t="n"/>
      <c r="DA530" s="53" t="n"/>
      <c r="DB530" s="53" t="n"/>
      <c r="DC530" s="53" t="n"/>
      <c r="DD530" s="53" t="n"/>
      <c r="DE530" s="53" t="n"/>
      <c r="DF530" s="53" t="n"/>
      <c r="DG530" s="53" t="n"/>
      <c r="DH530" s="53" t="n"/>
      <c r="DI530" s="53" t="n"/>
      <c r="DJ530" s="53" t="n"/>
      <c r="DK530" s="53" t="n"/>
      <c r="DL530" s="53" t="n"/>
      <c r="DM530" s="53" t="n"/>
      <c r="DN530" s="53" t="n"/>
      <c r="DO530" s="53" t="n"/>
      <c r="DP530" s="53" t="n"/>
      <c r="DQ530" s="53" t="n"/>
      <c r="DR530" s="53" t="n"/>
      <c r="DS530" s="53" t="n"/>
      <c r="DT530" s="53" t="n"/>
      <c r="DU530" s="53" t="n"/>
      <c r="DV530" s="53" t="n"/>
      <c r="DW530" s="53" t="n"/>
      <c r="DX530" s="53" t="n"/>
      <c r="DY530" s="53" t="n"/>
      <c r="DZ530" s="53" t="n"/>
      <c r="EA530" s="53" t="n"/>
      <c r="EB530" s="53" t="n"/>
      <c r="EC530" s="53" t="n"/>
      <c r="ED530" s="53" t="n"/>
      <c r="EE530" s="53" t="n"/>
      <c r="EF530" s="53" t="n"/>
      <c r="EG530" s="53" t="n"/>
      <c r="EH530" s="53" t="n"/>
      <c r="EI530" s="53" t="n"/>
      <c r="EJ530" s="53" t="n"/>
      <c r="EK530" s="53" t="n"/>
      <c r="EL530" s="53" t="n"/>
      <c r="EM530" s="53" t="n"/>
      <c r="EN530" s="53" t="n"/>
      <c r="EO530" s="53" t="n"/>
      <c r="EP530" s="53" t="n"/>
      <c r="EQ530" s="53" t="n"/>
      <c r="ER530" s="53" t="n"/>
      <c r="ES530" s="53" t="n"/>
      <c r="ET530" s="53" t="n"/>
      <c r="EU530" s="53" t="n"/>
      <c r="EV530" s="53" t="n"/>
      <c r="EW530" s="52" t="n"/>
      <c r="EX530" s="53" t="inlineStr">
        <is>
          <t>• Role / sub-team: Technology — Software Engineer.
• Core purpose: I am a frontend developer, mainly working on UI and frontend features. I am also learning backend development to improve my overall technical skills.
• Decision-making autonomy: Can independently understand the problem.
• Is this something only they do: Most of us.
• What's different about this role: End-to-end ownership of features and tasks.</t>
        </is>
      </c>
      <c r="EY530" s="53" t="inlineStr">
        <is>
          <t>• Key responsibilities include: Develop user stories; Bug fixes.
• Personally accountable for: User story development, bug fixes, API development.
• Impact if missed or done wrong: It can cause delay and rework.
• How measured: Same as everyone.</t>
        </is>
      </c>
      <c r="EZ530" s="53" t="inlineStr">
        <is>
          <t>• Current capabilities: React js javascript.
• Tools / software used: Vs code.
• Workload: Rated a moderate load · 3/5 in a typical week.
• Judgment/way of working: Understand requirement clearly and deliver quality work.</t>
        </is>
      </c>
      <c r="FA530" s="53" t="inlineStr">
        <is>
          <t>• Development priorities: AI tools and prompt engineering for better coding standard.
• Learning and Development Need: Prompt Engineering. Learned backend and APIs earlier.
• Role evolving toward: More AI-assisted coding.</t>
        </is>
      </c>
      <c r="FB530" s="53" t="inlineStr">
        <is>
          <t>• Key challenges: Changing requirement.
• Support required: Clear requirements help developers work faster and avoid rework.</t>
        </is>
      </c>
      <c r="FC530" s="53" t="n"/>
      <c r="FD530" s="53" t="n"/>
      <c r="FE530" s="57" t="inlineStr">
        <is>
          <t>1.Deliver ≥ 95% committed frontend/full-stack tasks within agreed timelines with high-quality implementation.
2.Strengthen frontend architecture expertise in React, component design, performance optimization, and reusable UI framework development, contributing to ≥ 40% frontend design discussions.
3.Build full-stack capability by learning backend APIs, system design, architecture modeling, and database workflows, contributing to ≥ 30% backend/full-stack tasks by FY end.
4.Maintain strong engineering quality by achieving ≥ 90% first-time-right delivery and reducing rework by ≥ 30% YoY.
5.Maintain high engineering standards with ≥ 90% code quality compliance and participation in ≥ 60% relevant code reviews.
6.Improve communication and confidence by actively participating in ≥ 70% sprint discussions, demos, and team meetings, while delivering 2–3 technical initiatives annually.</t>
        </is>
      </c>
      <c r="FF530" s="56" t="n"/>
      <c r="FG530" s="56" t="n"/>
      <c r="FH530" s="56" t="n"/>
      <c r="FI530" s="56" t="n"/>
      <c r="FJ530" s="56" t="inlineStr">
        <is>
          <t>Received · manager annual</t>
        </is>
      </c>
      <c r="FK530" s="56" t="inlineStr">
        <is>
          <t>CARBON Mapping Master</t>
        </is>
      </c>
      <c r="FL530" s="56" t="n">
        <v>20</v>
      </c>
      <c r="FM530" s="56" t="inlineStr">
        <is>
          <t>• Role / sub-team: Technology — Software Engineer.
• Core purpose: I am a frontend developer, mainly working on UI and frontend features. I am also learning backend development to improve my overall technical skills.
• Decision-making autonomy: Can independently understand the problem.
• Is this something only they do: Most of us.
• What's different about this role: End-to-end ownership of features and tasks.</t>
        </is>
      </c>
      <c r="FN530" s="56" t="inlineStr">
        <is>
          <t>• Key responsibilities include: Develop user stories; Bug fixes.
• Personally accountable for: User story development, bug fixes, API development.
• Impact if missed or done wrong: It can cause delay and rework.
• How measured: Same as everyone.</t>
        </is>
      </c>
      <c r="FO530" s="56" t="inlineStr">
        <is>
          <t>• Current capabilities: React js javascript.
• Tools / software used: Vs code.
• Workload: Rated a moderate load · 3/5 in a typical week.
• Judgment/way of working: Understand requirement clearly and deliver quality work.</t>
        </is>
      </c>
      <c r="FP530" s="56" t="inlineStr">
        <is>
          <t>• Development priorities: AI tools and prompt engineering for better coding standard.
• Learning and Development Need: Prompt Engineering. Learned backend and APIs earlier.
• Role evolving toward: More AI-assisted coding.</t>
        </is>
      </c>
      <c r="FQ530" s="56" t="inlineStr">
        <is>
          <t>• Key challenges: Changing requirement.
• Support required: Clear requirements help developers work faster and avoid rework.</t>
        </is>
      </c>
      <c r="FR530" s="56" t="inlineStr">
        <is>
          <t>Complexity: Evidence reads like A2: Develops user stories and bug fixes in React; still learning backend → matches the start
Autonomy: Evidence reads like A2: Only 'understand the problem' given as independent decision → matches the start
Accountability: Evidence reads like A2: User story development and bug fixes; errors cause delay and rework → matches the start
Leadership: Evidence reads like A1: No guidance of others described → matches the start
Business Impact: No survey or manager-mapping signal on criticality: kept at the start point.</t>
        </is>
      </c>
      <c r="FS530" s="56" t="inlineStr">
        <is>
          <t>Common themes in role-holders' answers: core · purpose · web · improve · business · user-friendly
Common themes in role-holders' answers: ui · user · performance · design · development · testing
Common themes in role-holders' answers: user · app
Common themes in role-holders' answers: development · am · accountable · quality · ui · responsive user-friendly
Common themes in role-holders' answers: code · ui
If the work is missed · role-holders' themes: impact · delivery · performance · overall.
Measured on · manager-set KRA themes: components · sprint · code · coverage · quality · maintain.</t>
        </is>
      </c>
      <c r="FT530" s="56" t="inlineStr">
        <is>
          <t>Self-identified: AI / automation · Technical depth &amp; architecture · Product &amp; tool knowledge
For the next role: AI / automation · Technical depth &amp; architecture · Product &amp; tool knowledge</t>
        </is>
      </c>
      <c r="FU530" s="56" t="inlineStr">
        <is>
          <t>Per-person summary · CARBON Mapping Master</t>
        </is>
      </c>
    </row>
    <row r="531" ht="90" customHeight="1">
      <c r="A531" s="51" t="inlineStr">
        <is>
          <t>◂ Back</t>
        </is>
      </c>
      <c r="B531" s="29" t="inlineStr">
        <is>
          <t>Mapped</t>
        </is>
      </c>
      <c r="C531" s="28" t="inlineStr">
        <is>
          <t>CARBON</t>
        </is>
      </c>
      <c r="D531" s="29" t="inlineStr">
        <is>
          <t>IRIS2281</t>
        </is>
      </c>
      <c r="E531" s="29" t="inlineStr">
        <is>
          <t>Riya Parekh</t>
        </is>
      </c>
      <c r="F531" s="29" t="inlineStr">
        <is>
          <t>Technology</t>
        </is>
      </c>
      <c r="G531" s="29" t="inlineStr">
        <is>
          <t>Software Engineer</t>
        </is>
      </c>
      <c r="H531" s="29" t="inlineStr">
        <is>
          <t>Senior Software Engineer</t>
        </is>
      </c>
      <c r="I531" s="29" t="inlineStr">
        <is>
          <t>L3 – Professional / Associate</t>
        </is>
      </c>
      <c r="J531" s="29" t="inlineStr">
        <is>
          <t>A3</t>
        </is>
      </c>
      <c r="K531" s="29" t="inlineStr">
        <is>
          <t>▲ Up</t>
        </is>
      </c>
      <c r="L531" s="29" t="inlineStr">
        <is>
          <t>Engineering &amp; Development</t>
        </is>
      </c>
      <c r="M531" s="29" t="inlineStr">
        <is>
          <t>Full-Stack Development</t>
        </is>
      </c>
      <c r="N531" s="29" t="n"/>
      <c r="O531" s="29" t="n">
        <v>20</v>
      </c>
      <c r="P531" s="28" t="inlineStr">
        <is>
          <t>P2</t>
        </is>
      </c>
      <c r="Q531" s="29" t="inlineStr">
        <is>
          <t>Developing</t>
        </is>
      </c>
      <c r="R531" s="29" t="inlineStr">
        <is>
          <t>3 Apply</t>
        </is>
      </c>
      <c r="S531" s="29" t="inlineStr">
        <is>
          <t>2–4 yrs</t>
        </is>
      </c>
      <c r="T531" s="29" t="inlineStr">
        <is>
          <t>3–5 · 2–5</t>
        </is>
      </c>
      <c r="U531" s="29" t="inlineStr">
        <is>
          <t>Software Engineer</t>
        </is>
      </c>
      <c r="V531" s="29" t="inlineStr">
        <is>
          <t>Workiva: SE · Broadridge India: SE · Nasdaq / AxiomSL: SE · Salesforce: MTS · Atlassian: P40 · 3–7 yrs · Freshworks: Senior SE</t>
        </is>
      </c>
      <c r="W531" s="29" t="inlineStr">
        <is>
          <t>SFIA 9 · software development, programming; OWASP secure coding; cloud vendor certifications</t>
        </is>
      </c>
      <c r="X531" s="29" t="inlineStr">
        <is>
          <t>Core 2 · Future 2 · Functional 3 · Leadership not scored</t>
        </is>
      </c>
      <c r="Y531" s="52" t="n">
        <v>327</v>
      </c>
      <c r="Z531" s="53" t="inlineStr">
        <is>
          <t>IRIS2281</t>
        </is>
      </c>
      <c r="AA531" s="53" t="inlineStr">
        <is>
          <t>Employee</t>
        </is>
      </c>
      <c r="AB531" s="53" t="inlineStr">
        <is>
          <t>Active</t>
        </is>
      </c>
      <c r="AC531" s="53" t="inlineStr">
        <is>
          <t>Riya Parekh</t>
        </is>
      </c>
      <c r="AD531" s="54" t="n">
        <v>45474</v>
      </c>
      <c r="AE531" s="53" t="inlineStr">
        <is>
          <t>Software Engineer</t>
        </is>
      </c>
      <c r="AF531" s="53" t="inlineStr">
        <is>
          <t>Bachelor of Science</t>
        </is>
      </c>
      <c r="AG531" s="53" t="inlineStr">
        <is>
          <t>Hetal Chauhan</t>
        </is>
      </c>
      <c r="AH531" s="53" t="inlineStr">
        <is>
          <t>N-4</t>
        </is>
      </c>
      <c r="AI531" s="53" t="inlineStr">
        <is>
          <t>Individual Contributor</t>
        </is>
      </c>
      <c r="AJ531" s="53" t="inlineStr">
        <is>
          <t>0 years, 0 months, 0 days</t>
        </is>
      </c>
      <c r="AK531" s="53" t="inlineStr">
        <is>
          <t>2 years, 1 months, 24 days</t>
        </is>
      </c>
      <c r="AL531" s="53" t="inlineStr">
        <is>
          <t>Regtech</t>
        </is>
      </c>
      <c r="AM531" s="53" t="inlineStr">
        <is>
          <t>CARBON</t>
        </is>
      </c>
      <c r="AN531" s="53" t="inlineStr">
        <is>
          <t>Technology</t>
        </is>
      </c>
      <c r="AO531" s="53" t="inlineStr">
        <is>
          <t>Development</t>
        </is>
      </c>
      <c r="AP531" s="53" t="inlineStr">
        <is>
          <t>Yes</t>
        </is>
      </c>
      <c r="AQ531" s="53" t="inlineStr">
        <is>
          <t>Product/Project</t>
        </is>
      </c>
      <c r="AR531" s="53" t="inlineStr">
        <is>
          <t>.NET MVC + Angular</t>
        </is>
      </c>
      <c r="AS531" s="53" t="inlineStr">
        <is>
          <t>Technical - Developer</t>
        </is>
      </c>
      <c r="AT531" s="53" t="n">
        <v>20</v>
      </c>
      <c r="AU531" s="53" t="inlineStr">
        <is>
          <t>Covered</t>
        </is>
      </c>
      <c r="AV531" s="53" t="inlineStr">
        <is>
          <t>IRIS2281</t>
        </is>
      </c>
      <c r="AW531" s="53" t="inlineStr">
        <is>
          <t>Riya Parekh</t>
        </is>
      </c>
      <c r="AX531" s="53" t="inlineStr">
        <is>
          <t>Technology</t>
        </is>
      </c>
      <c r="AY531" s="53" t="inlineStr">
        <is>
          <t>Engineering &amp; Development</t>
        </is>
      </c>
      <c r="AZ531" s="53" t="inlineStr">
        <is>
          <t>Full-Stack Engineering</t>
        </is>
      </c>
      <c r="BA531" s="53" t="n"/>
      <c r="BB531" s="53" t="n"/>
      <c r="BC531" s="53" t="inlineStr">
        <is>
          <t>Employee</t>
        </is>
      </c>
      <c r="BD531" s="53" t="inlineStr">
        <is>
          <t>Hetal Chauhan</t>
        </is>
      </c>
      <c r="BE531" s="53" t="inlineStr">
        <is>
          <t>Hetal Chauhan</t>
        </is>
      </c>
      <c r="BF531" s="53" t="inlineStr">
        <is>
          <t>No</t>
        </is>
      </c>
      <c r="BG531" s="53" t="inlineStr">
        <is>
          <t>Software Engineer</t>
        </is>
      </c>
      <c r="BH531" s="53" t="inlineStr">
        <is>
          <t>Software Engineer</t>
        </is>
      </c>
      <c r="BI531" s="53" t="inlineStr">
        <is>
          <t>No</t>
        </is>
      </c>
      <c r="BJ531" s="53" t="inlineStr">
        <is>
          <t>—</t>
        </is>
      </c>
      <c r="BK531" s="53" t="inlineStr">
        <is>
          <t>—</t>
        </is>
      </c>
      <c r="BL531" s="53" t="inlineStr">
        <is>
          <t>—</t>
        </is>
      </c>
      <c r="BM531" s="53" t="inlineStr">
        <is>
          <t>Not a manager</t>
        </is>
      </c>
      <c r="BN531" s="53" t="inlineStr">
        <is>
          <t>—</t>
        </is>
      </c>
      <c r="BO531" s="53" t="inlineStr">
        <is>
          <t>—</t>
        </is>
      </c>
      <c r="BP531" s="53" t="inlineStr">
        <is>
          <t>—</t>
        </is>
      </c>
      <c r="BQ531" s="53" t="inlineStr">
        <is>
          <t>Not a manager</t>
        </is>
      </c>
      <c r="BR531" s="53" t="inlineStr">
        <is>
          <t>—</t>
        </is>
      </c>
      <c r="BS531" s="53" t="inlineStr">
        <is>
          <t>L3 – Professional / Associate</t>
        </is>
      </c>
      <c r="BT531" s="53" t="inlineStr">
        <is>
          <t>L3 – Professional / Associate</t>
        </is>
      </c>
      <c r="BU531" s="53" t="inlineStr">
        <is>
          <t>No designation change — current record value carried forward</t>
        </is>
      </c>
      <c r="BV531" s="53" t="inlineStr">
        <is>
          <t>1.Deliver ≥ 95% committed backend/API tasks within agreed timelines with high-quality implementation.
2.Strengthen backend engineering expertise in advanced.NET Core, scalable API design, caching, performance optimization, and security, contributing to ≥ 40% technical design discussions by FY end.
3.Build frontend capability and contribute to ≥ 30% UI/full-stack implementation tasks using React by year-end.
4.Maintain strong engineering quality by achieving ≥ 90% first-time-right delivery and reducing rework by ≥ 35% YoY.
5.Maintain high engineering standards with ≥ 90% code quality compliance and participation in ≥ 60% relevant code reviews.
6.Take ownership of minimum 2–3 technical initiatives annually · performance improvement, reusable components, API optimization, automation, etc..</t>
        </is>
      </c>
      <c r="BW531" s="53" t="n"/>
      <c r="BX531" s="53" t="inlineStr">
        <is>
          <t>Global.</t>
        </is>
      </c>
      <c r="BY531" s="53" t="n"/>
      <c r="BZ531" s="53" t="n"/>
      <c r="CA531" s="53" t="n"/>
      <c r="CB531" s="53" t="n"/>
      <c r="CC531" s="53" t="n"/>
      <c r="CD531" s="53" t="n"/>
      <c r="CE531" s="53" t="n"/>
      <c r="CF531" s="53" t="n"/>
      <c r="CG531" s="53" t="n"/>
      <c r="CH531" s="53" t="n"/>
      <c r="CI531" s="53" t="n"/>
      <c r="CJ531" s="53" t="n"/>
      <c r="CK531" s="53" t="n"/>
      <c r="CL531" s="53" t="n"/>
      <c r="CM531" s="53" t="n"/>
      <c r="CN531" s="53" t="n"/>
      <c r="CO531" s="53" t="n"/>
      <c r="CP531" s="53" t="n"/>
      <c r="CQ531" s="53" t="n"/>
      <c r="CR531" s="53" t="n"/>
      <c r="CS531" s="53" t="n"/>
      <c r="CT531" s="53" t="n"/>
      <c r="CU531" s="53" t="n"/>
      <c r="CV531" s="53" t="n"/>
      <c r="CW531" s="53" t="n"/>
      <c r="CX531" s="53" t="n"/>
      <c r="CY531" s="53" t="n"/>
      <c r="CZ531" s="53" t="n"/>
      <c r="DA531" s="53" t="n"/>
      <c r="DB531" s="53" t="n"/>
      <c r="DC531" s="53" t="n"/>
      <c r="DD531" s="53" t="n"/>
      <c r="DE531" s="53" t="n"/>
      <c r="DF531" s="53" t="n"/>
      <c r="DG531" s="53" t="n"/>
      <c r="DH531" s="53" t="n"/>
      <c r="DI531" s="53" t="n"/>
      <c r="DJ531" s="53" t="n"/>
      <c r="DK531" s="53" t="n"/>
      <c r="DL531" s="53" t="n"/>
      <c r="DM531" s="53" t="n"/>
      <c r="DN531" s="53" t="n"/>
      <c r="DO531" s="53" t="n"/>
      <c r="DP531" s="53" t="n"/>
      <c r="DQ531" s="53" t="n"/>
      <c r="DR531" s="53" t="n"/>
      <c r="DS531" s="53" t="n"/>
      <c r="DT531" s="53" t="n"/>
      <c r="DU531" s="53" t="n"/>
      <c r="DV531" s="53" t="n"/>
      <c r="DW531" s="53" t="n"/>
      <c r="DX531" s="53" t="n"/>
      <c r="DY531" s="53" t="n"/>
      <c r="DZ531" s="53" t="n"/>
      <c r="EA531" s="53" t="n"/>
      <c r="EB531" s="53" t="n"/>
      <c r="EC531" s="53" t="n"/>
      <c r="ED531" s="53" t="n"/>
      <c r="EE531" s="53" t="n"/>
      <c r="EF531" s="53" t="n"/>
      <c r="EG531" s="53" t="n"/>
      <c r="EH531" s="53" t="n"/>
      <c r="EI531" s="53" t="n"/>
      <c r="EJ531" s="53" t="n"/>
      <c r="EK531" s="53" t="n"/>
      <c r="EL531" s="53" t="n"/>
      <c r="EM531" s="53" t="n"/>
      <c r="EN531" s="53" t="n"/>
      <c r="EO531" s="53" t="n"/>
      <c r="EP531" s="53" t="n"/>
      <c r="EQ531" s="53" t="n"/>
      <c r="ER531" s="53" t="n"/>
      <c r="ES531" s="53" t="n"/>
      <c r="ET531" s="53" t="n"/>
      <c r="EU531" s="53" t="n"/>
      <c r="EV531" s="53" t="n"/>
      <c r="EW531" s="52" t="n"/>
      <c r="EX531" s="53" t="inlineStr">
        <is>
          <t>• Role / sub-team: Technology — Software Engineer.
• Core purpose: I am responsible for handling the backend part of the web application. Creating APIs, managing data which gets stored in the DB, how to fetch all that data in the quick manner.
• Decision-making autonomy: Can independently aPIs optimization.
• Is this something only they do: A few of us - optimizing APIs and improve performance.
• What's different about this role: Learn multiple patterns regarding APIs optimization. Learn when to use which pattern. Ask AI can my current version be improved and if it is improved then learn what AI has improved.</t>
        </is>
      </c>
      <c r="EY531" s="53" t="inlineStr">
        <is>
          <t>• Key responsibilities include: Backend architecture; APIs optimization; Proper model creation; APIs performance improve.
• Personally accountable for: APIs performance - it is my responsibility to ensure that all APIs perform better understanding multiple users as well. To maintain proper backend architecture.
• Impact if missed or done wrong: If tasks gets delayed need to extend working hours in order to complete. Missed scenario can lead to getting bugs from production so need to check all scenarios before implementing; Poor APIs performance can lead to slowness issue on client side so need to make sure APIs are giving response quickly.
• How measured: Partly different - thinking process, how quick it is, coming up with multiple approaches for some task. Picking proper backend architecture dicision.</t>
        </is>
      </c>
      <c r="EZ531" s="53" t="inlineStr">
        <is>
          <t>• Current capabilities: API performance technique; Backend architecture.
• Tools / software used: Visual Studio; Postman; Copilot; Mongo compass.
• Workload: Rated a heavy load · 4/5 in a typical week.
• Judgment/way of working: Logical thinking; Multiple approach; Adapt to changes quickly.</t>
        </is>
      </c>
      <c r="FA531" s="53" t="inlineStr">
        <is>
          <t>• Development priorities: Leadership exposure, more exposure to technical decission making; Opportunities for new tasks which help me capable of full stack development.
• Learning and Development Need: Guidance from seniors; Opportunities to learn. Clear indication of the work that I'm interested in.
• Role evolving toward: AI tools are making things easier in some tasks and getting multiple approaches from AI is also improving development of new tasks, but it is also slows down in some of the tasks due to refactoring co.</t>
        </is>
      </c>
      <c r="FB531" s="53" t="inlineStr">
        <is>
          <t>• Key challenges: Other tasks in between; Lack of proper structure.
• Support required: Clear requirements; Proper task allocation no in between tasks; Same type of tasks should not be given to the same person task switching should be there so that people can learn different things.</t>
        </is>
      </c>
      <c r="FC531" s="53" t="n"/>
      <c r="FD531" s="53" t="n"/>
      <c r="FE531" s="57" t="inlineStr">
        <is>
          <t>1.Deliver ≥ 95% committed backend/API tasks within agreed timelines with high-quality implementation.
2.Strengthen backend engineering expertise in advanced .NET Core, scalable API design, caching, performance optimization, and security, contributing to ≥ 40% technical design discussions by FY end.
3.Build frontend capability and contribute to ≥ 30% UI/full-stack implementation tasks using React by year-end.
4.Maintain strong engineering quality by achieving ≥ 90% first-time-right delivery and reducing rework by ≥ 35% YoY.
5.Maintain high engineering standards with ≥ 90% code quality compliance and participation in ≥ 60% relevant code reviews.
6.Take ownership of minimum 2–3 technical initiatives annually · performance improvement, reusable components, API optimization, automation, etc..</t>
        </is>
      </c>
      <c r="FF531" s="56" t="n"/>
      <c r="FG531" s="56" t="n"/>
      <c r="FH531" s="56" t="n"/>
      <c r="FI531" s="56" t="n"/>
      <c r="FJ531" s="56" t="inlineStr">
        <is>
          <t>Received · manager annual</t>
        </is>
      </c>
      <c r="FK531" s="56" t="inlineStr">
        <is>
          <t>CARBON Mapping Master</t>
        </is>
      </c>
      <c r="FL531" s="56" t="n">
        <v>20</v>
      </c>
      <c r="FM531" s="56" t="inlineStr">
        <is>
          <t>• Role / sub-team: Technology — Software Engineer.
• Core purpose: I am responsible for handling the backend part of the web application. Creating APIs, managing data which gets stored in the DB, how to fetch all that data in the quick manner.
• Decision-making autonomy: Can independently aPIs optimization.
• Is this something only they do: A few of us - optimizing APIs and improve performance.
• What's different about this role: Learn multiple patterns regarding APIs optimization. Learn when to use which pattern. Ask AI can my current version be improved and if it is improved then learn what AI has improved.</t>
        </is>
      </c>
      <c r="FN531" s="56" t="inlineStr">
        <is>
          <t>• Key responsibilities include: Backend architecture; APIs optimization; Proper model creation; APIs performance improve.
• Personally accountable for: APIs performance - it is my responsibility to ensure that all APIs perform better understanding multiple users as well. To maintain proper backend architecture.
• Impact if missed or done wrong: If tasks gets delayed need to extend working hours in order to complete. Missed scenario can lead to getting bugs from production so need to check all scenarios before implementing; Poor APIs performance can lead to slowness issue on client side so need to make sure APIs are giving response quickly.
• How measured: Partly different - thinking process, how quick it is, coming up with multiple approaches for some task. Picking proper backend architecture dicision.</t>
        </is>
      </c>
      <c r="FO531" s="56" t="inlineStr">
        <is>
          <t>• Current capabilities: API performance technique; Backend architecture.
• Tools / software used: Visual Studio; Postman; Copilot; Mongo compass.
• Workload: Rated a heavy load · 4/5 in a typical week.
• Judgment/way of working: Logical thinking; Multiple approach; Adapt to changes quickly.</t>
        </is>
      </c>
      <c r="FP531" s="56" t="inlineStr">
        <is>
          <t>• Development priorities: Leadership exposure, more exposure to technical decission making; Opportunities for new tasks which help me capable of full stack development.
• Learning and Development Need: Guidance from seniors; Opportunities to learn. Clear indication of the work that I'm interested in.
• Role evolving toward: AI tools are making things easier in some tasks and getting multiple approaches from AI is also improving development of new tasks, but it is also slows down in some of the tasks due to refactoring co.</t>
        </is>
      </c>
      <c r="FQ531" s="56" t="inlineStr">
        <is>
          <t>• Key challenges: Other tasks in between; Lack of proper structure.
• Support required: Clear requirements; Proper task allocation no in between tasks; Same type of tasks should not be given to the same person task switching should be there so that people can learn different things.</t>
        </is>
      </c>
      <c r="FR531" s="56" t="inlineStr">
        <is>
          <t>Complexity: Evidence reads like A3: Backend APIs, data models and API performance optimisation patterns; one of few doing optimisation → moved up 0.5
Autonomy: Evidence reads like A2: Decides API optimisation within own backend work → matches the start
Accountability: Evidence reads like A3: API performance under multiple users and backend structure; slowness reaches clients → moved up 0.5
Leadership: Evidence reads like A1: No guidance of others described → matches the start
Business Impact: No survey or manager-mapping signal on criticality: kept at the start point.</t>
        </is>
      </c>
      <c r="FS531" s="56"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FT531" s="56" t="inlineStr">
        <is>
          <t>Self-identified: Leadership &amp; people management · Technical depth &amp; architecture · Broader exposure &amp; ownership
For the next role: Leadership &amp; people management · Technical depth &amp; architecture · Broader exposure &amp; ownership</t>
        </is>
      </c>
      <c r="FU531" s="56" t="inlineStr">
        <is>
          <t>Per-person summary · CARBON Mapping Master</t>
        </is>
      </c>
    </row>
    <row r="532" ht="90" customHeight="1">
      <c r="A532" s="51" t="inlineStr">
        <is>
          <t>◂ Back</t>
        </is>
      </c>
      <c r="B532" s="29" t="inlineStr">
        <is>
          <t>Mapped</t>
        </is>
      </c>
      <c r="C532" s="28" t="inlineStr">
        <is>
          <t>CARBON</t>
        </is>
      </c>
      <c r="D532" s="29" t="inlineStr">
        <is>
          <t>IRIS2544</t>
        </is>
      </c>
      <c r="E532" s="29" t="inlineStr">
        <is>
          <t>Harsh Icecreamwala</t>
        </is>
      </c>
      <c r="F532" s="29" t="inlineStr">
        <is>
          <t>Technology</t>
        </is>
      </c>
      <c r="G532" s="29" t="inlineStr">
        <is>
          <t>Software Engineer</t>
        </is>
      </c>
      <c r="H532" s="29" t="inlineStr">
        <is>
          <t>Senior Software Engineer</t>
        </is>
      </c>
      <c r="I532" s="29" t="inlineStr">
        <is>
          <t>Not in current mapping files</t>
        </is>
      </c>
      <c r="J532" s="29" t="inlineStr">
        <is>
          <t>A3</t>
        </is>
      </c>
      <c r="K532" s="29" t="inlineStr">
        <is>
          <t>● Newly mapped</t>
        </is>
      </c>
      <c r="L532" s="29" t="inlineStr">
        <is>
          <t>Engineering &amp; Development</t>
        </is>
      </c>
      <c r="M532" s="29" t="inlineStr">
        <is>
          <t>Backend Development</t>
        </is>
      </c>
      <c r="N532" s="29" t="n"/>
      <c r="O532" s="29" t="n">
        <v>20</v>
      </c>
      <c r="P532" s="28" t="inlineStr">
        <is>
          <t>P2</t>
        </is>
      </c>
      <c r="Q532" s="29" t="inlineStr">
        <is>
          <t>Developing</t>
        </is>
      </c>
      <c r="R532" s="29" t="inlineStr">
        <is>
          <t>3 Apply</t>
        </is>
      </c>
      <c r="S532" s="29" t="inlineStr">
        <is>
          <t>2–4 yrs</t>
        </is>
      </c>
      <c r="T532" s="29" t="inlineStr">
        <is>
          <t>3–5 · 2–5</t>
        </is>
      </c>
      <c r="U532" s="29" t="inlineStr">
        <is>
          <t>Software Engineer</t>
        </is>
      </c>
      <c r="V532" s="29" t="inlineStr">
        <is>
          <t>Workiva: SE · Broadridge India: SE · Nasdaq / AxiomSL: SE · Salesforce: MTS · Atlassian: P40 · 3–7 yrs · Freshworks: Senior SE</t>
        </is>
      </c>
      <c r="W532" s="29" t="inlineStr">
        <is>
          <t>SFIA 9 · software development, programming; OWASP secure coding; cloud vendor certifications</t>
        </is>
      </c>
      <c r="X532" s="29" t="inlineStr">
        <is>
          <t>Core 2 · Future 2 · Functional 3 · Leadership not scored</t>
        </is>
      </c>
      <c r="Y532" s="52" t="n">
        <v>518</v>
      </c>
      <c r="Z532" s="53" t="inlineStr">
        <is>
          <t>IRIS2544</t>
        </is>
      </c>
      <c r="AA532" s="53" t="inlineStr">
        <is>
          <t>Employee</t>
        </is>
      </c>
      <c r="AB532" s="53" t="inlineStr">
        <is>
          <t>Active</t>
        </is>
      </c>
      <c r="AC532" s="53" t="inlineStr">
        <is>
          <t>Harsh Icecreamwala</t>
        </is>
      </c>
      <c r="AD532" s="54" t="n">
        <v>46217</v>
      </c>
      <c r="AE532" s="53" t="inlineStr">
        <is>
          <t>Software Engineer</t>
        </is>
      </c>
      <c r="AF532" s="53" t="inlineStr">
        <is>
          <t>Master of Science</t>
        </is>
      </c>
      <c r="AG532" s="53" t="inlineStr">
        <is>
          <t>Siddhesh Kadam</t>
        </is>
      </c>
      <c r="AH532" s="53" t="inlineStr">
        <is>
          <t>N-3</t>
        </is>
      </c>
      <c r="AI532" s="53" t="inlineStr">
        <is>
          <t>Individual Contributor</t>
        </is>
      </c>
      <c r="AJ532" s="53" t="inlineStr">
        <is>
          <t>2 years, 8 months, 0 days</t>
        </is>
      </c>
      <c r="AK532" s="53" t="inlineStr">
        <is>
          <t>0 years, 1 months, 11 days</t>
        </is>
      </c>
      <c r="AL532" s="53" t="inlineStr">
        <is>
          <t>Regtech</t>
        </is>
      </c>
      <c r="AM532" s="53" t="inlineStr">
        <is>
          <t>CARBON</t>
        </is>
      </c>
      <c r="AN532" s="53" t="inlineStr">
        <is>
          <t>Technology</t>
        </is>
      </c>
      <c r="AO532" s="53" t="inlineStr">
        <is>
          <t>Development</t>
        </is>
      </c>
      <c r="AP532" s="53" t="inlineStr">
        <is>
          <t>Yes</t>
        </is>
      </c>
      <c r="AQ532" s="53" t="inlineStr">
        <is>
          <t>Product/Project</t>
        </is>
      </c>
      <c r="AR532" s="53" t="inlineStr">
        <is>
          <t>.NET MVC</t>
        </is>
      </c>
      <c r="AS532" s="53" t="inlineStr">
        <is>
          <t>Technical - Developer</t>
        </is>
      </c>
      <c r="AT532" s="53" t="n">
        <v>20</v>
      </c>
      <c r="AU532" s="53" t="inlineStr">
        <is>
          <t>Covered</t>
        </is>
      </c>
      <c r="AV532" s="53" t="n"/>
      <c r="AW532" s="53" t="n"/>
      <c r="AX532" s="53" t="n"/>
      <c r="AY532" s="53" t="n"/>
      <c r="AZ532" s="53" t="n"/>
      <c r="BA532" s="53" t="n"/>
      <c r="BB532" s="53" t="n"/>
      <c r="BC532" s="53" t="n"/>
      <c r="BD532" s="53" t="n"/>
      <c r="BE532" s="53" t="n"/>
      <c r="BF532" s="53" t="n"/>
      <c r="BG532" s="53" t="n"/>
      <c r="BH532" s="53" t="n"/>
      <c r="BI532" s="53" t="n"/>
      <c r="BJ532" s="53" t="n"/>
      <c r="BK532" s="53" t="n"/>
      <c r="BL532" s="53" t="n"/>
      <c r="BM532" s="53" t="n"/>
      <c r="BN532" s="53" t="n"/>
      <c r="BO532" s="53" t="n"/>
      <c r="BP532" s="53" t="n"/>
      <c r="BQ532" s="53" t="n"/>
      <c r="BR532" s="53" t="n"/>
      <c r="BS532" s="53" t="n"/>
      <c r="BT532" s="53" t="n"/>
      <c r="BU532" s="53" t="n"/>
      <c r="BV532" s="53" t="n"/>
      <c r="BW532" s="53" t="n"/>
      <c r="BX532" s="53" t="n"/>
      <c r="BY532" s="53" t="n"/>
      <c r="BZ532" s="53" t="n"/>
      <c r="CA532" s="53" t="n"/>
      <c r="CB532" s="53" t="n"/>
      <c r="CC532" s="53" t="n"/>
      <c r="CD532" s="53" t="n"/>
      <c r="CE532" s="53" t="n"/>
      <c r="CF532" s="53" t="n"/>
      <c r="CG532" s="53" t="n"/>
      <c r="CH532" s="53" t="n"/>
      <c r="CI532" s="53" t="n"/>
      <c r="CJ532" s="53" t="n"/>
      <c r="CK532" s="53" t="n"/>
      <c r="CL532" s="53" t="n"/>
      <c r="CM532" s="53" t="n"/>
      <c r="CN532" s="53" t="n"/>
      <c r="CO532" s="53" t="n"/>
      <c r="CP532" s="53" t="n"/>
      <c r="CQ532" s="53" t="n"/>
      <c r="CR532" s="53" t="n"/>
      <c r="CS532" s="53" t="n"/>
      <c r="CT532" s="53" t="n"/>
      <c r="CU532" s="53" t="n"/>
      <c r="CV532" s="53" t="n"/>
      <c r="CW532" s="53" t="n"/>
      <c r="CX532" s="53" t="n"/>
      <c r="CY532" s="53" t="n"/>
      <c r="CZ532" s="53" t="n"/>
      <c r="DA532" s="53" t="n"/>
      <c r="DB532" s="53" t="n"/>
      <c r="DC532" s="53" t="n"/>
      <c r="DD532" s="53" t="n"/>
      <c r="DE532" s="53" t="n"/>
      <c r="DF532" s="53" t="n"/>
      <c r="DG532" s="53" t="n"/>
      <c r="DH532" s="53" t="n"/>
      <c r="DI532" s="53" t="n"/>
      <c r="DJ532" s="53" t="n"/>
      <c r="DK532" s="53" t="n"/>
      <c r="DL532" s="53" t="n"/>
      <c r="DM532" s="53" t="n"/>
      <c r="DN532" s="53" t="n"/>
      <c r="DO532" s="53" t="n"/>
      <c r="DP532" s="53" t="n"/>
      <c r="DQ532" s="53" t="n"/>
      <c r="DR532" s="53" t="n"/>
      <c r="DS532" s="53" t="n"/>
      <c r="DT532" s="53" t="n"/>
      <c r="DU532" s="53" t="n"/>
      <c r="DV532" s="53" t="n"/>
      <c r="DW532" s="53" t="n"/>
      <c r="DX532" s="53" t="n"/>
      <c r="DY532" s="53" t="n"/>
      <c r="DZ532" s="53" t="n"/>
      <c r="EA532" s="53" t="n"/>
      <c r="EB532" s="53" t="n"/>
      <c r="EC532" s="53" t="n"/>
      <c r="ED532" s="53" t="n"/>
      <c r="EE532" s="53" t="n"/>
      <c r="EF532" s="53" t="n"/>
      <c r="EG532" s="53" t="n"/>
      <c r="EH532" s="53" t="n"/>
      <c r="EI532" s="53" t="n"/>
      <c r="EJ532" s="53" t="n"/>
      <c r="EK532" s="53" t="n"/>
      <c r="EL532" s="53" t="n"/>
      <c r="EM532" s="53" t="n"/>
      <c r="EN532" s="53" t="n"/>
      <c r="EO532" s="53" t="n"/>
      <c r="EP532" s="53" t="n"/>
      <c r="EQ532" s="53" t="n"/>
      <c r="ER532" s="53" t="n"/>
      <c r="ES532" s="53" t="n"/>
      <c r="ET532" s="53" t="n"/>
      <c r="EU532" s="53" t="n"/>
      <c r="EV532" s="53" t="n"/>
      <c r="EW532" s="52" t="n"/>
      <c r="EX532" s="53" t="n"/>
      <c r="EY532" s="53" t="n"/>
      <c r="EZ532" s="53" t="n"/>
      <c r="FA532" s="53" t="n"/>
      <c r="FB532" s="53" t="n"/>
      <c r="FC532" s="53" t="n"/>
      <c r="FD532" s="53" t="n"/>
      <c r="FE532" s="55" t="inlineStr">
        <is>
          <t>KRAs not received · manager to supply</t>
        </is>
      </c>
      <c r="FF532" s="56" t="n"/>
      <c r="FG532" s="56" t="n"/>
      <c r="FH532" s="56" t="n"/>
      <c r="FI532" s="56" t="n"/>
      <c r="FJ532" s="32" t="inlineStr">
        <is>
          <t>KRAs not received · manager to supply</t>
        </is>
      </c>
      <c r="FK532" s="56" t="n"/>
      <c r="FL532" s="56" t="n">
        <v>20</v>
      </c>
      <c r="FM532" s="32" t="inlineStr">
        <is>
          <t>Full survey answers not in the files received · How We Grow export needed · HR</t>
        </is>
      </c>
      <c r="FN532" s="56" t="inlineStr">
        <is>
          <t>—</t>
        </is>
      </c>
      <c r="FO532" s="56" t="inlineStr">
        <is>
          <t>—</t>
        </is>
      </c>
      <c r="FP532" s="56" t="inlineStr">
        <is>
          <t>—</t>
        </is>
      </c>
      <c r="FQ532" s="56" t="inlineStr">
        <is>
          <t>—</t>
        </is>
      </c>
      <c r="FR532" s="56" t="inlineStr">
        <is>
          <t>Complexity: Evidence reads like A2: Builds product features from gathered requirements, checking compatibility with existing features → matches the start
Autonomy: Evidence reads like A2: Decides the end-to-end flow of own features → matches the start
Accountability: Evidence reads like A2: Features personally built for clients; delay hurts release consistency → matches the start
Leadership: Evidence reads like A1: No guiding or reviewing of others described → matches the start
Business Impact: No survey or manager-mapping signal on criticality: kept at the start point.</t>
        </is>
      </c>
      <c r="FS532"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532" s="56" t="inlineStr">
        <is>
          <t>Self-identified: AI / automation
For the next role: AI / automation</t>
        </is>
      </c>
      <c r="FU532" s="32" t="inlineStr">
        <is>
          <t>Full survey answers not in the files received · How We Grow export needed · HR</t>
        </is>
      </c>
    </row>
    <row r="533" ht="90" customHeight="1">
      <c r="A533" s="51" t="inlineStr">
        <is>
          <t>◂ Back</t>
        </is>
      </c>
      <c r="B533" s="29" t="inlineStr">
        <is>
          <t>Mapped</t>
        </is>
      </c>
      <c r="C533" s="28" t="inlineStr">
        <is>
          <t>CARBON</t>
        </is>
      </c>
      <c r="D533" s="29" t="inlineStr">
        <is>
          <t>IRIS2146</t>
        </is>
      </c>
      <c r="E533" s="29" t="inlineStr">
        <is>
          <t>Parthviben Mistry</t>
        </is>
      </c>
      <c r="F533" s="29" t="inlineStr">
        <is>
          <t>Technology</t>
        </is>
      </c>
      <c r="G533" s="29" t="inlineStr">
        <is>
          <t>Software Engineer</t>
        </is>
      </c>
      <c r="H533" s="29" t="inlineStr">
        <is>
          <t>Senior Software Engineer</t>
        </is>
      </c>
      <c r="I533" s="29" t="inlineStr">
        <is>
          <t>L3 – Professional / Associate</t>
        </is>
      </c>
      <c r="J533" s="29" t="inlineStr">
        <is>
          <t>A3</t>
        </is>
      </c>
      <c r="K533" s="29" t="inlineStr">
        <is>
          <t>▲ Up</t>
        </is>
      </c>
      <c r="L533" s="29" t="inlineStr">
        <is>
          <t>Engineering &amp; Development</t>
        </is>
      </c>
      <c r="M533" s="29" t="inlineStr">
        <is>
          <t>Full-Stack Development</t>
        </is>
      </c>
      <c r="N533" s="29" t="n"/>
      <c r="O533" s="29" t="n">
        <v>20</v>
      </c>
      <c r="P533" s="28" t="inlineStr">
        <is>
          <t>P2</t>
        </is>
      </c>
      <c r="Q533" s="29" t="inlineStr">
        <is>
          <t>Developing</t>
        </is>
      </c>
      <c r="R533" s="29" t="inlineStr">
        <is>
          <t>3 Apply</t>
        </is>
      </c>
      <c r="S533" s="29" t="inlineStr">
        <is>
          <t>2–4 yrs</t>
        </is>
      </c>
      <c r="T533" s="29" t="inlineStr">
        <is>
          <t>3–5 · 2–5</t>
        </is>
      </c>
      <c r="U533" s="29" t="inlineStr">
        <is>
          <t>Software Engineer</t>
        </is>
      </c>
      <c r="V533" s="29" t="inlineStr">
        <is>
          <t>Workiva: SE · Broadridge India: SE · Nasdaq / AxiomSL: SE · Salesforce: MTS · Atlassian: P40 · 3–7 yrs · Freshworks: Senior SE</t>
        </is>
      </c>
      <c r="W533" s="29" t="inlineStr">
        <is>
          <t>SFIA 9 · software development, programming; OWASP secure coding; cloud vendor certifications</t>
        </is>
      </c>
      <c r="X533" s="29" t="inlineStr">
        <is>
          <t>Core 2 · Future 2 · Functional 3 · Leadership not scored</t>
        </is>
      </c>
      <c r="Y533" s="52" t="n">
        <v>281</v>
      </c>
      <c r="Z533" s="53" t="inlineStr">
        <is>
          <t>IRIS2146</t>
        </is>
      </c>
      <c r="AA533" s="53" t="inlineStr">
        <is>
          <t>Employee</t>
        </is>
      </c>
      <c r="AB533" s="53" t="inlineStr">
        <is>
          <t>Active</t>
        </is>
      </c>
      <c r="AC533" s="53" t="inlineStr">
        <is>
          <t>Parthviben Mistry</t>
        </is>
      </c>
      <c r="AD533" s="54" t="n">
        <v>45089</v>
      </c>
      <c r="AE533" s="53" t="inlineStr">
        <is>
          <t>Software Engineer</t>
        </is>
      </c>
      <c r="AF533" s="53" t="inlineStr">
        <is>
          <t>B.Tech</t>
        </is>
      </c>
      <c r="AG533" s="53" t="inlineStr">
        <is>
          <t>Siddhesh Kadam</t>
        </is>
      </c>
      <c r="AH533" s="53" t="inlineStr">
        <is>
          <t>N-3</t>
        </is>
      </c>
      <c r="AI533" s="53" t="inlineStr">
        <is>
          <t>Individual Contributor</t>
        </is>
      </c>
      <c r="AJ533" s="53" t="inlineStr">
        <is>
          <t>1 years, 0 months, 0 days</t>
        </is>
      </c>
      <c r="AK533" s="53" t="inlineStr">
        <is>
          <t>3 years, 2 months, 13 days</t>
        </is>
      </c>
      <c r="AL533" s="53" t="inlineStr">
        <is>
          <t>Regtech</t>
        </is>
      </c>
      <c r="AM533" s="53" t="inlineStr">
        <is>
          <t>CARBON</t>
        </is>
      </c>
      <c r="AN533" s="53" t="inlineStr">
        <is>
          <t>Technology</t>
        </is>
      </c>
      <c r="AO533" s="53" t="inlineStr">
        <is>
          <t>Development</t>
        </is>
      </c>
      <c r="AP533" s="53" t="inlineStr">
        <is>
          <t>Yes</t>
        </is>
      </c>
      <c r="AQ533" s="53" t="inlineStr">
        <is>
          <t>Product/Project</t>
        </is>
      </c>
      <c r="AR533" s="53" t="inlineStr">
        <is>
          <t>Angular</t>
        </is>
      </c>
      <c r="AS533" s="53" t="inlineStr">
        <is>
          <t>Technical - Developer</t>
        </is>
      </c>
      <c r="AT533" s="53" t="n">
        <v>20</v>
      </c>
      <c r="AU533" s="53" t="inlineStr">
        <is>
          <t>Covered</t>
        </is>
      </c>
      <c r="AV533" s="53" t="inlineStr">
        <is>
          <t>IRIS2146</t>
        </is>
      </c>
      <c r="AW533" s="53" t="inlineStr">
        <is>
          <t>Parthviben Mistry</t>
        </is>
      </c>
      <c r="AX533" s="53" t="inlineStr">
        <is>
          <t>Technology</t>
        </is>
      </c>
      <c r="AY533" s="53" t="inlineStr">
        <is>
          <t>Engineering &amp; Development</t>
        </is>
      </c>
      <c r="AZ533" s="53" t="inlineStr">
        <is>
          <t>Frontend / UI Engineering</t>
        </is>
      </c>
      <c r="BA533" s="53" t="n"/>
      <c r="BB533" s="53" t="n"/>
      <c r="BC533" s="53" t="inlineStr">
        <is>
          <t>Employee</t>
        </is>
      </c>
      <c r="BD533" s="53" t="inlineStr">
        <is>
          <t>Siddhesh Kadam</t>
        </is>
      </c>
      <c r="BE533" s="53" t="inlineStr">
        <is>
          <t>Siddhesh Kadam</t>
        </is>
      </c>
      <c r="BF533" s="53" t="inlineStr">
        <is>
          <t>No</t>
        </is>
      </c>
      <c r="BG533" s="53" t="inlineStr">
        <is>
          <t>Software Engineer</t>
        </is>
      </c>
      <c r="BH533" s="53" t="inlineStr">
        <is>
          <t>Software Engineer</t>
        </is>
      </c>
      <c r="BI533" s="53" t="inlineStr">
        <is>
          <t>No</t>
        </is>
      </c>
      <c r="BJ533" s="53" t="inlineStr">
        <is>
          <t>—</t>
        </is>
      </c>
      <c r="BK533" s="53" t="inlineStr">
        <is>
          <t>—</t>
        </is>
      </c>
      <c r="BL533" s="53" t="inlineStr">
        <is>
          <t>—</t>
        </is>
      </c>
      <c r="BM533" s="53" t="inlineStr">
        <is>
          <t>Not a manager</t>
        </is>
      </c>
      <c r="BN533" s="53" t="inlineStr">
        <is>
          <t>—</t>
        </is>
      </c>
      <c r="BO533" s="53" t="inlineStr">
        <is>
          <t>—</t>
        </is>
      </c>
      <c r="BP533" s="53" t="inlineStr">
        <is>
          <t>—</t>
        </is>
      </c>
      <c r="BQ533" s="53" t="inlineStr">
        <is>
          <t>Not a manager</t>
        </is>
      </c>
      <c r="BR533" s="53" t="inlineStr">
        <is>
          <t>—</t>
        </is>
      </c>
      <c r="BS533" s="53" t="inlineStr">
        <is>
          <t>L3 – Professional / Associate</t>
        </is>
      </c>
      <c r="BT533" s="53" t="inlineStr">
        <is>
          <t>L3 – Professional / Associate</t>
        </is>
      </c>
      <c r="BU533" s="53" t="inlineStr">
        <is>
          <t>No designation change — current record value carried forward</t>
        </is>
      </c>
      <c r="BV533" s="53" t="inlineStr">
        <is>
          <t>1.Maintain and enhance CARBON 3.0 frontend architecture to ensure ≥ 95% adherence to UI framework standards and reusable component design.
2.Improve frontend delivery efficiency by reducing UI development and rework effort by ≥ 30% YoY through reusable components and better design patterns.
3.Develop backend understanding · APIs, services, database flows, authentication and independently contribute to ≥ 50% full-stack technical discussions by FY end.
4.Conduct minimum 6 knowledge-sharing sessions annually on React, frontend architecture, and best practices to improve team capability.
5.Improve delivery consistency and achieve ≥ 90% sprint commitment adherence for assigned tasks.
6.Drive minimum 2 frontend innovation / performance optimization initiatives annually for CARBON 3.0.</t>
        </is>
      </c>
      <c r="BW533" s="53" t="n"/>
      <c r="BX533" s="53" t="inlineStr">
        <is>
          <t>No input received — attended/was listed as a respondent but did not provide answers to any of the survey questions.</t>
        </is>
      </c>
      <c r="BY533" s="53" t="n"/>
      <c r="BZ533" s="53" t="n"/>
      <c r="CA533" s="53" t="n"/>
      <c r="CB533" s="53" t="n"/>
      <c r="CC533" s="53" t="n"/>
      <c r="CD533" s="53" t="n"/>
      <c r="CE533" s="53" t="n"/>
      <c r="CF533" s="53" t="n"/>
      <c r="CG533" s="53" t="n"/>
      <c r="CH533" s="53" t="n"/>
      <c r="CI533" s="53" t="n"/>
      <c r="CJ533" s="53" t="n"/>
      <c r="CK533" s="53" t="n"/>
      <c r="CL533" s="53" t="n"/>
      <c r="CM533" s="53" t="n"/>
      <c r="CN533" s="53" t="n"/>
      <c r="CO533" s="53" t="n"/>
      <c r="CP533" s="53" t="n"/>
      <c r="CQ533" s="53" t="n"/>
      <c r="CR533" s="53" t="n"/>
      <c r="CS533" s="53" t="n"/>
      <c r="CT533" s="53" t="n"/>
      <c r="CU533" s="53" t="n"/>
      <c r="CV533" s="53" t="n"/>
      <c r="CW533" s="53" t="n"/>
      <c r="CX533" s="53" t="n"/>
      <c r="CY533" s="53" t="n"/>
      <c r="CZ533" s="53" t="n"/>
      <c r="DA533" s="53" t="n"/>
      <c r="DB533" s="53" t="n"/>
      <c r="DC533" s="53" t="n"/>
      <c r="DD533" s="53" t="n"/>
      <c r="DE533" s="53" t="n"/>
      <c r="DF533" s="53" t="n"/>
      <c r="DG533" s="53" t="n"/>
      <c r="DH533" s="53" t="n"/>
      <c r="DI533" s="53" t="n"/>
      <c r="DJ533" s="53" t="n"/>
      <c r="DK533" s="53" t="n"/>
      <c r="DL533" s="53" t="n"/>
      <c r="DM533" s="53" t="n"/>
      <c r="DN533" s="53" t="n"/>
      <c r="DO533" s="53" t="n"/>
      <c r="DP533" s="53" t="n"/>
      <c r="DQ533" s="53" t="n"/>
      <c r="DR533" s="53" t="n"/>
      <c r="DS533" s="53" t="n"/>
      <c r="DT533" s="53" t="n"/>
      <c r="DU533" s="53" t="n"/>
      <c r="DV533" s="53" t="n"/>
      <c r="DW533" s="53" t="n"/>
      <c r="DX533" s="53" t="n"/>
      <c r="DY533" s="53" t="n"/>
      <c r="DZ533" s="53" t="n"/>
      <c r="EA533" s="53" t="n"/>
      <c r="EB533" s="53" t="n"/>
      <c r="EC533" s="53" t="n"/>
      <c r="ED533" s="53" t="n"/>
      <c r="EE533" s="53" t="n"/>
      <c r="EF533" s="53" t="n"/>
      <c r="EG533" s="53" t="n"/>
      <c r="EH533" s="53" t="n"/>
      <c r="EI533" s="53" t="n"/>
      <c r="EJ533" s="53" t="n"/>
      <c r="EK533" s="53" t="n"/>
      <c r="EL533" s="53" t="n"/>
      <c r="EM533" s="53" t="n"/>
      <c r="EN533" s="53" t="n"/>
      <c r="EO533" s="53" t="n"/>
      <c r="EP533" s="53" t="n"/>
      <c r="EQ533" s="53" t="n"/>
      <c r="ER533" s="53" t="n"/>
      <c r="ES533" s="53" t="n"/>
      <c r="ET533" s="53" t="n"/>
      <c r="EU533" s="53" t="n"/>
      <c r="EV533" s="53" t="n"/>
      <c r="EW533" s="52" t="n"/>
      <c r="EX533" s="53" t="inlineStr">
        <is>
          <t>• Role / sub-team: Technology — Software Engineer.
• Core purpose: Input not given by Participant.
• Decision-making autonomy: Input not given by Participant.
• Is this something only they do: Input not given by Participant.</t>
        </is>
      </c>
      <c r="EY533" s="53" t="inlineStr">
        <is>
          <t>• Key responsibilities include: Input not given by Participant.
• Impact if missed or done wrong: Input not given by Participant.
• How measured: Input not given by Participant.</t>
        </is>
      </c>
      <c r="EZ533" s="53" t="inlineStr">
        <is>
          <t>• Current capabilities: Input not given by Participant.
• Tools / software used: Input not given by Participant.</t>
        </is>
      </c>
      <c r="FA533" s="53" t="inlineStr">
        <is>
          <t>• Development priorities: Input not given by Participant.</t>
        </is>
      </c>
      <c r="FB533" s="53" t="inlineStr">
        <is>
          <t>• Key challenges: Input not given by Participant.
• Support required: Input not given by Participant.</t>
        </is>
      </c>
      <c r="FC533" s="53" t="n"/>
      <c r="FD533" s="53" t="n"/>
      <c r="FE533" s="57" t="inlineStr">
        <is>
          <t>1.Maintain and enhance CARBON 3.0 frontend architecture to ensure ≥ 95% adherence to UI framework standards and reusable component design.
2.Improve frontend delivery efficiency by reducing UI development and rework effort by ≥ 30% YoY through reusable components and better design patterns.
3.Develop backend understanding · APIs, services, database flows, authentication and independently contribute to ≥ 50% full-stack technical discussions by FY end.
4.Conduct minimum 6 knowledge-sharing sessions annually on React, frontend architecture, and best practices to improve team capability.
5.Improve delivery consistency and achieve ≥ 90% sprint commitment adherence for assigned tasks.
6.Drive minimum 2 frontend innovation / performance optimization initiatives annually for CARBON 3.0.</t>
        </is>
      </c>
      <c r="FF533" s="56" t="n"/>
      <c r="FG533" s="56" t="n"/>
      <c r="FH533" s="56" t="n"/>
      <c r="FI533" s="56" t="n"/>
      <c r="FJ533" s="56" t="inlineStr">
        <is>
          <t>Received · manager annual</t>
        </is>
      </c>
      <c r="FK533" s="56" t="inlineStr">
        <is>
          <t>CARBON Mapping Master</t>
        </is>
      </c>
      <c r="FL533" s="56" t="n">
        <v>20</v>
      </c>
      <c r="FM533" s="56" t="inlineStr">
        <is>
          <t>• Role / sub-team: Technology — Software Engineer.
• Core purpose: Input not given by Participant.
• Decision-making autonomy: Input not given by Participant.
• Is this something only they do: Input not given by Participant.</t>
        </is>
      </c>
      <c r="FN533" s="56" t="inlineStr">
        <is>
          <t>• Key responsibilities include: Input not given by Participant.
• Impact if missed or done wrong: Input not given by Participant.
• How measured: Input not given by Participant.</t>
        </is>
      </c>
      <c r="FO533" s="56" t="inlineStr">
        <is>
          <t>• Current capabilities: Input not given by Participant.
• Tools / software used: Input not given by Participant.</t>
        </is>
      </c>
      <c r="FP533" s="56" t="inlineStr">
        <is>
          <t>• Development priorities: Input not given by Participant.</t>
        </is>
      </c>
      <c r="FQ533" s="56" t="inlineStr">
        <is>
          <t>• Key challenges: Input not given by Participant.
• Support required: Input not given by Participant.</t>
        </is>
      </c>
      <c r="FR533" s="56" t="inlineStr">
        <is>
          <t>Complexity: Evidence reads like B1: Micro-frontend architecture, Module Federation, shared libraries, CDNs and common components for the product → moved up 1
Autonomy: Evidence reads like B1: own survey / KRA answers · summarised by the rater; not quoted → moved up 1
Accountability: Evidence reads like B1: own survey / KRA answers · summarised by the rater; not quoted → moved up 1
Leadership: Evidence reads like A3: Supports and guides the team; writes reusable skill doc for product team → moved up 1
Business Impact: No survey or manager-mapping signal on criticality: kept at the start point.</t>
        </is>
      </c>
      <c r="FS533" s="56" t="inlineStr">
        <is>
          <t>Common themes in role-holders' answers: software · requirements · solutions · features · product · develop
Common themes in role-holders' answers: development · bug · support · feature · deployment · fixing
Common themes in role-holders' answers: features · solutions · product · apis · software · performance
Common themes in role-holders' answers: accountable · feature · production · delivery · quality · bug
Common themes in role-holders' answers: code · implementation · design · feature · optimization · structure
If the work is missed · role-holders' themes: delays · impact · rework.
Measured on · manager-set KRA themes: complete · improve · code quality · assigned · year · deliver.</t>
        </is>
      </c>
      <c r="FT533" s="56" t="inlineStr">
        <is>
          <t>Self-identified: Leadership &amp; people management · Project / programme management · Technical depth &amp; architecture · Strategy &amp; business acumen · Broader exposure &amp; ownership
For the next role: AI / automation · Leadership &amp; people management · Project / programme management · Technical depth &amp; architecture · Product &amp; tool knowledge · Strategy &amp; business acumen · Broader exposure &amp; ownership</t>
        </is>
      </c>
      <c r="FU533" s="56" t="inlineStr">
        <is>
          <t>Per-person summary · CARBON Mapping Master</t>
        </is>
      </c>
    </row>
    <row r="534" ht="90" customHeight="1">
      <c r="A534" s="51" t="inlineStr">
        <is>
          <t>◂ Back</t>
        </is>
      </c>
      <c r="B534" s="29" t="inlineStr">
        <is>
          <t>Mapped</t>
        </is>
      </c>
      <c r="C534" s="28" t="inlineStr">
        <is>
          <t>CARBON</t>
        </is>
      </c>
      <c r="D534" s="29" t="inlineStr">
        <is>
          <t>IRIS2495</t>
        </is>
      </c>
      <c r="E534" s="29" t="inlineStr">
        <is>
          <t>Manasvi Sharma</t>
        </is>
      </c>
      <c r="F534" s="29" t="inlineStr">
        <is>
          <t>Technology</t>
        </is>
      </c>
      <c r="G534" s="29" t="inlineStr">
        <is>
          <t>Senior Software Engineer - AI/ML</t>
        </is>
      </c>
      <c r="H534" s="29" t="inlineStr">
        <is>
          <t>AI/ML Specialist – POD Lead</t>
        </is>
      </c>
      <c r="I534" s="29" t="inlineStr">
        <is>
          <t>L4 – Senior</t>
        </is>
      </c>
      <c r="J534" s="29" t="inlineStr">
        <is>
          <t>B1</t>
        </is>
      </c>
      <c r="K534" s="29" t="inlineStr">
        <is>
          <t>▲ Up</t>
        </is>
      </c>
      <c r="L534" s="29" t="inlineStr">
        <is>
          <t>Engineering &amp; Development</t>
        </is>
      </c>
      <c r="M534" s="29" t="inlineStr">
        <is>
          <t>AI / ML &amp; GenAI Engineering</t>
        </is>
      </c>
      <c r="N534" s="29" t="n"/>
      <c r="O534" s="29" t="n">
        <v>20</v>
      </c>
      <c r="P534" s="28" t="inlineStr">
        <is>
          <t>P3 / M2</t>
        </is>
      </c>
      <c r="Q534" s="29" t="inlineStr">
        <is>
          <t>Career / · Team Lead</t>
        </is>
      </c>
      <c r="R534" s="29" t="inlineStr">
        <is>
          <t>4 Enable</t>
        </is>
      </c>
      <c r="S534" s="29" t="inlineStr">
        <is>
          <t>4–7 yrs</t>
        </is>
      </c>
      <c r="T534" s="29" t="inlineStr">
        <is>
          <t>5–8 · 4–8</t>
        </is>
      </c>
      <c r="U534" s="29" t="inlineStr">
        <is>
          <t>Senior Software Engineer</t>
        </is>
      </c>
      <c r="V534" s="29" t="inlineStr">
        <is>
          <t>Workiva: SE / Senior SE · Broadridge India: Senior SE · Nasdaq / AxiomSL: Senior SE · Salesforce: MTS · Atlassian: P40 · Freshworks: Senior SE</t>
        </is>
      </c>
      <c r="W534" s="29" t="inlineStr">
        <is>
          <t>SFIA 9 · software development, programming; OWASP secure coding; cloud vendor certifications</t>
        </is>
      </c>
      <c r="X534" s="29" t="inlineStr">
        <is>
          <t>Core 3 · Future 3 · Functional 3 · Leadership 2</t>
        </is>
      </c>
      <c r="Y534" s="52" t="n">
        <v>468</v>
      </c>
      <c r="Z534" s="53" t="inlineStr">
        <is>
          <t>IRIS2495</t>
        </is>
      </c>
      <c r="AA534" s="53" t="inlineStr">
        <is>
          <t>Employee</t>
        </is>
      </c>
      <c r="AB534" s="53" t="inlineStr">
        <is>
          <t>Active</t>
        </is>
      </c>
      <c r="AC534" s="53" t="inlineStr">
        <is>
          <t>Manasvi Sharma</t>
        </is>
      </c>
      <c r="AD534" s="54" t="n">
        <v>46097</v>
      </c>
      <c r="AE534" s="53" t="inlineStr">
        <is>
          <t>Senior Software Engineer - AI/ML</t>
        </is>
      </c>
      <c r="AF534" s="53" t="inlineStr">
        <is>
          <t>B.Sc</t>
        </is>
      </c>
      <c r="AG534" s="53" t="inlineStr">
        <is>
          <t>Ashish Singhvi</t>
        </is>
      </c>
      <c r="AH534" s="53" t="inlineStr">
        <is>
          <t>N-2</t>
        </is>
      </c>
      <c r="AI534" s="53" t="inlineStr">
        <is>
          <t>Manager</t>
        </is>
      </c>
      <c r="AJ534" s="53" t="inlineStr">
        <is>
          <t>7 years, 0 months, 0 days</t>
        </is>
      </c>
      <c r="AK534" s="53" t="inlineStr">
        <is>
          <t>0 years, 5 months, 9 days</t>
        </is>
      </c>
      <c r="AL534" s="53" t="inlineStr">
        <is>
          <t>Regtech</t>
        </is>
      </c>
      <c r="AM534" s="53" t="inlineStr">
        <is>
          <t>CARBON</t>
        </is>
      </c>
      <c r="AN534" s="53" t="inlineStr">
        <is>
          <t>Technology</t>
        </is>
      </c>
      <c r="AO534" s="53" t="inlineStr">
        <is>
          <t>Development</t>
        </is>
      </c>
      <c r="AP534" s="53" t="inlineStr">
        <is>
          <t>Yes</t>
        </is>
      </c>
      <c r="AQ534" s="53" t="inlineStr">
        <is>
          <t>Product/Project</t>
        </is>
      </c>
      <c r="AR534" s="53" t="inlineStr">
        <is>
          <t>AI/ML</t>
        </is>
      </c>
      <c r="AS534" s="53" t="inlineStr">
        <is>
          <t>Technical - Developer</t>
        </is>
      </c>
      <c r="AT534" s="53" t="n">
        <v>20</v>
      </c>
      <c r="AU534" s="53" t="inlineStr">
        <is>
          <t>Covered</t>
        </is>
      </c>
      <c r="AV534" s="53" t="inlineStr">
        <is>
          <t>IRIS2495</t>
        </is>
      </c>
      <c r="AW534" s="53" t="inlineStr">
        <is>
          <t>Manasvi Sharma</t>
        </is>
      </c>
      <c r="AX534" s="53" t="inlineStr">
        <is>
          <t>Technology</t>
        </is>
      </c>
      <c r="AY534" s="53" t="inlineStr">
        <is>
          <t>Engineering &amp; Development</t>
        </is>
      </c>
      <c r="AZ534" s="53" t="inlineStr">
        <is>
          <t>AI / ML Engineering</t>
        </is>
      </c>
      <c r="BA534" s="53" t="n"/>
      <c r="BB534" s="53" t="n"/>
      <c r="BC534" s="53" t="inlineStr">
        <is>
          <t>Employee</t>
        </is>
      </c>
      <c r="BD534" s="53" t="inlineStr">
        <is>
          <t>Ashish Singhvi</t>
        </is>
      </c>
      <c r="BE534" s="53" t="inlineStr">
        <is>
          <t>Ashish Singhvi</t>
        </is>
      </c>
      <c r="BF534" s="53" t="inlineStr">
        <is>
          <t>No</t>
        </is>
      </c>
      <c r="BG534" s="53" t="inlineStr">
        <is>
          <t>Senior Software Engineer - AI/ML</t>
        </is>
      </c>
      <c r="BH534" s="53" t="inlineStr">
        <is>
          <t>Senior Software Engineer - AI/ML</t>
        </is>
      </c>
      <c r="BI534" s="53" t="inlineStr">
        <is>
          <t>No</t>
        </is>
      </c>
      <c r="BJ534" s="53" t="n">
        <v>1</v>
      </c>
      <c r="BK534" s="53" t="n">
        <v>1</v>
      </c>
      <c r="BL534" s="53" t="n">
        <v>0</v>
      </c>
      <c r="BM534" s="53" t="inlineStr">
        <is>
          <t>Consolidate / flatten</t>
        </is>
      </c>
      <c r="BN534" s="53" t="n">
        <v>1</v>
      </c>
      <c r="BO534" s="53" t="n">
        <v>1</v>
      </c>
      <c r="BP534" s="53" t="n">
        <v>0</v>
      </c>
      <c r="BQ534" s="53" t="inlineStr">
        <is>
          <t>Consolidate / flatten</t>
        </is>
      </c>
      <c r="BR534" s="53" t="inlineStr">
        <is>
          <t>No</t>
        </is>
      </c>
      <c r="BS534" s="53" t="inlineStr">
        <is>
          <t>L4 – Senior</t>
        </is>
      </c>
      <c r="BT534" s="53" t="inlineStr">
        <is>
          <t>L4 – Senior</t>
        </is>
      </c>
      <c r="BU534" s="53" t="inlineStr">
        <is>
          <t>No designation change — current record value carried forward</t>
        </is>
      </c>
      <c r="BV534" s="53" t="inlineStr">
        <is>
          <t>1.Benchmark and evaluate minimum 5 open-source LLMs / SLMs against commercial models for IRIS AI use cases.
2.Reduce dependency on commercial AI APIs by ≥ 80% YoY through adoption of open LLMs / SLMs.
3.Fine-tune minimum 2 domain-specific SLMs / AI models for IRIS use cases · table, embedding, classification, summarization, etc..
4.Build reusable AI evaluation pipelines covering accuracy, latency, hallucination, cost, and quality scoring with ≥ 70% automation.
5.Deliver minimum 2 production-ready AI features / PoCs integrated into CARBON AI / MIRA.
6.Fine-tune domain-specific embedding model for semantic retrieval achieving ≥ 90% retrieval relevance.
7.Optimize vector search / RAG pipeline to reduce retrieval latency by ≥ 30% and improve answer relevance.</t>
        </is>
      </c>
      <c r="BW534" s="53" t="n"/>
      <c r="BX534" s="53" t="inlineStr">
        <is>
          <t>All; Internal.</t>
        </is>
      </c>
      <c r="BY534" s="53" t="n"/>
      <c r="BZ534" s="53" t="n"/>
      <c r="CA534" s="53" t="n"/>
      <c r="CB534" s="53" t="n"/>
      <c r="CC534" s="53" t="n"/>
      <c r="CD534" s="53" t="n"/>
      <c r="CE534" s="53" t="n"/>
      <c r="CF534" s="53" t="n"/>
      <c r="CG534" s="53" t="n"/>
      <c r="CH534" s="53" t="n"/>
      <c r="CI534" s="53" t="n"/>
      <c r="CJ534" s="53" t="n"/>
      <c r="CK534" s="53" t="n"/>
      <c r="CL534" s="53" t="n"/>
      <c r="CM534" s="53" t="n"/>
      <c r="CN534" s="53" t="n"/>
      <c r="CO534" s="53" t="n"/>
      <c r="CP534" s="53" t="n"/>
      <c r="CQ534" s="53" t="n"/>
      <c r="CR534" s="53" t="n"/>
      <c r="CS534" s="53" t="n"/>
      <c r="CT534" s="53" t="n"/>
      <c r="CU534" s="53" t="n"/>
      <c r="CV534" s="53" t="n"/>
      <c r="CW534" s="53" t="n"/>
      <c r="CX534" s="53" t="n"/>
      <c r="CY534" s="53" t="n"/>
      <c r="CZ534" s="53" t="n"/>
      <c r="DA534" s="53" t="n"/>
      <c r="DB534" s="53" t="n"/>
      <c r="DC534" s="53" t="n"/>
      <c r="DD534" s="53" t="n"/>
      <c r="DE534" s="53" t="n"/>
      <c r="DF534" s="53" t="n"/>
      <c r="DG534" s="53" t="n"/>
      <c r="DH534" s="53" t="n"/>
      <c r="DI534" s="53" t="n"/>
      <c r="DJ534" s="53" t="n"/>
      <c r="DK534" s="53" t="n"/>
      <c r="DL534" s="53" t="n"/>
      <c r="DM534" s="53" t="n"/>
      <c r="DN534" s="53" t="n"/>
      <c r="DO534" s="53" t="n"/>
      <c r="DP534" s="53" t="n"/>
      <c r="DQ534" s="53" t="n"/>
      <c r="DR534" s="53" t="n"/>
      <c r="DS534" s="53" t="n"/>
      <c r="DT534" s="53" t="n"/>
      <c r="DU534" s="53" t="n"/>
      <c r="DV534" s="53" t="n"/>
      <c r="DW534" s="53" t="n"/>
      <c r="DX534" s="53" t="n"/>
      <c r="DY534" s="53" t="n"/>
      <c r="DZ534" s="53" t="n"/>
      <c r="EA534" s="53" t="n"/>
      <c r="EB534" s="53" t="n"/>
      <c r="EC534" s="53" t="n"/>
      <c r="ED534" s="53" t="n"/>
      <c r="EE534" s="53" t="n"/>
      <c r="EF534" s="53" t="n"/>
      <c r="EG534" s="53" t="n"/>
      <c r="EH534" s="53" t="n"/>
      <c r="EI534" s="53" t="n"/>
      <c r="EJ534" s="53" t="n"/>
      <c r="EK534" s="53" t="n"/>
      <c r="EL534" s="53" t="n"/>
      <c r="EM534" s="53" t="n"/>
      <c r="EN534" s="53" t="n"/>
      <c r="EO534" s="53" t="n"/>
      <c r="EP534" s="53" t="n"/>
      <c r="EQ534" s="53" t="n"/>
      <c r="ER534" s="53" t="n"/>
      <c r="ES534" s="53" t="n"/>
      <c r="ET534" s="53" t="n"/>
      <c r="EU534" s="53" t="n"/>
      <c r="EV534" s="53" t="n"/>
      <c r="EW534" s="52" t="n"/>
      <c r="EX534" s="53" t="inlineStr">
        <is>
          <t>• Role / sub-team: Technology — Senior Software Engineer - AI/ML.
• Core purpose: I help my organisation in space of AI development,where AI can help further enhance the business &amp; it's use cases,along with building AI components which keeps AI tools within our own infrastructure.
• Decision-making autonomy: Can independently research methodology; Developing tools for AI.
• Is this something only they do: Yes, few of us contribute to different parts of AI pipeline devlopment.
• What's different about this role: I bring my past experiences of AI driven approaches for development so it makes things much faster then regular development. This also allows me wearing multiple devloper hats.; Having multidisciplinary problem solving skills so communication across different domains with help of AI tools, helps us to make the understanding problems across our team.</t>
        </is>
      </c>
      <c r="EY534" s="53" t="inlineStr">
        <is>
          <t>• Key responsibilities include: AI tools development; AI Feature development; AI model development; AI data engineering; AI Research; AI benchmarking; AI evaluation.
• Personally accountable for: AI pipeline of model training and data engineer for building SLM to reduce existing dependency on LLM api calls for anomaly detection, i own that pipeline.; Current anomaly detection version in production, I owned that part of production issues, now we have upgraded to a better way so a small team looks it up; Research work on benchmarking embedding · part of general ai pipeline is something I am responsible.
• Impact if missed or done wrong: Expensive AI cycle with multilevel dependencies and cost, so it needs to done in well researched and scalable fashion, for easy of team and customer experience.; If AI Feature is marketed and expectations are not upto the mark, then client faces reliability issues over the AI tools they are using, so clear guidelines of what it can do with evaluation; Can help in not promising and not under delivering, and this makes us also deliver high quality product.
• How measured: Partly different; Partly different: not sure how objectively its measured apart for something works or not works.</t>
        </is>
      </c>
      <c r="EZ534" s="53" t="inlineStr">
        <is>
          <t>• Current capabilities: Financial reports idea; AI tools usage; AI prototyping; AI model development; Ability to use ai for all; Evaluation understanding; Research methodology.
• Tools / software used: Data engineering; Model training; Prototyping with claude; System designing; Python language; Domain communication.
• Workload: Rated a moderate load · 3/5 in a typical week.
• Judgment/way of working: Fast moving with AI prototyping but not blindly, understanding systems on larger level helps.; Communicating across different domain experts is with having knowledge of both sides and ability to absorb it.</t>
        </is>
      </c>
      <c r="FA534" s="53" t="inlineStr">
        <is>
          <t>• Development priorities: More leadership exposure; More internal similar domain teams collaboration; A larger Ownership of a extensive features or product in same team.
• Learning and Development Need: Opportunity to prove; Financial report knowledg; Clear vision of product; Domain understanding; Active communication. The people who involve in different decision processes, knowing that internal understanding would have helped to create better version of product feature. So knowledge transfers session is a must.; Knowing different teams across organisation with similar profile could have been tremendously effective in identifying things and problem statements and solutions.
• Role evolving toward: Moving faster with AI for different toolsets and features across teams and products is the way to go to further optimize.; Having creative flexibility to collaborate with any team to get depth of understanding which makes ai development much more enhanced experience for the person and company.; The gap between the domain experts and technology experts is reduced so collaboration of them is must to get better products.</t>
        </is>
      </c>
      <c r="FB534" s="53" t="inlineStr">
        <is>
          <t>• Key challenges: Ad hoc requirements; No standard evaluation; Researching before soving; Communicating; Unstructured tasks; Unclear guidance.
• Support required: Define KPI's, with clearer understanding of domains and how the thing fits in larger vision of company.; Needs a way for standardizing evaluation so one knows how to grow, adhoc way is only good for beginners to learn.; Transparent communication and  regular brain storming sessions across teams to get idea where we can go next on our development.</t>
        </is>
      </c>
      <c r="FC534" s="53" t="n"/>
      <c r="FD534" s="53" t="n"/>
      <c r="FE534" s="57" t="inlineStr">
        <is>
          <t>1.Benchmark and evaluate minimum 5 open-source LLMs / SLMs against commercial models for IRIS AI use cases.
2.Reduce dependency on commercial AI APIs by ≥ 80% YoY through adoption of open LLMs / SLMs.
3.Fine-tune minimum 2 domain-specific SLMs / AI models for IRIS use cases · table, embedding, classification, summarization, etc..
4.Build reusable AI evaluation pipelines covering accuracy, latency, hallucination, cost, and quality scoring with ≥ 70% automation.
5.Deliver minimum 2 production-ready AI features / PoCs integrated into CARBON AI / MIRA.
6.Fine-tune domain-specific embedding model for semantic retrieval achieving ≥ 90% retrieval relevance.
7.Optimize vector search / RAG pipeline to reduce retrieval latency by ≥ 30% and improve answer relevance.</t>
        </is>
      </c>
      <c r="FF534" s="56" t="n"/>
      <c r="FG534" s="56" t="n"/>
      <c r="FH534" s="56" t="n"/>
      <c r="FI534" s="56" t="n"/>
      <c r="FJ534" s="56" t="inlineStr">
        <is>
          <t>Received · manager annual</t>
        </is>
      </c>
      <c r="FK534" s="56" t="inlineStr">
        <is>
          <t>CARBON Mapping Master</t>
        </is>
      </c>
      <c r="FL534" s="56" t="n">
        <v>20</v>
      </c>
      <c r="FM534" s="56" t="inlineStr">
        <is>
          <t>• Role / sub-team: Technology — Senior Software Engineer - AI/ML.
• Core purpose: I help my organisation in space of AI development,where AI can help further enhance the business &amp; it's use cases,along with building AI components which keeps AI tools within our own infrastructure.
• Decision-making autonomy: Can independently research methodology; Developing tools for AI.
• Is this something only they do: Yes, few of us contribute to different parts of AI pipeline devlopment.
• What's different about this role: I bring my past experiences of AI driven approaches for development so it makes things much faster then regular development. This also allows me wearing multiple devloper hats.; Having multidisciplinary problem solving skills so communication across different domains with help of AI tools, helps us to make the understanding problems across our team.</t>
        </is>
      </c>
      <c r="FN534" s="56" t="inlineStr">
        <is>
          <t>• Key responsibilities include: AI tools development; AI Feature development; AI model development; AI data engineering; AI Research; AI benchmarking; AI evaluation.
• Personally accountable for: AI pipeline of model training and data engineer for building SLM to reduce existing dependency on LLM api calls for anomaly detection, i own that pipeline.; Current anomaly detection version in production, I owned that part of production issues, now we have upgraded to a better way so a small team looks it up; Research work on benchmarking embedding · part of general ai pipeline is something I am responsible.
• Impact if missed or done wrong: Expensive AI cycle with multilevel dependencies and cost, so it needs to done in well researched and scalable fashion, for easy of team and customer experience.; If AI Feature is marketed and expectations are not upto the mark, then client faces reliability issues over the AI tools they are using, so clear guidelines of what it can do with evaluation; Can help in not promising and not under delivering, and this makes us also deliver high quality product.
• How measured: Partly different; Partly different: not sure how objectively its measured apart for something works or not works.</t>
        </is>
      </c>
      <c r="FO534" s="56" t="inlineStr">
        <is>
          <t>• Current capabilities: Financial reports idea; AI tools usage; AI prototyping; AI model development; Ability to use ai for all; Evaluation understanding; Research methodology.
• Tools / software used: Data engineering; Model training; Prototyping with claude; System designing; Python language; Domain communication.
• Workload: Rated a moderate load · 3/5 in a typical week.
• Judgment/way of working: Fast moving with AI prototyping but not blindly, understanding systems on larger level helps.; Communicating across different domain experts is with having knowledge of both sides and ability to absorb it.</t>
        </is>
      </c>
      <c r="FP534" s="56" t="inlineStr">
        <is>
          <t>• Development priorities: More leadership exposure; More internal similar domain teams collaboration; A larger Ownership of a extensive features or product in same team.
• Learning and Development Need: Opportunity to prove; Financial report knowledg; Clear vision of product; Domain understanding; Active communication. The people who involve in different decision processes, knowing that internal understanding would have helped to create better version of product feature. So knowledge transfers session is a must.; Knowing different teams across organisation with similar profile could have been tremendously effective in identifying things and problem statements and solutions.
• Role evolving toward: Moving faster with AI for different toolsets and features across teams and products is the way to go to further optimize.; Having creative flexibility to collaborate with any team to get depth of understanding which makes ai development much more enhanced experience for the person and company.; The gap between the domain experts and technology experts is reduced so collaboration of them is must to get better products.</t>
        </is>
      </c>
      <c r="FQ534" s="56" t="inlineStr">
        <is>
          <t>• Key challenges: Ad hoc requirements; No standard evaluation; Researching before soving; Communicating; Unstructured tasks; Unclear guidance.
• Support required: Define KPI's, with clearer understanding of domains and how the thing fits in larger vision of company.; Needs a way for standardizing evaluation so one knows how to grow, adhoc way is only good for beginners to learn.; Transparent communication and  regular brain storming sessions across teams to get idea where we can go next on our development.</t>
        </is>
      </c>
      <c r="FR534" s="56" t="inlineStr">
        <is>
          <t>Complexity: Evidence reads like B1: Trains small language models, builds the data-engineering pipeline, benchmarks embeddings for anomaly detection → moved up 0.5
Autonomy: Evidence reads like A3: Decides research methodology and which AI tools to build → matches the start
Accountability: Evidence reads like A3: Owns the SLM training/data pipeline and embedding benchmarking; owned production anomaly-detection issues → moved down 0.5
Leadership: Evidence reads like A2: Helps the team understand problems across domains; no guiding of the one report described → moved down 0.5</t>
        </is>
      </c>
      <c r="FS534" s="56" t="inlineStr">
        <is>
          <t>Common themes in sub-family holders, all levels' answers: business · ai · solutions · building · solve · enhance
Common themes in sub-family holders, all levels' answers: ai · technical · development · evaluation · research · system
Common themes in sub-family holders, all levels' answers: ai · solutions · anomaly · features · automated
Common themes in sub-family holders, all levels' answers: quality · ai · accountable · accuracy · reliability · solutions
Common themes in sub-family holders, all levels' answers: approach · research · ai · technical · quality
If the work is missed · role-holders' themes: delays · lead · incorrect · rework · quality.</t>
        </is>
      </c>
      <c r="FT534" s="56" t="inlineStr">
        <is>
          <t>Self-identified: Leadership &amp; people management · Domain, regulatory &amp; XBRL · Product &amp; tool knowledge · Broader exposure &amp; ownership
For the next role: Leadership &amp; people management · Domain, regulatory &amp; XBRL · Product &amp; tool knowledge · Broader exposure &amp; ownership</t>
        </is>
      </c>
      <c r="FU534" s="56" t="inlineStr">
        <is>
          <t>Per-person summary · CARBON Mapping Master</t>
        </is>
      </c>
    </row>
    <row r="535" ht="90" customHeight="1">
      <c r="A535" s="51" t="inlineStr">
        <is>
          <t>◂ Back</t>
        </is>
      </c>
      <c r="B535" s="29" t="inlineStr">
        <is>
          <t>Mapped</t>
        </is>
      </c>
      <c r="C535" s="28" t="inlineStr">
        <is>
          <t>CARBON</t>
        </is>
      </c>
      <c r="D535" s="29" t="inlineStr">
        <is>
          <t>IRIS2407</t>
        </is>
      </c>
      <c r="E535" s="29" t="inlineStr">
        <is>
          <t>Ayush Dattatraya Tikone</t>
        </is>
      </c>
      <c r="F535" s="29" t="inlineStr">
        <is>
          <t>Technology</t>
        </is>
      </c>
      <c r="G535" s="29" t="inlineStr">
        <is>
          <t>Software Engineer - AI/ML</t>
        </is>
      </c>
      <c r="H535" s="29" t="inlineStr">
        <is>
          <t>AI/ML Engineer</t>
        </is>
      </c>
      <c r="I535" s="29" t="inlineStr">
        <is>
          <t>L3 – Professional / Associate</t>
        </is>
      </c>
      <c r="J535" s="29" t="inlineStr">
        <is>
          <t>A2</t>
        </is>
      </c>
      <c r="K535" s="29" t="inlineStr">
        <is>
          <t>• Same level</t>
        </is>
      </c>
      <c r="L535" s="29" t="inlineStr">
        <is>
          <t>Engineering &amp; Development</t>
        </is>
      </c>
      <c r="M535" s="29" t="inlineStr">
        <is>
          <t>AI / ML &amp; GenAI Engineering</t>
        </is>
      </c>
      <c r="N535" s="29" t="n"/>
      <c r="O535" s="29" t="n">
        <v>20</v>
      </c>
      <c r="P535" s="28" t="inlineStr">
        <is>
          <t>P1–P2</t>
        </is>
      </c>
      <c r="Q535" s="29" t="inlineStr">
        <is>
          <t>Entry / Developing</t>
        </is>
      </c>
      <c r="R535" s="29" t="inlineStr">
        <is>
          <t>2 Assist</t>
        </is>
      </c>
      <c r="S535" s="29" t="inlineStr">
        <is>
          <t>0–2 yrs</t>
        </is>
      </c>
      <c r="T535" s="29" t="inlineStr">
        <is>
          <t>1–3 · 0–3</t>
        </is>
      </c>
      <c r="U535" s="29" t="inlineStr">
        <is>
          <t>Associate Software Engineer / Software Engineer</t>
        </is>
      </c>
      <c r="V535" s="29" t="inlineStr">
        <is>
          <t>Workiva: Associate SE · Broadridge India: SE · Nasdaq / AxiomSL: SE · Salesforce: AMTS · Atlassian: P30 Junior · 0–2 yrs · Freshworks: SE</t>
        </is>
      </c>
      <c r="W535" s="29" t="inlineStr">
        <is>
          <t>SFIA 9 · software development, programming; OWASP secure coding; cloud vendor certifications</t>
        </is>
      </c>
      <c r="X535" s="29" t="inlineStr">
        <is>
          <t>Core 2 · Future 2 · Functional 2 · Leadership not scored</t>
        </is>
      </c>
      <c r="Y535" s="52" t="n">
        <v>387</v>
      </c>
      <c r="Z535" s="53" t="inlineStr">
        <is>
          <t>IRIS2407</t>
        </is>
      </c>
      <c r="AA535" s="53" t="inlineStr">
        <is>
          <t>Employee</t>
        </is>
      </c>
      <c r="AB535" s="53" t="inlineStr">
        <is>
          <t>Active</t>
        </is>
      </c>
      <c r="AC535" s="53" t="inlineStr">
        <is>
          <t>Ayush Dattatraya Tikone</t>
        </is>
      </c>
      <c r="AD535" s="54" t="n">
        <v>45859</v>
      </c>
      <c r="AE535" s="53" t="inlineStr">
        <is>
          <t>Software Engineer - AI/ML</t>
        </is>
      </c>
      <c r="AF535" s="53" t="inlineStr">
        <is>
          <t>B.Tech</t>
        </is>
      </c>
      <c r="AG535" s="53" t="inlineStr">
        <is>
          <t>Manasvi Sharma</t>
        </is>
      </c>
      <c r="AH535" s="53" t="inlineStr">
        <is>
          <t>N-3</t>
        </is>
      </c>
      <c r="AI535" s="53" t="inlineStr">
        <is>
          <t>Individual Contributor</t>
        </is>
      </c>
      <c r="AJ535" s="53" t="inlineStr">
        <is>
          <t>0 years, 0 months, 0 days</t>
        </is>
      </c>
      <c r="AK535" s="53" t="inlineStr">
        <is>
          <t>1 years, 1 months, 4 days</t>
        </is>
      </c>
      <c r="AL535" s="53" t="inlineStr">
        <is>
          <t>Regtech</t>
        </is>
      </c>
      <c r="AM535" s="53" t="inlineStr">
        <is>
          <t>CARBON</t>
        </is>
      </c>
      <c r="AN535" s="53" t="inlineStr">
        <is>
          <t>Technology</t>
        </is>
      </c>
      <c r="AO535" s="53" t="inlineStr">
        <is>
          <t>Development</t>
        </is>
      </c>
      <c r="AP535" s="53" t="inlineStr">
        <is>
          <t>Yes</t>
        </is>
      </c>
      <c r="AQ535" s="53" t="inlineStr">
        <is>
          <t>Product/Project</t>
        </is>
      </c>
      <c r="AR535" s="53" t="inlineStr">
        <is>
          <t>AI/ML</t>
        </is>
      </c>
      <c r="AS535" s="53" t="inlineStr">
        <is>
          <t>Technical - Developer</t>
        </is>
      </c>
      <c r="AT535" s="53" t="n">
        <v>20</v>
      </c>
      <c r="AU535" s="53" t="inlineStr">
        <is>
          <t>Covered</t>
        </is>
      </c>
      <c r="AV535" s="53" t="inlineStr">
        <is>
          <t>IRIS2407</t>
        </is>
      </c>
      <c r="AW535" s="53" t="inlineStr">
        <is>
          <t>Ayush Dattatraya Tikone</t>
        </is>
      </c>
      <c r="AX535" s="53" t="inlineStr">
        <is>
          <t>Technology</t>
        </is>
      </c>
      <c r="AY535" s="53" t="inlineStr">
        <is>
          <t>Engineering &amp; Development</t>
        </is>
      </c>
      <c r="AZ535" s="53" t="inlineStr">
        <is>
          <t>AI / ML Engineering</t>
        </is>
      </c>
      <c r="BA535" s="53" t="n"/>
      <c r="BB535" s="53" t="n"/>
      <c r="BC535" s="53" t="inlineStr">
        <is>
          <t>Employee</t>
        </is>
      </c>
      <c r="BD535" s="53" t="inlineStr">
        <is>
          <t>Manasvi Sharma</t>
        </is>
      </c>
      <c r="BE535" s="53" t="inlineStr">
        <is>
          <t>Manasvi Sharma</t>
        </is>
      </c>
      <c r="BF535" s="53" t="inlineStr">
        <is>
          <t>No</t>
        </is>
      </c>
      <c r="BG535" s="53" t="inlineStr">
        <is>
          <t>Software Engineer - AI/ML</t>
        </is>
      </c>
      <c r="BH535" s="53" t="inlineStr">
        <is>
          <t>Software Engineer - AI/ML</t>
        </is>
      </c>
      <c r="BI535" s="53" t="inlineStr">
        <is>
          <t>No</t>
        </is>
      </c>
      <c r="BJ535" s="53" t="inlineStr">
        <is>
          <t>—</t>
        </is>
      </c>
      <c r="BK535" s="53" t="inlineStr">
        <is>
          <t>—</t>
        </is>
      </c>
      <c r="BL535" s="53" t="inlineStr">
        <is>
          <t>—</t>
        </is>
      </c>
      <c r="BM535" s="53" t="inlineStr">
        <is>
          <t>Not a manager</t>
        </is>
      </c>
      <c r="BN535" s="53" t="inlineStr">
        <is>
          <t>—</t>
        </is>
      </c>
      <c r="BO535" s="53" t="inlineStr">
        <is>
          <t>—</t>
        </is>
      </c>
      <c r="BP535" s="53" t="inlineStr">
        <is>
          <t>—</t>
        </is>
      </c>
      <c r="BQ535" s="53" t="inlineStr">
        <is>
          <t>Not a manager</t>
        </is>
      </c>
      <c r="BR535" s="53" t="inlineStr">
        <is>
          <t>—</t>
        </is>
      </c>
      <c r="BS535" s="53" t="inlineStr">
        <is>
          <t>L3 – Professional / Associate</t>
        </is>
      </c>
      <c r="BT535" s="53" t="inlineStr">
        <is>
          <t>L3 – Professional / Associate</t>
        </is>
      </c>
      <c r="BU535" s="53" t="inlineStr">
        <is>
          <t>No designation change — current record value carried forward</t>
        </is>
      </c>
      <c r="BV535" s="53" t="inlineStr">
        <is>
          <t>1.Build strong AI/ML fundamentals by completing training in machine learning, deep learning, LLM basics, embeddings, RAG, and model evaluation.
2.Improve Python programming and logical problem-solving skills to independently implement and debug AI workflows.
3.Improve execution speed and reduce task completion turnaround time by ≥ 50% YoY.
4.Contribute to minimum 5 adhoc AI projects / modules / experiments through testing, debugging, validation, or implementation support.
5.Improve debugging capability to independently identify and resolve ≥ 60% assigned technical issues with minimal supervision.
6.Improve delivery discipline and complete ≥ 85% assigned tasks within committed timelines.</t>
        </is>
      </c>
      <c r="BW535" s="53" t="n"/>
      <c r="BX535" s="53" t="n"/>
      <c r="BY535" s="53" t="n"/>
      <c r="BZ535" s="53" t="n"/>
      <c r="CA535" s="53" t="n"/>
      <c r="CB535" s="53" t="n"/>
      <c r="CC535" s="53" t="n"/>
      <c r="CD535" s="53" t="n"/>
      <c r="CE535" s="53" t="n"/>
      <c r="CF535" s="53" t="n"/>
      <c r="CG535" s="53" t="n"/>
      <c r="CH535" s="53" t="n"/>
      <c r="CI535" s="53" t="n"/>
      <c r="CJ535" s="53" t="n"/>
      <c r="CK535" s="53" t="n"/>
      <c r="CL535" s="53" t="n"/>
      <c r="CM535" s="53" t="n"/>
      <c r="CN535" s="53" t="n"/>
      <c r="CO535" s="53" t="n"/>
      <c r="CP535" s="53" t="n"/>
      <c r="CQ535" s="53" t="n"/>
      <c r="CR535" s="53" t="n"/>
      <c r="CS535" s="53" t="n"/>
      <c r="CT535" s="53" t="n"/>
      <c r="CU535" s="53" t="n"/>
      <c r="CV535" s="53" t="n"/>
      <c r="CW535" s="53" t="n"/>
      <c r="CX535" s="53" t="n"/>
      <c r="CY535" s="53" t="n"/>
      <c r="CZ535" s="53" t="n"/>
      <c r="DA535" s="53" t="n"/>
      <c r="DB535" s="53" t="n"/>
      <c r="DC535" s="53" t="n"/>
      <c r="DD535" s="53" t="n"/>
      <c r="DE535" s="53" t="n"/>
      <c r="DF535" s="53" t="n"/>
      <c r="DG535" s="53" t="n"/>
      <c r="DH535" s="53" t="n"/>
      <c r="DI535" s="53" t="n"/>
      <c r="DJ535" s="53" t="n"/>
      <c r="DK535" s="53" t="n"/>
      <c r="DL535" s="53" t="n"/>
      <c r="DM535" s="53" t="n"/>
      <c r="DN535" s="53" t="n"/>
      <c r="DO535" s="53" t="n"/>
      <c r="DP535" s="53" t="n"/>
      <c r="DQ535" s="53" t="n"/>
      <c r="DR535" s="53" t="n"/>
      <c r="DS535" s="53" t="n"/>
      <c r="DT535" s="53" t="n"/>
      <c r="DU535" s="53" t="n"/>
      <c r="DV535" s="53" t="n"/>
      <c r="DW535" s="53" t="n"/>
      <c r="DX535" s="53" t="n"/>
      <c r="DY535" s="53" t="n"/>
      <c r="DZ535" s="53" t="n"/>
      <c r="EA535" s="53" t="n"/>
      <c r="EB535" s="53" t="n"/>
      <c r="EC535" s="53" t="n"/>
      <c r="ED535" s="53" t="n"/>
      <c r="EE535" s="53" t="n"/>
      <c r="EF535" s="53" t="n"/>
      <c r="EG535" s="53" t="n"/>
      <c r="EH535" s="53" t="n"/>
      <c r="EI535" s="53" t="n"/>
      <c r="EJ535" s="53" t="n"/>
      <c r="EK535" s="53" t="n"/>
      <c r="EL535" s="53" t="n"/>
      <c r="EM535" s="53" t="n"/>
      <c r="EN535" s="53" t="n"/>
      <c r="EO535" s="53" t="n"/>
      <c r="EP535" s="53" t="n"/>
      <c r="EQ535" s="53" t="n"/>
      <c r="ER535" s="53" t="n"/>
      <c r="ES535" s="53" t="n"/>
      <c r="ET535" s="53" t="n"/>
      <c r="EU535" s="53" t="n"/>
      <c r="EV535" s="53" t="n"/>
      <c r="EW535" s="52" t="n"/>
      <c r="EX535" s="53" t="n"/>
      <c r="EY535" s="53" t="n"/>
      <c r="EZ535" s="53" t="n"/>
      <c r="FA535" s="53" t="n"/>
      <c r="FB535" s="53" t="n"/>
      <c r="FC535" s="53" t="n"/>
      <c r="FD535" s="53" t="n"/>
      <c r="FE535" s="57" t="inlineStr">
        <is>
          <t>1.Build strong AI/ML fundamentals by completing training in machine learning, deep learning, LLM basics, embeddings, RAG, and model evaluation.
2.Improve Python programming and logical problem-solving skills to independently implement and debug AI workflows.
3.Improve execution speed and reduce task completion turnaround time by ≥ 50% YoY.
4.Contribute to minimum 5 adhoc AI projects / modules / experiments through testing, debugging, validation, or implementation support.
5.Improve debugging capability to independently identify and resolve ≥ 60% assigned technical issues with minimal supervision.
6.Improve delivery discipline and complete ≥ 85% assigned tasks within committed timelines.</t>
        </is>
      </c>
      <c r="FF535" s="56" t="n"/>
      <c r="FG535" s="56" t="n"/>
      <c r="FH535" s="56" t="n"/>
      <c r="FI535" s="56" t="n"/>
      <c r="FJ535" s="56" t="inlineStr">
        <is>
          <t>Received · manager annual</t>
        </is>
      </c>
      <c r="FK535" s="56" t="inlineStr">
        <is>
          <t>CARBON Mapping Master</t>
        </is>
      </c>
      <c r="FL535" s="56" t="n">
        <v>20</v>
      </c>
      <c r="FM535" s="32" t="inlineStr">
        <is>
          <t>Full survey answers not in the files received · How We Grow export needed · HR</t>
        </is>
      </c>
      <c r="FN535" s="56" t="inlineStr">
        <is>
          <t>—</t>
        </is>
      </c>
      <c r="FO535" s="56" t="inlineStr">
        <is>
          <t>—</t>
        </is>
      </c>
      <c r="FP535" s="56" t="inlineStr">
        <is>
          <t>—</t>
        </is>
      </c>
      <c r="FQ535" s="56" t="inlineStr">
        <is>
          <t>—</t>
        </is>
      </c>
      <c r="FR535" s="56" t="inlineStr">
        <is>
          <t>Complexity: Evidence reads like A3: Designs and builds AI applications end to end: LLM/RAG solutions, pipelines, model testing and evaluation → moved up 0.5
Autonomy: Evidence reads like A2: Only cites prioritising own tasks → matches the start
Accountability: Evidence reads like A3: Accountable for AI/ML solutions built and maintained, including model reliability, pipelines and evaluation → moved up 0.5
Leadership: Evidence reads like A1: No guiding or leading described → matches the start
Business Impact: No survey or manager-mapping signal on criticality: kept at the start point.</t>
        </is>
      </c>
      <c r="FS535" s="56" t="inlineStr">
        <is>
          <t>Common themes in role-holders' answers: building · solve · business · solutions
Common themes in role-holders' answers: ai · solution · testing · technical
Common themes in role-holders' answers: ai · solutions
Common themes in role-holders' answers: testing · develop · quality · solutions · ai · accountable
If the work is missed · role-holders' themes: incorrect · lead · delays · rework.</t>
        </is>
      </c>
      <c r="FT535" s="56" t="inlineStr">
        <is>
          <t>Self-identified: AI / automation · Leadership &amp; people management · Project / programme management · Technical depth &amp; architecture · Broader exposure &amp; ownership
For the next role: AI / automation · Leadership &amp; people management · Project / programme management · Technical depth &amp; architecture · Broader exposure &amp; ownership</t>
        </is>
      </c>
      <c r="FU535" s="32" t="inlineStr">
        <is>
          <t>Full survey answers not in the files received · How We Grow export needed · HR</t>
        </is>
      </c>
    </row>
    <row r="536" ht="90" customHeight="1">
      <c r="A536" s="51" t="inlineStr">
        <is>
          <t>◂ Back</t>
        </is>
      </c>
      <c r="B536" s="29" t="inlineStr">
        <is>
          <t>Mapped</t>
        </is>
      </c>
      <c r="C536" s="28" t="inlineStr">
        <is>
          <t>CARBON</t>
        </is>
      </c>
      <c r="D536" s="29" t="inlineStr">
        <is>
          <t>IRIS2509</t>
        </is>
      </c>
      <c r="E536" s="29" t="inlineStr">
        <is>
          <t>Mandar Ukrulkar</t>
        </is>
      </c>
      <c r="F536" s="29" t="inlineStr">
        <is>
          <t>Technology</t>
        </is>
      </c>
      <c r="G536" s="29" t="inlineStr">
        <is>
          <t>Software Engineer - AI/ML</t>
        </is>
      </c>
      <c r="H536" s="29" t="inlineStr">
        <is>
          <t>Senior AI/ML Engineer</t>
        </is>
      </c>
      <c r="I536" s="29" t="inlineStr">
        <is>
          <t>L3 – Professional / Associate</t>
        </is>
      </c>
      <c r="J536" s="29" t="inlineStr">
        <is>
          <t>A3</t>
        </is>
      </c>
      <c r="K536" s="29" t="inlineStr">
        <is>
          <t>▲ Up</t>
        </is>
      </c>
      <c r="L536" s="29" t="inlineStr">
        <is>
          <t>Engineering &amp; Development</t>
        </is>
      </c>
      <c r="M536" s="29" t="inlineStr">
        <is>
          <t>AI / ML &amp; GenAI Engineering</t>
        </is>
      </c>
      <c r="N536" s="29" t="inlineStr">
        <is>
          <t>• Confirm the reporting line — Manager</t>
        </is>
      </c>
      <c r="O536" s="29" t="n">
        <v>20</v>
      </c>
      <c r="P536" s="28" t="inlineStr">
        <is>
          <t>P2</t>
        </is>
      </c>
      <c r="Q536" s="29" t="inlineStr">
        <is>
          <t>Developing</t>
        </is>
      </c>
      <c r="R536" s="29" t="inlineStr">
        <is>
          <t>3 Apply</t>
        </is>
      </c>
      <c r="S536" s="29" t="inlineStr">
        <is>
          <t>2–4 yrs</t>
        </is>
      </c>
      <c r="T536" s="29" t="inlineStr">
        <is>
          <t>3–5 · 2–5</t>
        </is>
      </c>
      <c r="U536" s="29" t="inlineStr">
        <is>
          <t>Software Engineer</t>
        </is>
      </c>
      <c r="V536" s="29" t="inlineStr">
        <is>
          <t>Workiva: SE · Broadridge India: SE · Nasdaq / AxiomSL: SE · Salesforce: MTS · Atlassian: P40 · 3–7 yrs · Freshworks: Senior SE</t>
        </is>
      </c>
      <c r="W536" s="29" t="inlineStr">
        <is>
          <t>SFIA 9 · software development, programming; OWASP secure coding; cloud vendor certifications</t>
        </is>
      </c>
      <c r="X536" s="29" t="inlineStr">
        <is>
          <t>Core 2 · Future 2 · Functional 3 · Leadership not scored</t>
        </is>
      </c>
      <c r="Y536" s="52" t="n">
        <v>480</v>
      </c>
      <c r="Z536" s="53" t="inlineStr">
        <is>
          <t>IRIS2509</t>
        </is>
      </c>
      <c r="AA536" s="53" t="inlineStr">
        <is>
          <t>Employee</t>
        </is>
      </c>
      <c r="AB536" s="53" t="inlineStr">
        <is>
          <t>Active</t>
        </is>
      </c>
      <c r="AC536" s="53" t="inlineStr">
        <is>
          <t>Mandar Ukrulkar</t>
        </is>
      </c>
      <c r="AD536" s="54" t="n">
        <v>46125</v>
      </c>
      <c r="AE536" s="53" t="inlineStr">
        <is>
          <t>Software Engineer - AI/ML</t>
        </is>
      </c>
      <c r="AF536" s="53" t="inlineStr">
        <is>
          <t>B.E</t>
        </is>
      </c>
      <c r="AG536" s="53" t="inlineStr">
        <is>
          <t>Ashish Singhvi</t>
        </is>
      </c>
      <c r="AH536" s="53" t="inlineStr">
        <is>
          <t>N-2</t>
        </is>
      </c>
      <c r="AI536" s="53" t="inlineStr">
        <is>
          <t>Manager</t>
        </is>
      </c>
      <c r="AJ536" s="53" t="inlineStr">
        <is>
          <t>4 years, 0 months, 0 days</t>
        </is>
      </c>
      <c r="AK536" s="53" t="inlineStr">
        <is>
          <t>0 years, 4 months, 12 days</t>
        </is>
      </c>
      <c r="AL536" s="53" t="inlineStr">
        <is>
          <t>Regtech</t>
        </is>
      </c>
      <c r="AM536" s="53" t="inlineStr">
        <is>
          <t>CARBON</t>
        </is>
      </c>
      <c r="AN536" s="53" t="inlineStr">
        <is>
          <t>Technology</t>
        </is>
      </c>
      <c r="AO536" s="53" t="inlineStr">
        <is>
          <t>Development</t>
        </is>
      </c>
      <c r="AP536" s="53" t="inlineStr">
        <is>
          <t>Yes</t>
        </is>
      </c>
      <c r="AQ536" s="53" t="inlineStr">
        <is>
          <t>Product/Project</t>
        </is>
      </c>
      <c r="AR536" s="53" t="inlineStr">
        <is>
          <t>AI/ML</t>
        </is>
      </c>
      <c r="AS536" s="53" t="inlineStr">
        <is>
          <t>Technical - Developer</t>
        </is>
      </c>
      <c r="AT536" s="53" t="n">
        <v>20</v>
      </c>
      <c r="AU536" s="53" t="inlineStr">
        <is>
          <t>Covered</t>
        </is>
      </c>
      <c r="AV536" s="53" t="inlineStr">
        <is>
          <t>IRIS2509</t>
        </is>
      </c>
      <c r="AW536" s="53" t="inlineStr">
        <is>
          <t>Mandar Ukrulkar</t>
        </is>
      </c>
      <c r="AX536" s="53" t="inlineStr">
        <is>
          <t>Technology</t>
        </is>
      </c>
      <c r="AY536" s="53" t="inlineStr">
        <is>
          <t>Engineering &amp; Development</t>
        </is>
      </c>
      <c r="AZ536" s="53" t="inlineStr">
        <is>
          <t>AI / ML Engineering</t>
        </is>
      </c>
      <c r="BA536" s="53" t="n"/>
      <c r="BB536" s="53" t="n"/>
      <c r="BC536" s="53" t="inlineStr">
        <is>
          <t>Employee</t>
        </is>
      </c>
      <c r="BD536" s="53" t="inlineStr">
        <is>
          <t>Ashish Singhvi</t>
        </is>
      </c>
      <c r="BE536" s="53" t="inlineStr">
        <is>
          <t>Ashish Singhvi</t>
        </is>
      </c>
      <c r="BF536" s="53" t="inlineStr">
        <is>
          <t>No</t>
        </is>
      </c>
      <c r="BG536" s="53" t="inlineStr">
        <is>
          <t>Software Engineer - AI/ML</t>
        </is>
      </c>
      <c r="BH536" s="53" t="inlineStr">
        <is>
          <t>Software Engineer - AI/ML</t>
        </is>
      </c>
      <c r="BI536" s="53" t="inlineStr">
        <is>
          <t>No</t>
        </is>
      </c>
      <c r="BJ536" s="53" t="n">
        <v>1</v>
      </c>
      <c r="BK536" s="53" t="n">
        <v>1</v>
      </c>
      <c r="BL536" s="53" t="n">
        <v>0</v>
      </c>
      <c r="BM536" s="53" t="inlineStr">
        <is>
          <t>Consolidate / flatten</t>
        </is>
      </c>
      <c r="BN536" s="53" t="n">
        <v>1</v>
      </c>
      <c r="BO536" s="53" t="n">
        <v>1</v>
      </c>
      <c r="BP536" s="53" t="n">
        <v>0</v>
      </c>
      <c r="BQ536" s="53" t="inlineStr">
        <is>
          <t>Consolidate / flatten</t>
        </is>
      </c>
      <c r="BR536" s="53" t="inlineStr">
        <is>
          <t>No</t>
        </is>
      </c>
      <c r="BS536" s="53" t="inlineStr">
        <is>
          <t>L3 – Professional / Associate</t>
        </is>
      </c>
      <c r="BT536" s="53" t="inlineStr">
        <is>
          <t>L3 – Professional / Associate</t>
        </is>
      </c>
      <c r="BU536" s="53" t="inlineStr">
        <is>
          <t>No designation change — current record value carried forward</t>
        </is>
      </c>
      <c r="BV536" s="53" t="inlineStr">
        <is>
          <t>1.Benchmark and evaluate minimum 5 open-source LLMs / SLMs against commercial models for IRIS AI use cases.
2.Reduce dependency on commercial AI APIs by ≥ 80% YoY through adoption of open LLMs / SLMs.
3.Fine-tune minimum 2 domain-specific SLMs / AI models for IRIS use cases · table, embedding, classification, summarization, etc..
4.Build reusable AI evaluation pipelines covering accuracy, latency, hallucination, cost, and quality scoring with ≥ 70% automation.
5.Deliver minimum 2 production-ready AI features / PoCs integrated into CARBON AI / MIRA.
6.Fine-tune specialized SLMs for table layout detection, structure extraction, and document intelligence with ≥ 90% accuracy.
7.Deliver 1 production-ready table/document AI model integrated into CARBON workflows.</t>
        </is>
      </c>
      <c r="BW536" s="53" t="n"/>
      <c r="BX536" s="53" t="n"/>
      <c r="BY536" s="53" t="n"/>
      <c r="BZ536" s="53" t="n"/>
      <c r="CA536" s="53" t="n"/>
      <c r="CB536" s="53" t="n"/>
      <c r="CC536" s="53" t="n"/>
      <c r="CD536" s="53" t="n"/>
      <c r="CE536" s="53" t="n"/>
      <c r="CF536" s="53" t="n"/>
      <c r="CG536" s="53" t="n"/>
      <c r="CH536" s="53" t="n"/>
      <c r="CI536" s="53" t="n"/>
      <c r="CJ536" s="53" t="n"/>
      <c r="CK536" s="53" t="n"/>
      <c r="CL536" s="53" t="n"/>
      <c r="CM536" s="53" t="n"/>
      <c r="CN536" s="53" t="n"/>
      <c r="CO536" s="53" t="n"/>
      <c r="CP536" s="53" t="n"/>
      <c r="CQ536" s="53" t="n"/>
      <c r="CR536" s="53" t="n"/>
      <c r="CS536" s="53" t="n"/>
      <c r="CT536" s="53" t="n"/>
      <c r="CU536" s="53" t="n"/>
      <c r="CV536" s="53" t="n"/>
      <c r="CW536" s="53" t="n"/>
      <c r="CX536" s="53" t="n"/>
      <c r="CY536" s="53" t="n"/>
      <c r="CZ536" s="53" t="n"/>
      <c r="DA536" s="53" t="n"/>
      <c r="DB536" s="53" t="n"/>
      <c r="DC536" s="53" t="n"/>
      <c r="DD536" s="53" t="n"/>
      <c r="DE536" s="53" t="n"/>
      <c r="DF536" s="53" t="n"/>
      <c r="DG536" s="53" t="n"/>
      <c r="DH536" s="53" t="n"/>
      <c r="DI536" s="53" t="n"/>
      <c r="DJ536" s="53" t="n"/>
      <c r="DK536" s="53" t="n"/>
      <c r="DL536" s="53" t="n"/>
      <c r="DM536" s="53" t="n"/>
      <c r="DN536" s="53" t="n"/>
      <c r="DO536" s="53" t="n"/>
      <c r="DP536" s="53" t="n"/>
      <c r="DQ536" s="53" t="n"/>
      <c r="DR536" s="53" t="n"/>
      <c r="DS536" s="53" t="n"/>
      <c r="DT536" s="53" t="n"/>
      <c r="DU536" s="53" t="n"/>
      <c r="DV536" s="53" t="n"/>
      <c r="DW536" s="53" t="n"/>
      <c r="DX536" s="53" t="n"/>
      <c r="DY536" s="53" t="n"/>
      <c r="DZ536" s="53" t="n"/>
      <c r="EA536" s="53" t="n"/>
      <c r="EB536" s="53" t="n"/>
      <c r="EC536" s="53" t="n"/>
      <c r="ED536" s="53" t="n"/>
      <c r="EE536" s="53" t="n"/>
      <c r="EF536" s="53" t="n"/>
      <c r="EG536" s="53" t="n"/>
      <c r="EH536" s="53" t="n"/>
      <c r="EI536" s="53" t="n"/>
      <c r="EJ536" s="53" t="n"/>
      <c r="EK536" s="53" t="n"/>
      <c r="EL536" s="53" t="n"/>
      <c r="EM536" s="53" t="n"/>
      <c r="EN536" s="53" t="n"/>
      <c r="EO536" s="53" t="n"/>
      <c r="EP536" s="53" t="n"/>
      <c r="EQ536" s="53" t="n"/>
      <c r="ER536" s="53" t="n"/>
      <c r="ES536" s="53" t="n"/>
      <c r="ET536" s="53" t="n"/>
      <c r="EU536" s="53" t="n"/>
      <c r="EV536" s="53" t="n"/>
      <c r="EW536" s="52" t="inlineStr">
        <is>
          <t>Dhiraj to take over the team in long term - short term arrangemet can be Mandar</t>
        </is>
      </c>
      <c r="EX536" s="53" t="n"/>
      <c r="EY536" s="53" t="n"/>
      <c r="EZ536" s="53" t="n"/>
      <c r="FA536" s="53" t="n"/>
      <c r="FB536" s="53" t="n"/>
      <c r="FC536" s="53" t="n"/>
      <c r="FD536" s="53" t="n"/>
      <c r="FE536" s="57" t="inlineStr">
        <is>
          <t>1.Benchmark and evaluate minimum 5 open-source LLMs / SLMs against commercial models for IRIS AI use cases.
2.Reduce dependency on commercial AI APIs by ≥ 80% YoY through adoption of open LLMs / SLMs.
3.Fine-tune minimum 2 domain-specific SLMs / AI models for IRIS use cases · table, embedding, classification, summarization, etc..
4.Build reusable AI evaluation pipelines covering accuracy, latency, hallucination, cost, and quality scoring with ≥ 70% automation.
5.Deliver minimum 2 production-ready AI features / PoCs integrated into CARBON AI / MIRA.
6.Fine-tune specialized SLMs for table layout detection, structure extraction, and document intelligence with ≥ 90% accuracy.
7.Deliver 1 production-ready table/document AI model integrated into CARBON workflows.</t>
        </is>
      </c>
      <c r="FF536" s="56" t="n"/>
      <c r="FG536" s="56" t="n"/>
      <c r="FH536" s="56" t="n"/>
      <c r="FI536" s="56" t="n"/>
      <c r="FJ536" s="56" t="inlineStr">
        <is>
          <t>Received · manager annual</t>
        </is>
      </c>
      <c r="FK536" s="56" t="inlineStr">
        <is>
          <t>CARBON Mapping Master</t>
        </is>
      </c>
      <c r="FL536" s="56" t="n">
        <v>20</v>
      </c>
      <c r="FM536" s="32" t="inlineStr">
        <is>
          <t>Full survey answers not in the files received · How We Grow export needed · HR</t>
        </is>
      </c>
      <c r="FN536" s="56" t="inlineStr">
        <is>
          <t>—</t>
        </is>
      </c>
      <c r="FO536" s="56" t="inlineStr">
        <is>
          <t>—</t>
        </is>
      </c>
      <c r="FP536" s="56" t="inlineStr">
        <is>
          <t>—</t>
        </is>
      </c>
      <c r="FQ536" s="56" t="inlineStr">
        <is>
          <t>—</t>
        </is>
      </c>
      <c r="FR536" s="56" t="inlineStr">
        <is>
          <t>Complexity: Evidence reads like A2: Builds AI backends and APIs in Python; very little detail on the problems solved → matches the start
Autonomy: Evidence reads like A2: Only cites debugging as an independent decision → moved down 0.5
Accountability: Evidence reads like A2: Accountable for quality of AI-generated content; errors are root-caused and reworked → moved down 0.5
Leadership: Evidence reads like A1: No guiding or leading described, despite one direct report in HR data → moved down 0.5
Business Impact: No survey or manager-mapping signal on criticality: kept at the start point.</t>
        </is>
      </c>
      <c r="FS536" s="56" t="inlineStr">
        <is>
          <t>Common themes in role-holders' answers: ai · product · solutions · business
Common themes in role-holders' answers: technical
Common themes in role-holders' answers: ai · features
Common themes in role-holders' answers: quality · features · ai · code
Common themes in role-holders' answers: approach
If the work is missed · role-holders' themes: cause.</t>
        </is>
      </c>
      <c r="FT536" s="56" t="inlineStr">
        <is>
          <t>Self-identified: Leadership &amp; people management
For the next role: Leadership &amp; people management</t>
        </is>
      </c>
      <c r="FU536" s="32" t="inlineStr">
        <is>
          <t>Full survey answers not in the files received · How We Grow export needed · HR</t>
        </is>
      </c>
    </row>
    <row r="537" ht="90" customHeight="1">
      <c r="A537" s="51" t="inlineStr">
        <is>
          <t>◂ Back</t>
        </is>
      </c>
      <c r="B537" s="29" t="inlineStr">
        <is>
          <t>Mapped</t>
        </is>
      </c>
      <c r="C537" s="28" t="inlineStr">
        <is>
          <t>CARBON</t>
        </is>
      </c>
      <c r="D537" s="29" t="inlineStr">
        <is>
          <t>IRIS2406</t>
        </is>
      </c>
      <c r="E537" s="29" t="inlineStr">
        <is>
          <t>Saurabh Kadam</t>
        </is>
      </c>
      <c r="F537" s="29" t="inlineStr">
        <is>
          <t>Technology</t>
        </is>
      </c>
      <c r="G537" s="29" t="inlineStr">
        <is>
          <t>Software Engineer - AI/ML</t>
        </is>
      </c>
      <c r="H537" s="29" t="inlineStr">
        <is>
          <t>Senior AI/ML Engineer</t>
        </is>
      </c>
      <c r="I537" s="29" t="inlineStr">
        <is>
          <t>L3 – Professional / Associate</t>
        </is>
      </c>
      <c r="J537" s="29" t="inlineStr">
        <is>
          <t>A3</t>
        </is>
      </c>
      <c r="K537" s="29" t="inlineStr">
        <is>
          <t>▲ Up</t>
        </is>
      </c>
      <c r="L537" s="29" t="inlineStr">
        <is>
          <t>Engineering &amp; Development</t>
        </is>
      </c>
      <c r="M537" s="29" t="inlineStr">
        <is>
          <t>AI / ML &amp; GenAI Engineering</t>
        </is>
      </c>
      <c r="N537" s="29" t="n"/>
      <c r="O537" s="29" t="n">
        <v>0</v>
      </c>
      <c r="P537" s="28" t="inlineStr">
        <is>
          <t>P2</t>
        </is>
      </c>
      <c r="Q537" s="29" t="inlineStr">
        <is>
          <t>Developing</t>
        </is>
      </c>
      <c r="R537" s="29" t="inlineStr">
        <is>
          <t>3 Apply</t>
        </is>
      </c>
      <c r="S537" s="29" t="inlineStr">
        <is>
          <t>2–4 yrs</t>
        </is>
      </c>
      <c r="T537" s="29" t="inlineStr">
        <is>
          <t>3–5 · 2–5</t>
        </is>
      </c>
      <c r="U537" s="29" t="inlineStr">
        <is>
          <t>Software Engineer</t>
        </is>
      </c>
      <c r="V537" s="29" t="inlineStr">
        <is>
          <t>Workiva: SE · Broadridge India: SE · Nasdaq / AxiomSL: SE · Salesforce: MTS · Atlassian: P40 · 3–7 yrs · Freshworks: Senior SE</t>
        </is>
      </c>
      <c r="W537" s="29" t="inlineStr">
        <is>
          <t>SFIA 9 · software development, programming; OWASP secure coding; cloud vendor certifications</t>
        </is>
      </c>
      <c r="X537" s="29" t="inlineStr">
        <is>
          <t>Core 2 · Future 2 · Functional 3 · Leadership not scored</t>
        </is>
      </c>
      <c r="Y537" s="52" t="n">
        <v>386</v>
      </c>
      <c r="Z537" s="53" t="inlineStr">
        <is>
          <t>IRIS2406</t>
        </is>
      </c>
      <c r="AA537" s="53" t="inlineStr">
        <is>
          <t>Employee</t>
        </is>
      </c>
      <c r="AB537" s="53" t="inlineStr">
        <is>
          <t>Active</t>
        </is>
      </c>
      <c r="AC537" s="53" t="inlineStr">
        <is>
          <t>Saurabh Kadam</t>
        </is>
      </c>
      <c r="AD537" s="54" t="n">
        <v>45859</v>
      </c>
      <c r="AE537" s="53" t="inlineStr">
        <is>
          <t>Software Engineer - AI/ML</t>
        </is>
      </c>
      <c r="AF537" s="53" t="inlineStr">
        <is>
          <t>M.Sc</t>
        </is>
      </c>
      <c r="AG537" s="53" t="inlineStr">
        <is>
          <t>Mandar Ukrulkar</t>
        </is>
      </c>
      <c r="AH537" s="53" t="inlineStr">
        <is>
          <t>N-3</t>
        </is>
      </c>
      <c r="AI537" s="53" t="inlineStr">
        <is>
          <t>Manager</t>
        </is>
      </c>
      <c r="AJ537" s="53" t="inlineStr">
        <is>
          <t>2 years, 0 months, 0 days</t>
        </is>
      </c>
      <c r="AK537" s="53" t="inlineStr">
        <is>
          <t>1 years, 1 months, 4 days</t>
        </is>
      </c>
      <c r="AL537" s="53" t="inlineStr">
        <is>
          <t>Regtech</t>
        </is>
      </c>
      <c r="AM537" s="53" t="inlineStr">
        <is>
          <t>CARBON</t>
        </is>
      </c>
      <c r="AN537" s="53" t="inlineStr">
        <is>
          <t>Technology</t>
        </is>
      </c>
      <c r="AO537" s="53" t="inlineStr">
        <is>
          <t>Development</t>
        </is>
      </c>
      <c r="AP537" s="53" t="inlineStr">
        <is>
          <t>Yes</t>
        </is>
      </c>
      <c r="AQ537" s="53" t="inlineStr">
        <is>
          <t>Product/Project</t>
        </is>
      </c>
      <c r="AR537" s="53" t="inlineStr">
        <is>
          <t>AI/ML</t>
        </is>
      </c>
      <c r="AS537" s="53" t="inlineStr">
        <is>
          <t>Technical - Developer</t>
        </is>
      </c>
      <c r="AT537" s="53" t="n">
        <v>0</v>
      </c>
      <c r="AU537" s="53" t="inlineStr">
        <is>
          <t>Excluded</t>
        </is>
      </c>
      <c r="AV537" s="53" t="inlineStr">
        <is>
          <t>IRIS2406</t>
        </is>
      </c>
      <c r="AW537" s="53" t="inlineStr">
        <is>
          <t>Saurabh Kadam</t>
        </is>
      </c>
      <c r="AX537" s="53" t="inlineStr">
        <is>
          <t>Technology</t>
        </is>
      </c>
      <c r="AY537" s="53" t="inlineStr">
        <is>
          <t>Engineering &amp; Development</t>
        </is>
      </c>
      <c r="AZ537" s="53" t="inlineStr">
        <is>
          <t>AI / ML Engineering</t>
        </is>
      </c>
      <c r="BA537" s="53" t="n"/>
      <c r="BB537" s="53" t="n"/>
      <c r="BC537" s="53" t="inlineStr">
        <is>
          <t>Employee</t>
        </is>
      </c>
      <c r="BD537" s="53" t="inlineStr">
        <is>
          <t>Mandar Ukrulkar</t>
        </is>
      </c>
      <c r="BE537" s="53" t="inlineStr">
        <is>
          <t>Mandar Ukrulkar</t>
        </is>
      </c>
      <c r="BF537" s="53" t="inlineStr">
        <is>
          <t>No</t>
        </is>
      </c>
      <c r="BG537" s="53" t="inlineStr">
        <is>
          <t>Software Engineer - AI/ML</t>
        </is>
      </c>
      <c r="BH537" s="53" t="inlineStr">
        <is>
          <t>Software Engineer - AI/ML</t>
        </is>
      </c>
      <c r="BI537" s="53" t="inlineStr">
        <is>
          <t>No</t>
        </is>
      </c>
      <c r="BJ537" s="53" t="inlineStr">
        <is>
          <t>—</t>
        </is>
      </c>
      <c r="BK537" s="53" t="inlineStr">
        <is>
          <t>—</t>
        </is>
      </c>
      <c r="BL537" s="53" t="inlineStr">
        <is>
          <t>—</t>
        </is>
      </c>
      <c r="BM537" s="53" t="inlineStr">
        <is>
          <t>Not a manager</t>
        </is>
      </c>
      <c r="BN537" s="53" t="inlineStr">
        <is>
          <t>—</t>
        </is>
      </c>
      <c r="BO537" s="53" t="inlineStr">
        <is>
          <t>—</t>
        </is>
      </c>
      <c r="BP537" s="53" t="inlineStr">
        <is>
          <t>—</t>
        </is>
      </c>
      <c r="BQ537" s="53" t="inlineStr">
        <is>
          <t>Not a manager</t>
        </is>
      </c>
      <c r="BR537" s="53" t="inlineStr">
        <is>
          <t>—</t>
        </is>
      </c>
      <c r="BS537" s="53" t="inlineStr">
        <is>
          <t>L3 – Professional / Associate</t>
        </is>
      </c>
      <c r="BT537" s="53" t="inlineStr">
        <is>
          <t>L3 – Professional / Associate</t>
        </is>
      </c>
      <c r="BU537" s="53" t="inlineStr">
        <is>
          <t>No designation change — current record value carried forward</t>
        </is>
      </c>
      <c r="BV537" s="53" t="inlineStr">
        <is>
          <t>1.Improve AI/ML fundamentals by successfully completing training in machine learning, deep learning, model evaluation, and fine-tuning techniques.
2.Improve model experimentation quality by achieving ≥ 80% reproducibility across training runs with proper documentation of datasets, parameters, and results.
3.Contribute to minimum 2 AI/ML PoCs or experiments relevant to IRIS use cases · table layout, classification, embeddings, etc..
4.Improve execution discipline by completing ≥ 85% assigned tasks within agreed timelines.
5.Increase ownership and initiative by independently proposing minimum 3 improvement ideas / experiments during FY.
6.Improve professional maturity, communication, and accountability to work with minimal supervision on ≥ 50% assigned tasks by FY end.</t>
        </is>
      </c>
      <c r="BW537" s="53" t="n"/>
      <c r="BX537" s="53" t="n"/>
      <c r="BY537" s="53" t="n"/>
      <c r="BZ537" s="53" t="n"/>
      <c r="CA537" s="53" t="n"/>
      <c r="CB537" s="53" t="n"/>
      <c r="CC537" s="53" t="n"/>
      <c r="CD537" s="53" t="n"/>
      <c r="CE537" s="53" t="n"/>
      <c r="CF537" s="53" t="n"/>
      <c r="CG537" s="53" t="n"/>
      <c r="CH537" s="53" t="n"/>
      <c r="CI537" s="53" t="n"/>
      <c r="CJ537" s="53" t="n"/>
      <c r="CK537" s="53" t="n"/>
      <c r="CL537" s="53" t="n"/>
      <c r="CM537" s="53" t="n"/>
      <c r="CN537" s="53" t="n"/>
      <c r="CO537" s="53" t="n"/>
      <c r="CP537" s="53" t="n"/>
      <c r="CQ537" s="53" t="n"/>
      <c r="CR537" s="53" t="n"/>
      <c r="CS537" s="53" t="n"/>
      <c r="CT537" s="53" t="n"/>
      <c r="CU537" s="53" t="n"/>
      <c r="CV537" s="53" t="n"/>
      <c r="CW537" s="53" t="n"/>
      <c r="CX537" s="53" t="n"/>
      <c r="CY537" s="53" t="n"/>
      <c r="CZ537" s="53" t="n"/>
      <c r="DA537" s="53" t="n"/>
      <c r="DB537" s="53" t="n"/>
      <c r="DC537" s="53" t="n"/>
      <c r="DD537" s="53" t="n"/>
      <c r="DE537" s="53" t="n"/>
      <c r="DF537" s="53" t="n"/>
      <c r="DG537" s="53" t="n"/>
      <c r="DH537" s="53" t="n"/>
      <c r="DI537" s="53" t="n"/>
      <c r="DJ537" s="53" t="n"/>
      <c r="DK537" s="53" t="n"/>
      <c r="DL537" s="53" t="n"/>
      <c r="DM537" s="53" t="n"/>
      <c r="DN537" s="53" t="n"/>
      <c r="DO537" s="53" t="n"/>
      <c r="DP537" s="53" t="n"/>
      <c r="DQ537" s="53" t="n"/>
      <c r="DR537" s="53" t="n"/>
      <c r="DS537" s="53" t="n"/>
      <c r="DT537" s="53" t="n"/>
      <c r="DU537" s="53" t="n"/>
      <c r="DV537" s="53" t="n"/>
      <c r="DW537" s="53" t="n"/>
      <c r="DX537" s="53" t="n"/>
      <c r="DY537" s="53" t="n"/>
      <c r="DZ537" s="53" t="n"/>
      <c r="EA537" s="53" t="n"/>
      <c r="EB537" s="53" t="n"/>
      <c r="EC537" s="53" t="n"/>
      <c r="ED537" s="53" t="n"/>
      <c r="EE537" s="53" t="n"/>
      <c r="EF537" s="53" t="n"/>
      <c r="EG537" s="53" t="n"/>
      <c r="EH537" s="53" t="n"/>
      <c r="EI537" s="53" t="n"/>
      <c r="EJ537" s="53" t="n"/>
      <c r="EK537" s="53" t="n"/>
      <c r="EL537" s="53" t="n"/>
      <c r="EM537" s="53" t="n"/>
      <c r="EN537" s="53" t="n"/>
      <c r="EO537" s="53" t="n"/>
      <c r="EP537" s="53" t="n"/>
      <c r="EQ537" s="53" t="n"/>
      <c r="ER537" s="53" t="n"/>
      <c r="ES537" s="53" t="n"/>
      <c r="ET537" s="53" t="n"/>
      <c r="EU537" s="53" t="n"/>
      <c r="EV537" s="53" t="n"/>
      <c r="EW537" s="52" t="n"/>
      <c r="EX537" s="53" t="n"/>
      <c r="EY537" s="53" t="n"/>
      <c r="EZ537" s="53" t="n"/>
      <c r="FA537" s="53" t="n"/>
      <c r="FB537" s="53" t="n"/>
      <c r="FC537" s="53" t="n"/>
      <c r="FD537" s="53" t="n"/>
      <c r="FE537" s="57" t="inlineStr">
        <is>
          <t>1.Improve AI/ML fundamentals by successfully completing training in machine learning, deep learning, model evaluation, and fine-tuning techniques.
2.Improve model experimentation quality by achieving ≥ 80% reproducibility across training runs with proper documentation of datasets, parameters, and results.
3.Contribute to minimum 2 AI/ML PoCs or experiments relevant to IRIS use cases · table layout, classification, embeddings, etc..
4.Improve execution discipline by completing ≥ 85% assigned tasks within agreed timelines.
5.Increase ownership and initiative by independently proposing minimum 3 improvement ideas / experiments during FY.
6.Improve professional maturity, communication, and accountability to work with minimal supervision on ≥ 50% assigned tasks by FY end.</t>
        </is>
      </c>
      <c r="FF537" s="56" t="n"/>
      <c r="FG537" s="56" t="n"/>
      <c r="FH537" s="56" t="n"/>
      <c r="FI537" s="56" t="n"/>
      <c r="FJ537" s="56" t="inlineStr">
        <is>
          <t>Received · manager annual</t>
        </is>
      </c>
      <c r="FK537" s="56" t="inlineStr">
        <is>
          <t>CARBON Mapping Master</t>
        </is>
      </c>
      <c r="FL537" s="56" t="n">
        <v>0</v>
      </c>
      <c r="FM537" s="32" t="inlineStr">
        <is>
          <t>No survey response on file</t>
        </is>
      </c>
      <c r="FN537" s="56" t="inlineStr">
        <is>
          <t>—</t>
        </is>
      </c>
      <c r="FO537" s="56" t="inlineStr">
        <is>
          <t>—</t>
        </is>
      </c>
      <c r="FP537" s="56" t="inlineStr">
        <is>
          <t>—</t>
        </is>
      </c>
      <c r="FQ537" s="56" t="inlineStr">
        <is>
          <t>—</t>
        </is>
      </c>
      <c r="FR537" s="56"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FS537" s="56" t="inlineStr">
        <is>
          <t>Common themes in role-holders' answers: ai · product · solutions · business
Common themes in role-holders' answers: technical
Common themes in role-holders' answers: ai · features
Common themes in role-holders' answers: quality · features · ai · code
Common themes in role-holders' answers: approach
If the work is missed · role-holders' themes: cause.</t>
        </is>
      </c>
      <c r="FT537" s="56" t="n"/>
      <c r="FU537" s="32" t="inlineStr">
        <is>
          <t>No survey response on file</t>
        </is>
      </c>
    </row>
    <row r="538" ht="90" customHeight="1">
      <c r="A538" s="51" t="inlineStr">
        <is>
          <t>◂ Back</t>
        </is>
      </c>
      <c r="B538" s="29" t="inlineStr">
        <is>
          <t>Mapped</t>
        </is>
      </c>
      <c r="C538" s="28" t="inlineStr">
        <is>
          <t>iFile</t>
        </is>
      </c>
      <c r="D538" s="29" t="inlineStr">
        <is>
          <t>IRIS0553</t>
        </is>
      </c>
      <c r="E538" s="29" t="inlineStr">
        <is>
          <t>Chetan Galande</t>
        </is>
      </c>
      <c r="F538" s="29" t="inlineStr">
        <is>
          <t>Technology</t>
        </is>
      </c>
      <c r="G538" s="29" t="inlineStr">
        <is>
          <t>Business Analyst</t>
        </is>
      </c>
      <c r="H538" s="29" t="inlineStr">
        <is>
          <t>Business Analysis Specialist</t>
        </is>
      </c>
      <c r="I538" s="29" t="inlineStr">
        <is>
          <t>L3 – Professional / Associate</t>
        </is>
      </c>
      <c r="J538" s="29" t="inlineStr">
        <is>
          <t>A3</t>
        </is>
      </c>
      <c r="K538" s="29" t="inlineStr">
        <is>
          <t>▲ Up</t>
        </is>
      </c>
      <c r="L538" s="29" t="inlineStr">
        <is>
          <t>Business Analysis</t>
        </is>
      </c>
      <c r="M538" s="29" t="inlineStr">
        <is>
          <t>Business Analysis</t>
        </is>
      </c>
      <c r="N538" s="29" t="n"/>
      <c r="O538" s="29" t="n">
        <v>20</v>
      </c>
      <c r="P538" s="28" t="inlineStr">
        <is>
          <t>P2</t>
        </is>
      </c>
      <c r="Q538" s="29" t="inlineStr">
        <is>
          <t>Developing</t>
        </is>
      </c>
      <c r="R538" s="29" t="inlineStr">
        <is>
          <t>3 Apply</t>
        </is>
      </c>
      <c r="S538" s="29" t="inlineStr">
        <is>
          <t>2–4 yrs</t>
        </is>
      </c>
      <c r="T538" s="29" t="inlineStr">
        <is>
          <t>3–5 · 2–5</t>
        </is>
      </c>
      <c r="U538" s="29" t="inlineStr">
        <is>
          <t>Senior Business Analyst</t>
        </is>
      </c>
      <c r="V538" s="29" t="inlineStr">
        <is>
          <t>Regnology — regulatory reporting: Junior BA · Reg Reporting · Big Four consulting: Consultant · IRIS Vs Market Benchmark — IIBA certification pathway: ECBA · Infosys / Accenture: JL3A · L10 Senior Analyst</t>
        </is>
      </c>
      <c r="W538" s="29" t="inlineStr">
        <is>
          <t>IIBA BABOK v3; certifications ECBA · entry → CCBA → CBAP · senior</t>
        </is>
      </c>
      <c r="X538" s="29" t="inlineStr">
        <is>
          <t>Core 2 · Future 2 · Functional 3 · Leadership not scored</t>
        </is>
      </c>
      <c r="Y538" s="52" t="n">
        <v>73</v>
      </c>
      <c r="Z538" s="53" t="inlineStr">
        <is>
          <t>IRIS0553</t>
        </is>
      </c>
      <c r="AA538" s="53" t="inlineStr">
        <is>
          <t>Employee</t>
        </is>
      </c>
      <c r="AB538" s="53" t="inlineStr">
        <is>
          <t>Active</t>
        </is>
      </c>
      <c r="AC538" s="53" t="inlineStr">
        <is>
          <t>Chetan Galande</t>
        </is>
      </c>
      <c r="AD538" s="54" t="n">
        <v>40603</v>
      </c>
      <c r="AE538" s="53" t="inlineStr">
        <is>
          <t>Business Analyst</t>
        </is>
      </c>
      <c r="AF538" s="53" t="inlineStr">
        <is>
          <t>MBA</t>
        </is>
      </c>
      <c r="AG538" s="53" t="inlineStr">
        <is>
          <t>Saurabh Kadam</t>
        </is>
      </c>
      <c r="AH538" s="53" t="inlineStr">
        <is>
          <t>N-4</t>
        </is>
      </c>
      <c r="AI538" s="53" t="inlineStr">
        <is>
          <t>Individual Contributor</t>
        </is>
      </c>
      <c r="AJ538" s="53" t="inlineStr">
        <is>
          <t>0 years, 0 months, 0 days</t>
        </is>
      </c>
      <c r="AK538" s="53" t="inlineStr">
        <is>
          <t>15 years, 5 months, 24 days</t>
        </is>
      </c>
      <c r="AL538" s="53" t="inlineStr">
        <is>
          <t>Suptech</t>
        </is>
      </c>
      <c r="AM538" s="53" t="inlineStr">
        <is>
          <t>iFile</t>
        </is>
      </c>
      <c r="AN538" s="53" t="inlineStr">
        <is>
          <t>Technology</t>
        </is>
      </c>
      <c r="AO538" s="53" t="inlineStr">
        <is>
          <t>Business Analysis</t>
        </is>
      </c>
      <c r="AP538" s="53" t="inlineStr">
        <is>
          <t>No</t>
        </is>
      </c>
      <c r="AQ538" s="53" t="inlineStr">
        <is>
          <t>Product/Project</t>
        </is>
      </c>
      <c r="AR538" s="53" t="inlineStr">
        <is>
          <t>Business Analysis</t>
        </is>
      </c>
      <c r="AS538" s="53" t="inlineStr">
        <is>
          <t>Technical · BA, PM and QA</t>
        </is>
      </c>
      <c r="AT538" s="53" t="n">
        <v>20</v>
      </c>
      <c r="AU538" s="53" t="inlineStr">
        <is>
          <t>Covered</t>
        </is>
      </c>
      <c r="AV538" s="53" t="n"/>
      <c r="AW538" s="53" t="n"/>
      <c r="AX538" s="53" t="n"/>
      <c r="AY538" s="53" t="n"/>
      <c r="AZ538" s="53" t="n"/>
      <c r="BA538" s="53" t="n"/>
      <c r="BB538" s="53" t="n"/>
      <c r="BC538" s="53" t="n"/>
      <c r="BD538" s="53" t="n"/>
      <c r="BE538" s="53" t="n"/>
      <c r="BF538" s="53" t="n"/>
      <c r="BG538" s="53" t="n"/>
      <c r="BH538" s="53" t="n"/>
      <c r="BI538" s="53" t="n"/>
      <c r="BJ538" s="53" t="n"/>
      <c r="BK538" s="53" t="n"/>
      <c r="BL538" s="53" t="n"/>
      <c r="BM538" s="53" t="n"/>
      <c r="BN538" s="53" t="n"/>
      <c r="BO538" s="53" t="n"/>
      <c r="BP538" s="53" t="n"/>
      <c r="BQ538" s="53" t="n"/>
      <c r="BR538" s="53" t="n"/>
      <c r="BS538" s="53" t="n"/>
      <c r="BT538" s="53" t="n"/>
      <c r="BU538" s="53" t="n"/>
      <c r="BV538" s="53" t="n"/>
      <c r="BW538" s="53" t="n"/>
      <c r="BX538" s="53" t="n"/>
      <c r="BY538" s="53" t="n"/>
      <c r="BZ538" s="53" t="n"/>
      <c r="CA538" s="53" t="n"/>
      <c r="CB538" s="53" t="n"/>
      <c r="CC538" s="53" t="n"/>
      <c r="CD538" s="53" t="n"/>
      <c r="CE538" s="53" t="n"/>
      <c r="CF538" s="53" t="n"/>
      <c r="CG538" s="53" t="n"/>
      <c r="CH538" s="53" t="n"/>
      <c r="CI538" s="53" t="n"/>
      <c r="CJ538" s="53" t="n"/>
      <c r="CK538" s="53" t="n"/>
      <c r="CL538" s="53" t="n"/>
      <c r="CM538" s="53" t="n"/>
      <c r="CN538" s="53" t="n"/>
      <c r="CO538" s="53" t="n"/>
      <c r="CP538" s="53" t="n"/>
      <c r="CQ538" s="53" t="n"/>
      <c r="CR538" s="53" t="n"/>
      <c r="CS538" s="53" t="n"/>
      <c r="CT538" s="53" t="n"/>
      <c r="CU538" s="53" t="n"/>
      <c r="CV538" s="53" t="n"/>
      <c r="CW538" s="53" t="n"/>
      <c r="CX538" s="53" t="n"/>
      <c r="CY538" s="53" t="n"/>
      <c r="CZ538" s="53" t="n"/>
      <c r="DA538" s="53" t="n"/>
      <c r="DB538" s="53" t="n"/>
      <c r="DC538" s="53" t="n"/>
      <c r="DD538" s="53" t="inlineStr">
        <is>
          <t>IRIS0553</t>
        </is>
      </c>
      <c r="DE538" s="53" t="inlineStr">
        <is>
          <t>Employee</t>
        </is>
      </c>
      <c r="DF538" s="53" t="inlineStr">
        <is>
          <t>Active</t>
        </is>
      </c>
      <c r="DG538" s="53" t="inlineStr">
        <is>
          <t>Chetan Galande</t>
        </is>
      </c>
      <c r="DH538" s="54" t="n">
        <v>40603</v>
      </c>
      <c r="DI538" s="53" t="inlineStr">
        <is>
          <t>Business Analyst</t>
        </is>
      </c>
      <c r="DJ538" s="53" t="inlineStr">
        <is>
          <t>Business Analysis</t>
        </is>
      </c>
      <c r="DK538" s="53" t="inlineStr">
        <is>
          <t>Business / Functional Analysis</t>
        </is>
      </c>
      <c r="DL538" s="53" t="inlineStr">
        <is>
          <t>Business Analyst</t>
        </is>
      </c>
      <c r="DM538" s="53" t="inlineStr">
        <is>
          <t>L3 – Professional / Associate</t>
        </is>
      </c>
      <c r="DN538" s="53" t="inlineStr">
        <is>
          <t>MBA</t>
        </is>
      </c>
      <c r="DO538" s="53" t="inlineStr">
        <is>
          <t>Saurabh Kadam</t>
        </is>
      </c>
      <c r="DP538" s="53" t="inlineStr">
        <is>
          <t>N-3</t>
        </is>
      </c>
      <c r="DQ538" s="53" t="inlineStr">
        <is>
          <t>Individual Contributor</t>
        </is>
      </c>
      <c r="DR538" s="53" t="inlineStr">
        <is>
          <t>0 years, 0 months, 0 days</t>
        </is>
      </c>
      <c r="DS538" s="53" t="inlineStr">
        <is>
          <t>15 years, 3 months, 19 days</t>
        </is>
      </c>
      <c r="DT538" s="53" t="inlineStr">
        <is>
          <t>15 years, 3 months, 19 days</t>
        </is>
      </c>
      <c r="DU538" s="53" t="n"/>
      <c r="DV538" s="53" t="inlineStr">
        <is>
          <t>Suptech</t>
        </is>
      </c>
      <c r="DW538" s="53" t="inlineStr">
        <is>
          <t>iFile</t>
        </is>
      </c>
      <c r="DX538" s="53" t="inlineStr">
        <is>
          <t>Technology</t>
        </is>
      </c>
      <c r="DY538" s="53" t="inlineStr">
        <is>
          <t>Business Analysis</t>
        </is>
      </c>
      <c r="DZ538" s="53" t="inlineStr">
        <is>
          <t>No</t>
        </is>
      </c>
      <c r="EA538" s="53" t="inlineStr">
        <is>
          <t>Product/Project</t>
        </is>
      </c>
      <c r="EB538" s="53" t="inlineStr">
        <is>
          <t>Business Analysis</t>
        </is>
      </c>
      <c r="EC538" s="53" t="inlineStr">
        <is>
          <t>Technical · BA, PM and QA</t>
        </is>
      </c>
      <c r="ED538" s="53" t="inlineStr">
        <is>
          <t>Hybrid</t>
        </is>
      </c>
      <c r="EE538" s="53" t="n"/>
      <c r="EF538" s="53" t="inlineStr">
        <is>
          <t>1. Successfully deliver strategic project initiatives with 100% milestone adherence and proactive risk management.
2. Improve requirement quality resulting in 95% first-time UAT success and less than 5% change requests after sign-off.
3. Build financial domain capability by completing advanced certifications or 40+ learning hours and conducting 4 knowledge-sharing sessions.
4. Drive organizational excellence by implementing 3 measurable process improvements that improve BA productivity, documentation quality or project delivery.
5. Mentor junior BAs and interns, conduct requirement reviews, and contribute to succession planning and capability building.</t>
        </is>
      </c>
      <c r="EG538" s="53" t="inlineStr">
        <is>
          <t>Q1: Deliver clear, signed-off requirement/BRD documents for 100% of assigned features
Q1: Keep requirement-related rework / change requests to &lt;=10% post sign-off
Q1: Maintain &lt;=2 business-day turnaround on clarifications raised by dev/QA
Q1: Drive &gt;=90% UAT acceptance on first pass for owned features</t>
        </is>
      </c>
      <c r="EH538" s="53" t="n">
        <v>4</v>
      </c>
      <c r="EI538" s="53" t="inlineStr">
        <is>
          <t>31/10/2025</t>
        </is>
      </c>
      <c r="EJ538" s="53" t="inlineStr">
        <is>
          <t>Senior Business Analyst · review – experience supports senior band</t>
        </is>
      </c>
      <c r="EK538" s="53" t="inlineStr">
        <is>
          <t>No</t>
        </is>
      </c>
      <c r="EL538" s="53" t="n">
        <v>4</v>
      </c>
      <c r="EM538" s="53" t="inlineStr">
        <is>
          <t>High</t>
        </is>
      </c>
      <c r="EN538" s="53" t="inlineStr">
        <is>
          <t>Trusted Professional</t>
        </is>
      </c>
      <c r="EO538" s="53" t="inlineStr">
        <is>
          <t>No</t>
        </is>
      </c>
      <c r="EP538" s="53" t="inlineStr">
        <is>
          <t>No</t>
        </is>
      </c>
      <c r="EQ538" s="53" t="inlineStr">
        <is>
          <t>No</t>
        </is>
      </c>
      <c r="ER538" s="53" t="inlineStr">
        <is>
          <t>Darshit Vora</t>
        </is>
      </c>
      <c r="ES538" s="53" t="inlineStr">
        <is>
          <t>Requirement engineering &amp; BRD writing; Agile/Scrum; domain · RegTech/XBRL knowledge; stakeholder management</t>
        </is>
      </c>
      <c r="ET538" s="53" t="inlineStr">
        <is>
          <t>Transition to leadership: people management &amp; delegation, mentoring/coaching, project ownership &amp; stakeholder management, prioritisation under ambiguity, presentation &amp; influence skills</t>
        </is>
      </c>
      <c r="EU538" s="53" t="n"/>
      <c r="EV538" s="53" t="n"/>
      <c r="EW538" s="52" t="n"/>
      <c r="EX538" s="53" t="n"/>
      <c r="EY538" s="53" t="n"/>
      <c r="EZ538" s="53" t="n"/>
      <c r="FA538" s="53" t="n"/>
      <c r="FB538" s="53" t="n"/>
      <c r="FC538" s="53" t="n"/>
      <c r="FD538" s="53" t="n"/>
      <c r="FE538" s="57" t="inlineStr">
        <is>
          <t>1. Successfully deliver strategic project initiatives with 100% milestone adherence and proactive risk management.
2. Improve requirement quality resulting in 95% first-time UAT success and less than 5% change requests after sign-off.
3. Build financial domain capability by completing advanced certifications or 40+ learning hours and conducting 4 knowledge-sharing sessions.
4. Drive organizational excellence by implementing 3 measurable process improvements that improve BA productivity, documentation quality or project delivery.
5. Mentor junior BAs and interns, conduct requirement reviews, and contribute to succession planning and capability building.</t>
        </is>
      </c>
      <c r="FF538" s="56" t="inlineStr">
        <is>
          <t>Q1: Deliver clear, signed-off requirement/BRD documents for 100% of assigned features
Q1: Keep requirement-related rework / change requests to &lt;=10% post sign-off
Q1: Maintain &lt;=2 business-day turnaround on clarifications raised by dev/QA
Q1: Drive &gt;=90% UAT acceptance on first pass for owned features</t>
        </is>
      </c>
      <c r="FG538" s="56" t="n"/>
      <c r="FH538" s="56" t="inlineStr">
        <is>
          <t>4</t>
        </is>
      </c>
      <c r="FI538" s="56" t="n"/>
      <c r="FJ538" s="56" t="inlineStr">
        <is>
          <t>Received · manager annual, quarterly</t>
        </is>
      </c>
      <c r="FK538" s="56" t="inlineStr">
        <is>
          <t>Talent Mapping · iFile collated</t>
        </is>
      </c>
      <c r="FL538" s="56" t="n">
        <v>20</v>
      </c>
      <c r="FM538" s="32" t="inlineStr">
        <is>
          <t>Full survey answers not in the files received · How We Grow export needed · HR</t>
        </is>
      </c>
      <c r="FN538" s="56" t="inlineStr">
        <is>
          <t>—</t>
        </is>
      </c>
      <c r="FO538" s="56" t="inlineStr">
        <is>
          <t>—</t>
        </is>
      </c>
      <c r="FP538" s="56" t="inlineStr">
        <is>
          <t>—</t>
        </is>
      </c>
      <c r="FQ538" s="56" t="inlineStr">
        <is>
          <t>—</t>
        </is>
      </c>
      <c r="FR538" s="56" t="inlineStr">
        <is>
          <t>Complexity: Evidence reads like A3: Drives requirements through to production release; Figma prototypes, reviews documentation, product owner sign-off → matches the start
Autonomy: Evidence reads like A2: Decides only on reviewing documentation; clarifies doubts → moved down 0.5
Accountability: Evidence reads like A3: Drives process from stakeholder requirements to quality build released to production → matches the start
Leadership: Evidence reads like A2: Reviews documentation; manager note targets mentoring junior BAs, not described by him → matches the start
Business Impact: No survey or manager-mapping signal on criticality: kept at the start point.</t>
        </is>
      </c>
      <c r="FS538" s="56" t="inlineStr">
        <is>
          <t>Common themes in role-holders' answers: business · requirements · technical · between · client · understand
Common themes in role-holders' answers: documentation · requirement · client · gathering · coordination · managing
Common themes in role-holders' answers: deliver · product · client · requirement · process · business
Common themes in role-holders' answers: requirements · accountable · delivery · quality · documentation · timely
Common themes in role-holders' answers: documentation · prioritize · user stories · process · project
If the work is missed · role-holders' themes: rework · client.
Measured on · manager-set KRA themes: delivery · assigned · project · requests · satisfaction.</t>
        </is>
      </c>
      <c r="FT538" s="56" t="inlineStr">
        <is>
          <t>Self-identified: AI / automation · Project / programme management · Certification / formal course
For the next role: AI / automation · Project / programme management · Certification / formal course</t>
        </is>
      </c>
      <c r="FU538" s="32" t="inlineStr">
        <is>
          <t>Full survey answers not in the files received · How We Grow export needed · HR</t>
        </is>
      </c>
    </row>
    <row r="539" ht="90" customHeight="1">
      <c r="A539" s="51" t="inlineStr">
        <is>
          <t>◂ Back</t>
        </is>
      </c>
      <c r="B539" s="29" t="inlineStr">
        <is>
          <t>Mapped</t>
        </is>
      </c>
      <c r="C539" s="28" t="inlineStr">
        <is>
          <t>iFile</t>
        </is>
      </c>
      <c r="D539" s="29" t="inlineStr">
        <is>
          <t>IRIS2378</t>
        </is>
      </c>
      <c r="E539" s="29" t="inlineStr">
        <is>
          <t>Darshit Vora</t>
        </is>
      </c>
      <c r="F539" s="29" t="inlineStr">
        <is>
          <t>Technology</t>
        </is>
      </c>
      <c r="G539" s="29" t="inlineStr">
        <is>
          <t>Business Analyst</t>
        </is>
      </c>
      <c r="H539" s="29" t="inlineStr">
        <is>
          <t>Senior Business Analyst</t>
        </is>
      </c>
      <c r="I539" s="29" t="inlineStr">
        <is>
          <t>L3 – Professional / Associate</t>
        </is>
      </c>
      <c r="J539" s="29" t="inlineStr">
        <is>
          <t>A3</t>
        </is>
      </c>
      <c r="K539" s="29" t="inlineStr">
        <is>
          <t>▲ Up</t>
        </is>
      </c>
      <c r="L539" s="29" t="inlineStr">
        <is>
          <t>Business Analysis</t>
        </is>
      </c>
      <c r="M539" s="29" t="inlineStr">
        <is>
          <t>Business Analysis</t>
        </is>
      </c>
      <c r="N539" s="29" t="n"/>
      <c r="O539" s="29" t="n">
        <v>20</v>
      </c>
      <c r="P539" s="28" t="inlineStr">
        <is>
          <t>P2</t>
        </is>
      </c>
      <c r="Q539" s="29" t="inlineStr">
        <is>
          <t>Developing</t>
        </is>
      </c>
      <c r="R539" s="29" t="inlineStr">
        <is>
          <t>3 Apply</t>
        </is>
      </c>
      <c r="S539" s="29" t="inlineStr">
        <is>
          <t>2–4 yrs</t>
        </is>
      </c>
      <c r="T539" s="29" t="inlineStr">
        <is>
          <t>3–5 · 2–5</t>
        </is>
      </c>
      <c r="U539" s="29" t="inlineStr">
        <is>
          <t>Business Analyst</t>
        </is>
      </c>
      <c r="V539" s="29" t="inlineStr">
        <is>
          <t>Regnology — regulatory reporting: Junior BA · Reg Reporting · Big Four consulting: Consultant · IRIS Vs Market Benchmark — IIBA certification pathway: ECBA · Infosys / Accenture: JL3A · L10 Senior Analyst</t>
        </is>
      </c>
      <c r="W539" s="29" t="inlineStr">
        <is>
          <t>IIBA BABOK v3; certifications ECBA · entry → CCBA → CBAP · senior</t>
        </is>
      </c>
      <c r="X539" s="29" t="inlineStr">
        <is>
          <t>Core 2 · Future 2 · Functional 3 · Leadership not scored</t>
        </is>
      </c>
      <c r="Y539" s="52" t="n">
        <v>372</v>
      </c>
      <c r="Z539" s="53" t="inlineStr">
        <is>
          <t>IRIS2378</t>
        </is>
      </c>
      <c r="AA539" s="53" t="inlineStr">
        <is>
          <t>Employee</t>
        </is>
      </c>
      <c r="AB539" s="53" t="inlineStr">
        <is>
          <t>Active</t>
        </is>
      </c>
      <c r="AC539" s="53" t="inlineStr">
        <is>
          <t>Darshit Vora</t>
        </is>
      </c>
      <c r="AD539" s="54" t="n">
        <v>45810</v>
      </c>
      <c r="AE539" s="53" t="inlineStr">
        <is>
          <t>Business Analyst</t>
        </is>
      </c>
      <c r="AF539" s="53" t="inlineStr">
        <is>
          <t>Post Graduate Program in Management</t>
        </is>
      </c>
      <c r="AG539" s="53" t="inlineStr">
        <is>
          <t>Saurabh Kadam</t>
        </is>
      </c>
      <c r="AH539" s="53" t="inlineStr">
        <is>
          <t>N-4</t>
        </is>
      </c>
      <c r="AI539" s="53" t="inlineStr">
        <is>
          <t>Individual Contributor</t>
        </is>
      </c>
      <c r="AJ539" s="53" t="inlineStr">
        <is>
          <t>7 years, 11 months, 0 days</t>
        </is>
      </c>
      <c r="AK539" s="53" t="inlineStr">
        <is>
          <t>1 years, 2 months, 23 days</t>
        </is>
      </c>
      <c r="AL539" s="53" t="inlineStr">
        <is>
          <t>Suptech</t>
        </is>
      </c>
      <c r="AM539" s="53" t="inlineStr">
        <is>
          <t>iFile</t>
        </is>
      </c>
      <c r="AN539" s="53" t="inlineStr">
        <is>
          <t>Technology</t>
        </is>
      </c>
      <c r="AO539" s="53" t="inlineStr">
        <is>
          <t>Business Analysis</t>
        </is>
      </c>
      <c r="AP539" s="53" t="inlineStr">
        <is>
          <t>No</t>
        </is>
      </c>
      <c r="AQ539" s="53" t="inlineStr">
        <is>
          <t>Product/Project</t>
        </is>
      </c>
      <c r="AR539" s="53" t="inlineStr">
        <is>
          <t>Business Analysis</t>
        </is>
      </c>
      <c r="AS539" s="53" t="inlineStr">
        <is>
          <t>Technical · BA, PM and QA</t>
        </is>
      </c>
      <c r="AT539" s="53" t="n">
        <v>20</v>
      </c>
      <c r="AU539" s="53" t="inlineStr">
        <is>
          <t>Covered</t>
        </is>
      </c>
      <c r="AV539" s="53" t="n"/>
      <c r="AW539" s="53" t="n"/>
      <c r="AX539" s="53" t="n"/>
      <c r="AY539" s="53" t="n"/>
      <c r="AZ539" s="53" t="n"/>
      <c r="BA539" s="53" t="n"/>
      <c r="BB539" s="53" t="n"/>
      <c r="BC539" s="53" t="n"/>
      <c r="BD539" s="53" t="n"/>
      <c r="BE539" s="53" t="n"/>
      <c r="BF539" s="53" t="n"/>
      <c r="BG539" s="53" t="n"/>
      <c r="BH539" s="53" t="n"/>
      <c r="BI539" s="53" t="n"/>
      <c r="BJ539" s="53" t="n"/>
      <c r="BK539" s="53" t="n"/>
      <c r="BL539" s="53" t="n"/>
      <c r="BM539" s="53" t="n"/>
      <c r="BN539" s="53" t="n"/>
      <c r="BO539" s="53" t="n"/>
      <c r="BP539" s="53" t="n"/>
      <c r="BQ539" s="53" t="n"/>
      <c r="BR539" s="53" t="n"/>
      <c r="BS539" s="53" t="n"/>
      <c r="BT539" s="53" t="n"/>
      <c r="BU539" s="53" t="n"/>
      <c r="BV539" s="53" t="n"/>
      <c r="BW539" s="53" t="n"/>
      <c r="BX539" s="53" t="n"/>
      <c r="BY539" s="53" t="n"/>
      <c r="BZ539" s="53" t="n"/>
      <c r="CA539" s="53" t="n"/>
      <c r="CB539" s="53" t="n"/>
      <c r="CC539" s="53" t="n"/>
      <c r="CD539" s="53" t="n"/>
      <c r="CE539" s="53" t="n"/>
      <c r="CF539" s="53" t="n"/>
      <c r="CG539" s="53" t="n"/>
      <c r="CH539" s="53" t="n"/>
      <c r="CI539" s="53" t="n"/>
      <c r="CJ539" s="53" t="n"/>
      <c r="CK539" s="53" t="n"/>
      <c r="CL539" s="53" t="n"/>
      <c r="CM539" s="53" t="n"/>
      <c r="CN539" s="53" t="n"/>
      <c r="CO539" s="53" t="n"/>
      <c r="CP539" s="53" t="n"/>
      <c r="CQ539" s="53" t="n"/>
      <c r="CR539" s="53" t="n"/>
      <c r="CS539" s="53" t="n"/>
      <c r="CT539" s="53" t="n"/>
      <c r="CU539" s="53" t="n"/>
      <c r="CV539" s="53" t="n"/>
      <c r="CW539" s="53" t="n"/>
      <c r="CX539" s="53" t="n"/>
      <c r="CY539" s="53" t="n"/>
      <c r="CZ539" s="53" t="n"/>
      <c r="DA539" s="53" t="n"/>
      <c r="DB539" s="53" t="n"/>
      <c r="DC539" s="53" t="n"/>
      <c r="DD539" s="53" t="inlineStr">
        <is>
          <t>IRIS2378</t>
        </is>
      </c>
      <c r="DE539" s="53" t="inlineStr">
        <is>
          <t>Employee</t>
        </is>
      </c>
      <c r="DF539" s="53" t="inlineStr">
        <is>
          <t>Active</t>
        </is>
      </c>
      <c r="DG539" s="53" t="inlineStr">
        <is>
          <t>Darshit Vora</t>
        </is>
      </c>
      <c r="DH539" s="54" t="n">
        <v>45810</v>
      </c>
      <c r="DI539" s="53" t="inlineStr">
        <is>
          <t>Business Analyst</t>
        </is>
      </c>
      <c r="DJ539" s="53" t="inlineStr">
        <is>
          <t>Business Analysis</t>
        </is>
      </c>
      <c r="DK539" s="53" t="inlineStr">
        <is>
          <t>Business / Functional Analysis</t>
        </is>
      </c>
      <c r="DL539" s="53" t="inlineStr">
        <is>
          <t>Business Analyst</t>
        </is>
      </c>
      <c r="DM539" s="53" t="inlineStr">
        <is>
          <t>L3 – Professional / Associate</t>
        </is>
      </c>
      <c r="DN539" s="53" t="inlineStr">
        <is>
          <t>Post Graduate Program in Management</t>
        </is>
      </c>
      <c r="DO539" s="53" t="inlineStr">
        <is>
          <t>Saurabh Kadam</t>
        </is>
      </c>
      <c r="DP539" s="53" t="inlineStr">
        <is>
          <t>N-3</t>
        </is>
      </c>
      <c r="DQ539" s="53" t="inlineStr">
        <is>
          <t>Individual Contributor</t>
        </is>
      </c>
      <c r="DR539" s="53" t="inlineStr">
        <is>
          <t>7 years, 11 months, 0 days</t>
        </is>
      </c>
      <c r="DS539" s="53" t="inlineStr">
        <is>
          <t>1 years, 0 months, 18 days</t>
        </is>
      </c>
      <c r="DT539" s="53" t="inlineStr">
        <is>
          <t>8 years, 11 months, 18 days</t>
        </is>
      </c>
      <c r="DU539" s="53" t="n"/>
      <c r="DV539" s="53" t="inlineStr">
        <is>
          <t>Suptech</t>
        </is>
      </c>
      <c r="DW539" s="53" t="inlineStr">
        <is>
          <t>iFile</t>
        </is>
      </c>
      <c r="DX539" s="53" t="inlineStr">
        <is>
          <t>Technology</t>
        </is>
      </c>
      <c r="DY539" s="53" t="inlineStr">
        <is>
          <t>Business Analysis</t>
        </is>
      </c>
      <c r="DZ539" s="53" t="inlineStr">
        <is>
          <t>No</t>
        </is>
      </c>
      <c r="EA539" s="53" t="inlineStr">
        <is>
          <t>Product/Project</t>
        </is>
      </c>
      <c r="EB539" s="53" t="inlineStr">
        <is>
          <t>Business Analysis</t>
        </is>
      </c>
      <c r="EC539" s="53" t="inlineStr">
        <is>
          <t>Technical · BA, PM and QA</t>
        </is>
      </c>
      <c r="ED539" s="53" t="inlineStr">
        <is>
          <t>Hybrid</t>
        </is>
      </c>
      <c r="EE539" s="53" t="n"/>
      <c r="EF539" s="53" t="inlineStr">
        <is>
          <t>1. Lead successful delivery of assigned project modules ensuring 100% milestone achievement with less than 5% schedule variance.
2. Maintain 95% first-time approval for requirements and support successful UAT and production rollout.
3. Complete 40+ hours of advanced Financial Regulatory and Banking learning while conducting minimum 3 internal domain training sessions.
4. Mentor junior BAs and interns by reviewing deliverables and supporting capability development.
5. Lead minimum 3 organizational improvement initiatives involving templates, frameworks, AI adoption or BA best practices.</t>
        </is>
      </c>
      <c r="EG539" s="53" t="inlineStr">
        <is>
          <t>Q1: Deliver clear, signed-off requirement/BRD documents for 100% of assigned features
Q1: Keep requirement-related rework / change requests to &lt;=10% post sign-off
Q1: Maintain &lt;=2 business-day turnaround on clarifications raised by dev/QA
Q1: Drive &gt;=90% UAT acceptance on first pass for owned features</t>
        </is>
      </c>
      <c r="EH539" s="53" t="n">
        <v>4</v>
      </c>
      <c r="EI539" s="53" t="inlineStr">
        <is>
          <t>31/10/2025</t>
        </is>
      </c>
      <c r="EJ539" s="53" t="inlineStr">
        <is>
          <t>Senior Business Analyst · review – experience supports senior band</t>
        </is>
      </c>
      <c r="EK539" s="53" t="inlineStr">
        <is>
          <t>No</t>
        </is>
      </c>
      <c r="EL539" s="53" t="n">
        <v>4</v>
      </c>
      <c r="EM539" s="53" t="inlineStr">
        <is>
          <t>High</t>
        </is>
      </c>
      <c r="EN539" s="53" t="inlineStr">
        <is>
          <t>High Impact / Growth Talent</t>
        </is>
      </c>
      <c r="EO539" s="53" t="inlineStr">
        <is>
          <t>No</t>
        </is>
      </c>
      <c r="EP539" s="53" t="inlineStr">
        <is>
          <t>No</t>
        </is>
      </c>
      <c r="EQ539" s="53" t="inlineStr">
        <is>
          <t>No</t>
        </is>
      </c>
      <c r="ER539" s="53" t="inlineStr">
        <is>
          <t>Chetan Galande</t>
        </is>
      </c>
      <c r="ES539" s="53" t="inlineStr">
        <is>
          <t>Requirement engineering &amp; BRD writing; Agile/Scrum; domain · RegTech/XBRL knowledge; stakeholder management</t>
        </is>
      </c>
      <c r="ET539" s="53" t="inlineStr">
        <is>
          <t>Transition to leadership: people management &amp; delegation, mentoring/coaching, project ownership &amp; stakeholder management, prioritisation under ambiguity, presentation &amp; influence skills</t>
        </is>
      </c>
      <c r="EU539" s="53" t="n"/>
      <c r="EV539" s="53" t="n"/>
      <c r="EW539" s="52" t="n"/>
      <c r="EX539" s="53" t="n"/>
      <c r="EY539" s="53" t="n"/>
      <c r="EZ539" s="53" t="n"/>
      <c r="FA539" s="53" t="n"/>
      <c r="FB539" s="53" t="n"/>
      <c r="FC539" s="53" t="n"/>
      <c r="FD539" s="53" t="n"/>
      <c r="FE539" s="57" t="inlineStr">
        <is>
          <t>1. Lead successful delivery of assigned project modules ensuring 100% milestone achievement with less than 5% schedule variance.
2. Maintain 95% first-time approval for requirements and support successful UAT and production rollout.
3. Complete 40+ hours of advanced Financial Regulatory and Banking learning while conducting minimum 3 internal domain training sessions.
4. Mentor junior BAs and interns by reviewing deliverables and supporting capability development.
5. Lead minimum 3 organizational improvement initiatives involving templates, frameworks, AI adoption or BA best practices.</t>
        </is>
      </c>
      <c r="FF539" s="56" t="inlineStr">
        <is>
          <t>Q1: Deliver clear, signed-off requirement/BRD documents for 100% of assigned features
Q1: Keep requirement-related rework / change requests to &lt;=10% post sign-off
Q1: Maintain &lt;=2 business-day turnaround on clarifications raised by dev/QA
Q1: Drive &gt;=90% UAT acceptance on first pass for owned features</t>
        </is>
      </c>
      <c r="FG539" s="56" t="n"/>
      <c r="FH539" s="56" t="inlineStr">
        <is>
          <t>4</t>
        </is>
      </c>
      <c r="FI539" s="56" t="n"/>
      <c r="FJ539" s="56" t="inlineStr">
        <is>
          <t>Received · manager annual, quarterly</t>
        </is>
      </c>
      <c r="FK539" s="56" t="inlineStr">
        <is>
          <t>Talent Mapping · iFile collated</t>
        </is>
      </c>
      <c r="FL539" s="56" t="n">
        <v>20</v>
      </c>
      <c r="FM539" s="32" t="inlineStr">
        <is>
          <t>Full survey answers not in the files received · How We Grow export needed · HR</t>
        </is>
      </c>
      <c r="FN539" s="56" t="inlineStr">
        <is>
          <t>—</t>
        </is>
      </c>
      <c r="FO539" s="56" t="inlineStr">
        <is>
          <t>—</t>
        </is>
      </c>
      <c r="FP539" s="56" t="inlineStr">
        <is>
          <t>—</t>
        </is>
      </c>
      <c r="FQ539" s="56" t="inlineStr">
        <is>
          <t>—</t>
        </is>
      </c>
      <c r="FR539" s="56" t="inlineStr">
        <is>
          <t>Complexity: Evidence reads like A3: Requirement elicitation, process definitions, user stories, acceptance criteria, wireframing, prototyping, proposing solutions → matches the start
Autonomy: Evidence reads like A3: Independently decides process definitions, user stories and acceptance criteria → matches the start
Accountability: Evidence reads like A2: Business requirements, process definitions, user stories; error means documentation rework and re-discussion → moved down 0.5
Leadership: Evidence reads like A2: Runs feature walkthroughs; mentoring of juniors appears only in manager note → matches the start
Business Impact: No survey or manager-mapping signal on criticality: kept at the start point.</t>
        </is>
      </c>
      <c r="FS539" s="56" t="inlineStr">
        <is>
          <t>Common themes in role-holders' answers: business · requirements · technical · between · client · understand
Common themes in role-holders' answers: documentation · requirement · client · gathering · coordination · managing
Common themes in role-holders' answers: deliver · product · client · requirement · process · business
Common themes in role-holders' answers: requirements · accountable · delivery · quality · documentation · timely
Common themes in role-holders' answers: documentation · prioritize · user stories · process · project
If the work is missed · role-holders' themes: rework · client.
Measured on · manager-set KRA themes: delivery · assigned · project · requests · satisfaction.</t>
        </is>
      </c>
      <c r="FT539" s="56" t="inlineStr">
        <is>
          <t>Self-identified: Product &amp; tool knowledge · Broader exposure &amp; ownership
For the next role: Product &amp; tool knowledge · Broader exposure &amp; ownership</t>
        </is>
      </c>
      <c r="FU539" s="32" t="inlineStr">
        <is>
          <t>Full survey answers not in the files received · How We Grow export needed · HR</t>
        </is>
      </c>
    </row>
    <row r="540" ht="90" customHeight="1">
      <c r="A540" s="51" t="inlineStr">
        <is>
          <t>◂ Back</t>
        </is>
      </c>
      <c r="B540" s="29" t="inlineStr">
        <is>
          <t>Mapped</t>
        </is>
      </c>
      <c r="C540" s="28" t="inlineStr">
        <is>
          <t>iFile</t>
        </is>
      </c>
      <c r="D540" s="29" t="inlineStr">
        <is>
          <t>IRIS2251</t>
        </is>
      </c>
      <c r="E540" s="29" t="inlineStr">
        <is>
          <t>Saurabh Dutta</t>
        </is>
      </c>
      <c r="F540" s="29" t="inlineStr">
        <is>
          <t>Technology</t>
        </is>
      </c>
      <c r="G540" s="29" t="inlineStr">
        <is>
          <t>Business Analyst</t>
        </is>
      </c>
      <c r="H540" s="29" t="inlineStr">
        <is>
          <t>Senior Business Analyst</t>
        </is>
      </c>
      <c r="I540" s="29" t="inlineStr">
        <is>
          <t>L3 – Professional / Associate</t>
        </is>
      </c>
      <c r="J540" s="29" t="inlineStr">
        <is>
          <t>A3</t>
        </is>
      </c>
      <c r="K540" s="29" t="inlineStr">
        <is>
          <t>▲ Up</t>
        </is>
      </c>
      <c r="L540" s="29" t="inlineStr">
        <is>
          <t>Business Analysis</t>
        </is>
      </c>
      <c r="M540" s="29" t="inlineStr">
        <is>
          <t>Business Analysis</t>
        </is>
      </c>
      <c r="N540" s="29" t="n"/>
      <c r="O540" s="29" t="n">
        <v>20</v>
      </c>
      <c r="P540" s="28" t="inlineStr">
        <is>
          <t>P2</t>
        </is>
      </c>
      <c r="Q540" s="29" t="inlineStr">
        <is>
          <t>Developing</t>
        </is>
      </c>
      <c r="R540" s="29" t="inlineStr">
        <is>
          <t>3 Apply</t>
        </is>
      </c>
      <c r="S540" s="29" t="inlineStr">
        <is>
          <t>2–4 yrs</t>
        </is>
      </c>
      <c r="T540" s="29" t="inlineStr">
        <is>
          <t>3–5 · 2–5</t>
        </is>
      </c>
      <c r="U540" s="29" t="inlineStr">
        <is>
          <t>Business Analyst</t>
        </is>
      </c>
      <c r="V540" s="29" t="inlineStr">
        <is>
          <t>Regnology — regulatory reporting: Junior BA · Reg Reporting · Big Four consulting: Consultant · IRIS Vs Market Benchmark — IIBA certification pathway: ECBA · Infosys / Accenture: JL3A · L10 Senior Analyst</t>
        </is>
      </c>
      <c r="W540" s="29" t="inlineStr">
        <is>
          <t>IIBA BABOK v3; certifications ECBA · entry → CCBA → CBAP · senior</t>
        </is>
      </c>
      <c r="X540" s="29" t="inlineStr">
        <is>
          <t>Core 2 · Future 2 · Functional 3 · Leadership not scored</t>
        </is>
      </c>
      <c r="Y540" s="52" t="n">
        <v>316</v>
      </c>
      <c r="Z540" s="53" t="inlineStr">
        <is>
          <t>IRIS2251</t>
        </is>
      </c>
      <c r="AA540" s="53" t="inlineStr">
        <is>
          <t>Employee</t>
        </is>
      </c>
      <c r="AB540" s="53" t="inlineStr">
        <is>
          <t>Active</t>
        </is>
      </c>
      <c r="AC540" s="53" t="inlineStr">
        <is>
          <t>Saurabh Dutta</t>
        </is>
      </c>
      <c r="AD540" s="54" t="n">
        <v>45433</v>
      </c>
      <c r="AE540" s="53" t="inlineStr">
        <is>
          <t>Business Analyst</t>
        </is>
      </c>
      <c r="AF540" s="53" t="inlineStr">
        <is>
          <t>MBA</t>
        </is>
      </c>
      <c r="AG540" s="53" t="inlineStr">
        <is>
          <t>Saurabh Kadam</t>
        </is>
      </c>
      <c r="AH540" s="53" t="inlineStr">
        <is>
          <t>N-4</t>
        </is>
      </c>
      <c r="AI540" s="53" t="inlineStr">
        <is>
          <t>Individual Contributor</t>
        </is>
      </c>
      <c r="AJ540" s="53" t="inlineStr">
        <is>
          <t>3 years, 1 months, 0 days</t>
        </is>
      </c>
      <c r="AK540" s="53" t="inlineStr">
        <is>
          <t>2 years, 3 months, 4 days</t>
        </is>
      </c>
      <c r="AL540" s="53" t="inlineStr">
        <is>
          <t>Suptech</t>
        </is>
      </c>
      <c r="AM540" s="53" t="inlineStr">
        <is>
          <t>iFile</t>
        </is>
      </c>
      <c r="AN540" s="53" t="inlineStr">
        <is>
          <t>Technology</t>
        </is>
      </c>
      <c r="AO540" s="53" t="inlineStr">
        <is>
          <t>Business Analysis</t>
        </is>
      </c>
      <c r="AP540" s="53" t="inlineStr">
        <is>
          <t>No</t>
        </is>
      </c>
      <c r="AQ540" s="53" t="inlineStr">
        <is>
          <t>Product/Project</t>
        </is>
      </c>
      <c r="AR540" s="53" t="inlineStr">
        <is>
          <t>Business Analysis</t>
        </is>
      </c>
      <c r="AS540" s="53" t="inlineStr">
        <is>
          <t>Technical · BA, PM and QA</t>
        </is>
      </c>
      <c r="AT540" s="53" t="n">
        <v>20</v>
      </c>
      <c r="AU540" s="53" t="inlineStr">
        <is>
          <t>Covered</t>
        </is>
      </c>
      <c r="AV540" s="53" t="n"/>
      <c r="AW540" s="53" t="n"/>
      <c r="AX540" s="53" t="n"/>
      <c r="AY540" s="53" t="n"/>
      <c r="AZ540" s="53" t="n"/>
      <c r="BA540" s="53" t="n"/>
      <c r="BB540" s="53" t="n"/>
      <c r="BC540" s="53" t="n"/>
      <c r="BD540" s="53" t="n"/>
      <c r="BE540" s="53" t="n"/>
      <c r="BF540" s="53" t="n"/>
      <c r="BG540" s="53" t="n"/>
      <c r="BH540" s="53" t="n"/>
      <c r="BI540" s="53" t="n"/>
      <c r="BJ540" s="53" t="n"/>
      <c r="BK540" s="53" t="n"/>
      <c r="BL540" s="53" t="n"/>
      <c r="BM540" s="53" t="n"/>
      <c r="BN540" s="53" t="n"/>
      <c r="BO540" s="53" t="n"/>
      <c r="BP540" s="53" t="n"/>
      <c r="BQ540" s="53" t="n"/>
      <c r="BR540" s="53" t="n"/>
      <c r="BS540" s="53" t="n"/>
      <c r="BT540" s="53" t="n"/>
      <c r="BU540" s="53" t="n"/>
      <c r="BV540" s="53" t="n"/>
      <c r="BW540" s="53" t="n"/>
      <c r="BX540" s="53" t="n"/>
      <c r="BY540" s="53" t="n"/>
      <c r="BZ540" s="53" t="n"/>
      <c r="CA540" s="53" t="n"/>
      <c r="CB540" s="53" t="n"/>
      <c r="CC540" s="53" t="n"/>
      <c r="CD540" s="53" t="n"/>
      <c r="CE540" s="53" t="n"/>
      <c r="CF540" s="53" t="n"/>
      <c r="CG540" s="53" t="n"/>
      <c r="CH540" s="53" t="n"/>
      <c r="CI540" s="53" t="n"/>
      <c r="CJ540" s="53" t="n"/>
      <c r="CK540" s="53" t="n"/>
      <c r="CL540" s="53" t="n"/>
      <c r="CM540" s="53" t="n"/>
      <c r="CN540" s="53" t="n"/>
      <c r="CO540" s="53" t="n"/>
      <c r="CP540" s="53" t="n"/>
      <c r="CQ540" s="53" t="n"/>
      <c r="CR540" s="53" t="n"/>
      <c r="CS540" s="53" t="n"/>
      <c r="CT540" s="53" t="n"/>
      <c r="CU540" s="53" t="n"/>
      <c r="CV540" s="53" t="n"/>
      <c r="CW540" s="53" t="n"/>
      <c r="CX540" s="53" t="n"/>
      <c r="CY540" s="53" t="n"/>
      <c r="CZ540" s="53" t="n"/>
      <c r="DA540" s="53" t="n"/>
      <c r="DB540" s="53" t="n"/>
      <c r="DC540" s="53" t="n"/>
      <c r="DD540" s="53" t="inlineStr">
        <is>
          <t>IRIS2251</t>
        </is>
      </c>
      <c r="DE540" s="53" t="inlineStr">
        <is>
          <t>Employee</t>
        </is>
      </c>
      <c r="DF540" s="53" t="inlineStr">
        <is>
          <t>Active</t>
        </is>
      </c>
      <c r="DG540" s="53" t="inlineStr">
        <is>
          <t>Saurabh Dutta</t>
        </is>
      </c>
      <c r="DH540" s="54" t="n">
        <v>45433</v>
      </c>
      <c r="DI540" s="53" t="inlineStr">
        <is>
          <t>Business Analyst</t>
        </is>
      </c>
      <c r="DJ540" s="53" t="inlineStr">
        <is>
          <t>Business Analysis</t>
        </is>
      </c>
      <c r="DK540" s="53" t="inlineStr">
        <is>
          <t>Business / Functional Analysis</t>
        </is>
      </c>
      <c r="DL540" s="53" t="inlineStr">
        <is>
          <t>Business Analyst</t>
        </is>
      </c>
      <c r="DM540" s="53" t="inlineStr">
        <is>
          <t>L3 – Professional / Associate</t>
        </is>
      </c>
      <c r="DN540" s="53" t="inlineStr">
        <is>
          <t>MBA</t>
        </is>
      </c>
      <c r="DO540" s="53" t="inlineStr">
        <is>
          <t>Saurabh Kadam</t>
        </is>
      </c>
      <c r="DP540" s="53" t="inlineStr">
        <is>
          <t>N-3</t>
        </is>
      </c>
      <c r="DQ540" s="53" t="inlineStr">
        <is>
          <t>Individual Contributor</t>
        </is>
      </c>
      <c r="DR540" s="53" t="inlineStr">
        <is>
          <t>3 years, 1 months, 0 days</t>
        </is>
      </c>
      <c r="DS540" s="53" t="inlineStr">
        <is>
          <t>2 years, 0 months, 30 days</t>
        </is>
      </c>
      <c r="DT540" s="53" t="inlineStr">
        <is>
          <t>5 years, 1 months, 30 days</t>
        </is>
      </c>
      <c r="DU540" s="53" t="n"/>
      <c r="DV540" s="53" t="inlineStr">
        <is>
          <t>Suptech</t>
        </is>
      </c>
      <c r="DW540" s="53" t="inlineStr">
        <is>
          <t>iFile</t>
        </is>
      </c>
      <c r="DX540" s="53" t="inlineStr">
        <is>
          <t>Technology</t>
        </is>
      </c>
      <c r="DY540" s="53" t="inlineStr">
        <is>
          <t>Business Analysis</t>
        </is>
      </c>
      <c r="DZ540" s="53" t="inlineStr">
        <is>
          <t>No</t>
        </is>
      </c>
      <c r="EA540" s="53" t="inlineStr">
        <is>
          <t>Product/Project</t>
        </is>
      </c>
      <c r="EB540" s="53" t="inlineStr">
        <is>
          <t>Business Analysis</t>
        </is>
      </c>
      <c r="EC540" s="53" t="inlineStr">
        <is>
          <t>Technical · BA, PM and QA</t>
        </is>
      </c>
      <c r="ED540" s="53" t="inlineStr">
        <is>
          <t>Hybrid</t>
        </is>
      </c>
      <c r="EE540" s="53" t="n"/>
      <c r="EF540" s="53" t="inlineStr">
        <is>
          <t>1. Successfully deliver 100% assigned SARB Data Submission project requirements and BA deliverables · User stories, Validations, Test-Signoff's and Owner Signoff's within agreed timelines while maintaining less than 10% post sign-off rework.
2. Achieve 95% first-time UAT acceptance for owned features through quality requirements and effective stakeholder management.
3. Complete 40+ learning hours on Banking, Financial Regulations, RegTech, XBRL and present 2 knowledge-sharing sessions.
4. Drive 2 process improvement initiatives that reduce project effort, improve documentation quality or enhance delivery efficiency.
5. Create and maintain 100% project documentation, reusable templates and knowledge assets while actively supporting team collaboration.</t>
        </is>
      </c>
      <c r="EG540" s="53" t="inlineStr">
        <is>
          <t>Q1: Deliver clear, signed-off requirement/BRD documents for 100% of assigned features
Q1: Keep requirement-related rework / change requests to &lt;=10% post sign-off
Q1: Maintain &lt;=2 business-day turnaround on clarifications raised by dev/QA
Q1: Drive &gt;=90% UAT acceptance on first pass for owned features</t>
        </is>
      </c>
      <c r="EH540" s="53" t="n">
        <v>4</v>
      </c>
      <c r="EI540" s="53" t="inlineStr">
        <is>
          <t>31/10/2025</t>
        </is>
      </c>
      <c r="EJ540" s="53" t="inlineStr">
        <is>
          <t>Business Analyst</t>
        </is>
      </c>
      <c r="EK540" s="53" t="inlineStr">
        <is>
          <t>No</t>
        </is>
      </c>
      <c r="EL540" s="53" t="n">
        <v>4</v>
      </c>
      <c r="EM540" s="53" t="inlineStr">
        <is>
          <t>High</t>
        </is>
      </c>
      <c r="EN540" s="53" t="inlineStr">
        <is>
          <t>Core Contributor</t>
        </is>
      </c>
      <c r="EO540" s="53" t="inlineStr">
        <is>
          <t>No</t>
        </is>
      </c>
      <c r="EP540" s="53" t="inlineStr">
        <is>
          <t>No</t>
        </is>
      </c>
      <c r="EQ540" s="53" t="inlineStr">
        <is>
          <t>No</t>
        </is>
      </c>
      <c r="ER540" s="53" t="inlineStr">
        <is>
          <t>Parmesh Vala</t>
        </is>
      </c>
      <c r="ES540" s="53" t="inlineStr">
        <is>
          <t>Requirement engineering &amp; BRD writing; Agile/Scrum; domain · RegTech/XBRL knowledge; stakeholder management</t>
        </is>
      </c>
      <c r="ET540" s="53" t="inlineStr">
        <is>
          <t>Transition to leadership: people management &amp; delegation, mentoring/coaching, project ownership &amp; stakeholder management, prioritisation under ambiguity, presentation &amp; influence skills</t>
        </is>
      </c>
      <c r="EU540" s="53" t="n"/>
      <c r="EV540" s="53" t="n"/>
      <c r="EW540" s="52" t="n"/>
      <c r="EX540" s="53" t="n"/>
      <c r="EY540" s="53" t="n"/>
      <c r="EZ540" s="53" t="n"/>
      <c r="FA540" s="53" t="n"/>
      <c r="FB540" s="53" t="n"/>
      <c r="FC540" s="53" t="n"/>
      <c r="FD540" s="53" t="n"/>
      <c r="FE540" s="57" t="inlineStr">
        <is>
          <t>1. Successfully deliver 100% assigned SARB Data Submission project requirements and BA deliverables · User stories, Validations, Test-Signoff's and Owner Signoff's  within agreed timelines while maintaining less than 10% post sign-off rework.
2. Achieve 95% first-time UAT acceptance for owned features through quality requirements and effective stakeholder management.
3. Complete 40+ learning hours on Banking, Financial Regulations, RegTech, XBRL and present 2 knowledge-sharing sessions.
4. Drive 2 process improvement initiatives that reduce project effort, improve documentation quality or enhance delivery efficiency.
5. Create and maintain 100% project documentation, reusable templates and knowledge assets while actively supporting team collaboration.</t>
        </is>
      </c>
      <c r="FF540" s="56" t="inlineStr">
        <is>
          <t>Q1: Deliver clear, signed-off requirement/BRD documents for 100% of assigned features
Q1: Keep requirement-related rework / change requests to &lt;=10% post sign-off
Q1: Maintain &lt;=2 business-day turnaround on clarifications raised by dev/QA
Q1: Drive &gt;=90% UAT acceptance on first pass for owned features</t>
        </is>
      </c>
      <c r="FG540" s="56" t="n"/>
      <c r="FH540" s="56" t="inlineStr">
        <is>
          <t>4</t>
        </is>
      </c>
      <c r="FI540" s="56" t="n"/>
      <c r="FJ540" s="56" t="inlineStr">
        <is>
          <t>Received · manager annual, quarterly</t>
        </is>
      </c>
      <c r="FK540" s="56" t="inlineStr">
        <is>
          <t>Talent Mapping · iFile collated</t>
        </is>
      </c>
      <c r="FL540" s="56" t="n">
        <v>20</v>
      </c>
      <c r="FM540" s="32" t="inlineStr">
        <is>
          <t>Full survey answers not in the files received · How We Grow export needed · HR</t>
        </is>
      </c>
      <c r="FN540" s="56" t="inlineStr">
        <is>
          <t>—</t>
        </is>
      </c>
      <c r="FO540" s="56" t="inlineStr">
        <is>
          <t>—</t>
        </is>
      </c>
      <c r="FP540" s="56" t="inlineStr">
        <is>
          <t>—</t>
        </is>
      </c>
      <c r="FQ540" s="56" t="inlineStr">
        <is>
          <t>—</t>
        </is>
      </c>
      <c r="FR540" s="56" t="inlineStr">
        <is>
          <t>Complexity: Evidence reads like A3: Manages requirements workstream for clients: impact analysis, documentation, UAT management → matches the start
Autonomy: Evidence reads like A2: Decides only impact analysis; fixes or backlogs issues by bandwidth → moved down 0.5
Accountability: Evidence reads like A3: Sprint requirement deliverables through UAT to on-time client delivery for the project workstream → matches the start
Leadership: Evidence reads like A1: No guidance of others described → moved down 0.5
Business Impact: No survey or manager-mapping signal on criticality: kept at the start point.</t>
        </is>
      </c>
      <c r="FS540" s="56" t="inlineStr">
        <is>
          <t>Common themes in role-holders' answers: business · requirements · technical · between · client · understand
Common themes in role-holders' answers: documentation · requirement · client · gathering · coordination · managing
Common themes in role-holders' answers: deliver · product · client · requirement · process · business
Common themes in role-holders' answers: requirements · accountable · delivery · quality · documentation · timely
Common themes in role-holders' answers: documentation · prioritize · user stories · process · project
If the work is missed · role-holders' themes: rework · client.
Measured on · manager-set KRA themes: delivery · assigned · project · requests · satisfaction.</t>
        </is>
      </c>
      <c r="FT540" s="56" t="inlineStr">
        <is>
          <t>Self-identified: Project / programme management
For the next role: Project / programme management</t>
        </is>
      </c>
      <c r="FU540" s="32" t="inlineStr">
        <is>
          <t>Full survey answers not in the files received · How We Grow export needed · HR</t>
        </is>
      </c>
    </row>
    <row r="541" ht="90" customHeight="1">
      <c r="A541" s="51" t="inlineStr">
        <is>
          <t>◂ Back</t>
        </is>
      </c>
      <c r="B541" s="29" t="inlineStr">
        <is>
          <t>Mapped</t>
        </is>
      </c>
      <c r="C541" s="28" t="inlineStr">
        <is>
          <t>iFile</t>
        </is>
      </c>
      <c r="D541" s="29" t="inlineStr">
        <is>
          <t>IRIS2542</t>
        </is>
      </c>
      <c r="E541" s="29" t="inlineStr">
        <is>
          <t>Parmesh Vala</t>
        </is>
      </c>
      <c r="F541" s="29" t="inlineStr">
        <is>
          <t>Technology</t>
        </is>
      </c>
      <c r="G541" s="29" t="inlineStr">
        <is>
          <t>Trainee Business Analyst</t>
        </is>
      </c>
      <c r="H541" s="29" t="inlineStr">
        <is>
          <t>Trainee Business Analyst</t>
        </is>
      </c>
      <c r="I541" s="29" t="inlineStr">
        <is>
          <t>L1 – Intern</t>
        </is>
      </c>
      <c r="J541" s="29" t="inlineStr">
        <is>
          <t>A1</t>
        </is>
      </c>
      <c r="K541" s="29" t="inlineStr">
        <is>
          <t>• Same level</t>
        </is>
      </c>
      <c r="L541" s="29" t="inlineStr">
        <is>
          <t>Business Analysis</t>
        </is>
      </c>
      <c r="M541" s="29" t="inlineStr">
        <is>
          <t>Business Analysis</t>
        </is>
      </c>
      <c r="N541" s="29" t="n"/>
      <c r="O541" s="29" t="n">
        <v>20</v>
      </c>
      <c r="P541" s="28" t="inlineStr">
        <is>
          <t>Entry / P1 · intern</t>
        </is>
      </c>
      <c r="Q541" s="29" t="inlineStr">
        <is>
          <t>Entry</t>
        </is>
      </c>
      <c r="R541" s="29" t="inlineStr">
        <is>
          <t>1 Follow</t>
        </is>
      </c>
      <c r="S541" s="29" t="inlineStr">
        <is>
          <t>0 yrs · fresher / intern</t>
        </is>
      </c>
      <c r="T541" s="29" t="inlineStr">
        <is>
          <t>—</t>
        </is>
      </c>
      <c r="U541" s="29" t="inlineStr">
        <is>
          <t>Associate Business Analyst</t>
        </is>
      </c>
      <c r="V541" s="29" t="inlineStr">
        <is>
          <t>—</t>
        </is>
      </c>
      <c r="W541" s="29" t="inlineStr">
        <is>
          <t>IIBA BABOK v3; certifications ECBA · entry → CCBA → CBAP · senior</t>
        </is>
      </c>
      <c r="X541" s="29" t="inlineStr">
        <is>
          <t>Core 1 · Future 1 · Functional 1 · Leadership not scored</t>
        </is>
      </c>
      <c r="Y541" s="52" t="n">
        <v>515</v>
      </c>
      <c r="Z541" s="53" t="inlineStr">
        <is>
          <t>IRIS2542</t>
        </is>
      </c>
      <c r="AA541" s="53" t="inlineStr">
        <is>
          <t>Employee</t>
        </is>
      </c>
      <c r="AB541" s="53" t="inlineStr">
        <is>
          <t>Active</t>
        </is>
      </c>
      <c r="AC541" s="53" t="inlineStr">
        <is>
          <t>Parmesh Vala</t>
        </is>
      </c>
      <c r="AD541" s="54" t="n">
        <v>46204</v>
      </c>
      <c r="AE541" s="53" t="inlineStr">
        <is>
          <t>Trainee Business Analyst</t>
        </is>
      </c>
      <c r="AF541" s="53" t="inlineStr">
        <is>
          <t>B.Tech</t>
        </is>
      </c>
      <c r="AG541" s="53" t="inlineStr">
        <is>
          <t>Saurabh Kadam</t>
        </is>
      </c>
      <c r="AH541" s="53" t="inlineStr">
        <is>
          <t>N-4</t>
        </is>
      </c>
      <c r="AI541" s="53" t="inlineStr">
        <is>
          <t>Individual Contributor</t>
        </is>
      </c>
      <c r="AJ541" s="53" t="inlineStr">
        <is>
          <t>0 years, 0 months, 0 days</t>
        </is>
      </c>
      <c r="AK541" s="53" t="inlineStr">
        <is>
          <t>0 years, 1 months, 24 days</t>
        </is>
      </c>
      <c r="AL541" s="53" t="inlineStr">
        <is>
          <t>Suptech</t>
        </is>
      </c>
      <c r="AM541" s="53" t="inlineStr">
        <is>
          <t>iFile</t>
        </is>
      </c>
      <c r="AN541" s="53" t="inlineStr">
        <is>
          <t>Technology</t>
        </is>
      </c>
      <c r="AO541" s="53" t="inlineStr">
        <is>
          <t>Business Analysis</t>
        </is>
      </c>
      <c r="AP541" s="53" t="inlineStr">
        <is>
          <t>Yes</t>
        </is>
      </c>
      <c r="AQ541" s="53" t="inlineStr">
        <is>
          <t>Product/Project</t>
        </is>
      </c>
      <c r="AR541" s="53" t="inlineStr">
        <is>
          <t>Business Analysis</t>
        </is>
      </c>
      <c r="AS541" s="53" t="inlineStr">
        <is>
          <t>Technical · BA, PM and QA</t>
        </is>
      </c>
      <c r="AT541" s="53" t="n">
        <v>20</v>
      </c>
      <c r="AU541" s="53" t="inlineStr">
        <is>
          <t>Covered</t>
        </is>
      </c>
      <c r="AV541" s="53" t="n"/>
      <c r="AW541" s="53" t="n"/>
      <c r="AX541" s="53" t="n"/>
      <c r="AY541" s="53" t="n"/>
      <c r="AZ541" s="53" t="n"/>
      <c r="BA541" s="53" t="n"/>
      <c r="BB541" s="53" t="n"/>
      <c r="BC541" s="53" t="n"/>
      <c r="BD541" s="53" t="n"/>
      <c r="BE541" s="53" t="n"/>
      <c r="BF541" s="53" t="n"/>
      <c r="BG541" s="53" t="n"/>
      <c r="BH541" s="53" t="n"/>
      <c r="BI541" s="53" t="n"/>
      <c r="BJ541" s="53" t="n"/>
      <c r="BK541" s="53" t="n"/>
      <c r="BL541" s="53" t="n"/>
      <c r="BM541" s="53" t="n"/>
      <c r="BN541" s="53" t="n"/>
      <c r="BO541" s="53" t="n"/>
      <c r="BP541" s="53" t="n"/>
      <c r="BQ541" s="53" t="n"/>
      <c r="BR541" s="53" t="n"/>
      <c r="BS541" s="53" t="n"/>
      <c r="BT541" s="53" t="n"/>
      <c r="BU541" s="53" t="n"/>
      <c r="BV541" s="53" t="n"/>
      <c r="BW541" s="53" t="n"/>
      <c r="BX541" s="53" t="n"/>
      <c r="BY541" s="53" t="n"/>
      <c r="BZ541" s="53" t="n"/>
      <c r="CA541" s="53" t="n"/>
      <c r="CB541" s="53" t="n"/>
      <c r="CC541" s="53" t="n"/>
      <c r="CD541" s="53" t="n"/>
      <c r="CE541" s="53" t="n"/>
      <c r="CF541" s="53" t="n"/>
      <c r="CG541" s="53" t="n"/>
      <c r="CH541" s="53" t="n"/>
      <c r="CI541" s="53" t="n"/>
      <c r="CJ541" s="53" t="n"/>
      <c r="CK541" s="53" t="n"/>
      <c r="CL541" s="53" t="n"/>
      <c r="CM541" s="53" t="n"/>
      <c r="CN541" s="53" t="n"/>
      <c r="CO541" s="53" t="n"/>
      <c r="CP541" s="53" t="n"/>
      <c r="CQ541" s="53" t="n"/>
      <c r="CR541" s="53" t="n"/>
      <c r="CS541" s="53" t="n"/>
      <c r="CT541" s="53" t="n"/>
      <c r="CU541" s="53" t="n"/>
      <c r="CV541" s="53" t="n"/>
      <c r="CW541" s="53" t="n"/>
      <c r="CX541" s="53" t="n"/>
      <c r="CY541" s="53" t="n"/>
      <c r="CZ541" s="53" t="n"/>
      <c r="DA541" s="53" t="n"/>
      <c r="DB541" s="53" t="n"/>
      <c r="DC541" s="53" t="n"/>
      <c r="DD541" s="53" t="inlineStr">
        <is>
          <t>INTN0277</t>
        </is>
      </c>
      <c r="DE541" s="53" t="inlineStr">
        <is>
          <t>Junior Analsyst</t>
        </is>
      </c>
      <c r="DF541" s="53" t="inlineStr">
        <is>
          <t>Active</t>
        </is>
      </c>
      <c r="DG541" s="53" t="inlineStr">
        <is>
          <t>Parmesh Vala</t>
        </is>
      </c>
      <c r="DH541" s="54" t="n">
        <v>45831</v>
      </c>
      <c r="DI541" s="53" t="inlineStr">
        <is>
          <t>Intern</t>
        </is>
      </c>
      <c r="DJ541" s="53" t="inlineStr">
        <is>
          <t>Business Analysis</t>
        </is>
      </c>
      <c r="DK541" s="53" t="inlineStr">
        <is>
          <t>Business / Functional Analysis</t>
        </is>
      </c>
      <c r="DL541" s="53" t="inlineStr">
        <is>
          <t>Intern</t>
        </is>
      </c>
      <c r="DM541" s="53" t="inlineStr">
        <is>
          <t>L1 – Intern</t>
        </is>
      </c>
      <c r="DN541" s="53" t="inlineStr">
        <is>
          <t>B.Tech</t>
        </is>
      </c>
      <c r="DO541" s="53" t="inlineStr">
        <is>
          <t>Saurabh Kadam</t>
        </is>
      </c>
      <c r="DP541" s="53" t="inlineStr">
        <is>
          <t>N-3</t>
        </is>
      </c>
      <c r="DQ541" s="53" t="inlineStr">
        <is>
          <t>Individual Contributor</t>
        </is>
      </c>
      <c r="DR541" s="53" t="inlineStr">
        <is>
          <t>0 years, 0 months, 0 days</t>
        </is>
      </c>
      <c r="DS541" s="53" t="inlineStr">
        <is>
          <t>0 years, 11 months, 28 days</t>
        </is>
      </c>
      <c r="DT541" s="53" t="inlineStr">
        <is>
          <t>0 years, 11 months, 28 days</t>
        </is>
      </c>
      <c r="DU541" s="53" t="n"/>
      <c r="DV541" s="53" t="inlineStr">
        <is>
          <t>Suptech</t>
        </is>
      </c>
      <c r="DW541" s="53" t="inlineStr">
        <is>
          <t>iFile</t>
        </is>
      </c>
      <c r="DX541" s="53" t="inlineStr">
        <is>
          <t>Technology</t>
        </is>
      </c>
      <c r="DY541" s="53" t="inlineStr">
        <is>
          <t>Business Analysis</t>
        </is>
      </c>
      <c r="DZ541" s="53" t="inlineStr">
        <is>
          <t>Yes</t>
        </is>
      </c>
      <c r="EA541" s="53" t="inlineStr">
        <is>
          <t>Product/Project</t>
        </is>
      </c>
      <c r="EB541" s="53" t="inlineStr">
        <is>
          <t>Business Analysis</t>
        </is>
      </c>
      <c r="EC541" s="53" t="inlineStr">
        <is>
          <t>Technical · BA, PM and QA</t>
        </is>
      </c>
      <c r="ED541" s="53" t="inlineStr">
        <is>
          <t>Hybrid</t>
        </is>
      </c>
      <c r="EE541" s="53" t="n"/>
      <c r="EF541" s="53" t="inlineStr">
        <is>
          <t>1. Successfully complete 100% assigned BA tasks within agreed timelines with mentor guidance.
2. Learn Business Analysis fundamentals and prepare minimum 20 functional documents · User Stories, BRDs, Process Flows, UAT documents with 90% quality acceptance.
3. Complete 60 learning hours covering Banking Domain, Financial Regulations, Agile, SQL and XBRL fundamentals.
4. Contribute to project documentation by creating or updating minimum 15 knowledge articles, process flows or templates.
5. Identify and implement at least one productivity improvement or automation idea benefiting the BA team.</t>
        </is>
      </c>
      <c r="EG541" s="53" t="inlineStr">
        <is>
          <t>Q1: Deliver clear, signed-off requirement/BRD documents for 100% of assigned features
Q1: Keep requirement-related rework / change requests to &lt;=10% post sign-off
Q1: Maintain &lt;=2 business-day turnaround on clarifications raised by dev/QA
Q1: Drive &gt;=90% UAT acceptance on first pass for owned features</t>
        </is>
      </c>
      <c r="EH541" s="53" t="n">
        <v>4</v>
      </c>
      <c r="EI541" s="54" t="n">
        <v>46029</v>
      </c>
      <c r="EJ541" s="53" t="inlineStr">
        <is>
          <t>Junior Analyst</t>
        </is>
      </c>
      <c r="EK541" s="53" t="inlineStr">
        <is>
          <t>No</t>
        </is>
      </c>
      <c r="EL541" s="53" t="n">
        <v>4</v>
      </c>
      <c r="EM541" s="53" t="inlineStr">
        <is>
          <t>High</t>
        </is>
      </c>
      <c r="EN541" s="53" t="inlineStr">
        <is>
          <t>Emerging Talent</t>
        </is>
      </c>
      <c r="EO541" s="53" t="inlineStr">
        <is>
          <t>No</t>
        </is>
      </c>
      <c r="EP541" s="53" t="inlineStr">
        <is>
          <t>No</t>
        </is>
      </c>
      <c r="EQ541" s="53" t="inlineStr">
        <is>
          <t>No</t>
        </is>
      </c>
      <c r="ER541" s="53" t="inlineStr">
        <is>
          <t>Not Applicable</t>
        </is>
      </c>
      <c r="ES541" s="53" t="inlineStr">
        <is>
          <t>Requirement engineering &amp; BRD writing; Agile/Scrum; domain · RegTech/XBRL knowledge; stakeholder management</t>
        </is>
      </c>
      <c r="ET541" s="53" t="inlineStr">
        <is>
          <t>Transition to leadership: people management &amp; delegation, mentoring/coaching, project ownership &amp; stakeholder management, prioritisation under ambiguity, presentation &amp; influence skills</t>
        </is>
      </c>
      <c r="EU541" s="53" t="n"/>
      <c r="EV541" s="53" t="n"/>
      <c r="EW541" s="52" t="n"/>
      <c r="EX541" s="53" t="n"/>
      <c r="EY541" s="53" t="n"/>
      <c r="EZ541" s="53" t="n"/>
      <c r="FA541" s="53" t="n"/>
      <c r="FB541" s="53" t="n"/>
      <c r="FC541" s="53" t="n"/>
      <c r="FD541" s="53" t="inlineStr">
        <is>
          <t>INTN0277</t>
        </is>
      </c>
      <c r="FE541" s="57" t="inlineStr">
        <is>
          <t>1. Successfully complete 100% assigned BA tasks within agreed timelines with mentor guidance.
2. Learn Business Analysis fundamentals and prepare minimum 20 functional documents · User Stories, BRDs, Process Flows, UAT documents with 90% quality acceptance.
3. Complete 60 learning hours covering Banking Domain, Financial Regulations, Agile, SQL and XBRL fundamentals.
4. Contribute to project documentation by creating or updating minimum 15 knowledge articles, process flows or templates.
5. Identify and implement at least one productivity improvement or automation idea benefiting the BA team.</t>
        </is>
      </c>
      <c r="FF541" s="56" t="inlineStr">
        <is>
          <t>Q1: Deliver clear, signed-off requirement/BRD documents for 100% of assigned features
Q1: Keep requirement-related rework / change requests to &lt;=10% post sign-off
Q1: Maintain &lt;=2 business-day turnaround on clarifications raised by dev/QA
Q1: Drive &gt;=90% UAT acceptance on first pass for owned features</t>
        </is>
      </c>
      <c r="FG541" s="56" t="n"/>
      <c r="FH541" s="56" t="inlineStr">
        <is>
          <t>4</t>
        </is>
      </c>
      <c r="FI541" s="56" t="n"/>
      <c r="FJ541" s="56" t="inlineStr">
        <is>
          <t>Received · manager annual, quarterly</t>
        </is>
      </c>
      <c r="FK541" s="56" t="inlineStr">
        <is>
          <t>Talent Mapping · iFile collated</t>
        </is>
      </c>
      <c r="FL541" s="56" t="n">
        <v>20</v>
      </c>
      <c r="FM541" s="32" t="inlineStr">
        <is>
          <t>Full survey answers not in the files received · How We Grow export needed · HR</t>
        </is>
      </c>
      <c r="FN541" s="56" t="inlineStr">
        <is>
          <t>—</t>
        </is>
      </c>
      <c r="FO541" s="56" t="inlineStr">
        <is>
          <t>—</t>
        </is>
      </c>
      <c r="FP541" s="56" t="inlineStr">
        <is>
          <t>—</t>
        </is>
      </c>
      <c r="FQ541" s="56" t="inlineStr">
        <is>
          <t>—</t>
        </is>
      </c>
      <c r="FR541" s="56" t="n"/>
      <c r="FS541" s="56" t="inlineStr">
        <is>
          <t>Common themes in sub-family holders, all levels' answers: business · requirements · bridge · analyst · between · technical
Common themes in sub-family holders, all levels' answers: requirement · documentation · stakeholder · client · gathering · analysis
Common themes in sub-family holders, all levels' answers: product · user stories · requirements · process · client · deliver
Common themes in sub-family holders, all levels' answers: requirements · accountable · documentation · delivery · am · business
Common themes in sub-family holders, all levels' answers: requirements · user · documentation · process · stories · assign
If the work is missed · role-holders' themes: client · rework · delays.</t>
        </is>
      </c>
      <c r="FT541" s="56" t="inlineStr">
        <is>
          <t>Self-identified: Strategy &amp; business acumen
For the next role: Strategy &amp; business acumen</t>
        </is>
      </c>
      <c r="FU541" s="32" t="inlineStr">
        <is>
          <t>Full survey answers not in the files received · How We Grow export needed · HR</t>
        </is>
      </c>
    </row>
    <row r="542" ht="90" customHeight="1">
      <c r="A542" s="51" t="inlineStr">
        <is>
          <t>◂ Back</t>
        </is>
      </c>
      <c r="B542" s="29" t="inlineStr">
        <is>
          <t>Mapped</t>
        </is>
      </c>
      <c r="C542" s="28" t="inlineStr">
        <is>
          <t>CARBON</t>
        </is>
      </c>
      <c r="D542" s="29" t="inlineStr">
        <is>
          <t>IRIS2445</t>
        </is>
      </c>
      <c r="E542" s="29" t="inlineStr">
        <is>
          <t>Mohammad Irfan</t>
        </is>
      </c>
      <c r="F542" s="29" t="inlineStr">
        <is>
          <t>Technology</t>
        </is>
      </c>
      <c r="G542" s="29" t="inlineStr">
        <is>
          <t>Senior Software Engineer - AI/ML</t>
        </is>
      </c>
      <c r="H542" s="29" t="inlineStr">
        <is>
          <t>Senior AI/ML Engineer</t>
        </is>
      </c>
      <c r="I542" s="29" t="inlineStr">
        <is>
          <t>L4 – Senior</t>
        </is>
      </c>
      <c r="J542" s="29" t="inlineStr">
        <is>
          <t>A3</t>
        </is>
      </c>
      <c r="K542" s="29" t="inlineStr">
        <is>
          <t>• Same level</t>
        </is>
      </c>
      <c r="L542" s="29" t="inlineStr">
        <is>
          <t>Engineering &amp; Development</t>
        </is>
      </c>
      <c r="M542" s="29" t="inlineStr">
        <is>
          <t>AI / ML &amp; GenAI Engineering</t>
        </is>
      </c>
      <c r="N542" s="29" t="n"/>
      <c r="O542" s="29" t="n">
        <v>20</v>
      </c>
      <c r="P542" s="28" t="inlineStr">
        <is>
          <t>P2</t>
        </is>
      </c>
      <c r="Q542" s="29" t="inlineStr">
        <is>
          <t>Developing</t>
        </is>
      </c>
      <c r="R542" s="29" t="inlineStr">
        <is>
          <t>3 Apply</t>
        </is>
      </c>
      <c r="S542" s="29" t="inlineStr">
        <is>
          <t>2–4 yrs</t>
        </is>
      </c>
      <c r="T542" s="29" t="inlineStr">
        <is>
          <t>3–5 · 2–5</t>
        </is>
      </c>
      <c r="U542" s="29" t="inlineStr">
        <is>
          <t>Software Engineer</t>
        </is>
      </c>
      <c r="V542" s="29" t="inlineStr">
        <is>
          <t>Workiva: SE · Broadridge India: SE · Nasdaq / AxiomSL: SE · Salesforce: MTS · Atlassian: P40 · 3–7 yrs · Freshworks: Senior SE</t>
        </is>
      </c>
      <c r="W542" s="29" t="inlineStr">
        <is>
          <t>SFIA 9 · software development, programming; OWASP secure coding; cloud vendor certifications</t>
        </is>
      </c>
      <c r="X542" s="29" t="inlineStr">
        <is>
          <t>Core 2 · Future 2 · Functional 3 · Leadership not scored</t>
        </is>
      </c>
      <c r="Y542" s="52" t="n">
        <v>412</v>
      </c>
      <c r="Z542" s="53" t="inlineStr">
        <is>
          <t>IRIS2445</t>
        </is>
      </c>
      <c r="AA542" s="53" t="inlineStr">
        <is>
          <t>Employee</t>
        </is>
      </c>
      <c r="AB542" s="53" t="inlineStr">
        <is>
          <t>Active</t>
        </is>
      </c>
      <c r="AC542" s="53" t="inlineStr">
        <is>
          <t>Mohammad Irfan</t>
        </is>
      </c>
      <c r="AD542" s="54" t="n">
        <v>45986</v>
      </c>
      <c r="AE542" s="53" t="inlineStr">
        <is>
          <t>Senior Software Engineer - AI/ML</t>
        </is>
      </c>
      <c r="AF542" s="53" t="inlineStr">
        <is>
          <t>M.Sc</t>
        </is>
      </c>
      <c r="AG542" s="53" t="inlineStr">
        <is>
          <t>Ashish Singhvi</t>
        </is>
      </c>
      <c r="AH542" s="53" t="inlineStr">
        <is>
          <t>N-2</t>
        </is>
      </c>
      <c r="AI542" s="53" t="inlineStr">
        <is>
          <t>Individual Contributor</t>
        </is>
      </c>
      <c r="AJ542" s="53" t="inlineStr">
        <is>
          <t>3 years, 8 months, 0 days</t>
        </is>
      </c>
      <c r="AK542" s="53" t="inlineStr">
        <is>
          <t>0 years, 9 months, 0 days</t>
        </is>
      </c>
      <c r="AL542" s="53" t="inlineStr">
        <is>
          <t>Regtech</t>
        </is>
      </c>
      <c r="AM542" s="53" t="inlineStr">
        <is>
          <t>CARBON</t>
        </is>
      </c>
      <c r="AN542" s="53" t="inlineStr">
        <is>
          <t>Technology</t>
        </is>
      </c>
      <c r="AO542" s="53" t="inlineStr">
        <is>
          <t>Development</t>
        </is>
      </c>
      <c r="AP542" s="53" t="inlineStr">
        <is>
          <t>Yes</t>
        </is>
      </c>
      <c r="AQ542" s="53" t="inlineStr">
        <is>
          <t>Product/Project</t>
        </is>
      </c>
      <c r="AR542" s="53" t="inlineStr">
        <is>
          <t>AI/ML</t>
        </is>
      </c>
      <c r="AS542" s="53" t="inlineStr">
        <is>
          <t>Technical - Developer</t>
        </is>
      </c>
      <c r="AT542" s="53" t="n">
        <v>20</v>
      </c>
      <c r="AU542" s="53" t="inlineStr">
        <is>
          <t>Covered</t>
        </is>
      </c>
      <c r="AV542" s="53" t="inlineStr">
        <is>
          <t>IRIS2445</t>
        </is>
      </c>
      <c r="AW542" s="53" t="inlineStr">
        <is>
          <t>Mohammad Irfan</t>
        </is>
      </c>
      <c r="AX542" s="53" t="inlineStr">
        <is>
          <t>Technology</t>
        </is>
      </c>
      <c r="AY542" s="53" t="inlineStr">
        <is>
          <t>Engineering &amp; Development</t>
        </is>
      </c>
      <c r="AZ542" s="53" t="inlineStr">
        <is>
          <t>AI / ML Engineering</t>
        </is>
      </c>
      <c r="BA542" s="53" t="n"/>
      <c r="BB542" s="53" t="n"/>
      <c r="BC542" s="53" t="inlineStr">
        <is>
          <t>Employee</t>
        </is>
      </c>
      <c r="BD542" s="53" t="inlineStr">
        <is>
          <t>Ashish Singhvi</t>
        </is>
      </c>
      <c r="BE542" s="53" t="inlineStr">
        <is>
          <t>Ashish Singhvi</t>
        </is>
      </c>
      <c r="BF542" s="53" t="inlineStr">
        <is>
          <t>No</t>
        </is>
      </c>
      <c r="BG542" s="53" t="inlineStr">
        <is>
          <t>Senior Software Engineer - AI/ML</t>
        </is>
      </c>
      <c r="BH542" s="53" t="inlineStr">
        <is>
          <t>Senior Software Engineer - AI/ML</t>
        </is>
      </c>
      <c r="BI542" s="53" t="inlineStr">
        <is>
          <t>No</t>
        </is>
      </c>
      <c r="BJ542" s="53" t="inlineStr">
        <is>
          <t>—</t>
        </is>
      </c>
      <c r="BK542" s="53" t="inlineStr">
        <is>
          <t>—</t>
        </is>
      </c>
      <c r="BL542" s="53" t="inlineStr">
        <is>
          <t>—</t>
        </is>
      </c>
      <c r="BM542" s="53" t="inlineStr">
        <is>
          <t>Not a manager</t>
        </is>
      </c>
      <c r="BN542" s="53" t="inlineStr">
        <is>
          <t>—</t>
        </is>
      </c>
      <c r="BO542" s="53" t="inlineStr">
        <is>
          <t>—</t>
        </is>
      </c>
      <c r="BP542" s="53" t="inlineStr">
        <is>
          <t>—</t>
        </is>
      </c>
      <c r="BQ542" s="53" t="inlineStr">
        <is>
          <t>Not a manager</t>
        </is>
      </c>
      <c r="BR542" s="53" t="inlineStr">
        <is>
          <t>—</t>
        </is>
      </c>
      <c r="BS542" s="53" t="inlineStr">
        <is>
          <t>L4 – Senior</t>
        </is>
      </c>
      <c r="BT542" s="53" t="inlineStr">
        <is>
          <t>L4 – Senior</t>
        </is>
      </c>
      <c r="BU542" s="53" t="inlineStr">
        <is>
          <t>No designation change — current record value carried forward</t>
        </is>
      </c>
      <c r="BV542" s="53" t="inlineStr">
        <is>
          <t>1.Design and implement reusable IDP components/services by reusing current copilot capabilities, reducing duplicate development effort by ≥ 40% YoY.
2.Build minimum 3 plug-and-play AI components/modules that can be integrated across multiple CARBON workflows.
3.Design and implement minimum 2 Agentic AI workflows for CARBON to improve automation, reasoning, and task orchestration.
4.Improve AI workflow efficiency and reduce manual intervention in targeted use cases by ≥ 50% using Agentic AI architecture.
5.Maintain strong engineering standards with ≥ 90% code quality compliance and participation in ≥ 75% relevant code reviews.
6.Drive innovation by independently proposing and executing minimum 3 AI architecture improvements / initiatives during FY.</t>
        </is>
      </c>
      <c r="BW542" s="53" t="n"/>
      <c r="BX542" s="53" t="inlineStr">
        <is>
          <t>Global.</t>
        </is>
      </c>
      <c r="BY542" s="53" t="n"/>
      <c r="BZ542" s="53" t="n"/>
      <c r="CA542" s="53" t="n"/>
      <c r="CB542" s="53" t="n"/>
      <c r="CC542" s="53" t="n"/>
      <c r="CD542" s="53" t="n"/>
      <c r="CE542" s="53" t="n"/>
      <c r="CF542" s="53" t="n"/>
      <c r="CG542" s="53" t="n"/>
      <c r="CH542" s="53" t="n"/>
      <c r="CI542" s="53" t="n"/>
      <c r="CJ542" s="53" t="n"/>
      <c r="CK542" s="53" t="n"/>
      <c r="CL542" s="53" t="n"/>
      <c r="CM542" s="53" t="n"/>
      <c r="CN542" s="53" t="n"/>
      <c r="CO542" s="53" t="n"/>
      <c r="CP542" s="53" t="n"/>
      <c r="CQ542" s="53" t="n"/>
      <c r="CR542" s="53" t="n"/>
      <c r="CS542" s="53" t="n"/>
      <c r="CT542" s="53" t="n"/>
      <c r="CU542" s="53" t="n"/>
      <c r="CV542" s="53" t="n"/>
      <c r="CW542" s="53" t="n"/>
      <c r="CX542" s="53" t="n"/>
      <c r="CY542" s="53" t="n"/>
      <c r="CZ542" s="53" t="n"/>
      <c r="DA542" s="53" t="n"/>
      <c r="DB542" s="53" t="n"/>
      <c r="DC542" s="53" t="n"/>
      <c r="DD542" s="53" t="n"/>
      <c r="DE542" s="53" t="n"/>
      <c r="DF542" s="53" t="n"/>
      <c r="DG542" s="53" t="n"/>
      <c r="DH542" s="53" t="n"/>
      <c r="DI542" s="53" t="n"/>
      <c r="DJ542" s="53" t="n"/>
      <c r="DK542" s="53" t="n"/>
      <c r="DL542" s="53" t="n"/>
      <c r="DM542" s="53" t="n"/>
      <c r="DN542" s="53" t="n"/>
      <c r="DO542" s="53" t="n"/>
      <c r="DP542" s="53" t="n"/>
      <c r="DQ542" s="53" t="n"/>
      <c r="DR542" s="53" t="n"/>
      <c r="DS542" s="53" t="n"/>
      <c r="DT542" s="53" t="n"/>
      <c r="DU542" s="53" t="n"/>
      <c r="DV542" s="53" t="n"/>
      <c r="DW542" s="53" t="n"/>
      <c r="DX542" s="53" t="n"/>
      <c r="DY542" s="53" t="n"/>
      <c r="DZ542" s="53" t="n"/>
      <c r="EA542" s="53" t="n"/>
      <c r="EB542" s="53" t="n"/>
      <c r="EC542" s="53" t="n"/>
      <c r="ED542" s="53" t="n"/>
      <c r="EE542" s="53" t="n"/>
      <c r="EF542" s="53" t="n"/>
      <c r="EG542" s="53" t="n"/>
      <c r="EH542" s="53" t="n"/>
      <c r="EI542" s="53" t="n"/>
      <c r="EJ542" s="53" t="n"/>
      <c r="EK542" s="53" t="n"/>
      <c r="EL542" s="53" t="n"/>
      <c r="EM542" s="53" t="n"/>
      <c r="EN542" s="53" t="n"/>
      <c r="EO542" s="53" t="n"/>
      <c r="EP542" s="53" t="n"/>
      <c r="EQ542" s="53" t="n"/>
      <c r="ER542" s="53" t="n"/>
      <c r="ES542" s="53" t="n"/>
      <c r="ET542" s="53" t="n"/>
      <c r="EU542" s="53" t="n"/>
      <c r="EV542" s="53" t="n"/>
      <c r="EW542" s="52" t="n"/>
      <c r="EX542" s="53" t="inlineStr">
        <is>
          <t>• Role / sub-team: Technology — Senior Software Engineer - AI/ML.
• Core purpose: To research, brainstorm, and implement Generative AI based solutions/features for our internal Carbon product.
• Decision-making autonomy: Can independently research and experiment.
• Is this something only they do: Only me, I independently own the end-to-end design, development, experimentation, and improvement of a multi-agent AI assistant for financial document intelligence.
• What's different about this role: It combines agentic AI, financial RAG, and document intelligence, where accuracy and reliability are critical because users rely on responses for financial decisions.</t>
        </is>
      </c>
      <c r="EY542" s="53" t="inlineStr">
        <is>
          <t>• Key responsibilities include: AI Feature Developmen; System Design; Research new work; Implement latest tools; Evaluation observability.
• Personally accountable for: Personally accountable for the AI-driven features of our multi-agent financial assistant, particularly quality, accuracy, reliability, and overall user experience of the responses it provides.
• Impact if missed or done wrong: The same is informed by the testing team, post that I need to dive in perform a RCA, and make relevant modifications and resolve them generically.
• How measured: Similar — measured by AI response accuracy, reliability, relevance, response quality, speed, and successful resolution of financial queries.</t>
        </is>
      </c>
      <c r="EZ542" s="53" t="inlineStr">
        <is>
          <t>• Current capabilities: Python ML RAG LLM API.
• Tools / software used: Python QdrantDB Podman.
• Workload: Rated a heavy load · 4/5 in a typical week.
• Judgment/way of working: Strong problem-solving, ownership, curiosity, and the ability to research, experiment, challenge assumptions, and turn ambiguous problems into practical, reliable solutions.</t>
        </is>
      </c>
      <c r="FA542" s="53" t="inlineStr">
        <is>
          <t>• Development priorities: Deeper exposure to AI architecture, production-scale systems, advanced model optimization, leadership, and end-to-end ownership of larger AI/ML initiatives.
• Learning and Development Need: AI Agents workflow. I wish I’d known earlier how much experimentation, iteration, and edge-case handling is needed to build reliable AI systems for real-world financial documents.
• Role evolving toward: The role is shifting toward more agentic AI, advanced RAG, stronger model capabilities, and greater focus on reliability, accuracy, automation, and production readiness.</t>
        </is>
      </c>
      <c r="FB542" s="53" t="inlineStr">
        <is>
          <t>• Key challenges: Limited compute and model.
• Support required: Better access to compute, models, tools, and dedicated time for experimentation, proper evaluation frameworks would enable faster development, testing, and improvement of AI solutions.</t>
        </is>
      </c>
      <c r="FC542" s="53" t="n"/>
      <c r="FD542" s="53" t="n"/>
      <c r="FE542" s="57" t="inlineStr">
        <is>
          <t>1.Design and implement reusable IDP components/services by reusing current copilot capabilities, reducing duplicate development effort by ≥ 40% YoY.
2.Build minimum 3 plug-and-play AI components/modules that can be integrated across multiple CARBON workflows.
3.Design and implement minimum 2 Agentic AI workflows for CARBON to improve automation, reasoning, and task orchestration.
4.Improve AI workflow efficiency and reduce manual intervention in targeted use cases by ≥ 50% using Agentic AI architecture.
5.Maintain strong engineering standards with ≥ 90% code quality compliance and participation in ≥ 75% relevant code reviews.
6.Drive innovation by independently proposing and executing minimum 3 AI architecture improvements / initiatives during FY.</t>
        </is>
      </c>
      <c r="FF542" s="56" t="n"/>
      <c r="FG542" s="56" t="n"/>
      <c r="FH542" s="56" t="n"/>
      <c r="FI542" s="56" t="n"/>
      <c r="FJ542" s="56" t="inlineStr">
        <is>
          <t>Received · manager annual</t>
        </is>
      </c>
      <c r="FK542" s="56" t="inlineStr">
        <is>
          <t>CARBON Mapping Master</t>
        </is>
      </c>
      <c r="FL542" s="56" t="n">
        <v>20</v>
      </c>
      <c r="FM542" s="56" t="inlineStr">
        <is>
          <t>• Role / sub-team: Technology — Senior Software Engineer - AI/ML.
• Core purpose: To research, brainstorm, and implement Generative AI based solutions/features for our internal Carbon product.
• Decision-making autonomy: Can independently research and experiment.
• Is this something only they do: Only me, I independently own the end-to-end design, development, experimentation, and improvement of a multi-agent AI assistant for financial document intelligence.
• What's different about this role: It combines agentic AI, financial RAG, and document intelligence, where accuracy and reliability are critical because users rely on responses for financial decisions.</t>
        </is>
      </c>
      <c r="FN542" s="56" t="inlineStr">
        <is>
          <t>• Key responsibilities include: AI Feature Developmen; System Design; Research new work; Implement latest tools; Evaluation observability.
• Personally accountable for: Personally accountable for the AI-driven features of our multi-agent financial assistant, particularly quality, accuracy, reliability, and overall user experience of the responses it provides.
• Impact if missed or done wrong: The same is informed by the testing team, post that I need to dive in perform a RCA, and make relevant modifications and resolve them generically.
• How measured: Similar — measured by AI response accuracy, reliability, relevance, response quality, speed, and successful resolution of financial queries.</t>
        </is>
      </c>
      <c r="FO542" s="56" t="inlineStr">
        <is>
          <t>• Current capabilities: Python ML RAG LLM API.
• Tools / software used: Python QdrantDB Podman.
• Workload: Rated a heavy load · 4/5 in a typical week.
• Judgment/way of working: Strong problem-solving, ownership, curiosity, and the ability to research, experiment, challenge assumptions, and turn ambiguous problems into practical, reliable solutions.</t>
        </is>
      </c>
      <c r="FP542" s="56" t="inlineStr">
        <is>
          <t>• Development priorities: Deeper exposure to AI architecture, production-scale systems, advanced model optimization, leadership, and end-to-end ownership of larger AI/ML initiatives.
• Learning and Development Need: AI Agents workflow. I wish I’d known earlier how much experimentation, iteration, and edge-case handling is needed to build reliable AI systems for real-world financial documents.
• Role evolving toward: The role is shifting toward more agentic AI, advanced RAG, stronger model capabilities, and greater focus on reliability, accuracy, automation, and production readiness.</t>
        </is>
      </c>
      <c r="FQ542" s="56" t="inlineStr">
        <is>
          <t>• Key challenges: Limited compute and model.
• Support required: Better access to compute, models, tools, and dedicated time for experimentation, proper evaluation frameworks would enable faster development, testing, and improvement of AI solutions.</t>
        </is>
      </c>
      <c r="FR542" s="56" t="inlineStr">
        <is>
          <t>Complexity: Evidence reads like B1: Designs and builds a multi-agent financial assistant combining agentic AI, RAG and document intelligence → moved up 0.5
Autonomy: Evidence reads like A3: Decides research and experiments alone; sole owner of the assistant's design → matches the start
Accountability: Evidence reads like A3: Accuracy and reliability of the multi-agent assistant's responses; does RCA on tester-reported faults → matches the start
Leadership: Evidence reads like A1: No guiding or reviewing of others described → moved down 0.5
Business Impact: No survey or manager-mapping signal on criticality: kept at the start point.</t>
        </is>
      </c>
      <c r="FS542" s="56" t="inlineStr">
        <is>
          <t>Common themes in role-holders' answers: ai · product · solutions · business
Common themes in role-holders' answers: technical
Common themes in role-holders' answers: ai · features
Common themes in role-holders' answers: quality · features · ai · code
Common themes in role-holders' answers: approach
If the work is missed · role-holders' themes: cause.</t>
        </is>
      </c>
      <c r="FT542" s="56" t="inlineStr">
        <is>
          <t>Self-identified: AI / automation · Leadership &amp; people management · Technical depth &amp; architecture · Product &amp; tool knowledge · Broader exposure &amp; ownership
For the next role: AI / automation · Leadership &amp; people management · Technical depth &amp; architecture · Product &amp; tool knowledge · Broader exposure &amp; ownership</t>
        </is>
      </c>
      <c r="FU542" s="56" t="inlineStr">
        <is>
          <t>Per-person summary · CARBON Mapping Master</t>
        </is>
      </c>
    </row>
    <row r="543" ht="90" customHeight="1">
      <c r="A543" s="51" t="inlineStr">
        <is>
          <t>◂ Back</t>
        </is>
      </c>
      <c r="B543" s="29" t="inlineStr">
        <is>
          <t>Mapped</t>
        </is>
      </c>
      <c r="C543" s="28" t="inlineStr">
        <is>
          <t>CARBON</t>
        </is>
      </c>
      <c r="D543" s="29" t="inlineStr">
        <is>
          <t>IRIS2500</t>
        </is>
      </c>
      <c r="E543" s="29" t="inlineStr">
        <is>
          <t>Vishal Nanaware</t>
        </is>
      </c>
      <c r="F543" s="29" t="inlineStr">
        <is>
          <t>Technology</t>
        </is>
      </c>
      <c r="G543" s="29" t="inlineStr">
        <is>
          <t>Senior Software Engineer - AI/ML</t>
        </is>
      </c>
      <c r="H543" s="29" t="inlineStr">
        <is>
          <t>Senior AI/ML Engineer</t>
        </is>
      </c>
      <c r="I543" s="29" t="inlineStr">
        <is>
          <t>L4 – Senior</t>
        </is>
      </c>
      <c r="J543" s="29" t="inlineStr">
        <is>
          <t>A3</t>
        </is>
      </c>
      <c r="K543" s="29" t="inlineStr">
        <is>
          <t>• Same level</t>
        </is>
      </c>
      <c r="L543" s="29" t="inlineStr">
        <is>
          <t>Engineering &amp; Development</t>
        </is>
      </c>
      <c r="M543" s="29" t="inlineStr">
        <is>
          <t>AI / ML &amp; GenAI Engineering</t>
        </is>
      </c>
      <c r="N543" s="29" t="n"/>
      <c r="O543" s="29" t="n">
        <v>20</v>
      </c>
      <c r="P543" s="28" t="inlineStr">
        <is>
          <t>P2</t>
        </is>
      </c>
      <c r="Q543" s="29" t="inlineStr">
        <is>
          <t>Developing</t>
        </is>
      </c>
      <c r="R543" s="29" t="inlineStr">
        <is>
          <t>3 Apply</t>
        </is>
      </c>
      <c r="S543" s="29" t="inlineStr">
        <is>
          <t>2–4 yrs</t>
        </is>
      </c>
      <c r="T543" s="29" t="inlineStr">
        <is>
          <t>3–5 · 2–5</t>
        </is>
      </c>
      <c r="U543" s="29" t="inlineStr">
        <is>
          <t>Software Engineer</t>
        </is>
      </c>
      <c r="V543" s="29" t="inlineStr">
        <is>
          <t>Workiva: SE · Broadridge India: SE · Nasdaq / AxiomSL: SE · Salesforce: MTS · Atlassian: P40 · 3–7 yrs · Freshworks: Senior SE</t>
        </is>
      </c>
      <c r="W543" s="29" t="inlineStr">
        <is>
          <t>SFIA 9 · software development, programming; OWASP secure coding; cloud vendor certifications</t>
        </is>
      </c>
      <c r="X543" s="29" t="inlineStr">
        <is>
          <t>Core 2 · Future 2 · Functional 3 · Leadership not scored</t>
        </is>
      </c>
      <c r="Y543" s="52" t="n">
        <v>471</v>
      </c>
      <c r="Z543" s="53" t="inlineStr">
        <is>
          <t>IRIS2500</t>
        </is>
      </c>
      <c r="AA543" s="53" t="inlineStr">
        <is>
          <t>Employee</t>
        </is>
      </c>
      <c r="AB543" s="53" t="inlineStr">
        <is>
          <t>Active</t>
        </is>
      </c>
      <c r="AC543" s="53" t="inlineStr">
        <is>
          <t>Vishal Nanaware</t>
        </is>
      </c>
      <c r="AD543" s="54" t="n">
        <v>46101</v>
      </c>
      <c r="AE543" s="53" t="inlineStr">
        <is>
          <t>Senior Software Engineer - AI/ML</t>
        </is>
      </c>
      <c r="AF543" s="53" t="inlineStr">
        <is>
          <t>M.Tech</t>
        </is>
      </c>
      <c r="AG543" s="53" t="inlineStr">
        <is>
          <t>Ashish Singhvi</t>
        </is>
      </c>
      <c r="AH543" s="53" t="inlineStr">
        <is>
          <t>N-2</t>
        </is>
      </c>
      <c r="AI543" s="53" t="inlineStr">
        <is>
          <t>Individual Contributor</t>
        </is>
      </c>
      <c r="AJ543" s="53" t="inlineStr">
        <is>
          <t>4 years, 0 months, 0 days</t>
        </is>
      </c>
      <c r="AK543" s="53" t="inlineStr">
        <is>
          <t>0 years, 5 months, 5 days</t>
        </is>
      </c>
      <c r="AL543" s="53" t="inlineStr">
        <is>
          <t>Regtech</t>
        </is>
      </c>
      <c r="AM543" s="53" t="inlineStr">
        <is>
          <t>CARBON</t>
        </is>
      </c>
      <c r="AN543" s="53" t="inlineStr">
        <is>
          <t>Technology</t>
        </is>
      </c>
      <c r="AO543" s="53" t="inlineStr">
        <is>
          <t>Development</t>
        </is>
      </c>
      <c r="AP543" s="53" t="inlineStr">
        <is>
          <t>Yes</t>
        </is>
      </c>
      <c r="AQ543" s="53" t="inlineStr">
        <is>
          <t>Product/Project</t>
        </is>
      </c>
      <c r="AR543" s="53" t="inlineStr">
        <is>
          <t>AI/ML</t>
        </is>
      </c>
      <c r="AS543" s="53" t="inlineStr">
        <is>
          <t>Technical - Developer</t>
        </is>
      </c>
      <c r="AT543" s="53" t="n">
        <v>20</v>
      </c>
      <c r="AU543" s="53" t="inlineStr">
        <is>
          <t>Covered</t>
        </is>
      </c>
      <c r="AV543" s="53" t="inlineStr">
        <is>
          <t>IRIS2500</t>
        </is>
      </c>
      <c r="AW543" s="53" t="inlineStr">
        <is>
          <t>Vishal Nanaware</t>
        </is>
      </c>
      <c r="AX543" s="53" t="inlineStr">
        <is>
          <t>Technology</t>
        </is>
      </c>
      <c r="AY543" s="53" t="inlineStr">
        <is>
          <t>Engineering &amp; Development</t>
        </is>
      </c>
      <c r="AZ543" s="53" t="inlineStr">
        <is>
          <t>AI / ML Engineering</t>
        </is>
      </c>
      <c r="BA543" s="53" t="n"/>
      <c r="BB543" s="53" t="n"/>
      <c r="BC543" s="53" t="inlineStr">
        <is>
          <t>Employee</t>
        </is>
      </c>
      <c r="BD543" s="53" t="inlineStr">
        <is>
          <t>Ashish Singhvi</t>
        </is>
      </c>
      <c r="BE543" s="53" t="inlineStr">
        <is>
          <t>Ashish Singhvi</t>
        </is>
      </c>
      <c r="BF543" s="53" t="inlineStr">
        <is>
          <t>No</t>
        </is>
      </c>
      <c r="BG543" s="53" t="inlineStr">
        <is>
          <t>Senior Software Engineer - AI/ML</t>
        </is>
      </c>
      <c r="BH543" s="53" t="inlineStr">
        <is>
          <t>Senior Software Engineer - AI/ML</t>
        </is>
      </c>
      <c r="BI543" s="53" t="inlineStr">
        <is>
          <t>No</t>
        </is>
      </c>
      <c r="BJ543" s="53" t="inlineStr">
        <is>
          <t>—</t>
        </is>
      </c>
      <c r="BK543" s="53" t="inlineStr">
        <is>
          <t>—</t>
        </is>
      </c>
      <c r="BL543" s="53" t="inlineStr">
        <is>
          <t>—</t>
        </is>
      </c>
      <c r="BM543" s="53" t="inlineStr">
        <is>
          <t>Not a manager</t>
        </is>
      </c>
      <c r="BN543" s="53" t="inlineStr">
        <is>
          <t>—</t>
        </is>
      </c>
      <c r="BO543" s="53" t="inlineStr">
        <is>
          <t>—</t>
        </is>
      </c>
      <c r="BP543" s="53" t="inlineStr">
        <is>
          <t>—</t>
        </is>
      </c>
      <c r="BQ543" s="53" t="inlineStr">
        <is>
          <t>Not a manager</t>
        </is>
      </c>
      <c r="BR543" s="53" t="inlineStr">
        <is>
          <t>—</t>
        </is>
      </c>
      <c r="BS543" s="53" t="inlineStr">
        <is>
          <t>L4 – Senior</t>
        </is>
      </c>
      <c r="BT543" s="53" t="inlineStr">
        <is>
          <t>L4 – Senior</t>
        </is>
      </c>
      <c r="BU543" s="53" t="inlineStr">
        <is>
          <t>No designation change — current record value carried forward</t>
        </is>
      </c>
      <c r="BV543" s="53" t="inlineStr">
        <is>
          <t>1.Benchmark and evaluate minimum 5 open-source LLMs / SLMs against commercial models for IRIS AI use cases.
2.Reduce dependency on commercial AI APIs by ≥ 80% YoY through adoption of open LLMs / SLMs.
3.Fine-tune minimum 2 domain-specific SLMs / AI models for IRIS use cases · table, embedding, classification, summarization, etc..
4.Build reusable AI evaluation pipelines covering accuracy, latency, hallucination, cost, and quality scoring with ≥ 70% automation.
5.Deliver minimum 2 production-ready AI features / PoCs integrated into CARBON AI / MIRA.
6.Build AI benchmarking and validation framework covering model scoring, hallucination detection, and performance comparison.
7.Establish MLOps workflows for model versioning, deployment, monitoring, and evaluation with ≥ 70% automation.</t>
        </is>
      </c>
      <c r="BW543" s="53" t="n"/>
      <c r="BX543" s="53" t="inlineStr">
        <is>
          <t>All.</t>
        </is>
      </c>
      <c r="BY543" s="53" t="n"/>
      <c r="BZ543" s="53" t="n"/>
      <c r="CA543" s="53" t="n"/>
      <c r="CB543" s="53" t="n"/>
      <c r="CC543" s="53" t="n"/>
      <c r="CD543" s="53" t="n"/>
      <c r="CE543" s="53" t="n"/>
      <c r="CF543" s="53" t="n"/>
      <c r="CG543" s="53" t="n"/>
      <c r="CH543" s="53" t="n"/>
      <c r="CI543" s="53" t="n"/>
      <c r="CJ543" s="53" t="n"/>
      <c r="CK543" s="53" t="n"/>
      <c r="CL543" s="53" t="n"/>
      <c r="CM543" s="53" t="n"/>
      <c r="CN543" s="53" t="n"/>
      <c r="CO543" s="53" t="n"/>
      <c r="CP543" s="53" t="n"/>
      <c r="CQ543" s="53" t="n"/>
      <c r="CR543" s="53" t="n"/>
      <c r="CS543" s="53" t="n"/>
      <c r="CT543" s="53" t="n"/>
      <c r="CU543" s="53" t="n"/>
      <c r="CV543" s="53" t="n"/>
      <c r="CW543" s="53" t="n"/>
      <c r="CX543" s="53" t="n"/>
      <c r="CY543" s="53" t="n"/>
      <c r="CZ543" s="53" t="n"/>
      <c r="DA543" s="53" t="n"/>
      <c r="DB543" s="53" t="n"/>
      <c r="DC543" s="53" t="n"/>
      <c r="DD543" s="53" t="n"/>
      <c r="DE543" s="53" t="n"/>
      <c r="DF543" s="53" t="n"/>
      <c r="DG543" s="53" t="n"/>
      <c r="DH543" s="53" t="n"/>
      <c r="DI543" s="53" t="n"/>
      <c r="DJ543" s="53" t="n"/>
      <c r="DK543" s="53" t="n"/>
      <c r="DL543" s="53" t="n"/>
      <c r="DM543" s="53" t="n"/>
      <c r="DN543" s="53" t="n"/>
      <c r="DO543" s="53" t="n"/>
      <c r="DP543" s="53" t="n"/>
      <c r="DQ543" s="53" t="n"/>
      <c r="DR543" s="53" t="n"/>
      <c r="DS543" s="53" t="n"/>
      <c r="DT543" s="53" t="n"/>
      <c r="DU543" s="53" t="n"/>
      <c r="DV543" s="53" t="n"/>
      <c r="DW543" s="53" t="n"/>
      <c r="DX543" s="53" t="n"/>
      <c r="DY543" s="53" t="n"/>
      <c r="DZ543" s="53" t="n"/>
      <c r="EA543" s="53" t="n"/>
      <c r="EB543" s="53" t="n"/>
      <c r="EC543" s="53" t="n"/>
      <c r="ED543" s="53" t="n"/>
      <c r="EE543" s="53" t="n"/>
      <c r="EF543" s="53" t="n"/>
      <c r="EG543" s="53" t="n"/>
      <c r="EH543" s="53" t="n"/>
      <c r="EI543" s="53" t="n"/>
      <c r="EJ543" s="53" t="n"/>
      <c r="EK543" s="53" t="n"/>
      <c r="EL543" s="53" t="n"/>
      <c r="EM543" s="53" t="n"/>
      <c r="EN543" s="53" t="n"/>
      <c r="EO543" s="53" t="n"/>
      <c r="EP543" s="53" t="n"/>
      <c r="EQ543" s="53" t="n"/>
      <c r="ER543" s="53" t="n"/>
      <c r="ES543" s="53" t="n"/>
      <c r="ET543" s="53" t="n"/>
      <c r="EU543" s="53" t="n"/>
      <c r="EV543" s="53" t="n"/>
      <c r="EW543" s="52" t="n"/>
      <c r="EX543" s="53" t="inlineStr">
        <is>
          <t>• Role / sub-team: Technology — Senior Software Engineer - AI/ML.
• Core purpose: Enhance the existing AI features; Add the new AI feature in the system; Elominate the use of commercial llm and train the open ended llm.
• Decision-making autonomy: Can independently decide the approach; Test the development.
• Is this something only they do: Most of us.
• What's different about this role: My past experience in the financial domain helps me understand the product, business understanding and user needs as well.</t>
        </is>
      </c>
      <c r="EY543" s="53" t="inlineStr">
        <is>
          <t>• Key responsibilities include: Technical leadership; Cross functional communic.
• Personally accountable for: Enhance the existing AI features; Add jew AI use cases; Add new AI features.
• Impact if missed or done wrong: Delay in work can lead to a loss of customer trust.
• How measured: KRA will be different but evaluation of performace will be same as everyone.</t>
        </is>
      </c>
      <c r="EZ543" s="53" t="inlineStr">
        <is>
          <t>• Current capabilities: Python and ML; Backend development; RAG pipeline.
• Tools / software used: Azure; Claude; Git.
• Workload: Rated a moderate load · 3/5 in a typical week.
• Judgment/way of working: Deliver within time.</t>
        </is>
      </c>
      <c r="FA543" s="53" t="inlineStr">
        <is>
          <t>• Development priorities: No input received.</t>
        </is>
      </c>
      <c r="FB543" s="53" t="inlineStr">
        <is>
          <t>• Key challenges: KT.
• Support required: Clear requirements.</t>
        </is>
      </c>
      <c r="FC543" s="53" t="n"/>
      <c r="FD543" s="53" t="n"/>
      <c r="FE543" s="57" t="inlineStr">
        <is>
          <t>1.Benchmark and evaluate minimum 5 open-source LLMs / SLMs against commercial models for IRIS AI use cases.
2.Reduce dependency on commercial AI APIs by ≥ 80% YoY through adoption of open LLMs / SLMs.
3.Fine-tune minimum 2 domain-specific SLMs / AI models for IRIS use cases · table, embedding, classification, summarization, etc..
4.Build reusable AI evaluation pipelines covering accuracy, latency, hallucination, cost, and quality scoring with ≥ 70% automation.
5.Deliver minimum 2 production-ready AI features / PoCs integrated into CARBON AI / MIRA.
6.Build AI benchmarking and validation framework covering model scoring, hallucination detection, and performance comparison.
7.Establish MLOps workflows for model versioning, deployment, monitoring, and evaluation with ≥ 70% automation.</t>
        </is>
      </c>
      <c r="FF543" s="56" t="n"/>
      <c r="FG543" s="56" t="n"/>
      <c r="FH543" s="56" t="n"/>
      <c r="FI543" s="56" t="n"/>
      <c r="FJ543" s="56" t="inlineStr">
        <is>
          <t>Received · manager annual</t>
        </is>
      </c>
      <c r="FK543" s="56" t="inlineStr">
        <is>
          <t>CARBON Mapping Master</t>
        </is>
      </c>
      <c r="FL543" s="56" t="n">
        <v>20</v>
      </c>
      <c r="FM543" s="56" t="inlineStr">
        <is>
          <t>• Role / sub-team: Technology — Senior Software Engineer - AI/ML.
• Core purpose: Enhance the existing AI features; Add the new AI feature in the system; Elominate the use of commercial llm and train the open ended llm.
• Decision-making autonomy: Can independently decide the approach; Test the development.
• Is this something only they do: Most of us.
• What's different about this role: My past experience in the financial domain helps me understand the product, business understanding and user needs as well.</t>
        </is>
      </c>
      <c r="FN543" s="56" t="inlineStr">
        <is>
          <t>• Key responsibilities include: Technical leadership; Cross functional communic.
• Personally accountable for: Enhance the existing AI features; Add jew AI use cases; Add new AI features.
• Impact if missed or done wrong: Delay in work can lead to a loss of customer trust.
• How measured: KRA will be different but evaluation of performace will be same as everyone.</t>
        </is>
      </c>
      <c r="FO543" s="56" t="inlineStr">
        <is>
          <t>• Current capabilities: Python and ML; Backend development; RAG pipeline.
• Tools / software used: Azure; Claude; Git.
• Workload: Rated a moderate load · 3/5 in a typical week.
• Judgment/way of working: Deliver within time.</t>
        </is>
      </c>
      <c r="FP543" s="56" t="inlineStr">
        <is>
          <t>• Development priorities: No input received.</t>
        </is>
      </c>
      <c r="FQ543" s="56" t="inlineStr">
        <is>
          <t>• Key challenges: KT.
• Support required: Clear requirements.</t>
        </is>
      </c>
      <c r="FR543" s="56" t="inlineStr">
        <is>
          <t>Complexity: Evidence reads like A3: Enhances and adds AI features, evaluates LLMs, works to replace commercial LLMs with trained open models → matches the start
Autonomy: Evidence reads like A2: Decides own approach and tests own development → moved down 0.5
Accountability: Evidence reads like A2: Own AI feature enhancements and new use cases → moved down 0.5
Leadership: Evidence reads like A1: 'Technical leadership' listed with no team, object or example → moved down 0.5
Business Impact: No survey or manager-mapping signal on criticality: kept at the start point.</t>
        </is>
      </c>
      <c r="FS543" s="56" t="inlineStr">
        <is>
          <t>Common themes in role-holders' answers: ai · product · solutions · business
Common themes in role-holders' answers: technical
Common themes in role-holders' answers: ai · features
Common themes in role-holders' answers: quality · features · ai · code
Common themes in role-holders' answers: approach
If the work is missed · role-holders' themes: cause.</t>
        </is>
      </c>
      <c r="FT543" s="56" t="inlineStr">
        <is>
          <t>Self-identified: AI / automation · Technical depth &amp; architecture
For the next role: AI / automation · Technical depth &amp; architecture</t>
        </is>
      </c>
      <c r="FU543" s="56" t="inlineStr">
        <is>
          <t>Per-person summary · CARBON Mapping Master</t>
        </is>
      </c>
    </row>
    <row r="544" ht="90" customHeight="1">
      <c r="A544" s="51" t="inlineStr">
        <is>
          <t>◂ Back</t>
        </is>
      </c>
      <c r="B544" s="29" t="inlineStr">
        <is>
          <t>Mapped</t>
        </is>
      </c>
      <c r="C544" s="28" t="inlineStr">
        <is>
          <t>iFile</t>
        </is>
      </c>
      <c r="D544" s="29" t="inlineStr">
        <is>
          <t>IRIS1689</t>
        </is>
      </c>
      <c r="E544" s="29" t="inlineStr">
        <is>
          <t>Suman Kumar</t>
        </is>
      </c>
      <c r="F544" s="29" t="inlineStr">
        <is>
          <t>Technology</t>
        </is>
      </c>
      <c r="G544" s="29" t="inlineStr">
        <is>
          <t>Technical Architect</t>
        </is>
      </c>
      <c r="H544" s="29" t="inlineStr">
        <is>
          <t>Practice Lead – Solution &amp; Technical Architecture · Player-Coach</t>
        </is>
      </c>
      <c r="I544" s="29" t="inlineStr">
        <is>
          <t>L3 – Professional / Associate</t>
        </is>
      </c>
      <c r="J544" s="29" t="inlineStr">
        <is>
          <t>B+</t>
        </is>
      </c>
      <c r="K544" s="29" t="inlineStr">
        <is>
          <t>▲ Up</t>
        </is>
      </c>
      <c r="L544" s="29" t="inlineStr">
        <is>
          <t>Engineering &amp; Architecture</t>
        </is>
      </c>
      <c r="M544" s="29" t="inlineStr">
        <is>
          <t>Solution &amp; Technical Architecture</t>
        </is>
      </c>
      <c r="N544" s="29" t="n"/>
      <c r="O544" s="29" t="n">
        <v>20</v>
      </c>
      <c r="P544" s="28" t="inlineStr">
        <is>
          <t>P5–P6 / M4–M5</t>
        </is>
      </c>
      <c r="Q544" s="29" t="inlineStr">
        <is>
          <t>Expert / Senior Manager · player-coach</t>
        </is>
      </c>
      <c r="R544" s="29" t="inlineStr">
        <is>
          <t>5 Ensure, advise</t>
        </is>
      </c>
      <c r="S544" s="29" t="inlineStr">
        <is>
          <t>9–14 yrs</t>
        </is>
      </c>
      <c r="T544" s="29" t="inlineStr">
        <is>
          <t>9–13 · 9–14</t>
        </is>
      </c>
      <c r="U544" s="29" t="inlineStr">
        <is>
          <t>Tech Lead Manager / Practice Lead · player-coach</t>
        </is>
      </c>
      <c r="V544" s="29" t="inlineStr">
        <is>
          <t>Google: Tech Lead Manager · TLM · McKinsey player/coach · 3–5 reports · SaaS: player-coach team lead carrying own work</t>
        </is>
      </c>
      <c r="W544" s="29" t="inlineStr">
        <is>
          <t>SFIA 9 · solution architecture; TOGAF; AWS / Azure architect certifications</t>
        </is>
      </c>
      <c r="X544" s="29" t="inlineStr">
        <is>
          <t>Core 4 · Future 4 · Functional 4 · Leadership 4</t>
        </is>
      </c>
      <c r="Y544" s="52" t="n">
        <v>141</v>
      </c>
      <c r="Z544" s="53" t="inlineStr">
        <is>
          <t>IRIS1689</t>
        </is>
      </c>
      <c r="AA544" s="53" t="inlineStr">
        <is>
          <t>Employee</t>
        </is>
      </c>
      <c r="AB544" s="53" t="inlineStr">
        <is>
          <t>Active</t>
        </is>
      </c>
      <c r="AC544" s="53" t="inlineStr">
        <is>
          <t>Suman Kumar</t>
        </is>
      </c>
      <c r="AD544" s="54" t="n">
        <v>43070</v>
      </c>
      <c r="AE544" s="53" t="inlineStr">
        <is>
          <t>Technical Architect</t>
        </is>
      </c>
      <c r="AF544" s="53" t="inlineStr">
        <is>
          <t>B.E</t>
        </is>
      </c>
      <c r="AG544" s="53" t="inlineStr">
        <is>
          <t>P K X Thomas</t>
        </is>
      </c>
      <c r="AH544" s="53" t="inlineStr">
        <is>
          <t>N-1</t>
        </is>
      </c>
      <c r="AI544" s="53" t="inlineStr">
        <is>
          <t>Manager</t>
        </is>
      </c>
      <c r="AJ544" s="53" t="inlineStr">
        <is>
          <t>8 years, 5 months, 0 days</t>
        </is>
      </c>
      <c r="AK544" s="53" t="inlineStr">
        <is>
          <t>8 years, 8 months, 24 days</t>
        </is>
      </c>
      <c r="AL544" s="53" t="inlineStr">
        <is>
          <t>Suptech</t>
        </is>
      </c>
      <c r="AM544" s="53" t="inlineStr">
        <is>
          <t>iFile</t>
        </is>
      </c>
      <c r="AN544" s="53" t="inlineStr">
        <is>
          <t>Technology</t>
        </is>
      </c>
      <c r="AO544" s="53" t="inlineStr">
        <is>
          <t>Development</t>
        </is>
      </c>
      <c r="AP544" s="53" t="inlineStr">
        <is>
          <t>Yes</t>
        </is>
      </c>
      <c r="AQ544" s="53" t="inlineStr">
        <is>
          <t>Product/Project</t>
        </is>
      </c>
      <c r="AR544" s="53" t="inlineStr">
        <is>
          <t>Java</t>
        </is>
      </c>
      <c r="AS544" s="53" t="inlineStr">
        <is>
          <t>Technical - Developer</t>
        </is>
      </c>
      <c r="AT544" s="53" t="n">
        <v>20</v>
      </c>
      <c r="AU544" s="53" t="inlineStr">
        <is>
          <t>Covered</t>
        </is>
      </c>
      <c r="AV544" s="53" t="n"/>
      <c r="AW544" s="53" t="n"/>
      <c r="AX544" s="53" t="n"/>
      <c r="AY544" s="53" t="n"/>
      <c r="AZ544" s="53" t="n"/>
      <c r="BA544" s="53" t="n"/>
      <c r="BB544" s="53" t="n"/>
      <c r="BC544" s="53" t="n"/>
      <c r="BD544" s="53" t="n"/>
      <c r="BE544" s="53" t="n"/>
      <c r="BF544" s="53" t="n"/>
      <c r="BG544" s="53" t="n"/>
      <c r="BH544" s="53" t="n"/>
      <c r="BI544" s="53" t="n"/>
      <c r="BJ544" s="53" t="n"/>
      <c r="BK544" s="53" t="n"/>
      <c r="BL544" s="53" t="n"/>
      <c r="BM544" s="53" t="n"/>
      <c r="BN544" s="53" t="n"/>
      <c r="BO544" s="53" t="n"/>
      <c r="BP544" s="53" t="n"/>
      <c r="BQ544" s="53" t="n"/>
      <c r="BR544" s="53" t="n"/>
      <c r="BS544" s="53" t="n"/>
      <c r="BT544" s="53" t="n"/>
      <c r="BU544" s="53" t="n"/>
      <c r="BV544" s="53" t="n"/>
      <c r="BW544" s="53" t="n"/>
      <c r="BX544" s="53" t="n"/>
      <c r="BY544" s="53" t="n"/>
      <c r="BZ544" s="53" t="n"/>
      <c r="CA544" s="53" t="n"/>
      <c r="CB544" s="53" t="n"/>
      <c r="CC544" s="53" t="n"/>
      <c r="CD544" s="53" t="n"/>
      <c r="CE544" s="53" t="n"/>
      <c r="CF544" s="53" t="n"/>
      <c r="CG544" s="53" t="n"/>
      <c r="CH544" s="53" t="n"/>
      <c r="CI544" s="53" t="n"/>
      <c r="CJ544" s="53" t="n"/>
      <c r="CK544" s="53" t="n"/>
      <c r="CL544" s="53" t="n"/>
      <c r="CM544" s="53" t="n"/>
      <c r="CN544" s="53" t="n"/>
      <c r="CO544" s="53" t="n"/>
      <c r="CP544" s="53" t="n"/>
      <c r="CQ544" s="53" t="n"/>
      <c r="CR544" s="53" t="n"/>
      <c r="CS544" s="53" t="n"/>
      <c r="CT544" s="53" t="n"/>
      <c r="CU544" s="53" t="n"/>
      <c r="CV544" s="53" t="n"/>
      <c r="CW544" s="53" t="n"/>
      <c r="CX544" s="53" t="n"/>
      <c r="CY544" s="53" t="n"/>
      <c r="CZ544" s="53" t="n"/>
      <c r="DA544" s="53" t="n"/>
      <c r="DB544" s="53" t="n"/>
      <c r="DC544" s="53" t="n"/>
      <c r="DD544" s="53" t="inlineStr">
        <is>
          <t>IRIS1689</t>
        </is>
      </c>
      <c r="DE544" s="53" t="inlineStr">
        <is>
          <t>Employee</t>
        </is>
      </c>
      <c r="DF544" s="53" t="inlineStr">
        <is>
          <t>Active</t>
        </is>
      </c>
      <c r="DG544" s="53" t="inlineStr">
        <is>
          <t>Suman Kumar</t>
        </is>
      </c>
      <c r="DH544" s="54" t="n">
        <v>43070</v>
      </c>
      <c r="DI544" s="53" t="inlineStr">
        <is>
          <t>Technical Architect</t>
        </is>
      </c>
      <c r="DJ544" s="53" t="inlineStr">
        <is>
          <t>Engineering &amp; Architecture</t>
        </is>
      </c>
      <c r="DK544" s="53" t="inlineStr">
        <is>
          <t>Solution / Software Architecture</t>
        </is>
      </c>
      <c r="DL544" s="53" t="inlineStr">
        <is>
          <t>Technical Architect</t>
        </is>
      </c>
      <c r="DM544" s="53" t="inlineStr">
        <is>
          <t>L3 – Professional / Associate</t>
        </is>
      </c>
      <c r="DN544" s="53" t="inlineStr">
        <is>
          <t>B.E</t>
        </is>
      </c>
      <c r="DO544" s="53" t="inlineStr">
        <is>
          <t>Pradip Dey</t>
        </is>
      </c>
      <c r="DP544" s="53" t="inlineStr">
        <is>
          <t>N-2</t>
        </is>
      </c>
      <c r="DQ544" s="53" t="inlineStr">
        <is>
          <t>Manager</t>
        </is>
      </c>
      <c r="DR544" s="53" t="inlineStr">
        <is>
          <t>8 years, 5 months, 0 days</t>
        </is>
      </c>
      <c r="DS544" s="53" t="inlineStr">
        <is>
          <t>8 years, 6 months, 19 days</t>
        </is>
      </c>
      <c r="DT544" s="53" t="inlineStr">
        <is>
          <t>16 years, 11 months, 19 days</t>
        </is>
      </c>
      <c r="DU544" s="53" t="n">
        <v>8.552054794520551</v>
      </c>
      <c r="DV544" s="53" t="inlineStr">
        <is>
          <t>Suptech</t>
        </is>
      </c>
      <c r="DW544" s="53" t="inlineStr">
        <is>
          <t>iFile</t>
        </is>
      </c>
      <c r="DX544" s="53" t="inlineStr">
        <is>
          <t>Technology</t>
        </is>
      </c>
      <c r="DY544" s="53" t="inlineStr">
        <is>
          <t>Development</t>
        </is>
      </c>
      <c r="DZ544" s="53" t="inlineStr">
        <is>
          <t>Yes</t>
        </is>
      </c>
      <c r="EA544" s="53" t="inlineStr">
        <is>
          <t>Product/Project</t>
        </is>
      </c>
      <c r="EB544" s="53" t="inlineStr">
        <is>
          <t>Java</t>
        </is>
      </c>
      <c r="EC544" s="53" t="inlineStr">
        <is>
          <t>Technical - Developer</t>
        </is>
      </c>
      <c r="ED544" s="53" t="inlineStr">
        <is>
          <t>Work From Office - Turbhe</t>
        </is>
      </c>
      <c r="EE544" s="53" t="n"/>
      <c r="EF544" s="53" t="inlineStr">
        <is>
          <t>1. SARB Program
Lead architecture, execution, and delivery governance for SARB program including Phase 4 
&gt;90% milestone adherence for Change Request and Phase 4
Zero critical design failures impacting production
&lt;4 major escalations in a year
2. Saudi Stock Exchange Upgrade
Own end-to-end technical design and ensure high-quality implementation while mentoring team 
Timely completion of project work as per schedule
Demonstrable team capability uplift · reduced dependency/improved delivery speed
Client engagement/negotiation as required 
3. Jordan Securities Systems
Ensure stability, reliability, and continuous improvement of live operations 
Ensure Zero critical production incidents
Offer Valude added solution to client
4. Deposit Insurance System Ownership
Drive productization and establish SME leadership across functional and technical domains 
Completion of reusable product architecture/framework
1-2 successful deployments or client adoptions by Dec 2026
Recognition as SME in internal/external forums
5. Pre-sales &amp; Strategic Contributions
Support business growth through technical solutioning and client engagement 
Support with 4-5 strategic bids/proposals
Organization level talent builgding and initiatives</t>
        </is>
      </c>
      <c r="EG544" s="53" t="inlineStr">
        <is>
          <t>1. SARB CR completion as per schedule
2. Saudi stock exchange project execution as per schedule
3. Jordan -  Ongoing operations support and client engagement 
4. Pre-sales &amp; Strategic Contributions</t>
        </is>
      </c>
      <c r="EH544" s="53" t="inlineStr">
        <is>
          <t>Outstanding</t>
        </is>
      </c>
      <c r="EI544" s="54" t="n">
        <v>45931</v>
      </c>
      <c r="EJ544" s="53" t="inlineStr">
        <is>
          <t>Technical Architect</t>
        </is>
      </c>
      <c r="EK544" s="53" t="n"/>
      <c r="EL544" s="53" t="n">
        <v>5</v>
      </c>
      <c r="EM544" s="53" t="inlineStr">
        <is>
          <t>High</t>
        </is>
      </c>
      <c r="EN544" s="53" t="inlineStr">
        <is>
          <t>Future Leader</t>
        </is>
      </c>
      <c r="EO544" s="53" t="n"/>
      <c r="EP544" s="53" t="inlineStr">
        <is>
          <t>Y</t>
        </is>
      </c>
      <c r="EQ544" s="53" t="inlineStr">
        <is>
          <t>Y</t>
        </is>
      </c>
      <c r="ER544" s="53" t="n"/>
      <c r="ES544" s="53" t="inlineStr">
        <is>
          <t>TOGAF certification
Deposit Insurance Domain expertise if Suman wants to</t>
        </is>
      </c>
      <c r="ET544" s="53" t="n"/>
      <c r="EU544" s="53" t="inlineStr">
        <is>
          <t>QFCRA,TADAWUL</t>
        </is>
      </c>
      <c r="EV544" s="53" t="n"/>
      <c r="EW544" s="52" t="n"/>
      <c r="EX544" s="53" t="n"/>
      <c r="EY544" s="53" t="n"/>
      <c r="EZ544" s="53" t="n"/>
      <c r="FA544" s="53" t="n"/>
      <c r="FB544" s="53" t="n"/>
      <c r="FC544" s="53" t="n"/>
      <c r="FD544" s="53" t="n"/>
      <c r="FE544" s="57" t="inlineStr">
        <is>
          <t>1. SARB Program
Lead architecture, execution, and delivery governance for SARB program including Phase 4  
&gt;90% milestone adherence for Change Request and Phase 4
Zero critical design failures impacting production
&lt;4 major escalations in a year
2. Saudi Stock Exchange Upgrade
Own end-to-end technical design and ensure high-quality implementation while mentoring team  
Timely completion of project work as per schedule
Demonstrable team capability uplift · reduced dependency/improved delivery speed
Client engagement/negotiation as required 
3. Jordan Securities Systems
Ensure stability, reliability, and continuous improvement of live operations  
Ensure Zero critical production incidents
Offer Valude added solution to client
4. Deposit Insurance System Ownership
Drive productization and establish SME leadership across functional and technical domains  
Completion of reusable product architecture/framework
1-2 successful deployments or client adoptions by Dec 2026
Recognition as SME in internal/external forums
5. Pre-sales &amp; Strategic Contributions
Support business growth through technical solutioning and client engagement  
Support with 4-5 strategic bids/proposals
Organization level talent builgding and initiatives</t>
        </is>
      </c>
      <c r="FF544" s="56" t="inlineStr">
        <is>
          <t>1. SARB CR completion as per schedule
2. Saudi stock exchange project execution as per schedule
3. Jordan -  Ongoing operations support and client engagement 
4. Pre-sales &amp; Strategic Contributions</t>
        </is>
      </c>
      <c r="FG544" s="56" t="n"/>
      <c r="FH544" s="56" t="inlineStr">
        <is>
          <t>Outstanding</t>
        </is>
      </c>
      <c r="FI544" s="56" t="n"/>
      <c r="FJ544" s="56" t="inlineStr">
        <is>
          <t>Received · manager annual, quarterly</t>
        </is>
      </c>
      <c r="FK544" s="56" t="inlineStr">
        <is>
          <t>Talent Mapping · iFile collated</t>
        </is>
      </c>
      <c r="FL544" s="56" t="n">
        <v>20</v>
      </c>
      <c r="FM544" s="32" t="inlineStr">
        <is>
          <t>Full survey answers not in the files received · How We Grow export needed · HR</t>
        </is>
      </c>
      <c r="FN544" s="56" t="inlineStr">
        <is>
          <t>—</t>
        </is>
      </c>
      <c r="FO544" s="56" t="inlineStr">
        <is>
          <t>—</t>
        </is>
      </c>
      <c r="FP544" s="56" t="inlineStr">
        <is>
          <t>—</t>
        </is>
      </c>
      <c r="FQ544" s="56" t="inlineStr">
        <is>
          <t>—</t>
        </is>
      </c>
      <c r="FR544" s="56" t="inlineStr">
        <is>
          <t>Complexity: Evidence reads like B3: Architects complex client solutions with datasets up to 30GB; KRA spans several regulator programmes → moved down 0.5
Autonomy: Evidence reads like B1: Decides the solution approach that technical and functional teams then implement → moved down 1
Accountability: Evidence reads like B2: Accountable for solution architecture meeting complex requirements; KRA adds delivery governance of SARB programme → moved down 0.5
Leadership: Evidence reads like B2: Guides the technical and the functional team; 6 direct reports → moved down 0.5
Business Impact: Moved +0.5: the survey / manager mapping marks it business-critical.</t>
        </is>
      </c>
      <c r="FS544" s="56" t="inlineStr">
        <is>
          <t>Common themes in role-holders' answers: technical · client · design · understanding · solution · application
Common themes in role-holders' answers: client · documentation · technical · solution · requirement · meeting
Common themes in role-holders' answers: solution · architecture · design
Common themes in role-holders' answers: client · if · solution · architecture · design · technical
Common themes in role-holders' answers: approach
If the work is missed · role-holders' themes: client · time.
Measured on · manager-set KRA themes: support · technical · project · completion · develop · year.</t>
        </is>
      </c>
      <c r="FT544" s="56" t="inlineStr">
        <is>
          <t>Self-identified: Domain, regulatory &amp; XBRL · Communication &amp; presentation · Certification / formal course
For the next role: Domain, regulatory &amp; XBRL · Communication &amp; presentation · Certification / formal course</t>
        </is>
      </c>
      <c r="FU544" s="32" t="inlineStr">
        <is>
          <t>Full survey answers not in the files received · How We Grow export needed · HR</t>
        </is>
      </c>
    </row>
    <row r="545" ht="90" customHeight="1">
      <c r="A545" s="51" t="inlineStr">
        <is>
          <t>◂ Back</t>
        </is>
      </c>
      <c r="B545" s="29" t="inlineStr">
        <is>
          <t>Mapped</t>
        </is>
      </c>
      <c r="C545" s="28" t="inlineStr">
        <is>
          <t>iFile</t>
        </is>
      </c>
      <c r="D545" s="29" t="inlineStr">
        <is>
          <t>IRIS2082</t>
        </is>
      </c>
      <c r="E545" s="29" t="inlineStr">
        <is>
          <t>Giridhar Singh</t>
        </is>
      </c>
      <c r="F545" s="29" t="inlineStr">
        <is>
          <t>Technology</t>
        </is>
      </c>
      <c r="G545" s="29" t="inlineStr">
        <is>
          <t>Technical Architect</t>
        </is>
      </c>
      <c r="H545" s="29" t="inlineStr">
        <is>
          <t>Technical Architect</t>
        </is>
      </c>
      <c r="I545" s="29" t="inlineStr">
        <is>
          <t>L3 – Professional / Associate</t>
        </is>
      </c>
      <c r="J545" s="29" t="inlineStr">
        <is>
          <t>B3</t>
        </is>
      </c>
      <c r="K545" s="29" t="inlineStr">
        <is>
          <t>▲ Up</t>
        </is>
      </c>
      <c r="L545" s="29" t="inlineStr">
        <is>
          <t>Engineering &amp; Architecture</t>
        </is>
      </c>
      <c r="M545" s="29" t="inlineStr">
        <is>
          <t>Solution &amp; Technical Architecture</t>
        </is>
      </c>
      <c r="N545" s="29" t="inlineStr">
        <is>
          <t>• Confirm the reporting line — Manager</t>
        </is>
      </c>
      <c r="O545" s="29" t="n">
        <v>20</v>
      </c>
      <c r="P545" s="28" t="inlineStr">
        <is>
          <t>P5 / M4</t>
        </is>
      </c>
      <c r="Q545" s="29" t="inlineStr">
        <is>
          <t>Expert / Senior Manager</t>
        </is>
      </c>
      <c r="R545" s="29" t="inlineStr">
        <is>
          <t>5 Ensure, advise</t>
        </is>
      </c>
      <c r="S545" s="29" t="inlineStr">
        <is>
          <t>8–12 yrs</t>
        </is>
      </c>
      <c r="T545" s="29" t="inlineStr">
        <is>
          <t>9–13 · 9–14</t>
        </is>
      </c>
      <c r="U545" s="29" t="inlineStr">
        <is>
          <t>Chief / Enterprise Architect</t>
        </is>
      </c>
      <c r="V545" s="29" t="inlineStr">
        <is>
          <t>Workiva: Staff SE · Broadridge India: Senior Lead SE · Nasdaq / AxiomSL: Lead SE · Salesforce: LMTS · Atlassian: P50 Senior · Freshworks: Staff SE</t>
        </is>
      </c>
      <c r="W545" s="29" t="inlineStr">
        <is>
          <t>SFIA 9 · solution architecture; TOGAF; AWS / Azure architect certifications</t>
        </is>
      </c>
      <c r="X545" s="29" t="inlineStr">
        <is>
          <t>Core 4 · Future 3 · Functional 4 · Leadership 3</t>
        </is>
      </c>
      <c r="Y545" s="52" t="n">
        <v>255</v>
      </c>
      <c r="Z545" s="53" t="inlineStr">
        <is>
          <t>IRIS2082</t>
        </is>
      </c>
      <c r="AA545" s="53" t="inlineStr">
        <is>
          <t>Employee</t>
        </is>
      </c>
      <c r="AB545" s="53" t="inlineStr">
        <is>
          <t>Active</t>
        </is>
      </c>
      <c r="AC545" s="53" t="inlineStr">
        <is>
          <t>Giridhar Singh</t>
        </is>
      </c>
      <c r="AD545" s="54" t="n">
        <v>44894</v>
      </c>
      <c r="AE545" s="53" t="inlineStr">
        <is>
          <t>Technical Architect</t>
        </is>
      </c>
      <c r="AF545" s="53" t="inlineStr">
        <is>
          <t>B.SC</t>
        </is>
      </c>
      <c r="AG545" s="53" t="inlineStr">
        <is>
          <t>Suman Kumar</t>
        </is>
      </c>
      <c r="AH545" s="53" t="inlineStr">
        <is>
          <t>N-2</t>
        </is>
      </c>
      <c r="AI545" s="53" t="inlineStr">
        <is>
          <t>Individual Contributor</t>
        </is>
      </c>
      <c r="AJ545" s="53" t="inlineStr">
        <is>
          <t>14 years, 1 months, 0 days</t>
        </is>
      </c>
      <c r="AK545" s="53" t="inlineStr">
        <is>
          <t>3 years, 8 months, 27 days</t>
        </is>
      </c>
      <c r="AL545" s="53" t="inlineStr">
        <is>
          <t>Suptech</t>
        </is>
      </c>
      <c r="AM545" s="53" t="inlineStr">
        <is>
          <t>iFile</t>
        </is>
      </c>
      <c r="AN545" s="53" t="inlineStr">
        <is>
          <t>Technology</t>
        </is>
      </c>
      <c r="AO545" s="53" t="inlineStr">
        <is>
          <t>Development</t>
        </is>
      </c>
      <c r="AP545" s="53" t="inlineStr">
        <is>
          <t>Yes</t>
        </is>
      </c>
      <c r="AQ545" s="53" t="inlineStr">
        <is>
          <t>Product/Project</t>
        </is>
      </c>
      <c r="AR545" s="53" t="inlineStr">
        <is>
          <t>Java</t>
        </is>
      </c>
      <c r="AS545" s="53" t="inlineStr">
        <is>
          <t>Technical - Developer</t>
        </is>
      </c>
      <c r="AT545" s="53" t="n">
        <v>20</v>
      </c>
      <c r="AU545" s="53" t="inlineStr">
        <is>
          <t>Covered</t>
        </is>
      </c>
      <c r="AV545" s="53" t="n"/>
      <c r="AW545" s="53" t="n"/>
      <c r="AX545" s="53" t="n"/>
      <c r="AY545" s="53" t="n"/>
      <c r="AZ545" s="53" t="n"/>
      <c r="BA545" s="53" t="n"/>
      <c r="BB545" s="53" t="n"/>
      <c r="BC545" s="53" t="n"/>
      <c r="BD545" s="53" t="n"/>
      <c r="BE545" s="53" t="n"/>
      <c r="BF545" s="53" t="n"/>
      <c r="BG545" s="53" t="n"/>
      <c r="BH545" s="53" t="n"/>
      <c r="BI545" s="53" t="n"/>
      <c r="BJ545" s="53" t="n"/>
      <c r="BK545" s="53" t="n"/>
      <c r="BL545" s="53" t="n"/>
      <c r="BM545" s="53" t="n"/>
      <c r="BN545" s="53" t="n"/>
      <c r="BO545" s="53" t="n"/>
      <c r="BP545" s="53" t="n"/>
      <c r="BQ545" s="53" t="n"/>
      <c r="BR545" s="53" t="n"/>
      <c r="BS545" s="53" t="n"/>
      <c r="BT545" s="53" t="n"/>
      <c r="BU545" s="53" t="n"/>
      <c r="BV545" s="53" t="n"/>
      <c r="BW545" s="53" t="n"/>
      <c r="BX545" s="53" t="n"/>
      <c r="BY545" s="53" t="n"/>
      <c r="BZ545" s="53" t="n"/>
      <c r="CA545" s="53" t="n"/>
      <c r="CB545" s="53" t="n"/>
      <c r="CC545" s="53" t="n"/>
      <c r="CD545" s="53" t="n"/>
      <c r="CE545" s="53" t="n"/>
      <c r="CF545" s="53" t="n"/>
      <c r="CG545" s="53" t="n"/>
      <c r="CH545" s="53" t="n"/>
      <c r="CI545" s="53" t="n"/>
      <c r="CJ545" s="53" t="n"/>
      <c r="CK545" s="53" t="n"/>
      <c r="CL545" s="53" t="n"/>
      <c r="CM545" s="53" t="n"/>
      <c r="CN545" s="53" t="n"/>
      <c r="CO545" s="53" t="n"/>
      <c r="CP545" s="53" t="n"/>
      <c r="CQ545" s="53" t="n"/>
      <c r="CR545" s="53" t="n"/>
      <c r="CS545" s="53" t="n"/>
      <c r="CT545" s="53" t="n"/>
      <c r="CU545" s="53" t="n"/>
      <c r="CV545" s="53" t="n"/>
      <c r="CW545" s="53" t="n"/>
      <c r="CX545" s="53" t="n"/>
      <c r="CY545" s="53" t="n"/>
      <c r="CZ545" s="53" t="n"/>
      <c r="DA545" s="53" t="n"/>
      <c r="DB545" s="53" t="n"/>
      <c r="DC545" s="53" t="n"/>
      <c r="DD545" s="53" t="inlineStr">
        <is>
          <t>IRIS2082</t>
        </is>
      </c>
      <c r="DE545" s="53" t="inlineStr">
        <is>
          <t>Employee</t>
        </is>
      </c>
      <c r="DF545" s="53" t="inlineStr">
        <is>
          <t>Active</t>
        </is>
      </c>
      <c r="DG545" s="53" t="inlineStr">
        <is>
          <t>Giridhar Singh</t>
        </is>
      </c>
      <c r="DH545" s="54" t="n">
        <v>44894</v>
      </c>
      <c r="DI545" s="53" t="inlineStr">
        <is>
          <t>Technical Architect</t>
        </is>
      </c>
      <c r="DJ545" s="53" t="inlineStr">
        <is>
          <t>Engineering &amp; Architecture</t>
        </is>
      </c>
      <c r="DK545" s="53" t="inlineStr">
        <is>
          <t>Solution / Software Architecture</t>
        </is>
      </c>
      <c r="DL545" s="53" t="inlineStr">
        <is>
          <t>Technical Architect</t>
        </is>
      </c>
      <c r="DM545" s="53" t="inlineStr">
        <is>
          <t>L3 – Professional / Associate</t>
        </is>
      </c>
      <c r="DN545" s="53" t="inlineStr">
        <is>
          <t>B.SC</t>
        </is>
      </c>
      <c r="DO545" s="53" t="inlineStr">
        <is>
          <t>Suman Kumar</t>
        </is>
      </c>
      <c r="DP545" s="53" t="inlineStr">
        <is>
          <t>N-3</t>
        </is>
      </c>
      <c r="DQ545" s="53" t="inlineStr">
        <is>
          <t>Individual Contributor</t>
        </is>
      </c>
      <c r="DR545" s="53" t="inlineStr">
        <is>
          <t>14 years, 1 months, 0 days</t>
        </is>
      </c>
      <c r="DS545" s="53" t="inlineStr">
        <is>
          <t>3 years, 6 months, 22 days</t>
        </is>
      </c>
      <c r="DT545" s="53" t="inlineStr">
        <is>
          <t>17 years, 7 months, 22 days</t>
        </is>
      </c>
      <c r="DU545" s="53" t="n"/>
      <c r="DV545" s="53" t="inlineStr">
        <is>
          <t>Suptech</t>
        </is>
      </c>
      <c r="DW545" s="53" t="inlineStr">
        <is>
          <t>iFile</t>
        </is>
      </c>
      <c r="DX545" s="53" t="inlineStr">
        <is>
          <t>Technology</t>
        </is>
      </c>
      <c r="DY545" s="53" t="inlineStr">
        <is>
          <t>Development</t>
        </is>
      </c>
      <c r="DZ545" s="53" t="inlineStr">
        <is>
          <t>Yes</t>
        </is>
      </c>
      <c r="EA545" s="53" t="inlineStr">
        <is>
          <t>Product/Project</t>
        </is>
      </c>
      <c r="EB545" s="53" t="inlineStr">
        <is>
          <t>Java</t>
        </is>
      </c>
      <c r="EC545" s="53" t="inlineStr">
        <is>
          <t>Technical - Developer</t>
        </is>
      </c>
      <c r="ED545" s="53" t="inlineStr">
        <is>
          <t>Remote- Outside Mumbai</t>
        </is>
      </c>
      <c r="EE545" s="53" t="inlineStr">
        <is>
          <t>1. Solution Architecture &amp; Technical Design
Design and establish the technical architecture for Mini iFile by creating HLD, LLD, Architecture Diagrams, and database design · In Progress, for all modules.
2. Core Platform Development &amp; Delivery
Will Lead the design and implementation of core platform modules by achieving milestones while ensuring compliance with functional and quality requirements.
3. External System Integration
Lead the design and implementation of integrations with Tadawul APIs, XBRL WebForm, authentication, and other external systems, ensuring 100% completion of planned integration milestones with successful SIT/UAT validation.
4. Stakeholder Collaboration
Coordinate effectively with Business, QA, DevOps, Tadawul and cross-functional teams.
5. Documentation &amp; Knowledge Management
Create and maintain comprehensive technical documentation, including architecture documents, deployment guides, and implementation notes. Ensure 100% documentation coverage for major modules.
6. Technical Leadership &amp; Team Enablement
Will provide technical leadership through architecture reviews, code reviews, technical mentoring, and design discussions. Ensure 100% review of critical technical deliverables and actively support the development team in resolving complex technical challenges.</t>
        </is>
      </c>
      <c r="EF545"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EG545"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H545" s="53" t="n">
        <v>3</v>
      </c>
      <c r="EI545" s="54" t="n">
        <v>46113</v>
      </c>
      <c r="EJ545" s="53" t="inlineStr">
        <is>
          <t>Technical Architect</t>
        </is>
      </c>
      <c r="EK545" s="53" t="inlineStr">
        <is>
          <t>No</t>
        </is>
      </c>
      <c r="EL545" s="53" t="n">
        <v>2</v>
      </c>
      <c r="EM545" s="53" t="inlineStr">
        <is>
          <t>Low</t>
        </is>
      </c>
      <c r="EN545" s="53" t="inlineStr">
        <is>
          <t>Performance Risk</t>
        </is>
      </c>
      <c r="EO545" s="53" t="inlineStr">
        <is>
          <t>No</t>
        </is>
      </c>
      <c r="EP545" s="53" t="inlineStr">
        <is>
          <t>No</t>
        </is>
      </c>
      <c r="EQ545" s="53" t="inlineStr">
        <is>
          <t>Yes</t>
        </is>
      </c>
      <c r="ER545" s="53" t="n"/>
      <c r="ES545" s="53" t="inlineStr">
        <is>
          <t>Reactive Programming/Spring AI/System Design &amp; Pattern</t>
        </is>
      </c>
      <c r="ET545" s="53" t="n"/>
      <c r="EU545" s="53" t="n"/>
      <c r="EV545" s="53" t="n"/>
      <c r="EW545" s="52" t="n"/>
      <c r="EX545" s="53" t="n"/>
      <c r="EY545" s="53" t="n"/>
      <c r="EZ545" s="53" t="n"/>
      <c r="FA545" s="53" t="n"/>
      <c r="FB545" s="53" t="n"/>
      <c r="FC545" s="53" t="n"/>
      <c r="FD545" s="53" t="n"/>
      <c r="FE545"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FF545"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FG545" s="56" t="inlineStr">
        <is>
          <t>1. Solution Architecture &amp; Technical Design
Design and establish the technical architecture for Mini iFile by creating HLD, LLD, Architecture Diagrams, and database design · In Progress, for all modules.
2. Core Platform Development &amp; Delivery
Will Lead the design and implementation of core platform modules by achieving milestones while ensuring compliance with functional and quality requirements.
3. External System Integration
Lead the design and implementation of integrations with Tadawul APIs, XBRL WebForm, authentication, and other external systems, ensuring 100% completion of planned integration milestones with successful SIT/UAT validation.
4. Stakeholder Collaboration
Coordinate effectively with Business, QA, DevOps, Tadawul and cross-functional teams.
5. Documentation &amp; Knowledge Management
Create and maintain comprehensive technical documentation, including architecture documents, deployment guides, and implementation notes. Ensure 100% documentation coverage for major modules.
6. Technical Leadership &amp; Team Enablement
Will provide technical leadership through architecture reviews, code reviews, technical mentoring, and design discussions. Ensure 100% review of critical technical deliverables and actively support the development team in resolving complex technical challenges.</t>
        </is>
      </c>
      <c r="FH545" s="56" t="inlineStr">
        <is>
          <t>3</t>
        </is>
      </c>
      <c r="FI545" s="56" t="n"/>
      <c r="FJ545" s="56" t="inlineStr">
        <is>
          <t>Received · manager annual, quarterly, self</t>
        </is>
      </c>
      <c r="FK545" s="56" t="inlineStr">
        <is>
          <t>Talent Mapping · iFile collated</t>
        </is>
      </c>
      <c r="FL545" s="56" t="n">
        <v>20</v>
      </c>
      <c r="FM545" s="32" t="inlineStr">
        <is>
          <t>Full survey answers not in the files received · How We Grow export needed · HR</t>
        </is>
      </c>
      <c r="FN545" s="56" t="inlineStr">
        <is>
          <t>—</t>
        </is>
      </c>
      <c r="FO545" s="56" t="inlineStr">
        <is>
          <t>—</t>
        </is>
      </c>
      <c r="FP545" s="56" t="inlineStr">
        <is>
          <t>—</t>
        </is>
      </c>
      <c r="FQ545" s="56" t="inlineStr">
        <is>
          <t>—</t>
        </is>
      </c>
      <c r="FR545" s="56" t="inlineStr">
        <is>
          <t>Complexity: Evidence reads like B3: Architecture for Mini iFile: HLD, LLD, database design for all modules, Tadawul and WebForm integrations → moved down 0.5
Autonomy: Evidence reads like B1: Decides technical design, implementation approach and code standards for the platform → moved down 1
Accountability: Evidence reads like B1: Accountable for technical architecture, solution design and technical decisions of the Mini iFile platform → moved down 1
Leadership: Evidence reads like B1: Provides technical leadership to the build team; leads design and implementation; no direct reports → moved down 1
Business Impact: Moved +0.5: the survey / manager mapping marks it business-critical.</t>
        </is>
      </c>
      <c r="FS545" s="56" t="inlineStr">
        <is>
          <t>Common themes in role-holders' answers: technical · project
Common themes in role-holders' answers: technical
Common themes in role-holders' answers: architecture · design
Common themes in role-holders' answers: technical · approach
If the work is missed · role-holders' themes: impact · cause · delivery.
Measured on · manager-set KRA themes: code · leakage qa/uat · defect · technical · quality · agreed.</t>
        </is>
      </c>
      <c r="FT545" s="56" t="inlineStr">
        <is>
          <t>Self-identified: Leadership &amp; people management · Technical depth &amp; architecture · Strategy &amp; business acumen
For the next role: Leadership &amp; people management · Technical depth &amp; architecture · Strategy &amp; business acumen</t>
        </is>
      </c>
      <c r="FU545" s="32" t="inlineStr">
        <is>
          <t>Full survey answers not in the files received · How We Grow export needed · HR</t>
        </is>
      </c>
    </row>
    <row r="546" ht="90" customHeight="1">
      <c r="A546" s="51" t="inlineStr">
        <is>
          <t>◂ Back</t>
        </is>
      </c>
      <c r="B546" s="29" t="inlineStr">
        <is>
          <t>Mapped</t>
        </is>
      </c>
      <c r="C546" s="28" t="inlineStr">
        <is>
          <t>iFile</t>
        </is>
      </c>
      <c r="D546" s="29" t="inlineStr">
        <is>
          <t>IRIS2465</t>
        </is>
      </c>
      <c r="E546" s="29" t="inlineStr">
        <is>
          <t>Monisha Ubriani</t>
        </is>
      </c>
      <c r="F546" s="29" t="inlineStr">
        <is>
          <t>Technology</t>
        </is>
      </c>
      <c r="G546" s="29" t="inlineStr">
        <is>
          <t>Lead Software Engineer</t>
        </is>
      </c>
      <c r="H546" s="29" t="inlineStr">
        <is>
          <t>Senior Technical Specialist</t>
        </is>
      </c>
      <c r="I546" s="29" t="inlineStr">
        <is>
          <t>L5 – Lead · IC</t>
        </is>
      </c>
      <c r="J546" s="29" t="inlineStr">
        <is>
          <t>B2</t>
        </is>
      </c>
      <c r="K546" s="29" t="inlineStr">
        <is>
          <t>▼ Down · protected</t>
        </is>
      </c>
      <c r="L546" s="29" t="inlineStr">
        <is>
          <t>Engineering &amp; Development</t>
        </is>
      </c>
      <c r="M546" s="29" t="inlineStr">
        <is>
          <t>Backend Development</t>
        </is>
      </c>
      <c r="N546" s="29" t="n"/>
      <c r="O546" s="29" t="n">
        <v>20</v>
      </c>
      <c r="P546" s="28" t="inlineStr">
        <is>
          <t>P4 / M3</t>
        </is>
      </c>
      <c r="Q546" s="29" t="inlineStr">
        <is>
          <t>Senior / Manager</t>
        </is>
      </c>
      <c r="R546" s="29" t="inlineStr">
        <is>
          <t>4–5</t>
        </is>
      </c>
      <c r="S546" s="29" t="inlineStr">
        <is>
          <t>6–9 yrs</t>
        </is>
      </c>
      <c r="T546" s="29" t="inlineStr">
        <is>
          <t>7–10 · 6–11</t>
        </is>
      </c>
      <c r="U546" s="29" t="inlineStr">
        <is>
          <t>Lead / Staff Engineer</t>
        </is>
      </c>
      <c r="V546" s="29" t="inlineStr">
        <is>
          <t>Workiva: Senior SE · Broadridge India: Lead SE · Nasdaq / AxiomSL: Senior SE · Salesforce: SMTS · Atlassian: P50 Senior · 6–12 yrs · Freshworks: Lead SE</t>
        </is>
      </c>
      <c r="W546" s="29" t="inlineStr">
        <is>
          <t>SFIA 9 · software development, programming; OWASP secure coding; cloud vendor certifications</t>
        </is>
      </c>
      <c r="X546" s="29" t="inlineStr">
        <is>
          <t>Core 3 · Future 3 · Functional 4 · Leadership 2</t>
        </is>
      </c>
      <c r="Y546" s="52" t="n">
        <v>438</v>
      </c>
      <c r="Z546" s="53" t="inlineStr">
        <is>
          <t>IRIS2465</t>
        </is>
      </c>
      <c r="AA546" s="53" t="inlineStr">
        <is>
          <t>Employee</t>
        </is>
      </c>
      <c r="AB546" s="53" t="inlineStr">
        <is>
          <t>Active</t>
        </is>
      </c>
      <c r="AC546" s="53" t="inlineStr">
        <is>
          <t>Monisha Ubriani</t>
        </is>
      </c>
      <c r="AD546" s="54" t="n">
        <v>46041</v>
      </c>
      <c r="AE546" s="53" t="inlineStr">
        <is>
          <t>Lead Software Engineer</t>
        </is>
      </c>
      <c r="AF546" s="53" t="inlineStr">
        <is>
          <t>B.E</t>
        </is>
      </c>
      <c r="AG546" s="53" t="inlineStr">
        <is>
          <t>Suman Kumar</t>
        </is>
      </c>
      <c r="AH546" s="53" t="inlineStr">
        <is>
          <t>N-2</t>
        </is>
      </c>
      <c r="AI546" s="53" t="inlineStr">
        <is>
          <t>Individual Contributor</t>
        </is>
      </c>
      <c r="AJ546" s="53" t="inlineStr">
        <is>
          <t>11 years, 0 months, 0 days</t>
        </is>
      </c>
      <c r="AK546" s="53" t="inlineStr">
        <is>
          <t>0 years, 7 months, 6 days</t>
        </is>
      </c>
      <c r="AL546" s="53" t="inlineStr">
        <is>
          <t>Suptech</t>
        </is>
      </c>
      <c r="AM546" s="53" t="inlineStr">
        <is>
          <t>iFile</t>
        </is>
      </c>
      <c r="AN546" s="53" t="inlineStr">
        <is>
          <t>Technology</t>
        </is>
      </c>
      <c r="AO546" s="53" t="inlineStr">
        <is>
          <t>Development</t>
        </is>
      </c>
      <c r="AP546" s="53" t="inlineStr">
        <is>
          <t>Yes</t>
        </is>
      </c>
      <c r="AQ546" s="53" t="inlineStr">
        <is>
          <t>Product/Project</t>
        </is>
      </c>
      <c r="AR546" s="53" t="inlineStr">
        <is>
          <t>Java</t>
        </is>
      </c>
      <c r="AS546" s="53" t="inlineStr">
        <is>
          <t>Technical - Developer</t>
        </is>
      </c>
      <c r="AT546" s="53" t="n">
        <v>20</v>
      </c>
      <c r="AU546" s="53" t="inlineStr">
        <is>
          <t>Covered</t>
        </is>
      </c>
      <c r="AV546" s="53" t="n"/>
      <c r="AW546" s="53" t="n"/>
      <c r="AX546" s="53" t="n"/>
      <c r="AY546" s="53" t="n"/>
      <c r="AZ546" s="53" t="n"/>
      <c r="BA546" s="53" t="n"/>
      <c r="BB546" s="53" t="n"/>
      <c r="BC546" s="53" t="n"/>
      <c r="BD546" s="53" t="n"/>
      <c r="BE546" s="53" t="n"/>
      <c r="BF546" s="53" t="n"/>
      <c r="BG546" s="53" t="n"/>
      <c r="BH546" s="53" t="n"/>
      <c r="BI546" s="53" t="n"/>
      <c r="BJ546" s="53" t="n"/>
      <c r="BK546" s="53" t="n"/>
      <c r="BL546" s="53" t="n"/>
      <c r="BM546" s="53" t="n"/>
      <c r="BN546" s="53" t="n"/>
      <c r="BO546" s="53" t="n"/>
      <c r="BP546" s="53" t="n"/>
      <c r="BQ546" s="53" t="n"/>
      <c r="BR546" s="53" t="n"/>
      <c r="BS546" s="53" t="n"/>
      <c r="BT546" s="53" t="n"/>
      <c r="BU546" s="53" t="n"/>
      <c r="BV546" s="53" t="n"/>
      <c r="BW546" s="53" t="n"/>
      <c r="BX546" s="53" t="n"/>
      <c r="BY546" s="53" t="n"/>
      <c r="BZ546" s="53" t="n"/>
      <c r="CA546" s="53" t="n"/>
      <c r="CB546" s="53" t="n"/>
      <c r="CC546" s="53" t="n"/>
      <c r="CD546" s="53" t="n"/>
      <c r="CE546" s="53" t="n"/>
      <c r="CF546" s="53" t="n"/>
      <c r="CG546" s="53" t="n"/>
      <c r="CH546" s="53" t="n"/>
      <c r="CI546" s="53" t="n"/>
      <c r="CJ546" s="53" t="n"/>
      <c r="CK546" s="53" t="n"/>
      <c r="CL546" s="53" t="n"/>
      <c r="CM546" s="53" t="n"/>
      <c r="CN546" s="53" t="n"/>
      <c r="CO546" s="53" t="n"/>
      <c r="CP546" s="53" t="n"/>
      <c r="CQ546" s="53" t="n"/>
      <c r="CR546" s="53" t="n"/>
      <c r="CS546" s="53" t="n"/>
      <c r="CT546" s="53" t="n"/>
      <c r="CU546" s="53" t="n"/>
      <c r="CV546" s="53" t="n"/>
      <c r="CW546" s="53" t="n"/>
      <c r="CX546" s="53" t="n"/>
      <c r="CY546" s="53" t="n"/>
      <c r="CZ546" s="53" t="n"/>
      <c r="DA546" s="53" t="n"/>
      <c r="DB546" s="53" t="n"/>
      <c r="DC546" s="53" t="n"/>
      <c r="DD546" s="53" t="inlineStr">
        <is>
          <t>IRIS2465</t>
        </is>
      </c>
      <c r="DE546" s="53" t="inlineStr">
        <is>
          <t>Employee</t>
        </is>
      </c>
      <c r="DF546" s="53" t="inlineStr">
        <is>
          <t>Active</t>
        </is>
      </c>
      <c r="DG546" s="53" t="inlineStr">
        <is>
          <t>Monisha Ubriani</t>
        </is>
      </c>
      <c r="DH546" s="54" t="n">
        <v>46041</v>
      </c>
      <c r="DI546" s="53" t="inlineStr">
        <is>
          <t>Lead Software Engineer</t>
        </is>
      </c>
      <c r="DJ546" s="53" t="inlineStr">
        <is>
          <t>Engineering &amp; Development</t>
        </is>
      </c>
      <c r="DK546" s="53" t="inlineStr">
        <is>
          <t>Backend Engineering · Java</t>
        </is>
      </c>
      <c r="DL546" s="53" t="inlineStr">
        <is>
          <t>Lead Software Engineer</t>
        </is>
      </c>
      <c r="DM546" s="53" t="inlineStr">
        <is>
          <t>L5 – Lead · IC</t>
        </is>
      </c>
      <c r="DN546" s="53" t="inlineStr">
        <is>
          <t>B.E</t>
        </is>
      </c>
      <c r="DO546" s="53" t="inlineStr">
        <is>
          <t>Suman Kumar</t>
        </is>
      </c>
      <c r="DP546" s="53" t="inlineStr">
        <is>
          <t>N-3</t>
        </is>
      </c>
      <c r="DQ546" s="53" t="inlineStr">
        <is>
          <t>Individual Contributor</t>
        </is>
      </c>
      <c r="DR546" s="53" t="inlineStr">
        <is>
          <t>11 years, 0 months, 0 days</t>
        </is>
      </c>
      <c r="DS546" s="53" t="inlineStr">
        <is>
          <t>0 years, 5 months, 1 days</t>
        </is>
      </c>
      <c r="DT546" s="53" t="inlineStr">
        <is>
          <t>11 years, 5 months, 1 days</t>
        </is>
      </c>
      <c r="DU546" s="53" t="n"/>
      <c r="DV546" s="53" t="inlineStr">
        <is>
          <t>Suptech</t>
        </is>
      </c>
      <c r="DW546" s="53" t="inlineStr">
        <is>
          <t>iFile</t>
        </is>
      </c>
      <c r="DX546" s="53" t="inlineStr">
        <is>
          <t>Technology</t>
        </is>
      </c>
      <c r="DY546" s="53" t="inlineStr">
        <is>
          <t>Development</t>
        </is>
      </c>
      <c r="DZ546" s="53" t="inlineStr">
        <is>
          <t>Yes</t>
        </is>
      </c>
      <c r="EA546" s="53" t="inlineStr">
        <is>
          <t>Product/Project</t>
        </is>
      </c>
      <c r="EB546" s="53" t="inlineStr">
        <is>
          <t>Java</t>
        </is>
      </c>
      <c r="EC546" s="53" t="inlineStr">
        <is>
          <t>Technical - Developer</t>
        </is>
      </c>
      <c r="ED546" s="53" t="inlineStr">
        <is>
          <t>Work From Office - Turbhe</t>
        </is>
      </c>
      <c r="EE546" s="53" t="inlineStr">
        <is>
          <t>1. AI innovation -Identify and implement AI-driven solutions across product modules to improve automation, productivity, and user experience.
2. Feature delivery -Deliver assigned product features and enhancements on time while meeting quality. 
3. Maintain customer delivered solutions quality -Maintain application quality through code reviews, defect prevention, performance optimization, and timely issue resolution.
4. Technical leadership and improvement - Drive technical excellence through solution design, knowledge sharing, and implementation of reusable components and process improvements.
5. AI enabled documentation -Leverage AI to streamline the generation and maintenance of user stories, technical documentation, and test cases across development initiatives.</t>
        </is>
      </c>
      <c r="EF546"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
7. Manage end to end deployment at client environments: &gt;=90% of committed releases on time
8. Efficiently interact with client and other stakeholders to understand and plan development along with release: &gt;=90% of committed releases on time</t>
        </is>
      </c>
      <c r="EG546" s="53" t="inlineStr">
        <is>
          <t>Q1: Deliver committed sprint stories with &gt;=90% sprint commitment adherence this quarter
Q1: Maintain code quality: defect leakage to QA/UAT &lt;=5% of delivered stories
Q1: Resolve assigned production/critical bugs within agreed SLA · &gt;=95% within SLA</t>
        </is>
      </c>
      <c r="EH546" s="53" t="n">
        <v>4</v>
      </c>
      <c r="EI546" s="54" t="n">
        <v>46113</v>
      </c>
      <c r="EJ546" s="53" t="inlineStr">
        <is>
          <t>Lead Software Engineer</t>
        </is>
      </c>
      <c r="EK546" s="53" t="inlineStr">
        <is>
          <t>No</t>
        </is>
      </c>
      <c r="EL546" s="53" t="n">
        <v>4</v>
      </c>
      <c r="EM546" s="53" t="inlineStr">
        <is>
          <t>High</t>
        </is>
      </c>
      <c r="EN546" s="53" t="inlineStr">
        <is>
          <t>High Impact / Growth Talent</t>
        </is>
      </c>
      <c r="EO546" s="53" t="inlineStr">
        <is>
          <t>No</t>
        </is>
      </c>
      <c r="EP546" s="53" t="inlineStr">
        <is>
          <t>No</t>
        </is>
      </c>
      <c r="EQ546" s="53" t="inlineStr">
        <is>
          <t>Yes</t>
        </is>
      </c>
      <c r="ER546" s="53" t="n"/>
      <c r="ES546" s="53" t="inlineStr">
        <is>
          <t>Architecture &amp; Scalability/Spring AI/System Design &amp; Pattern</t>
        </is>
      </c>
      <c r="ET546" s="53" t="n"/>
      <c r="EU546" s="53" t="n"/>
      <c r="EV546" s="53" t="n"/>
      <c r="EW546" s="52" t="n"/>
      <c r="EX546" s="53" t="n"/>
      <c r="EY546" s="53" t="n"/>
      <c r="EZ546" s="53" t="n"/>
      <c r="FA546" s="53" t="n"/>
      <c r="FB546" s="53" t="n"/>
      <c r="FC546" s="53" t="n"/>
      <c r="FD546" s="53" t="n"/>
      <c r="FE546"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
7. Manage end to end deployment at client environments: &gt;=90% of committed releases on time
8. Efficiently interact with client and other stakeholders to understand and plan development along with release: &gt;=90% of committed releases on time</t>
        </is>
      </c>
      <c r="FF546" s="56" t="inlineStr">
        <is>
          <t>Q1: Deliver committed sprint stories with &gt;=90% sprint commitment adherence this quarter
Q1: Maintain code quality: defect leakage to QA/UAT &lt;=5% of delivered stories
Q1: Resolve assigned production/critical bugs within agreed SLA · &gt;=95% within SLA</t>
        </is>
      </c>
      <c r="FG546" s="56" t="inlineStr">
        <is>
          <t>1. AI innovation -Identify and implement AI-driven solutions across product modules to improve automation, productivity, and user experience.
2. Feature delivery -Deliver assigned product features and enhancements on time while meeting quality. 
3. Maintain customer delivered solutions quality -Maintain application quality through code reviews, defect prevention, performance optimization, and timely issue resolution.
4. Technical leadership and improvement - Drive technical excellence through solution design, knowledge sharing, and implementation of reusable components and process improvements.
5. AI enabled documentation -Leverage AI to streamline the generation and maintenance of user stories, technical documentation, and test cases across development initiatives.</t>
        </is>
      </c>
      <c r="FH546" s="56" t="inlineStr">
        <is>
          <t>4</t>
        </is>
      </c>
      <c r="FI546" s="56" t="n"/>
      <c r="FJ546" s="56" t="inlineStr">
        <is>
          <t>Received · manager annual, quarterly, self</t>
        </is>
      </c>
      <c r="FK546" s="56" t="inlineStr">
        <is>
          <t>Talent Mapping · iFile collated</t>
        </is>
      </c>
      <c r="FL546" s="56" t="n">
        <v>20</v>
      </c>
      <c r="FM546" s="32" t="inlineStr">
        <is>
          <t>Full survey answers not in the files received · How We Grow export needed · HR</t>
        </is>
      </c>
      <c r="FN546" s="56" t="inlineStr">
        <is>
          <t>—</t>
        </is>
      </c>
      <c r="FO546" s="56" t="inlineStr">
        <is>
          <t>—</t>
        </is>
      </c>
      <c r="FP546" s="56" t="inlineStr">
        <is>
          <t>—</t>
        </is>
      </c>
      <c r="FQ546" s="56" t="inlineStr">
        <is>
          <t>—</t>
        </is>
      </c>
      <c r="FR546" s="56" t="inlineStr">
        <is>
          <t>Complexity: Evidence reads like B1: Requirement analysis, process and solution design, test cases, code reviews, reusable AI skills → moved down 1
Autonomy: Evidence reads like B1: Gives developers day-to-day direction; decides test coverage, defect priority, team's AI tooling use → moved down 1
Accountability: Evidence reads like B1: Owns features end to end: requirement accuracy, design handed to developers, client commitments → moved down 1
Leadership: Evidence reads like A3: Reviews code and builds; introduces AI-assisted working methods to the team → moved down 1
Business Impact: Moved +0.5: the survey / manager mapping marks it business-critical.</t>
        </is>
      </c>
      <c r="FS546" s="56" t="inlineStr">
        <is>
          <t>Common themes in role-holders' answers: solutions · technical · reliable · scalable · software · business
Common themes in role-holders' answers: delivery · technical · code · solution design · ownership · leadership
Common themes in role-holders' answers: documentation · features · software · produce · deliver
Common themes in role-holders' answers: design · am · accountable · solution · technical · delivery
Common themes in role-holders' answers: technical · approach · design · implementation · ai · code
If the work is missed · role-holders' themes: rework · client · impact · production · issues.
Measured on · manager-set KRA themes: modules · coverage · complete · components · committed · sprint.</t>
        </is>
      </c>
      <c r="FT546" s="56" t="inlineStr">
        <is>
          <t>Self-identified: Technical depth &amp; architecture · Client, sales &amp; stakeholders · Broader exposure &amp; ownership
For the next role: Technical depth &amp; architecture · Client, sales &amp; stakeholders · Broader exposure &amp; ownership</t>
        </is>
      </c>
      <c r="FU546" s="32" t="inlineStr">
        <is>
          <t>Full survey answers not in the files received · How We Grow export needed · HR</t>
        </is>
      </c>
    </row>
    <row r="547" ht="90" customHeight="1">
      <c r="A547" s="51" t="inlineStr">
        <is>
          <t>◂ Back</t>
        </is>
      </c>
      <c r="B547" s="29" t="inlineStr">
        <is>
          <t>Mapped</t>
        </is>
      </c>
      <c r="C547" s="28" t="inlineStr">
        <is>
          <t>iFile</t>
        </is>
      </c>
      <c r="D547" s="29" t="inlineStr">
        <is>
          <t>IRIS1804</t>
        </is>
      </c>
      <c r="E547" s="29" t="inlineStr">
        <is>
          <t>Sagar Jadhav</t>
        </is>
      </c>
      <c r="F547" s="29" t="inlineStr">
        <is>
          <t>Technology</t>
        </is>
      </c>
      <c r="G547" s="29" t="inlineStr">
        <is>
          <t>Lead Software Engineer</t>
        </is>
      </c>
      <c r="H547" s="29" t="inlineStr">
        <is>
          <t>Engineering Manager</t>
        </is>
      </c>
      <c r="I547" s="29" t="inlineStr">
        <is>
          <t>L5 – Lead · IC</t>
        </is>
      </c>
      <c r="J547" s="29" t="inlineStr">
        <is>
          <t>B2</t>
        </is>
      </c>
      <c r="K547" s="29" t="inlineStr">
        <is>
          <t>▼ Down · protected</t>
        </is>
      </c>
      <c r="L547" s="29" t="inlineStr">
        <is>
          <t>Engineering &amp; Development</t>
        </is>
      </c>
      <c r="M547" s="29" t="inlineStr">
        <is>
          <t>Full-Stack Development</t>
        </is>
      </c>
      <c r="N547" s="29" t="n"/>
      <c r="O547" s="29" t="n">
        <v>20</v>
      </c>
      <c r="P547" s="28" t="inlineStr">
        <is>
          <t>P4 / M3</t>
        </is>
      </c>
      <c r="Q547" s="29" t="inlineStr">
        <is>
          <t>Senior / Manager</t>
        </is>
      </c>
      <c r="R547" s="29" t="inlineStr">
        <is>
          <t>4–5</t>
        </is>
      </c>
      <c r="S547" s="29" t="inlineStr">
        <is>
          <t>6–9 yrs</t>
        </is>
      </c>
      <c r="T547" s="29" t="inlineStr">
        <is>
          <t>7–10 · 6–11</t>
        </is>
      </c>
      <c r="U547" s="29" t="inlineStr">
        <is>
          <t>Manager</t>
        </is>
      </c>
      <c r="V547" s="29" t="inlineStr">
        <is>
          <t>Workiva: Senior SE · Broadridge India: Lead SE · Nasdaq / AxiomSL: Senior SE · Salesforce: SMTS · Atlassian: P50 Senior · 6–12 yrs · Freshworks: Lead SE</t>
        </is>
      </c>
      <c r="W547" s="29" t="inlineStr">
        <is>
          <t>SFIA 9 · software development, programming; OWASP secure coding; cloud vendor certifications</t>
        </is>
      </c>
      <c r="X547" s="29" t="inlineStr">
        <is>
          <t>Core 3 · Future 3 · Functional 4 · Leadership 3</t>
        </is>
      </c>
      <c r="Y547" s="52" t="n">
        <v>159</v>
      </c>
      <c r="Z547" s="53" t="inlineStr">
        <is>
          <t>IRIS1804</t>
        </is>
      </c>
      <c r="AA547" s="53" t="inlineStr">
        <is>
          <t>Employee</t>
        </is>
      </c>
      <c r="AB547" s="53" t="inlineStr">
        <is>
          <t>Active</t>
        </is>
      </c>
      <c r="AC547" s="53" t="inlineStr">
        <is>
          <t>Sagar Jadhav</t>
        </is>
      </c>
      <c r="AD547" s="54" t="n">
        <v>43703</v>
      </c>
      <c r="AE547" s="53" t="inlineStr">
        <is>
          <t>Lead Software Engineer</t>
        </is>
      </c>
      <c r="AF547" s="53" t="inlineStr">
        <is>
          <t>B.E</t>
        </is>
      </c>
      <c r="AG547" s="53" t="inlineStr">
        <is>
          <t>Suman Kumar</t>
        </is>
      </c>
      <c r="AH547" s="53" t="inlineStr">
        <is>
          <t>N-2</t>
        </is>
      </c>
      <c r="AI547" s="53" t="inlineStr">
        <is>
          <t>Manager</t>
        </is>
      </c>
      <c r="AJ547" s="53" t="inlineStr">
        <is>
          <t>6 years, 0 months, 0 days</t>
        </is>
      </c>
      <c r="AK547" s="53" t="inlineStr">
        <is>
          <t>6 years, 11 months, 30 days</t>
        </is>
      </c>
      <c r="AL547" s="53" t="inlineStr">
        <is>
          <t>Suptech</t>
        </is>
      </c>
      <c r="AM547" s="53" t="inlineStr">
        <is>
          <t>iFile</t>
        </is>
      </c>
      <c r="AN547" s="53" t="inlineStr">
        <is>
          <t>Technology</t>
        </is>
      </c>
      <c r="AO547" s="53" t="inlineStr">
        <is>
          <t>Development</t>
        </is>
      </c>
      <c r="AP547" s="53" t="inlineStr">
        <is>
          <t>Yes</t>
        </is>
      </c>
      <c r="AQ547" s="53" t="inlineStr">
        <is>
          <t>Product/Project</t>
        </is>
      </c>
      <c r="AR547" s="53" t="inlineStr">
        <is>
          <t>Java</t>
        </is>
      </c>
      <c r="AS547" s="53" t="inlineStr">
        <is>
          <t>Technical - Developer</t>
        </is>
      </c>
      <c r="AT547" s="53" t="n">
        <v>20</v>
      </c>
      <c r="AU547" s="53" t="inlineStr">
        <is>
          <t>Covered</t>
        </is>
      </c>
      <c r="AV547" s="53" t="n"/>
      <c r="AW547" s="53" t="n"/>
      <c r="AX547" s="53" t="n"/>
      <c r="AY547" s="53" t="n"/>
      <c r="AZ547" s="53" t="n"/>
      <c r="BA547" s="53" t="n"/>
      <c r="BB547" s="53" t="n"/>
      <c r="BC547" s="53" t="n"/>
      <c r="BD547" s="53" t="n"/>
      <c r="BE547" s="53" t="n"/>
      <c r="BF547" s="53" t="n"/>
      <c r="BG547" s="53" t="n"/>
      <c r="BH547" s="53" t="n"/>
      <c r="BI547" s="53" t="n"/>
      <c r="BJ547" s="53" t="n"/>
      <c r="BK547" s="53" t="n"/>
      <c r="BL547" s="53" t="n"/>
      <c r="BM547" s="53" t="n"/>
      <c r="BN547" s="53" t="n"/>
      <c r="BO547" s="53" t="n"/>
      <c r="BP547" s="53" t="n"/>
      <c r="BQ547" s="53" t="n"/>
      <c r="BR547" s="53" t="n"/>
      <c r="BS547" s="53" t="n"/>
      <c r="BT547" s="53" t="n"/>
      <c r="BU547" s="53" t="n"/>
      <c r="BV547" s="53" t="n"/>
      <c r="BW547" s="53" t="n"/>
      <c r="BX547" s="53" t="n"/>
      <c r="BY547" s="53" t="n"/>
      <c r="BZ547" s="53" t="n"/>
      <c r="CA547" s="53" t="n"/>
      <c r="CB547" s="53" t="n"/>
      <c r="CC547" s="53" t="n"/>
      <c r="CD547" s="53" t="n"/>
      <c r="CE547" s="53" t="n"/>
      <c r="CF547" s="53" t="n"/>
      <c r="CG547" s="53" t="n"/>
      <c r="CH547" s="53" t="n"/>
      <c r="CI547" s="53" t="n"/>
      <c r="CJ547" s="53" t="n"/>
      <c r="CK547" s="53" t="n"/>
      <c r="CL547" s="53" t="n"/>
      <c r="CM547" s="53" t="n"/>
      <c r="CN547" s="53" t="n"/>
      <c r="CO547" s="53" t="n"/>
      <c r="CP547" s="53" t="n"/>
      <c r="CQ547" s="53" t="n"/>
      <c r="CR547" s="53" t="n"/>
      <c r="CS547" s="53" t="n"/>
      <c r="CT547" s="53" t="n"/>
      <c r="CU547" s="53" t="n"/>
      <c r="CV547" s="53" t="n"/>
      <c r="CW547" s="53" t="n"/>
      <c r="CX547" s="53" t="n"/>
      <c r="CY547" s="53" t="n"/>
      <c r="CZ547" s="53" t="n"/>
      <c r="DA547" s="53" t="n"/>
      <c r="DB547" s="53" t="n"/>
      <c r="DC547" s="53" t="n"/>
      <c r="DD547" s="53" t="inlineStr">
        <is>
          <t>IRIS1804</t>
        </is>
      </c>
      <c r="DE547" s="53" t="inlineStr">
        <is>
          <t>Employee</t>
        </is>
      </c>
      <c r="DF547" s="53" t="inlineStr">
        <is>
          <t>Active</t>
        </is>
      </c>
      <c r="DG547" s="53" t="inlineStr">
        <is>
          <t>Sagar Jadhav</t>
        </is>
      </c>
      <c r="DH547" s="54" t="n">
        <v>43703</v>
      </c>
      <c r="DI547" s="53" t="inlineStr">
        <is>
          <t>Lead Software Engineer</t>
        </is>
      </c>
      <c r="DJ547" s="53" t="inlineStr">
        <is>
          <t>Engineering &amp; Development</t>
        </is>
      </c>
      <c r="DK547" s="53" t="inlineStr">
        <is>
          <t>Backend Engineering · Java</t>
        </is>
      </c>
      <c r="DL547" s="53" t="inlineStr">
        <is>
          <t>Lead Software Engineer</t>
        </is>
      </c>
      <c r="DM547" s="53" t="inlineStr">
        <is>
          <t>L5 – Lead · IC</t>
        </is>
      </c>
      <c r="DN547" s="53" t="inlineStr">
        <is>
          <t>B.E</t>
        </is>
      </c>
      <c r="DO547" s="53" t="inlineStr">
        <is>
          <t>Suman Kumar</t>
        </is>
      </c>
      <c r="DP547" s="53" t="inlineStr">
        <is>
          <t>N-3</t>
        </is>
      </c>
      <c r="DQ547" s="53" t="inlineStr">
        <is>
          <t>Manager</t>
        </is>
      </c>
      <c r="DR547" s="53" t="inlineStr">
        <is>
          <t>6 years, 0 months, 0 days</t>
        </is>
      </c>
      <c r="DS547" s="53" t="inlineStr">
        <is>
          <t>6 years, 9 months, 25 days</t>
        </is>
      </c>
      <c r="DT547" s="53" t="inlineStr">
        <is>
          <t>12 years, 9 months, 25 days</t>
        </is>
      </c>
      <c r="DU547" s="53" t="n">
        <v>6.81849315068493</v>
      </c>
      <c r="DV547" s="53" t="inlineStr">
        <is>
          <t>Suptech</t>
        </is>
      </c>
      <c r="DW547" s="53" t="inlineStr">
        <is>
          <t>iFile</t>
        </is>
      </c>
      <c r="DX547" s="53" t="inlineStr">
        <is>
          <t>Technology</t>
        </is>
      </c>
      <c r="DY547" s="53" t="inlineStr">
        <is>
          <t>Development</t>
        </is>
      </c>
      <c r="DZ547" s="53" t="inlineStr">
        <is>
          <t>Yes</t>
        </is>
      </c>
      <c r="EA547" s="53" t="inlineStr">
        <is>
          <t>Product/Project</t>
        </is>
      </c>
      <c r="EB547" s="53" t="inlineStr">
        <is>
          <t>Java</t>
        </is>
      </c>
      <c r="EC547" s="53" t="inlineStr">
        <is>
          <t>Technical - Developer</t>
        </is>
      </c>
      <c r="ED547" s="53" t="inlineStr">
        <is>
          <t>Work From Office - Turbhe</t>
        </is>
      </c>
      <c r="EE547" s="53" t="inlineStr">
        <is>
          <t>1. Implement a robust CI/CD framework for Phase 4, including automated database deployment.
2. Provide technical leadership through mentoring, architecture reviews, and knowledge sharing.
3. Develop at least one AI-enabled business feature or proof of concept that delivers measurable value.
4. Improve team productivity through automation, process optimization, and engineering best practices.
5. Ensure high code quality with zero critical issues and at least 80% unit test coverage for new development.
6. Delivered Phase4 modules within timeline.</t>
        </is>
      </c>
      <c r="EF547" s="53" t="inlineStr">
        <is>
          <t>1. Deliver team release roadmap on schedule: &gt;=90% of committed releases on time
2. Keep team sprint velocity stable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
8. Manage end to end deployment at client environments: &gt;=90% of committed releases on time
9. Efficiently interact with client and other stakeholders to understand and plan development along with release: &gt;=90% of committed releases on time</t>
        </is>
      </c>
      <c r="EG547" s="53" t="inlineStr">
        <is>
          <t>Q1: Deliver team release roadmap on schedule: &gt;=90% of committed releases on time
Q1: Keep team sprint velocity stable and defect leakage &lt;=5%
Q1: Drive production stability: critical incidents resolved within SLA &gt;=95%</t>
        </is>
      </c>
      <c r="EH547" s="53" t="n">
        <v>4</v>
      </c>
      <c r="EI547" s="54" t="n">
        <v>46113</v>
      </c>
      <c r="EJ547" s="53" t="inlineStr">
        <is>
          <t>Lead Software Engineer</t>
        </is>
      </c>
      <c r="EK547" s="53" t="inlineStr">
        <is>
          <t>No</t>
        </is>
      </c>
      <c r="EL547" s="53" t="n">
        <v>4</v>
      </c>
      <c r="EM547" s="53" t="inlineStr">
        <is>
          <t>High</t>
        </is>
      </c>
      <c r="EN547" s="53" t="inlineStr">
        <is>
          <t>High Impact / Growth Talent</t>
        </is>
      </c>
      <c r="EO547" s="53" t="inlineStr">
        <is>
          <t>No</t>
        </is>
      </c>
      <c r="EP547" s="53" t="inlineStr">
        <is>
          <t>No</t>
        </is>
      </c>
      <c r="EQ547" s="53" t="inlineStr">
        <is>
          <t>Yes</t>
        </is>
      </c>
      <c r="ER547" s="53" t="n"/>
      <c r="ES547" s="53" t="inlineStr">
        <is>
          <t>Architecture &amp; Scalability/Spring AI/System Design &amp; Pattern</t>
        </is>
      </c>
      <c r="ET547" s="53" t="n"/>
      <c r="EU547" s="53" t="n"/>
      <c r="EV547" s="53" t="n"/>
      <c r="EW547" s="52" t="n"/>
      <c r="EX547" s="53" t="n"/>
      <c r="EY547" s="53" t="n"/>
      <c r="EZ547" s="53" t="n"/>
      <c r="FA547" s="53" t="n"/>
      <c r="FB547" s="53" t="n"/>
      <c r="FC547" s="53" t="n"/>
      <c r="FD547" s="53" t="n"/>
      <c r="FE547" s="57" t="inlineStr">
        <is>
          <t>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
8. Manage end to end deployment at client environments: &gt;=90% of committed releases on time
9. Efficiently interact with client and other stakeholders to understand and plan development along with release: &gt;=90% of committed releases on time</t>
        </is>
      </c>
      <c r="FF547" s="56" t="inlineStr">
        <is>
          <t>Q1: Deliver team release roadmap on schedule: &gt;=90% of committed releases on time
Q1: Keep team sprint velocity stable · +/-10% and defect leakage &lt;=5%
Q1: Drive production stability: critical incidents resolved within SLA &gt;=95%</t>
        </is>
      </c>
      <c r="FG547" s="56" t="inlineStr">
        <is>
          <t>1. Implement a robust CI/CD framework for Phase 4, including automated database deployment.
2. Provide technical leadership through mentoring, architecture reviews, and knowledge sharing.
3. Develop at least one AI-enabled business feature or proof of concept that delivers measurable value.
4. Improve team productivity through automation, process optimization, and engineering best practices.
5. Ensure high code quality with zero critical issues and at least 80% unit test coverage for new development.
6. Delivered Phase4 modules within timeline.</t>
        </is>
      </c>
      <c r="FH547" s="56" t="inlineStr">
        <is>
          <t>4</t>
        </is>
      </c>
      <c r="FI547" s="56" t="n"/>
      <c r="FJ547" s="56" t="inlineStr">
        <is>
          <t>Received · manager annual, quarterly, self</t>
        </is>
      </c>
      <c r="FK547" s="56" t="inlineStr">
        <is>
          <t>Talent Mapping · iFile collated</t>
        </is>
      </c>
      <c r="FL547" s="56" t="n">
        <v>20</v>
      </c>
      <c r="FM547" s="32" t="inlineStr">
        <is>
          <t>Full survey answers not in the files received · How We Grow export needed · HR</t>
        </is>
      </c>
      <c r="FN547" s="56" t="inlineStr">
        <is>
          <t>—</t>
        </is>
      </c>
      <c r="FO547" s="56" t="inlineStr">
        <is>
          <t>—</t>
        </is>
      </c>
      <c r="FP547" s="56" t="inlineStr">
        <is>
          <t>—</t>
        </is>
      </c>
      <c r="FQ547" s="56" t="inlineStr">
        <is>
          <t>—</t>
        </is>
      </c>
      <c r="FR547" s="56" t="inlineStr">
        <is>
          <t>Business Impact: Moved +0.5: the survey / manager mapping marks it business-critical.</t>
        </is>
      </c>
      <c r="FS547" s="56" t="inlineStr">
        <is>
          <t>Common themes in sub-family holders, all levels' answers: software · develop · solutions · product · improve · business
Common themes in sub-family holders, all levels' answers: development · bug · fixing · feature · support · code
Common themes in sub-family holders, all levels' answers: features · software · fixes · bug · solutions · product
Common themes in sub-family holders, all levels' answers: accountable · production · development · quality · delivery · am
Common themes in sub-family holders, all levels' answers: code · implementation · technical · approaches · independently · decisions
If the work is missed · role-holders' themes: delays · rework · issues.</t>
        </is>
      </c>
      <c r="FT547" s="56" t="inlineStr">
        <is>
          <t>Self-identified: Leadership &amp; people management · Technical depth &amp; architecture · Domain, regulatory &amp; XBRL · Client, sales &amp; stakeholders · Strategy &amp; business acumen · Broader exposure &amp; ownership
For the next role: Leadership &amp; people management · Technical depth &amp; architecture · Domain, regulatory &amp; XBRL · Client, sales &amp; stakeholders · Strategy &amp; business acumen · Broader exposure &amp; ownership</t>
        </is>
      </c>
      <c r="FU547" s="32" t="inlineStr">
        <is>
          <t>Full survey answers not in the files received · How We Grow export needed · HR</t>
        </is>
      </c>
    </row>
    <row r="548" ht="90" customHeight="1">
      <c r="A548" s="51" t="inlineStr">
        <is>
          <t>◂ Back</t>
        </is>
      </c>
      <c r="B548" s="29" t="inlineStr">
        <is>
          <t>Mapped</t>
        </is>
      </c>
      <c r="C548" s="28" t="inlineStr">
        <is>
          <t>iFile</t>
        </is>
      </c>
      <c r="D548" s="29" t="inlineStr">
        <is>
          <t>IRIS2293</t>
        </is>
      </c>
      <c r="E548" s="29" t="inlineStr">
        <is>
          <t>Chetan Yerpude</t>
        </is>
      </c>
      <c r="F548" s="29" t="inlineStr">
        <is>
          <t>Technology</t>
        </is>
      </c>
      <c r="G548" s="29" t="inlineStr">
        <is>
          <t>Software Engineer</t>
        </is>
      </c>
      <c r="H548" s="29" t="inlineStr">
        <is>
          <t>Senior Software Engineer</t>
        </is>
      </c>
      <c r="I548" s="29" t="inlineStr">
        <is>
          <t>L3 – Professional / Associate</t>
        </is>
      </c>
      <c r="J548" s="29" t="inlineStr">
        <is>
          <t>A3</t>
        </is>
      </c>
      <c r="K548" s="29" t="inlineStr">
        <is>
          <t>▲ Up</t>
        </is>
      </c>
      <c r="L548" s="29" t="inlineStr">
        <is>
          <t>Engineering &amp; Development</t>
        </is>
      </c>
      <c r="M548" s="29" t="inlineStr">
        <is>
          <t>Backend Development</t>
        </is>
      </c>
      <c r="N548" s="29" t="n"/>
      <c r="O548" s="29" t="n">
        <v>20</v>
      </c>
      <c r="P548" s="28" t="inlineStr">
        <is>
          <t>P2</t>
        </is>
      </c>
      <c r="Q548" s="29" t="inlineStr">
        <is>
          <t>Developing</t>
        </is>
      </c>
      <c r="R548" s="29" t="inlineStr">
        <is>
          <t>3 Apply</t>
        </is>
      </c>
      <c r="S548" s="29" t="inlineStr">
        <is>
          <t>2–4 yrs</t>
        </is>
      </c>
      <c r="T548" s="29" t="inlineStr">
        <is>
          <t>3–5 · 2–5</t>
        </is>
      </c>
      <c r="U548" s="29" t="inlineStr">
        <is>
          <t>Software Engineer</t>
        </is>
      </c>
      <c r="V548" s="29" t="inlineStr">
        <is>
          <t>Workiva: SE · Broadridge India: SE · Nasdaq / AxiomSL: SE · Salesforce: MTS · Atlassian: P40 · 3–7 yrs · Freshworks: Senior SE</t>
        </is>
      </c>
      <c r="W548" s="29" t="inlineStr">
        <is>
          <t>SFIA 9 · software development, programming; OWASP secure coding; cloud vendor certifications</t>
        </is>
      </c>
      <c r="X548" s="29" t="inlineStr">
        <is>
          <t>Core 2 · Future 2 · Functional 3 · Leadership not scored</t>
        </is>
      </c>
      <c r="Y548" s="52" t="n">
        <v>333</v>
      </c>
      <c r="Z548" s="53" t="inlineStr">
        <is>
          <t>IRIS2293</t>
        </is>
      </c>
      <c r="AA548" s="53" t="inlineStr">
        <is>
          <t>Employee</t>
        </is>
      </c>
      <c r="AB548" s="53" t="inlineStr">
        <is>
          <t>Active</t>
        </is>
      </c>
      <c r="AC548" s="53" t="inlineStr">
        <is>
          <t>Chetan Yerpude</t>
        </is>
      </c>
      <c r="AD548" s="54" t="n">
        <v>45481</v>
      </c>
      <c r="AE548" s="53" t="inlineStr">
        <is>
          <t>Software Engineer</t>
        </is>
      </c>
      <c r="AF548" s="53" t="inlineStr">
        <is>
          <t>B.Tech + PG diploma in Advance Computing · CDAC</t>
        </is>
      </c>
      <c r="AG548" s="53" t="inlineStr">
        <is>
          <t>Sagar Jadhav</t>
        </is>
      </c>
      <c r="AH548" s="53" t="inlineStr">
        <is>
          <t>N-3</t>
        </is>
      </c>
      <c r="AI548" s="53" t="inlineStr">
        <is>
          <t>Individual Contributor</t>
        </is>
      </c>
      <c r="AJ548" s="53" t="inlineStr">
        <is>
          <t>4 years, 0 months, 0 days</t>
        </is>
      </c>
      <c r="AK548" s="53" t="inlineStr">
        <is>
          <t>2 years, 1 months, 17 days</t>
        </is>
      </c>
      <c r="AL548" s="53" t="inlineStr">
        <is>
          <t>Suptech</t>
        </is>
      </c>
      <c r="AM548" s="53" t="inlineStr">
        <is>
          <t>iFile</t>
        </is>
      </c>
      <c r="AN548" s="53" t="inlineStr">
        <is>
          <t>Technology</t>
        </is>
      </c>
      <c r="AO548" s="53" t="inlineStr">
        <is>
          <t>Development</t>
        </is>
      </c>
      <c r="AP548" s="53" t="inlineStr">
        <is>
          <t>Yes</t>
        </is>
      </c>
      <c r="AQ548" s="53" t="inlineStr">
        <is>
          <t>Product/Project</t>
        </is>
      </c>
      <c r="AR548" s="53" t="inlineStr">
        <is>
          <t>Java</t>
        </is>
      </c>
      <c r="AS548" s="53" t="inlineStr">
        <is>
          <t>Technical - Developer</t>
        </is>
      </c>
      <c r="AT548" s="53" t="n">
        <v>20</v>
      </c>
      <c r="AU548" s="53" t="inlineStr">
        <is>
          <t>Covered</t>
        </is>
      </c>
      <c r="AV548" s="53" t="n"/>
      <c r="AW548" s="53" t="n"/>
      <c r="AX548" s="53" t="n"/>
      <c r="AY548" s="53" t="n"/>
      <c r="AZ548" s="53" t="n"/>
      <c r="BA548" s="53" t="n"/>
      <c r="BB548" s="53" t="n"/>
      <c r="BC548" s="53" t="n"/>
      <c r="BD548" s="53" t="n"/>
      <c r="BE548" s="53" t="n"/>
      <c r="BF548" s="53" t="n"/>
      <c r="BG548" s="53" t="n"/>
      <c r="BH548" s="53" t="n"/>
      <c r="BI548" s="53" t="n"/>
      <c r="BJ548" s="53" t="n"/>
      <c r="BK548" s="53" t="n"/>
      <c r="BL548" s="53" t="n"/>
      <c r="BM548" s="53" t="n"/>
      <c r="BN548" s="53" t="n"/>
      <c r="BO548" s="53" t="n"/>
      <c r="BP548" s="53" t="n"/>
      <c r="BQ548" s="53" t="n"/>
      <c r="BR548" s="53" t="n"/>
      <c r="BS548" s="53" t="n"/>
      <c r="BT548" s="53" t="n"/>
      <c r="BU548" s="53" t="n"/>
      <c r="BV548" s="53" t="n"/>
      <c r="BW548" s="53" t="n"/>
      <c r="BX548" s="53" t="n"/>
      <c r="BY548" s="53" t="n"/>
      <c r="BZ548" s="53" t="n"/>
      <c r="CA548" s="53" t="n"/>
      <c r="CB548" s="53" t="n"/>
      <c r="CC548" s="53" t="n"/>
      <c r="CD548" s="53" t="n"/>
      <c r="CE548" s="53" t="n"/>
      <c r="CF548" s="53" t="n"/>
      <c r="CG548" s="53" t="n"/>
      <c r="CH548" s="53" t="n"/>
      <c r="CI548" s="53" t="n"/>
      <c r="CJ548" s="53" t="n"/>
      <c r="CK548" s="53" t="n"/>
      <c r="CL548" s="53" t="n"/>
      <c r="CM548" s="53" t="n"/>
      <c r="CN548" s="53" t="n"/>
      <c r="CO548" s="53" t="n"/>
      <c r="CP548" s="53" t="n"/>
      <c r="CQ548" s="53" t="n"/>
      <c r="CR548" s="53" t="n"/>
      <c r="CS548" s="53" t="n"/>
      <c r="CT548" s="53" t="n"/>
      <c r="CU548" s="53" t="n"/>
      <c r="CV548" s="53" t="n"/>
      <c r="CW548" s="53" t="n"/>
      <c r="CX548" s="53" t="n"/>
      <c r="CY548" s="53" t="n"/>
      <c r="CZ548" s="53" t="n"/>
      <c r="DA548" s="53" t="n"/>
      <c r="DB548" s="53" t="n"/>
      <c r="DC548" s="53" t="n"/>
      <c r="DD548" s="53" t="inlineStr">
        <is>
          <t>IRIS2293</t>
        </is>
      </c>
      <c r="DE548" s="53" t="inlineStr">
        <is>
          <t>Employee</t>
        </is>
      </c>
      <c r="DF548" s="53" t="inlineStr">
        <is>
          <t>Active</t>
        </is>
      </c>
      <c r="DG548" s="53" t="inlineStr">
        <is>
          <t>Chetan Yerpude</t>
        </is>
      </c>
      <c r="DH548" s="54" t="n">
        <v>45481</v>
      </c>
      <c r="DI548" s="53" t="inlineStr">
        <is>
          <t>Software Engineer</t>
        </is>
      </c>
      <c r="DJ548" s="53" t="inlineStr">
        <is>
          <t>Engineering &amp; Development</t>
        </is>
      </c>
      <c r="DK548" s="53" t="inlineStr">
        <is>
          <t>Backend Engineering · Java</t>
        </is>
      </c>
      <c r="DL548" s="53" t="inlineStr">
        <is>
          <t>Software Engineer</t>
        </is>
      </c>
      <c r="DM548" s="53" t="inlineStr">
        <is>
          <t>L3 – Professional / Associate</t>
        </is>
      </c>
      <c r="DN548" s="53" t="inlineStr">
        <is>
          <t>B.Tech + PG diploma in Advance Computing · CDAC</t>
        </is>
      </c>
      <c r="DO548" s="53" t="inlineStr">
        <is>
          <t>Sagar Jadhav</t>
        </is>
      </c>
      <c r="DP548" s="53" t="inlineStr">
        <is>
          <t>N-4</t>
        </is>
      </c>
      <c r="DQ548" s="53" t="inlineStr">
        <is>
          <t>Individual Contributor</t>
        </is>
      </c>
      <c r="DR548" s="53" t="inlineStr">
        <is>
          <t>4 years, 0 months, 0 days</t>
        </is>
      </c>
      <c r="DS548" s="53" t="inlineStr">
        <is>
          <t>1 years, 11 months, 12 days</t>
        </is>
      </c>
      <c r="DT548" s="53" t="inlineStr">
        <is>
          <t>5 years, 11 months, 12 days</t>
        </is>
      </c>
      <c r="DU548" s="53" t="n"/>
      <c r="DV548" s="53" t="inlineStr">
        <is>
          <t>Suptech</t>
        </is>
      </c>
      <c r="DW548" s="53" t="inlineStr">
        <is>
          <t>iFile</t>
        </is>
      </c>
      <c r="DX548" s="53" t="inlineStr">
        <is>
          <t>Technology</t>
        </is>
      </c>
      <c r="DY548" s="53" t="inlineStr">
        <is>
          <t>Development</t>
        </is>
      </c>
      <c r="DZ548" s="53" t="inlineStr">
        <is>
          <t>Yes</t>
        </is>
      </c>
      <c r="EA548" s="53" t="inlineStr">
        <is>
          <t>Product/Project</t>
        </is>
      </c>
      <c r="EB548" s="53" t="inlineStr">
        <is>
          <t>Java</t>
        </is>
      </c>
      <c r="EC548" s="53" t="inlineStr">
        <is>
          <t>Technical - Developer</t>
        </is>
      </c>
      <c r="ED548" s="53" t="inlineStr">
        <is>
          <t>Work From Office - Turbhe</t>
        </is>
      </c>
      <c r="EE548" s="53" t="inlineStr">
        <is>
          <t>1. Payment Enhancement Module Delivery &amp; Migration
Objective: Complete backend development and historical data migration for the Payment Enhancement module with high accuracy and stability.
Measurable: 100% planned backend features delivered; historical data migration completed with ≥99.5% data accuracy
2. Resubmission &amp; Invoice Recalculation Automation
Objective: Implement and stabilize the resubmission workflow enabling users to upload resubmissions and trigger invoice recalculation logic.
Measurable: Deliver end-to-end workflow for all agreed scenarios; achieve ≥95% successful resubmission processing
3. Podman R&amp;D and Dev Server Enablement
Objective: Perform Podman research and successfully implement it on the development server for containerized workflows.
Measurable: Podman setup completed in dev environment; create deployment/runbook documentation; onboard team and achieve ≥80% adoption for relevant dev use-cases.
4. Customer Data Enhancement – Technical &amp; Team Leadership · In Progress
Objective: Lead the Customer Data Enhancement module by driving backend development and coordinating team resources for timely delivery.
Measurable:
Current status: In Progress
Complete remaining planned milestones within timeline · ≥90% on-time closure
5. Reconciliation Module Backlog Execution · Yet to Start / Planned
Objective: Execute prioritized reconciliation backlog items with focus on backend reliability and business impact.
Measurable: Start execution as per roadmap timeline; complete ≥85% of planned backlog items with no Sev-1 defects.</t>
        </is>
      </c>
      <c r="EF548"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EG548"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H548" s="53" t="n">
        <v>3</v>
      </c>
      <c r="EI548" s="54" t="n">
        <v>46113</v>
      </c>
      <c r="EJ548" s="53" t="inlineStr">
        <is>
          <t>Software Engineer</t>
        </is>
      </c>
      <c r="EK548" s="53" t="inlineStr">
        <is>
          <t>No</t>
        </is>
      </c>
      <c r="EL548" s="53" t="n">
        <v>3</v>
      </c>
      <c r="EM548" s="53" t="inlineStr">
        <is>
          <t>Medium</t>
        </is>
      </c>
      <c r="EN548" s="53" t="inlineStr">
        <is>
          <t>Core Contributor</t>
        </is>
      </c>
      <c r="EO548" s="53" t="inlineStr">
        <is>
          <t>No</t>
        </is>
      </c>
      <c r="EP548" s="53" t="inlineStr">
        <is>
          <t>No</t>
        </is>
      </c>
      <c r="EQ548" s="53" t="inlineStr">
        <is>
          <t>Yes</t>
        </is>
      </c>
      <c r="ER548" s="53" t="n"/>
      <c r="ES548" s="53" t="inlineStr">
        <is>
          <t>Reactive Programming/Spring AI/System Design &amp; Pattern</t>
        </is>
      </c>
      <c r="ET548" s="53" t="n"/>
      <c r="EU548" s="53" t="n"/>
      <c r="EV548" s="53" t="n"/>
      <c r="EW548" s="52" t="n"/>
      <c r="EX548" s="53" t="n"/>
      <c r="EY548" s="53" t="n"/>
      <c r="EZ548" s="53" t="n"/>
      <c r="FA548" s="53" t="n"/>
      <c r="FB548" s="53" t="n"/>
      <c r="FC548" s="53" t="n"/>
      <c r="FD548" s="53" t="n"/>
      <c r="FE548"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FF548"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FG548" s="56" t="inlineStr">
        <is>
          <t>1. Payment Enhancement Module Delivery &amp; Migration
Objective: Complete backend development and historical data migration for the Payment Enhancement module with high accuracy and stability.
Measurable: 100% planned backend features delivered; historical data migration completed with ≥99.5% data accuracy
2. Resubmission &amp; Invoice Recalculation Automation
Objective: Implement and stabilize the resubmission workflow enabling users to upload resubmissions and trigger invoice recalculation logic.
Measurable: Deliver end-to-end workflow for all agreed scenarios; achieve ≥95% successful resubmission processing
3. Podman R&amp;D and Dev Server Enablement
Objective: Perform Podman research and successfully implement it on the development server for containerized workflows.
Measurable: Podman setup completed in dev environment; create deployment/runbook documentation; onboard team and achieve ≥80% adoption for relevant dev use-cases.
4. Customer Data Enhancement – Technical &amp; Team Leadership · In Progress
Objective: Lead the Customer Data Enhancement module by driving backend development and coordinating team resources for timely delivery.
Measurable:
Current status: In Progress
Complete remaining planned milestones within timeline · ≥90% on-time closure
5. Reconciliation Module Backlog Execution · Yet to Start / Planned
Objective: Execute prioritized reconciliation backlog items with focus on backend reliability and business impact.
Measurable: Start execution as per roadmap timeline; complete ≥85% of planned backlog items with no Sev-1 defects.</t>
        </is>
      </c>
      <c r="FH548" s="56" t="inlineStr">
        <is>
          <t>3</t>
        </is>
      </c>
      <c r="FI548" s="56" t="n"/>
      <c r="FJ548" s="56" t="inlineStr">
        <is>
          <t>Received · manager annual, quarterly, self</t>
        </is>
      </c>
      <c r="FK548" s="56" t="inlineStr">
        <is>
          <t>Talent Mapping · iFile collated</t>
        </is>
      </c>
      <c r="FL548" s="56" t="n">
        <v>20</v>
      </c>
      <c r="FM548" s="32" t="inlineStr">
        <is>
          <t>Full survey answers not in the files received · How We Grow export needed · HR</t>
        </is>
      </c>
      <c r="FN548" s="56" t="inlineStr">
        <is>
          <t>—</t>
        </is>
      </c>
      <c r="FO548" s="56" t="inlineStr">
        <is>
          <t>—</t>
        </is>
      </c>
      <c r="FP548" s="56" t="inlineStr">
        <is>
          <t>—</t>
        </is>
      </c>
      <c r="FQ548" s="56" t="inlineStr">
        <is>
          <t>—</t>
        </is>
      </c>
      <c r="FR548" s="56" t="inlineStr">
        <is>
          <t>Business Impact: Moved +0.5: the survey / manager mapping marks it business-critical.</t>
        </is>
      </c>
      <c r="FS548"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548" s="56" t="inlineStr">
        <is>
          <t>Self-identified: Leadership &amp; people management · Project / programme management · Technical depth &amp; architecture · Broader exposure &amp; ownership
For the next role: Leadership &amp; people management · Project / programme management · Technical depth &amp; architecture · Broader exposure &amp; ownership</t>
        </is>
      </c>
      <c r="FU548" s="32" t="inlineStr">
        <is>
          <t>Full survey answers not in the files received · How We Grow export needed · HR</t>
        </is>
      </c>
    </row>
    <row r="549" ht="90" customHeight="1">
      <c r="A549" s="51" t="inlineStr">
        <is>
          <t>◂ Back</t>
        </is>
      </c>
      <c r="B549" s="29" t="inlineStr">
        <is>
          <t>Mapped</t>
        </is>
      </c>
      <c r="C549" s="28" t="inlineStr">
        <is>
          <t>iFile</t>
        </is>
      </c>
      <c r="D549" s="29" t="inlineStr">
        <is>
          <t>IRIS2221</t>
        </is>
      </c>
      <c r="E549" s="29" t="inlineStr">
        <is>
          <t>Rajshree Bhosale</t>
        </is>
      </c>
      <c r="F549" s="29" t="inlineStr">
        <is>
          <t>Technology</t>
        </is>
      </c>
      <c r="G549" s="29" t="inlineStr">
        <is>
          <t>Software Engineer</t>
        </is>
      </c>
      <c r="H549" s="29" t="inlineStr">
        <is>
          <t>Senior UI Developer</t>
        </is>
      </c>
      <c r="I549" s="29" t="inlineStr">
        <is>
          <t>L3 – Professional / Associate</t>
        </is>
      </c>
      <c r="J549" s="29" t="inlineStr">
        <is>
          <t>A3</t>
        </is>
      </c>
      <c r="K549" s="29" t="inlineStr">
        <is>
          <t>▲ Up</t>
        </is>
      </c>
      <c r="L549" s="29" t="inlineStr">
        <is>
          <t>Engineering &amp; Development</t>
        </is>
      </c>
      <c r="M549" s="29" t="inlineStr">
        <is>
          <t>Front-End / UI Development</t>
        </is>
      </c>
      <c r="N549" s="29" t="n"/>
      <c r="O549" s="29" t="n">
        <v>20</v>
      </c>
      <c r="P549" s="28" t="inlineStr">
        <is>
          <t>P2</t>
        </is>
      </c>
      <c r="Q549" s="29" t="inlineStr">
        <is>
          <t>Developing</t>
        </is>
      </c>
      <c r="R549" s="29" t="inlineStr">
        <is>
          <t>3 Apply</t>
        </is>
      </c>
      <c r="S549" s="29" t="inlineStr">
        <is>
          <t>2–4 yrs</t>
        </is>
      </c>
      <c r="T549" s="29" t="inlineStr">
        <is>
          <t>3–5 · 2–5</t>
        </is>
      </c>
      <c r="U549" s="29" t="inlineStr">
        <is>
          <t>Software Engineer</t>
        </is>
      </c>
      <c r="V549" s="29" t="inlineStr">
        <is>
          <t>Workiva: SE · Broadridge India: SE · Nasdaq / AxiomSL: SE · Salesforce: MTS · Atlassian: P40 · 3–7 yrs · Freshworks: Senior SE</t>
        </is>
      </c>
      <c r="W549" s="29" t="inlineStr">
        <is>
          <t>SFIA 9 · software development, programming; OWASP secure coding; cloud vendor certifications</t>
        </is>
      </c>
      <c r="X549" s="29" t="inlineStr">
        <is>
          <t>Core 2 · Future 2 · Functional 3 · Leadership not scored</t>
        </is>
      </c>
      <c r="Y549" s="52" t="n">
        <v>304</v>
      </c>
      <c r="Z549" s="53" t="inlineStr">
        <is>
          <t>IRIS2221</t>
        </is>
      </c>
      <c r="AA549" s="53" t="inlineStr">
        <is>
          <t>Employee</t>
        </is>
      </c>
      <c r="AB549" s="53" t="inlineStr">
        <is>
          <t>Active</t>
        </is>
      </c>
      <c r="AC549" s="53" t="inlineStr">
        <is>
          <t>Rajshree Bhosale</t>
        </is>
      </c>
      <c r="AD549" s="54" t="n">
        <v>45315</v>
      </c>
      <c r="AE549" s="53" t="inlineStr">
        <is>
          <t>Software Engineer</t>
        </is>
      </c>
      <c r="AF549" s="53" t="inlineStr">
        <is>
          <t>MCA</t>
        </is>
      </c>
      <c r="AG549" s="53" t="inlineStr">
        <is>
          <t>Sagar Jadhav</t>
        </is>
      </c>
      <c r="AH549" s="53" t="inlineStr">
        <is>
          <t>N-3</t>
        </is>
      </c>
      <c r="AI549" s="53" t="inlineStr">
        <is>
          <t>Individual Contributor</t>
        </is>
      </c>
      <c r="AJ549" s="53" t="inlineStr">
        <is>
          <t>3 years, 6 months, 0 days</t>
        </is>
      </c>
      <c r="AK549" s="53" t="inlineStr">
        <is>
          <t>2 years, 7 months, 1 days</t>
        </is>
      </c>
      <c r="AL549" s="53" t="inlineStr">
        <is>
          <t>Suptech</t>
        </is>
      </c>
      <c r="AM549" s="53" t="inlineStr">
        <is>
          <t>iFile</t>
        </is>
      </c>
      <c r="AN549" s="53" t="inlineStr">
        <is>
          <t>Technology</t>
        </is>
      </c>
      <c r="AO549" s="53" t="inlineStr">
        <is>
          <t>Development</t>
        </is>
      </c>
      <c r="AP549" s="53" t="inlineStr">
        <is>
          <t>Yes</t>
        </is>
      </c>
      <c r="AQ549" s="53" t="inlineStr">
        <is>
          <t>Product/Project</t>
        </is>
      </c>
      <c r="AR549" s="53" t="inlineStr">
        <is>
          <t>Angular</t>
        </is>
      </c>
      <c r="AS549" s="53" t="inlineStr">
        <is>
          <t>Technical - Developer</t>
        </is>
      </c>
      <c r="AT549" s="53" t="n">
        <v>20</v>
      </c>
      <c r="AU549" s="53" t="inlineStr">
        <is>
          <t>Covered</t>
        </is>
      </c>
      <c r="AV549" s="53" t="n"/>
      <c r="AW549" s="53" t="n"/>
      <c r="AX549" s="53" t="n"/>
      <c r="AY549" s="53" t="n"/>
      <c r="AZ549" s="53" t="n"/>
      <c r="BA549" s="53" t="n"/>
      <c r="BB549" s="53" t="n"/>
      <c r="BC549" s="53" t="n"/>
      <c r="BD549" s="53" t="n"/>
      <c r="BE549" s="53" t="n"/>
      <c r="BF549" s="53" t="n"/>
      <c r="BG549" s="53" t="n"/>
      <c r="BH549" s="53" t="n"/>
      <c r="BI549" s="53" t="n"/>
      <c r="BJ549" s="53" t="n"/>
      <c r="BK549" s="53" t="n"/>
      <c r="BL549" s="53" t="n"/>
      <c r="BM549" s="53" t="n"/>
      <c r="BN549" s="53" t="n"/>
      <c r="BO549" s="53" t="n"/>
      <c r="BP549" s="53" t="n"/>
      <c r="BQ549" s="53" t="n"/>
      <c r="BR549" s="53" t="n"/>
      <c r="BS549" s="53" t="n"/>
      <c r="BT549" s="53" t="n"/>
      <c r="BU549" s="53" t="n"/>
      <c r="BV549" s="53" t="n"/>
      <c r="BW549" s="53" t="n"/>
      <c r="BX549" s="53" t="n"/>
      <c r="BY549" s="53" t="n"/>
      <c r="BZ549" s="53" t="n"/>
      <c r="CA549" s="53" t="n"/>
      <c r="CB549" s="53" t="n"/>
      <c r="CC549" s="53" t="n"/>
      <c r="CD549" s="53" t="n"/>
      <c r="CE549" s="53" t="n"/>
      <c r="CF549" s="53" t="n"/>
      <c r="CG549" s="53" t="n"/>
      <c r="CH549" s="53" t="n"/>
      <c r="CI549" s="53" t="n"/>
      <c r="CJ549" s="53" t="n"/>
      <c r="CK549" s="53" t="n"/>
      <c r="CL549" s="53" t="n"/>
      <c r="CM549" s="53" t="n"/>
      <c r="CN549" s="53" t="n"/>
      <c r="CO549" s="53" t="n"/>
      <c r="CP549" s="53" t="n"/>
      <c r="CQ549" s="53" t="n"/>
      <c r="CR549" s="53" t="n"/>
      <c r="CS549" s="53" t="n"/>
      <c r="CT549" s="53" t="n"/>
      <c r="CU549" s="53" t="n"/>
      <c r="CV549" s="53" t="n"/>
      <c r="CW549" s="53" t="n"/>
      <c r="CX549" s="53" t="n"/>
      <c r="CY549" s="53" t="n"/>
      <c r="CZ549" s="53" t="n"/>
      <c r="DA549" s="53" t="n"/>
      <c r="DB549" s="53" t="n"/>
      <c r="DC549" s="53" t="n"/>
      <c r="DD549" s="53" t="inlineStr">
        <is>
          <t>IRIS2221</t>
        </is>
      </c>
      <c r="DE549" s="53" t="inlineStr">
        <is>
          <t>Employee</t>
        </is>
      </c>
      <c r="DF549" s="53" t="inlineStr">
        <is>
          <t>Active</t>
        </is>
      </c>
      <c r="DG549" s="53" t="inlineStr">
        <is>
          <t>Rajshree Bhosale</t>
        </is>
      </c>
      <c r="DH549" s="54" t="n">
        <v>45315</v>
      </c>
      <c r="DI549" s="53" t="inlineStr">
        <is>
          <t>Software Engineer</t>
        </is>
      </c>
      <c r="DJ549" s="53" t="inlineStr">
        <is>
          <t>Engineering &amp; Development</t>
        </is>
      </c>
      <c r="DK549" s="53" t="inlineStr">
        <is>
          <t>Software Engineering</t>
        </is>
      </c>
      <c r="DL549" s="53" t="inlineStr">
        <is>
          <t>Software Engineer</t>
        </is>
      </c>
      <c r="DM549" s="53" t="inlineStr">
        <is>
          <t>L3 – Professional / Associate</t>
        </is>
      </c>
      <c r="DN549" s="53" t="inlineStr">
        <is>
          <t>MCA</t>
        </is>
      </c>
      <c r="DO549" s="53" t="inlineStr">
        <is>
          <t>Sagar Jadhav</t>
        </is>
      </c>
      <c r="DP549" s="53" t="inlineStr">
        <is>
          <t>N-4</t>
        </is>
      </c>
      <c r="DQ549" s="53" t="inlineStr">
        <is>
          <t>Individual Contributor</t>
        </is>
      </c>
      <c r="DR549" s="53" t="inlineStr">
        <is>
          <t>3 years, 6 months, 0 days</t>
        </is>
      </c>
      <c r="DS549" s="53" t="inlineStr">
        <is>
          <t>2 years, 4 months, 27 days</t>
        </is>
      </c>
      <c r="DT549" s="53" t="inlineStr">
        <is>
          <t>5 years, 10 months, 27 days</t>
        </is>
      </c>
      <c r="DU549" s="53" t="n"/>
      <c r="DV549" s="53" t="inlineStr">
        <is>
          <t>Suptech</t>
        </is>
      </c>
      <c r="DW549" s="53" t="inlineStr">
        <is>
          <t>iFile</t>
        </is>
      </c>
      <c r="DX549" s="53" t="inlineStr">
        <is>
          <t>Technology</t>
        </is>
      </c>
      <c r="DY549" s="53" t="inlineStr">
        <is>
          <t>Development</t>
        </is>
      </c>
      <c r="DZ549" s="53" t="inlineStr">
        <is>
          <t>Yes</t>
        </is>
      </c>
      <c r="EA549" s="53" t="inlineStr">
        <is>
          <t>Product/Project</t>
        </is>
      </c>
      <c r="EB549" s="53" t="inlineStr">
        <is>
          <t>Angular</t>
        </is>
      </c>
      <c r="EC549" s="53" t="inlineStr">
        <is>
          <t>Technical - Developer</t>
        </is>
      </c>
      <c r="ED549" s="53" t="inlineStr">
        <is>
          <t>Work From Office - Turbhe</t>
        </is>
      </c>
      <c r="EE549" s="53" t="inlineStr">
        <is>
          <t>1. Payment Management Module Development &amp; Testing Support
 - Develop and maintain the Payment Management module as per business requirements.
 - Provide front-end support to the XDS and Testing teams during QA, SIT, UAT, and Production.
 - Resolve functional and UI issues within agreed timelines.
 - Deliver stable, production-ready code with minimal defects.
 - Resolve SonarQube/SonarLint issues in the FMS project and maintain code quality.
2. Phase 4 – Common Login Migration &amp; Front-End Theme Modernization
 - Migrate the Common Login application from Angular 16 to Angular 21.
 - Implement a standard, scalable, and maintainable project structure.
 - Configure ESLint, Prettier, Husky, and SonarQube to enforce coding standards and improve code quality.
 - Resolve SonarQube issues throughout the development lifecycle.
 - Implement accessibility features and modernize the application theme.
 - Ensure responsive UI across supported devices and browsers.
 - Develop reusable Angular components and shared utilities to improve maintainability.
3. Phase 4 – Resolution &amp; Case Management / Dispute Application Front-End Development
 - Participate in functional requirement brainstorming sessions, requirement discussions, and knowledge transfer meetings.
 - Collaborate with technical leads, Business Analysts, QA, and backend developers during feature implementation.
 - Deliver assigned features within agreed timelines, including modules handling large datasets.
 - Develop dashboards and interactive data visualizations using ApexCharts by reusing the implementation from the Phase 3 demo project and extending it for the Phase 4 application.
 - Ensure delivered features meet functional, business, performance, and UI requirements.
 - Participate in the USSD and WhatsApp POC activities for the Phase 4 application.
4. Code Quality, Collaboration &amp; Defect Resolution
 - Follow project coding standards, linting rules, Angular best practices, and performance optimization guidelines.
 - Participate in peer code reviews and provide constructive feedback.
 - Guide team members on reusable components, project structure, coding standards, and front-end best practices.
 - Participate in technical discussions to improve application architecture, performance, and code quality.
 - Collaborate with the team to resolve merge conflicts and technical challenges.
 - Resolve defects and provide front-end support during DEV, QA, SIT, UAT, and Production.
5. Learning &amp; Productivity
 - Learn and implement Angular 21 features such as Signals, Standalone Components, Dependency Injection improvements, and modern project architecture.
 - Develop Prompt Engineering skills and leverage AI tools such as GitHub Copilot to improve development speed, code quality, and problem-solving.
 - Share technical knowledge, best practices, and project learnings with the team.
 - Gain knowledge of the SSO · Single Sign-On implementation developed by a colleague to understand the authentication flow, integration process, overall application architecture, and support future enhancements and troubleshooting.
6. Testing Support &amp; Release Readiness
 - Perform unit and functional testing before handing over modules to QA.
 - Work closely with QA teams to identify, analyze, and resolve front-end issues during testing.
 - Support QA, SIT, UAT, and Production validation during release activities.
 - Coordinate with development, QA, and business teams to ensure smooth deployments and production readiness.</t>
        </is>
      </c>
      <c r="EF549"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
7. Manage Deployment on client environment</t>
        </is>
      </c>
      <c r="EG549"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H549" s="53" t="n">
        <v>4</v>
      </c>
      <c r="EI549" s="54" t="n">
        <v>46113</v>
      </c>
      <c r="EJ549" s="53" t="inlineStr">
        <is>
          <t>Software Engineer</t>
        </is>
      </c>
      <c r="EK549" s="53" t="inlineStr">
        <is>
          <t>No</t>
        </is>
      </c>
      <c r="EL549" s="53" t="n">
        <v>4</v>
      </c>
      <c r="EM549" s="53" t="inlineStr">
        <is>
          <t>High</t>
        </is>
      </c>
      <c r="EN549" s="53" t="inlineStr">
        <is>
          <t>High Impact / Growth Talent</t>
        </is>
      </c>
      <c r="EO549" s="53" t="inlineStr">
        <is>
          <t>Yes</t>
        </is>
      </c>
      <c r="EP549" s="53" t="inlineStr">
        <is>
          <t>No</t>
        </is>
      </c>
      <c r="EQ549" s="53" t="inlineStr">
        <is>
          <t>Yes</t>
        </is>
      </c>
      <c r="ER549" s="53" t="n"/>
      <c r="ES549" s="53" t="inlineStr">
        <is>
          <t>Architecture &amp; Scalability</t>
        </is>
      </c>
      <c r="ET549" s="53" t="n"/>
      <c r="EU549" s="53" t="n"/>
      <c r="EV549" s="53" t="n"/>
      <c r="EW549" s="52" t="n"/>
      <c r="EX549" s="53" t="n"/>
      <c r="EY549" s="53" t="n"/>
      <c r="EZ549" s="53" t="n"/>
      <c r="FA549" s="53" t="n"/>
      <c r="FB549" s="53" t="n"/>
      <c r="FC549" s="53" t="n"/>
      <c r="FD549" s="53" t="n"/>
      <c r="FE549"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
7. Manage Deployment on client environment</t>
        </is>
      </c>
      <c r="FF549"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FG549" s="56" t="inlineStr">
        <is>
          <t>1. Payment Management Module Development &amp; Testing Support
 - Develop and maintain the Payment Management module as per business requirements.
 - Provide front-end support to the XDS and Testing teams during QA, SIT, UAT, and Production.
 - Resolve functional and UI issues within agreed timelines.
 - Deliver stable, production-ready code with minimal defects.
 - Resolve SonarQube/SonarLint issues in the FMS project and maintain code quality.
2. Phase 4 – Common Login Migration &amp; Front-End Theme Modernization
 - Migrate the Common Login application from Angular 16 to Angular 21.
 - Implement a standard, scalable, and maintainable project structure.
 - Configure ESLint, Prettier, Husky, and SonarQube to enforce coding standards and improve code quality.
 - Resolve SonarQube issues throughout the development lifecycle.
 - Implement accessibility features and modernize the application theme.
 - Ensure responsive UI across supported devices and browsers.
 - Develop reusable Angular components and shared utilities to improve maintainability.
3. Phase 4 – Resolution &amp; Case Management / Dispute Application Front-End Development
 - Participate in functional requirement brainstorming sessions, requirement discussions, and knowledge transfer meetings.
 - Collaborate with technical leads, Business Analysts, QA, and backend developers during feature implementation.
 - Deliver assigned features within agreed timelines, including modules handling large datasets.
 - Develop dashboards and interactive data visualizations using ApexCharts by reusing the implementation from the Phase 3 demo project and extending it for the Phase 4 application.
 - Ensure delivered features meet functional, business, performance, and UI requirements.
 - Participate in the USSD and WhatsApp POC activities for the Phase 4 application.
4. Code Quality, Collaboration &amp; Defect Resolution
 - Follow project coding standards, linting rules, Angular best practices, and performance optimization guidelines.
 - Participate in peer code reviews and provide constructive feedback.
 - Guide team members on reusable components, project structure, coding standards, and front-end best practices.
 - Participate in technical discussions to improve application architecture, performance, and code quality.
 - Collaborate with the team to resolve merge conflicts and technical challenges.
 - Resolve defects and provide front-end support during DEV, QA, SIT, UAT, and Production.
5. Learning &amp; Productivity
 - Learn and implement Angular 21 features such as Signals, Standalone Components, Dependency Injection improvements, and modern project architecture.
 - Develop Prompt Engineering skills and leverage AI tools such as GitHub Copilot to improve development speed, code quality, and problem-solving.
 - Share technical knowledge, best practices, and project learnings with the team.
 - Gain knowledge of the SSO · Single Sign-On implementation developed by a colleague to understand the authentication flow, integration process, overall application architecture, and support future enhancements and troubleshooting.
6. Testing Support &amp; Release Readiness
 - Perform unit and functional testing before handing over modules to QA.
 - Work closely with QA teams to identify, analyze, and resolve front-end issues during testing.
 - Support QA, SIT, UAT, and Production validation during release activities.
 - Coordinate with development, QA, and business teams to ensure smooth deployments and production readiness.</t>
        </is>
      </c>
      <c r="FH549" s="56" t="inlineStr">
        <is>
          <t>4</t>
        </is>
      </c>
      <c r="FI549" s="56" t="n"/>
      <c r="FJ549" s="56" t="inlineStr">
        <is>
          <t>Received · manager annual, quarterly, self</t>
        </is>
      </c>
      <c r="FK549" s="56" t="inlineStr">
        <is>
          <t>Talent Mapping · iFile collated</t>
        </is>
      </c>
      <c r="FL549" s="56" t="n">
        <v>20</v>
      </c>
      <c r="FM549" s="32" t="inlineStr">
        <is>
          <t>Full survey answers not in the files received · How We Grow export needed · HR</t>
        </is>
      </c>
      <c r="FN549" s="56" t="inlineStr">
        <is>
          <t>—</t>
        </is>
      </c>
      <c r="FO549" s="56" t="inlineStr">
        <is>
          <t>—</t>
        </is>
      </c>
      <c r="FP549" s="56" t="inlineStr">
        <is>
          <t>—</t>
        </is>
      </c>
      <c r="FQ549" s="56" t="inlineStr">
        <is>
          <t>—</t>
        </is>
      </c>
      <c r="FR549" s="56" t="inlineStr">
        <is>
          <t>Complexity: Evidence reads like A3: Decides project structure, builds UI and API integration; KRA: Angular 16-to-21 migration and lint/Sonar setup → moved up 0.5
Autonomy: Evidence reads like A3: Decides code and project structure and how to fix issues → moved up 0.5
Accountability: Evidence reads like A3: KRA: owns Payment Management module front end through QA, UAT and production → moved up 0.5
Leadership: Evidence reads like A1: No guiding or leading described → matches the start
Business Impact: Moved +0.5: the survey / manager mapping marks it business-critical.</t>
        </is>
      </c>
      <c r="FS549" s="56" t="inlineStr">
        <is>
          <t>Common themes in role-holders' answers: core · purpose · web · improve · business · user-friendly
Common themes in role-holders' answers: ui · user · performance · design · development · testing
Common themes in role-holders' answers: user · app
Common themes in role-holders' answers: development · am · accountable · quality · ui · responsive user-friendly
Common themes in role-holders' answers: code · ui
If the work is missed · role-holders' themes: impact · delivery · performance · overall.
Measured on · manager-set KRA themes: components · sprint · code · coverage · quality · maintain.</t>
        </is>
      </c>
      <c r="FT549" s="56" t="inlineStr">
        <is>
          <t>Self-identified: Technical depth &amp; architecture
For the next role: Technical depth &amp; architecture</t>
        </is>
      </c>
      <c r="FU549" s="32" t="inlineStr">
        <is>
          <t>Full survey answers not in the files received · How We Grow export needed · HR</t>
        </is>
      </c>
    </row>
    <row r="550" ht="90" customHeight="1">
      <c r="A550" s="51" t="inlineStr">
        <is>
          <t>◂ Back</t>
        </is>
      </c>
      <c r="B550" s="29" t="inlineStr">
        <is>
          <t>Mapped</t>
        </is>
      </c>
      <c r="C550" s="28" t="inlineStr">
        <is>
          <t>iFile</t>
        </is>
      </c>
      <c r="D550" s="29" t="inlineStr">
        <is>
          <t>IRIS2321</t>
        </is>
      </c>
      <c r="E550" s="29" t="inlineStr">
        <is>
          <t>Chandani Gusain</t>
        </is>
      </c>
      <c r="F550" s="29" t="inlineStr">
        <is>
          <t>Technology</t>
        </is>
      </c>
      <c r="G550" s="29" t="inlineStr">
        <is>
          <t>Software Engineer</t>
        </is>
      </c>
      <c r="H550" s="29" t="inlineStr">
        <is>
          <t>UI Developer</t>
        </is>
      </c>
      <c r="I550" s="29" t="inlineStr">
        <is>
          <t>L3 – Professional / Associate</t>
        </is>
      </c>
      <c r="J550" s="29" t="inlineStr">
        <is>
          <t>A2</t>
        </is>
      </c>
      <c r="K550" s="29" t="inlineStr">
        <is>
          <t>• Same level</t>
        </is>
      </c>
      <c r="L550" s="29" t="inlineStr">
        <is>
          <t>Engineering &amp; Development</t>
        </is>
      </c>
      <c r="M550" s="29" t="inlineStr">
        <is>
          <t>Front-End / UI Development</t>
        </is>
      </c>
      <c r="N550" s="29" t="n"/>
      <c r="O550" s="29" t="n">
        <v>20</v>
      </c>
      <c r="P550" s="28" t="inlineStr">
        <is>
          <t>P1–P2</t>
        </is>
      </c>
      <c r="Q550" s="29" t="inlineStr">
        <is>
          <t>Entry / Developing</t>
        </is>
      </c>
      <c r="R550" s="29" t="inlineStr">
        <is>
          <t>2 Assist</t>
        </is>
      </c>
      <c r="S550" s="29" t="inlineStr">
        <is>
          <t>0–2 yrs</t>
        </is>
      </c>
      <c r="T550" s="29" t="inlineStr">
        <is>
          <t>1–3 · 0–3</t>
        </is>
      </c>
      <c r="U550" s="29" t="inlineStr">
        <is>
          <t>Associate Software Engineer / Software Engineer</t>
        </is>
      </c>
      <c r="V550" s="29" t="inlineStr">
        <is>
          <t>Workiva: Associate SE · Broadridge India: SE · Nasdaq / AxiomSL: SE · Salesforce: AMTS · Atlassian: P30 Junior · 0–2 yrs · Freshworks: SE</t>
        </is>
      </c>
      <c r="W550" s="29" t="inlineStr">
        <is>
          <t>SFIA 9 · software development, programming; OWASP secure coding; cloud vendor certifications</t>
        </is>
      </c>
      <c r="X550" s="29" t="inlineStr">
        <is>
          <t>Core 2 · Future 2 · Functional 2 · Leadership not scored</t>
        </is>
      </c>
      <c r="Y550" s="52" t="n">
        <v>351</v>
      </c>
      <c r="Z550" s="53" t="inlineStr">
        <is>
          <t>IRIS2321</t>
        </is>
      </c>
      <c r="AA550" s="53" t="inlineStr">
        <is>
          <t>Employee</t>
        </is>
      </c>
      <c r="AB550" s="53" t="inlineStr">
        <is>
          <t>Active</t>
        </is>
      </c>
      <c r="AC550" s="53" t="inlineStr">
        <is>
          <t>Chandani Gusain</t>
        </is>
      </c>
      <c r="AD550" s="54" t="n">
        <v>45597</v>
      </c>
      <c r="AE550" s="53" t="inlineStr">
        <is>
          <t>Software Engineer</t>
        </is>
      </c>
      <c r="AF550" s="53" t="inlineStr">
        <is>
          <t>B.SC</t>
        </is>
      </c>
      <c r="AG550" s="53" t="inlineStr">
        <is>
          <t>Sagar Jadhav</t>
        </is>
      </c>
      <c r="AH550" s="53" t="inlineStr">
        <is>
          <t>N-3</t>
        </is>
      </c>
      <c r="AI550" s="53" t="inlineStr">
        <is>
          <t>Individual Contributor</t>
        </is>
      </c>
      <c r="AJ550" s="53" t="inlineStr">
        <is>
          <t>0 years, 0 months, 0 days</t>
        </is>
      </c>
      <c r="AK550" s="53" t="inlineStr">
        <is>
          <t>1 years, 9 months, 24 days</t>
        </is>
      </c>
      <c r="AL550" s="53" t="inlineStr">
        <is>
          <t>Suptech</t>
        </is>
      </c>
      <c r="AM550" s="53" t="inlineStr">
        <is>
          <t>iFile</t>
        </is>
      </c>
      <c r="AN550" s="53" t="inlineStr">
        <is>
          <t>Technology</t>
        </is>
      </c>
      <c r="AO550" s="53" t="inlineStr">
        <is>
          <t>Development</t>
        </is>
      </c>
      <c r="AP550" s="53" t="inlineStr">
        <is>
          <t>Yes</t>
        </is>
      </c>
      <c r="AQ550" s="53" t="inlineStr">
        <is>
          <t>Product/Project</t>
        </is>
      </c>
      <c r="AR550" s="53" t="inlineStr">
        <is>
          <t>Angular</t>
        </is>
      </c>
      <c r="AS550" s="53" t="inlineStr">
        <is>
          <t>Technical - Developer</t>
        </is>
      </c>
      <c r="AT550" s="53" t="n">
        <v>20</v>
      </c>
      <c r="AU550" s="53" t="inlineStr">
        <is>
          <t>Covered</t>
        </is>
      </c>
      <c r="AV550" s="53" t="n"/>
      <c r="AW550" s="53" t="n"/>
      <c r="AX550" s="53" t="n"/>
      <c r="AY550" s="53" t="n"/>
      <c r="AZ550" s="53" t="n"/>
      <c r="BA550" s="53" t="n"/>
      <c r="BB550" s="53" t="n"/>
      <c r="BC550" s="53" t="n"/>
      <c r="BD550" s="53" t="n"/>
      <c r="BE550" s="53" t="n"/>
      <c r="BF550" s="53" t="n"/>
      <c r="BG550" s="53" t="n"/>
      <c r="BH550" s="53" t="n"/>
      <c r="BI550" s="53" t="n"/>
      <c r="BJ550" s="53" t="n"/>
      <c r="BK550" s="53" t="n"/>
      <c r="BL550" s="53" t="n"/>
      <c r="BM550" s="53" t="n"/>
      <c r="BN550" s="53" t="n"/>
      <c r="BO550" s="53" t="n"/>
      <c r="BP550" s="53" t="n"/>
      <c r="BQ550" s="53" t="n"/>
      <c r="BR550" s="53" t="n"/>
      <c r="BS550" s="53" t="n"/>
      <c r="BT550" s="53" t="n"/>
      <c r="BU550" s="53" t="n"/>
      <c r="BV550" s="53" t="n"/>
      <c r="BW550" s="53" t="n"/>
      <c r="BX550" s="53" t="n"/>
      <c r="BY550" s="53" t="n"/>
      <c r="BZ550" s="53" t="n"/>
      <c r="CA550" s="53" t="n"/>
      <c r="CB550" s="53" t="n"/>
      <c r="CC550" s="53" t="n"/>
      <c r="CD550" s="53" t="n"/>
      <c r="CE550" s="53" t="n"/>
      <c r="CF550" s="53" t="n"/>
      <c r="CG550" s="53" t="n"/>
      <c r="CH550" s="53" t="n"/>
      <c r="CI550" s="53" t="n"/>
      <c r="CJ550" s="53" t="n"/>
      <c r="CK550" s="53" t="n"/>
      <c r="CL550" s="53" t="n"/>
      <c r="CM550" s="53" t="n"/>
      <c r="CN550" s="53" t="n"/>
      <c r="CO550" s="53" t="n"/>
      <c r="CP550" s="53" t="n"/>
      <c r="CQ550" s="53" t="n"/>
      <c r="CR550" s="53" t="n"/>
      <c r="CS550" s="53" t="n"/>
      <c r="CT550" s="53" t="n"/>
      <c r="CU550" s="53" t="n"/>
      <c r="CV550" s="53" t="n"/>
      <c r="CW550" s="53" t="n"/>
      <c r="CX550" s="53" t="n"/>
      <c r="CY550" s="53" t="n"/>
      <c r="CZ550" s="53" t="n"/>
      <c r="DA550" s="53" t="n"/>
      <c r="DB550" s="53" t="n"/>
      <c r="DC550" s="53" t="n"/>
      <c r="DD550" s="53" t="inlineStr">
        <is>
          <t>IRIS2321</t>
        </is>
      </c>
      <c r="DE550" s="53" t="inlineStr">
        <is>
          <t>Employee</t>
        </is>
      </c>
      <c r="DF550" s="53" t="inlineStr">
        <is>
          <t>Active</t>
        </is>
      </c>
      <c r="DG550" s="53" t="inlineStr">
        <is>
          <t>Chandani Gusain</t>
        </is>
      </c>
      <c r="DH550" s="54" t="n">
        <v>45597</v>
      </c>
      <c r="DI550" s="53" t="inlineStr">
        <is>
          <t>Software Engineer</t>
        </is>
      </c>
      <c r="DJ550" s="53" t="inlineStr">
        <is>
          <t>Engineering &amp; Development</t>
        </is>
      </c>
      <c r="DK550" s="53" t="inlineStr">
        <is>
          <t>Software Engineering</t>
        </is>
      </c>
      <c r="DL550" s="53" t="inlineStr">
        <is>
          <t>Software Engineer</t>
        </is>
      </c>
      <c r="DM550" s="53" t="inlineStr">
        <is>
          <t>L3 – Professional / Associate</t>
        </is>
      </c>
      <c r="DN550" s="53" t="inlineStr">
        <is>
          <t>B.SC</t>
        </is>
      </c>
      <c r="DO550" s="53" t="inlineStr">
        <is>
          <t>Sagar Jadhav</t>
        </is>
      </c>
      <c r="DP550" s="53" t="inlineStr">
        <is>
          <t>N-4</t>
        </is>
      </c>
      <c r="DQ550" s="53" t="inlineStr">
        <is>
          <t>Individual Contributor</t>
        </is>
      </c>
      <c r="DR550" s="53" t="inlineStr">
        <is>
          <t>0 years, 0 months, 0 days</t>
        </is>
      </c>
      <c r="DS550" s="53" t="inlineStr">
        <is>
          <t>1 years, 7 months, 19 days</t>
        </is>
      </c>
      <c r="DT550" s="53" t="inlineStr">
        <is>
          <t>1 years, 7 months, 19 days</t>
        </is>
      </c>
      <c r="DU550" s="53" t="n"/>
      <c r="DV550" s="53" t="inlineStr">
        <is>
          <t>Suptech</t>
        </is>
      </c>
      <c r="DW550" s="53" t="inlineStr">
        <is>
          <t>iFile</t>
        </is>
      </c>
      <c r="DX550" s="53" t="inlineStr">
        <is>
          <t>Technology</t>
        </is>
      </c>
      <c r="DY550" s="53" t="inlineStr">
        <is>
          <t>Development</t>
        </is>
      </c>
      <c r="DZ550" s="53" t="inlineStr">
        <is>
          <t>Yes</t>
        </is>
      </c>
      <c r="EA550" s="53" t="inlineStr">
        <is>
          <t>Product/Project</t>
        </is>
      </c>
      <c r="EB550" s="53" t="inlineStr">
        <is>
          <t>Angular</t>
        </is>
      </c>
      <c r="EC550" s="53" t="inlineStr">
        <is>
          <t>Technical - Developer</t>
        </is>
      </c>
      <c r="ED550" s="53" t="inlineStr">
        <is>
          <t>Work From Office - Turbhe</t>
        </is>
      </c>
      <c r="EE550" s="53" t="inlineStr">
        <is>
          <t>1. Code Quality &amp; Standards
Resolved SonarQube-reported bugs, code smells, and vulnerability issues, ensuring adherence to organizational code quality and security standards.
2. Delivery &amp; Productivity
Successfully completed and delivered the following modules within the assigned sprint timelines, maintaining high quality standards:
- Allocation payment enhancement.
- Declaration module.
- FMS dashboard graph implementation · demo project.
- Email settings module.
- Add/Edit External User module.
- Late approval request module.
3. Code Reviews &amp; Collaboration
Reviewed and tested 90% of assigned work within the same sprint, and sometime whole application before production deployment, ensuring timely feedback and maintaining consistent development velocity across the team.
4. Skill Development
Conducted proof-of-concepts · POCs and proactively implemented upcoming/future-required features to ensure readiness for planned project enhancements, including:
- Comparative analysis of PrimeNG and Angular Material.
- Research on new features in the latest ApexCharts version compatible with the latest Angular version.
- Evaluation of AI bots/tools compatible with Angular development.
5. Reusability &amp; Scalability
Built and reused components and services to minimize code duplication, ensuring new modules adhered to a scalable, modular Angular architecture.
6. Authentication &amp; Integration
Implemented Microsoft Azure SSO login for both Phase 3 and Phase 4 of the common login.</t>
        </is>
      </c>
      <c r="EF550"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550"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H550" s="53" t="n">
        <v>3</v>
      </c>
      <c r="EI550" s="54" t="n">
        <v>46113</v>
      </c>
      <c r="EJ550" s="53" t="inlineStr">
        <is>
          <t>Software Engineer</t>
        </is>
      </c>
      <c r="EK550" s="53" t="inlineStr">
        <is>
          <t>No</t>
        </is>
      </c>
      <c r="EL550" s="53" t="n">
        <v>3</v>
      </c>
      <c r="EM550" s="53" t="inlineStr">
        <is>
          <t>High</t>
        </is>
      </c>
      <c r="EN550" s="53" t="inlineStr">
        <is>
          <t>Trusted Professional</t>
        </is>
      </c>
      <c r="EO550" s="53" t="inlineStr">
        <is>
          <t>No</t>
        </is>
      </c>
      <c r="EP550" s="53" t="inlineStr">
        <is>
          <t>No</t>
        </is>
      </c>
      <c r="EQ550" s="53" t="inlineStr">
        <is>
          <t>Yes</t>
        </is>
      </c>
      <c r="ER550" s="53" t="n"/>
      <c r="ES550" s="53" t="inlineStr">
        <is>
          <t>Architecture &amp; Scalability</t>
        </is>
      </c>
      <c r="ET550" s="53" t="n"/>
      <c r="EU550" s="53" t="n"/>
      <c r="EV550" s="53" t="n"/>
      <c r="EW550" s="52" t="n"/>
      <c r="EX550" s="53" t="n"/>
      <c r="EY550" s="53" t="n"/>
      <c r="EZ550" s="53" t="n"/>
      <c r="FA550" s="53" t="n"/>
      <c r="FB550" s="53" t="n"/>
      <c r="FC550" s="53" t="n"/>
      <c r="FD550" s="53" t="n"/>
      <c r="FE550"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550"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FG550" s="56" t="inlineStr">
        <is>
          <t>1. Code Quality &amp; Standards
Resolved SonarQube-reported bugs, code smells, and vulnerability issues, ensuring adherence to organizational code quality and security standards.
2. Delivery &amp; Productivity
Successfully completed and delivered the following modules within the assigned sprint timelines, maintaining high quality standards:
- Allocation payment enhancement.
- Declaration module.
- FMS dashboard graph implementation · demo project.
- Email settings module.
- Add/Edit External User module.
- Late approval request module.
3. Code Reviews &amp; Collaboration
Reviewed and tested 90% of assigned work within the same sprint, and sometime whole application before production deployment, ensuring timely feedback and maintaining consistent development velocity across the team.
4. Skill Development
Conducted proof-of-concepts · POCs and proactively implemented upcoming/future-required features to ensure readiness for planned project enhancements, including:
- Comparative analysis of PrimeNG and Angular Material.
- Research on new features in the latest ApexCharts version compatible with the latest Angular version.
- Evaluation of AI bots/tools compatible with Angular development.
5. Reusability &amp; Scalability
Built and reused components and services to minimize code duplication, ensuring new modules adhered to a scalable, modular Angular architecture.
6. Authentication &amp; Integration
Implemented Microsoft Azure SSO login for both Phase 3 and Phase 4 of the common login.</t>
        </is>
      </c>
      <c r="FH550" s="56" t="inlineStr">
        <is>
          <t>3</t>
        </is>
      </c>
      <c r="FI550" s="56" t="n"/>
      <c r="FJ550" s="56" t="inlineStr">
        <is>
          <t>Received · manager annual, quarterly, self</t>
        </is>
      </c>
      <c r="FK550" s="56" t="inlineStr">
        <is>
          <t>Talent Mapping · iFile collated</t>
        </is>
      </c>
      <c r="FL550" s="56" t="n">
        <v>20</v>
      </c>
      <c r="FM550" s="32" t="inlineStr">
        <is>
          <t>Full survey answers not in the files received · How We Grow export needed · HR</t>
        </is>
      </c>
      <c r="FN550" s="56" t="inlineStr">
        <is>
          <t>—</t>
        </is>
      </c>
      <c r="FO550" s="56" t="inlineStr">
        <is>
          <t>—</t>
        </is>
      </c>
      <c r="FP550" s="56" t="inlineStr">
        <is>
          <t>—</t>
        </is>
      </c>
      <c r="FQ550" s="56" t="inlineStr">
        <is>
          <t>—</t>
        </is>
      </c>
      <c r="FR550" s="56" t="inlineStr">
        <is>
          <t>Complexity: Evidence reads like A2: Angular web modules, API integration, testing and debugging; KRA lists delivered modules → matches the start
Autonomy: Evidence reads like A2: Decides to optimise and refactor own code → matches the start
Accountability: Evidence reads like A2: Own UI features from requirement understanding to delivery → matches the start
Leadership: Evidence reads like A1: No guidance of others described → matches the start
Business Impact: Moved +0.5: the survey / manager mapping marks it business-critical.</t>
        </is>
      </c>
      <c r="FS550" s="56" t="inlineStr">
        <is>
          <t>Common themes in role-holders' answers: solutions · maintain · problems · core · purpose · while
Common themes in role-holders' answers: feature · code · quality · development · delivery
Common themes in role-holders' answers: features · quality · software
Common themes in role-holders' answers: quality · accountable · reliability · deliver · features · code
Common themes in role-holders' answers: decisions · implement
If the work is missed · role-holders' themes: delays · quality · impact · rework.
Measured on · manager-set KRA themes: complete · improve · assigned · resolve · code · leakage qa/uat.</t>
        </is>
      </c>
      <c r="FT550" s="56" t="inlineStr">
        <is>
          <t>Self-identified: Leadership &amp; people management · Technical depth &amp; architecture
For the next role: Leadership &amp; people management · Technical depth &amp; architecture</t>
        </is>
      </c>
      <c r="FU550" s="32" t="inlineStr">
        <is>
          <t>Full survey answers not in the files received · How We Grow export needed · HR</t>
        </is>
      </c>
    </row>
    <row r="551" ht="90" customHeight="1">
      <c r="A551" s="51" t="inlineStr">
        <is>
          <t>◂ Back</t>
        </is>
      </c>
      <c r="B551" s="29" t="inlineStr">
        <is>
          <t>Mapped</t>
        </is>
      </c>
      <c r="C551" s="28" t="inlineStr">
        <is>
          <t>iFile</t>
        </is>
      </c>
      <c r="D551" s="29" t="inlineStr">
        <is>
          <t>IRIS2320</t>
        </is>
      </c>
      <c r="E551" s="29" t="inlineStr">
        <is>
          <t>Faisal Pathan</t>
        </is>
      </c>
      <c r="F551" s="29" t="inlineStr">
        <is>
          <t>Technology</t>
        </is>
      </c>
      <c r="G551" s="29" t="inlineStr">
        <is>
          <t>Software Engineer</t>
        </is>
      </c>
      <c r="H551" s="29" t="inlineStr">
        <is>
          <t>UI Developer</t>
        </is>
      </c>
      <c r="I551" s="29" t="inlineStr">
        <is>
          <t>L3 – Professional / Associate</t>
        </is>
      </c>
      <c r="J551" s="29" t="inlineStr">
        <is>
          <t>A2</t>
        </is>
      </c>
      <c r="K551" s="29" t="inlineStr">
        <is>
          <t>• Same level</t>
        </is>
      </c>
      <c r="L551" s="29" t="inlineStr">
        <is>
          <t>Engineering &amp; Development</t>
        </is>
      </c>
      <c r="M551" s="29" t="inlineStr">
        <is>
          <t>Front-End / UI Development</t>
        </is>
      </c>
      <c r="N551" s="29" t="n"/>
      <c r="O551" s="29" t="n">
        <v>20</v>
      </c>
      <c r="P551" s="28" t="inlineStr">
        <is>
          <t>P1–P2</t>
        </is>
      </c>
      <c r="Q551" s="29" t="inlineStr">
        <is>
          <t>Entry / Developing</t>
        </is>
      </c>
      <c r="R551" s="29" t="inlineStr">
        <is>
          <t>2 Assist</t>
        </is>
      </c>
      <c r="S551" s="29" t="inlineStr">
        <is>
          <t>0–2 yrs</t>
        </is>
      </c>
      <c r="T551" s="29" t="inlineStr">
        <is>
          <t>1–3 · 0–3</t>
        </is>
      </c>
      <c r="U551" s="29" t="inlineStr">
        <is>
          <t>Associate Software Engineer / Software Engineer</t>
        </is>
      </c>
      <c r="V551" s="29" t="inlineStr">
        <is>
          <t>Workiva: Associate SE · Broadridge India: SE · Nasdaq / AxiomSL: SE · Salesforce: AMTS · Atlassian: P30 Junior · 0–2 yrs · Freshworks: SE</t>
        </is>
      </c>
      <c r="W551" s="29" t="inlineStr">
        <is>
          <t>SFIA 9 · software development, programming; OWASP secure coding; cloud vendor certifications</t>
        </is>
      </c>
      <c r="X551" s="29" t="inlineStr">
        <is>
          <t>Core 2 · Future 2 · Functional 2 · Leadership not scored</t>
        </is>
      </c>
      <c r="Y551" s="52" t="n">
        <v>350</v>
      </c>
      <c r="Z551" s="53" t="inlineStr">
        <is>
          <t>IRIS2320</t>
        </is>
      </c>
      <c r="AA551" s="53" t="inlineStr">
        <is>
          <t>Employee</t>
        </is>
      </c>
      <c r="AB551" s="53" t="inlineStr">
        <is>
          <t>Active</t>
        </is>
      </c>
      <c r="AC551" s="53" t="inlineStr">
        <is>
          <t>Faisal Pathan</t>
        </is>
      </c>
      <c r="AD551" s="54" t="n">
        <v>45597</v>
      </c>
      <c r="AE551" s="53" t="inlineStr">
        <is>
          <t>Software Engineer</t>
        </is>
      </c>
      <c r="AF551" s="53" t="inlineStr">
        <is>
          <t>B.SC</t>
        </is>
      </c>
      <c r="AG551" s="53" t="inlineStr">
        <is>
          <t>Sagar Jadhav</t>
        </is>
      </c>
      <c r="AH551" s="53" t="inlineStr">
        <is>
          <t>N-3</t>
        </is>
      </c>
      <c r="AI551" s="53" t="inlineStr">
        <is>
          <t>Individual Contributor</t>
        </is>
      </c>
      <c r="AJ551" s="53" t="inlineStr">
        <is>
          <t>0 years, 0 months, 0 days</t>
        </is>
      </c>
      <c r="AK551" s="53" t="inlineStr">
        <is>
          <t>1 years, 9 months, 24 days</t>
        </is>
      </c>
      <c r="AL551" s="53" t="inlineStr">
        <is>
          <t>Suptech</t>
        </is>
      </c>
      <c r="AM551" s="53" t="inlineStr">
        <is>
          <t>iFile</t>
        </is>
      </c>
      <c r="AN551" s="53" t="inlineStr">
        <is>
          <t>Technology</t>
        </is>
      </c>
      <c r="AO551" s="53" t="inlineStr">
        <is>
          <t>Development</t>
        </is>
      </c>
      <c r="AP551" s="53" t="inlineStr">
        <is>
          <t>Yes</t>
        </is>
      </c>
      <c r="AQ551" s="53" t="inlineStr">
        <is>
          <t>Product/Project</t>
        </is>
      </c>
      <c r="AR551" s="53" t="inlineStr">
        <is>
          <t>Angular</t>
        </is>
      </c>
      <c r="AS551" s="53" t="inlineStr">
        <is>
          <t>Technical - Developer</t>
        </is>
      </c>
      <c r="AT551" s="53" t="n">
        <v>20</v>
      </c>
      <c r="AU551" s="53" t="inlineStr">
        <is>
          <t>Covered</t>
        </is>
      </c>
      <c r="AV551" s="53" t="n"/>
      <c r="AW551" s="53" t="n"/>
      <c r="AX551" s="53" t="n"/>
      <c r="AY551" s="53" t="n"/>
      <c r="AZ551" s="53" t="n"/>
      <c r="BA551" s="53" t="n"/>
      <c r="BB551" s="53" t="n"/>
      <c r="BC551" s="53" t="n"/>
      <c r="BD551" s="53" t="n"/>
      <c r="BE551" s="53" t="n"/>
      <c r="BF551" s="53" t="n"/>
      <c r="BG551" s="53" t="n"/>
      <c r="BH551" s="53" t="n"/>
      <c r="BI551" s="53" t="n"/>
      <c r="BJ551" s="53" t="n"/>
      <c r="BK551" s="53" t="n"/>
      <c r="BL551" s="53" t="n"/>
      <c r="BM551" s="53" t="n"/>
      <c r="BN551" s="53" t="n"/>
      <c r="BO551" s="53" t="n"/>
      <c r="BP551" s="53" t="n"/>
      <c r="BQ551" s="53" t="n"/>
      <c r="BR551" s="53" t="n"/>
      <c r="BS551" s="53" t="n"/>
      <c r="BT551" s="53" t="n"/>
      <c r="BU551" s="53" t="n"/>
      <c r="BV551" s="53" t="n"/>
      <c r="BW551" s="53" t="n"/>
      <c r="BX551" s="53" t="n"/>
      <c r="BY551" s="53" t="n"/>
      <c r="BZ551" s="53" t="n"/>
      <c r="CA551" s="53" t="n"/>
      <c r="CB551" s="53" t="n"/>
      <c r="CC551" s="53" t="n"/>
      <c r="CD551" s="53" t="n"/>
      <c r="CE551" s="53" t="n"/>
      <c r="CF551" s="53" t="n"/>
      <c r="CG551" s="53" t="n"/>
      <c r="CH551" s="53" t="n"/>
      <c r="CI551" s="53" t="n"/>
      <c r="CJ551" s="53" t="n"/>
      <c r="CK551" s="53" t="n"/>
      <c r="CL551" s="53" t="n"/>
      <c r="CM551" s="53" t="n"/>
      <c r="CN551" s="53" t="n"/>
      <c r="CO551" s="53" t="n"/>
      <c r="CP551" s="53" t="n"/>
      <c r="CQ551" s="53" t="n"/>
      <c r="CR551" s="53" t="n"/>
      <c r="CS551" s="53" t="n"/>
      <c r="CT551" s="53" t="n"/>
      <c r="CU551" s="53" t="n"/>
      <c r="CV551" s="53" t="n"/>
      <c r="CW551" s="53" t="n"/>
      <c r="CX551" s="53" t="n"/>
      <c r="CY551" s="53" t="n"/>
      <c r="CZ551" s="53" t="n"/>
      <c r="DA551" s="53" t="n"/>
      <c r="DB551" s="53" t="n"/>
      <c r="DC551" s="53" t="n"/>
      <c r="DD551" s="53" t="inlineStr">
        <is>
          <t>IRIS2320</t>
        </is>
      </c>
      <c r="DE551" s="53" t="inlineStr">
        <is>
          <t>Employee</t>
        </is>
      </c>
      <c r="DF551" s="53" t="inlineStr">
        <is>
          <t>Active</t>
        </is>
      </c>
      <c r="DG551" s="53" t="inlineStr">
        <is>
          <t>Faisal Pathan</t>
        </is>
      </c>
      <c r="DH551" s="54" t="n">
        <v>45597</v>
      </c>
      <c r="DI551" s="53" t="inlineStr">
        <is>
          <t>Software Engineer</t>
        </is>
      </c>
      <c r="DJ551" s="53" t="inlineStr">
        <is>
          <t>Engineering &amp; Development</t>
        </is>
      </c>
      <c r="DK551" s="53" t="inlineStr">
        <is>
          <t>Software Engineering</t>
        </is>
      </c>
      <c r="DL551" s="53" t="inlineStr">
        <is>
          <t>Software Engineer</t>
        </is>
      </c>
      <c r="DM551" s="53" t="inlineStr">
        <is>
          <t>L3 – Professional / Associate</t>
        </is>
      </c>
      <c r="DN551" s="53" t="inlineStr">
        <is>
          <t>B.SC</t>
        </is>
      </c>
      <c r="DO551" s="53" t="inlineStr">
        <is>
          <t>Sagar Jadhav</t>
        </is>
      </c>
      <c r="DP551" s="53" t="inlineStr">
        <is>
          <t>N-4</t>
        </is>
      </c>
      <c r="DQ551" s="53" t="inlineStr">
        <is>
          <t>Individual Contributor</t>
        </is>
      </c>
      <c r="DR551" s="53" t="inlineStr">
        <is>
          <t>0 years, 0 months, 0 days</t>
        </is>
      </c>
      <c r="DS551" s="53" t="inlineStr">
        <is>
          <t>1 years, 7 months, 19 days</t>
        </is>
      </c>
      <c r="DT551" s="53" t="inlineStr">
        <is>
          <t>1 years, 7 months, 19 days</t>
        </is>
      </c>
      <c r="DU551" s="53" t="n"/>
      <c r="DV551" s="53" t="inlineStr">
        <is>
          <t>Suptech</t>
        </is>
      </c>
      <c r="DW551" s="53" t="inlineStr">
        <is>
          <t>iFile</t>
        </is>
      </c>
      <c r="DX551" s="53" t="inlineStr">
        <is>
          <t>Technology</t>
        </is>
      </c>
      <c r="DY551" s="53" t="inlineStr">
        <is>
          <t>Development</t>
        </is>
      </c>
      <c r="DZ551" s="53" t="inlineStr">
        <is>
          <t>Yes</t>
        </is>
      </c>
      <c r="EA551" s="53" t="inlineStr">
        <is>
          <t>Product/Project</t>
        </is>
      </c>
      <c r="EB551" s="53" t="inlineStr">
        <is>
          <t>Angular</t>
        </is>
      </c>
      <c r="EC551" s="53" t="inlineStr">
        <is>
          <t>Technical - Developer</t>
        </is>
      </c>
      <c r="ED551" s="53" t="inlineStr">
        <is>
          <t>Work From Office - Turbhe</t>
        </is>
      </c>
      <c r="EE551" s="53" t="inlineStr">
        <is>
          <t>1. Delivered Business Features on Time
Completed Liquidity Interest Payment, Financial Parameter Management, Payment Allocation Enhancement, and Resubmission · Premium, Levy &amp; Liquidity modules on time with good quality and minimal issues.
2. Set Up Demo Application
Successfully set up the Demo Application for internal testing, demonstrations, and project validation.
3. Implemented PWA
Integrated Progressive Web App · PWA features into the Demo Application to improve performance and provide offline support.
4. Improved Code Quality
Fixed SonarQube bugs, security issues, and code quality problems to make the application more secure and maintainable.
5. Started Phase 4 Development
Started the Phase 4 Resolution Module and set up the new UI using Angular 21, PrimeNG, Tailwind CSS, and AG Grid.
6. Built Reusable Components
Developed Generic Grid and Dynamic Form components to reduce development time and maintain consistency across the application.
7. Used Modern Development Practices
Applied modern Angular development practices to build scalable, reusable, and easy-to-maintain applications.</t>
        </is>
      </c>
      <c r="EF551"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
7. Manage Deployment on client environment</t>
        </is>
      </c>
      <c r="EG551"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H551" s="53" t="n">
        <v>4</v>
      </c>
      <c r="EI551" s="54" t="n">
        <v>46113</v>
      </c>
      <c r="EJ551" s="53" t="inlineStr">
        <is>
          <t>Software Engineer</t>
        </is>
      </c>
      <c r="EK551" s="53" t="inlineStr">
        <is>
          <t>No</t>
        </is>
      </c>
      <c r="EL551" s="53" t="n">
        <v>4</v>
      </c>
      <c r="EM551" s="53" t="inlineStr">
        <is>
          <t>High</t>
        </is>
      </c>
      <c r="EN551" s="53" t="inlineStr">
        <is>
          <t>High Impact / Growth Talent</t>
        </is>
      </c>
      <c r="EO551" s="53" t="inlineStr">
        <is>
          <t>Yes</t>
        </is>
      </c>
      <c r="EP551" s="53" t="inlineStr">
        <is>
          <t>No</t>
        </is>
      </c>
      <c r="EQ551" s="53" t="inlineStr">
        <is>
          <t>Yes</t>
        </is>
      </c>
      <c r="ER551" s="53" t="n"/>
      <c r="ES551" s="53" t="inlineStr">
        <is>
          <t>Architecture &amp; Scalability</t>
        </is>
      </c>
      <c r="ET551" s="53" t="n"/>
      <c r="EU551" s="53" t="n"/>
      <c r="EV551" s="53" t="n"/>
      <c r="EW551" s="52" t="n"/>
      <c r="EX551" s="53" t="n"/>
      <c r="EY551" s="53" t="n"/>
      <c r="EZ551" s="53" t="n"/>
      <c r="FA551" s="53" t="n"/>
      <c r="FB551" s="53" t="n"/>
      <c r="FC551" s="53" t="n"/>
      <c r="FD551" s="53" t="n"/>
      <c r="FE551"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
7. Manage Deployment on client environment</t>
        </is>
      </c>
      <c r="FF551"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FG551" s="56" t="inlineStr">
        <is>
          <t>1. Delivered Business Features on Time
Completed Liquidity Interest Payment, Financial Parameter Management, Payment Allocation Enhancement, and Resubmission · Premium, Levy &amp; Liquidity modules on time with good quality and minimal issues.
2. Set Up Demo Application
Successfully set up the Demo Application for internal testing, demonstrations, and project validation.
3.  Implemented PWA
Integrated Progressive Web App · PWA features into the Demo Application to improve performance and provide offline support.
4. Improved Code Quality
Fixed SonarQube bugs, security issues, and code quality problems to make the application more secure and maintainable.
5. Started Phase 4 Development
Started the Phase 4 Resolution Module and set up the new UI using Angular 21, PrimeNG, Tailwind CSS, and AG Grid.
6. Built Reusable Components
Developed Generic Grid and Dynamic Form components to reduce development time and maintain consistency across the application.
7. Used Modern Development Practices
Applied modern Angular development practices to build scalable, reusable, and easy-to-maintain applications.</t>
        </is>
      </c>
      <c r="FH551" s="56" t="inlineStr">
        <is>
          <t>4</t>
        </is>
      </c>
      <c r="FI551" s="56" t="n"/>
      <c r="FJ551" s="56" t="inlineStr">
        <is>
          <t>Received · manager annual, quarterly, self</t>
        </is>
      </c>
      <c r="FK551" s="56" t="inlineStr">
        <is>
          <t>Talent Mapping · iFile collated</t>
        </is>
      </c>
      <c r="FL551" s="56" t="n">
        <v>20</v>
      </c>
      <c r="FM551" s="32" t="inlineStr">
        <is>
          <t>Full survey answers not in the files received · How We Grow export needed · HR</t>
        </is>
      </c>
      <c r="FN551" s="56" t="inlineStr">
        <is>
          <t>—</t>
        </is>
      </c>
      <c r="FO551" s="56" t="inlineStr">
        <is>
          <t>—</t>
        </is>
      </c>
      <c r="FP551" s="56" t="inlineStr">
        <is>
          <t>—</t>
        </is>
      </c>
      <c r="FQ551" s="56" t="inlineStr">
        <is>
          <t>—</t>
        </is>
      </c>
      <c r="FR551" s="56" t="inlineStr">
        <is>
          <t>Business Impact: Moved +0.5: the survey / manager mapping marks it business-critical.</t>
        </is>
      </c>
      <c r="FS551" s="56" t="inlineStr">
        <is>
          <t>Common themes in role-holders' answers: solutions · maintain · problems · core · purpose · while
Common themes in role-holders' answers: feature · code · quality · development · delivery
Common themes in role-holders' answers: features · quality · software
Common themes in role-holders' answers: quality · accountable · reliability · deliver · features · code
Common themes in role-holders' answers: decisions · implement
If the work is missed · role-holders' themes: delays · quality · impact · rework.
Measured on · manager-set KRA themes: complete · improve · assigned · resolve · code · leakage qa/uat.</t>
        </is>
      </c>
      <c r="FT551" s="56" t="inlineStr">
        <is>
          <t>Self-identified: Leadership &amp; people management · Project / programme management · Technical depth &amp; architecture · Broader exposure &amp; ownership
For the next role: Leadership &amp; people management · Project / programme management · Technical depth &amp; architecture · Broader exposure &amp; ownership</t>
        </is>
      </c>
      <c r="FU551" s="32" t="inlineStr">
        <is>
          <t>Full survey answers not in the files received · How We Grow export needed · HR</t>
        </is>
      </c>
    </row>
    <row r="552" ht="90" customHeight="1">
      <c r="A552" s="51" t="inlineStr">
        <is>
          <t>◂ Back</t>
        </is>
      </c>
      <c r="B552" s="29" t="inlineStr">
        <is>
          <t>Mapped</t>
        </is>
      </c>
      <c r="C552" s="28" t="inlineStr">
        <is>
          <t>iFile</t>
        </is>
      </c>
      <c r="D552" s="29" t="inlineStr">
        <is>
          <t>IRIS2322</t>
        </is>
      </c>
      <c r="E552" s="29" t="inlineStr">
        <is>
          <t>Lalita Dixit</t>
        </is>
      </c>
      <c r="F552" s="29" t="inlineStr">
        <is>
          <t>Technology</t>
        </is>
      </c>
      <c r="G552" s="29" t="inlineStr">
        <is>
          <t>Software Engineer</t>
        </is>
      </c>
      <c r="H552" s="29" t="inlineStr">
        <is>
          <t>UI Developer</t>
        </is>
      </c>
      <c r="I552" s="29" t="inlineStr">
        <is>
          <t>L3 – Professional / Associate</t>
        </is>
      </c>
      <c r="J552" s="29" t="inlineStr">
        <is>
          <t>A2</t>
        </is>
      </c>
      <c r="K552" s="29" t="inlineStr">
        <is>
          <t>• Same level</t>
        </is>
      </c>
      <c r="L552" s="29" t="inlineStr">
        <is>
          <t>Engineering &amp; Development</t>
        </is>
      </c>
      <c r="M552" s="29" t="inlineStr">
        <is>
          <t>Front-End / UI Development</t>
        </is>
      </c>
      <c r="N552" s="29" t="n"/>
      <c r="O552" s="29" t="n">
        <v>20</v>
      </c>
      <c r="P552" s="28" t="inlineStr">
        <is>
          <t>P1–P2</t>
        </is>
      </c>
      <c r="Q552" s="29" t="inlineStr">
        <is>
          <t>Entry / Developing</t>
        </is>
      </c>
      <c r="R552" s="29" t="inlineStr">
        <is>
          <t>2 Assist</t>
        </is>
      </c>
      <c r="S552" s="29" t="inlineStr">
        <is>
          <t>0–2 yrs</t>
        </is>
      </c>
      <c r="T552" s="29" t="inlineStr">
        <is>
          <t>1–3 · 0–3</t>
        </is>
      </c>
      <c r="U552" s="29" t="inlineStr">
        <is>
          <t>Associate Software Engineer / Software Engineer</t>
        </is>
      </c>
      <c r="V552" s="29" t="inlineStr">
        <is>
          <t>Workiva: Associate SE · Broadridge India: SE · Nasdaq / AxiomSL: SE · Salesforce: AMTS · Atlassian: P30 Junior · 0–2 yrs · Freshworks: SE</t>
        </is>
      </c>
      <c r="W552" s="29" t="inlineStr">
        <is>
          <t>SFIA 9 · software development, programming; OWASP secure coding; cloud vendor certifications</t>
        </is>
      </c>
      <c r="X552" s="29" t="inlineStr">
        <is>
          <t>Core 2 · Future 2 · Functional 2 · Leadership not scored</t>
        </is>
      </c>
      <c r="Y552" s="52" t="n">
        <v>352</v>
      </c>
      <c r="Z552" s="53" t="inlineStr">
        <is>
          <t>IRIS2322</t>
        </is>
      </c>
      <c r="AA552" s="53" t="inlineStr">
        <is>
          <t>Employee</t>
        </is>
      </c>
      <c r="AB552" s="53" t="inlineStr">
        <is>
          <t>Active</t>
        </is>
      </c>
      <c r="AC552" s="53" t="inlineStr">
        <is>
          <t>Lalita Dixit</t>
        </is>
      </c>
      <c r="AD552" s="54" t="n">
        <v>45597</v>
      </c>
      <c r="AE552" s="53" t="inlineStr">
        <is>
          <t>Software Engineer</t>
        </is>
      </c>
      <c r="AF552" s="53" t="inlineStr">
        <is>
          <t>B.SC</t>
        </is>
      </c>
      <c r="AG552" s="53" t="inlineStr">
        <is>
          <t>Sagar Jadhav</t>
        </is>
      </c>
      <c r="AH552" s="53" t="inlineStr">
        <is>
          <t>N-3</t>
        </is>
      </c>
      <c r="AI552" s="53" t="inlineStr">
        <is>
          <t>Individual Contributor</t>
        </is>
      </c>
      <c r="AJ552" s="53" t="inlineStr">
        <is>
          <t>0 years, 0 months, 0 days</t>
        </is>
      </c>
      <c r="AK552" s="53" t="inlineStr">
        <is>
          <t>1 years, 9 months, 24 days</t>
        </is>
      </c>
      <c r="AL552" s="53" t="inlineStr">
        <is>
          <t>Suptech</t>
        </is>
      </c>
      <c r="AM552" s="53" t="inlineStr">
        <is>
          <t>iFile</t>
        </is>
      </c>
      <c r="AN552" s="53" t="inlineStr">
        <is>
          <t>Technology</t>
        </is>
      </c>
      <c r="AO552" s="53" t="inlineStr">
        <is>
          <t>Development</t>
        </is>
      </c>
      <c r="AP552" s="53" t="inlineStr">
        <is>
          <t>Yes</t>
        </is>
      </c>
      <c r="AQ552" s="53" t="inlineStr">
        <is>
          <t>Product/Project</t>
        </is>
      </c>
      <c r="AR552" s="53" t="inlineStr">
        <is>
          <t>Angular</t>
        </is>
      </c>
      <c r="AS552" s="53" t="inlineStr">
        <is>
          <t>Technical - Developer</t>
        </is>
      </c>
      <c r="AT552" s="53" t="n">
        <v>20</v>
      </c>
      <c r="AU552" s="53" t="inlineStr">
        <is>
          <t>Covered</t>
        </is>
      </c>
      <c r="AV552" s="53" t="n"/>
      <c r="AW552" s="53" t="n"/>
      <c r="AX552" s="53" t="n"/>
      <c r="AY552" s="53" t="n"/>
      <c r="AZ552" s="53" t="n"/>
      <c r="BA552" s="53" t="n"/>
      <c r="BB552" s="53" t="n"/>
      <c r="BC552" s="53" t="n"/>
      <c r="BD552" s="53" t="n"/>
      <c r="BE552" s="53" t="n"/>
      <c r="BF552" s="53" t="n"/>
      <c r="BG552" s="53" t="n"/>
      <c r="BH552" s="53" t="n"/>
      <c r="BI552" s="53" t="n"/>
      <c r="BJ552" s="53" t="n"/>
      <c r="BK552" s="53" t="n"/>
      <c r="BL552" s="53" t="n"/>
      <c r="BM552" s="53" t="n"/>
      <c r="BN552" s="53" t="n"/>
      <c r="BO552" s="53" t="n"/>
      <c r="BP552" s="53" t="n"/>
      <c r="BQ552" s="53" t="n"/>
      <c r="BR552" s="53" t="n"/>
      <c r="BS552" s="53" t="n"/>
      <c r="BT552" s="53" t="n"/>
      <c r="BU552" s="53" t="n"/>
      <c r="BV552" s="53" t="n"/>
      <c r="BW552" s="53" t="n"/>
      <c r="BX552" s="53" t="n"/>
      <c r="BY552" s="53" t="n"/>
      <c r="BZ552" s="53" t="n"/>
      <c r="CA552" s="53" t="n"/>
      <c r="CB552" s="53" t="n"/>
      <c r="CC552" s="53" t="n"/>
      <c r="CD552" s="53" t="n"/>
      <c r="CE552" s="53" t="n"/>
      <c r="CF552" s="53" t="n"/>
      <c r="CG552" s="53" t="n"/>
      <c r="CH552" s="53" t="n"/>
      <c r="CI552" s="53" t="n"/>
      <c r="CJ552" s="53" t="n"/>
      <c r="CK552" s="53" t="n"/>
      <c r="CL552" s="53" t="n"/>
      <c r="CM552" s="53" t="n"/>
      <c r="CN552" s="53" t="n"/>
      <c r="CO552" s="53" t="n"/>
      <c r="CP552" s="53" t="n"/>
      <c r="CQ552" s="53" t="n"/>
      <c r="CR552" s="53" t="n"/>
      <c r="CS552" s="53" t="n"/>
      <c r="CT552" s="53" t="n"/>
      <c r="CU552" s="53" t="n"/>
      <c r="CV552" s="53" t="n"/>
      <c r="CW552" s="53" t="n"/>
      <c r="CX552" s="53" t="n"/>
      <c r="CY552" s="53" t="n"/>
      <c r="CZ552" s="53" t="n"/>
      <c r="DA552" s="53" t="n"/>
      <c r="DB552" s="53" t="n"/>
      <c r="DC552" s="53" t="n"/>
      <c r="DD552" s="53" t="inlineStr">
        <is>
          <t>IRIS2322</t>
        </is>
      </c>
      <c r="DE552" s="53" t="inlineStr">
        <is>
          <t>Employee</t>
        </is>
      </c>
      <c r="DF552" s="53" t="inlineStr">
        <is>
          <t>Active</t>
        </is>
      </c>
      <c r="DG552" s="53" t="inlineStr">
        <is>
          <t>Lalita Dixit</t>
        </is>
      </c>
      <c r="DH552" s="54" t="n">
        <v>45597</v>
      </c>
      <c r="DI552" s="53" t="inlineStr">
        <is>
          <t>Software Engineer</t>
        </is>
      </c>
      <c r="DJ552" s="53" t="inlineStr">
        <is>
          <t>Engineering &amp; Development</t>
        </is>
      </c>
      <c r="DK552" s="53" t="inlineStr">
        <is>
          <t>Software Engineering</t>
        </is>
      </c>
      <c r="DL552" s="53" t="inlineStr">
        <is>
          <t>Software Engineer</t>
        </is>
      </c>
      <c r="DM552" s="53" t="inlineStr">
        <is>
          <t>L3 – Professional / Associate</t>
        </is>
      </c>
      <c r="DN552" s="53" t="inlineStr">
        <is>
          <t>B.SC</t>
        </is>
      </c>
      <c r="DO552" s="53" t="inlineStr">
        <is>
          <t>Sagar Jadhav</t>
        </is>
      </c>
      <c r="DP552" s="53" t="inlineStr">
        <is>
          <t>N-4</t>
        </is>
      </c>
      <c r="DQ552" s="53" t="inlineStr">
        <is>
          <t>Individual Contributor</t>
        </is>
      </c>
      <c r="DR552" s="53" t="inlineStr">
        <is>
          <t>0 years, 0 months, 0 days</t>
        </is>
      </c>
      <c r="DS552" s="53" t="inlineStr">
        <is>
          <t>1 years, 7 months, 19 days</t>
        </is>
      </c>
      <c r="DT552" s="53" t="inlineStr">
        <is>
          <t>1 years, 7 months, 19 days</t>
        </is>
      </c>
      <c r="DU552" s="53" t="n"/>
      <c r="DV552" s="53" t="inlineStr">
        <is>
          <t>Suptech</t>
        </is>
      </c>
      <c r="DW552" s="53" t="inlineStr">
        <is>
          <t>iFile</t>
        </is>
      </c>
      <c r="DX552" s="53" t="inlineStr">
        <is>
          <t>Technology</t>
        </is>
      </c>
      <c r="DY552" s="53" t="inlineStr">
        <is>
          <t>Development</t>
        </is>
      </c>
      <c r="DZ552" s="53" t="inlineStr">
        <is>
          <t>Yes</t>
        </is>
      </c>
      <c r="EA552" s="53" t="inlineStr">
        <is>
          <t>Product/Project</t>
        </is>
      </c>
      <c r="EB552" s="53" t="inlineStr">
        <is>
          <t>Angular</t>
        </is>
      </c>
      <c r="EC552" s="53" t="inlineStr">
        <is>
          <t>Technical - Developer</t>
        </is>
      </c>
      <c r="ED552" s="53" t="inlineStr">
        <is>
          <t>Work From Office - Turbhe</t>
        </is>
      </c>
      <c r="EE552" s="53" t="inlineStr">
        <is>
          <t>1. Successfully Delivered Business Modules
	Successfully completed the Liquidity Settlement, Liquidity Interest, Liquidity Reimbursement, Off-Boarding Pro Rata, Allocate Payment, Customer Data, Financial Parameter Management, and Resubmission · Premium, Levy &amp; Liquidity modules within the committed timelines, with good quality and minimal issues.
2. Improved Code Quality and Security
	Resolved SonarQube bugs, security vulnerabilities, and code quality issues. Also set up SonarQube for the Angular application to ensure continuous code quality monitoring.
3. Application Support and Issue Resolution
	Provided timely fixes for application issues, resolved production defects, and ensured stable application performance with minimal release issues.
4. Followed Best Development Practices
	Developed scalable, maintainable, and high-quality solutions by following coding standards, performing code optimization, and ensuring clean, reusable code throughout development.</t>
        </is>
      </c>
      <c r="EF552"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552"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H552" s="53" t="n">
        <v>3</v>
      </c>
      <c r="EI552" s="54" t="n">
        <v>46113</v>
      </c>
      <c r="EJ552" s="53" t="inlineStr">
        <is>
          <t>Software Engineer</t>
        </is>
      </c>
      <c r="EK552" s="53" t="inlineStr">
        <is>
          <t>No</t>
        </is>
      </c>
      <c r="EL552" s="53" t="n">
        <v>3</v>
      </c>
      <c r="EM552" s="53" t="inlineStr">
        <is>
          <t>Medium</t>
        </is>
      </c>
      <c r="EN552" s="53" t="inlineStr">
        <is>
          <t>Reliable Specialist</t>
        </is>
      </c>
      <c r="EO552" s="53" t="inlineStr">
        <is>
          <t>No</t>
        </is>
      </c>
      <c r="EP552" s="53" t="inlineStr">
        <is>
          <t>No</t>
        </is>
      </c>
      <c r="EQ552" s="53" t="inlineStr">
        <is>
          <t>Yes</t>
        </is>
      </c>
      <c r="ER552" s="53" t="n"/>
      <c r="ES552" s="53" t="n"/>
      <c r="ET552" s="53" t="n"/>
      <c r="EU552" s="53" t="n"/>
      <c r="EV552" s="53" t="n"/>
      <c r="EW552" s="52" t="n"/>
      <c r="EX552" s="53" t="n"/>
      <c r="EY552" s="53" t="n"/>
      <c r="EZ552" s="53" t="n"/>
      <c r="FA552" s="53" t="n"/>
      <c r="FB552" s="53" t="n"/>
      <c r="FC552" s="53" t="n"/>
      <c r="FD552" s="53" t="n"/>
      <c r="FE552"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FF552"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FG552" s="56" t="inlineStr">
        <is>
          <t>1. Successfully Delivered Business Modules
	Successfully completed the Liquidity Settlement, Liquidity Interest, Liquidity Reimbursement, Off-Boarding Pro Rata, Allocate Payment, Customer Data, Financial Parameter Management, and Resubmission · Premium, Levy &amp; Liquidity modules within the committed timelines, with good quality and minimal issues.
2. Improved Code Quality and Security
	Resolved SonarQube bugs, security vulnerabilities, and code quality issues. Also set up SonarQube for the Angular application to ensure continuous code quality monitoring.
3. Application Support and Issue Resolution
	Provided timely fixes for application issues, resolved production defects, and ensured stable application performance with minimal release issues.
4. Followed Best Development Practices
	Developed scalable, maintainable, and high-quality solutions by following coding standards, performing code optimization, and ensuring clean, reusable code throughout development.</t>
        </is>
      </c>
      <c r="FH552" s="56" t="inlineStr">
        <is>
          <t>3</t>
        </is>
      </c>
      <c r="FI552" s="56" t="n"/>
      <c r="FJ552" s="56" t="inlineStr">
        <is>
          <t>Received · manager annual, quarterly, self</t>
        </is>
      </c>
      <c r="FK552" s="56" t="inlineStr">
        <is>
          <t>Talent Mapping · iFile collated</t>
        </is>
      </c>
      <c r="FL552" s="56" t="n">
        <v>20</v>
      </c>
      <c r="FM552" s="32" t="inlineStr">
        <is>
          <t>Full survey answers not in the files received · How We Grow export needed · HR</t>
        </is>
      </c>
      <c r="FN552" s="56" t="inlineStr">
        <is>
          <t>—</t>
        </is>
      </c>
      <c r="FO552" s="56" t="inlineStr">
        <is>
          <t>—</t>
        </is>
      </c>
      <c r="FP552" s="56" t="inlineStr">
        <is>
          <t>—</t>
        </is>
      </c>
      <c r="FQ552" s="56" t="inlineStr">
        <is>
          <t>—</t>
        </is>
      </c>
      <c r="FR552" s="56" t="inlineStr">
        <is>
          <t>Business Impact: Moved +0.5: the survey / manager mapping marks it business-critical.</t>
        </is>
      </c>
      <c r="FS552" s="56" t="inlineStr">
        <is>
          <t>Common themes in role-holders' answers: solutions · maintain · problems · core · purpose · while
Common themes in role-holders' answers: feature · code · quality · development · delivery
Common themes in role-holders' answers: features · quality · software
Common themes in role-holders' answers: quality · accountable · reliability · deliver · features · code
Common themes in role-holders' answers: decisions · implement
If the work is missed · role-holders' themes: delays · quality · impact · rework.
Measured on · manager-set KRA themes: complete · improve · assigned · resolve · code · leakage qa/uat.</t>
        </is>
      </c>
      <c r="FT552" s="56" t="inlineStr">
        <is>
          <t>Self-identified: Leadership &amp; people management · Project / programme management · Technical depth &amp; architecture
For the next role: Leadership &amp; people management · Project / programme management · Technical depth &amp; architecture</t>
        </is>
      </c>
      <c r="FU552" s="32" t="inlineStr">
        <is>
          <t>Full survey answers not in the files received · How We Grow export needed · HR</t>
        </is>
      </c>
    </row>
    <row r="553" ht="90" customHeight="1">
      <c r="A553" s="51" t="inlineStr">
        <is>
          <t>◂ Back</t>
        </is>
      </c>
      <c r="B553" s="29" t="inlineStr">
        <is>
          <t>Mapped</t>
        </is>
      </c>
      <c r="C553" s="28" t="inlineStr">
        <is>
          <t>iFile</t>
        </is>
      </c>
      <c r="D553" s="29" t="inlineStr">
        <is>
          <t>IRIS1640</t>
        </is>
      </c>
      <c r="E553" s="29" t="inlineStr">
        <is>
          <t>Vivek Shinde</t>
        </is>
      </c>
      <c r="F553" s="29" t="inlineStr">
        <is>
          <t>Technology</t>
        </is>
      </c>
      <c r="G553" s="29" t="inlineStr">
        <is>
          <t>Senior Software Engineer</t>
        </is>
      </c>
      <c r="H553" s="29" t="inlineStr">
        <is>
          <t>Technical Specialist – POD Lead</t>
        </is>
      </c>
      <c r="I553" s="29" t="inlineStr">
        <is>
          <t>L4 – Senior</t>
        </is>
      </c>
      <c r="J553" s="29" t="inlineStr">
        <is>
          <t>B1</t>
        </is>
      </c>
      <c r="K553" s="29" t="inlineStr">
        <is>
          <t>▲ Up</t>
        </is>
      </c>
      <c r="L553" s="29" t="inlineStr">
        <is>
          <t>Engineering &amp; Development</t>
        </is>
      </c>
      <c r="M553" s="29" t="inlineStr">
        <is>
          <t>Backend Development</t>
        </is>
      </c>
      <c r="N553" s="29" t="n"/>
      <c r="O553" s="29" t="n">
        <v>20</v>
      </c>
      <c r="P553" s="28" t="inlineStr">
        <is>
          <t>P3 / M2</t>
        </is>
      </c>
      <c r="Q553" s="29" t="inlineStr">
        <is>
          <t>Career / · Team Lead</t>
        </is>
      </c>
      <c r="R553" s="29" t="inlineStr">
        <is>
          <t>4 Enable</t>
        </is>
      </c>
      <c r="S553" s="29" t="inlineStr">
        <is>
          <t>4–7 yrs</t>
        </is>
      </c>
      <c r="T553" s="29" t="inlineStr">
        <is>
          <t>5–8 · 4–8</t>
        </is>
      </c>
      <c r="U553" s="29" t="inlineStr">
        <is>
          <t>Senior Software Engineer</t>
        </is>
      </c>
      <c r="V553" s="29" t="inlineStr">
        <is>
          <t>Workiva: SE / Senior SE · Broadridge India: Senior SE · Nasdaq / AxiomSL: Senior SE · Salesforce: MTS · Atlassian: P40 · Freshworks: Senior SE</t>
        </is>
      </c>
      <c r="W553" s="29" t="inlineStr">
        <is>
          <t>SFIA 9 · software development, programming; OWASP secure coding; cloud vendor certifications</t>
        </is>
      </c>
      <c r="X553" s="29" t="inlineStr">
        <is>
          <t>Core 3 · Future 3 · Functional 3 · Leadership 2</t>
        </is>
      </c>
      <c r="Y553" s="52" t="n">
        <v>134</v>
      </c>
      <c r="Z553" s="53" t="inlineStr">
        <is>
          <t>IRIS1640</t>
        </is>
      </c>
      <c r="AA553" s="53" t="inlineStr">
        <is>
          <t>Employee</t>
        </is>
      </c>
      <c r="AB553" s="53" t="inlineStr">
        <is>
          <t>Active</t>
        </is>
      </c>
      <c r="AC553" s="53" t="inlineStr">
        <is>
          <t>Vivek Shinde</t>
        </is>
      </c>
      <c r="AD553" s="54" t="n">
        <v>42863</v>
      </c>
      <c r="AE553" s="53" t="inlineStr">
        <is>
          <t>Senior Software Engineer</t>
        </is>
      </c>
      <c r="AF553" s="53" t="inlineStr">
        <is>
          <t>MMS</t>
        </is>
      </c>
      <c r="AG553" s="53" t="inlineStr">
        <is>
          <t>Suman Kumar</t>
        </is>
      </c>
      <c r="AH553" s="53" t="inlineStr">
        <is>
          <t>N-2</t>
        </is>
      </c>
      <c r="AI553" s="53" t="inlineStr">
        <is>
          <t>Manager</t>
        </is>
      </c>
      <c r="AJ553" s="53" t="inlineStr">
        <is>
          <t>0 years, 0 months, 0 days</t>
        </is>
      </c>
      <c r="AK553" s="53" t="inlineStr">
        <is>
          <t>9 years, 3 months, 17 days</t>
        </is>
      </c>
      <c r="AL553" s="53" t="inlineStr">
        <is>
          <t>Suptech</t>
        </is>
      </c>
      <c r="AM553" s="53" t="inlineStr">
        <is>
          <t>iFile</t>
        </is>
      </c>
      <c r="AN553" s="53" t="inlineStr">
        <is>
          <t>Technology</t>
        </is>
      </c>
      <c r="AO553" s="53" t="inlineStr">
        <is>
          <t>Development</t>
        </is>
      </c>
      <c r="AP553" s="53" t="inlineStr">
        <is>
          <t>Yes</t>
        </is>
      </c>
      <c r="AQ553" s="53" t="inlineStr">
        <is>
          <t>Product/Project</t>
        </is>
      </c>
      <c r="AR553" s="53" t="inlineStr">
        <is>
          <t>Java</t>
        </is>
      </c>
      <c r="AS553" s="53" t="inlineStr">
        <is>
          <t>Technical - Developer</t>
        </is>
      </c>
      <c r="AT553" s="53" t="n">
        <v>20</v>
      </c>
      <c r="AU553" s="53" t="inlineStr">
        <is>
          <t>Covered</t>
        </is>
      </c>
      <c r="AV553" s="53" t="n"/>
      <c r="AW553" s="53" t="n"/>
      <c r="AX553" s="53" t="n"/>
      <c r="AY553" s="53" t="n"/>
      <c r="AZ553" s="53" t="n"/>
      <c r="BA553" s="53" t="n"/>
      <c r="BB553" s="53" t="n"/>
      <c r="BC553" s="53" t="n"/>
      <c r="BD553" s="53" t="n"/>
      <c r="BE553" s="53" t="n"/>
      <c r="BF553" s="53" t="n"/>
      <c r="BG553" s="53" t="n"/>
      <c r="BH553" s="53" t="n"/>
      <c r="BI553" s="53" t="n"/>
      <c r="BJ553" s="53" t="n"/>
      <c r="BK553" s="53" t="n"/>
      <c r="BL553" s="53" t="n"/>
      <c r="BM553" s="53" t="n"/>
      <c r="BN553" s="53" t="n"/>
      <c r="BO553" s="53" t="n"/>
      <c r="BP553" s="53" t="n"/>
      <c r="BQ553" s="53" t="n"/>
      <c r="BR553" s="53" t="n"/>
      <c r="BS553" s="53" t="n"/>
      <c r="BT553" s="53" t="n"/>
      <c r="BU553" s="53" t="n"/>
      <c r="BV553" s="53" t="n"/>
      <c r="BW553" s="53" t="n"/>
      <c r="BX553" s="53" t="n"/>
      <c r="BY553" s="53" t="n"/>
      <c r="BZ553" s="53" t="n"/>
      <c r="CA553" s="53" t="n"/>
      <c r="CB553" s="53" t="n"/>
      <c r="CC553" s="53" t="n"/>
      <c r="CD553" s="53" t="n"/>
      <c r="CE553" s="53" t="n"/>
      <c r="CF553" s="53" t="n"/>
      <c r="CG553" s="53" t="n"/>
      <c r="CH553" s="53" t="n"/>
      <c r="CI553" s="53" t="n"/>
      <c r="CJ553" s="53" t="n"/>
      <c r="CK553" s="53" t="n"/>
      <c r="CL553" s="53" t="n"/>
      <c r="CM553" s="53" t="n"/>
      <c r="CN553" s="53" t="n"/>
      <c r="CO553" s="53" t="n"/>
      <c r="CP553" s="53" t="n"/>
      <c r="CQ553" s="53" t="n"/>
      <c r="CR553" s="53" t="n"/>
      <c r="CS553" s="53" t="n"/>
      <c r="CT553" s="53" t="n"/>
      <c r="CU553" s="53" t="n"/>
      <c r="CV553" s="53" t="n"/>
      <c r="CW553" s="53" t="n"/>
      <c r="CX553" s="53" t="n"/>
      <c r="CY553" s="53" t="n"/>
      <c r="CZ553" s="53" t="n"/>
      <c r="DA553" s="53" t="n"/>
      <c r="DB553" s="53" t="n"/>
      <c r="DC553" s="53" t="n"/>
      <c r="DD553" s="53" t="inlineStr">
        <is>
          <t>IRIS1640</t>
        </is>
      </c>
      <c r="DE553" s="53" t="inlineStr">
        <is>
          <t>Employee</t>
        </is>
      </c>
      <c r="DF553" s="53" t="inlineStr">
        <is>
          <t>Active</t>
        </is>
      </c>
      <c r="DG553" s="53" t="inlineStr">
        <is>
          <t>Vivek Shinde</t>
        </is>
      </c>
      <c r="DH553" s="54" t="n">
        <v>42863</v>
      </c>
      <c r="DI553" s="53" t="inlineStr">
        <is>
          <t>Senior Software Engineer</t>
        </is>
      </c>
      <c r="DJ553" s="53" t="inlineStr">
        <is>
          <t>Engineering &amp; Development</t>
        </is>
      </c>
      <c r="DK553" s="53" t="inlineStr">
        <is>
          <t>Backend Engineering · Java</t>
        </is>
      </c>
      <c r="DL553" s="53" t="inlineStr">
        <is>
          <t>Senior Software Engineer</t>
        </is>
      </c>
      <c r="DM553" s="53" t="inlineStr">
        <is>
          <t>L4 – Senior</t>
        </is>
      </c>
      <c r="DN553" s="53" t="inlineStr">
        <is>
          <t>MMS</t>
        </is>
      </c>
      <c r="DO553" s="53" t="inlineStr">
        <is>
          <t>Suman Kumar</t>
        </is>
      </c>
      <c r="DP553" s="53" t="inlineStr">
        <is>
          <t>N-3</t>
        </is>
      </c>
      <c r="DQ553" s="53" t="inlineStr">
        <is>
          <t>Manager</t>
        </is>
      </c>
      <c r="DR553" s="53" t="inlineStr">
        <is>
          <t>0 years, 0 months, 0 days</t>
        </is>
      </c>
      <c r="DS553" s="53" t="inlineStr">
        <is>
          <t>9 years, 1 months, 12 days</t>
        </is>
      </c>
      <c r="DT553" s="53" t="inlineStr">
        <is>
          <t>9 years, 1 months, 12 days</t>
        </is>
      </c>
      <c r="DU553" s="53" t="n">
        <v>9.1162100456621</v>
      </c>
      <c r="DV553" s="53" t="inlineStr">
        <is>
          <t>Suptech</t>
        </is>
      </c>
      <c r="DW553" s="53" t="inlineStr">
        <is>
          <t>iFile</t>
        </is>
      </c>
      <c r="DX553" s="53" t="inlineStr">
        <is>
          <t>Technology</t>
        </is>
      </c>
      <c r="DY553" s="53" t="inlineStr">
        <is>
          <t>Development</t>
        </is>
      </c>
      <c r="DZ553" s="53" t="inlineStr">
        <is>
          <t>Yes</t>
        </is>
      </c>
      <c r="EA553" s="53" t="inlineStr">
        <is>
          <t>Product/Project</t>
        </is>
      </c>
      <c r="EB553" s="53" t="inlineStr">
        <is>
          <t>Java</t>
        </is>
      </c>
      <c r="EC553" s="53" t="inlineStr">
        <is>
          <t>Technical - Developer</t>
        </is>
      </c>
      <c r="ED553" s="53" t="inlineStr">
        <is>
          <t>Work From Office - Turbhe</t>
        </is>
      </c>
      <c r="EE553" s="53" t="inlineStr">
        <is>
          <t>1. Requirement Analysis &amp; Technical Solution
Objective: Analyze business requirements and prepare technical solutions.
Measurable:
Complete technical analysis and design for 100% of assigned requirements before development begins.
Ensure requirement-related rework due to missed technical understanding is less than 10%.
2. Effort Estimation &amp; Task Planning
Objective: Provide accurate effort estimates and plan development activities.
Measurable:
Submit effort estimates for 100% of assigned stories/features before sprint planning.
Maintain estimation accuracy within ±15% of actual effort for at least 85% of assigned work.
3. Code Quality &amp; Team Mentoring
Objective: Maintain code quality and support junior developers.
Measurable:
Assign development tasks to team members based on skill and workload.
Complete 100% of code reviews for assigned modules, ensuring adherence to coding standards and maintaining less than 5% code review rework.
Mentor team members and resolve technical blockers within agreed sprint timelines.
4. Client Communication &amp; Delivery
Objective: Ensure effective communication with clients and timely project execution.
Measurable:
Participate in client discussions for requirement clarification, progress updates, and issue resolution.
Achieve 95% on-time delivery of assigned deliverables while maintaining high client satisfaction and prompt communication on risks or changes.
5. Production Deployment &amp; Release Management
Objective: Support smooth and successful production releases.
Measurable:
Execute or support 100% of assigned production deployments as per the release plan.
Achieve zero deployment failures caused by deployment process errors.</t>
        </is>
      </c>
      <c r="EF553" s="53" t="inlineStr">
        <is>
          <t>1. Deliver team release roadmap on schedule: &gt;=90% of committed releases on time
2. Keep team sprint velocity stable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
8. Manage end to end deployment at client environments: &gt;=90% of committed releases on time
9. Efficiently interact with client and other stakeholders to understand and plan development along with release: &gt;=90% of committed releases on time</t>
        </is>
      </c>
      <c r="EG553" s="53" t="inlineStr">
        <is>
          <t>Q1: Deliver team release roadmap on schedule: &gt;=90% of committed releases on time
Q1: Keep team sprint velocity stable and defect leakage &lt;=5%
Q1: Drive production stability: critical incidents resolved within SLA &gt;=95%</t>
        </is>
      </c>
      <c r="EH553" s="53" t="n">
        <v>3</v>
      </c>
      <c r="EI553" s="54" t="n">
        <v>46113</v>
      </c>
      <c r="EJ553" s="53" t="inlineStr">
        <is>
          <t>Senior Software Engineer</t>
        </is>
      </c>
      <c r="EK553" s="53" t="inlineStr">
        <is>
          <t>No</t>
        </is>
      </c>
      <c r="EL553" s="53" t="n">
        <v>3</v>
      </c>
      <c r="EM553" s="53" t="inlineStr">
        <is>
          <t>Low</t>
        </is>
      </c>
      <c r="EN553" s="53" t="inlineStr">
        <is>
          <t>Reliable Specialist</t>
        </is>
      </c>
      <c r="EO553" s="53" t="inlineStr">
        <is>
          <t>No</t>
        </is>
      </c>
      <c r="EP553" s="53" t="inlineStr">
        <is>
          <t>No</t>
        </is>
      </c>
      <c r="EQ553" s="53" t="inlineStr">
        <is>
          <t>Yes</t>
        </is>
      </c>
      <c r="ER553" s="53" t="n"/>
      <c r="ES553" s="53" t="inlineStr">
        <is>
          <t>Spring AI/System Design &amp; Pattern</t>
        </is>
      </c>
      <c r="ET553" s="53" t="n"/>
      <c r="EU553" s="53" t="n"/>
      <c r="EV553" s="53" t="n"/>
      <c r="EW553" s="52" t="n"/>
      <c r="EX553" s="53" t="n"/>
      <c r="EY553" s="53" t="n"/>
      <c r="EZ553" s="53" t="n"/>
      <c r="FA553" s="53" t="n"/>
      <c r="FB553" s="53" t="n"/>
      <c r="FC553" s="53" t="n"/>
      <c r="FD553" s="53" t="n"/>
      <c r="FE553" s="57" t="inlineStr">
        <is>
          <t>1. Deliver team release roadmap on schedule: &gt;=90% of committed releases on time
2. Keep team sprint velocity stable · +/-10% and defect leakage &lt;=5%
3. Drive production stability: critical incidents resolved within SLA &gt;=95%
4. Reduce module-level tech debt by &gt;=15% via refactoring / reusable components
5. Ensure 100% of team has current quarterly goals and 1:1s logged monthly
6. Improve automated test coverage across team modules by &gt;=15 percentage points
7. Upskill team: &gt;=80% of reports complete at least one targeted certification/training
8. Manage end to end deployment at client environments: &gt;=90% of committed releases on time
9. Efficiently interact with client and other stakeholders to understand and plan development along with release: &gt;=90% of committed releases on time</t>
        </is>
      </c>
      <c r="FF553" s="56" t="inlineStr">
        <is>
          <t>Q1: Deliver team release roadmap on schedule: &gt;=90% of committed releases on time
Q1: Keep team sprint velocity stable · +/-10% and defect leakage &lt;=5%
Q1: Drive production stability: critical incidents resolved within SLA &gt;=95%</t>
        </is>
      </c>
      <c r="FG553" s="56" t="inlineStr">
        <is>
          <t>1. Requirement Analysis &amp; Technical Solution
Objective: Analyze business requirements and prepare technical solutions.
Measurable:
Complete technical analysis and design for 100% of assigned requirements before development begins.
Ensure requirement-related rework due to missed technical understanding is less than 10%.
2. Effort Estimation &amp; Task Planning
Objective: Provide accurate effort estimates and plan development activities.
Measurable:
Submit effort estimates for 100% of assigned stories/features before sprint planning.
Maintain estimation accuracy within ±15% of actual effort for at least 85% of assigned work.
3. Code Quality &amp; Team Mentoring
Objective: Maintain code quality and support junior developers.
Measurable:
Assign development tasks to team members based on skill and workload.
Complete 100% of code reviews for assigned modules, ensuring adherence to coding standards and maintaining less than 5% code review rework.
Mentor team members and resolve technical blockers within agreed sprint timelines.
4. Client Communication &amp; Delivery
Objective: Ensure effective communication with clients and timely project execution.
Measurable:
Participate in client discussions for requirement clarification, progress updates, and issue resolution.
Achieve 95% on-time delivery of assigned deliverables while maintaining high client satisfaction and prompt communication on risks or changes.
5. Production Deployment &amp; Release Management
Objective: Support smooth and successful production releases.
Measurable:
Execute or support 100% of assigned production deployments as per the release plan.
Achieve zero deployment failures caused by deployment process errors.</t>
        </is>
      </c>
      <c r="FH553" s="56" t="inlineStr">
        <is>
          <t>3</t>
        </is>
      </c>
      <c r="FI553" s="56" t="n"/>
      <c r="FJ553" s="56" t="inlineStr">
        <is>
          <t>Received · manager annual, quarterly, self</t>
        </is>
      </c>
      <c r="FK553" s="56" t="inlineStr">
        <is>
          <t>Talent Mapping · iFile collated</t>
        </is>
      </c>
      <c r="FL553" s="56" t="n">
        <v>20</v>
      </c>
      <c r="FM553" s="32" t="inlineStr">
        <is>
          <t>Full survey answers not in the files received · How We Grow export needed · HR</t>
        </is>
      </c>
      <c r="FN553" s="56" t="inlineStr">
        <is>
          <t>—</t>
        </is>
      </c>
      <c r="FO553" s="56" t="inlineStr">
        <is>
          <t>—</t>
        </is>
      </c>
      <c r="FP553" s="56" t="inlineStr">
        <is>
          <t>—</t>
        </is>
      </c>
      <c r="FQ553" s="56" t="inlineStr">
        <is>
          <t>—</t>
        </is>
      </c>
      <c r="FR553" s="56" t="inlineStr">
        <is>
          <t>Complexity: Evidence reads like B1: Backend development plus effort estimation, sprint planning and managing the full release lifecycle → moved up 0.5
Autonomy: Evidence reads like B1: Plans sprints and the release for the team; cites technical analysis as own decision → moved up 0.5
Accountability: Evidence reads like B1: Feature delivery in planned sprints and release to production; has 3 reports → matches the start
Leadership: Evidence reads like B1: Describes 'development and leading' with code reviews; KRA includes assigning tasks; 3 reports → matches the start
Business Impact: Moved +0.5: the survey / manager mapping marks it business-critical.</t>
        </is>
      </c>
      <c r="FS553" s="56" t="inlineStr">
        <is>
          <t>Common themes in role-holders' answers: technical · members · guide · lead · time · support
Common themes in role-holders' answers: development · requirement · testing · support · software · solution
Common themes in role-holders' answers: features · technical · issue · code · releases
Common themes in role-holders' answers: code · requirement · delivery · changes · am · delivering
Common themes in role-holders' answers: technical · approach · decisions · process · issue · code
If the work is missed · role-holders' themes: timeline · delays · rework.
Measured on · manager-set KRA themes: reduce · production · time · quarterly · incidents resolved · stability critical.</t>
        </is>
      </c>
      <c r="FT553" s="56" t="inlineStr">
        <is>
          <t>Self-identified: Leadership &amp; people management · Technical depth &amp; architecture
For the next role: Leadership &amp; people management · Technical depth &amp; architecture</t>
        </is>
      </c>
      <c r="FU553" s="32" t="inlineStr">
        <is>
          <t>Full survey answers not in the files received · How We Grow export needed · HR</t>
        </is>
      </c>
    </row>
    <row r="554" ht="90" customHeight="1">
      <c r="A554" s="51" t="inlineStr">
        <is>
          <t>◂ Back</t>
        </is>
      </c>
      <c r="B554" s="29" t="inlineStr">
        <is>
          <t>Mapped</t>
        </is>
      </c>
      <c r="C554" s="28" t="inlineStr">
        <is>
          <t>iFile</t>
        </is>
      </c>
      <c r="D554" s="29" t="inlineStr">
        <is>
          <t>IRIS2194</t>
        </is>
      </c>
      <c r="E554" s="29" t="inlineStr">
        <is>
          <t>Sahil Chavan</t>
        </is>
      </c>
      <c r="F554" s="29" t="inlineStr">
        <is>
          <t>Technology</t>
        </is>
      </c>
      <c r="G554" s="29" t="inlineStr">
        <is>
          <t>Software Engineer</t>
        </is>
      </c>
      <c r="H554" s="29" t="inlineStr">
        <is>
          <t>Senior Software Engineer</t>
        </is>
      </c>
      <c r="I554" s="29" t="inlineStr">
        <is>
          <t>L3 – Professional / Associate</t>
        </is>
      </c>
      <c r="J554" s="29" t="inlineStr">
        <is>
          <t>A3</t>
        </is>
      </c>
      <c r="K554" s="29" t="inlineStr">
        <is>
          <t>▲ Up</t>
        </is>
      </c>
      <c r="L554" s="29" t="inlineStr">
        <is>
          <t>Engineering &amp; Development</t>
        </is>
      </c>
      <c r="M554" s="29" t="inlineStr">
        <is>
          <t>Backend Development</t>
        </is>
      </c>
      <c r="N554" s="29" t="n"/>
      <c r="O554" s="29" t="n">
        <v>19</v>
      </c>
      <c r="P554" s="28" t="inlineStr">
        <is>
          <t>P2</t>
        </is>
      </c>
      <c r="Q554" s="29" t="inlineStr">
        <is>
          <t>Developing</t>
        </is>
      </c>
      <c r="R554" s="29" t="inlineStr">
        <is>
          <t>3 Apply</t>
        </is>
      </c>
      <c r="S554" s="29" t="inlineStr">
        <is>
          <t>2–4 yrs</t>
        </is>
      </c>
      <c r="T554" s="29" t="inlineStr">
        <is>
          <t>3–5 · 2–5</t>
        </is>
      </c>
      <c r="U554" s="29" t="inlineStr">
        <is>
          <t>Software Engineer</t>
        </is>
      </c>
      <c r="V554" s="29" t="inlineStr">
        <is>
          <t>Workiva: SE · Broadridge India: SE · Nasdaq / AxiomSL: SE · Salesforce: MTS · Atlassian: P40 · 3–7 yrs · Freshworks: Senior SE</t>
        </is>
      </c>
      <c r="W554" s="29" t="inlineStr">
        <is>
          <t>SFIA 9 · software development, programming; OWASP secure coding; cloud vendor certifications</t>
        </is>
      </c>
      <c r="X554" s="29" t="inlineStr">
        <is>
          <t>Core 2 · Future 2 · Functional 3 · Leadership not scored</t>
        </is>
      </c>
      <c r="Y554" s="52" t="n">
        <v>296</v>
      </c>
      <c r="Z554" s="53" t="inlineStr">
        <is>
          <t>IRIS2194</t>
        </is>
      </c>
      <c r="AA554" s="53" t="inlineStr">
        <is>
          <t>Employee</t>
        </is>
      </c>
      <c r="AB554" s="53" t="inlineStr">
        <is>
          <t>Active</t>
        </is>
      </c>
      <c r="AC554" s="53" t="inlineStr">
        <is>
          <t>Sahil Chavan</t>
        </is>
      </c>
      <c r="AD554" s="54" t="n">
        <v>45204</v>
      </c>
      <c r="AE554" s="53" t="inlineStr">
        <is>
          <t>Software Engineer</t>
        </is>
      </c>
      <c r="AF554" s="53" t="inlineStr">
        <is>
          <t>B.E</t>
        </is>
      </c>
      <c r="AG554" s="53" t="inlineStr">
        <is>
          <t>Vivek Shinde</t>
        </is>
      </c>
      <c r="AH554" s="53" t="inlineStr">
        <is>
          <t>N-3</t>
        </is>
      </c>
      <c r="AI554" s="53" t="inlineStr">
        <is>
          <t>Individual Contributor</t>
        </is>
      </c>
      <c r="AJ554" s="53" t="inlineStr">
        <is>
          <t>2 years, 2 months, 0 days</t>
        </is>
      </c>
      <c r="AK554" s="53" t="inlineStr">
        <is>
          <t>2 years, 10 months, 20 days</t>
        </is>
      </c>
      <c r="AL554" s="53" t="inlineStr">
        <is>
          <t>Suptech</t>
        </is>
      </c>
      <c r="AM554" s="53" t="inlineStr">
        <is>
          <t>iFile</t>
        </is>
      </c>
      <c r="AN554" s="53" t="inlineStr">
        <is>
          <t>Technology</t>
        </is>
      </c>
      <c r="AO554" s="53" t="inlineStr">
        <is>
          <t>Development</t>
        </is>
      </c>
      <c r="AP554" s="53" t="inlineStr">
        <is>
          <t>Yes</t>
        </is>
      </c>
      <c r="AQ554" s="53" t="inlineStr">
        <is>
          <t>Product/Project</t>
        </is>
      </c>
      <c r="AR554" s="53" t="inlineStr">
        <is>
          <t>Java</t>
        </is>
      </c>
      <c r="AS554" s="53" t="inlineStr">
        <is>
          <t>Technical - Developer</t>
        </is>
      </c>
      <c r="AT554" s="53" t="n">
        <v>20</v>
      </c>
      <c r="AU554" s="53" t="inlineStr">
        <is>
          <t>Covered</t>
        </is>
      </c>
      <c r="AV554" s="53" t="n"/>
      <c r="AW554" s="53" t="n"/>
      <c r="AX554" s="53" t="n"/>
      <c r="AY554" s="53" t="n"/>
      <c r="AZ554" s="53" t="n"/>
      <c r="BA554" s="53" t="n"/>
      <c r="BB554" s="53" t="n"/>
      <c r="BC554" s="53" t="n"/>
      <c r="BD554" s="53" t="n"/>
      <c r="BE554" s="53" t="n"/>
      <c r="BF554" s="53" t="n"/>
      <c r="BG554" s="53" t="n"/>
      <c r="BH554" s="53" t="n"/>
      <c r="BI554" s="53" t="n"/>
      <c r="BJ554" s="53" t="n"/>
      <c r="BK554" s="53" t="n"/>
      <c r="BL554" s="53" t="n"/>
      <c r="BM554" s="53" t="n"/>
      <c r="BN554" s="53" t="n"/>
      <c r="BO554" s="53" t="n"/>
      <c r="BP554" s="53" t="n"/>
      <c r="BQ554" s="53" t="n"/>
      <c r="BR554" s="53" t="n"/>
      <c r="BS554" s="53" t="n"/>
      <c r="BT554" s="53" t="n"/>
      <c r="BU554" s="53" t="n"/>
      <c r="BV554" s="53" t="n"/>
      <c r="BW554" s="53" t="n"/>
      <c r="BX554" s="53" t="n"/>
      <c r="BY554" s="53" t="n"/>
      <c r="BZ554" s="53" t="n"/>
      <c r="CA554" s="53" t="n"/>
      <c r="CB554" s="53" t="n"/>
      <c r="CC554" s="53" t="n"/>
      <c r="CD554" s="53" t="n"/>
      <c r="CE554" s="53" t="n"/>
      <c r="CF554" s="53" t="n"/>
      <c r="CG554" s="53" t="n"/>
      <c r="CH554" s="53" t="n"/>
      <c r="CI554" s="53" t="n"/>
      <c r="CJ554" s="53" t="n"/>
      <c r="CK554" s="53" t="n"/>
      <c r="CL554" s="53" t="n"/>
      <c r="CM554" s="53" t="n"/>
      <c r="CN554" s="53" t="n"/>
      <c r="CO554" s="53" t="n"/>
      <c r="CP554" s="53" t="n"/>
      <c r="CQ554" s="53" t="n"/>
      <c r="CR554" s="53" t="n"/>
      <c r="CS554" s="53" t="n"/>
      <c r="CT554" s="53" t="n"/>
      <c r="CU554" s="53" t="n"/>
      <c r="CV554" s="53" t="n"/>
      <c r="CW554" s="53" t="n"/>
      <c r="CX554" s="53" t="n"/>
      <c r="CY554" s="53" t="n"/>
      <c r="CZ554" s="53" t="n"/>
      <c r="DA554" s="53" t="n"/>
      <c r="DB554" s="53" t="n"/>
      <c r="DC554" s="53" t="n"/>
      <c r="DD554" s="53" t="inlineStr">
        <is>
          <t>IRIS2194</t>
        </is>
      </c>
      <c r="DE554" s="53" t="inlineStr">
        <is>
          <t>Employee</t>
        </is>
      </c>
      <c r="DF554" s="53" t="inlineStr">
        <is>
          <t>Active</t>
        </is>
      </c>
      <c r="DG554" s="53" t="inlineStr">
        <is>
          <t>Sahil Chavan</t>
        </is>
      </c>
      <c r="DH554" s="54" t="n">
        <v>45204</v>
      </c>
      <c r="DI554" s="53" t="inlineStr">
        <is>
          <t>Software Engineer</t>
        </is>
      </c>
      <c r="DJ554" s="53" t="inlineStr">
        <is>
          <t>Engineering &amp; Development</t>
        </is>
      </c>
      <c r="DK554" s="53" t="inlineStr">
        <is>
          <t>Backend Engineering · Java</t>
        </is>
      </c>
      <c r="DL554" s="53" t="inlineStr">
        <is>
          <t>Software Engineer</t>
        </is>
      </c>
      <c r="DM554" s="53" t="inlineStr">
        <is>
          <t>L3 – Professional / Associate</t>
        </is>
      </c>
      <c r="DN554" s="53" t="inlineStr">
        <is>
          <t>B.E</t>
        </is>
      </c>
      <c r="DO554" s="53" t="inlineStr">
        <is>
          <t>Vivek Shinde</t>
        </is>
      </c>
      <c r="DP554" s="53" t="inlineStr">
        <is>
          <t>N-4</t>
        </is>
      </c>
      <c r="DQ554" s="53" t="inlineStr">
        <is>
          <t>Individual Contributor</t>
        </is>
      </c>
      <c r="DR554" s="53" t="inlineStr">
        <is>
          <t>2 years, 2 months, 0 days</t>
        </is>
      </c>
      <c r="DS554" s="53" t="inlineStr">
        <is>
          <t>2 years, 8 months, 15 days</t>
        </is>
      </c>
      <c r="DT554" s="53" t="inlineStr">
        <is>
          <t>4 years, 10 months, 15 days</t>
        </is>
      </c>
      <c r="DU554" s="53" t="n"/>
      <c r="DV554" s="53" t="inlineStr">
        <is>
          <t>Suptech</t>
        </is>
      </c>
      <c r="DW554" s="53" t="inlineStr">
        <is>
          <t>iFile</t>
        </is>
      </c>
      <c r="DX554" s="53" t="inlineStr">
        <is>
          <t>Technology</t>
        </is>
      </c>
      <c r="DY554" s="53" t="inlineStr">
        <is>
          <t>Development</t>
        </is>
      </c>
      <c r="DZ554" s="53" t="inlineStr">
        <is>
          <t>Yes</t>
        </is>
      </c>
      <c r="EA554" s="53" t="inlineStr">
        <is>
          <t>Product/Project</t>
        </is>
      </c>
      <c r="EB554" s="53" t="inlineStr">
        <is>
          <t>Java</t>
        </is>
      </c>
      <c r="EC554" s="53" t="inlineStr">
        <is>
          <t>Technical - Developer</t>
        </is>
      </c>
      <c r="ED554" s="53" t="inlineStr">
        <is>
          <t>Work From Office - Turbhe</t>
        </is>
      </c>
      <c r="EE554" s="53" t="inlineStr">
        <is>
          <t>1. Delivered all assigned tasks on time with full client satisfaction -
Successfully developed and deployed the following key features to production:
a. Filing Window Reminder: wrote logic that notifies and send mail to member banks on the first day of the filing window.
b. External User Support: Added a new feature · requested by the client during development to send emails to external users who do not have an account in the system but are part of the filing process.
c. Late Approval Module: Successfully developed and delivered the late approval module.
d. Bug Fixes: Resolved multiple issues and fixed bugs in the data submission backlog.
2. Implemented seamless Application Properties Refresh -
Researched and successfully developed a feature to refresh app properties without restarting the application in Phase-4. This ensures zero downtime when configuration changes are made.
3. Managed migrations and new service setups for Phase-4 - 
Successfully migrated and set up the complete push notification and email service project. I also handled the initial startup configurations in the core service for the new Phase-4 project.
4. Progressed on Spring Cloud Research &amp; Development - 
Completed 70–80% of the research and development for Spring Cloud. I am actively working on this and look forward to implementing some of its helpful features into Phase-4 soon.
5. Enabled multi-time zone support using OffsetDateTime - 
Implemented the OffesetDateTime format in Phase-4. Because of this upgrade, our system can now easily and accurately manage dates and times across multiple different time zones.</t>
        </is>
      </c>
      <c r="EF554"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EG554"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H554" s="53" t="n">
        <v>3</v>
      </c>
      <c r="EI554" s="54" t="n">
        <v>46113</v>
      </c>
      <c r="EJ554" s="53" t="inlineStr">
        <is>
          <t>Software Engineer</t>
        </is>
      </c>
      <c r="EK554" s="53" t="inlineStr">
        <is>
          <t>No</t>
        </is>
      </c>
      <c r="EL554" s="53" t="n">
        <v>3</v>
      </c>
      <c r="EM554" s="53" t="inlineStr">
        <is>
          <t>Medium</t>
        </is>
      </c>
      <c r="EN554" s="53" t="inlineStr">
        <is>
          <t>Core Contributor</t>
        </is>
      </c>
      <c r="EO554" s="53" t="inlineStr">
        <is>
          <t>No</t>
        </is>
      </c>
      <c r="EP554" s="53" t="inlineStr">
        <is>
          <t>No</t>
        </is>
      </c>
      <c r="EQ554" s="53" t="inlineStr">
        <is>
          <t>Yes</t>
        </is>
      </c>
      <c r="ER554" s="53" t="n"/>
      <c r="ES554" s="53" t="inlineStr">
        <is>
          <t>Reactive Programming/Spring AI/System Design &amp; Pattern</t>
        </is>
      </c>
      <c r="ET554" s="53" t="n"/>
      <c r="EU554" s="53" t="n"/>
      <c r="EV554" s="53" t="n"/>
      <c r="EW554" s="52" t="n"/>
      <c r="EX554" s="53" t="n"/>
      <c r="EY554" s="53" t="n"/>
      <c r="EZ554" s="53" t="n"/>
      <c r="FA554" s="53" t="n"/>
      <c r="FB554" s="53" t="n"/>
      <c r="FC554" s="53" t="n"/>
      <c r="FD554" s="53" t="n"/>
      <c r="FE554"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FF554"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FG554" s="56" t="inlineStr">
        <is>
          <t>1. Delivered all assigned tasks on time with full client satisfaction -
Successfully developed and deployed the following key features to production:
a. Filing Window Reminder: wrote logic that notifies and send mail to member banks on the first day of the filing window.
b. External User Support: Added a new feature · requested by the client during development to send emails to external users who do not have an account in the system but are part of the filing process.
c. Late Approval Module: Successfully developed and delivered the late approval module.
d. Bug Fixes: Resolved multiple issues and fixed bugs in the data submission backlog.
2. Implemented seamless Application Properties Refresh -
Researched and successfully developed a feature to refresh app properties without restarting the application in Phase-4. This ensures zero downtime when configuration changes are made.
3. Managed migrations and new service setups for Phase-4 - 
Successfully migrated and set up the complete push notification and email service project. I also handled the initial startup configurations in the core service for the new Phase-4 project.
4. Progressed on Spring Cloud Research &amp; Development - 
Completed 70–80% of the research and development for Spring Cloud. I am actively working on this and look forward to implementing some of its helpful features into Phase-4 soon.
5. Enabled multi-time zone support using OffsetDateTime - 
Implemented the OffesetDateTime format in Phase-4. Because of this upgrade, our system can now easily and accurately manage dates and times across multiple different time zones.</t>
        </is>
      </c>
      <c r="FH554" s="56" t="inlineStr">
        <is>
          <t>3</t>
        </is>
      </c>
      <c r="FI554" s="56" t="n"/>
      <c r="FJ554" s="56" t="inlineStr">
        <is>
          <t>Received · manager annual, quarterly, self</t>
        </is>
      </c>
      <c r="FK554" s="56" t="inlineStr">
        <is>
          <t>Talent Mapping · iFile collated</t>
        </is>
      </c>
      <c r="FL554" s="56" t="n">
        <v>19</v>
      </c>
      <c r="FM554" s="32" t="inlineStr">
        <is>
          <t>Full survey answers not in the files received · How We Grow export needed · HR</t>
        </is>
      </c>
      <c r="FN554" s="56" t="inlineStr">
        <is>
          <t>—</t>
        </is>
      </c>
      <c r="FO554" s="56" t="inlineStr">
        <is>
          <t>—</t>
        </is>
      </c>
      <c r="FP554" s="56" t="inlineStr">
        <is>
          <t>—</t>
        </is>
      </c>
      <c r="FQ554" s="56" t="inlineStr">
        <is>
          <t>—</t>
        </is>
      </c>
      <c r="FR554" s="56" t="inlineStr">
        <is>
          <t>Complexity: Evidence reads like A3: KRA: built and deployed reminder, external-user email and late-approval modules; researched restart-free properties refresh → moved up 0.5
Autonomy: Evidence reads like A2: Decides the code approach → matches the start
Accountability: Evidence reads like A3: KRA: features deployed to production for the client; accountable for understanding client requirements → moved up 0.5
Leadership: Evidence reads like A1: No guiding or leading described → matches the start
Business Impact: Moved +0.5: the survey / manager mapping marks it business-critical.</t>
        </is>
      </c>
      <c r="FS554"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554" s="56" t="inlineStr">
        <is>
          <t>Self-identified: Client, sales &amp; stakeholders · Broader exposure &amp; ownership
For the next role: Client, sales &amp; stakeholders · Broader exposure &amp; ownership</t>
        </is>
      </c>
      <c r="FU554" s="32" t="inlineStr">
        <is>
          <t>Full survey answers not in the files received · How We Grow export needed · HR</t>
        </is>
      </c>
    </row>
    <row r="555" ht="90" customHeight="1">
      <c r="A555" s="51" t="inlineStr">
        <is>
          <t>◂ Back</t>
        </is>
      </c>
      <c r="B555" s="29" t="inlineStr">
        <is>
          <t>Mapped</t>
        </is>
      </c>
      <c r="C555" s="28" t="inlineStr">
        <is>
          <t>iFile</t>
        </is>
      </c>
      <c r="D555" s="29" t="inlineStr">
        <is>
          <t>IRIS2396</t>
        </is>
      </c>
      <c r="E555" s="29" t="inlineStr">
        <is>
          <t>Chirag Suryawanshi</t>
        </is>
      </c>
      <c r="F555" s="29" t="inlineStr">
        <is>
          <t>Technology</t>
        </is>
      </c>
      <c r="G555" s="29" t="inlineStr">
        <is>
          <t>Trainee Software Engineer</t>
        </is>
      </c>
      <c r="H555" s="29" t="inlineStr">
        <is>
          <t>Software Engineer</t>
        </is>
      </c>
      <c r="I555" s="29" t="inlineStr">
        <is>
          <t>L2 – Trainee</t>
        </is>
      </c>
      <c r="J555" s="29" t="inlineStr">
        <is>
          <t>A2</t>
        </is>
      </c>
      <c r="K555" s="29" t="inlineStr">
        <is>
          <t>▲ Up</t>
        </is>
      </c>
      <c r="L555" s="29" t="inlineStr">
        <is>
          <t>Engineering &amp; Development</t>
        </is>
      </c>
      <c r="M555" s="29" t="inlineStr">
        <is>
          <t>Backend Development</t>
        </is>
      </c>
      <c r="N555" s="29" t="n"/>
      <c r="O555" s="29" t="n">
        <v>18</v>
      </c>
      <c r="P555" s="28" t="inlineStr">
        <is>
          <t>P1–P2</t>
        </is>
      </c>
      <c r="Q555" s="29" t="inlineStr">
        <is>
          <t>Entry / Developing</t>
        </is>
      </c>
      <c r="R555" s="29" t="inlineStr">
        <is>
          <t>2 Assist</t>
        </is>
      </c>
      <c r="S555" s="29" t="inlineStr">
        <is>
          <t>0–2 yrs</t>
        </is>
      </c>
      <c r="T555" s="29" t="inlineStr">
        <is>
          <t>1–3 · 0–3</t>
        </is>
      </c>
      <c r="U555" s="29" t="inlineStr">
        <is>
          <t>Associate Software Engineer / Software Engineer</t>
        </is>
      </c>
      <c r="V555" s="29" t="inlineStr">
        <is>
          <t>Workiva: Associate SE · Broadridge India: SE · Nasdaq / AxiomSL: SE · Salesforce: AMTS · Atlassian: P30 Junior · 0–2 yrs · Freshworks: SE</t>
        </is>
      </c>
      <c r="W555" s="29" t="inlineStr">
        <is>
          <t>SFIA 9 · software development, programming; OWASP secure coding; cloud vendor certifications</t>
        </is>
      </c>
      <c r="X555" s="29" t="inlineStr">
        <is>
          <t>Core 2 · Future 2 · Functional 2 · Leadership not scored</t>
        </is>
      </c>
      <c r="Y555" s="52" t="n">
        <v>382</v>
      </c>
      <c r="Z555" s="53" t="inlineStr">
        <is>
          <t>IRIS2396</t>
        </is>
      </c>
      <c r="AA555" s="53" t="inlineStr">
        <is>
          <t>Employee</t>
        </is>
      </c>
      <c r="AB555" s="53" t="inlineStr">
        <is>
          <t>Active</t>
        </is>
      </c>
      <c r="AC555" s="53" t="inlineStr">
        <is>
          <t>Chirag Suryawanshi</t>
        </is>
      </c>
      <c r="AD555" s="54" t="n">
        <v>45839</v>
      </c>
      <c r="AE555" s="53" t="inlineStr">
        <is>
          <t>Trainee Software Engineer</t>
        </is>
      </c>
      <c r="AF555" s="53" t="inlineStr">
        <is>
          <t>B.Tech</t>
        </is>
      </c>
      <c r="AG555" s="53" t="inlineStr">
        <is>
          <t>Vivek Shinde</t>
        </is>
      </c>
      <c r="AH555" s="53" t="inlineStr">
        <is>
          <t>N-3</t>
        </is>
      </c>
      <c r="AI555" s="53" t="inlineStr">
        <is>
          <t>Individual Contributor</t>
        </is>
      </c>
      <c r="AJ555" s="53" t="inlineStr">
        <is>
          <t>0 years, 0 months, 0 days</t>
        </is>
      </c>
      <c r="AK555" s="53" t="inlineStr">
        <is>
          <t>1 years, 1 months, 24 days</t>
        </is>
      </c>
      <c r="AL555" s="53" t="inlineStr">
        <is>
          <t>Suptech</t>
        </is>
      </c>
      <c r="AM555" s="53" t="inlineStr">
        <is>
          <t>iFile</t>
        </is>
      </c>
      <c r="AN555" s="53" t="inlineStr">
        <is>
          <t>Technology</t>
        </is>
      </c>
      <c r="AO555" s="53" t="inlineStr">
        <is>
          <t>Development</t>
        </is>
      </c>
      <c r="AP555" s="53" t="inlineStr">
        <is>
          <t>Yes</t>
        </is>
      </c>
      <c r="AQ555" s="53" t="inlineStr">
        <is>
          <t>Product/Project</t>
        </is>
      </c>
      <c r="AR555" s="53" t="inlineStr">
        <is>
          <t>Java</t>
        </is>
      </c>
      <c r="AS555" s="53" t="inlineStr">
        <is>
          <t>Technical - Developer</t>
        </is>
      </c>
      <c r="AT555" s="53" t="n">
        <v>20</v>
      </c>
      <c r="AU555" s="53" t="inlineStr">
        <is>
          <t>Covered</t>
        </is>
      </c>
      <c r="AV555" s="53" t="n"/>
      <c r="AW555" s="53" t="n"/>
      <c r="AX555" s="53" t="n"/>
      <c r="AY555" s="53" t="n"/>
      <c r="AZ555" s="53" t="n"/>
      <c r="BA555" s="53" t="n"/>
      <c r="BB555" s="53" t="n"/>
      <c r="BC555" s="53" t="n"/>
      <c r="BD555" s="53" t="n"/>
      <c r="BE555" s="53" t="n"/>
      <c r="BF555" s="53" t="n"/>
      <c r="BG555" s="53" t="n"/>
      <c r="BH555" s="53" t="n"/>
      <c r="BI555" s="53" t="n"/>
      <c r="BJ555" s="53" t="n"/>
      <c r="BK555" s="53" t="n"/>
      <c r="BL555" s="53" t="n"/>
      <c r="BM555" s="53" t="n"/>
      <c r="BN555" s="53" t="n"/>
      <c r="BO555" s="53" t="n"/>
      <c r="BP555" s="53" t="n"/>
      <c r="BQ555" s="53" t="n"/>
      <c r="BR555" s="53" t="n"/>
      <c r="BS555" s="53" t="n"/>
      <c r="BT555" s="53" t="n"/>
      <c r="BU555" s="53" t="n"/>
      <c r="BV555" s="53" t="n"/>
      <c r="BW555" s="53" t="n"/>
      <c r="BX555" s="53" t="n"/>
      <c r="BY555" s="53" t="n"/>
      <c r="BZ555" s="53" t="n"/>
      <c r="CA555" s="53" t="n"/>
      <c r="CB555" s="53" t="n"/>
      <c r="CC555" s="53" t="n"/>
      <c r="CD555" s="53" t="n"/>
      <c r="CE555" s="53" t="n"/>
      <c r="CF555" s="53" t="n"/>
      <c r="CG555" s="53" t="n"/>
      <c r="CH555" s="53" t="n"/>
      <c r="CI555" s="53" t="n"/>
      <c r="CJ555" s="53" t="n"/>
      <c r="CK555" s="53" t="n"/>
      <c r="CL555" s="53" t="n"/>
      <c r="CM555" s="53" t="n"/>
      <c r="CN555" s="53" t="n"/>
      <c r="CO555" s="53" t="n"/>
      <c r="CP555" s="53" t="n"/>
      <c r="CQ555" s="53" t="n"/>
      <c r="CR555" s="53" t="n"/>
      <c r="CS555" s="53" t="n"/>
      <c r="CT555" s="53" t="n"/>
      <c r="CU555" s="53" t="n"/>
      <c r="CV555" s="53" t="n"/>
      <c r="CW555" s="53" t="n"/>
      <c r="CX555" s="53" t="n"/>
      <c r="CY555" s="53" t="n"/>
      <c r="CZ555" s="53" t="n"/>
      <c r="DA555" s="53" t="n"/>
      <c r="DB555" s="53" t="n"/>
      <c r="DC555" s="53" t="n"/>
      <c r="DD555" s="53" t="inlineStr">
        <is>
          <t>IRIS2396</t>
        </is>
      </c>
      <c r="DE555" s="53" t="inlineStr">
        <is>
          <t>Employee</t>
        </is>
      </c>
      <c r="DF555" s="53" t="inlineStr">
        <is>
          <t>Active</t>
        </is>
      </c>
      <c r="DG555" s="53" t="inlineStr">
        <is>
          <t>Chirag Suryawanshi</t>
        </is>
      </c>
      <c r="DH555" s="54" t="n">
        <v>45839</v>
      </c>
      <c r="DI555" s="53" t="inlineStr">
        <is>
          <t>Trainee Software Engineer</t>
        </is>
      </c>
      <c r="DJ555" s="53" t="inlineStr">
        <is>
          <t>Engineering &amp; Development</t>
        </is>
      </c>
      <c r="DK555" s="53" t="inlineStr">
        <is>
          <t>Backend Engineering · Java</t>
        </is>
      </c>
      <c r="DL555" s="53" t="inlineStr">
        <is>
          <t>Trainee Software Engineer</t>
        </is>
      </c>
      <c r="DM555" s="53" t="inlineStr">
        <is>
          <t>L2 – Trainee</t>
        </is>
      </c>
      <c r="DN555" s="53" t="inlineStr">
        <is>
          <t>B.Tech</t>
        </is>
      </c>
      <c r="DO555" s="53" t="inlineStr">
        <is>
          <t>Vivek Shinde</t>
        </is>
      </c>
      <c r="DP555" s="53" t="inlineStr">
        <is>
          <t>N-4</t>
        </is>
      </c>
      <c r="DQ555" s="53" t="inlineStr">
        <is>
          <t>Individual Contributor</t>
        </is>
      </c>
      <c r="DR555" s="53" t="inlineStr">
        <is>
          <t>0 years, 0 months, 0 days</t>
        </is>
      </c>
      <c r="DS555" s="53" t="inlineStr">
        <is>
          <t>0 years, 11 months, 19 days</t>
        </is>
      </c>
      <c r="DT555" s="53" t="inlineStr">
        <is>
          <t>0 years, 11 months, 19 days</t>
        </is>
      </c>
      <c r="DU555" s="53" t="n"/>
      <c r="DV555" s="53" t="inlineStr">
        <is>
          <t>Suptech</t>
        </is>
      </c>
      <c r="DW555" s="53" t="inlineStr">
        <is>
          <t>iFile</t>
        </is>
      </c>
      <c r="DX555" s="53" t="inlineStr">
        <is>
          <t>Technology</t>
        </is>
      </c>
      <c r="DY555" s="53" t="inlineStr">
        <is>
          <t>Development</t>
        </is>
      </c>
      <c r="DZ555" s="53" t="inlineStr">
        <is>
          <t>Yes</t>
        </is>
      </c>
      <c r="EA555" s="53" t="inlineStr">
        <is>
          <t>Product/Project</t>
        </is>
      </c>
      <c r="EB555" s="53" t="inlineStr">
        <is>
          <t>Java</t>
        </is>
      </c>
      <c r="EC555" s="53" t="inlineStr">
        <is>
          <t>Technical - Developer</t>
        </is>
      </c>
      <c r="ED555" s="53" t="inlineStr">
        <is>
          <t>Work From Office - Turbhe</t>
        </is>
      </c>
      <c r="EE555" s="53" t="inlineStr">
        <is>
          <t>1. Enhance my technical and communication skills to collaborate more effectively with team members and contribute confidently during discussions.
2. Utilize AI-powered tools responsibly to streamline routine development activities, improve productivity, and focus on solving complex problems without consuming time.
3. Expand my knowledge of application architecture, design patterns and scalable system design to develop robust and maintainable solutions.
4. Consistently using clean coding practices, including complex logics and design standards to produce high-quality software.
5. Explore, evaluate, and adopt software tools and technologies that enhance the overall development process, improve team productivity, and support effective collaboration.</t>
        </is>
      </c>
      <c r="EF555"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EG555"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H555" s="53" t="n">
        <v>4</v>
      </c>
      <c r="EI555" s="54" t="n">
        <v>46113</v>
      </c>
      <c r="EJ555" s="53" t="inlineStr">
        <is>
          <t>Trainee Software Engineer</t>
        </is>
      </c>
      <c r="EK555" s="53" t="inlineStr">
        <is>
          <t>No</t>
        </is>
      </c>
      <c r="EL555" s="53" t="n">
        <v>4</v>
      </c>
      <c r="EM555" s="53" t="inlineStr">
        <is>
          <t>High</t>
        </is>
      </c>
      <c r="EN555" s="53" t="inlineStr">
        <is>
          <t>High Impact / Growth Talent</t>
        </is>
      </c>
      <c r="EO555" s="53" t="inlineStr">
        <is>
          <t>No</t>
        </is>
      </c>
      <c r="EP555" s="53" t="inlineStr">
        <is>
          <t>No</t>
        </is>
      </c>
      <c r="EQ555" s="53" t="inlineStr">
        <is>
          <t>Yes</t>
        </is>
      </c>
      <c r="ER555" s="53" t="n"/>
      <c r="ES555" s="53" t="inlineStr">
        <is>
          <t>Reactive Programming/Spring AI/System Design &amp; Pattern</t>
        </is>
      </c>
      <c r="ET555" s="53" t="n"/>
      <c r="EU555" s="53" t="n"/>
      <c r="EV555" s="53" t="n"/>
      <c r="EW555" s="52" t="n"/>
      <c r="EX555" s="53" t="n"/>
      <c r="EY555" s="53" t="n"/>
      <c r="EZ555" s="53" t="n"/>
      <c r="FA555" s="53" t="n"/>
      <c r="FB555" s="53" t="n"/>
      <c r="FC555" s="53" t="n"/>
      <c r="FD555" s="53" t="n"/>
      <c r="FE555"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FF555"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FG555" s="56" t="inlineStr">
        <is>
          <t>1. Enhance my technical and communication skills to collaborate more effectively with team members and contribute confidently during discussions.
2. Utilize AI-powered tools responsibly to streamline routine development activities, improve productivity, and focus on solving complex problems without consuming time.
3. Expand my knowledge of application architecture, design patterns and scalable system design to develop robust and maintainable solutions.
4. Consistently using clean coding practices, including complex logics and design standards to produce high-quality software.
5. Explore, evaluate, and adopt software tools and technologies that enhance the overall development process, improve team productivity, and support effective collaboration.</t>
        </is>
      </c>
      <c r="FH555" s="56" t="inlineStr">
        <is>
          <t>4</t>
        </is>
      </c>
      <c r="FI555" s="56" t="n"/>
      <c r="FJ555" s="56" t="inlineStr">
        <is>
          <t>Received · manager annual, quarterly, self</t>
        </is>
      </c>
      <c r="FK555" s="56" t="inlineStr">
        <is>
          <t>Talent Mapping · iFile collated</t>
        </is>
      </c>
      <c r="FL555" s="56" t="n">
        <v>18</v>
      </c>
      <c r="FM555" s="32" t="inlineStr">
        <is>
          <t>Full survey answers not in the files received · How We Grow export needed · HR</t>
        </is>
      </c>
      <c r="FN555" s="56" t="inlineStr">
        <is>
          <t>—</t>
        </is>
      </c>
      <c r="FO555" s="56" t="inlineStr">
        <is>
          <t>—</t>
        </is>
      </c>
      <c r="FP555" s="56" t="inlineStr">
        <is>
          <t>—</t>
        </is>
      </c>
      <c r="FQ555" s="56" t="inlineStr">
        <is>
          <t>—</t>
        </is>
      </c>
      <c r="FR555" s="56" t="inlineStr">
        <is>
          <t>Business Impact: Moved +0.5: the survey / manager mapping marks it business-critical.</t>
        </is>
      </c>
      <c r="FS555" s="56" t="inlineStr">
        <is>
          <t>Common themes in role-holders' answers: software · time · maintain · take · solutions · efficiency
Common themes in role-holders' answers: fixing · quality · bug · development · client · code
Common themes in role-holders' answers: solutions · bug · fixes · features
Common themes in role-holders' answers: quality · personally · reliable · delivering · am · accountable
Common themes in role-holders' answers: implement · solutions · issues · structure · design
If the work is missed · role-holders' themes: rework · incorrectly · issues · delays.
Measured on · manager-set KRA themes: improve · deliver · modules · committed · coverage · automated.</t>
        </is>
      </c>
      <c r="FT555" s="56" t="inlineStr">
        <is>
          <t>Self-identified: Answered · no common topic
For the next role: Answered · no common topic</t>
        </is>
      </c>
      <c r="FU555" s="32" t="inlineStr">
        <is>
          <t>Full survey answers not in the files received · How We Grow export needed · HR</t>
        </is>
      </c>
    </row>
    <row r="556" ht="90" customHeight="1">
      <c r="A556" s="51" t="inlineStr">
        <is>
          <t>◂ Back</t>
        </is>
      </c>
      <c r="B556" s="29" t="inlineStr">
        <is>
          <t>Mapped</t>
        </is>
      </c>
      <c r="C556" s="28" t="inlineStr">
        <is>
          <t>iFile</t>
        </is>
      </c>
      <c r="D556" s="29" t="inlineStr">
        <is>
          <t>IRIS2255</t>
        </is>
      </c>
      <c r="E556" s="29" t="inlineStr">
        <is>
          <t>Tanay Hisariya</t>
        </is>
      </c>
      <c r="F556" s="29" t="inlineStr">
        <is>
          <t>Technology</t>
        </is>
      </c>
      <c r="G556" s="29" t="inlineStr">
        <is>
          <t>Trainee Software Engineer</t>
        </is>
      </c>
      <c r="H556" s="29" t="inlineStr">
        <is>
          <t>Software Engineer</t>
        </is>
      </c>
      <c r="I556" s="29" t="inlineStr">
        <is>
          <t>L2 – Trainee</t>
        </is>
      </c>
      <c r="J556" s="29" t="inlineStr">
        <is>
          <t>A2</t>
        </is>
      </c>
      <c r="K556" s="29" t="inlineStr">
        <is>
          <t>▲ Up</t>
        </is>
      </c>
      <c r="L556" s="29" t="inlineStr">
        <is>
          <t>Engineering &amp; Development</t>
        </is>
      </c>
      <c r="M556" s="29" t="inlineStr">
        <is>
          <t>Full-Stack Development</t>
        </is>
      </c>
      <c r="N556" s="29" t="n"/>
      <c r="O556" s="29" t="n">
        <v>20</v>
      </c>
      <c r="P556" s="28" t="inlineStr">
        <is>
          <t>P1–P2</t>
        </is>
      </c>
      <c r="Q556" s="29" t="inlineStr">
        <is>
          <t>Entry / Developing</t>
        </is>
      </c>
      <c r="R556" s="29" t="inlineStr">
        <is>
          <t>2 Assist</t>
        </is>
      </c>
      <c r="S556" s="29" t="inlineStr">
        <is>
          <t>0–2 yrs</t>
        </is>
      </c>
      <c r="T556" s="29" t="inlineStr">
        <is>
          <t>1–3 · 0–3</t>
        </is>
      </c>
      <c r="U556" s="29" t="inlineStr">
        <is>
          <t>Associate Software Engineer / Software Engineer</t>
        </is>
      </c>
      <c r="V556" s="29" t="inlineStr">
        <is>
          <t>Workiva: Associate SE · Broadridge India: SE · Nasdaq / AxiomSL: SE · Salesforce: AMTS · Atlassian: P30 Junior · 0–2 yrs · Freshworks: SE</t>
        </is>
      </c>
      <c r="W556" s="29" t="inlineStr">
        <is>
          <t>SFIA 9 · software development, programming; OWASP secure coding; cloud vendor certifications</t>
        </is>
      </c>
      <c r="X556" s="29" t="inlineStr">
        <is>
          <t>Core 2 · Future 2 · Functional 2 · Leadership not scored</t>
        </is>
      </c>
      <c r="Y556" s="52" t="n">
        <v>318</v>
      </c>
      <c r="Z556" s="53" t="inlineStr">
        <is>
          <t>IRIS2255</t>
        </is>
      </c>
      <c r="AA556" s="53" t="inlineStr">
        <is>
          <t>Employee</t>
        </is>
      </c>
      <c r="AB556" s="53" t="inlineStr">
        <is>
          <t>Active</t>
        </is>
      </c>
      <c r="AC556" s="53" t="inlineStr">
        <is>
          <t>Tanay Hisariya</t>
        </is>
      </c>
      <c r="AD556" s="54" t="n">
        <v>45446</v>
      </c>
      <c r="AE556" s="53" t="inlineStr">
        <is>
          <t>Trainee Software Engineer</t>
        </is>
      </c>
      <c r="AF556" s="53" t="inlineStr">
        <is>
          <t>B.E</t>
        </is>
      </c>
      <c r="AG556" s="53" t="inlineStr">
        <is>
          <t>Vivek Shinde</t>
        </is>
      </c>
      <c r="AH556" s="53" t="inlineStr">
        <is>
          <t>N-3</t>
        </is>
      </c>
      <c r="AI556" s="53" t="inlineStr">
        <is>
          <t>Individual Contributor</t>
        </is>
      </c>
      <c r="AJ556" s="53" t="inlineStr">
        <is>
          <t>0 years, 0 months, 0 days</t>
        </is>
      </c>
      <c r="AK556" s="53" t="inlineStr">
        <is>
          <t>2 years, 2 months, 22 days</t>
        </is>
      </c>
      <c r="AL556" s="53" t="inlineStr">
        <is>
          <t>Suptech</t>
        </is>
      </c>
      <c r="AM556" s="53" t="inlineStr">
        <is>
          <t>iFile</t>
        </is>
      </c>
      <c r="AN556" s="53" t="inlineStr">
        <is>
          <t>Technology</t>
        </is>
      </c>
      <c r="AO556" s="53" t="inlineStr">
        <is>
          <t>Development</t>
        </is>
      </c>
      <c r="AP556" s="53" t="inlineStr">
        <is>
          <t>Yes</t>
        </is>
      </c>
      <c r="AQ556" s="53" t="inlineStr">
        <is>
          <t>Product/Project</t>
        </is>
      </c>
      <c r="AR556" s="53" t="inlineStr">
        <is>
          <t>Java + Angular</t>
        </is>
      </c>
      <c r="AS556" s="53" t="inlineStr">
        <is>
          <t>Technical - Developer</t>
        </is>
      </c>
      <c r="AT556" s="53" t="n">
        <v>20</v>
      </c>
      <c r="AU556" s="53" t="inlineStr">
        <is>
          <t>Covered</t>
        </is>
      </c>
      <c r="AV556" s="53" t="n"/>
      <c r="AW556" s="53" t="n"/>
      <c r="AX556" s="53" t="n"/>
      <c r="AY556" s="53" t="n"/>
      <c r="AZ556" s="53" t="n"/>
      <c r="BA556" s="53" t="n"/>
      <c r="BB556" s="53" t="n"/>
      <c r="BC556" s="53" t="n"/>
      <c r="BD556" s="53" t="n"/>
      <c r="BE556" s="53" t="n"/>
      <c r="BF556" s="53" t="n"/>
      <c r="BG556" s="53" t="n"/>
      <c r="BH556" s="53" t="n"/>
      <c r="BI556" s="53" t="n"/>
      <c r="BJ556" s="53" t="n"/>
      <c r="BK556" s="53" t="n"/>
      <c r="BL556" s="53" t="n"/>
      <c r="BM556" s="53" t="n"/>
      <c r="BN556" s="53" t="n"/>
      <c r="BO556" s="53" t="n"/>
      <c r="BP556" s="53" t="n"/>
      <c r="BQ556" s="53" t="n"/>
      <c r="BR556" s="53" t="n"/>
      <c r="BS556" s="53" t="n"/>
      <c r="BT556" s="53" t="n"/>
      <c r="BU556" s="53" t="n"/>
      <c r="BV556" s="53" t="n"/>
      <c r="BW556" s="53" t="n"/>
      <c r="BX556" s="53" t="n"/>
      <c r="BY556" s="53" t="n"/>
      <c r="BZ556" s="53" t="n"/>
      <c r="CA556" s="53" t="n"/>
      <c r="CB556" s="53" t="n"/>
      <c r="CC556" s="53" t="n"/>
      <c r="CD556" s="53" t="n"/>
      <c r="CE556" s="53" t="n"/>
      <c r="CF556" s="53" t="n"/>
      <c r="CG556" s="53" t="n"/>
      <c r="CH556" s="53" t="n"/>
      <c r="CI556" s="53" t="n"/>
      <c r="CJ556" s="53" t="n"/>
      <c r="CK556" s="53" t="n"/>
      <c r="CL556" s="53" t="n"/>
      <c r="CM556" s="53" t="n"/>
      <c r="CN556" s="53" t="n"/>
      <c r="CO556" s="53" t="n"/>
      <c r="CP556" s="53" t="n"/>
      <c r="CQ556" s="53" t="n"/>
      <c r="CR556" s="53" t="n"/>
      <c r="CS556" s="53" t="n"/>
      <c r="CT556" s="53" t="n"/>
      <c r="CU556" s="53" t="n"/>
      <c r="CV556" s="53" t="n"/>
      <c r="CW556" s="53" t="n"/>
      <c r="CX556" s="53" t="n"/>
      <c r="CY556" s="53" t="n"/>
      <c r="CZ556" s="53" t="n"/>
      <c r="DA556" s="53" t="n"/>
      <c r="DB556" s="53" t="n"/>
      <c r="DC556" s="53" t="n"/>
      <c r="DD556" s="53" t="inlineStr">
        <is>
          <t>IRIS2255</t>
        </is>
      </c>
      <c r="DE556" s="53" t="inlineStr">
        <is>
          <t>Employee</t>
        </is>
      </c>
      <c r="DF556" s="53" t="inlineStr">
        <is>
          <t>Active</t>
        </is>
      </c>
      <c r="DG556" s="53" t="inlineStr">
        <is>
          <t>Tanay Hisariya</t>
        </is>
      </c>
      <c r="DH556" s="54" t="n">
        <v>45446</v>
      </c>
      <c r="DI556" s="53" t="inlineStr">
        <is>
          <t>Trainee Software Engineer</t>
        </is>
      </c>
      <c r="DJ556" s="53" t="inlineStr">
        <is>
          <t>Engineering &amp; Development</t>
        </is>
      </c>
      <c r="DK556" s="53" t="inlineStr">
        <is>
          <t>Backend Engineering · Java</t>
        </is>
      </c>
      <c r="DL556" s="53" t="inlineStr">
        <is>
          <t>Trainee Software Engineer</t>
        </is>
      </c>
      <c r="DM556" s="53" t="inlineStr">
        <is>
          <t>L2 – Trainee</t>
        </is>
      </c>
      <c r="DN556" s="53" t="inlineStr">
        <is>
          <t>B.E</t>
        </is>
      </c>
      <c r="DO556" s="53" t="inlineStr">
        <is>
          <t>Vivek Shinde</t>
        </is>
      </c>
      <c r="DP556" s="53" t="inlineStr">
        <is>
          <t>N-4</t>
        </is>
      </c>
      <c r="DQ556" s="53" t="inlineStr">
        <is>
          <t>Individual Contributor</t>
        </is>
      </c>
      <c r="DR556" s="53" t="inlineStr">
        <is>
          <t>0 years, 0 months, 0 days</t>
        </is>
      </c>
      <c r="DS556" s="53" t="inlineStr">
        <is>
          <t>2 years, 0 months, 17 days</t>
        </is>
      </c>
      <c r="DT556" s="53" t="inlineStr">
        <is>
          <t>2 years, 0 months, 17 days</t>
        </is>
      </c>
      <c r="DU556" s="53" t="n"/>
      <c r="DV556" s="53" t="inlineStr">
        <is>
          <t>Suptech</t>
        </is>
      </c>
      <c r="DW556" s="53" t="inlineStr">
        <is>
          <t>iFile</t>
        </is>
      </c>
      <c r="DX556" s="53" t="inlineStr">
        <is>
          <t>Technology</t>
        </is>
      </c>
      <c r="DY556" s="53" t="inlineStr">
        <is>
          <t>Development</t>
        </is>
      </c>
      <c r="DZ556" s="53" t="inlineStr">
        <is>
          <t>Yes</t>
        </is>
      </c>
      <c r="EA556" s="53" t="inlineStr">
        <is>
          <t>Product/Project</t>
        </is>
      </c>
      <c r="EB556" s="53" t="inlineStr">
        <is>
          <t>Java + Angular</t>
        </is>
      </c>
      <c r="EC556" s="53" t="inlineStr">
        <is>
          <t>Technical - Developer</t>
        </is>
      </c>
      <c r="ED556" s="53" t="inlineStr">
        <is>
          <t>Work From Office - Turbhe</t>
        </is>
      </c>
      <c r="EE556" s="53" t="inlineStr">
        <is>
          <t>1. Leverage AI in daily development tasks to optimize time spent on repetitive work and improve overall efficiency.
2. Gain deeper functional knowledge of the requirements to better understand its business context and workflows.
3. Increase practice in writing test cases to improve code coverage to 70-80%.
4. Develop a stronger understanding of system architecture and design principles.
5. Strengthen knowledge of database design and query optimization to improve application performance.
6. Follow coding best practices such as SOLID principles and maintainable code standards during development.</t>
        </is>
      </c>
      <c r="EF556"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EG556"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H556" s="53" t="n">
        <v>4</v>
      </c>
      <c r="EI556" s="54" t="n">
        <v>46113</v>
      </c>
      <c r="EJ556" s="53" t="inlineStr">
        <is>
          <t>Trainee Software Engineer</t>
        </is>
      </c>
      <c r="EK556" s="53" t="inlineStr">
        <is>
          <t>No</t>
        </is>
      </c>
      <c r="EL556" s="53" t="n">
        <v>4</v>
      </c>
      <c r="EM556" s="53" t="inlineStr">
        <is>
          <t>High</t>
        </is>
      </c>
      <c r="EN556" s="53" t="inlineStr">
        <is>
          <t>High Impact / Growth Talent</t>
        </is>
      </c>
      <c r="EO556" s="53" t="inlineStr">
        <is>
          <t>No</t>
        </is>
      </c>
      <c r="EP556" s="53" t="inlineStr">
        <is>
          <t>No</t>
        </is>
      </c>
      <c r="EQ556" s="53" t="inlineStr">
        <is>
          <t>Yes</t>
        </is>
      </c>
      <c r="ER556" s="53" t="n"/>
      <c r="ES556" s="53" t="inlineStr">
        <is>
          <t>Reactive Programming/Spring AI/System Design &amp; Pattern</t>
        </is>
      </c>
      <c r="ET556" s="53" t="n"/>
      <c r="EU556" s="53" t="n"/>
      <c r="EV556" s="53" t="n"/>
      <c r="EW556" s="52" t="n"/>
      <c r="EX556" s="53" t="n"/>
      <c r="EY556" s="53" t="n"/>
      <c r="EZ556" s="53" t="n"/>
      <c r="FA556" s="53" t="n"/>
      <c r="FB556" s="53" t="n"/>
      <c r="FC556" s="53" t="n"/>
      <c r="FD556" s="53" t="n"/>
      <c r="FE556"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FF556"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FG556" s="56" t="inlineStr">
        <is>
          <t>1. Leverage AI in daily development tasks to optimize time spent on repetitive work and improve overall efficiency.
2. Gain deeper functional knowledge of the requirements to better understand its business context and workflows.
3. Increase practice in writing test cases to improve code coverage to 70-80%.
4. Develop a stronger understanding of system architecture and design principles.
5. Strengthen knowledge of database design and query optimization to improve application performance.
6. Follow coding best practices such as SOLID principles and maintainable code standards during development.</t>
        </is>
      </c>
      <c r="FH556" s="56" t="inlineStr">
        <is>
          <t>4</t>
        </is>
      </c>
      <c r="FI556" s="56" t="n"/>
      <c r="FJ556" s="56" t="inlineStr">
        <is>
          <t>Received · manager annual, quarterly, self</t>
        </is>
      </c>
      <c r="FK556" s="56" t="inlineStr">
        <is>
          <t>Talent Mapping · iFile collated</t>
        </is>
      </c>
      <c r="FL556" s="56" t="n">
        <v>20</v>
      </c>
      <c r="FM556" s="32" t="inlineStr">
        <is>
          <t>Full survey answers not in the files received · How We Grow export needed · HR</t>
        </is>
      </c>
      <c r="FN556" s="56" t="inlineStr">
        <is>
          <t>—</t>
        </is>
      </c>
      <c r="FO556" s="56" t="inlineStr">
        <is>
          <t>—</t>
        </is>
      </c>
      <c r="FP556" s="56" t="inlineStr">
        <is>
          <t>—</t>
        </is>
      </c>
      <c r="FQ556" s="56" t="inlineStr">
        <is>
          <t>—</t>
        </is>
      </c>
      <c r="FR556" s="56" t="inlineStr">
        <is>
          <t>Complexity: Evidence reads like A2: Creates backend APIs/services in Java Spring Boot; coding, unit testing, deployment → moved up 0.5
Autonomy: Evidence reads like A2: Decides basic code architecture only → moved up 0.5
Accountability: Evidence reads like A2: Development, unit testing and proper working of own functionality → moved up 0.5
Leadership: Evidence reads like A1: None described → matches the start
Business Impact: Moved +1: the survey / manager mapping marks it business-critical and it does work no one else does.</t>
        </is>
      </c>
      <c r="FS556" s="56" t="inlineStr">
        <is>
          <t>Common themes in role-holders' answers: solutions
Common themes in role-holders' answers: deployment · testing
Common themes in role-holders' answers: software
Common themes in role-holders' answers: accountable · bugs · development
If the work is missed · role-holders' themes: client · impacts.
Measured on · manager-set KRA themes: assigned · improve · resolve · code · leakage qa/uat · coverage.</t>
        </is>
      </c>
      <c r="FT556" s="56" t="inlineStr">
        <is>
          <t>Self-identified: Technical depth &amp; architecture · Broader exposure &amp; ownership
For the next role: Technical depth &amp; architecture · Broader exposure &amp; ownership</t>
        </is>
      </c>
      <c r="FU556" s="32" t="inlineStr">
        <is>
          <t>Full survey answers not in the files received · How We Grow export needed · HR</t>
        </is>
      </c>
    </row>
    <row r="557" ht="90" customHeight="1">
      <c r="A557" s="51" t="inlineStr">
        <is>
          <t>◂ Back</t>
        </is>
      </c>
      <c r="B557" s="29" t="inlineStr">
        <is>
          <t>Mapped</t>
        </is>
      </c>
      <c r="C557" s="28" t="inlineStr">
        <is>
          <t>iFile</t>
        </is>
      </c>
      <c r="D557" s="29" t="inlineStr">
        <is>
          <t>IRIS2132</t>
        </is>
      </c>
      <c r="E557" s="29" t="inlineStr">
        <is>
          <t>Shubham Mhadgut</t>
        </is>
      </c>
      <c r="F557" s="29" t="inlineStr">
        <is>
          <t>Technology</t>
        </is>
      </c>
      <c r="G557" s="29" t="inlineStr">
        <is>
          <t>Software Engineer</t>
        </is>
      </c>
      <c r="H557" s="29" t="inlineStr">
        <is>
          <t>Senior Software Engineer</t>
        </is>
      </c>
      <c r="I557" s="29" t="inlineStr">
        <is>
          <t>L3 – Professional / Associate</t>
        </is>
      </c>
      <c r="J557" s="29" t="inlineStr">
        <is>
          <t>A3</t>
        </is>
      </c>
      <c r="K557" s="29" t="inlineStr">
        <is>
          <t>▲ Up</t>
        </is>
      </c>
      <c r="L557" s="29" t="inlineStr">
        <is>
          <t>Engineering &amp; Development</t>
        </is>
      </c>
      <c r="M557" s="29" t="inlineStr">
        <is>
          <t>Backend Development</t>
        </is>
      </c>
      <c r="N557" s="29" t="n"/>
      <c r="O557" s="29" t="n">
        <v>20</v>
      </c>
      <c r="P557" s="28" t="inlineStr">
        <is>
          <t>P2</t>
        </is>
      </c>
      <c r="Q557" s="29" t="inlineStr">
        <is>
          <t>Developing</t>
        </is>
      </c>
      <c r="R557" s="29" t="inlineStr">
        <is>
          <t>3 Apply</t>
        </is>
      </c>
      <c r="S557" s="29" t="inlineStr">
        <is>
          <t>2–4 yrs</t>
        </is>
      </c>
      <c r="T557" s="29" t="inlineStr">
        <is>
          <t>3–5 · 2–5</t>
        </is>
      </c>
      <c r="U557" s="29" t="inlineStr">
        <is>
          <t>Software Engineer</t>
        </is>
      </c>
      <c r="V557" s="29" t="inlineStr">
        <is>
          <t>Workiva: SE · Broadridge India: SE · Nasdaq / AxiomSL: SE · Salesforce: MTS · Atlassian: P40 · 3–7 yrs · Freshworks: Senior SE</t>
        </is>
      </c>
      <c r="W557" s="29" t="inlineStr">
        <is>
          <t>SFIA 9 · software development, programming; OWASP secure coding; cloud vendor certifications</t>
        </is>
      </c>
      <c r="X557" s="29" t="inlineStr">
        <is>
          <t>Core 2 · Future 2 · Functional 3 · Leadership not scored</t>
        </is>
      </c>
      <c r="Y557" s="52" t="n">
        <v>273</v>
      </c>
      <c r="Z557" s="53" t="inlineStr">
        <is>
          <t>IRIS2132</t>
        </is>
      </c>
      <c r="AA557" s="53" t="inlineStr">
        <is>
          <t>Employee</t>
        </is>
      </c>
      <c r="AB557" s="53" t="inlineStr">
        <is>
          <t>Active</t>
        </is>
      </c>
      <c r="AC557" s="53" t="inlineStr">
        <is>
          <t>Shubham Mhadgut</t>
        </is>
      </c>
      <c r="AD557" s="54" t="n">
        <v>45064</v>
      </c>
      <c r="AE557" s="53" t="inlineStr">
        <is>
          <t>Software Engineer</t>
        </is>
      </c>
      <c r="AF557" s="53" t="inlineStr">
        <is>
          <t>B.Tech</t>
        </is>
      </c>
      <c r="AG557" s="53" t="inlineStr">
        <is>
          <t>Suman Kumar</t>
        </is>
      </c>
      <c r="AH557" s="53" t="inlineStr">
        <is>
          <t>N-2</t>
        </is>
      </c>
      <c r="AI557" s="53" t="inlineStr">
        <is>
          <t>Individual Contributor</t>
        </is>
      </c>
      <c r="AJ557" s="53" t="inlineStr">
        <is>
          <t>2 years, 10 months, 10 days</t>
        </is>
      </c>
      <c r="AK557" s="53" t="inlineStr">
        <is>
          <t>3 years, 3 months, 7 days</t>
        </is>
      </c>
      <c r="AL557" s="53" t="inlineStr">
        <is>
          <t>Suptech</t>
        </is>
      </c>
      <c r="AM557" s="53" t="inlineStr">
        <is>
          <t>iFile</t>
        </is>
      </c>
      <c r="AN557" s="53" t="inlineStr">
        <is>
          <t>Technology</t>
        </is>
      </c>
      <c r="AO557" s="53" t="inlineStr">
        <is>
          <t>Development</t>
        </is>
      </c>
      <c r="AP557" s="53" t="inlineStr">
        <is>
          <t>Yes</t>
        </is>
      </c>
      <c r="AQ557" s="53" t="inlineStr">
        <is>
          <t>Product/Project</t>
        </is>
      </c>
      <c r="AR557" s="53" t="inlineStr">
        <is>
          <t>Java</t>
        </is>
      </c>
      <c r="AS557" s="53" t="inlineStr">
        <is>
          <t>Technical - Developer</t>
        </is>
      </c>
      <c r="AT557" s="53" t="n">
        <v>20</v>
      </c>
      <c r="AU557" s="53" t="inlineStr">
        <is>
          <t>Covered</t>
        </is>
      </c>
      <c r="AV557" s="53" t="n"/>
      <c r="AW557" s="53" t="n"/>
      <c r="AX557" s="53" t="n"/>
      <c r="AY557" s="53" t="n"/>
      <c r="AZ557" s="53" t="n"/>
      <c r="BA557" s="53" t="n"/>
      <c r="BB557" s="53" t="n"/>
      <c r="BC557" s="53" t="n"/>
      <c r="BD557" s="53" t="n"/>
      <c r="BE557" s="53" t="n"/>
      <c r="BF557" s="53" t="n"/>
      <c r="BG557" s="53" t="n"/>
      <c r="BH557" s="53" t="n"/>
      <c r="BI557" s="53" t="n"/>
      <c r="BJ557" s="53" t="n"/>
      <c r="BK557" s="53" t="n"/>
      <c r="BL557" s="53" t="n"/>
      <c r="BM557" s="53" t="n"/>
      <c r="BN557" s="53" t="n"/>
      <c r="BO557" s="53" t="n"/>
      <c r="BP557" s="53" t="n"/>
      <c r="BQ557" s="53" t="n"/>
      <c r="BR557" s="53" t="n"/>
      <c r="BS557" s="53" t="n"/>
      <c r="BT557" s="53" t="n"/>
      <c r="BU557" s="53" t="n"/>
      <c r="BV557" s="53" t="n"/>
      <c r="BW557" s="53" t="n"/>
      <c r="BX557" s="53" t="n"/>
      <c r="BY557" s="53" t="n"/>
      <c r="BZ557" s="53" t="n"/>
      <c r="CA557" s="53" t="n"/>
      <c r="CB557" s="53" t="n"/>
      <c r="CC557" s="53" t="n"/>
      <c r="CD557" s="53" t="n"/>
      <c r="CE557" s="53" t="n"/>
      <c r="CF557" s="53" t="n"/>
      <c r="CG557" s="53" t="n"/>
      <c r="CH557" s="53" t="n"/>
      <c r="CI557" s="53" t="n"/>
      <c r="CJ557" s="53" t="n"/>
      <c r="CK557" s="53" t="n"/>
      <c r="CL557" s="53" t="n"/>
      <c r="CM557" s="53" t="n"/>
      <c r="CN557" s="53" t="n"/>
      <c r="CO557" s="53" t="n"/>
      <c r="CP557" s="53" t="n"/>
      <c r="CQ557" s="53" t="n"/>
      <c r="CR557" s="53" t="n"/>
      <c r="CS557" s="53" t="n"/>
      <c r="CT557" s="53" t="n"/>
      <c r="CU557" s="53" t="n"/>
      <c r="CV557" s="53" t="n"/>
      <c r="CW557" s="53" t="n"/>
      <c r="CX557" s="53" t="n"/>
      <c r="CY557" s="53" t="n"/>
      <c r="CZ557" s="53" t="n"/>
      <c r="DA557" s="53" t="n"/>
      <c r="DB557" s="53" t="n"/>
      <c r="DC557" s="53" t="n"/>
      <c r="DD557" s="53" t="inlineStr">
        <is>
          <t>IRIS2132</t>
        </is>
      </c>
      <c r="DE557" s="53" t="inlineStr">
        <is>
          <t>Employee</t>
        </is>
      </c>
      <c r="DF557" s="53" t="inlineStr">
        <is>
          <t>Active</t>
        </is>
      </c>
      <c r="DG557" s="53" t="inlineStr">
        <is>
          <t>Shubham Mhadgut</t>
        </is>
      </c>
      <c r="DH557" s="54" t="n">
        <v>45064</v>
      </c>
      <c r="DI557" s="53" t="inlineStr">
        <is>
          <t>Software Engineer</t>
        </is>
      </c>
      <c r="DJ557" s="53" t="inlineStr">
        <is>
          <t>Engineering &amp; Development</t>
        </is>
      </c>
      <c r="DK557" s="53" t="inlineStr">
        <is>
          <t>Backend Engineering · Java</t>
        </is>
      </c>
      <c r="DL557" s="53" t="inlineStr">
        <is>
          <t>Software Engineer</t>
        </is>
      </c>
      <c r="DM557" s="53" t="inlineStr">
        <is>
          <t>L3 – Professional / Associate</t>
        </is>
      </c>
      <c r="DN557" s="53" t="inlineStr">
        <is>
          <t>B.Tech</t>
        </is>
      </c>
      <c r="DO557" s="53" t="inlineStr">
        <is>
          <t>Suman Kumar</t>
        </is>
      </c>
      <c r="DP557" s="53" t="inlineStr">
        <is>
          <t>N-3</t>
        </is>
      </c>
      <c r="DQ557" s="53" t="inlineStr">
        <is>
          <t>Individual Contributor</t>
        </is>
      </c>
      <c r="DR557" s="53" t="inlineStr">
        <is>
          <t>2 years, 10 months, 10 days</t>
        </is>
      </c>
      <c r="DS557" s="53" t="inlineStr">
        <is>
          <t>3 years, 1 months, 2 days</t>
        </is>
      </c>
      <c r="DT557" s="53" t="inlineStr">
        <is>
          <t>5 years, 11 months, 12 days</t>
        </is>
      </c>
      <c r="DU557" s="53" t="n"/>
      <c r="DV557" s="53" t="inlineStr">
        <is>
          <t>Suptech</t>
        </is>
      </c>
      <c r="DW557" s="53" t="inlineStr">
        <is>
          <t>iFile</t>
        </is>
      </c>
      <c r="DX557" s="53" t="inlineStr">
        <is>
          <t>Technology</t>
        </is>
      </c>
      <c r="DY557" s="53" t="inlineStr">
        <is>
          <t>Development</t>
        </is>
      </c>
      <c r="DZ557" s="53" t="inlineStr">
        <is>
          <t>Yes</t>
        </is>
      </c>
      <c r="EA557" s="53" t="inlineStr">
        <is>
          <t>Product/Project</t>
        </is>
      </c>
      <c r="EB557" s="53" t="inlineStr">
        <is>
          <t>Java</t>
        </is>
      </c>
      <c r="EC557" s="53" t="inlineStr">
        <is>
          <t>Technical - Developer</t>
        </is>
      </c>
      <c r="ED557" s="53" t="inlineStr">
        <is>
          <t>Work From Office - Turbhe</t>
        </is>
      </c>
      <c r="EE557" s="53" t="inlineStr">
        <is>
          <t>1. CSV Validation Module – Production Support
- Respond to all issues raised by the BA team on the CSV validation module within the same working day.
- Maintain a 100% same-day response rate throughout the year.
2. Project Structure &amp; Code Standardization
- Build a sample/reference project demonstrating the standard code structure and formatting guidelines.
- Implement automated code formatting · Spotless and static code analysis · SonarQube as pre-push checks.
- Review all existing modules against the defined standards and complete the assessment by 22/07/2026.
- Resolve all non-compliance gaps identified during the review.
3. New Module Development – Project Phase 4
- Contribute to requirement brainstorming for Phase 4, applying existing CSV validation knowledge and concepts.
- Transfer relevant domain knowledge to the team to support smooth execution.
- Deliver the assigned scope with production go-live within the 3-month deadline.
- Meet all defined functional requirements with no more than 1 revision cycle post-review.
- Contribute as an active team member in Phase 4 workshops and planning sessions, covering the bank resolution workflow — PA onboarding, R008 reporting, data migration, Calculation Engine processing, and reconciliation — with phased execution planned across M3, M5, and M9.
- Build strong domain understanding of the end-to-end resolution process to enable effective contribution as task ownership and milestones are finalized across the M3–M9 phases.
4. Code Review &amp; Team Mentorship
- Conduct timely code reviews for team members.
- Maintain a review turnaround time of within 24 hours.
- Provide SOP guidance to team members to ensure consistent standards.
- Ensure 100% SOP compliance in reviewed code.
5. Learning &amp; Skill Development
- Implement code quality tools · Spotless, SonarQube in the reference project — completed.
- Learn Podman architecture and key features to support Phase 4 deployment and build independent deployment/troubleshooting capability.
- Gain working knowledge of SSO implementation currently underway in the project.
6. GitLab CI/CD Pipeline Knowledge
- Participate in knowledge-sharing sessions with Sagar sir on the GitLab CI/CD deployment process.
- Build a working understanding of the CI/CD pipeline to support future deployment activities.
7. CSV Module Enhancement &amp; Support
- Provide technical guidance and validation expertise on two enhancement tasks — rule enhancement and rule management via screen — owned by teammates.
- Ensure both tasks are enhancement-ready for changes provided by client.
- Own end-to-end deployment of the enhancement to production and all lower environments.
- Achieve zero critical defects within 2 weeks of go-live.</t>
        </is>
      </c>
      <c r="EF557"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
7. Manage end to end deployment at client environments: &gt;=90% of committed releases on time
8. Efficiently interact with client and other stakeholders to understand and plan development along with release: &gt;=90% of committed releases on time</t>
        </is>
      </c>
      <c r="EG557"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H557" s="53" t="n">
        <v>4</v>
      </c>
      <c r="EI557" s="54" t="n">
        <v>46113</v>
      </c>
      <c r="EJ557" s="53" t="inlineStr">
        <is>
          <t>Software Engineer</t>
        </is>
      </c>
      <c r="EK557" s="53" t="inlineStr">
        <is>
          <t>No</t>
        </is>
      </c>
      <c r="EL557" s="53" t="n">
        <v>4</v>
      </c>
      <c r="EM557" s="53" t="inlineStr">
        <is>
          <t>High</t>
        </is>
      </c>
      <c r="EN557" s="53" t="inlineStr">
        <is>
          <t>Emerging Talent</t>
        </is>
      </c>
      <c r="EO557" s="53" t="inlineStr">
        <is>
          <t>No</t>
        </is>
      </c>
      <c r="EP557" s="53" t="inlineStr">
        <is>
          <t>No</t>
        </is>
      </c>
      <c r="EQ557" s="53" t="inlineStr">
        <is>
          <t>Yes</t>
        </is>
      </c>
      <c r="ER557" s="53" t="n"/>
      <c r="ES557" s="53" t="inlineStr">
        <is>
          <t>Architecture &amp; Scalability/Spring AI/System Design &amp; Pattern</t>
        </is>
      </c>
      <c r="ET557" s="53" t="n"/>
      <c r="EU557" s="53" t="n"/>
      <c r="EV557" s="53" t="n"/>
      <c r="EW557" s="52" t="n"/>
      <c r="EX557" s="53" t="n"/>
      <c r="EY557" s="53" t="n"/>
      <c r="EZ557" s="53" t="n"/>
      <c r="FA557" s="53" t="n"/>
      <c r="FB557" s="53" t="n"/>
      <c r="FC557" s="53" t="n"/>
      <c r="FD557" s="53" t="n"/>
      <c r="FE557"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
7. Manage end to end deployment at client environments: &gt;=90% of committed releases on time
8. Efficiently interact with client and other stakeholders to understand and plan development along with release: &gt;=90% of committed releases on time</t>
        </is>
      </c>
      <c r="FF557"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FG557" s="56" t="inlineStr">
        <is>
          <t>1. CSV Validation Module – Production Support
- Respond to all issues raised by the BA team on the CSV validation module within the same working day.
- Maintain a 100% same-day response rate throughout the year.
2. Project Structure &amp; Code Standardization
- Build a sample/reference project demonstrating the standard code structure and formatting guidelines.
- Implement automated code formatting · Spotless and static code analysis · SonarQube as pre-push checks.
- Review all existing modules against the defined standards and complete the assessment by 22/07/2026.
- Resolve all non-compliance gaps identified during the review.
3. New Module Development – Project Phase 4
- Contribute to requirement brainstorming for Phase 4, applying existing CSV validation knowledge and concepts.
- Transfer relevant domain knowledge to the team to support smooth execution.
- Deliver the assigned scope with production go-live within the 3-month deadline.
- Meet all defined functional requirements with no more than 1 revision cycle post-review.
- Contribute as an active team member in Phase 4 workshops and planning sessions, covering the bank resolution workflow — PA onboarding, R008 reporting, data migration, Calculation Engine processing, and reconciliation — with phased execution planned across M3, M5, and M9.
- Build strong domain understanding of the end-to-end resolution process to enable effective contribution as task ownership and milestones are finalized across the M3–M9 phases.
4. Code Review &amp; Team Mentorship
- Conduct timely code reviews for team members.
- Maintain a review turnaround time of within 24 hours.
- Provide SOP guidance to team members to ensure consistent standards.
- Ensure 100% SOP compliance in reviewed code.
5. Learning &amp; Skill Development
- Implement code quality tools · Spotless, SonarQube in the reference project — completed.
- Learn Podman architecture and key features to support Phase 4 deployment and build independent deployment/troubleshooting capability.
- Gain working knowledge of SSO implementation currently underway in the project.
6. GitLab CI/CD Pipeline Knowledge
- Participate in knowledge-sharing sessions with Sagar sir on the GitLab CI/CD deployment process.
- Build a working understanding of the CI/CD pipeline to support future deployment activities.
7. CSV Module Enhancement &amp; Support
- Provide technical guidance and validation expertise on two enhancement tasks — rule enhancement and rule management via screen — owned by teammates.
- Ensure both tasks are enhancement-ready for changes provided by client.
- Own end-to-end deployment of the enhancement to production and all lower environments.
- Achieve zero critical defects within 2 weeks of go-live.</t>
        </is>
      </c>
      <c r="FH557" s="56" t="inlineStr">
        <is>
          <t>4</t>
        </is>
      </c>
      <c r="FI557" s="56" t="n"/>
      <c r="FJ557" s="56" t="inlineStr">
        <is>
          <t>Received · manager annual, quarterly, self</t>
        </is>
      </c>
      <c r="FK557" s="56" t="inlineStr">
        <is>
          <t>Talent Mapping · iFile collated</t>
        </is>
      </c>
      <c r="FL557" s="56" t="n">
        <v>20</v>
      </c>
      <c r="FM557" s="32" t="inlineStr">
        <is>
          <t>Full survey answers not in the files received · How We Grow export needed · HR</t>
        </is>
      </c>
      <c r="FN557" s="56" t="inlineStr">
        <is>
          <t>—</t>
        </is>
      </c>
      <c r="FO557" s="56" t="inlineStr">
        <is>
          <t>—</t>
        </is>
      </c>
      <c r="FP557" s="56" t="inlineStr">
        <is>
          <t>—</t>
        </is>
      </c>
      <c r="FQ557" s="56" t="inlineStr">
        <is>
          <t>—</t>
        </is>
      </c>
      <c r="FR557" s="56" t="inlineStr">
        <is>
          <t>Complexity: Evidence reads like A3: Owns Java backend components for bespoke SARB app; KRA: sets code standards and reviews all modules → moved up 0.5
Autonomy: Evidence reads like A3: Makes implementation and component-structure decisions in own areas; aligns on architecture and scope → moved up 0.5
Accountability: Evidence reads like A3: Owns backend features end to end; KRA: CSV validation module production support → moved up 0.5
Leadership: Evidence reads like A3: Supports colleagues on backend and UI; KRA: knowledge transfer and reviewing modules against standards → moved up 1
Business Impact: Moved +0.5: the survey / manager mapping marks it business-critical.</t>
        </is>
      </c>
      <c r="FS557"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557" s="56" t="inlineStr">
        <is>
          <t>Self-identified: Technical depth &amp; architecture · Strategy &amp; business acumen · Broader exposure &amp; ownership
For the next role: Leadership &amp; people management · Technical depth &amp; architecture · Client, sales &amp; stakeholders · Strategy &amp; business acumen · Broader exposure &amp; ownership</t>
        </is>
      </c>
      <c r="FU557" s="32" t="inlineStr">
        <is>
          <t>Full survey answers not in the files received · How We Grow export needed · HR</t>
        </is>
      </c>
    </row>
    <row r="558" ht="90" customHeight="1">
      <c r="A558" s="51" t="inlineStr">
        <is>
          <t>◂ Back</t>
        </is>
      </c>
      <c r="B558" s="29" t="inlineStr">
        <is>
          <t>Mapped</t>
        </is>
      </c>
      <c r="C558" s="28" t="inlineStr">
        <is>
          <t>iFile</t>
        </is>
      </c>
      <c r="D558" s="29" t="inlineStr">
        <is>
          <t>IRIS2295</t>
        </is>
      </c>
      <c r="E558" s="29" t="inlineStr">
        <is>
          <t>Sourav Moharana</t>
        </is>
      </c>
      <c r="F558" s="29" t="inlineStr">
        <is>
          <t>Technology</t>
        </is>
      </c>
      <c r="G558" s="29" t="inlineStr">
        <is>
          <t>Software Engineer</t>
        </is>
      </c>
      <c r="H558" s="29" t="inlineStr">
        <is>
          <t>Senior Software Engineer</t>
        </is>
      </c>
      <c r="I558" s="29" t="inlineStr">
        <is>
          <t>L3 – Professional / Associate</t>
        </is>
      </c>
      <c r="J558" s="29" t="inlineStr">
        <is>
          <t>A3</t>
        </is>
      </c>
      <c r="K558" s="29" t="inlineStr">
        <is>
          <t>▲ Up</t>
        </is>
      </c>
      <c r="L558" s="29" t="inlineStr">
        <is>
          <t>Engineering &amp; Development</t>
        </is>
      </c>
      <c r="M558" s="29" t="inlineStr">
        <is>
          <t>Backend Development</t>
        </is>
      </c>
      <c r="N558" s="29" t="n"/>
      <c r="O558" s="29" t="n">
        <v>20</v>
      </c>
      <c r="P558" s="28" t="inlineStr">
        <is>
          <t>P2</t>
        </is>
      </c>
      <c r="Q558" s="29" t="inlineStr">
        <is>
          <t>Developing</t>
        </is>
      </c>
      <c r="R558" s="29" t="inlineStr">
        <is>
          <t>3 Apply</t>
        </is>
      </c>
      <c r="S558" s="29" t="inlineStr">
        <is>
          <t>2–4 yrs</t>
        </is>
      </c>
      <c r="T558" s="29" t="inlineStr">
        <is>
          <t>3–5 · 2–5</t>
        </is>
      </c>
      <c r="U558" s="29" t="inlineStr">
        <is>
          <t>Software Engineer</t>
        </is>
      </c>
      <c r="V558" s="29" t="inlineStr">
        <is>
          <t>Workiva: SE · Broadridge India: SE · Nasdaq / AxiomSL: SE · Salesforce: MTS · Atlassian: P40 · 3–7 yrs · Freshworks: Senior SE</t>
        </is>
      </c>
      <c r="W558" s="29" t="inlineStr">
        <is>
          <t>SFIA 9 · software development, programming; OWASP secure coding; cloud vendor certifications</t>
        </is>
      </c>
      <c r="X558" s="29" t="inlineStr">
        <is>
          <t>Core 2 · Future 2 · Functional 3 · Leadership not scored</t>
        </is>
      </c>
      <c r="Y558" s="52" t="n">
        <v>334</v>
      </c>
      <c r="Z558" s="53" t="inlineStr">
        <is>
          <t>IRIS2295</t>
        </is>
      </c>
      <c r="AA558" s="53" t="inlineStr">
        <is>
          <t>Employee</t>
        </is>
      </c>
      <c r="AB558" s="53" t="inlineStr">
        <is>
          <t>Active</t>
        </is>
      </c>
      <c r="AC558" s="53" t="inlineStr">
        <is>
          <t>Sourav Moharana</t>
        </is>
      </c>
      <c r="AD558" s="54" t="n">
        <v>45491</v>
      </c>
      <c r="AE558" s="53" t="inlineStr">
        <is>
          <t>Software Engineer</t>
        </is>
      </c>
      <c r="AF558" s="53" t="inlineStr">
        <is>
          <t>B.Tech</t>
        </is>
      </c>
      <c r="AG558" s="53" t="inlineStr">
        <is>
          <t>Suman Kumar</t>
        </is>
      </c>
      <c r="AH558" s="53" t="inlineStr">
        <is>
          <t>N-2</t>
        </is>
      </c>
      <c r="AI558" s="53" t="inlineStr">
        <is>
          <t>Individual Contributor</t>
        </is>
      </c>
      <c r="AJ558" s="53" t="inlineStr">
        <is>
          <t>3 years, 0 months, 0 days</t>
        </is>
      </c>
      <c r="AK558" s="53" t="inlineStr">
        <is>
          <t>2 years, 1 months, 7 days</t>
        </is>
      </c>
      <c r="AL558" s="53" t="inlineStr">
        <is>
          <t>Suptech</t>
        </is>
      </c>
      <c r="AM558" s="53" t="inlineStr">
        <is>
          <t>iFile</t>
        </is>
      </c>
      <c r="AN558" s="53" t="inlineStr">
        <is>
          <t>Technology</t>
        </is>
      </c>
      <c r="AO558" s="53" t="inlineStr">
        <is>
          <t>Development</t>
        </is>
      </c>
      <c r="AP558" s="53" t="inlineStr">
        <is>
          <t>Yes</t>
        </is>
      </c>
      <c r="AQ558" s="53" t="inlineStr">
        <is>
          <t>Product/Project</t>
        </is>
      </c>
      <c r="AR558" s="53" t="inlineStr">
        <is>
          <t>Java</t>
        </is>
      </c>
      <c r="AS558" s="53" t="inlineStr">
        <is>
          <t>Technical - Developer</t>
        </is>
      </c>
      <c r="AT558" s="53" t="n">
        <v>20</v>
      </c>
      <c r="AU558" s="53" t="inlineStr">
        <is>
          <t>Covered</t>
        </is>
      </c>
      <c r="AV558" s="53" t="n"/>
      <c r="AW558" s="53" t="n"/>
      <c r="AX558" s="53" t="n"/>
      <c r="AY558" s="53" t="n"/>
      <c r="AZ558" s="53" t="n"/>
      <c r="BA558" s="53" t="n"/>
      <c r="BB558" s="53" t="n"/>
      <c r="BC558" s="53" t="n"/>
      <c r="BD558" s="53" t="n"/>
      <c r="BE558" s="53" t="n"/>
      <c r="BF558" s="53" t="n"/>
      <c r="BG558" s="53" t="n"/>
      <c r="BH558" s="53" t="n"/>
      <c r="BI558" s="53" t="n"/>
      <c r="BJ558" s="53" t="n"/>
      <c r="BK558" s="53" t="n"/>
      <c r="BL558" s="53" t="n"/>
      <c r="BM558" s="53" t="n"/>
      <c r="BN558" s="53" t="n"/>
      <c r="BO558" s="53" t="n"/>
      <c r="BP558" s="53" t="n"/>
      <c r="BQ558" s="53" t="n"/>
      <c r="BR558" s="53" t="n"/>
      <c r="BS558" s="53" t="n"/>
      <c r="BT558" s="53" t="n"/>
      <c r="BU558" s="53" t="n"/>
      <c r="BV558" s="53" t="n"/>
      <c r="BW558" s="53" t="n"/>
      <c r="BX558" s="53" t="n"/>
      <c r="BY558" s="53" t="n"/>
      <c r="BZ558" s="53" t="n"/>
      <c r="CA558" s="53" t="n"/>
      <c r="CB558" s="53" t="n"/>
      <c r="CC558" s="53" t="n"/>
      <c r="CD558" s="53" t="n"/>
      <c r="CE558" s="53" t="n"/>
      <c r="CF558" s="53" t="n"/>
      <c r="CG558" s="53" t="n"/>
      <c r="CH558" s="53" t="n"/>
      <c r="CI558" s="53" t="n"/>
      <c r="CJ558" s="53" t="n"/>
      <c r="CK558" s="53" t="n"/>
      <c r="CL558" s="53" t="n"/>
      <c r="CM558" s="53" t="n"/>
      <c r="CN558" s="53" t="n"/>
      <c r="CO558" s="53" t="n"/>
      <c r="CP558" s="53" t="n"/>
      <c r="CQ558" s="53" t="n"/>
      <c r="CR558" s="53" t="n"/>
      <c r="CS558" s="53" t="n"/>
      <c r="CT558" s="53" t="n"/>
      <c r="CU558" s="53" t="n"/>
      <c r="CV558" s="53" t="n"/>
      <c r="CW558" s="53" t="n"/>
      <c r="CX558" s="53" t="n"/>
      <c r="CY558" s="53" t="n"/>
      <c r="CZ558" s="53" t="n"/>
      <c r="DA558" s="53" t="n"/>
      <c r="DB558" s="53" t="n"/>
      <c r="DC558" s="53" t="n"/>
      <c r="DD558" s="53" t="inlineStr">
        <is>
          <t>IRIS2295</t>
        </is>
      </c>
      <c r="DE558" s="53" t="inlineStr">
        <is>
          <t>Employee</t>
        </is>
      </c>
      <c r="DF558" s="53" t="inlineStr">
        <is>
          <t>Active</t>
        </is>
      </c>
      <c r="DG558" s="53" t="inlineStr">
        <is>
          <t>Sourav Moharana</t>
        </is>
      </c>
      <c r="DH558" s="54" t="n">
        <v>45491</v>
      </c>
      <c r="DI558" s="53" t="inlineStr">
        <is>
          <t>Software Engineer</t>
        </is>
      </c>
      <c r="DJ558" s="53" t="inlineStr">
        <is>
          <t>Engineering &amp; Development</t>
        </is>
      </c>
      <c r="DK558" s="53" t="inlineStr">
        <is>
          <t>Backend Engineering · Java</t>
        </is>
      </c>
      <c r="DL558" s="53" t="inlineStr">
        <is>
          <t>Software Engineer</t>
        </is>
      </c>
      <c r="DM558" s="53" t="inlineStr">
        <is>
          <t>L3 – Professional / Associate</t>
        </is>
      </c>
      <c r="DN558" s="53" t="inlineStr">
        <is>
          <t>B.Tech</t>
        </is>
      </c>
      <c r="DO558" s="53" t="inlineStr">
        <is>
          <t>Suman Kumar</t>
        </is>
      </c>
      <c r="DP558" s="53" t="inlineStr">
        <is>
          <t>N-3</t>
        </is>
      </c>
      <c r="DQ558" s="53" t="inlineStr">
        <is>
          <t>Individual Contributor</t>
        </is>
      </c>
      <c r="DR558" s="53" t="inlineStr">
        <is>
          <t>3 years, 0 months, 0 days</t>
        </is>
      </c>
      <c r="DS558" s="53" t="inlineStr">
        <is>
          <t>1 years, 11 months, 2 days</t>
        </is>
      </c>
      <c r="DT558" s="53" t="inlineStr">
        <is>
          <t>4 years, 11 months, 2 days</t>
        </is>
      </c>
      <c r="DU558" s="53" t="n"/>
      <c r="DV558" s="53" t="inlineStr">
        <is>
          <t>Suptech</t>
        </is>
      </c>
      <c r="DW558" s="53" t="inlineStr">
        <is>
          <t>iFile</t>
        </is>
      </c>
      <c r="DX558" s="53" t="inlineStr">
        <is>
          <t>Technology</t>
        </is>
      </c>
      <c r="DY558" s="53" t="inlineStr">
        <is>
          <t>Development</t>
        </is>
      </c>
      <c r="DZ558" s="53" t="inlineStr">
        <is>
          <t>Yes</t>
        </is>
      </c>
      <c r="EA558" s="53" t="inlineStr">
        <is>
          <t>Product/Project</t>
        </is>
      </c>
      <c r="EB558" s="53" t="inlineStr">
        <is>
          <t>Java</t>
        </is>
      </c>
      <c r="EC558" s="53" t="inlineStr">
        <is>
          <t>Technical - Developer</t>
        </is>
      </c>
      <c r="ED558" s="53" t="inlineStr">
        <is>
          <t>Work From Office - Turbhe</t>
        </is>
      </c>
      <c r="EE558" s="53" t="inlineStr">
        <is>
          <t>1. Deliver assigned development tasks with 95%+ on time completion as per sprint commitments
 module name is a. FMS PARAMETER &amp; CHANGES IMPACT MODULES
 b. BACKLOG CHANGES ON OFFBOARDING PREM, LEVY, LIQUIDITY MODULE
 c. Payment Enhancement manual Allocation and impact modules
 d. Worked on the Resubmission prem, levy, liquidity and impact modules
 e. Working on the Customer Data Enhancement
2. Take end-to-end ownership of assigned modules and, whenever necessary, invest additional time and effort to ensure timely delivery, quality standards, and successful completion of project objectives.
3. Maintain 95%+ punctuality in office attendance, meetings and task delivery while consistency adhering to project timelines and organizational policies.
4. Take end-to-end ownership of the SARB demo project by managing deployment on the iris server, performing data migration, deploying the latest frontend and backend code, conducting end-to-end testing, and ensuring successful project running with minimal issues.
5. Continuously enhance my technical skills by learning Spring AI, building at least one working proof of Concept · POC, and exploring opportunities to apply in project.</t>
        </is>
      </c>
      <c r="EF558"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EG558"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H558" s="53" t="n">
        <v>4</v>
      </c>
      <c r="EI558" s="54" t="n">
        <v>46113</v>
      </c>
      <c r="EJ558" s="53" t="inlineStr">
        <is>
          <t>Software Engineer</t>
        </is>
      </c>
      <c r="EK558" s="53" t="inlineStr">
        <is>
          <t>No</t>
        </is>
      </c>
      <c r="EL558" s="53" t="n">
        <v>4</v>
      </c>
      <c r="EM558" s="53" t="inlineStr">
        <is>
          <t>High</t>
        </is>
      </c>
      <c r="EN558" s="53" t="inlineStr">
        <is>
          <t>Trusted Professional</t>
        </is>
      </c>
      <c r="EO558" s="53" t="inlineStr">
        <is>
          <t>No</t>
        </is>
      </c>
      <c r="EP558" s="53" t="inlineStr">
        <is>
          <t>No</t>
        </is>
      </c>
      <c r="EQ558" s="53" t="inlineStr">
        <is>
          <t>Yes</t>
        </is>
      </c>
      <c r="ER558" s="53" t="n"/>
      <c r="ES558" s="53" t="inlineStr">
        <is>
          <t>Reactive Programming/Spring AI/System Design &amp; Pattern</t>
        </is>
      </c>
      <c r="ET558" s="53" t="n"/>
      <c r="EU558" s="53" t="n"/>
      <c r="EV558" s="53" t="n"/>
      <c r="EW558" s="52" t="n"/>
      <c r="EX558" s="53" t="n"/>
      <c r="EY558" s="53" t="n"/>
      <c r="EZ558" s="53" t="n"/>
      <c r="FA558" s="53" t="n"/>
      <c r="FB558" s="53" t="n"/>
      <c r="FC558" s="53" t="n"/>
      <c r="FD558" s="53" t="n"/>
      <c r="FE558"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FF558"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FG558" s="56" t="inlineStr">
        <is>
          <t>1. Deliver assigned development tasks with 95%+ on time completion as per sprint commitments
  module name is a. FMS PARAMETER &amp; CHANGES IMPACT MODULES
                 b. BACKLOG CHANGES ON OFFBOARDING PREM, LEVY, LIQUIDITY MODULE
                 c. Payment Enhancement manual Allocation and impact modules
                 d. Worked on the Resubmission prem, levy, liquidity and impact modules
                 e. Working on the Customer Data Enhancement
2. Take end-to-end ownership of assigned modules and , whenever necessary, invest additional time and effort to ensure timely delivery, quality standards, and successful completion of project objectives.
3. Maintain 95%+ punctuality in office attendance, meetings and task delivery while consistency adhering to project timelines and organizational policies.
4. Take end-to-end ownership of the SARB demo project by managing deployment on the iris server, performing data migration, deploying the latest frontend and backend code, conducting end-to-end testing, and ensuring successful project running with minimal issues.
5. Continuously enhance my technical skills by learning Spring AI, building at least one working proof of Concept · POC , and exploring opportunities to apply in project.</t>
        </is>
      </c>
      <c r="FH558" s="56" t="inlineStr">
        <is>
          <t>4</t>
        </is>
      </c>
      <c r="FI558" s="56" t="n"/>
      <c r="FJ558" s="56" t="inlineStr">
        <is>
          <t>Received · manager annual, quarterly, self</t>
        </is>
      </c>
      <c r="FK558" s="56" t="inlineStr">
        <is>
          <t>Talent Mapping · iFile collated</t>
        </is>
      </c>
      <c r="FL558" s="56" t="n">
        <v>20</v>
      </c>
      <c r="FM558" s="32" t="inlineStr">
        <is>
          <t>Full survey answers not in the files received · How We Grow export needed · HR</t>
        </is>
      </c>
      <c r="FN558" s="56" t="inlineStr">
        <is>
          <t>—</t>
        </is>
      </c>
      <c r="FO558" s="56" t="inlineStr">
        <is>
          <t>—</t>
        </is>
      </c>
      <c r="FP558" s="56" t="inlineStr">
        <is>
          <t>—</t>
        </is>
      </c>
      <c r="FQ558" s="56" t="inlineStr">
        <is>
          <t>—</t>
        </is>
      </c>
      <c r="FR558" s="56" t="inlineStr">
        <is>
          <t>Business Impact: Moved +0.5: the survey / manager mapping marks it business-critical.</t>
        </is>
      </c>
      <c r="FS558" s="56" t="inlineStr">
        <is>
          <t>Common themes in role-holders' answers: software · reliable · solutions · problems · business · develop
Common themes in role-holders' answers: development · code · support · technical · quality · issue
Common themes in role-holders' answers: features · product · application · software · support · deliver
Common themes in role-holders' answers: quality · accountable · delivery · features · am · timely
Common themes in role-holders' answers: code · technical · implementation · bug · approach · decisions
If the work is missed · role-holders' themes: delays · impact · rework.
Measured on · manager-set KRA themes: year · coverage · code · quality · deliver · assigned.</t>
        </is>
      </c>
      <c r="FT558" s="56" t="inlineStr">
        <is>
          <t>Self-identified: Leadership &amp; people management · Technical depth &amp; architecture · Strategy &amp; business acumen
For the next role: Leadership &amp; people management · Technical depth &amp; architecture · Strategy &amp; business acumen</t>
        </is>
      </c>
      <c r="FU558" s="32" t="inlineStr">
        <is>
          <t>Full survey answers not in the files received · How We Grow export needed · HR</t>
        </is>
      </c>
    </row>
    <row r="559" ht="90" customHeight="1">
      <c r="A559" s="51" t="inlineStr">
        <is>
          <t>◂ Back</t>
        </is>
      </c>
      <c r="B559" s="29" t="inlineStr">
        <is>
          <t>Mapped</t>
        </is>
      </c>
      <c r="C559" s="28" t="inlineStr">
        <is>
          <t>Corporate</t>
        </is>
      </c>
      <c r="D559" s="29" t="inlineStr">
        <is>
          <t>IRIS2103</t>
        </is>
      </c>
      <c r="E559" s="29" t="inlineStr">
        <is>
          <t>Mahesh Tilave</t>
        </is>
      </c>
      <c r="F559" s="29" t="inlineStr">
        <is>
          <t>IT &amp; Infrastructure</t>
        </is>
      </c>
      <c r="G559" s="29" t="inlineStr">
        <is>
          <t>Team Lead – IT Infrastructure</t>
        </is>
      </c>
      <c r="H559" s="29" t="inlineStr">
        <is>
          <t>Senior IT Manager</t>
        </is>
      </c>
      <c r="I559" s="29" t="inlineStr">
        <is>
          <t>Not in current mapping files</t>
        </is>
      </c>
      <c r="J559" s="29" t="inlineStr">
        <is>
          <t>B2</t>
        </is>
      </c>
      <c r="K559" s="29" t="inlineStr">
        <is>
          <t>● Newly mapped</t>
        </is>
      </c>
      <c r="L559" s="29" t="inlineStr">
        <is>
          <t>IT &amp; Infrastructure</t>
        </is>
      </c>
      <c r="M559" s="29" t="inlineStr">
        <is>
          <t>IT Infrastructure Leadership</t>
        </is>
      </c>
      <c r="N559" s="29" t="inlineStr">
        <is>
          <t>• Confirm the reporting line — Manager</t>
        </is>
      </c>
      <c r="O559" s="29" t="n">
        <v>20</v>
      </c>
      <c r="P559" s="28" t="inlineStr">
        <is>
          <t>P4 / M3</t>
        </is>
      </c>
      <c r="Q559" s="29" t="inlineStr">
        <is>
          <t>Senior / Manager</t>
        </is>
      </c>
      <c r="R559" s="29" t="inlineStr">
        <is>
          <t>4–5</t>
        </is>
      </c>
      <c r="S559" s="29" t="inlineStr">
        <is>
          <t>6–9 yrs</t>
        </is>
      </c>
      <c r="T559" s="29" t="inlineStr">
        <is>
          <t>7–10 · 6–11</t>
        </is>
      </c>
      <c r="U559" s="29" t="inlineStr">
        <is>
          <t>Senior Manager</t>
        </is>
      </c>
      <c r="V559" s="29" t="inlineStr">
        <is>
          <t>Atlassian company-wide P-levels: P50 Senior · IRIS Vs Competitor Benchmark — infrastructure ladder: Infrastructure Lead</t>
        </is>
      </c>
      <c r="W559" s="29" t="inlineStr">
        <is>
          <t>ITIL 4; ISO/IEC 27001:2022; SFIA infrastructure</t>
        </is>
      </c>
      <c r="X559" s="29" t="inlineStr">
        <is>
          <t>Core 3 · Future 3 · Functional 4 · Leadership 3</t>
        </is>
      </c>
      <c r="Y559" s="52" t="n">
        <v>263</v>
      </c>
      <c r="Z559" s="53" t="inlineStr">
        <is>
          <t>IRIS2103</t>
        </is>
      </c>
      <c r="AA559" s="53" t="inlineStr">
        <is>
          <t>Employee</t>
        </is>
      </c>
      <c r="AB559" s="53" t="inlineStr">
        <is>
          <t>Active</t>
        </is>
      </c>
      <c r="AC559" s="53" t="inlineStr">
        <is>
          <t>Mahesh Tilave</t>
        </is>
      </c>
      <c r="AD559" s="54" t="n">
        <v>44981</v>
      </c>
      <c r="AE559" s="53" t="inlineStr">
        <is>
          <t>Team Lead – IT Infrastructure</t>
        </is>
      </c>
      <c r="AF559" s="53" t="inlineStr">
        <is>
          <t>BA</t>
        </is>
      </c>
      <c r="AG559" s="53" t="inlineStr">
        <is>
          <t>P K X Thomas</t>
        </is>
      </c>
      <c r="AH559" s="53" t="inlineStr">
        <is>
          <t>N-1</t>
        </is>
      </c>
      <c r="AI559" s="53" t="inlineStr">
        <is>
          <t>Manager</t>
        </is>
      </c>
      <c r="AJ559" s="53" t="inlineStr">
        <is>
          <t>17 years, 0 months, 0 days</t>
        </is>
      </c>
      <c r="AK559" s="53" t="inlineStr">
        <is>
          <t>3 years, 6 months, 1 days</t>
        </is>
      </c>
      <c r="AL559" s="53" t="inlineStr">
        <is>
          <t>Corporate</t>
        </is>
      </c>
      <c r="AM559" s="53" t="inlineStr">
        <is>
          <t>Corporate</t>
        </is>
      </c>
      <c r="AN559" s="53" t="inlineStr">
        <is>
          <t>IT &amp; Infrastructure</t>
        </is>
      </c>
      <c r="AO559" s="53" t="inlineStr">
        <is>
          <t>Infra</t>
        </is>
      </c>
      <c r="AP559" s="53" t="inlineStr">
        <is>
          <t>No</t>
        </is>
      </c>
      <c r="AQ559" s="53" t="inlineStr">
        <is>
          <t>General &amp; Admin</t>
        </is>
      </c>
      <c r="AR559" s="53" t="inlineStr">
        <is>
          <t>Infra</t>
        </is>
      </c>
      <c r="AS559" s="53" t="inlineStr">
        <is>
          <t>Non-technical</t>
        </is>
      </c>
      <c r="AT559" s="53" t="n">
        <v>20</v>
      </c>
      <c r="AU559" s="53" t="inlineStr">
        <is>
          <t>Covered</t>
        </is>
      </c>
      <c r="AV559" s="53" t="n"/>
      <c r="AW559" s="53" t="n"/>
      <c r="AX559" s="53" t="n"/>
      <c r="AY559" s="53" t="n"/>
      <c r="AZ559" s="53" t="n"/>
      <c r="BA559" s="53" t="n"/>
      <c r="BB559" s="53" t="n"/>
      <c r="BC559" s="53" t="n"/>
      <c r="BD559" s="53" t="n"/>
      <c r="BE559" s="53" t="n"/>
      <c r="BF559" s="53" t="n"/>
      <c r="BG559" s="53" t="n"/>
      <c r="BH559" s="53" t="n"/>
      <c r="BI559" s="53" t="n"/>
      <c r="BJ559" s="53" t="n"/>
      <c r="BK559" s="53" t="n"/>
      <c r="BL559" s="53" t="n"/>
      <c r="BM559" s="53" t="n"/>
      <c r="BN559" s="53" t="n"/>
      <c r="BO559" s="53" t="n"/>
      <c r="BP559" s="53" t="n"/>
      <c r="BQ559" s="53" t="n"/>
      <c r="BR559" s="53" t="n"/>
      <c r="BS559" s="53" t="n"/>
      <c r="BT559" s="53" t="n"/>
      <c r="BU559" s="53" t="n"/>
      <c r="BV559" s="53" t="n"/>
      <c r="BW559" s="53" t="n"/>
      <c r="BX559" s="53" t="n"/>
      <c r="BY559" s="53" t="n"/>
      <c r="BZ559" s="53" t="n"/>
      <c r="CA559" s="53" t="n"/>
      <c r="CB559" s="53" t="n"/>
      <c r="CC559" s="53" t="n"/>
      <c r="CD559" s="53" t="n"/>
      <c r="CE559" s="53" t="n"/>
      <c r="CF559" s="53" t="n"/>
      <c r="CG559" s="53" t="n"/>
      <c r="CH559" s="53" t="n"/>
      <c r="CI559" s="53" t="n"/>
      <c r="CJ559" s="53" t="n"/>
      <c r="CK559" s="53" t="n"/>
      <c r="CL559" s="53" t="n"/>
      <c r="CM559" s="53" t="n"/>
      <c r="CN559" s="53" t="n"/>
      <c r="CO559" s="53" t="n"/>
      <c r="CP559" s="53" t="n"/>
      <c r="CQ559" s="53" t="n"/>
      <c r="CR559" s="53" t="n"/>
      <c r="CS559" s="53" t="n"/>
      <c r="CT559" s="53" t="n"/>
      <c r="CU559" s="53" t="n"/>
      <c r="CV559" s="53" t="n"/>
      <c r="CW559" s="53" t="n"/>
      <c r="CX559" s="53" t="n"/>
      <c r="CY559" s="53" t="n"/>
      <c r="CZ559" s="53" t="n"/>
      <c r="DA559" s="53" t="n"/>
      <c r="DB559" s="53" t="n"/>
      <c r="DC559" s="53" t="n"/>
      <c r="DD559" s="53" t="n"/>
      <c r="DE559" s="53" t="n"/>
      <c r="DF559" s="53" t="n"/>
      <c r="DG559" s="53" t="n"/>
      <c r="DH559" s="53" t="n"/>
      <c r="DI559" s="53" t="n"/>
      <c r="DJ559" s="53" t="n"/>
      <c r="DK559" s="53" t="n"/>
      <c r="DL559" s="53" t="n"/>
      <c r="DM559" s="53" t="n"/>
      <c r="DN559" s="53" t="n"/>
      <c r="DO559" s="53" t="n"/>
      <c r="DP559" s="53" t="n"/>
      <c r="DQ559" s="53" t="n"/>
      <c r="DR559" s="53" t="n"/>
      <c r="DS559" s="53" t="n"/>
      <c r="DT559" s="53" t="n"/>
      <c r="DU559" s="53" t="n"/>
      <c r="DV559" s="53" t="n"/>
      <c r="DW559" s="53" t="n"/>
      <c r="DX559" s="53" t="n"/>
      <c r="DY559" s="53" t="n"/>
      <c r="DZ559" s="53" t="n"/>
      <c r="EA559" s="53" t="n"/>
      <c r="EB559" s="53" t="n"/>
      <c r="EC559" s="53" t="n"/>
      <c r="ED559" s="53" t="n"/>
      <c r="EE559" s="53" t="n"/>
      <c r="EF559" s="53" t="n"/>
      <c r="EG559" s="53" t="n"/>
      <c r="EH559" s="53" t="n"/>
      <c r="EI559" s="53" t="n"/>
      <c r="EJ559" s="53" t="n"/>
      <c r="EK559" s="53" t="n"/>
      <c r="EL559" s="53" t="n"/>
      <c r="EM559" s="53" t="n"/>
      <c r="EN559" s="53" t="n"/>
      <c r="EO559" s="53" t="n"/>
      <c r="EP559" s="53" t="n"/>
      <c r="EQ559" s="53" t="n"/>
      <c r="ER559" s="53" t="n"/>
      <c r="ES559" s="53" t="n"/>
      <c r="ET559" s="53" t="n"/>
      <c r="EU559" s="53" t="n"/>
      <c r="EV559" s="53" t="n"/>
      <c r="EW559" s="52" t="n"/>
      <c r="EX559" s="53" t="n"/>
      <c r="EY559" s="53" t="n"/>
      <c r="EZ559" s="53" t="n"/>
      <c r="FA559" s="53" t="n"/>
      <c r="FB559" s="53" t="n"/>
      <c r="FC559" s="53" t="n"/>
      <c r="FD559" s="53" t="n"/>
      <c r="FE559" s="55" t="inlineStr">
        <is>
          <t>KRAs not received · manager to supply</t>
        </is>
      </c>
      <c r="FF559" s="56" t="n"/>
      <c r="FG559" s="56" t="n"/>
      <c r="FH559" s="56" t="n"/>
      <c r="FI559" s="56" t="n"/>
      <c r="FJ559" s="32" t="inlineStr">
        <is>
          <t>KRAs not received · manager to supply</t>
        </is>
      </c>
      <c r="FK559" s="56" t="n"/>
      <c r="FL559" s="56" t="n">
        <v>20</v>
      </c>
      <c r="FM559" s="32" t="inlineStr">
        <is>
          <t>Full survey answers not in the files received · How We Grow export needed · HR</t>
        </is>
      </c>
      <c r="FN559" s="56" t="inlineStr">
        <is>
          <t>—</t>
        </is>
      </c>
      <c r="FO559" s="56" t="inlineStr">
        <is>
          <t>—</t>
        </is>
      </c>
      <c r="FP559" s="56" t="inlineStr">
        <is>
          <t>—</t>
        </is>
      </c>
      <c r="FQ559" s="56" t="inlineStr">
        <is>
          <t>—</t>
        </is>
      </c>
      <c r="FR559" s="56" t="inlineStr">
        <is>
          <t>Complexity: Evidence reads like B1: Covers infrastructure, network, security, cloud, Exchange, ISO audits, vendors and project implementation; little detail → matches the start
Autonomy: Evidence reads like B1: Says decides independently only 'sometimes'; handles escalations, vendors and projects for the team → moved down 0.5
Accountability: Evidence reads like B2: Infra uptime target of 99.99%, compliance and ISO audits, projects; team of seven → moved down 0.5
Leadership: Evidence reads like B2: Team management and training listed; 7 direct reports → moved down 0.5
Business Impact: No survey or manager-mapping signal on criticality: kept at the start point.</t>
        </is>
      </c>
      <c r="FS559" s="56" t="n"/>
      <c r="FT559" s="56" t="inlineStr">
        <is>
          <t>Self-identified: Project / programme management
For the next role: Project / programme management</t>
        </is>
      </c>
      <c r="FU559" s="32" t="inlineStr">
        <is>
          <t>Full survey answers not in the files received · How We Grow export needed · HR</t>
        </is>
      </c>
    </row>
    <row r="560" ht="90" customHeight="1">
      <c r="A560" s="51" t="inlineStr">
        <is>
          <t>◂ Back</t>
        </is>
      </c>
      <c r="B560" s="29" t="inlineStr">
        <is>
          <t>Mapped</t>
        </is>
      </c>
      <c r="C560" s="28" t="inlineStr">
        <is>
          <t>Corporate</t>
        </is>
      </c>
      <c r="D560" s="29" t="inlineStr">
        <is>
          <t>IRIS0265</t>
        </is>
      </c>
      <c r="E560" s="29" t="inlineStr">
        <is>
          <t>Rajit Kumar Sahu</t>
        </is>
      </c>
      <c r="F560" s="29" t="inlineStr">
        <is>
          <t>IT &amp; Infrastructure</t>
        </is>
      </c>
      <c r="G560" s="29" t="inlineStr">
        <is>
          <t>System Administrator</t>
        </is>
      </c>
      <c r="H560" s="29" t="inlineStr">
        <is>
          <t>Infrastructure Specialist</t>
        </is>
      </c>
      <c r="I560" s="29" t="inlineStr">
        <is>
          <t>Not in current mapping files</t>
        </is>
      </c>
      <c r="J560" s="29" t="inlineStr">
        <is>
          <t>B1</t>
        </is>
      </c>
      <c r="K560" s="29" t="inlineStr">
        <is>
          <t>● Newly mapped</t>
        </is>
      </c>
      <c r="L560" s="29" t="inlineStr">
        <is>
          <t>IT &amp; Infrastructure</t>
        </is>
      </c>
      <c r="M560" s="29" t="inlineStr">
        <is>
          <t>Infrastructure &amp; Cloud Operations</t>
        </is>
      </c>
      <c r="N560" s="29" t="n"/>
      <c r="O560" s="29" t="n">
        <v>20</v>
      </c>
      <c r="P560" s="28" t="inlineStr">
        <is>
          <t>P3 / M2</t>
        </is>
      </c>
      <c r="Q560" s="29" t="inlineStr">
        <is>
          <t>Career / · Team Lead</t>
        </is>
      </c>
      <c r="R560" s="29" t="inlineStr">
        <is>
          <t>4 Enable</t>
        </is>
      </c>
      <c r="S560" s="29" t="inlineStr">
        <is>
          <t>4–7 yrs</t>
        </is>
      </c>
      <c r="T560" s="29" t="inlineStr">
        <is>
          <t>5–8 · 4–8</t>
        </is>
      </c>
      <c r="U560" s="29" t="inlineStr">
        <is>
          <t>Senior System Administrator</t>
        </is>
      </c>
      <c r="V560" s="29" t="inlineStr">
        <is>
          <t>Atlassian company-wide P-levels: P40 · IRIS Vs Competitor Benchmark — infrastructure ladder: Senior SysAdmin</t>
        </is>
      </c>
      <c r="W560" s="29" t="inlineStr">
        <is>
          <t>ITIL 4; ISO/IEC 27001:2022; SFIA infrastructure</t>
        </is>
      </c>
      <c r="X560" s="29" t="inlineStr">
        <is>
          <t>Core 3 · Future 3 · Functional 3 · Leadership 1</t>
        </is>
      </c>
      <c r="Y560" s="52" t="n">
        <v>46</v>
      </c>
      <c r="Z560" s="53" t="inlineStr">
        <is>
          <t>IRIS0265</t>
        </is>
      </c>
      <c r="AA560" s="53" t="inlineStr">
        <is>
          <t>Employee</t>
        </is>
      </c>
      <c r="AB560" s="53" t="inlineStr">
        <is>
          <t>Active</t>
        </is>
      </c>
      <c r="AC560" s="53" t="inlineStr">
        <is>
          <t>Rajit Kumar Sahu</t>
        </is>
      </c>
      <c r="AD560" s="54" t="n">
        <v>39867</v>
      </c>
      <c r="AE560" s="53" t="inlineStr">
        <is>
          <t>System Administrator</t>
        </is>
      </c>
      <c r="AF560" s="53" t="inlineStr">
        <is>
          <t>BA</t>
        </is>
      </c>
      <c r="AG560" s="53" t="inlineStr">
        <is>
          <t>Mahesh Tilave</t>
        </is>
      </c>
      <c r="AH560" s="53" t="inlineStr">
        <is>
          <t>N-2</t>
        </is>
      </c>
      <c r="AI560" s="53" t="inlineStr">
        <is>
          <t>Individual Contributor</t>
        </is>
      </c>
      <c r="AJ560" s="53" t="inlineStr">
        <is>
          <t>1 years, 5 months, 0 days</t>
        </is>
      </c>
      <c r="AK560" s="53" t="inlineStr">
        <is>
          <t>17 years, 6 months, 2 days</t>
        </is>
      </c>
      <c r="AL560" s="53" t="inlineStr">
        <is>
          <t>Corporate</t>
        </is>
      </c>
      <c r="AM560" s="53" t="inlineStr">
        <is>
          <t>Corporate</t>
        </is>
      </c>
      <c r="AN560" s="53" t="inlineStr">
        <is>
          <t>IT &amp; Infrastructure</t>
        </is>
      </c>
      <c r="AO560" s="53" t="inlineStr">
        <is>
          <t>Infra</t>
        </is>
      </c>
      <c r="AP560" s="53" t="inlineStr">
        <is>
          <t>No</t>
        </is>
      </c>
      <c r="AQ560" s="53" t="inlineStr">
        <is>
          <t>General &amp; Admin</t>
        </is>
      </c>
      <c r="AR560" s="53" t="inlineStr">
        <is>
          <t>Infra</t>
        </is>
      </c>
      <c r="AS560" s="53" t="inlineStr">
        <is>
          <t>Non-technical</t>
        </is>
      </c>
      <c r="AT560" s="53" t="n">
        <v>20</v>
      </c>
      <c r="AU560" s="53" t="inlineStr">
        <is>
          <t>Covered</t>
        </is>
      </c>
      <c r="AV560" s="53" t="n"/>
      <c r="AW560" s="53" t="n"/>
      <c r="AX560" s="53" t="n"/>
      <c r="AY560" s="53" t="n"/>
      <c r="AZ560" s="53" t="n"/>
      <c r="BA560" s="53" t="n"/>
      <c r="BB560" s="53" t="n"/>
      <c r="BC560" s="53" t="n"/>
      <c r="BD560" s="53" t="n"/>
      <c r="BE560" s="53" t="n"/>
      <c r="BF560" s="53" t="n"/>
      <c r="BG560" s="53" t="n"/>
      <c r="BH560" s="53" t="n"/>
      <c r="BI560" s="53" t="n"/>
      <c r="BJ560" s="53" t="n"/>
      <c r="BK560" s="53" t="n"/>
      <c r="BL560" s="53" t="n"/>
      <c r="BM560" s="53" t="n"/>
      <c r="BN560" s="53" t="n"/>
      <c r="BO560" s="53" t="n"/>
      <c r="BP560" s="53" t="n"/>
      <c r="BQ560" s="53" t="n"/>
      <c r="BR560" s="53" t="n"/>
      <c r="BS560" s="53" t="n"/>
      <c r="BT560" s="53" t="n"/>
      <c r="BU560" s="53" t="n"/>
      <c r="BV560" s="53" t="n"/>
      <c r="BW560" s="53" t="n"/>
      <c r="BX560" s="53" t="n"/>
      <c r="BY560" s="53" t="n"/>
      <c r="BZ560" s="53" t="n"/>
      <c r="CA560" s="53" t="n"/>
      <c r="CB560" s="53" t="n"/>
      <c r="CC560" s="53" t="n"/>
      <c r="CD560" s="53" t="n"/>
      <c r="CE560" s="53" t="n"/>
      <c r="CF560" s="53" t="n"/>
      <c r="CG560" s="53" t="n"/>
      <c r="CH560" s="53" t="n"/>
      <c r="CI560" s="53" t="n"/>
      <c r="CJ560" s="53" t="n"/>
      <c r="CK560" s="53" t="n"/>
      <c r="CL560" s="53" t="n"/>
      <c r="CM560" s="53" t="n"/>
      <c r="CN560" s="53" t="n"/>
      <c r="CO560" s="53" t="n"/>
      <c r="CP560" s="53" t="n"/>
      <c r="CQ560" s="53" t="n"/>
      <c r="CR560" s="53" t="n"/>
      <c r="CS560" s="53" t="n"/>
      <c r="CT560" s="53" t="n"/>
      <c r="CU560" s="53" t="n"/>
      <c r="CV560" s="53" t="n"/>
      <c r="CW560" s="53" t="n"/>
      <c r="CX560" s="53" t="n"/>
      <c r="CY560" s="53" t="n"/>
      <c r="CZ560" s="53" t="n"/>
      <c r="DA560" s="53" t="n"/>
      <c r="DB560" s="53" t="n"/>
      <c r="DC560" s="53" t="n"/>
      <c r="DD560" s="53" t="n"/>
      <c r="DE560" s="53" t="n"/>
      <c r="DF560" s="53" t="n"/>
      <c r="DG560" s="53" t="n"/>
      <c r="DH560" s="53" t="n"/>
      <c r="DI560" s="53" t="n"/>
      <c r="DJ560" s="53" t="n"/>
      <c r="DK560" s="53" t="n"/>
      <c r="DL560" s="53" t="n"/>
      <c r="DM560" s="53" t="n"/>
      <c r="DN560" s="53" t="n"/>
      <c r="DO560" s="53" t="n"/>
      <c r="DP560" s="53" t="n"/>
      <c r="DQ560" s="53" t="n"/>
      <c r="DR560" s="53" t="n"/>
      <c r="DS560" s="53" t="n"/>
      <c r="DT560" s="53" t="n"/>
      <c r="DU560" s="53" t="n"/>
      <c r="DV560" s="53" t="n"/>
      <c r="DW560" s="53" t="n"/>
      <c r="DX560" s="53" t="n"/>
      <c r="DY560" s="53" t="n"/>
      <c r="DZ560" s="53" t="n"/>
      <c r="EA560" s="53" t="n"/>
      <c r="EB560" s="53" t="n"/>
      <c r="EC560" s="53" t="n"/>
      <c r="ED560" s="53" t="n"/>
      <c r="EE560" s="53" t="n"/>
      <c r="EF560" s="53" t="n"/>
      <c r="EG560" s="53" t="n"/>
      <c r="EH560" s="53" t="n"/>
      <c r="EI560" s="53" t="n"/>
      <c r="EJ560" s="53" t="n"/>
      <c r="EK560" s="53" t="n"/>
      <c r="EL560" s="53" t="n"/>
      <c r="EM560" s="53" t="n"/>
      <c r="EN560" s="53" t="n"/>
      <c r="EO560" s="53" t="n"/>
      <c r="EP560" s="53" t="n"/>
      <c r="EQ560" s="53" t="n"/>
      <c r="ER560" s="53" t="n"/>
      <c r="ES560" s="53" t="n"/>
      <c r="ET560" s="53" t="n"/>
      <c r="EU560" s="53" t="n"/>
      <c r="EV560" s="53" t="n"/>
      <c r="EW560" s="52" t="n"/>
      <c r="EX560" s="53" t="n"/>
      <c r="EY560" s="53" t="n"/>
      <c r="EZ560" s="53" t="n"/>
      <c r="FA560" s="53" t="n"/>
      <c r="FB560" s="53" t="n"/>
      <c r="FC560" s="53" t="n"/>
      <c r="FD560" s="53" t="n"/>
      <c r="FE560" s="55" t="inlineStr">
        <is>
          <t>KRAs not received · manager to supply</t>
        </is>
      </c>
      <c r="FF560" s="56" t="n"/>
      <c r="FG560" s="56" t="n"/>
      <c r="FH560" s="56" t="n"/>
      <c r="FI560" s="56" t="n"/>
      <c r="FJ560" s="32" t="inlineStr">
        <is>
          <t>KRAs not received · manager to supply</t>
        </is>
      </c>
      <c r="FK560" s="56" t="n"/>
      <c r="FL560" s="56" t="n">
        <v>20</v>
      </c>
      <c r="FM560" s="32" t="inlineStr">
        <is>
          <t>Full survey answers not in the files received · How We Grow export needed · HR</t>
        </is>
      </c>
      <c r="FN560" s="56" t="inlineStr">
        <is>
          <t>—</t>
        </is>
      </c>
      <c r="FO560" s="56" t="inlineStr">
        <is>
          <t>—</t>
        </is>
      </c>
      <c r="FP560" s="56" t="inlineStr">
        <is>
          <t>—</t>
        </is>
      </c>
      <c r="FQ560" s="56" t="inlineStr">
        <is>
          <t>—</t>
        </is>
      </c>
      <c r="FR560" s="56" t="inlineStr">
        <is>
          <t>Complexity: Evidence reads like A3: Administers Linux servers, PostgreSQL and Oracle databases and AWS, including backup, tuning, security → matches the start
Autonomy: Evidence reads like A3: Independently handles routine changes, incident resolution, performance tuning, backup recovery and security remediation → matches the start
Accountability: Evidence reads like A3: Availability, backup, disaster recovery and security of Linux, database and AWS systems → matches the start
Leadership: Evidence reads like A1: No guiding or leading of others described → moved down 0.5
Business Impact: No survey or manager-mapping signal on criticality: kept at the start point.</t>
        </is>
      </c>
      <c r="FS560" s="56" t="inlineStr">
        <is>
          <t>Common themes in sub-family holders, all levels' answers: support · infra · services · secure · availability · windows
Common themes in sub-family holders, all levels' answers: management · server · cloud · administration · dns · incident
Common themes in sub-family holders, all levels' answers: secure · system · infrastructure · server · support · availability
Common themes in sub-family holders, all levels' answers: availability · security · accountable · am · performance · infrastructure
Common themes in sub-family holders, all levels' answers: backup · tuning · incident · failed · performance · optimize
If the work is missed · role-holders' themes: business · data · loss · downtime.</t>
        </is>
      </c>
      <c r="FT560" s="56" t="inlineStr">
        <is>
          <t>Self-identified: Leadership &amp; people management · Technical depth &amp; architecture · Domain, regulatory &amp; XBRL · Strategy &amp; business acumen
For the next role: Leadership &amp; people management · Technical depth &amp; architecture · Domain, regulatory &amp; XBRL · Strategy &amp; business acumen</t>
        </is>
      </c>
      <c r="FU560" s="32" t="inlineStr">
        <is>
          <t>Full survey answers not in the files received · How We Grow export needed · HR</t>
        </is>
      </c>
    </row>
    <row r="561" ht="90" customHeight="1">
      <c r="A561" s="51" t="inlineStr">
        <is>
          <t>◂ Back</t>
        </is>
      </c>
      <c r="B561" s="29" t="inlineStr">
        <is>
          <t>Mapped</t>
        </is>
      </c>
      <c r="C561" s="28" t="inlineStr">
        <is>
          <t>Corporate</t>
        </is>
      </c>
      <c r="D561" s="29" t="inlineStr">
        <is>
          <t>IRIS0909</t>
        </is>
      </c>
      <c r="E561" s="29" t="inlineStr">
        <is>
          <t>Ramesh Kone</t>
        </is>
      </c>
      <c r="F561" s="29" t="inlineStr">
        <is>
          <t>IT &amp; Infrastructure</t>
        </is>
      </c>
      <c r="G561" s="29" t="inlineStr">
        <is>
          <t>System Administrator</t>
        </is>
      </c>
      <c r="H561" s="29" t="inlineStr">
        <is>
          <t>Infrastructure Specialist – POD Lead</t>
        </is>
      </c>
      <c r="I561" s="29" t="inlineStr">
        <is>
          <t>Not in current mapping files</t>
        </is>
      </c>
      <c r="J561" s="29" t="inlineStr">
        <is>
          <t>B1</t>
        </is>
      </c>
      <c r="K561" s="29" t="inlineStr">
        <is>
          <t>● Newly mapped</t>
        </is>
      </c>
      <c r="L561" s="29" t="inlineStr">
        <is>
          <t>IT &amp; Infrastructure</t>
        </is>
      </c>
      <c r="M561" s="29" t="inlineStr">
        <is>
          <t>Infrastructure &amp; Cloud Operations</t>
        </is>
      </c>
      <c r="N561" s="29" t="n"/>
      <c r="O561" s="29" t="n">
        <v>20</v>
      </c>
      <c r="P561" s="28" t="inlineStr">
        <is>
          <t>P3 / M2</t>
        </is>
      </c>
      <c r="Q561" s="29" t="inlineStr">
        <is>
          <t>Career / · Team Lead</t>
        </is>
      </c>
      <c r="R561" s="29" t="inlineStr">
        <is>
          <t>4 Enable</t>
        </is>
      </c>
      <c r="S561" s="29" t="inlineStr">
        <is>
          <t>4–7 yrs</t>
        </is>
      </c>
      <c r="T561" s="29" t="inlineStr">
        <is>
          <t>5–8 · 4–8</t>
        </is>
      </c>
      <c r="U561" s="29" t="inlineStr">
        <is>
          <t>Senior System Administrator</t>
        </is>
      </c>
      <c r="V561" s="29" t="inlineStr">
        <is>
          <t>Atlassian company-wide P-levels: P40 · IRIS Vs Competitor Benchmark — infrastructure ladder: Senior SysAdmin</t>
        </is>
      </c>
      <c r="W561" s="29" t="inlineStr">
        <is>
          <t>ITIL 4; ISO/IEC 27001:2022; SFIA infrastructure</t>
        </is>
      </c>
      <c r="X561" s="29" t="inlineStr">
        <is>
          <t>Core 3 · Future 3 · Functional 3 · Leadership 2</t>
        </is>
      </c>
      <c r="Y561" s="52" t="n">
        <v>98</v>
      </c>
      <c r="Z561" s="53" t="inlineStr">
        <is>
          <t>IRIS0909</t>
        </is>
      </c>
      <c r="AA561" s="53" t="inlineStr">
        <is>
          <t>Employee</t>
        </is>
      </c>
      <c r="AB561" s="53" t="inlineStr">
        <is>
          <t>Active</t>
        </is>
      </c>
      <c r="AC561" s="53" t="inlineStr">
        <is>
          <t>Ramesh Kone</t>
        </is>
      </c>
      <c r="AD561" s="54" t="n">
        <v>40798</v>
      </c>
      <c r="AE561" s="53" t="inlineStr">
        <is>
          <t>System Administrator</t>
        </is>
      </c>
      <c r="AF561" s="53" t="inlineStr">
        <is>
          <t>B.Com</t>
        </is>
      </c>
      <c r="AG561" s="53" t="inlineStr">
        <is>
          <t>Mahesh Tilave</t>
        </is>
      </c>
      <c r="AH561" s="53" t="inlineStr">
        <is>
          <t>N-2</t>
        </is>
      </c>
      <c r="AI561" s="53" t="inlineStr">
        <is>
          <t>Manager</t>
        </is>
      </c>
      <c r="AJ561" s="53" t="inlineStr">
        <is>
          <t>4 years, 1 months, 0 days</t>
        </is>
      </c>
      <c r="AK561" s="53" t="inlineStr">
        <is>
          <t>14 years, 11 months, 13 days</t>
        </is>
      </c>
      <c r="AL561" s="53" t="inlineStr">
        <is>
          <t>Corporate</t>
        </is>
      </c>
      <c r="AM561" s="53" t="inlineStr">
        <is>
          <t>Corporate</t>
        </is>
      </c>
      <c r="AN561" s="53" t="inlineStr">
        <is>
          <t>IT &amp; Infrastructure</t>
        </is>
      </c>
      <c r="AO561" s="53" t="inlineStr">
        <is>
          <t>Infra</t>
        </is>
      </c>
      <c r="AP561" s="53" t="inlineStr">
        <is>
          <t>No</t>
        </is>
      </c>
      <c r="AQ561" s="53" t="inlineStr">
        <is>
          <t>General &amp; Admin</t>
        </is>
      </c>
      <c r="AR561" s="53" t="inlineStr">
        <is>
          <t>Infra</t>
        </is>
      </c>
      <c r="AS561" s="53" t="inlineStr">
        <is>
          <t>Non-technical</t>
        </is>
      </c>
      <c r="AT561" s="53" t="n">
        <v>20</v>
      </c>
      <c r="AU561" s="53" t="inlineStr">
        <is>
          <t>Covered</t>
        </is>
      </c>
      <c r="AV561" s="53" t="n"/>
      <c r="AW561" s="53" t="n"/>
      <c r="AX561" s="53" t="n"/>
      <c r="AY561" s="53" t="n"/>
      <c r="AZ561" s="53" t="n"/>
      <c r="BA561" s="53" t="n"/>
      <c r="BB561" s="53" t="n"/>
      <c r="BC561" s="53" t="n"/>
      <c r="BD561" s="53" t="n"/>
      <c r="BE561" s="53" t="n"/>
      <c r="BF561" s="53" t="n"/>
      <c r="BG561" s="53" t="n"/>
      <c r="BH561" s="53" t="n"/>
      <c r="BI561" s="53" t="n"/>
      <c r="BJ561" s="53" t="n"/>
      <c r="BK561" s="53" t="n"/>
      <c r="BL561" s="53" t="n"/>
      <c r="BM561" s="53" t="n"/>
      <c r="BN561" s="53" t="n"/>
      <c r="BO561" s="53" t="n"/>
      <c r="BP561" s="53" t="n"/>
      <c r="BQ561" s="53" t="n"/>
      <c r="BR561" s="53" t="n"/>
      <c r="BS561" s="53" t="n"/>
      <c r="BT561" s="53" t="n"/>
      <c r="BU561" s="53" t="n"/>
      <c r="BV561" s="53" t="n"/>
      <c r="BW561" s="53" t="n"/>
      <c r="BX561" s="53" t="n"/>
      <c r="BY561" s="53" t="n"/>
      <c r="BZ561" s="53" t="n"/>
      <c r="CA561" s="53" t="n"/>
      <c r="CB561" s="53" t="n"/>
      <c r="CC561" s="53" t="n"/>
      <c r="CD561" s="53" t="n"/>
      <c r="CE561" s="53" t="n"/>
      <c r="CF561" s="53" t="n"/>
      <c r="CG561" s="53" t="n"/>
      <c r="CH561" s="53" t="n"/>
      <c r="CI561" s="53" t="n"/>
      <c r="CJ561" s="53" t="n"/>
      <c r="CK561" s="53" t="n"/>
      <c r="CL561" s="53" t="n"/>
      <c r="CM561" s="53" t="n"/>
      <c r="CN561" s="53" t="n"/>
      <c r="CO561" s="53" t="n"/>
      <c r="CP561" s="53" t="n"/>
      <c r="CQ561" s="53" t="n"/>
      <c r="CR561" s="53" t="n"/>
      <c r="CS561" s="53" t="n"/>
      <c r="CT561" s="53" t="n"/>
      <c r="CU561" s="53" t="n"/>
      <c r="CV561" s="53" t="n"/>
      <c r="CW561" s="53" t="n"/>
      <c r="CX561" s="53" t="n"/>
      <c r="CY561" s="53" t="n"/>
      <c r="CZ561" s="53" t="n"/>
      <c r="DA561" s="53" t="n"/>
      <c r="DB561" s="53" t="n"/>
      <c r="DC561" s="53" t="n"/>
      <c r="DD561" s="53" t="n"/>
      <c r="DE561" s="53" t="n"/>
      <c r="DF561" s="53" t="n"/>
      <c r="DG561" s="53" t="n"/>
      <c r="DH561" s="53" t="n"/>
      <c r="DI561" s="53" t="n"/>
      <c r="DJ561" s="53" t="n"/>
      <c r="DK561" s="53" t="n"/>
      <c r="DL561" s="53" t="n"/>
      <c r="DM561" s="53" t="n"/>
      <c r="DN561" s="53" t="n"/>
      <c r="DO561" s="53" t="n"/>
      <c r="DP561" s="53" t="n"/>
      <c r="DQ561" s="53" t="n"/>
      <c r="DR561" s="53" t="n"/>
      <c r="DS561" s="53" t="n"/>
      <c r="DT561" s="53" t="n"/>
      <c r="DU561" s="53" t="n"/>
      <c r="DV561" s="53" t="n"/>
      <c r="DW561" s="53" t="n"/>
      <c r="DX561" s="53" t="n"/>
      <c r="DY561" s="53" t="n"/>
      <c r="DZ561" s="53" t="n"/>
      <c r="EA561" s="53" t="n"/>
      <c r="EB561" s="53" t="n"/>
      <c r="EC561" s="53" t="n"/>
      <c r="ED561" s="53" t="n"/>
      <c r="EE561" s="53" t="n"/>
      <c r="EF561" s="53" t="n"/>
      <c r="EG561" s="53" t="n"/>
      <c r="EH561" s="53" t="n"/>
      <c r="EI561" s="53" t="n"/>
      <c r="EJ561" s="53" t="n"/>
      <c r="EK561" s="53" t="n"/>
      <c r="EL561" s="53" t="n"/>
      <c r="EM561" s="53" t="n"/>
      <c r="EN561" s="53" t="n"/>
      <c r="EO561" s="53" t="n"/>
      <c r="EP561" s="53" t="n"/>
      <c r="EQ561" s="53" t="n"/>
      <c r="ER561" s="53" t="n"/>
      <c r="ES561" s="53" t="n"/>
      <c r="ET561" s="53" t="n"/>
      <c r="EU561" s="53" t="n"/>
      <c r="EV561" s="53" t="n"/>
      <c r="EW561" s="52" t="n"/>
      <c r="EX561" s="53" t="n"/>
      <c r="EY561" s="53" t="n"/>
      <c r="EZ561" s="53" t="n"/>
      <c r="FA561" s="53" t="n"/>
      <c r="FB561" s="53" t="n"/>
      <c r="FC561" s="53" t="n"/>
      <c r="FD561" s="53" t="n"/>
      <c r="FE561" s="55" t="inlineStr">
        <is>
          <t>KRAs not received · manager to supply</t>
        </is>
      </c>
      <c r="FF561" s="56" t="n"/>
      <c r="FG561" s="56" t="n"/>
      <c r="FH561" s="56" t="n"/>
      <c r="FI561" s="56" t="n"/>
      <c r="FJ561" s="32" t="inlineStr">
        <is>
          <t>KRAs not received · manager to supply</t>
        </is>
      </c>
      <c r="FK561" s="56" t="n"/>
      <c r="FL561" s="56" t="n">
        <v>20</v>
      </c>
      <c r="FM561" s="32" t="inlineStr">
        <is>
          <t>Full survey answers not in the files received · How We Grow export needed · HR</t>
        </is>
      </c>
      <c r="FN561" s="56" t="inlineStr">
        <is>
          <t>—</t>
        </is>
      </c>
      <c r="FO561" s="56" t="inlineStr">
        <is>
          <t>—</t>
        </is>
      </c>
      <c r="FP561" s="56" t="inlineStr">
        <is>
          <t>—</t>
        </is>
      </c>
      <c r="FQ561" s="56" t="inlineStr">
        <is>
          <t>—</t>
        </is>
      </c>
      <c r="FR561" s="56" t="inlineStr">
        <is>
          <t>Complexity: Evidence reads like A3: Runs Sophos console, Windows patching, Exchange licences, asset inventory, procurement, vendor reports, IT budgeting → matches the start
Autonomy: Evidence reads like A3: Quarantines detections, tunes exclusions, reassigns licences, sets report format and timing within policy → matches the start
Accountability: Evidence reads like A3: Sophos alert handling, exit ID deactivation, licence renewals and asset register accuracy; audited → moved down 0.5
Leadership: Evidence reads like A2: One direct report in HR data; no guiding or leading described → moved down 0.5
Business Impact: No survey or manager-mapping signal on criticality: kept at the start point.</t>
        </is>
      </c>
      <c r="FS561" s="56" t="inlineStr">
        <is>
          <t>Common themes in sub-family holders, all levels' answers: support · infra · services · secure · availability · windows
Common themes in sub-family holders, all levels' answers: management · server · cloud · administration · dns · incident
Common themes in sub-family holders, all levels' answers: secure · system · infrastructure · server · support · availability
Common themes in sub-family holders, all levels' answers: availability · security · accountable · am · performance · infrastructure
Common themes in sub-family holders, all levels' answers: backup · tuning · incident · failed · performance · optimize
If the work is missed · role-holders' themes: business · data · loss · downtime.</t>
        </is>
      </c>
      <c r="FT561" s="56" t="inlineStr">
        <is>
          <t>Self-identified: Technical depth &amp; architecture
For the next role: Technical depth &amp; architecture</t>
        </is>
      </c>
      <c r="FU561" s="32" t="inlineStr">
        <is>
          <t>Full survey answers not in the files received · How We Grow export needed · HR</t>
        </is>
      </c>
    </row>
    <row r="562" ht="90" customHeight="1">
      <c r="A562" s="51" t="inlineStr">
        <is>
          <t>◂ Back</t>
        </is>
      </c>
      <c r="B562" s="29" t="inlineStr">
        <is>
          <t>Mapped</t>
        </is>
      </c>
      <c r="C562" s="28" t="inlineStr">
        <is>
          <t>Corporate</t>
        </is>
      </c>
      <c r="D562" s="29" t="inlineStr">
        <is>
          <t>IRIS2098</t>
        </is>
      </c>
      <c r="E562" s="29" t="inlineStr">
        <is>
          <t>Sagar Jamadar</t>
        </is>
      </c>
      <c r="F562" s="29" t="inlineStr">
        <is>
          <t>IT &amp; Infrastructure</t>
        </is>
      </c>
      <c r="G562" s="29" t="inlineStr">
        <is>
          <t>Desktop Support Engineer</t>
        </is>
      </c>
      <c r="H562" s="29" t="inlineStr">
        <is>
          <t>Senior Desktop Support Engineer</t>
        </is>
      </c>
      <c r="I562" s="29" t="inlineStr">
        <is>
          <t>Not in current mapping files</t>
        </is>
      </c>
      <c r="J562" s="29" t="inlineStr">
        <is>
          <t>A3</t>
        </is>
      </c>
      <c r="K562" s="29" t="inlineStr">
        <is>
          <t>● Newly mapped</t>
        </is>
      </c>
      <c r="L562" s="29" t="inlineStr">
        <is>
          <t>IT &amp; Infrastructure</t>
        </is>
      </c>
      <c r="M562" s="29" t="inlineStr">
        <is>
          <t>End-User Support</t>
        </is>
      </c>
      <c r="N562" s="29" t="n"/>
      <c r="O562" s="29" t="n">
        <v>20</v>
      </c>
      <c r="P562" s="28" t="inlineStr">
        <is>
          <t>P2</t>
        </is>
      </c>
      <c r="Q562" s="29" t="inlineStr">
        <is>
          <t>Developing</t>
        </is>
      </c>
      <c r="R562" s="29" t="inlineStr">
        <is>
          <t>3 Apply</t>
        </is>
      </c>
      <c r="S562" s="29" t="inlineStr">
        <is>
          <t>2–4 yrs</t>
        </is>
      </c>
      <c r="T562" s="29" t="inlineStr">
        <is>
          <t>3–5 · 2–5</t>
        </is>
      </c>
      <c r="U562" s="29" t="inlineStr">
        <is>
          <t>System Administrator</t>
        </is>
      </c>
      <c r="V562" s="29" t="inlineStr">
        <is>
          <t>Atlassian company-wide P-levels: P40 · IRIS Vs Competitor Benchmark — infrastructure ladder: System Administrator</t>
        </is>
      </c>
      <c r="W562" s="29" t="inlineStr">
        <is>
          <t>ITIL 4; ISO/IEC 27001:2022; SFIA infrastructure</t>
        </is>
      </c>
      <c r="X562" s="29" t="inlineStr">
        <is>
          <t>Core 2 · Future 2 · Functional 3 · Leadership not scored</t>
        </is>
      </c>
      <c r="Y562" s="52" t="n">
        <v>261</v>
      </c>
      <c r="Z562" s="53" t="inlineStr">
        <is>
          <t>IRIS2098</t>
        </is>
      </c>
      <c r="AA562" s="53" t="inlineStr">
        <is>
          <t>Employee</t>
        </is>
      </c>
      <c r="AB562" s="53" t="inlineStr">
        <is>
          <t>Active</t>
        </is>
      </c>
      <c r="AC562" s="53" t="inlineStr">
        <is>
          <t>Sagar Jamadar</t>
        </is>
      </c>
      <c r="AD562" s="54" t="n">
        <v>44970</v>
      </c>
      <c r="AE562" s="53" t="inlineStr">
        <is>
          <t>Desktop Support Engineer</t>
        </is>
      </c>
      <c r="AF562" s="53" t="inlineStr">
        <is>
          <t>Undergraduate</t>
        </is>
      </c>
      <c r="AG562" s="53" t="inlineStr">
        <is>
          <t>Ramesh Kone</t>
        </is>
      </c>
      <c r="AH562" s="53" t="inlineStr">
        <is>
          <t>N-3</t>
        </is>
      </c>
      <c r="AI562" s="53" t="inlineStr">
        <is>
          <t>Individual Contributor</t>
        </is>
      </c>
      <c r="AJ562" s="53" t="inlineStr">
        <is>
          <t>5 years, 0 months, 0 days</t>
        </is>
      </c>
      <c r="AK562" s="53" t="inlineStr">
        <is>
          <t>3 years, 6 months, 12 days</t>
        </is>
      </c>
      <c r="AL562" s="53" t="inlineStr">
        <is>
          <t>Corporate</t>
        </is>
      </c>
      <c r="AM562" s="53" t="inlineStr">
        <is>
          <t>Corporate</t>
        </is>
      </c>
      <c r="AN562" s="53" t="inlineStr">
        <is>
          <t>IT &amp; Infrastructure</t>
        </is>
      </c>
      <c r="AO562" s="53" t="inlineStr">
        <is>
          <t>Infra</t>
        </is>
      </c>
      <c r="AP562" s="53" t="inlineStr">
        <is>
          <t>No</t>
        </is>
      </c>
      <c r="AQ562" s="53" t="inlineStr">
        <is>
          <t>General &amp; Admin</t>
        </is>
      </c>
      <c r="AR562" s="53" t="inlineStr">
        <is>
          <t>Infra</t>
        </is>
      </c>
      <c r="AS562" s="53" t="inlineStr">
        <is>
          <t>Non-technical</t>
        </is>
      </c>
      <c r="AT562" s="53" t="n">
        <v>20</v>
      </c>
      <c r="AU562" s="53" t="inlineStr">
        <is>
          <t>Covered</t>
        </is>
      </c>
      <c r="AV562" s="53" t="n"/>
      <c r="AW562" s="53" t="n"/>
      <c r="AX562" s="53" t="n"/>
      <c r="AY562" s="53" t="n"/>
      <c r="AZ562" s="53" t="n"/>
      <c r="BA562" s="53" t="n"/>
      <c r="BB562" s="53" t="n"/>
      <c r="BC562" s="53" t="n"/>
      <c r="BD562" s="53" t="n"/>
      <c r="BE562" s="53" t="n"/>
      <c r="BF562" s="53" t="n"/>
      <c r="BG562" s="53" t="n"/>
      <c r="BH562" s="53" t="n"/>
      <c r="BI562" s="53" t="n"/>
      <c r="BJ562" s="53" t="n"/>
      <c r="BK562" s="53" t="n"/>
      <c r="BL562" s="53" t="n"/>
      <c r="BM562" s="53" t="n"/>
      <c r="BN562" s="53" t="n"/>
      <c r="BO562" s="53" t="n"/>
      <c r="BP562" s="53" t="n"/>
      <c r="BQ562" s="53" t="n"/>
      <c r="BR562" s="53" t="n"/>
      <c r="BS562" s="53" t="n"/>
      <c r="BT562" s="53" t="n"/>
      <c r="BU562" s="53" t="n"/>
      <c r="BV562" s="53" t="n"/>
      <c r="BW562" s="53" t="n"/>
      <c r="BX562" s="53" t="n"/>
      <c r="BY562" s="53" t="n"/>
      <c r="BZ562" s="53" t="n"/>
      <c r="CA562" s="53" t="n"/>
      <c r="CB562" s="53" t="n"/>
      <c r="CC562" s="53" t="n"/>
      <c r="CD562" s="53" t="n"/>
      <c r="CE562" s="53" t="n"/>
      <c r="CF562" s="53" t="n"/>
      <c r="CG562" s="53" t="n"/>
      <c r="CH562" s="53" t="n"/>
      <c r="CI562" s="53" t="n"/>
      <c r="CJ562" s="53" t="n"/>
      <c r="CK562" s="53" t="n"/>
      <c r="CL562" s="53" t="n"/>
      <c r="CM562" s="53" t="n"/>
      <c r="CN562" s="53" t="n"/>
      <c r="CO562" s="53" t="n"/>
      <c r="CP562" s="53" t="n"/>
      <c r="CQ562" s="53" t="n"/>
      <c r="CR562" s="53" t="n"/>
      <c r="CS562" s="53" t="n"/>
      <c r="CT562" s="53" t="n"/>
      <c r="CU562" s="53" t="n"/>
      <c r="CV562" s="53" t="n"/>
      <c r="CW562" s="53" t="n"/>
      <c r="CX562" s="53" t="n"/>
      <c r="CY562" s="53" t="n"/>
      <c r="CZ562" s="53" t="n"/>
      <c r="DA562" s="53" t="n"/>
      <c r="DB562" s="53" t="n"/>
      <c r="DC562" s="53" t="n"/>
      <c r="DD562" s="53" t="n"/>
      <c r="DE562" s="53" t="n"/>
      <c r="DF562" s="53" t="n"/>
      <c r="DG562" s="53" t="n"/>
      <c r="DH562" s="53" t="n"/>
      <c r="DI562" s="53" t="n"/>
      <c r="DJ562" s="53" t="n"/>
      <c r="DK562" s="53" t="n"/>
      <c r="DL562" s="53" t="n"/>
      <c r="DM562" s="53" t="n"/>
      <c r="DN562" s="53" t="n"/>
      <c r="DO562" s="53" t="n"/>
      <c r="DP562" s="53" t="n"/>
      <c r="DQ562" s="53" t="n"/>
      <c r="DR562" s="53" t="n"/>
      <c r="DS562" s="53" t="n"/>
      <c r="DT562" s="53" t="n"/>
      <c r="DU562" s="53" t="n"/>
      <c r="DV562" s="53" t="n"/>
      <c r="DW562" s="53" t="n"/>
      <c r="DX562" s="53" t="n"/>
      <c r="DY562" s="53" t="n"/>
      <c r="DZ562" s="53" t="n"/>
      <c r="EA562" s="53" t="n"/>
      <c r="EB562" s="53" t="n"/>
      <c r="EC562" s="53" t="n"/>
      <c r="ED562" s="53" t="n"/>
      <c r="EE562" s="53" t="n"/>
      <c r="EF562" s="53" t="n"/>
      <c r="EG562" s="53" t="n"/>
      <c r="EH562" s="53" t="n"/>
      <c r="EI562" s="53" t="n"/>
      <c r="EJ562" s="53" t="n"/>
      <c r="EK562" s="53" t="n"/>
      <c r="EL562" s="53" t="n"/>
      <c r="EM562" s="53" t="n"/>
      <c r="EN562" s="53" t="n"/>
      <c r="EO562" s="53" t="n"/>
      <c r="EP562" s="53" t="n"/>
      <c r="EQ562" s="53" t="n"/>
      <c r="ER562" s="53" t="n"/>
      <c r="ES562" s="53" t="n"/>
      <c r="ET562" s="53" t="n"/>
      <c r="EU562" s="53" t="n"/>
      <c r="EV562" s="53" t="n"/>
      <c r="EW562" s="52" t="n"/>
      <c r="EX562" s="53" t="n"/>
      <c r="EY562" s="53" t="n"/>
      <c r="EZ562" s="53" t="n"/>
      <c r="FA562" s="53" t="n"/>
      <c r="FB562" s="53" t="n"/>
      <c r="FC562" s="53" t="n"/>
      <c r="FD562" s="53" t="n"/>
      <c r="FE562" s="55" t="inlineStr">
        <is>
          <t>KRAs not received · manager to supply</t>
        </is>
      </c>
      <c r="FF562" s="56" t="n"/>
      <c r="FG562" s="56" t="n"/>
      <c r="FH562" s="56" t="n"/>
      <c r="FI562" s="56" t="n"/>
      <c r="FJ562" s="32" t="inlineStr">
        <is>
          <t>KRAs not received · manager to supply</t>
        </is>
      </c>
      <c r="FK562" s="56" t="n"/>
      <c r="FL562" s="56" t="n">
        <v>20</v>
      </c>
      <c r="FM562" s="32" t="inlineStr">
        <is>
          <t>Full survey answers not in the files received · How We Grow export needed · HR</t>
        </is>
      </c>
      <c r="FN562" s="56" t="inlineStr">
        <is>
          <t>—</t>
        </is>
      </c>
      <c r="FO562" s="56" t="inlineStr">
        <is>
          <t>—</t>
        </is>
      </c>
      <c r="FP562" s="56" t="inlineStr">
        <is>
          <t>—</t>
        </is>
      </c>
      <c r="FQ562" s="56" t="inlineStr">
        <is>
          <t>—</t>
        </is>
      </c>
      <c r="FR562" s="56" t="inlineStr">
        <is>
          <t>Complexity: Evidence reads like A2: Troubleshoots routine Windows, Outlook, network and hardware issues; resolves user tickets; manages user accounts → matches the start
Autonomy: Evidence reads like A2: Independently resolves routine IT issues; follows defined processes and escalates the rest → matches the start
Accountability: Evidence reads like A2: Own tickets: resolution within SLA, accurate ticket documentation, timely escalation → matches the start
Leadership: Evidence reads like A1: No guiding or leading of others described → matches the start
Business Impact: No survey or manager-mapping signal on criticality: kept at the start point.</t>
        </is>
      </c>
      <c r="FS562" s="56" t="n"/>
      <c r="FT562" s="56" t="inlineStr">
        <is>
          <t>Self-identified: AI / automation · Technical depth &amp; architecture · Broader exposure &amp; ownership
For the next role: AI / automation · Technical depth &amp; architecture · Product &amp; tool knowledge · Broader exposure &amp; ownership</t>
        </is>
      </c>
      <c r="FU562" s="32" t="inlineStr">
        <is>
          <t>Full survey answers not in the files received · How We Grow export needed · HR</t>
        </is>
      </c>
    </row>
    <row r="563" ht="90" customHeight="1">
      <c r="A563" s="51" t="inlineStr">
        <is>
          <t>◂ Back</t>
        </is>
      </c>
      <c r="B563" s="29" t="inlineStr">
        <is>
          <t>Mapped</t>
        </is>
      </c>
      <c r="C563" s="28" t="inlineStr">
        <is>
          <t>Corporate</t>
        </is>
      </c>
      <c r="D563" s="29" t="inlineStr">
        <is>
          <t>IRIS0038</t>
        </is>
      </c>
      <c r="E563" s="29" t="inlineStr">
        <is>
          <t>Vikas Mithbawkar</t>
        </is>
      </c>
      <c r="F563" s="29" t="inlineStr">
        <is>
          <t>IT &amp; Infrastructure</t>
        </is>
      </c>
      <c r="G563" s="29" t="inlineStr">
        <is>
          <t>Senior System Administrator</t>
        </is>
      </c>
      <c r="H563" s="29" t="inlineStr">
        <is>
          <t>IT Infrastructure Manager</t>
        </is>
      </c>
      <c r="I563" s="29" t="inlineStr">
        <is>
          <t>Not in current mapping files</t>
        </is>
      </c>
      <c r="J563" s="29" t="inlineStr">
        <is>
          <t>B1</t>
        </is>
      </c>
      <c r="K563" s="29" t="inlineStr">
        <is>
          <t>● Newly mapped</t>
        </is>
      </c>
      <c r="L563" s="29" t="inlineStr">
        <is>
          <t>IT &amp; Infrastructure</t>
        </is>
      </c>
      <c r="M563" s="29" t="inlineStr">
        <is>
          <t>Infrastructure &amp; Cloud Operations</t>
        </is>
      </c>
      <c r="N563" s="29" t="n"/>
      <c r="O563" s="29" t="n">
        <v>20</v>
      </c>
      <c r="P563" s="28" t="inlineStr">
        <is>
          <t>P3 / M2</t>
        </is>
      </c>
      <c r="Q563" s="29" t="inlineStr">
        <is>
          <t>Career / · Team Lead</t>
        </is>
      </c>
      <c r="R563" s="29" t="inlineStr">
        <is>
          <t>4 Enable</t>
        </is>
      </c>
      <c r="S563" s="29" t="inlineStr">
        <is>
          <t>4–7 yrs</t>
        </is>
      </c>
      <c r="T563" s="29" t="inlineStr">
        <is>
          <t>5–8 · 4–8</t>
        </is>
      </c>
      <c r="U563" s="29" t="inlineStr">
        <is>
          <t>Manager</t>
        </is>
      </c>
      <c r="V563" s="29" t="inlineStr">
        <is>
          <t>Atlassian company-wide P-levels: P40 · IRIS Vs Competitor Benchmark — infrastructure ladder: Senior SysAdmin</t>
        </is>
      </c>
      <c r="W563" s="29" t="inlineStr">
        <is>
          <t>ITIL 4; ISO/IEC 27001:2022; SFIA infrastructure</t>
        </is>
      </c>
      <c r="X563" s="29" t="inlineStr">
        <is>
          <t>Core 3 · Future 3 · Functional 3 · Leadership 2</t>
        </is>
      </c>
      <c r="Y563" s="52" t="n">
        <v>16</v>
      </c>
      <c r="Z563" s="53" t="inlineStr">
        <is>
          <t>IRIS0038</t>
        </is>
      </c>
      <c r="AA563" s="53" t="inlineStr">
        <is>
          <t>Employee</t>
        </is>
      </c>
      <c r="AB563" s="53" t="inlineStr">
        <is>
          <t>Active</t>
        </is>
      </c>
      <c r="AC563" s="53" t="inlineStr">
        <is>
          <t>Vikas Mithbawkar</t>
        </is>
      </c>
      <c r="AD563" s="54" t="n">
        <v>38859</v>
      </c>
      <c r="AE563" s="53" t="inlineStr">
        <is>
          <t>Senior System Administrator</t>
        </is>
      </c>
      <c r="AF563" s="53" t="inlineStr">
        <is>
          <t>B.SC</t>
        </is>
      </c>
      <c r="AG563" s="53" t="inlineStr">
        <is>
          <t>Mahesh Tilave</t>
        </is>
      </c>
      <c r="AH563" s="53" t="inlineStr">
        <is>
          <t>N-2</t>
        </is>
      </c>
      <c r="AI563" s="53" t="inlineStr">
        <is>
          <t>Manager</t>
        </is>
      </c>
      <c r="AJ563" s="53" t="inlineStr">
        <is>
          <t>2 years, 0 months, 0 days</t>
        </is>
      </c>
      <c r="AK563" s="53" t="inlineStr">
        <is>
          <t>20 years, 3 months, 3 days</t>
        </is>
      </c>
      <c r="AL563" s="53" t="inlineStr">
        <is>
          <t>Corporate</t>
        </is>
      </c>
      <c r="AM563" s="53" t="inlineStr">
        <is>
          <t>Corporate</t>
        </is>
      </c>
      <c r="AN563" s="53" t="inlineStr">
        <is>
          <t>IT &amp; Infrastructure</t>
        </is>
      </c>
      <c r="AO563" s="53" t="inlineStr">
        <is>
          <t>Infra</t>
        </is>
      </c>
      <c r="AP563" s="53" t="inlineStr">
        <is>
          <t>No</t>
        </is>
      </c>
      <c r="AQ563" s="53" t="inlineStr">
        <is>
          <t>General &amp; Admin</t>
        </is>
      </c>
      <c r="AR563" s="53" t="inlineStr">
        <is>
          <t>Infra</t>
        </is>
      </c>
      <c r="AS563" s="53" t="inlineStr">
        <is>
          <t>Non-technical</t>
        </is>
      </c>
      <c r="AT563" s="53" t="n">
        <v>20</v>
      </c>
      <c r="AU563" s="53" t="inlineStr">
        <is>
          <t>Covered</t>
        </is>
      </c>
      <c r="AV563" s="53" t="n"/>
      <c r="AW563" s="53" t="n"/>
      <c r="AX563" s="53" t="n"/>
      <c r="AY563" s="53" t="n"/>
      <c r="AZ563" s="53" t="n"/>
      <c r="BA563" s="53" t="n"/>
      <c r="BB563" s="53" t="n"/>
      <c r="BC563" s="53" t="n"/>
      <c r="BD563" s="53" t="n"/>
      <c r="BE563" s="53" t="n"/>
      <c r="BF563" s="53" t="n"/>
      <c r="BG563" s="53" t="n"/>
      <c r="BH563" s="53" t="n"/>
      <c r="BI563" s="53" t="n"/>
      <c r="BJ563" s="53" t="n"/>
      <c r="BK563" s="53" t="n"/>
      <c r="BL563" s="53" t="n"/>
      <c r="BM563" s="53" t="n"/>
      <c r="BN563" s="53" t="n"/>
      <c r="BO563" s="53" t="n"/>
      <c r="BP563" s="53" t="n"/>
      <c r="BQ563" s="53" t="n"/>
      <c r="BR563" s="53" t="n"/>
      <c r="BS563" s="53" t="n"/>
      <c r="BT563" s="53" t="n"/>
      <c r="BU563" s="53" t="n"/>
      <c r="BV563" s="53" t="n"/>
      <c r="BW563" s="53" t="n"/>
      <c r="BX563" s="53" t="n"/>
      <c r="BY563" s="53" t="n"/>
      <c r="BZ563" s="53" t="n"/>
      <c r="CA563" s="53" t="n"/>
      <c r="CB563" s="53" t="n"/>
      <c r="CC563" s="53" t="n"/>
      <c r="CD563" s="53" t="n"/>
      <c r="CE563" s="53" t="n"/>
      <c r="CF563" s="53" t="n"/>
      <c r="CG563" s="53" t="n"/>
      <c r="CH563" s="53" t="n"/>
      <c r="CI563" s="53" t="n"/>
      <c r="CJ563" s="53" t="n"/>
      <c r="CK563" s="53" t="n"/>
      <c r="CL563" s="53" t="n"/>
      <c r="CM563" s="53" t="n"/>
      <c r="CN563" s="53" t="n"/>
      <c r="CO563" s="53" t="n"/>
      <c r="CP563" s="53" t="n"/>
      <c r="CQ563" s="53" t="n"/>
      <c r="CR563" s="53" t="n"/>
      <c r="CS563" s="53" t="n"/>
      <c r="CT563" s="53" t="n"/>
      <c r="CU563" s="53" t="n"/>
      <c r="CV563" s="53" t="n"/>
      <c r="CW563" s="53" t="n"/>
      <c r="CX563" s="53" t="n"/>
      <c r="CY563" s="53" t="n"/>
      <c r="CZ563" s="53" t="n"/>
      <c r="DA563" s="53" t="n"/>
      <c r="DB563" s="53" t="n"/>
      <c r="DC563" s="53" t="n"/>
      <c r="DD563" s="53" t="n"/>
      <c r="DE563" s="53" t="n"/>
      <c r="DF563" s="53" t="n"/>
      <c r="DG563" s="53" t="n"/>
      <c r="DH563" s="53" t="n"/>
      <c r="DI563" s="53" t="n"/>
      <c r="DJ563" s="53" t="n"/>
      <c r="DK563" s="53" t="n"/>
      <c r="DL563" s="53" t="n"/>
      <c r="DM563" s="53" t="n"/>
      <c r="DN563" s="53" t="n"/>
      <c r="DO563" s="53" t="n"/>
      <c r="DP563" s="53" t="n"/>
      <c r="DQ563" s="53" t="n"/>
      <c r="DR563" s="53" t="n"/>
      <c r="DS563" s="53" t="n"/>
      <c r="DT563" s="53" t="n"/>
      <c r="DU563" s="53" t="n"/>
      <c r="DV563" s="53" t="n"/>
      <c r="DW563" s="53" t="n"/>
      <c r="DX563" s="53" t="n"/>
      <c r="DY563" s="53" t="n"/>
      <c r="DZ563" s="53" t="n"/>
      <c r="EA563" s="53" t="n"/>
      <c r="EB563" s="53" t="n"/>
      <c r="EC563" s="53" t="n"/>
      <c r="ED563" s="53" t="n"/>
      <c r="EE563" s="53" t="n"/>
      <c r="EF563" s="53" t="n"/>
      <c r="EG563" s="53" t="n"/>
      <c r="EH563" s="53" t="n"/>
      <c r="EI563" s="53" t="n"/>
      <c r="EJ563" s="53" t="n"/>
      <c r="EK563" s="53" t="n"/>
      <c r="EL563" s="53" t="n"/>
      <c r="EM563" s="53" t="n"/>
      <c r="EN563" s="53" t="n"/>
      <c r="EO563" s="53" t="n"/>
      <c r="EP563" s="53" t="n"/>
      <c r="EQ563" s="53" t="n"/>
      <c r="ER563" s="53" t="n"/>
      <c r="ES563" s="53" t="n"/>
      <c r="ET563" s="53" t="n"/>
      <c r="EU563" s="53" t="n"/>
      <c r="EV563" s="53" t="n"/>
      <c r="EW563" s="52" t="n"/>
      <c r="EX563" s="53" t="n"/>
      <c r="EY563" s="53" t="n"/>
      <c r="EZ563" s="53" t="n"/>
      <c r="FA563" s="53" t="n"/>
      <c r="FB563" s="53" t="n"/>
      <c r="FC563" s="53" t="n"/>
      <c r="FD563" s="53" t="n"/>
      <c r="FE563" s="55" t="inlineStr">
        <is>
          <t>KRAs not received · manager to supply</t>
        </is>
      </c>
      <c r="FF563" s="56" t="n"/>
      <c r="FG563" s="56" t="n"/>
      <c r="FH563" s="56" t="n"/>
      <c r="FI563" s="56" t="n"/>
      <c r="FJ563" s="32" t="inlineStr">
        <is>
          <t>KRAs not received · manager to supply</t>
        </is>
      </c>
      <c r="FK563" s="56" t="n"/>
      <c r="FL563" s="56" t="n">
        <v>20</v>
      </c>
      <c r="FM563" s="32" t="inlineStr">
        <is>
          <t>Full survey answers not in the files received · How We Grow export needed · HR</t>
        </is>
      </c>
      <c r="FN563" s="56" t="inlineStr">
        <is>
          <t>—</t>
        </is>
      </c>
      <c r="FO563" s="56" t="inlineStr">
        <is>
          <t>—</t>
        </is>
      </c>
      <c r="FP563" s="56" t="inlineStr">
        <is>
          <t>—</t>
        </is>
      </c>
      <c r="FQ563" s="56" t="inlineStr">
        <is>
          <t>—</t>
        </is>
      </c>
      <c r="FR563" s="56" t="inlineStr">
        <is>
          <t>Complexity: Evidence reads like B1: Runs RBI client-site website infrastructure: 24x7 support, incident resolution, SLA compliance → moved up 0.5
Autonomy: Evidence reads like B1: Decides team incident management for the 24x7 support team → moved up 0.5
Accountability: Evidence reads like B1: RBI website availability, SLA delivery and performance of a five-person team → matches the start
Leadership: Evidence reads like B1: Leads the client-side website infrastructure team; 5 direct reports → matches the start
Business Impact: No survey or manager-mapping signal on criticality: kept at the start point.</t>
        </is>
      </c>
      <c r="FS563" s="56" t="inlineStr">
        <is>
          <t>Common themes in sub-family holders, all levels' answers: support · infra · services · secure · availability · windows
Common themes in sub-family holders, all levels' answers: management · server · cloud · administration · dns · incident
Common themes in sub-family holders, all levels' answers: secure · system · infrastructure · server · support · availability
Common themes in sub-family holders, all levels' answers: availability · security · accountable · am · performance · infrastructure
Common themes in sub-family holders, all levels' answers: backup · tuning · incident · failed · performance · optimize
If the work is missed · role-holders' themes: business · data · loss · downtime.</t>
        </is>
      </c>
      <c r="FT563" s="56" t="inlineStr">
        <is>
          <t>Self-identified: AI / automation · Leadership &amp; people management · Technical depth &amp; architecture
For the next role: AI / automation · Leadership &amp; people management · Technical depth &amp; architecture</t>
        </is>
      </c>
      <c r="FU563" s="32" t="inlineStr">
        <is>
          <t>Full survey answers not in the files received · How We Grow export needed · HR</t>
        </is>
      </c>
    </row>
    <row r="564" ht="90" customHeight="1">
      <c r="A564" s="51" t="inlineStr">
        <is>
          <t>◂ Back</t>
        </is>
      </c>
      <c r="B564" s="29" t="inlineStr">
        <is>
          <t>Mapped</t>
        </is>
      </c>
      <c r="C564" s="28" t="inlineStr">
        <is>
          <t>Corporate</t>
        </is>
      </c>
      <c r="D564" s="29" t="inlineStr">
        <is>
          <t>IRIS2468</t>
        </is>
      </c>
      <c r="E564" s="29" t="inlineStr">
        <is>
          <t>Amit Gangaram Kamble</t>
        </is>
      </c>
      <c r="F564" s="29" t="inlineStr">
        <is>
          <t>IT &amp; Infrastructure</t>
        </is>
      </c>
      <c r="G564" s="29" t="inlineStr">
        <is>
          <t>Windows Server Administrator L1</t>
        </is>
      </c>
      <c r="H564" s="29" t="inlineStr">
        <is>
          <t>Senior System Administrator</t>
        </is>
      </c>
      <c r="I564" s="29" t="inlineStr">
        <is>
          <t>Not in current mapping files</t>
        </is>
      </c>
      <c r="J564" s="29" t="inlineStr">
        <is>
          <t>A3</t>
        </is>
      </c>
      <c r="K564" s="29" t="inlineStr">
        <is>
          <t>● Newly mapped</t>
        </is>
      </c>
      <c r="L564" s="29" t="inlineStr">
        <is>
          <t>IT &amp; Infrastructure</t>
        </is>
      </c>
      <c r="M564" s="29" t="inlineStr">
        <is>
          <t>Infrastructure &amp; Cloud Operations</t>
        </is>
      </c>
      <c r="N564" s="29" t="inlineStr">
        <is>
          <t>• Survey response or KRAs describing the work · nothing on file — Employee + manager</t>
        </is>
      </c>
      <c r="O564" s="29" t="n">
        <v>0</v>
      </c>
      <c r="P564" s="28" t="inlineStr">
        <is>
          <t>P2</t>
        </is>
      </c>
      <c r="Q564" s="29" t="inlineStr">
        <is>
          <t>Developing</t>
        </is>
      </c>
      <c r="R564" s="29" t="inlineStr">
        <is>
          <t>3 Apply</t>
        </is>
      </c>
      <c r="S564" s="29" t="inlineStr">
        <is>
          <t>2–4 yrs</t>
        </is>
      </c>
      <c r="T564" s="29" t="inlineStr">
        <is>
          <t>3–5 · 2–5</t>
        </is>
      </c>
      <c r="U564" s="29" t="inlineStr">
        <is>
          <t>System Administrator</t>
        </is>
      </c>
      <c r="V564" s="29" t="inlineStr">
        <is>
          <t>Atlassian company-wide P-levels: P40 · IRIS Vs Competitor Benchmark — infrastructure ladder: System Administrator</t>
        </is>
      </c>
      <c r="W564" s="29" t="inlineStr">
        <is>
          <t>ITIL 4; ISO/IEC 27001:2022; SFIA infrastructure</t>
        </is>
      </c>
      <c r="X564" s="29" t="inlineStr">
        <is>
          <t>Core 2 · Future 2 · Functional 3 · Leadership not scored</t>
        </is>
      </c>
      <c r="Y564" s="52" t="n">
        <v>442</v>
      </c>
      <c r="Z564" s="53" t="inlineStr">
        <is>
          <t>IRIS2468</t>
        </is>
      </c>
      <c r="AA564" s="53" t="inlineStr">
        <is>
          <t>Employee</t>
        </is>
      </c>
      <c r="AB564" s="53" t="inlineStr">
        <is>
          <t>Active</t>
        </is>
      </c>
      <c r="AC564" s="53" t="inlineStr">
        <is>
          <t>Amit Gangaram Kamble</t>
        </is>
      </c>
      <c r="AD564" s="54" t="n">
        <v>46055</v>
      </c>
      <c r="AE564" s="53" t="inlineStr">
        <is>
          <t>Windows Server Administrator L1</t>
        </is>
      </c>
      <c r="AF564" s="53" t="inlineStr">
        <is>
          <t>B.Sc</t>
        </is>
      </c>
      <c r="AG564" s="53" t="inlineStr">
        <is>
          <t>Vikas Mithbawkar</t>
        </is>
      </c>
      <c r="AH564" s="53" t="inlineStr">
        <is>
          <t>N-3</t>
        </is>
      </c>
      <c r="AI564" s="53" t="inlineStr">
        <is>
          <t>Individual Contributor</t>
        </is>
      </c>
      <c r="AJ564" s="53" t="inlineStr">
        <is>
          <t>3 years, 0 months, 0 days</t>
        </is>
      </c>
      <c r="AK564" s="53" t="inlineStr">
        <is>
          <t>0 years, 6 months, 23 days</t>
        </is>
      </c>
      <c r="AL564" s="53" t="inlineStr">
        <is>
          <t>Corporate</t>
        </is>
      </c>
      <c r="AM564" s="53" t="inlineStr">
        <is>
          <t>Corporate</t>
        </is>
      </c>
      <c r="AN564" s="53" t="inlineStr">
        <is>
          <t>IT &amp; Infrastructure</t>
        </is>
      </c>
      <c r="AO564" s="53" t="inlineStr">
        <is>
          <t>Infra</t>
        </is>
      </c>
      <c r="AP564" s="53" t="inlineStr">
        <is>
          <t>No</t>
        </is>
      </c>
      <c r="AQ564" s="53" t="inlineStr">
        <is>
          <t>General &amp; Admin</t>
        </is>
      </c>
      <c r="AR564" s="53" t="inlineStr">
        <is>
          <t>Infra</t>
        </is>
      </c>
      <c r="AS564" s="53" t="inlineStr">
        <is>
          <t>Non-technical</t>
        </is>
      </c>
      <c r="AT564" s="53" t="n">
        <v>0</v>
      </c>
      <c r="AU564" s="53" t="inlineStr">
        <is>
          <t>E-Client Side</t>
        </is>
      </c>
      <c r="AV564" s="53" t="n"/>
      <c r="AW564" s="53" t="n"/>
      <c r="AX564" s="53" t="n"/>
      <c r="AY564" s="53" t="n"/>
      <c r="AZ564" s="53" t="n"/>
      <c r="BA564" s="53" t="n"/>
      <c r="BB564" s="53" t="n"/>
      <c r="BC564" s="53" t="n"/>
      <c r="BD564" s="53" t="n"/>
      <c r="BE564" s="53" t="n"/>
      <c r="BF564" s="53" t="n"/>
      <c r="BG564" s="53" t="n"/>
      <c r="BH564" s="53" t="n"/>
      <c r="BI564" s="53" t="n"/>
      <c r="BJ564" s="53" t="n"/>
      <c r="BK564" s="53" t="n"/>
      <c r="BL564" s="53" t="n"/>
      <c r="BM564" s="53" t="n"/>
      <c r="BN564" s="53" t="n"/>
      <c r="BO564" s="53" t="n"/>
      <c r="BP564" s="53" t="n"/>
      <c r="BQ564" s="53" t="n"/>
      <c r="BR564" s="53" t="n"/>
      <c r="BS564" s="53" t="n"/>
      <c r="BT564" s="53" t="n"/>
      <c r="BU564" s="53" t="n"/>
      <c r="BV564" s="53" t="n"/>
      <c r="BW564" s="53" t="n"/>
      <c r="BX564" s="53" t="n"/>
      <c r="BY564" s="53" t="n"/>
      <c r="BZ564" s="53" t="n"/>
      <c r="CA564" s="53" t="n"/>
      <c r="CB564" s="53" t="n"/>
      <c r="CC564" s="53" t="n"/>
      <c r="CD564" s="53" t="n"/>
      <c r="CE564" s="53" t="n"/>
      <c r="CF564" s="53" t="n"/>
      <c r="CG564" s="53" t="n"/>
      <c r="CH564" s="53" t="n"/>
      <c r="CI564" s="53" t="n"/>
      <c r="CJ564" s="53" t="n"/>
      <c r="CK564" s="53" t="n"/>
      <c r="CL564" s="53" t="n"/>
      <c r="CM564" s="53" t="n"/>
      <c r="CN564" s="53" t="n"/>
      <c r="CO564" s="53" t="n"/>
      <c r="CP564" s="53" t="n"/>
      <c r="CQ564" s="53" t="n"/>
      <c r="CR564" s="53" t="n"/>
      <c r="CS564" s="53" t="n"/>
      <c r="CT564" s="53" t="n"/>
      <c r="CU564" s="53" t="n"/>
      <c r="CV564" s="53" t="n"/>
      <c r="CW564" s="53" t="n"/>
      <c r="CX564" s="53" t="n"/>
      <c r="CY564" s="53" t="n"/>
      <c r="CZ564" s="53" t="n"/>
      <c r="DA564" s="53" t="n"/>
      <c r="DB564" s="53" t="n"/>
      <c r="DC564" s="53" t="n"/>
      <c r="DD564" s="53" t="n"/>
      <c r="DE564" s="53" t="n"/>
      <c r="DF564" s="53" t="n"/>
      <c r="DG564" s="53" t="n"/>
      <c r="DH564" s="53" t="n"/>
      <c r="DI564" s="53" t="n"/>
      <c r="DJ564" s="53" t="n"/>
      <c r="DK564" s="53" t="n"/>
      <c r="DL564" s="53" t="n"/>
      <c r="DM564" s="53" t="n"/>
      <c r="DN564" s="53" t="n"/>
      <c r="DO564" s="53" t="n"/>
      <c r="DP564" s="53" t="n"/>
      <c r="DQ564" s="53" t="n"/>
      <c r="DR564" s="53" t="n"/>
      <c r="DS564" s="53" t="n"/>
      <c r="DT564" s="53" t="n"/>
      <c r="DU564" s="53" t="n"/>
      <c r="DV564" s="53" t="n"/>
      <c r="DW564" s="53" t="n"/>
      <c r="DX564" s="53" t="n"/>
      <c r="DY564" s="53" t="n"/>
      <c r="DZ564" s="53" t="n"/>
      <c r="EA564" s="53" t="n"/>
      <c r="EB564" s="53" t="n"/>
      <c r="EC564" s="53" t="n"/>
      <c r="ED564" s="53" t="n"/>
      <c r="EE564" s="53" t="n"/>
      <c r="EF564" s="53" t="n"/>
      <c r="EG564" s="53" t="n"/>
      <c r="EH564" s="53" t="n"/>
      <c r="EI564" s="53" t="n"/>
      <c r="EJ564" s="53" t="n"/>
      <c r="EK564" s="53" t="n"/>
      <c r="EL564" s="53" t="n"/>
      <c r="EM564" s="53" t="n"/>
      <c r="EN564" s="53" t="n"/>
      <c r="EO564" s="53" t="n"/>
      <c r="EP564" s="53" t="n"/>
      <c r="EQ564" s="53" t="n"/>
      <c r="ER564" s="53" t="n"/>
      <c r="ES564" s="53" t="n"/>
      <c r="ET564" s="53" t="n"/>
      <c r="EU564" s="53" t="n"/>
      <c r="EV564" s="53" t="n"/>
      <c r="EW564" s="52" t="n"/>
      <c r="EX564" s="53" t="n"/>
      <c r="EY564" s="53" t="n"/>
      <c r="EZ564" s="53" t="n"/>
      <c r="FA564" s="53" t="n"/>
      <c r="FB564" s="53" t="n"/>
      <c r="FC564" s="53" t="n"/>
      <c r="FD564" s="53" t="n"/>
      <c r="FE564" s="55" t="inlineStr">
        <is>
          <t>KRAs not received · manager to supply</t>
        </is>
      </c>
      <c r="FF564" s="56" t="n"/>
      <c r="FG564" s="56" t="n"/>
      <c r="FH564" s="56" t="n"/>
      <c r="FI564" s="56" t="n"/>
      <c r="FJ564" s="32" t="inlineStr">
        <is>
          <t>KRAs not received · manager to supply</t>
        </is>
      </c>
      <c r="FK564" s="56" t="n"/>
      <c r="FL564" s="56" t="n">
        <v>0</v>
      </c>
      <c r="FM564" s="32" t="inlineStr">
        <is>
          <t>No survey response on file</t>
        </is>
      </c>
      <c r="FN564" s="56" t="inlineStr">
        <is>
          <t>—</t>
        </is>
      </c>
      <c r="FO564" s="56" t="inlineStr">
        <is>
          <t>—</t>
        </is>
      </c>
      <c r="FP564" s="56" t="inlineStr">
        <is>
          <t>—</t>
        </is>
      </c>
      <c r="FQ564" s="56" t="inlineStr">
        <is>
          <t>—</t>
        </is>
      </c>
      <c r="FR564" s="56"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FS564" s="56" t="inlineStr">
        <is>
          <t>Common themes in role-holders' answers: server · support · security · windows · infrastructure · system
Common themes in role-holders' answers: server · dns · security · cloud · monitoring · administration
Common themes in role-holders' answers: system · infrastructure · secure · availability · monitoring · disaster
Common themes in role-holders' answers: availability · am · accountable · uptime · security · server
Common themes in role-holders' answers: backup · optimize · monitor · resolve
If the work is missed · role-holders' themes: business · server · data loss.</t>
        </is>
      </c>
      <c r="FT564" s="56" t="n"/>
      <c r="FU564" s="32" t="inlineStr">
        <is>
          <t>No survey response on file</t>
        </is>
      </c>
    </row>
    <row r="565" ht="90" customHeight="1">
      <c r="A565" s="51" t="inlineStr">
        <is>
          <t>◂ Back</t>
        </is>
      </c>
      <c r="B565" s="29" t="inlineStr">
        <is>
          <t>Mapped</t>
        </is>
      </c>
      <c r="C565" s="28" t="inlineStr">
        <is>
          <t>Corporate</t>
        </is>
      </c>
      <c r="D565" s="29" t="inlineStr">
        <is>
          <t>IRIS2315</t>
        </is>
      </c>
      <c r="E565" s="29" t="inlineStr">
        <is>
          <t>Gouri Kohale</t>
        </is>
      </c>
      <c r="F565" s="29" t="inlineStr">
        <is>
          <t>IT &amp; Infrastructure</t>
        </is>
      </c>
      <c r="G565" s="29" t="inlineStr">
        <is>
          <t>System Administrator</t>
        </is>
      </c>
      <c r="H565" s="29" t="inlineStr">
        <is>
          <t>Senior System Administrator</t>
        </is>
      </c>
      <c r="I565" s="29" t="inlineStr">
        <is>
          <t>Not in current mapping files</t>
        </is>
      </c>
      <c r="J565" s="29" t="inlineStr">
        <is>
          <t>A3</t>
        </is>
      </c>
      <c r="K565" s="29" t="inlineStr">
        <is>
          <t>● Newly mapped</t>
        </is>
      </c>
      <c r="L565" s="29" t="inlineStr">
        <is>
          <t>IT &amp; Infrastructure</t>
        </is>
      </c>
      <c r="M565" s="29" t="inlineStr">
        <is>
          <t>Infrastructure &amp; Cloud Operations</t>
        </is>
      </c>
      <c r="N565" s="29" t="n"/>
      <c r="O565" s="29" t="n">
        <v>20</v>
      </c>
      <c r="P565" s="28" t="inlineStr">
        <is>
          <t>P2</t>
        </is>
      </c>
      <c r="Q565" s="29" t="inlineStr">
        <is>
          <t>Developing</t>
        </is>
      </c>
      <c r="R565" s="29" t="inlineStr">
        <is>
          <t>3 Apply</t>
        </is>
      </c>
      <c r="S565" s="29" t="inlineStr">
        <is>
          <t>2–4 yrs</t>
        </is>
      </c>
      <c r="T565" s="29" t="inlineStr">
        <is>
          <t>3–5 · 2–5</t>
        </is>
      </c>
      <c r="U565" s="29" t="inlineStr">
        <is>
          <t>System Administrator</t>
        </is>
      </c>
      <c r="V565" s="29" t="inlineStr">
        <is>
          <t>Atlassian company-wide P-levels: P40 · IRIS Vs Competitor Benchmark — infrastructure ladder: System Administrator</t>
        </is>
      </c>
      <c r="W565" s="29" t="inlineStr">
        <is>
          <t>ITIL 4; ISO/IEC 27001:2022; SFIA infrastructure</t>
        </is>
      </c>
      <c r="X565" s="29" t="inlineStr">
        <is>
          <t>Core 2 · Future 2 · Functional 3 · Leadership not scored</t>
        </is>
      </c>
      <c r="Y565" s="52" t="n">
        <v>346</v>
      </c>
      <c r="Z565" s="53" t="inlineStr">
        <is>
          <t>IRIS2315</t>
        </is>
      </c>
      <c r="AA565" s="53" t="inlineStr">
        <is>
          <t>Employee</t>
        </is>
      </c>
      <c r="AB565" s="53" t="inlineStr">
        <is>
          <t>Active</t>
        </is>
      </c>
      <c r="AC565" s="53" t="inlineStr">
        <is>
          <t>Gouri Kohale</t>
        </is>
      </c>
      <c r="AD565" s="54" t="n">
        <v>45568</v>
      </c>
      <c r="AE565" s="53" t="inlineStr">
        <is>
          <t>System Administrator</t>
        </is>
      </c>
      <c r="AF565" s="53" t="inlineStr">
        <is>
          <t>B.E</t>
        </is>
      </c>
      <c r="AG565" s="53" t="inlineStr">
        <is>
          <t>Vikas Mithbawkar</t>
        </is>
      </c>
      <c r="AH565" s="53" t="inlineStr">
        <is>
          <t>N-3</t>
        </is>
      </c>
      <c r="AI565" s="53" t="inlineStr">
        <is>
          <t>Individual Contributor</t>
        </is>
      </c>
      <c r="AJ565" s="53" t="inlineStr">
        <is>
          <t>3 years, 6 months, 0 days</t>
        </is>
      </c>
      <c r="AK565" s="53" t="inlineStr">
        <is>
          <t>1 years, 10 months, 22 days</t>
        </is>
      </c>
      <c r="AL565" s="53" t="inlineStr">
        <is>
          <t>Corporate</t>
        </is>
      </c>
      <c r="AM565" s="53" t="inlineStr">
        <is>
          <t>Corporate</t>
        </is>
      </c>
      <c r="AN565" s="53" t="inlineStr">
        <is>
          <t>IT &amp; Infrastructure</t>
        </is>
      </c>
      <c r="AO565" s="53" t="inlineStr">
        <is>
          <t>Infra</t>
        </is>
      </c>
      <c r="AP565" s="53" t="inlineStr">
        <is>
          <t>No</t>
        </is>
      </c>
      <c r="AQ565" s="53" t="inlineStr">
        <is>
          <t>General &amp; Admin</t>
        </is>
      </c>
      <c r="AR565" s="53" t="inlineStr">
        <is>
          <t>Infra</t>
        </is>
      </c>
      <c r="AS565" s="53" t="inlineStr">
        <is>
          <t>Non-technical</t>
        </is>
      </c>
      <c r="AT565" s="53" t="n">
        <v>20</v>
      </c>
      <c r="AU565" s="53" t="inlineStr">
        <is>
          <t>Covered</t>
        </is>
      </c>
      <c r="AV565" s="53" t="n"/>
      <c r="AW565" s="53" t="n"/>
      <c r="AX565" s="53" t="n"/>
      <c r="AY565" s="53" t="n"/>
      <c r="AZ565" s="53" t="n"/>
      <c r="BA565" s="53" t="n"/>
      <c r="BB565" s="53" t="n"/>
      <c r="BC565" s="53" t="n"/>
      <c r="BD565" s="53" t="n"/>
      <c r="BE565" s="53" t="n"/>
      <c r="BF565" s="53" t="n"/>
      <c r="BG565" s="53" t="n"/>
      <c r="BH565" s="53" t="n"/>
      <c r="BI565" s="53" t="n"/>
      <c r="BJ565" s="53" t="n"/>
      <c r="BK565" s="53" t="n"/>
      <c r="BL565" s="53" t="n"/>
      <c r="BM565" s="53" t="n"/>
      <c r="BN565" s="53" t="n"/>
      <c r="BO565" s="53" t="n"/>
      <c r="BP565" s="53" t="n"/>
      <c r="BQ565" s="53" t="n"/>
      <c r="BR565" s="53" t="n"/>
      <c r="BS565" s="53" t="n"/>
      <c r="BT565" s="53" t="n"/>
      <c r="BU565" s="53" t="n"/>
      <c r="BV565" s="53" t="n"/>
      <c r="BW565" s="53" t="n"/>
      <c r="BX565" s="53" t="n"/>
      <c r="BY565" s="53" t="n"/>
      <c r="BZ565" s="53" t="n"/>
      <c r="CA565" s="53" t="n"/>
      <c r="CB565" s="53" t="n"/>
      <c r="CC565" s="53" t="n"/>
      <c r="CD565" s="53" t="n"/>
      <c r="CE565" s="53" t="n"/>
      <c r="CF565" s="53" t="n"/>
      <c r="CG565" s="53" t="n"/>
      <c r="CH565" s="53" t="n"/>
      <c r="CI565" s="53" t="n"/>
      <c r="CJ565" s="53" t="n"/>
      <c r="CK565" s="53" t="n"/>
      <c r="CL565" s="53" t="n"/>
      <c r="CM565" s="53" t="n"/>
      <c r="CN565" s="53" t="n"/>
      <c r="CO565" s="53" t="n"/>
      <c r="CP565" s="53" t="n"/>
      <c r="CQ565" s="53" t="n"/>
      <c r="CR565" s="53" t="n"/>
      <c r="CS565" s="53" t="n"/>
      <c r="CT565" s="53" t="n"/>
      <c r="CU565" s="53" t="n"/>
      <c r="CV565" s="53" t="n"/>
      <c r="CW565" s="53" t="n"/>
      <c r="CX565" s="53" t="n"/>
      <c r="CY565" s="53" t="n"/>
      <c r="CZ565" s="53" t="n"/>
      <c r="DA565" s="53" t="n"/>
      <c r="DB565" s="53" t="n"/>
      <c r="DC565" s="53" t="n"/>
      <c r="DD565" s="53" t="n"/>
      <c r="DE565" s="53" t="n"/>
      <c r="DF565" s="53" t="n"/>
      <c r="DG565" s="53" t="n"/>
      <c r="DH565" s="53" t="n"/>
      <c r="DI565" s="53" t="n"/>
      <c r="DJ565" s="53" t="n"/>
      <c r="DK565" s="53" t="n"/>
      <c r="DL565" s="53" t="n"/>
      <c r="DM565" s="53" t="n"/>
      <c r="DN565" s="53" t="n"/>
      <c r="DO565" s="53" t="n"/>
      <c r="DP565" s="53" t="n"/>
      <c r="DQ565" s="53" t="n"/>
      <c r="DR565" s="53" t="n"/>
      <c r="DS565" s="53" t="n"/>
      <c r="DT565" s="53" t="n"/>
      <c r="DU565" s="53" t="n"/>
      <c r="DV565" s="53" t="n"/>
      <c r="DW565" s="53" t="n"/>
      <c r="DX565" s="53" t="n"/>
      <c r="DY565" s="53" t="n"/>
      <c r="DZ565" s="53" t="n"/>
      <c r="EA565" s="53" t="n"/>
      <c r="EB565" s="53" t="n"/>
      <c r="EC565" s="53" t="n"/>
      <c r="ED565" s="53" t="n"/>
      <c r="EE565" s="53" t="n"/>
      <c r="EF565" s="53" t="n"/>
      <c r="EG565" s="53" t="n"/>
      <c r="EH565" s="53" t="n"/>
      <c r="EI565" s="53" t="n"/>
      <c r="EJ565" s="53" t="n"/>
      <c r="EK565" s="53" t="n"/>
      <c r="EL565" s="53" t="n"/>
      <c r="EM565" s="53" t="n"/>
      <c r="EN565" s="53" t="n"/>
      <c r="EO565" s="53" t="n"/>
      <c r="EP565" s="53" t="n"/>
      <c r="EQ565" s="53" t="n"/>
      <c r="ER565" s="53" t="n"/>
      <c r="ES565" s="53" t="n"/>
      <c r="ET565" s="53" t="n"/>
      <c r="EU565" s="53" t="n"/>
      <c r="EV565" s="53" t="n"/>
      <c r="EW565" s="52" t="n"/>
      <c r="EX565" s="53" t="n"/>
      <c r="EY565" s="53" t="n"/>
      <c r="EZ565" s="53" t="n"/>
      <c r="FA565" s="53" t="n"/>
      <c r="FB565" s="53" t="n"/>
      <c r="FC565" s="53" t="n"/>
      <c r="FD565" s="53" t="n"/>
      <c r="FE565" s="55" t="inlineStr">
        <is>
          <t>KRAs not received · manager to supply</t>
        </is>
      </c>
      <c r="FF565" s="56" t="n"/>
      <c r="FG565" s="56" t="n"/>
      <c r="FH565" s="56" t="n"/>
      <c r="FI565" s="56" t="n"/>
      <c r="FJ565" s="32" t="inlineStr">
        <is>
          <t>KRAs not received · manager to supply</t>
        </is>
      </c>
      <c r="FK565" s="56" t="n"/>
      <c r="FL565" s="56" t="n">
        <v>20</v>
      </c>
      <c r="FM565" s="32" t="inlineStr">
        <is>
          <t>Full survey answers not in the files received · How We Grow export needed · HR</t>
        </is>
      </c>
      <c r="FN565" s="56" t="inlineStr">
        <is>
          <t>—</t>
        </is>
      </c>
      <c r="FO565" s="56" t="inlineStr">
        <is>
          <t>—</t>
        </is>
      </c>
      <c r="FP565" s="56" t="inlineStr">
        <is>
          <t>—</t>
        </is>
      </c>
      <c r="FQ565" s="56" t="inlineStr">
        <is>
          <t>—</t>
        </is>
      </c>
      <c r="FR565" s="56" t="inlineStr">
        <is>
          <t>Complexity: Evidence reads like A2: Monitors DR site servers, checks availability, troubleshoots and resolves server incidents → moved down 0.5
Autonomy: Evidence reads like A2: Only independent item named is monitoring DR servers → moved down 0.5
Accountability: Evidence reads like A2: Own monitoring and timely resolution of DR server issues; DR readiness → moved down 0.5
Leadership: Evidence reads like A1: No guiding or leading of others described → moved down 0.5
Business Impact: No survey or manager-mapping signal on criticality: kept at the start point.</t>
        </is>
      </c>
      <c r="FS565" s="56" t="inlineStr">
        <is>
          <t>Common themes in role-holders' answers: server · support · security · windows · infrastructure · system
Common themes in role-holders' answers: server · dns · security · cloud · monitoring · administration
Common themes in role-holders' answers: system · infrastructure · secure · availability · monitoring · disaster
Common themes in role-holders' answers: availability · am · accountable · uptime · security · server
Common themes in role-holders' answers: backup · optimize · monitor · resolve
If the work is missed · role-holders' themes: business · server · data loss.</t>
        </is>
      </c>
      <c r="FT565" s="56" t="inlineStr">
        <is>
          <t>Self-identified: Answered · no common topic
For the next role: Answered · no common topic</t>
        </is>
      </c>
      <c r="FU565" s="32" t="inlineStr">
        <is>
          <t>Full survey answers not in the files received · How We Grow export needed · HR</t>
        </is>
      </c>
    </row>
    <row r="566" ht="90" customHeight="1">
      <c r="A566" s="51" t="inlineStr">
        <is>
          <t>◂ Back</t>
        </is>
      </c>
      <c r="B566" s="29" t="inlineStr">
        <is>
          <t>Mapped</t>
        </is>
      </c>
      <c r="C566" s="28" t="inlineStr">
        <is>
          <t>Corporate</t>
        </is>
      </c>
      <c r="D566" s="29" t="inlineStr">
        <is>
          <t>IRIS2206</t>
        </is>
      </c>
      <c r="E566" s="29" t="inlineStr">
        <is>
          <t>Hemant Chordekar</t>
        </is>
      </c>
      <c r="F566" s="29" t="inlineStr">
        <is>
          <t>IT &amp; Infrastructure</t>
        </is>
      </c>
      <c r="G566" s="29" t="inlineStr">
        <is>
          <t>System Administrator</t>
        </is>
      </c>
      <c r="H566" s="29" t="inlineStr">
        <is>
          <t>Infrastructure Specialist</t>
        </is>
      </c>
      <c r="I566" s="29" t="inlineStr">
        <is>
          <t>Not in current mapping files</t>
        </is>
      </c>
      <c r="J566" s="29" t="inlineStr">
        <is>
          <t>A3</t>
        </is>
      </c>
      <c r="K566" s="29" t="inlineStr">
        <is>
          <t>● Newly mapped</t>
        </is>
      </c>
      <c r="L566" s="29" t="inlineStr">
        <is>
          <t>IT &amp; Infrastructure</t>
        </is>
      </c>
      <c r="M566" s="29" t="inlineStr">
        <is>
          <t>Infrastructure &amp; Cloud Operations</t>
        </is>
      </c>
      <c r="N566" s="29" t="inlineStr">
        <is>
          <t>• Survey response or KRAs describing the work · nothing on file — Employee + manager</t>
        </is>
      </c>
      <c r="O566" s="29" t="n">
        <v>0</v>
      </c>
      <c r="P566" s="28" t="inlineStr">
        <is>
          <t>P2</t>
        </is>
      </c>
      <c r="Q566" s="29" t="inlineStr">
        <is>
          <t>Developing</t>
        </is>
      </c>
      <c r="R566" s="29" t="inlineStr">
        <is>
          <t>3 Apply</t>
        </is>
      </c>
      <c r="S566" s="29" t="inlineStr">
        <is>
          <t>2–4 yrs</t>
        </is>
      </c>
      <c r="T566" s="29" t="inlineStr">
        <is>
          <t>3–5 · 2–5</t>
        </is>
      </c>
      <c r="U566" s="29" t="inlineStr">
        <is>
          <t>Senior System Administrator</t>
        </is>
      </c>
      <c r="V566" s="29" t="inlineStr">
        <is>
          <t>Atlassian company-wide P-levels: P40 · IRIS Vs Competitor Benchmark — infrastructure ladder: System Administrator</t>
        </is>
      </c>
      <c r="W566" s="29" t="inlineStr">
        <is>
          <t>ITIL 4; ISO/IEC 27001:2022; SFIA infrastructure</t>
        </is>
      </c>
      <c r="X566" s="29" t="inlineStr">
        <is>
          <t>Core 2 · Future 2 · Functional 3 · Leadership not scored</t>
        </is>
      </c>
      <c r="Y566" s="52" t="n">
        <v>300</v>
      </c>
      <c r="Z566" s="53" t="inlineStr">
        <is>
          <t>IRIS2206</t>
        </is>
      </c>
      <c r="AA566" s="53" t="inlineStr">
        <is>
          <t>Employee</t>
        </is>
      </c>
      <c r="AB566" s="53" t="inlineStr">
        <is>
          <t>Active</t>
        </is>
      </c>
      <c r="AC566" s="53" t="inlineStr">
        <is>
          <t>Hemant Chordekar</t>
        </is>
      </c>
      <c r="AD566" s="54" t="n">
        <v>45232</v>
      </c>
      <c r="AE566" s="53" t="inlineStr">
        <is>
          <t>System Administrator</t>
        </is>
      </c>
      <c r="AF566" s="53" t="inlineStr">
        <is>
          <t>Undergraduate</t>
        </is>
      </c>
      <c r="AG566" s="53" t="inlineStr">
        <is>
          <t>Vikas Mithbawkar</t>
        </is>
      </c>
      <c r="AH566" s="53" t="inlineStr">
        <is>
          <t>N-3</t>
        </is>
      </c>
      <c r="AI566" s="53" t="inlineStr">
        <is>
          <t>Individual Contributor</t>
        </is>
      </c>
      <c r="AJ566" s="53" t="inlineStr">
        <is>
          <t>17 years, 9 months, 0 days</t>
        </is>
      </c>
      <c r="AK566" s="53" t="inlineStr">
        <is>
          <t>2 years, 9 months, 23 days</t>
        </is>
      </c>
      <c r="AL566" s="53" t="inlineStr">
        <is>
          <t>Corporate</t>
        </is>
      </c>
      <c r="AM566" s="53" t="inlineStr">
        <is>
          <t>Corporate</t>
        </is>
      </c>
      <c r="AN566" s="53" t="inlineStr">
        <is>
          <t>IT &amp; Infrastructure</t>
        </is>
      </c>
      <c r="AO566" s="53" t="inlineStr">
        <is>
          <t>Infra</t>
        </is>
      </c>
      <c r="AP566" s="53" t="inlineStr">
        <is>
          <t>No</t>
        </is>
      </c>
      <c r="AQ566" s="53" t="inlineStr">
        <is>
          <t>General &amp; Admin</t>
        </is>
      </c>
      <c r="AR566" s="53" t="inlineStr">
        <is>
          <t>Infra</t>
        </is>
      </c>
      <c r="AS566" s="53" t="inlineStr">
        <is>
          <t>Non-technical</t>
        </is>
      </c>
      <c r="AT566" s="53" t="n">
        <v>0</v>
      </c>
      <c r="AU566" s="53" t="inlineStr">
        <is>
          <t>E-Client Side</t>
        </is>
      </c>
      <c r="AV566" s="53" t="n"/>
      <c r="AW566" s="53" t="n"/>
      <c r="AX566" s="53" t="n"/>
      <c r="AY566" s="53" t="n"/>
      <c r="AZ566" s="53" t="n"/>
      <c r="BA566" s="53" t="n"/>
      <c r="BB566" s="53" t="n"/>
      <c r="BC566" s="53" t="n"/>
      <c r="BD566" s="53" t="n"/>
      <c r="BE566" s="53" t="n"/>
      <c r="BF566" s="53" t="n"/>
      <c r="BG566" s="53" t="n"/>
      <c r="BH566" s="53" t="n"/>
      <c r="BI566" s="53" t="n"/>
      <c r="BJ566" s="53" t="n"/>
      <c r="BK566" s="53" t="n"/>
      <c r="BL566" s="53" t="n"/>
      <c r="BM566" s="53" t="n"/>
      <c r="BN566" s="53" t="n"/>
      <c r="BO566" s="53" t="n"/>
      <c r="BP566" s="53" t="n"/>
      <c r="BQ566" s="53" t="n"/>
      <c r="BR566" s="53" t="n"/>
      <c r="BS566" s="53" t="n"/>
      <c r="BT566" s="53" t="n"/>
      <c r="BU566" s="53" t="n"/>
      <c r="BV566" s="53" t="n"/>
      <c r="BW566" s="53" t="n"/>
      <c r="BX566" s="53" t="n"/>
      <c r="BY566" s="53" t="n"/>
      <c r="BZ566" s="53" t="n"/>
      <c r="CA566" s="53" t="n"/>
      <c r="CB566" s="53" t="n"/>
      <c r="CC566" s="53" t="n"/>
      <c r="CD566" s="53" t="n"/>
      <c r="CE566" s="53" t="n"/>
      <c r="CF566" s="53" t="n"/>
      <c r="CG566" s="53" t="n"/>
      <c r="CH566" s="53" t="n"/>
      <c r="CI566" s="53" t="n"/>
      <c r="CJ566" s="53" t="n"/>
      <c r="CK566" s="53" t="n"/>
      <c r="CL566" s="53" t="n"/>
      <c r="CM566" s="53" t="n"/>
      <c r="CN566" s="53" t="n"/>
      <c r="CO566" s="53" t="n"/>
      <c r="CP566" s="53" t="n"/>
      <c r="CQ566" s="53" t="n"/>
      <c r="CR566" s="53" t="n"/>
      <c r="CS566" s="53" t="n"/>
      <c r="CT566" s="53" t="n"/>
      <c r="CU566" s="53" t="n"/>
      <c r="CV566" s="53" t="n"/>
      <c r="CW566" s="53" t="n"/>
      <c r="CX566" s="53" t="n"/>
      <c r="CY566" s="53" t="n"/>
      <c r="CZ566" s="53" t="n"/>
      <c r="DA566" s="53" t="n"/>
      <c r="DB566" s="53" t="n"/>
      <c r="DC566" s="53" t="n"/>
      <c r="DD566" s="53" t="n"/>
      <c r="DE566" s="53" t="n"/>
      <c r="DF566" s="53" t="n"/>
      <c r="DG566" s="53" t="n"/>
      <c r="DH566" s="53" t="n"/>
      <c r="DI566" s="53" t="n"/>
      <c r="DJ566" s="53" t="n"/>
      <c r="DK566" s="53" t="n"/>
      <c r="DL566" s="53" t="n"/>
      <c r="DM566" s="53" t="n"/>
      <c r="DN566" s="53" t="n"/>
      <c r="DO566" s="53" t="n"/>
      <c r="DP566" s="53" t="n"/>
      <c r="DQ566" s="53" t="n"/>
      <c r="DR566" s="53" t="n"/>
      <c r="DS566" s="53" t="n"/>
      <c r="DT566" s="53" t="n"/>
      <c r="DU566" s="53" t="n"/>
      <c r="DV566" s="53" t="n"/>
      <c r="DW566" s="53" t="n"/>
      <c r="DX566" s="53" t="n"/>
      <c r="DY566" s="53" t="n"/>
      <c r="DZ566" s="53" t="n"/>
      <c r="EA566" s="53" t="n"/>
      <c r="EB566" s="53" t="n"/>
      <c r="EC566" s="53" t="n"/>
      <c r="ED566" s="53" t="n"/>
      <c r="EE566" s="53" t="n"/>
      <c r="EF566" s="53" t="n"/>
      <c r="EG566" s="53" t="n"/>
      <c r="EH566" s="53" t="n"/>
      <c r="EI566" s="53" t="n"/>
      <c r="EJ566" s="53" t="n"/>
      <c r="EK566" s="53" t="n"/>
      <c r="EL566" s="53" t="n"/>
      <c r="EM566" s="53" t="n"/>
      <c r="EN566" s="53" t="n"/>
      <c r="EO566" s="53" t="n"/>
      <c r="EP566" s="53" t="n"/>
      <c r="EQ566" s="53" t="n"/>
      <c r="ER566" s="53" t="n"/>
      <c r="ES566" s="53" t="n"/>
      <c r="ET566" s="53" t="n"/>
      <c r="EU566" s="53" t="n"/>
      <c r="EV566" s="53" t="n"/>
      <c r="EW566" s="52" t="n"/>
      <c r="EX566" s="53" t="n"/>
      <c r="EY566" s="53" t="n"/>
      <c r="EZ566" s="53" t="n"/>
      <c r="FA566" s="53" t="n"/>
      <c r="FB566" s="53" t="n"/>
      <c r="FC566" s="53" t="n"/>
      <c r="FD566" s="53" t="n"/>
      <c r="FE566" s="55" t="inlineStr">
        <is>
          <t>KRAs not received · manager to supply</t>
        </is>
      </c>
      <c r="FF566" s="56" t="n"/>
      <c r="FG566" s="56" t="n"/>
      <c r="FH566" s="56" t="n"/>
      <c r="FI566" s="56" t="n"/>
      <c r="FJ566" s="32" t="inlineStr">
        <is>
          <t>KRAs not received · manager to supply</t>
        </is>
      </c>
      <c r="FK566" s="56" t="n"/>
      <c r="FL566" s="56" t="n">
        <v>0</v>
      </c>
      <c r="FM566" s="32" t="inlineStr">
        <is>
          <t>No survey response on file</t>
        </is>
      </c>
      <c r="FN566" s="56" t="inlineStr">
        <is>
          <t>—</t>
        </is>
      </c>
      <c r="FO566" s="56" t="inlineStr">
        <is>
          <t>—</t>
        </is>
      </c>
      <c r="FP566" s="56" t="inlineStr">
        <is>
          <t>—</t>
        </is>
      </c>
      <c r="FQ566" s="56" t="inlineStr">
        <is>
          <t>—</t>
        </is>
      </c>
      <c r="FR566" s="56" t="inlineStr">
        <is>
          <t>Business Impact: No survey or manager-mapping signal on criticality: kept at the start point.</t>
        </is>
      </c>
      <c r="FS566" s="56" t="inlineStr">
        <is>
          <t>Common themes in role-holders' answers: server · support · security · windows · infrastructure · system
Common themes in role-holders' answers: server · dns · security · cloud · monitoring · administration
Common themes in role-holders' answers: system · infrastructure · secure · availability · monitoring · disaster
Common themes in role-holders' answers: availability · am · accountable · uptime · security · server
Common themes in role-holders' answers: backup · optimize · monitor · resolve
If the work is missed · role-holders' themes: business · server · data loss.</t>
        </is>
      </c>
      <c r="FT566" s="56" t="n"/>
      <c r="FU566" s="32" t="inlineStr">
        <is>
          <t>No survey response on file</t>
        </is>
      </c>
    </row>
    <row r="567" ht="90" customHeight="1">
      <c r="A567" s="51" t="inlineStr">
        <is>
          <t>◂ Back</t>
        </is>
      </c>
      <c r="B567" s="29" t="inlineStr">
        <is>
          <t>Mapped</t>
        </is>
      </c>
      <c r="C567" s="28" t="inlineStr">
        <is>
          <t>Corporate</t>
        </is>
      </c>
      <c r="D567" s="29" t="inlineStr">
        <is>
          <t>IRISC298</t>
        </is>
      </c>
      <c r="E567" s="29" t="inlineStr">
        <is>
          <t>Ketan Balbhadra Yadav</t>
        </is>
      </c>
      <c r="F567" s="29" t="inlineStr">
        <is>
          <t>IT &amp; Infrastructure</t>
        </is>
      </c>
      <c r="G567" s="29" t="inlineStr">
        <is>
          <t>Consultant</t>
        </is>
      </c>
      <c r="H567" s="29" t="inlineStr">
        <is>
          <t>Senior System Administrator</t>
        </is>
      </c>
      <c r="I567" s="29" t="inlineStr">
        <is>
          <t>Not in current mapping files</t>
        </is>
      </c>
      <c r="J567" s="29" t="inlineStr">
        <is>
          <t>A3</t>
        </is>
      </c>
      <c r="K567" s="29" t="inlineStr">
        <is>
          <t>● Newly mapped</t>
        </is>
      </c>
      <c r="L567" s="29" t="inlineStr">
        <is>
          <t>IT &amp; Infrastructure</t>
        </is>
      </c>
      <c r="M567" s="29" t="inlineStr">
        <is>
          <t>Infrastructure &amp; Cloud Operations</t>
        </is>
      </c>
      <c r="N567" s="29" t="n"/>
      <c r="O567" s="29" t="n">
        <v>20</v>
      </c>
      <c r="P567" s="28" t="inlineStr">
        <is>
          <t>P2</t>
        </is>
      </c>
      <c r="Q567" s="29" t="inlineStr">
        <is>
          <t>Developing</t>
        </is>
      </c>
      <c r="R567" s="29" t="inlineStr">
        <is>
          <t>3 Apply</t>
        </is>
      </c>
      <c r="S567" s="29" t="inlineStr">
        <is>
          <t>2–4 yrs</t>
        </is>
      </c>
      <c r="T567" s="29" t="inlineStr">
        <is>
          <t>3–5 · 2–5</t>
        </is>
      </c>
      <c r="U567" s="29" t="inlineStr">
        <is>
          <t>System Administrator</t>
        </is>
      </c>
      <c r="V567" s="29" t="inlineStr">
        <is>
          <t>Atlassian company-wide P-levels: P40 · IRIS Vs Competitor Benchmark — infrastructure ladder: System Administrator</t>
        </is>
      </c>
      <c r="W567" s="29" t="inlineStr">
        <is>
          <t>ITIL 4; ISO/IEC 27001:2022; SFIA infrastructure</t>
        </is>
      </c>
      <c r="X567" s="29" t="inlineStr">
        <is>
          <t>Core 2 · Future 2 · Functional 3 · Leadership not scored</t>
        </is>
      </c>
      <c r="Y567" s="52" t="n">
        <v>349</v>
      </c>
      <c r="Z567" s="53" t="inlineStr">
        <is>
          <t>IRISC298</t>
        </is>
      </c>
      <c r="AA567" s="53" t="inlineStr">
        <is>
          <t>On Contract</t>
        </is>
      </c>
      <c r="AB567" s="53" t="inlineStr">
        <is>
          <t>Active</t>
        </is>
      </c>
      <c r="AC567" s="53" t="inlineStr">
        <is>
          <t>Ketan Balbhadra Yadav</t>
        </is>
      </c>
      <c r="AD567" s="54" t="n">
        <v>45593</v>
      </c>
      <c r="AE567" s="53" t="inlineStr">
        <is>
          <t>Consultant</t>
        </is>
      </c>
      <c r="AF567" s="53" t="inlineStr">
        <is>
          <t>B.SC</t>
        </is>
      </c>
      <c r="AG567" s="53" t="inlineStr">
        <is>
          <t>Vikas Mithbawkar</t>
        </is>
      </c>
      <c r="AH567" s="53" t="inlineStr">
        <is>
          <t>N-3</t>
        </is>
      </c>
      <c r="AI567" s="53" t="inlineStr">
        <is>
          <t>Individual Contributor</t>
        </is>
      </c>
      <c r="AJ567" s="53" t="inlineStr">
        <is>
          <t>1 years, 6 months, 0 days</t>
        </is>
      </c>
      <c r="AK567" s="53" t="inlineStr">
        <is>
          <t>1 years, 9 months, 28 days</t>
        </is>
      </c>
      <c r="AL567" s="53" t="inlineStr">
        <is>
          <t>Corporate</t>
        </is>
      </c>
      <c r="AM567" s="53" t="inlineStr">
        <is>
          <t>Corporate</t>
        </is>
      </c>
      <c r="AN567" s="53" t="inlineStr">
        <is>
          <t>IT &amp; Infrastructure</t>
        </is>
      </c>
      <c r="AO567" s="53" t="inlineStr">
        <is>
          <t>Infra</t>
        </is>
      </c>
      <c r="AP567" s="53" t="inlineStr">
        <is>
          <t>No</t>
        </is>
      </c>
      <c r="AQ567" s="53" t="inlineStr">
        <is>
          <t>General &amp; Admin</t>
        </is>
      </c>
      <c r="AR567" s="53" t="inlineStr">
        <is>
          <t>Infra</t>
        </is>
      </c>
      <c r="AS567" s="53" t="inlineStr">
        <is>
          <t>Non-technical</t>
        </is>
      </c>
      <c r="AT567" s="53" t="n">
        <v>20</v>
      </c>
      <c r="AU567" s="53" t="inlineStr">
        <is>
          <t>Covered</t>
        </is>
      </c>
      <c r="AV567" s="53" t="n"/>
      <c r="AW567" s="53" t="n"/>
      <c r="AX567" s="53" t="n"/>
      <c r="AY567" s="53" t="n"/>
      <c r="AZ567" s="53" t="n"/>
      <c r="BA567" s="53" t="n"/>
      <c r="BB567" s="53" t="n"/>
      <c r="BC567" s="53" t="n"/>
      <c r="BD567" s="53" t="n"/>
      <c r="BE567" s="53" t="n"/>
      <c r="BF567" s="53" t="n"/>
      <c r="BG567" s="53" t="n"/>
      <c r="BH567" s="53" t="n"/>
      <c r="BI567" s="53" t="n"/>
      <c r="BJ567" s="53" t="n"/>
      <c r="BK567" s="53" t="n"/>
      <c r="BL567" s="53" t="n"/>
      <c r="BM567" s="53" t="n"/>
      <c r="BN567" s="53" t="n"/>
      <c r="BO567" s="53" t="n"/>
      <c r="BP567" s="53" t="n"/>
      <c r="BQ567" s="53" t="n"/>
      <c r="BR567" s="53" t="n"/>
      <c r="BS567" s="53" t="n"/>
      <c r="BT567" s="53" t="n"/>
      <c r="BU567" s="53" t="n"/>
      <c r="BV567" s="53" t="n"/>
      <c r="BW567" s="53" t="n"/>
      <c r="BX567" s="53" t="n"/>
      <c r="BY567" s="53" t="n"/>
      <c r="BZ567" s="53" t="n"/>
      <c r="CA567" s="53" t="n"/>
      <c r="CB567" s="53" t="n"/>
      <c r="CC567" s="53" t="n"/>
      <c r="CD567" s="53" t="n"/>
      <c r="CE567" s="53" t="n"/>
      <c r="CF567" s="53" t="n"/>
      <c r="CG567" s="53" t="n"/>
      <c r="CH567" s="53" t="n"/>
      <c r="CI567" s="53" t="n"/>
      <c r="CJ567" s="53" t="n"/>
      <c r="CK567" s="53" t="n"/>
      <c r="CL567" s="53" t="n"/>
      <c r="CM567" s="53" t="n"/>
      <c r="CN567" s="53" t="n"/>
      <c r="CO567" s="53" t="n"/>
      <c r="CP567" s="53" t="n"/>
      <c r="CQ567" s="53" t="n"/>
      <c r="CR567" s="53" t="n"/>
      <c r="CS567" s="53" t="n"/>
      <c r="CT567" s="53" t="n"/>
      <c r="CU567" s="53" t="n"/>
      <c r="CV567" s="53" t="n"/>
      <c r="CW567" s="53" t="n"/>
      <c r="CX567" s="53" t="n"/>
      <c r="CY567" s="53" t="n"/>
      <c r="CZ567" s="53" t="n"/>
      <c r="DA567" s="53" t="n"/>
      <c r="DB567" s="53" t="n"/>
      <c r="DC567" s="53" t="n"/>
      <c r="DD567" s="53" t="n"/>
      <c r="DE567" s="53" t="n"/>
      <c r="DF567" s="53" t="n"/>
      <c r="DG567" s="53" t="n"/>
      <c r="DH567" s="53" t="n"/>
      <c r="DI567" s="53" t="n"/>
      <c r="DJ567" s="53" t="n"/>
      <c r="DK567" s="53" t="n"/>
      <c r="DL567" s="53" t="n"/>
      <c r="DM567" s="53" t="n"/>
      <c r="DN567" s="53" t="n"/>
      <c r="DO567" s="53" t="n"/>
      <c r="DP567" s="53" t="n"/>
      <c r="DQ567" s="53" t="n"/>
      <c r="DR567" s="53" t="n"/>
      <c r="DS567" s="53" t="n"/>
      <c r="DT567" s="53" t="n"/>
      <c r="DU567" s="53" t="n"/>
      <c r="DV567" s="53" t="n"/>
      <c r="DW567" s="53" t="n"/>
      <c r="DX567" s="53" t="n"/>
      <c r="DY567" s="53" t="n"/>
      <c r="DZ567" s="53" t="n"/>
      <c r="EA567" s="53" t="n"/>
      <c r="EB567" s="53" t="n"/>
      <c r="EC567" s="53" t="n"/>
      <c r="ED567" s="53" t="n"/>
      <c r="EE567" s="53" t="n"/>
      <c r="EF567" s="53" t="n"/>
      <c r="EG567" s="53" t="n"/>
      <c r="EH567" s="53" t="n"/>
      <c r="EI567" s="53" t="n"/>
      <c r="EJ567" s="53" t="n"/>
      <c r="EK567" s="53" t="n"/>
      <c r="EL567" s="53" t="n"/>
      <c r="EM567" s="53" t="n"/>
      <c r="EN567" s="53" t="n"/>
      <c r="EO567" s="53" t="n"/>
      <c r="EP567" s="53" t="n"/>
      <c r="EQ567" s="53" t="n"/>
      <c r="ER567" s="53" t="n"/>
      <c r="ES567" s="53" t="n"/>
      <c r="ET567" s="53" t="n"/>
      <c r="EU567" s="53" t="n"/>
      <c r="EV567" s="53" t="n"/>
      <c r="EW567" s="52" t="n"/>
      <c r="EX567" s="53" t="n"/>
      <c r="EY567" s="53" t="n"/>
      <c r="EZ567" s="53" t="n"/>
      <c r="FA567" s="53" t="n"/>
      <c r="FB567" s="53" t="n"/>
      <c r="FC567" s="53" t="n"/>
      <c r="FD567" s="53" t="n"/>
      <c r="FE567" s="55" t="inlineStr">
        <is>
          <t>KRAs not received · manager to supply</t>
        </is>
      </c>
      <c r="FF567" s="56" t="n"/>
      <c r="FG567" s="56" t="n"/>
      <c r="FH567" s="56" t="n"/>
      <c r="FI567" s="56" t="n"/>
      <c r="FJ567" s="32" t="inlineStr">
        <is>
          <t>KRAs not received · manager to supply</t>
        </is>
      </c>
      <c r="FK567" s="56" t="n"/>
      <c r="FL567" s="56" t="n">
        <v>20</v>
      </c>
      <c r="FM567" s="32" t="inlineStr">
        <is>
          <t>Full survey answers not in the files received · How We Grow export needed · HR</t>
        </is>
      </c>
      <c r="FN567" s="56" t="inlineStr">
        <is>
          <t>—</t>
        </is>
      </c>
      <c r="FO567" s="56" t="inlineStr">
        <is>
          <t>—</t>
        </is>
      </c>
      <c r="FP567" s="56" t="inlineStr">
        <is>
          <t>—</t>
        </is>
      </c>
      <c r="FQ567" s="56" t="inlineStr">
        <is>
          <t>—</t>
        </is>
      </c>
      <c r="FR567" s="56" t="inlineStr">
        <is>
          <t>Complexity: Evidence: no survey answers or KRAs on file → rating stays at the start
Autonomy: Evidence: no survey answers or KRAs on file → rating stays at the start
Accountability: Evidence: no survey answers or KRAs on file → rating stays at the start
Leadership: Evidence: no survey answers or KRAs on file → rating stays at the start
Business Impact: No survey or manager-mapping signal on criticality: kept at the start point.</t>
        </is>
      </c>
      <c r="FS567" s="56" t="inlineStr">
        <is>
          <t>Common themes in role-holders' answers: server · support · security · windows · infrastructure · system
Common themes in role-holders' answers: server · dns · security · cloud · monitoring · administration
Common themes in role-holders' answers: system · infrastructure · secure · availability · monitoring · disaster
Common themes in role-holders' answers: availability · am · accountable · uptime · security · server
Common themes in role-holders' answers: backup · optimize · monitor · resolve
If the work is missed · role-holders' themes: business · server · data loss.</t>
        </is>
      </c>
      <c r="FT567" s="56" t="inlineStr">
        <is>
          <t>Self-identified: Leadership &amp; people management · Project / programme management · Data, SQL &amp; analytics · Strategy &amp; business acumen · Broader exposure &amp; ownership
For the next role: Leadership &amp; people management · Project / programme management · Data, SQL &amp; analytics · Strategy &amp; business acumen · Broader exposure &amp; ownership</t>
        </is>
      </c>
      <c r="FU567" s="32" t="inlineStr">
        <is>
          <t>Full survey answers not in the files received · How We Grow export needed · HR</t>
        </is>
      </c>
    </row>
    <row r="568" ht="90" customHeight="1">
      <c r="A568" s="51" t="inlineStr">
        <is>
          <t>◂ Back</t>
        </is>
      </c>
      <c r="B568" s="29" t="inlineStr">
        <is>
          <t>Mapped</t>
        </is>
      </c>
      <c r="C568" s="28" t="inlineStr">
        <is>
          <t>Corporate</t>
        </is>
      </c>
      <c r="D568" s="29" t="inlineStr">
        <is>
          <t>IRIS1998</t>
        </is>
      </c>
      <c r="E568" s="29" t="inlineStr">
        <is>
          <t>Nimit Sadafal</t>
        </is>
      </c>
      <c r="F568" s="29" t="inlineStr">
        <is>
          <t>IT &amp; Infrastructure</t>
        </is>
      </c>
      <c r="G568" s="29" t="inlineStr">
        <is>
          <t>System Administrator</t>
        </is>
      </c>
      <c r="H568" s="29" t="inlineStr">
        <is>
          <t>Senior System Administrator</t>
        </is>
      </c>
      <c r="I568" s="29" t="inlineStr">
        <is>
          <t>Not in current mapping files</t>
        </is>
      </c>
      <c r="J568" s="29" t="inlineStr">
        <is>
          <t>A3</t>
        </is>
      </c>
      <c r="K568" s="29" t="inlineStr">
        <is>
          <t>● Newly mapped</t>
        </is>
      </c>
      <c r="L568" s="29" t="inlineStr">
        <is>
          <t>IT &amp; Infrastructure</t>
        </is>
      </c>
      <c r="M568" s="29" t="inlineStr">
        <is>
          <t>Infrastructure &amp; Cloud Operations</t>
        </is>
      </c>
      <c r="N568" s="29" t="n"/>
      <c r="O568" s="29" t="n">
        <v>20</v>
      </c>
      <c r="P568" s="28" t="inlineStr">
        <is>
          <t>P2</t>
        </is>
      </c>
      <c r="Q568" s="29" t="inlineStr">
        <is>
          <t>Developing</t>
        </is>
      </c>
      <c r="R568" s="29" t="inlineStr">
        <is>
          <t>3 Apply</t>
        </is>
      </c>
      <c r="S568" s="29" t="inlineStr">
        <is>
          <t>2–4 yrs</t>
        </is>
      </c>
      <c r="T568" s="29" t="inlineStr">
        <is>
          <t>3–5 · 2–5</t>
        </is>
      </c>
      <c r="U568" s="29" t="inlineStr">
        <is>
          <t>System Administrator</t>
        </is>
      </c>
      <c r="V568" s="29" t="inlineStr">
        <is>
          <t>Atlassian company-wide P-levels: P40 · IRIS Vs Competitor Benchmark — infrastructure ladder: System Administrator</t>
        </is>
      </c>
      <c r="W568" s="29" t="inlineStr">
        <is>
          <t>ITIL 4; ISO/IEC 27001:2022; SFIA infrastructure</t>
        </is>
      </c>
      <c r="X568" s="29" t="inlineStr">
        <is>
          <t>Core 2 · Future 2 · Functional 3 · Leadership not scored</t>
        </is>
      </c>
      <c r="Y568" s="52" t="n">
        <v>210</v>
      </c>
      <c r="Z568" s="53" t="inlineStr">
        <is>
          <t>IRIS1998</t>
        </is>
      </c>
      <c r="AA568" s="53" t="inlineStr">
        <is>
          <t>Employee</t>
        </is>
      </c>
      <c r="AB568" s="53" t="inlineStr">
        <is>
          <t>Active</t>
        </is>
      </c>
      <c r="AC568" s="53" t="inlineStr">
        <is>
          <t>Nimit Sadafal</t>
        </is>
      </c>
      <c r="AD568" s="54" t="n">
        <v>44622</v>
      </c>
      <c r="AE568" s="53" t="inlineStr">
        <is>
          <t>System Administrator</t>
        </is>
      </c>
      <c r="AF568" s="53" t="inlineStr">
        <is>
          <t>B.E</t>
        </is>
      </c>
      <c r="AG568" s="53" t="inlineStr">
        <is>
          <t>Vikas Mithbawkar</t>
        </is>
      </c>
      <c r="AH568" s="53" t="inlineStr">
        <is>
          <t>N-3</t>
        </is>
      </c>
      <c r="AI568" s="53" t="inlineStr">
        <is>
          <t>Individual Contributor</t>
        </is>
      </c>
      <c r="AJ568" s="53" t="inlineStr">
        <is>
          <t>9 years, 0 months, 0 days</t>
        </is>
      </c>
      <c r="AK568" s="53" t="inlineStr">
        <is>
          <t>4 years, 5 months, 23 days</t>
        </is>
      </c>
      <c r="AL568" s="53" t="inlineStr">
        <is>
          <t>Corporate</t>
        </is>
      </c>
      <c r="AM568" s="53" t="inlineStr">
        <is>
          <t>Corporate</t>
        </is>
      </c>
      <c r="AN568" s="53" t="inlineStr">
        <is>
          <t>IT &amp; Infrastructure</t>
        </is>
      </c>
      <c r="AO568" s="53" t="inlineStr">
        <is>
          <t>Infra</t>
        </is>
      </c>
      <c r="AP568" s="53" t="inlineStr">
        <is>
          <t>No</t>
        </is>
      </c>
      <c r="AQ568" s="53" t="inlineStr">
        <is>
          <t>General &amp; Admin</t>
        </is>
      </c>
      <c r="AR568" s="53" t="inlineStr">
        <is>
          <t>Infra</t>
        </is>
      </c>
      <c r="AS568" s="53" t="inlineStr">
        <is>
          <t>Non-technical</t>
        </is>
      </c>
      <c r="AT568" s="53" t="n">
        <v>20</v>
      </c>
      <c r="AU568" s="53" t="inlineStr">
        <is>
          <t>Covered</t>
        </is>
      </c>
      <c r="AV568" s="53" t="n"/>
      <c r="AW568" s="53" t="n"/>
      <c r="AX568" s="53" t="n"/>
      <c r="AY568" s="53" t="n"/>
      <c r="AZ568" s="53" t="n"/>
      <c r="BA568" s="53" t="n"/>
      <c r="BB568" s="53" t="n"/>
      <c r="BC568" s="53" t="n"/>
      <c r="BD568" s="53" t="n"/>
      <c r="BE568" s="53" t="n"/>
      <c r="BF568" s="53" t="n"/>
      <c r="BG568" s="53" t="n"/>
      <c r="BH568" s="53" t="n"/>
      <c r="BI568" s="53" t="n"/>
      <c r="BJ568" s="53" t="n"/>
      <c r="BK568" s="53" t="n"/>
      <c r="BL568" s="53" t="n"/>
      <c r="BM568" s="53" t="n"/>
      <c r="BN568" s="53" t="n"/>
      <c r="BO568" s="53" t="n"/>
      <c r="BP568" s="53" t="n"/>
      <c r="BQ568" s="53" t="n"/>
      <c r="BR568" s="53" t="n"/>
      <c r="BS568" s="53" t="n"/>
      <c r="BT568" s="53" t="n"/>
      <c r="BU568" s="53" t="n"/>
      <c r="BV568" s="53" t="n"/>
      <c r="BW568" s="53" t="n"/>
      <c r="BX568" s="53" t="n"/>
      <c r="BY568" s="53" t="n"/>
      <c r="BZ568" s="53" t="n"/>
      <c r="CA568" s="53" t="n"/>
      <c r="CB568" s="53" t="n"/>
      <c r="CC568" s="53" t="n"/>
      <c r="CD568" s="53" t="n"/>
      <c r="CE568" s="53" t="n"/>
      <c r="CF568" s="53" t="n"/>
      <c r="CG568" s="53" t="n"/>
      <c r="CH568" s="53" t="n"/>
      <c r="CI568" s="53" t="n"/>
      <c r="CJ568" s="53" t="n"/>
      <c r="CK568" s="53" t="n"/>
      <c r="CL568" s="53" t="n"/>
      <c r="CM568" s="53" t="n"/>
      <c r="CN568" s="53" t="n"/>
      <c r="CO568" s="53" t="n"/>
      <c r="CP568" s="53" t="n"/>
      <c r="CQ568" s="53" t="n"/>
      <c r="CR568" s="53" t="n"/>
      <c r="CS568" s="53" t="n"/>
      <c r="CT568" s="53" t="n"/>
      <c r="CU568" s="53" t="n"/>
      <c r="CV568" s="53" t="n"/>
      <c r="CW568" s="53" t="n"/>
      <c r="CX568" s="53" t="n"/>
      <c r="CY568" s="53" t="n"/>
      <c r="CZ568" s="53" t="n"/>
      <c r="DA568" s="53" t="n"/>
      <c r="DB568" s="53" t="n"/>
      <c r="DC568" s="53" t="n"/>
      <c r="DD568" s="53" t="n"/>
      <c r="DE568" s="53" t="n"/>
      <c r="DF568" s="53" t="n"/>
      <c r="DG568" s="53" t="n"/>
      <c r="DH568" s="53" t="n"/>
      <c r="DI568" s="53" t="n"/>
      <c r="DJ568" s="53" t="n"/>
      <c r="DK568" s="53" t="n"/>
      <c r="DL568" s="53" t="n"/>
      <c r="DM568" s="53" t="n"/>
      <c r="DN568" s="53" t="n"/>
      <c r="DO568" s="53" t="n"/>
      <c r="DP568" s="53" t="n"/>
      <c r="DQ568" s="53" t="n"/>
      <c r="DR568" s="53" t="n"/>
      <c r="DS568" s="53" t="n"/>
      <c r="DT568" s="53" t="n"/>
      <c r="DU568" s="53" t="n"/>
      <c r="DV568" s="53" t="n"/>
      <c r="DW568" s="53" t="n"/>
      <c r="DX568" s="53" t="n"/>
      <c r="DY568" s="53" t="n"/>
      <c r="DZ568" s="53" t="n"/>
      <c r="EA568" s="53" t="n"/>
      <c r="EB568" s="53" t="n"/>
      <c r="EC568" s="53" t="n"/>
      <c r="ED568" s="53" t="n"/>
      <c r="EE568" s="53" t="n"/>
      <c r="EF568" s="53" t="n"/>
      <c r="EG568" s="53" t="n"/>
      <c r="EH568" s="53" t="n"/>
      <c r="EI568" s="53" t="n"/>
      <c r="EJ568" s="53" t="n"/>
      <c r="EK568" s="53" t="n"/>
      <c r="EL568" s="53" t="n"/>
      <c r="EM568" s="53" t="n"/>
      <c r="EN568" s="53" t="n"/>
      <c r="EO568" s="53" t="n"/>
      <c r="EP568" s="53" t="n"/>
      <c r="EQ568" s="53" t="n"/>
      <c r="ER568" s="53" t="n"/>
      <c r="ES568" s="53" t="n"/>
      <c r="ET568" s="53" t="n"/>
      <c r="EU568" s="53" t="n"/>
      <c r="EV568" s="53" t="n"/>
      <c r="EW568" s="52" t="n"/>
      <c r="EX568" s="53" t="n"/>
      <c r="EY568" s="53" t="n"/>
      <c r="EZ568" s="53" t="n"/>
      <c r="FA568" s="53" t="n"/>
      <c r="FB568" s="53" t="n"/>
      <c r="FC568" s="53" t="n"/>
      <c r="FD568" s="53" t="n"/>
      <c r="FE568" s="55" t="inlineStr">
        <is>
          <t>KRAs not received · manager to supply</t>
        </is>
      </c>
      <c r="FF568" s="56" t="n"/>
      <c r="FG568" s="56" t="n"/>
      <c r="FH568" s="56" t="n"/>
      <c r="FI568" s="56" t="n"/>
      <c r="FJ568" s="32" t="inlineStr">
        <is>
          <t>KRAs not received · manager to supply</t>
        </is>
      </c>
      <c r="FK568" s="56" t="n"/>
      <c r="FL568" s="56" t="n">
        <v>20</v>
      </c>
      <c r="FM568" s="32" t="inlineStr">
        <is>
          <t>Full survey answers not in the files received · How We Grow export needed · HR</t>
        </is>
      </c>
      <c r="FN568" s="56" t="inlineStr">
        <is>
          <t>—</t>
        </is>
      </c>
      <c r="FO568" s="56" t="inlineStr">
        <is>
          <t>—</t>
        </is>
      </c>
      <c r="FP568" s="56" t="inlineStr">
        <is>
          <t>—</t>
        </is>
      </c>
      <c r="FQ568" s="56" t="inlineStr">
        <is>
          <t>—</t>
        </is>
      </c>
      <c r="FR568" s="56" t="inlineStr">
        <is>
          <t>Complexity: Evidence reads like A2: Maintains DNS records, raises CRFs for port/URL access and SMAX tickets, monitors server utilisation → moved down 0.5
Autonomy: Evidence reads like A2: Raises DNS change requests and tickets, answers DIT queries; changes go through CRF process → moved down 0.5
Accountability: Evidence reads like A3: RBI website accessibility issues; prepares RCA and answers the client · DIT for incidents → matches the start
Leadership: Evidence reads like A1: No guiding or leading of others described → moved down 0.5
Business Impact: No survey or manager-mapping signal on criticality: kept at the start point.</t>
        </is>
      </c>
      <c r="FS568" s="56" t="inlineStr">
        <is>
          <t>Common themes in role-holders' answers: server · support · security · windows · infrastructure · system
Common themes in role-holders' answers: server · dns · security · cloud · monitoring · administration
Common themes in role-holders' answers: system · infrastructure · secure · availability · monitoring · disaster
Common themes in role-holders' answers: availability · am · accountable · uptime · security · server
Common themes in role-holders' answers: backup · optimize · monitor · resolve
If the work is missed · role-holders' themes: business · server · data loss.</t>
        </is>
      </c>
      <c r="FT568" s="56" t="inlineStr">
        <is>
          <t>Self-identified: Technical depth &amp; architecture
For the next role: Technical depth &amp; architecture</t>
        </is>
      </c>
      <c r="FU568" s="32" t="inlineStr">
        <is>
          <t>Full survey answers not in the files received · How We Grow export needed · HR</t>
        </is>
      </c>
    </row>
    <row r="569" ht="90" customHeight="1">
      <c r="A569" s="51" t="inlineStr">
        <is>
          <t>◂ Back</t>
        </is>
      </c>
      <c r="B569" s="29" t="inlineStr">
        <is>
          <t>Mapped</t>
        </is>
      </c>
      <c r="C569" s="28" t="inlineStr">
        <is>
          <t>Corporate</t>
        </is>
      </c>
      <c r="D569" s="29" t="inlineStr">
        <is>
          <t>IRIS2099</t>
        </is>
      </c>
      <c r="E569" s="29" t="inlineStr">
        <is>
          <t>Parthiban Thangaraj</t>
        </is>
      </c>
      <c r="F569" s="29" t="inlineStr">
        <is>
          <t>IT &amp; Infrastructure</t>
        </is>
      </c>
      <c r="G569" s="29" t="inlineStr">
        <is>
          <t>Senior Software Engineer</t>
        </is>
      </c>
      <c r="H569" s="29" t="inlineStr">
        <is>
          <t>Senior DevOps Engineer</t>
        </is>
      </c>
      <c r="I569" s="29" t="inlineStr">
        <is>
          <t>Not in current mapping files</t>
        </is>
      </c>
      <c r="J569" s="29" t="inlineStr">
        <is>
          <t>A3</t>
        </is>
      </c>
      <c r="K569" s="29" t="inlineStr">
        <is>
          <t>● Newly mapped</t>
        </is>
      </c>
      <c r="L569" s="29" t="inlineStr">
        <is>
          <t>Engineering &amp; Development</t>
        </is>
      </c>
      <c r="M569" s="29" t="inlineStr">
        <is>
          <t>DevOps &amp; Release Engineering</t>
        </is>
      </c>
      <c r="N569" s="29" t="n"/>
      <c r="O569" s="29" t="n">
        <v>20</v>
      </c>
      <c r="P569" s="28" t="inlineStr">
        <is>
          <t>P2</t>
        </is>
      </c>
      <c r="Q569" s="29" t="inlineStr">
        <is>
          <t>Developing</t>
        </is>
      </c>
      <c r="R569" s="29" t="inlineStr">
        <is>
          <t>3 Apply</t>
        </is>
      </c>
      <c r="S569" s="29" t="inlineStr">
        <is>
          <t>2–4 yrs</t>
        </is>
      </c>
      <c r="T569" s="29" t="inlineStr">
        <is>
          <t>3–5 · 2–5</t>
        </is>
      </c>
      <c r="U569" s="29" t="inlineStr">
        <is>
          <t>Software Engineer</t>
        </is>
      </c>
      <c r="V569" s="29" t="inlineStr">
        <is>
          <t>Workiva: SE · Broadridge India: SE · Nasdaq / AxiomSL: SE · Salesforce: MTS · Atlassian: P40 · 3–7 yrs · Freshworks: Senior SE</t>
        </is>
      </c>
      <c r="W569" s="29" t="inlineStr">
        <is>
          <t>SFIA 9 · software development, programming; OWASP secure coding; cloud vendor certifications</t>
        </is>
      </c>
      <c r="X569" s="29" t="inlineStr">
        <is>
          <t>Core 2 · Future 2 · Functional 3 · Leadership not scored</t>
        </is>
      </c>
      <c r="Y569" s="52" t="n">
        <v>262</v>
      </c>
      <c r="Z569" s="53" t="inlineStr">
        <is>
          <t>IRIS2099</t>
        </is>
      </c>
      <c r="AA569" s="53" t="inlineStr">
        <is>
          <t>Employee</t>
        </is>
      </c>
      <c r="AB569" s="53" t="inlineStr">
        <is>
          <t>Active</t>
        </is>
      </c>
      <c r="AC569" s="53" t="inlineStr">
        <is>
          <t>Parthiban Thangaraj</t>
        </is>
      </c>
      <c r="AD569" s="54" t="n">
        <v>44971</v>
      </c>
      <c r="AE569" s="53" t="inlineStr">
        <is>
          <t>Senior Software Engineer</t>
        </is>
      </c>
      <c r="AF569" s="53" t="inlineStr">
        <is>
          <t>B.Tech</t>
        </is>
      </c>
      <c r="AG569" s="53" t="inlineStr">
        <is>
          <t>Mahesh Tilave</t>
        </is>
      </c>
      <c r="AH569" s="53" t="inlineStr">
        <is>
          <t>N-2</t>
        </is>
      </c>
      <c r="AI569" s="53" t="inlineStr">
        <is>
          <t>Individual Contributor</t>
        </is>
      </c>
      <c r="AJ569" s="53" t="inlineStr">
        <is>
          <t>6 years, 3 months, 0 days</t>
        </is>
      </c>
      <c r="AK569" s="53" t="inlineStr">
        <is>
          <t>3 years, 6 months, 11 days</t>
        </is>
      </c>
      <c r="AL569" s="53" t="inlineStr">
        <is>
          <t>Corporate</t>
        </is>
      </c>
      <c r="AM569" s="53" t="inlineStr">
        <is>
          <t>Corporate</t>
        </is>
      </c>
      <c r="AN569" s="53" t="inlineStr">
        <is>
          <t>IT &amp; Infrastructure</t>
        </is>
      </c>
      <c r="AO569" s="53" t="inlineStr">
        <is>
          <t>Infra</t>
        </is>
      </c>
      <c r="AP569" s="53" t="inlineStr">
        <is>
          <t>No</t>
        </is>
      </c>
      <c r="AQ569" s="53" t="inlineStr">
        <is>
          <t>General &amp; Admin</t>
        </is>
      </c>
      <c r="AR569" s="53" t="inlineStr">
        <is>
          <t>Devops</t>
        </is>
      </c>
      <c r="AS569" s="53" t="inlineStr">
        <is>
          <t>Non-technical</t>
        </is>
      </c>
      <c r="AT569" s="53" t="n">
        <v>20</v>
      </c>
      <c r="AU569" s="53" t="inlineStr">
        <is>
          <t>Covered</t>
        </is>
      </c>
      <c r="AV569" s="53" t="n"/>
      <c r="AW569" s="53" t="n"/>
      <c r="AX569" s="53" t="n"/>
      <c r="AY569" s="53" t="n"/>
      <c r="AZ569" s="53" t="n"/>
      <c r="BA569" s="53" t="n"/>
      <c r="BB569" s="53" t="n"/>
      <c r="BC569" s="53" t="n"/>
      <c r="BD569" s="53" t="n"/>
      <c r="BE569" s="53" t="n"/>
      <c r="BF569" s="53" t="n"/>
      <c r="BG569" s="53" t="n"/>
      <c r="BH569" s="53" t="n"/>
      <c r="BI569" s="53" t="n"/>
      <c r="BJ569" s="53" t="n"/>
      <c r="BK569" s="53" t="n"/>
      <c r="BL569" s="53" t="n"/>
      <c r="BM569" s="53" t="n"/>
      <c r="BN569" s="53" t="n"/>
      <c r="BO569" s="53" t="n"/>
      <c r="BP569" s="53" t="n"/>
      <c r="BQ569" s="53" t="n"/>
      <c r="BR569" s="53" t="n"/>
      <c r="BS569" s="53" t="n"/>
      <c r="BT569" s="53" t="n"/>
      <c r="BU569" s="53" t="n"/>
      <c r="BV569" s="53" t="n"/>
      <c r="BW569" s="53" t="n"/>
      <c r="BX569" s="53" t="n"/>
      <c r="BY569" s="53" t="n"/>
      <c r="BZ569" s="53" t="n"/>
      <c r="CA569" s="53" t="n"/>
      <c r="CB569" s="53" t="n"/>
      <c r="CC569" s="53" t="n"/>
      <c r="CD569" s="53" t="n"/>
      <c r="CE569" s="53" t="n"/>
      <c r="CF569" s="53" t="n"/>
      <c r="CG569" s="53" t="n"/>
      <c r="CH569" s="53" t="n"/>
      <c r="CI569" s="53" t="n"/>
      <c r="CJ569" s="53" t="n"/>
      <c r="CK569" s="53" t="n"/>
      <c r="CL569" s="53" t="n"/>
      <c r="CM569" s="53" t="n"/>
      <c r="CN569" s="53" t="n"/>
      <c r="CO569" s="53" t="n"/>
      <c r="CP569" s="53" t="n"/>
      <c r="CQ569" s="53" t="n"/>
      <c r="CR569" s="53" t="n"/>
      <c r="CS569" s="53" t="n"/>
      <c r="CT569" s="53" t="n"/>
      <c r="CU569" s="53" t="n"/>
      <c r="CV569" s="53" t="n"/>
      <c r="CW569" s="53" t="n"/>
      <c r="CX569" s="53" t="n"/>
      <c r="CY569" s="53" t="n"/>
      <c r="CZ569" s="53" t="n"/>
      <c r="DA569" s="53" t="n"/>
      <c r="DB569" s="53" t="n"/>
      <c r="DC569" s="53" t="n"/>
      <c r="DD569" s="53" t="n"/>
      <c r="DE569" s="53" t="n"/>
      <c r="DF569" s="53" t="n"/>
      <c r="DG569" s="53" t="n"/>
      <c r="DH569" s="53" t="n"/>
      <c r="DI569" s="53" t="n"/>
      <c r="DJ569" s="53" t="n"/>
      <c r="DK569" s="53" t="n"/>
      <c r="DL569" s="53" t="n"/>
      <c r="DM569" s="53" t="n"/>
      <c r="DN569" s="53" t="n"/>
      <c r="DO569" s="53" t="n"/>
      <c r="DP569" s="53" t="n"/>
      <c r="DQ569" s="53" t="n"/>
      <c r="DR569" s="53" t="n"/>
      <c r="DS569" s="53" t="n"/>
      <c r="DT569" s="53" t="n"/>
      <c r="DU569" s="53" t="n"/>
      <c r="DV569" s="53" t="n"/>
      <c r="DW569" s="53" t="n"/>
      <c r="DX569" s="53" t="n"/>
      <c r="DY569" s="53" t="n"/>
      <c r="DZ569" s="53" t="n"/>
      <c r="EA569" s="53" t="n"/>
      <c r="EB569" s="53" t="n"/>
      <c r="EC569" s="53" t="n"/>
      <c r="ED569" s="53" t="n"/>
      <c r="EE569" s="53" t="n"/>
      <c r="EF569" s="53" t="n"/>
      <c r="EG569" s="53" t="n"/>
      <c r="EH569" s="53" t="n"/>
      <c r="EI569" s="53" t="n"/>
      <c r="EJ569" s="53" t="n"/>
      <c r="EK569" s="53" t="n"/>
      <c r="EL569" s="53" t="n"/>
      <c r="EM569" s="53" t="n"/>
      <c r="EN569" s="53" t="n"/>
      <c r="EO569" s="53" t="n"/>
      <c r="EP569" s="53" t="n"/>
      <c r="EQ569" s="53" t="n"/>
      <c r="ER569" s="53" t="n"/>
      <c r="ES569" s="53" t="n"/>
      <c r="ET569" s="53" t="n"/>
      <c r="EU569" s="53" t="n"/>
      <c r="EV569" s="53" t="n"/>
      <c r="EW569" s="52" t="n"/>
      <c r="EX569" s="53" t="n"/>
      <c r="EY569" s="53" t="n"/>
      <c r="EZ569" s="53" t="n"/>
      <c r="FA569" s="53" t="n"/>
      <c r="FB569" s="53" t="n"/>
      <c r="FC569" s="53" t="n"/>
      <c r="FD569" s="53" t="n"/>
      <c r="FE569" s="55" t="inlineStr">
        <is>
          <t>KRAs not received · manager to supply</t>
        </is>
      </c>
      <c r="FF569" s="56" t="n"/>
      <c r="FG569" s="56" t="n"/>
      <c r="FH569" s="56" t="n"/>
      <c r="FI569" s="56" t="n"/>
      <c r="FJ569" s="32" t="inlineStr">
        <is>
          <t>KRAs not received · manager to supply</t>
        </is>
      </c>
      <c r="FK569" s="56" t="n"/>
      <c r="FL569" s="56" t="n">
        <v>20</v>
      </c>
      <c r="FM569" s="32" t="inlineStr">
        <is>
          <t>Full survey answers not in the files received · How We Grow export needed · HR</t>
        </is>
      </c>
      <c r="FN569" s="56" t="inlineStr">
        <is>
          <t>—</t>
        </is>
      </c>
      <c r="FO569" s="56" t="inlineStr">
        <is>
          <t>—</t>
        </is>
      </c>
      <c r="FP569" s="56" t="inlineStr">
        <is>
          <t>—</t>
        </is>
      </c>
      <c r="FQ569" s="56" t="inlineStr">
        <is>
          <t>—</t>
        </is>
      </c>
      <c r="FR569" s="56" t="inlineStr">
        <is>
          <t>Complexity: Evidence reads like A2: Creates AWS resources, manages access, migrates source code to Git; DevOps support tasks → moved down 0.5
Autonomy: Evidence reads like A2: Lists AWS resources, code migration and DevOps tasks; no calls beyond own routine work → moved down 0.5
Accountability: Evidence reads like A2: Answers for AWS resource creation, access and code migration; errors block developers' access → moved down 0.5
Leadership: Evidence reads like A1: No guiding or leading of others described → moved down 0.5
Business Impact: No survey or manager-mapping signal on criticality: kept at the start point.</t>
        </is>
      </c>
      <c r="FS569" s="56" t="inlineStr">
        <is>
          <t>Common themes in sub-family holders, all levels' answers: support · devops activities
Common themes in sub-family holders, all levels' answers: application
If the work is missed · role-holders' themes: level.</t>
        </is>
      </c>
      <c r="FT569" s="56" t="inlineStr">
        <is>
          <t>Self-identified: AI / automation · Technical depth &amp; architecture
For the next role: AI / automation · Technical depth &amp; architecture</t>
        </is>
      </c>
      <c r="FU569" s="32" t="inlineStr">
        <is>
          <t>Full survey answers not in the files received · How We Grow export needed · HR</t>
        </is>
      </c>
    </row>
    <row r="570" ht="90" customHeight="1">
      <c r="A570" s="51" t="inlineStr">
        <is>
          <t>◂ Back</t>
        </is>
      </c>
      <c r="B570" s="29" t="inlineStr">
        <is>
          <t>Mapped</t>
        </is>
      </c>
      <c r="C570" s="28" t="inlineStr">
        <is>
          <t>Corporate</t>
        </is>
      </c>
      <c r="D570" s="29" t="inlineStr">
        <is>
          <t>IRIS2003</t>
        </is>
      </c>
      <c r="E570" s="29" t="inlineStr">
        <is>
          <t>Rajyalakshmi Koyagura</t>
        </is>
      </c>
      <c r="F570" s="29" t="inlineStr">
        <is>
          <t>IT &amp; Infrastructure</t>
        </is>
      </c>
      <c r="G570" s="29" t="inlineStr">
        <is>
          <t>System Administrator</t>
        </is>
      </c>
      <c r="H570" s="29" t="inlineStr">
        <is>
          <t>Senior System Administrator</t>
        </is>
      </c>
      <c r="I570" s="29" t="inlineStr">
        <is>
          <t>Not in current mapping files</t>
        </is>
      </c>
      <c r="J570" s="29" t="inlineStr">
        <is>
          <t>A3</t>
        </is>
      </c>
      <c r="K570" s="29" t="inlineStr">
        <is>
          <t>● Newly mapped</t>
        </is>
      </c>
      <c r="L570" s="29" t="inlineStr">
        <is>
          <t>IT &amp; Infrastructure</t>
        </is>
      </c>
      <c r="M570" s="29" t="inlineStr">
        <is>
          <t>Infrastructure &amp; Cloud Operations</t>
        </is>
      </c>
      <c r="N570" s="29" t="n"/>
      <c r="O570" s="29" t="n">
        <v>19</v>
      </c>
      <c r="P570" s="28" t="inlineStr">
        <is>
          <t>P2</t>
        </is>
      </c>
      <c r="Q570" s="29" t="inlineStr">
        <is>
          <t>Developing</t>
        </is>
      </c>
      <c r="R570" s="29" t="inlineStr">
        <is>
          <t>3 Apply</t>
        </is>
      </c>
      <c r="S570" s="29" t="inlineStr">
        <is>
          <t>2–4 yrs</t>
        </is>
      </c>
      <c r="T570" s="29" t="inlineStr">
        <is>
          <t>3–5 · 2–5</t>
        </is>
      </c>
      <c r="U570" s="29" t="inlineStr">
        <is>
          <t>System Administrator</t>
        </is>
      </c>
      <c r="V570" s="29" t="inlineStr">
        <is>
          <t>Atlassian company-wide P-levels: P40 · IRIS Vs Competitor Benchmark — infrastructure ladder: System Administrator</t>
        </is>
      </c>
      <c r="W570" s="29" t="inlineStr">
        <is>
          <t>ITIL 4; ISO/IEC 27001:2022; SFIA infrastructure</t>
        </is>
      </c>
      <c r="X570" s="29" t="inlineStr">
        <is>
          <t>Core 2 · Future 2 · Functional 3 · Leadership not scored</t>
        </is>
      </c>
      <c r="Y570" s="52" t="n">
        <v>212</v>
      </c>
      <c r="Z570" s="53" t="inlineStr">
        <is>
          <t>IRIS2003</t>
        </is>
      </c>
      <c r="AA570" s="53" t="inlineStr">
        <is>
          <t>Employee</t>
        </is>
      </c>
      <c r="AB570" s="53" t="inlineStr">
        <is>
          <t>Active</t>
        </is>
      </c>
      <c r="AC570" s="53" t="inlineStr">
        <is>
          <t>Rajyalakshmi Koyagura</t>
        </is>
      </c>
      <c r="AD570" s="54" t="n">
        <v>44634</v>
      </c>
      <c r="AE570" s="53" t="inlineStr">
        <is>
          <t>System Administrator</t>
        </is>
      </c>
      <c r="AF570" s="53" t="inlineStr">
        <is>
          <t>B.Tech</t>
        </is>
      </c>
      <c r="AG570" s="53" t="inlineStr">
        <is>
          <t>Mahesh Tilave</t>
        </is>
      </c>
      <c r="AH570" s="53" t="inlineStr">
        <is>
          <t>N-2</t>
        </is>
      </c>
      <c r="AI570" s="53" t="inlineStr">
        <is>
          <t>Individual Contributor</t>
        </is>
      </c>
      <c r="AJ570" s="53" t="inlineStr">
        <is>
          <t>3 years, 6 months, 0 days</t>
        </is>
      </c>
      <c r="AK570" s="53" t="inlineStr">
        <is>
          <t>4 years, 5 months, 11 days</t>
        </is>
      </c>
      <c r="AL570" s="53" t="inlineStr">
        <is>
          <t>Corporate</t>
        </is>
      </c>
      <c r="AM570" s="53" t="inlineStr">
        <is>
          <t>Corporate</t>
        </is>
      </c>
      <c r="AN570" s="53" t="inlineStr">
        <is>
          <t>IT &amp; Infrastructure</t>
        </is>
      </c>
      <c r="AO570" s="53" t="inlineStr">
        <is>
          <t>Infra</t>
        </is>
      </c>
      <c r="AP570" s="53" t="inlineStr">
        <is>
          <t>No</t>
        </is>
      </c>
      <c r="AQ570" s="53" t="inlineStr">
        <is>
          <t>General &amp; Admin</t>
        </is>
      </c>
      <c r="AR570" s="53" t="inlineStr">
        <is>
          <t>Infra</t>
        </is>
      </c>
      <c r="AS570" s="53" t="inlineStr">
        <is>
          <t>Non-technical</t>
        </is>
      </c>
      <c r="AT570" s="53" t="n">
        <v>20</v>
      </c>
      <c r="AU570" s="53" t="inlineStr">
        <is>
          <t>Covered</t>
        </is>
      </c>
      <c r="AV570" s="53" t="n"/>
      <c r="AW570" s="53" t="n"/>
      <c r="AX570" s="53" t="n"/>
      <c r="AY570" s="53" t="n"/>
      <c r="AZ570" s="53" t="n"/>
      <c r="BA570" s="53" t="n"/>
      <c r="BB570" s="53" t="n"/>
      <c r="BC570" s="53" t="n"/>
      <c r="BD570" s="53" t="n"/>
      <c r="BE570" s="53" t="n"/>
      <c r="BF570" s="53" t="n"/>
      <c r="BG570" s="53" t="n"/>
      <c r="BH570" s="53" t="n"/>
      <c r="BI570" s="53" t="n"/>
      <c r="BJ570" s="53" t="n"/>
      <c r="BK570" s="53" t="n"/>
      <c r="BL570" s="53" t="n"/>
      <c r="BM570" s="53" t="n"/>
      <c r="BN570" s="53" t="n"/>
      <c r="BO570" s="53" t="n"/>
      <c r="BP570" s="53" t="n"/>
      <c r="BQ570" s="53" t="n"/>
      <c r="BR570" s="53" t="n"/>
      <c r="BS570" s="53" t="n"/>
      <c r="BT570" s="53" t="n"/>
      <c r="BU570" s="53" t="n"/>
      <c r="BV570" s="53" t="n"/>
      <c r="BW570" s="53" t="n"/>
      <c r="BX570" s="53" t="n"/>
      <c r="BY570" s="53" t="n"/>
      <c r="BZ570" s="53" t="n"/>
      <c r="CA570" s="53" t="n"/>
      <c r="CB570" s="53" t="n"/>
      <c r="CC570" s="53" t="n"/>
      <c r="CD570" s="53" t="n"/>
      <c r="CE570" s="53" t="n"/>
      <c r="CF570" s="53" t="n"/>
      <c r="CG570" s="53" t="n"/>
      <c r="CH570" s="53" t="n"/>
      <c r="CI570" s="53" t="n"/>
      <c r="CJ570" s="53" t="n"/>
      <c r="CK570" s="53" t="n"/>
      <c r="CL570" s="53" t="n"/>
      <c r="CM570" s="53" t="n"/>
      <c r="CN570" s="53" t="n"/>
      <c r="CO570" s="53" t="n"/>
      <c r="CP570" s="53" t="n"/>
      <c r="CQ570" s="53" t="n"/>
      <c r="CR570" s="53" t="n"/>
      <c r="CS570" s="53" t="n"/>
      <c r="CT570" s="53" t="n"/>
      <c r="CU570" s="53" t="n"/>
      <c r="CV570" s="53" t="n"/>
      <c r="CW570" s="53" t="n"/>
      <c r="CX570" s="53" t="n"/>
      <c r="CY570" s="53" t="n"/>
      <c r="CZ570" s="53" t="n"/>
      <c r="DA570" s="53" t="n"/>
      <c r="DB570" s="53" t="n"/>
      <c r="DC570" s="53" t="n"/>
      <c r="DD570" s="53" t="n"/>
      <c r="DE570" s="53" t="n"/>
      <c r="DF570" s="53" t="n"/>
      <c r="DG570" s="53" t="n"/>
      <c r="DH570" s="53" t="n"/>
      <c r="DI570" s="53" t="n"/>
      <c r="DJ570" s="53" t="n"/>
      <c r="DK570" s="53" t="n"/>
      <c r="DL570" s="53" t="n"/>
      <c r="DM570" s="53" t="n"/>
      <c r="DN570" s="53" t="n"/>
      <c r="DO570" s="53" t="n"/>
      <c r="DP570" s="53" t="n"/>
      <c r="DQ570" s="53" t="n"/>
      <c r="DR570" s="53" t="n"/>
      <c r="DS570" s="53" t="n"/>
      <c r="DT570" s="53" t="n"/>
      <c r="DU570" s="53" t="n"/>
      <c r="DV570" s="53" t="n"/>
      <c r="DW570" s="53" t="n"/>
      <c r="DX570" s="53" t="n"/>
      <c r="DY570" s="53" t="n"/>
      <c r="DZ570" s="53" t="n"/>
      <c r="EA570" s="53" t="n"/>
      <c r="EB570" s="53" t="n"/>
      <c r="EC570" s="53" t="n"/>
      <c r="ED570" s="53" t="n"/>
      <c r="EE570" s="53" t="n"/>
      <c r="EF570" s="53" t="n"/>
      <c r="EG570" s="53" t="n"/>
      <c r="EH570" s="53" t="n"/>
      <c r="EI570" s="53" t="n"/>
      <c r="EJ570" s="53" t="n"/>
      <c r="EK570" s="53" t="n"/>
      <c r="EL570" s="53" t="n"/>
      <c r="EM570" s="53" t="n"/>
      <c r="EN570" s="53" t="n"/>
      <c r="EO570" s="53" t="n"/>
      <c r="EP570" s="53" t="n"/>
      <c r="EQ570" s="53" t="n"/>
      <c r="ER570" s="53" t="n"/>
      <c r="ES570" s="53" t="n"/>
      <c r="ET570" s="53" t="n"/>
      <c r="EU570" s="53" t="n"/>
      <c r="EV570" s="53" t="n"/>
      <c r="EW570" s="52" t="n"/>
      <c r="EX570" s="53" t="n"/>
      <c r="EY570" s="53" t="n"/>
      <c r="EZ570" s="53" t="n"/>
      <c r="FA570" s="53" t="n"/>
      <c r="FB570" s="53" t="n"/>
      <c r="FC570" s="53" t="n"/>
      <c r="FD570" s="53" t="n"/>
      <c r="FE570" s="55" t="inlineStr">
        <is>
          <t>KRAs not received · manager to supply</t>
        </is>
      </c>
      <c r="FF570" s="56" t="n"/>
      <c r="FG570" s="56" t="n"/>
      <c r="FH570" s="56" t="n"/>
      <c r="FI570" s="56" t="n"/>
      <c r="FJ570" s="32" t="inlineStr">
        <is>
          <t>KRAs not received · manager to supply</t>
        </is>
      </c>
      <c r="FK570" s="56" t="n"/>
      <c r="FL570" s="56" t="n">
        <v>19</v>
      </c>
      <c r="FM570" s="32" t="inlineStr">
        <is>
          <t>Full survey answers not in the files received · How We Grow export needed · HR</t>
        </is>
      </c>
      <c r="FN570" s="56" t="inlineStr">
        <is>
          <t>—</t>
        </is>
      </c>
      <c r="FO570" s="56" t="inlineStr">
        <is>
          <t>—</t>
        </is>
      </c>
      <c r="FP570" s="56" t="inlineStr">
        <is>
          <t>—</t>
        </is>
      </c>
      <c r="FQ570" s="56" t="inlineStr">
        <is>
          <t>—</t>
        </is>
      </c>
      <c r="FR570" s="56" t="inlineStr">
        <is>
          <t>Complexity: Evidence reads like A3: Provisions and monitors AWS resources, administers Linux and Faveo, hardens OS, runs backups → matches the start
Autonomy: Evidence reads like A2: Monitors infrastructure, executes backup/restore, optimises AWS resources; routine operational calls → moved down 0.5
Accountability: Evidence reads like A3: Infrastructure availability, backup and recovery, capacity; misconfiguration affects application availability → matches the start
Leadership: Evidence reads like A1: No guiding or leading of others described → moved down 0.5
Business Impact: No survey or manager-mapping signal on criticality: kept at the start point.</t>
        </is>
      </c>
      <c r="FS570" s="56" t="inlineStr">
        <is>
          <t>Common themes in role-holders' answers: server · support · security · windows · infrastructure · system
Common themes in role-holders' answers: server · dns · security · cloud · monitoring · administration
Common themes in role-holders' answers: system · infrastructure · secure · availability · monitoring · disaster
Common themes in role-holders' answers: availability · am · accountable · uptime · security · server
Common themes in role-holders' answers: backup · optimize · monitor · resolve
If the work is missed · role-holders' themes: business · server · data loss.</t>
        </is>
      </c>
      <c r="FT570" s="56" t="inlineStr">
        <is>
          <t>Self-identified: Technical depth &amp; architecture
For the next role: Technical depth &amp; architecture</t>
        </is>
      </c>
      <c r="FU570" s="32" t="inlineStr">
        <is>
          <t>Full survey answers not in the files received · How We Grow export needed · HR</t>
        </is>
      </c>
    </row>
    <row r="571" ht="90" customHeight="1">
      <c r="A571" s="51" t="inlineStr">
        <is>
          <t>◂ Back</t>
        </is>
      </c>
      <c r="B571" s="29" t="inlineStr">
        <is>
          <t>Mapped</t>
        </is>
      </c>
      <c r="C571" s="28" t="inlineStr">
        <is>
          <t>Corporate</t>
        </is>
      </c>
      <c r="D571" s="29" t="inlineStr">
        <is>
          <t>IRIS1958</t>
        </is>
      </c>
      <c r="E571" s="29" t="inlineStr">
        <is>
          <t>Sandip Mane</t>
        </is>
      </c>
      <c r="F571" s="29" t="inlineStr">
        <is>
          <t>IT &amp; Infrastructure</t>
        </is>
      </c>
      <c r="G571" s="29" t="inlineStr">
        <is>
          <t>System Administrator</t>
        </is>
      </c>
      <c r="H571" s="29" t="inlineStr">
        <is>
          <t>Senior System Administrator</t>
        </is>
      </c>
      <c r="I571" s="29" t="inlineStr">
        <is>
          <t>Not in current mapping files</t>
        </is>
      </c>
      <c r="J571" s="29" t="inlineStr">
        <is>
          <t>A3</t>
        </is>
      </c>
      <c r="K571" s="29" t="inlineStr">
        <is>
          <t>● Newly mapped</t>
        </is>
      </c>
      <c r="L571" s="29" t="inlineStr">
        <is>
          <t>IT &amp; Infrastructure</t>
        </is>
      </c>
      <c r="M571" s="29" t="inlineStr">
        <is>
          <t>Infrastructure &amp; Cloud Operations</t>
        </is>
      </c>
      <c r="N571" s="29" t="n"/>
      <c r="O571" s="29" t="n">
        <v>20</v>
      </c>
      <c r="P571" s="28" t="inlineStr">
        <is>
          <t>P2</t>
        </is>
      </c>
      <c r="Q571" s="29" t="inlineStr">
        <is>
          <t>Developing</t>
        </is>
      </c>
      <c r="R571" s="29" t="inlineStr">
        <is>
          <t>3 Apply</t>
        </is>
      </c>
      <c r="S571" s="29" t="inlineStr">
        <is>
          <t>2–4 yrs</t>
        </is>
      </c>
      <c r="T571" s="29" t="inlineStr">
        <is>
          <t>3–5 · 2–5</t>
        </is>
      </c>
      <c r="U571" s="29" t="inlineStr">
        <is>
          <t>System Administrator</t>
        </is>
      </c>
      <c r="V571" s="29" t="inlineStr">
        <is>
          <t>Atlassian company-wide P-levels: P40 · IRIS Vs Competitor Benchmark — infrastructure ladder: System Administrator</t>
        </is>
      </c>
      <c r="W571" s="29" t="inlineStr">
        <is>
          <t>ITIL 4; ISO/IEC 27001:2022; SFIA infrastructure</t>
        </is>
      </c>
      <c r="X571" s="29" t="inlineStr">
        <is>
          <t>Core 2 · Future 2 · Functional 3 · Leadership not scored</t>
        </is>
      </c>
      <c r="Y571" s="52" t="n">
        <v>200</v>
      </c>
      <c r="Z571" s="53" t="inlineStr">
        <is>
          <t>IRIS1958</t>
        </is>
      </c>
      <c r="AA571" s="53" t="inlineStr">
        <is>
          <t>Employee</t>
        </is>
      </c>
      <c r="AB571" s="53" t="inlineStr">
        <is>
          <t>Active</t>
        </is>
      </c>
      <c r="AC571" s="53" t="inlineStr">
        <is>
          <t>Sandip Mane</t>
        </is>
      </c>
      <c r="AD571" s="54" t="n">
        <v>44473</v>
      </c>
      <c r="AE571" s="53" t="inlineStr">
        <is>
          <t>System Administrator</t>
        </is>
      </c>
      <c r="AF571" s="53" t="inlineStr">
        <is>
          <t>B.SC</t>
        </is>
      </c>
      <c r="AG571" s="53" t="inlineStr">
        <is>
          <t>Mahesh Tilave</t>
        </is>
      </c>
      <c r="AH571" s="53" t="inlineStr">
        <is>
          <t>N-2</t>
        </is>
      </c>
      <c r="AI571" s="53" t="inlineStr">
        <is>
          <t>Individual Contributor</t>
        </is>
      </c>
      <c r="AJ571" s="53" t="inlineStr">
        <is>
          <t>5 years, 7 months, 0 days</t>
        </is>
      </c>
      <c r="AK571" s="53" t="inlineStr">
        <is>
          <t>4 years, 10 months, 21 days</t>
        </is>
      </c>
      <c r="AL571" s="53" t="inlineStr">
        <is>
          <t>Corporate</t>
        </is>
      </c>
      <c r="AM571" s="53" t="inlineStr">
        <is>
          <t>Corporate</t>
        </is>
      </c>
      <c r="AN571" s="53" t="inlineStr">
        <is>
          <t>IT &amp; Infrastructure</t>
        </is>
      </c>
      <c r="AO571" s="53" t="inlineStr">
        <is>
          <t>Infra</t>
        </is>
      </c>
      <c r="AP571" s="53" t="inlineStr">
        <is>
          <t>No</t>
        </is>
      </c>
      <c r="AQ571" s="53" t="inlineStr">
        <is>
          <t>General &amp; Admin</t>
        </is>
      </c>
      <c r="AR571" s="53" t="inlineStr">
        <is>
          <t>Infra</t>
        </is>
      </c>
      <c r="AS571" s="53" t="inlineStr">
        <is>
          <t>Non-technical</t>
        </is>
      </c>
      <c r="AT571" s="53" t="n">
        <v>20</v>
      </c>
      <c r="AU571" s="53" t="inlineStr">
        <is>
          <t>Covered</t>
        </is>
      </c>
      <c r="AV571" s="53" t="n"/>
      <c r="AW571" s="53" t="n"/>
      <c r="AX571" s="53" t="n"/>
      <c r="AY571" s="53" t="n"/>
      <c r="AZ571" s="53" t="n"/>
      <c r="BA571" s="53" t="n"/>
      <c r="BB571" s="53" t="n"/>
      <c r="BC571" s="53" t="n"/>
      <c r="BD571" s="53" t="n"/>
      <c r="BE571" s="53" t="n"/>
      <c r="BF571" s="53" t="n"/>
      <c r="BG571" s="53" t="n"/>
      <c r="BH571" s="53" t="n"/>
      <c r="BI571" s="53" t="n"/>
      <c r="BJ571" s="53" t="n"/>
      <c r="BK571" s="53" t="n"/>
      <c r="BL571" s="53" t="n"/>
      <c r="BM571" s="53" t="n"/>
      <c r="BN571" s="53" t="n"/>
      <c r="BO571" s="53" t="n"/>
      <c r="BP571" s="53" t="n"/>
      <c r="BQ571" s="53" t="n"/>
      <c r="BR571" s="53" t="n"/>
      <c r="BS571" s="53" t="n"/>
      <c r="BT571" s="53" t="n"/>
      <c r="BU571" s="53" t="n"/>
      <c r="BV571" s="53" t="n"/>
      <c r="BW571" s="53" t="n"/>
      <c r="BX571" s="53" t="n"/>
      <c r="BY571" s="53" t="n"/>
      <c r="BZ571" s="53" t="n"/>
      <c r="CA571" s="53" t="n"/>
      <c r="CB571" s="53" t="n"/>
      <c r="CC571" s="53" t="n"/>
      <c r="CD571" s="53" t="n"/>
      <c r="CE571" s="53" t="n"/>
      <c r="CF571" s="53" t="n"/>
      <c r="CG571" s="53" t="n"/>
      <c r="CH571" s="53" t="n"/>
      <c r="CI571" s="53" t="n"/>
      <c r="CJ571" s="53" t="n"/>
      <c r="CK571" s="53" t="n"/>
      <c r="CL571" s="53" t="n"/>
      <c r="CM571" s="53" t="n"/>
      <c r="CN571" s="53" t="n"/>
      <c r="CO571" s="53" t="n"/>
      <c r="CP571" s="53" t="n"/>
      <c r="CQ571" s="53" t="n"/>
      <c r="CR571" s="53" t="n"/>
      <c r="CS571" s="53" t="n"/>
      <c r="CT571" s="53" t="n"/>
      <c r="CU571" s="53" t="n"/>
      <c r="CV571" s="53" t="n"/>
      <c r="CW571" s="53" t="n"/>
      <c r="CX571" s="53" t="n"/>
      <c r="CY571" s="53" t="n"/>
      <c r="CZ571" s="53" t="n"/>
      <c r="DA571" s="53" t="n"/>
      <c r="DB571" s="53" t="n"/>
      <c r="DC571" s="53" t="n"/>
      <c r="DD571" s="53" t="n"/>
      <c r="DE571" s="53" t="n"/>
      <c r="DF571" s="53" t="n"/>
      <c r="DG571" s="53" t="n"/>
      <c r="DH571" s="53" t="n"/>
      <c r="DI571" s="53" t="n"/>
      <c r="DJ571" s="53" t="n"/>
      <c r="DK571" s="53" t="n"/>
      <c r="DL571" s="53" t="n"/>
      <c r="DM571" s="53" t="n"/>
      <c r="DN571" s="53" t="n"/>
      <c r="DO571" s="53" t="n"/>
      <c r="DP571" s="53" t="n"/>
      <c r="DQ571" s="53" t="n"/>
      <c r="DR571" s="53" t="n"/>
      <c r="DS571" s="53" t="n"/>
      <c r="DT571" s="53" t="n"/>
      <c r="DU571" s="53" t="n"/>
      <c r="DV571" s="53" t="n"/>
      <c r="DW571" s="53" t="n"/>
      <c r="DX571" s="53" t="n"/>
      <c r="DY571" s="53" t="n"/>
      <c r="DZ571" s="53" t="n"/>
      <c r="EA571" s="53" t="n"/>
      <c r="EB571" s="53" t="n"/>
      <c r="EC571" s="53" t="n"/>
      <c r="ED571" s="53" t="n"/>
      <c r="EE571" s="53" t="n"/>
      <c r="EF571" s="53" t="n"/>
      <c r="EG571" s="53" t="n"/>
      <c r="EH571" s="53" t="n"/>
      <c r="EI571" s="53" t="n"/>
      <c r="EJ571" s="53" t="n"/>
      <c r="EK571" s="53" t="n"/>
      <c r="EL571" s="53" t="n"/>
      <c r="EM571" s="53" t="n"/>
      <c r="EN571" s="53" t="n"/>
      <c r="EO571" s="53" t="n"/>
      <c r="EP571" s="53" t="n"/>
      <c r="EQ571" s="53" t="n"/>
      <c r="ER571" s="53" t="n"/>
      <c r="ES571" s="53" t="n"/>
      <c r="ET571" s="53" t="n"/>
      <c r="EU571" s="53" t="n"/>
      <c r="EV571" s="53" t="n"/>
      <c r="EW571" s="52" t="n"/>
      <c r="EX571" s="53" t="n"/>
      <c r="EY571" s="53" t="n"/>
      <c r="EZ571" s="53" t="n"/>
      <c r="FA571" s="53" t="n"/>
      <c r="FB571" s="53" t="n"/>
      <c r="FC571" s="53" t="n"/>
      <c r="FD571" s="53" t="n"/>
      <c r="FE571" s="55" t="inlineStr">
        <is>
          <t>KRAs not received · manager to supply</t>
        </is>
      </c>
      <c r="FF571" s="56" t="n"/>
      <c r="FG571" s="56" t="n"/>
      <c r="FH571" s="56" t="n"/>
      <c r="FI571" s="56" t="n"/>
      <c r="FJ571" s="32" t="inlineStr">
        <is>
          <t>KRAs not received · manager to supply</t>
        </is>
      </c>
      <c r="FK571" s="56" t="n"/>
      <c r="FL571" s="56" t="n">
        <v>20</v>
      </c>
      <c r="FM571" s="32" t="inlineStr">
        <is>
          <t>Full survey answers not in the files received · How We Grow export needed · HR</t>
        </is>
      </c>
      <c r="FN571" s="56" t="inlineStr">
        <is>
          <t>—</t>
        </is>
      </c>
      <c r="FO571" s="56" t="inlineStr">
        <is>
          <t>—</t>
        </is>
      </c>
      <c r="FP571" s="56" t="inlineStr">
        <is>
          <t>—</t>
        </is>
      </c>
      <c r="FQ571" s="56" t="inlineStr">
        <is>
          <t>—</t>
        </is>
      </c>
      <c r="FR571" s="56" t="inlineStr">
        <is>
          <t>Complexity: Evidence reads like A3: Administers Active Directory, DNS, DHCP, GPO, TFS and Azure; patching and server security → matches the start
Autonomy: Evidence reads like A2: States only 'troubleshoot and resolve'; no wider calls described → moved down 0.5
Accountability: Evidence reads like A3: own survey / KRA answers · summarised by the rater; not quoted → matches the start
Leadership: Evidence reads like A1: No guiding or leading of others described → moved down 0.5
Business Impact: No survey or manager-mapping signal on criticality: kept at the start point.</t>
        </is>
      </c>
      <c r="FS571" s="56" t="inlineStr">
        <is>
          <t>Common themes in role-holders' answers: server · support · security · windows · infrastructure · system
Common themes in role-holders' answers: server · dns · security · cloud · monitoring · administration
Common themes in role-holders' answers: system · infrastructure · secure · availability · monitoring · disaster
Common themes in role-holders' answers: availability · am · accountable · uptime · security · server
Common themes in role-holders' answers: backup · optimize · monitor · resolve
If the work is missed · role-holders' themes: business · server · data loss.</t>
        </is>
      </c>
      <c r="FT571" s="56" t="inlineStr">
        <is>
          <t>Self-identified: Technical depth &amp; architecture
For the next role: Technical depth &amp; architecture</t>
        </is>
      </c>
      <c r="FU571" s="32" t="inlineStr">
        <is>
          <t>Full survey answers not in the files received · How We Grow export needed · HR</t>
        </is>
      </c>
    </row>
    <row r="572" ht="90" customHeight="1">
      <c r="A572" s="51" t="inlineStr">
        <is>
          <t>◂ Back</t>
        </is>
      </c>
      <c r="B572" s="29" t="inlineStr">
        <is>
          <t>Mapped</t>
        </is>
      </c>
      <c r="C572" s="28" t="inlineStr">
        <is>
          <t>Corporate</t>
        </is>
      </c>
      <c r="D572" s="29" t="inlineStr">
        <is>
          <t>IRIS1581</t>
        </is>
      </c>
      <c r="E572" s="29" t="inlineStr">
        <is>
          <t>Vishal Vare</t>
        </is>
      </c>
      <c r="F572" s="29" t="inlineStr">
        <is>
          <t>IT &amp; Infrastructure</t>
        </is>
      </c>
      <c r="G572" s="29" t="inlineStr">
        <is>
          <t>Senior System Administrator</t>
        </is>
      </c>
      <c r="H572" s="29" t="inlineStr">
        <is>
          <t>Senior System Administrator</t>
        </is>
      </c>
      <c r="I572" s="29" t="inlineStr">
        <is>
          <t>Not in current mapping files</t>
        </is>
      </c>
      <c r="J572" s="29" t="inlineStr">
        <is>
          <t>A3</t>
        </is>
      </c>
      <c r="K572" s="29" t="inlineStr">
        <is>
          <t>● Newly mapped</t>
        </is>
      </c>
      <c r="L572" s="29" t="inlineStr">
        <is>
          <t>IT &amp; Infrastructure</t>
        </is>
      </c>
      <c r="M572" s="29" t="inlineStr">
        <is>
          <t>Infrastructure &amp; Cloud Operations</t>
        </is>
      </c>
      <c r="N572" s="29" t="inlineStr">
        <is>
          <t>• Correct the experience record — HR</t>
        </is>
      </c>
      <c r="O572" s="29" t="n">
        <v>20</v>
      </c>
      <c r="P572" s="28" t="inlineStr">
        <is>
          <t>P2</t>
        </is>
      </c>
      <c r="Q572" s="29" t="inlineStr">
        <is>
          <t>Developing</t>
        </is>
      </c>
      <c r="R572" s="29" t="inlineStr">
        <is>
          <t>3 Apply</t>
        </is>
      </c>
      <c r="S572" s="29" t="inlineStr">
        <is>
          <t>2–4 yrs</t>
        </is>
      </c>
      <c r="T572" s="29" t="inlineStr">
        <is>
          <t>3–5 · 2–5</t>
        </is>
      </c>
      <c r="U572" s="29" t="inlineStr">
        <is>
          <t>System Administrator</t>
        </is>
      </c>
      <c r="V572" s="29" t="inlineStr">
        <is>
          <t>Atlassian company-wide P-levels: P40 · IRIS Vs Competitor Benchmark — infrastructure ladder: System Administrator</t>
        </is>
      </c>
      <c r="W572" s="29" t="inlineStr">
        <is>
          <t>ITIL 4; ISO/IEC 27001:2022; SFIA infrastructure</t>
        </is>
      </c>
      <c r="X572" s="29" t="inlineStr">
        <is>
          <t>Core 2 · Future 2 · Functional 3 · Leadership not scored</t>
        </is>
      </c>
      <c r="Y572" s="52" t="n">
        <v>128</v>
      </c>
      <c r="Z572" s="53" t="inlineStr">
        <is>
          <t>IRIS1581</t>
        </is>
      </c>
      <c r="AA572" s="53" t="inlineStr">
        <is>
          <t>Employee</t>
        </is>
      </c>
      <c r="AB572" s="53" t="inlineStr">
        <is>
          <t>Active</t>
        </is>
      </c>
      <c r="AC572" s="53" t="inlineStr">
        <is>
          <t>Vishal Vare</t>
        </is>
      </c>
      <c r="AD572" s="54" t="n">
        <v>42517</v>
      </c>
      <c r="AE572" s="53" t="inlineStr">
        <is>
          <t>Senior System Administrator</t>
        </is>
      </c>
      <c r="AF572" s="53" t="inlineStr">
        <is>
          <t>B.SC</t>
        </is>
      </c>
      <c r="AG572" s="53" t="inlineStr">
        <is>
          <t>Mahesh Tilave</t>
        </is>
      </c>
      <c r="AH572" s="53" t="inlineStr">
        <is>
          <t>N-2</t>
        </is>
      </c>
      <c r="AI572" s="53" t="inlineStr">
        <is>
          <t>Individual Contributor</t>
        </is>
      </c>
      <c r="AJ572" s="53" t="inlineStr">
        <is>
          <t>0 years, 0 months, 0 days</t>
        </is>
      </c>
      <c r="AK572" s="53" t="inlineStr">
        <is>
          <t>10 years, 2 months, 29 days</t>
        </is>
      </c>
      <c r="AL572" s="53" t="inlineStr">
        <is>
          <t>Corporate</t>
        </is>
      </c>
      <c r="AM572" s="53" t="inlineStr">
        <is>
          <t>Corporate</t>
        </is>
      </c>
      <c r="AN572" s="53" t="inlineStr">
        <is>
          <t>IT &amp; Infrastructure</t>
        </is>
      </c>
      <c r="AO572" s="53" t="inlineStr">
        <is>
          <t>Infra</t>
        </is>
      </c>
      <c r="AP572" s="53" t="inlineStr">
        <is>
          <t>No</t>
        </is>
      </c>
      <c r="AQ572" s="53" t="inlineStr">
        <is>
          <t>General &amp; Admin</t>
        </is>
      </c>
      <c r="AR572" s="53" t="inlineStr">
        <is>
          <t>Infra</t>
        </is>
      </c>
      <c r="AS572" s="53" t="inlineStr">
        <is>
          <t>Non-technical</t>
        </is>
      </c>
      <c r="AT572" s="53" t="n">
        <v>20</v>
      </c>
      <c r="AU572" s="53" t="inlineStr">
        <is>
          <t>Covered</t>
        </is>
      </c>
      <c r="AV572" s="53" t="n"/>
      <c r="AW572" s="53" t="n"/>
      <c r="AX572" s="53" t="n"/>
      <c r="AY572" s="53" t="n"/>
      <c r="AZ572" s="53" t="n"/>
      <c r="BA572" s="53" t="n"/>
      <c r="BB572" s="53" t="n"/>
      <c r="BC572" s="53" t="n"/>
      <c r="BD572" s="53" t="n"/>
      <c r="BE572" s="53" t="n"/>
      <c r="BF572" s="53" t="n"/>
      <c r="BG572" s="53" t="n"/>
      <c r="BH572" s="53" t="n"/>
      <c r="BI572" s="53" t="n"/>
      <c r="BJ572" s="53" t="n"/>
      <c r="BK572" s="53" t="n"/>
      <c r="BL572" s="53" t="n"/>
      <c r="BM572" s="53" t="n"/>
      <c r="BN572" s="53" t="n"/>
      <c r="BO572" s="53" t="n"/>
      <c r="BP572" s="53" t="n"/>
      <c r="BQ572" s="53" t="n"/>
      <c r="BR572" s="53" t="n"/>
      <c r="BS572" s="53" t="n"/>
      <c r="BT572" s="53" t="n"/>
      <c r="BU572" s="53" t="n"/>
      <c r="BV572" s="53" t="n"/>
      <c r="BW572" s="53" t="n"/>
      <c r="BX572" s="53" t="n"/>
      <c r="BY572" s="53" t="n"/>
      <c r="BZ572" s="53" t="n"/>
      <c r="CA572" s="53" t="n"/>
      <c r="CB572" s="53" t="n"/>
      <c r="CC572" s="53" t="n"/>
      <c r="CD572" s="53" t="n"/>
      <c r="CE572" s="53" t="n"/>
      <c r="CF572" s="53" t="n"/>
      <c r="CG572" s="53" t="n"/>
      <c r="CH572" s="53" t="n"/>
      <c r="CI572" s="53" t="n"/>
      <c r="CJ572" s="53" t="n"/>
      <c r="CK572" s="53" t="n"/>
      <c r="CL572" s="53" t="n"/>
      <c r="CM572" s="53" t="n"/>
      <c r="CN572" s="53" t="n"/>
      <c r="CO572" s="53" t="n"/>
      <c r="CP572" s="53" t="n"/>
      <c r="CQ572" s="53" t="n"/>
      <c r="CR572" s="53" t="n"/>
      <c r="CS572" s="53" t="n"/>
      <c r="CT572" s="53" t="n"/>
      <c r="CU572" s="53" t="n"/>
      <c r="CV572" s="53" t="n"/>
      <c r="CW572" s="53" t="n"/>
      <c r="CX572" s="53" t="n"/>
      <c r="CY572" s="53" t="n"/>
      <c r="CZ572" s="53" t="n"/>
      <c r="DA572" s="53" t="n"/>
      <c r="DB572" s="53" t="n"/>
      <c r="DC572" s="53" t="n"/>
      <c r="DD572" s="53" t="n"/>
      <c r="DE572" s="53" t="n"/>
      <c r="DF572" s="53" t="n"/>
      <c r="DG572" s="53" t="n"/>
      <c r="DH572" s="53" t="n"/>
      <c r="DI572" s="53" t="n"/>
      <c r="DJ572" s="53" t="n"/>
      <c r="DK572" s="53" t="n"/>
      <c r="DL572" s="53" t="n"/>
      <c r="DM572" s="53" t="n"/>
      <c r="DN572" s="53" t="n"/>
      <c r="DO572" s="53" t="n"/>
      <c r="DP572" s="53" t="n"/>
      <c r="DQ572" s="53" t="n"/>
      <c r="DR572" s="53" t="n"/>
      <c r="DS572" s="53" t="n"/>
      <c r="DT572" s="53" t="n"/>
      <c r="DU572" s="53" t="n"/>
      <c r="DV572" s="53" t="n"/>
      <c r="DW572" s="53" t="n"/>
      <c r="DX572" s="53" t="n"/>
      <c r="DY572" s="53" t="n"/>
      <c r="DZ572" s="53" t="n"/>
      <c r="EA572" s="53" t="n"/>
      <c r="EB572" s="53" t="n"/>
      <c r="EC572" s="53" t="n"/>
      <c r="ED572" s="53" t="n"/>
      <c r="EE572" s="53" t="n"/>
      <c r="EF572" s="53" t="n"/>
      <c r="EG572" s="53" t="n"/>
      <c r="EH572" s="53" t="n"/>
      <c r="EI572" s="53" t="n"/>
      <c r="EJ572" s="53" t="n"/>
      <c r="EK572" s="53" t="n"/>
      <c r="EL572" s="53" t="n"/>
      <c r="EM572" s="53" t="n"/>
      <c r="EN572" s="53" t="n"/>
      <c r="EO572" s="53" t="n"/>
      <c r="EP572" s="53" t="n"/>
      <c r="EQ572" s="53" t="n"/>
      <c r="ER572" s="53" t="n"/>
      <c r="ES572" s="53" t="n"/>
      <c r="ET572" s="53" t="n"/>
      <c r="EU572" s="53" t="n"/>
      <c r="EV572" s="53" t="n"/>
      <c r="EW572" s="52" t="n"/>
      <c r="EX572" s="53" t="n"/>
      <c r="EY572" s="53" t="n"/>
      <c r="EZ572" s="53" t="n"/>
      <c r="FA572" s="53" t="n"/>
      <c r="FB572" s="53" t="n"/>
      <c r="FC572" s="53" t="n"/>
      <c r="FD572" s="53" t="n"/>
      <c r="FE572" s="55" t="inlineStr">
        <is>
          <t>KRAs not received · manager to supply</t>
        </is>
      </c>
      <c r="FF572" s="56" t="n"/>
      <c r="FG572" s="56" t="n"/>
      <c r="FH572" s="56" t="n"/>
      <c r="FI572" s="56" t="n"/>
      <c r="FJ572" s="32" t="inlineStr">
        <is>
          <t>KRAs not received · manager to supply</t>
        </is>
      </c>
      <c r="FK572" s="56" t="n"/>
      <c r="FL572" s="56" t="n">
        <v>20</v>
      </c>
      <c r="FM572" s="32" t="inlineStr">
        <is>
          <t>Full survey answers not in the files received · How We Grow export needed · HR</t>
        </is>
      </c>
      <c r="FN572" s="56" t="inlineStr">
        <is>
          <t>—</t>
        </is>
      </c>
      <c r="FO572" s="56" t="inlineStr">
        <is>
          <t>—</t>
        </is>
      </c>
      <c r="FP572" s="56" t="inlineStr">
        <is>
          <t>—</t>
        </is>
      </c>
      <c r="FQ572" s="56" t="inlineStr">
        <is>
          <t>—</t>
        </is>
      </c>
      <c r="FR572" s="56" t="inlineStr">
        <is>
          <t>Complexity: Evidence reads like A3: Administers AWS infrastructure, GSuite, SendGrid, Linux servers and Cloudflare DNS for the organisation → matches the start
Autonomy: Evidence reads like A2: States only 'Operations'; no specific independent decisions given → moved down 0.5
Accountability: Evidence reads like A3: own survey / KRA answers · summarised by the rater; not quoted → matches the start
Leadership: Evidence reads like A1: No guiding or leading of others described → moved down 0.5
Business Impact: No survey or manager-mapping signal on criticality: kept at the start point.</t>
        </is>
      </c>
      <c r="FS572" s="56" t="inlineStr">
        <is>
          <t>Common themes in role-holders' answers: server · support · security · windows · infrastructure · system
Common themes in role-holders' answers: server · dns · security · cloud · monitoring · administration
Common themes in role-holders' answers: system · infrastructure · secure · availability · monitoring · disaster
Common themes in role-holders' answers: availability · am · accountable · uptime · security · server
Common themes in role-holders' answers: backup · optimize · monitor · resolve
If the work is missed · role-holders' themes: business · server · data loss.</t>
        </is>
      </c>
      <c r="FT572" s="56" t="inlineStr">
        <is>
          <t>Self-identified: Technical depth &amp; architecture · Domain, regulatory &amp; XBRL
For the next role: Technical depth &amp; architecture · Domain, regulatory &amp; XBRL</t>
        </is>
      </c>
      <c r="FU572" s="32" t="inlineStr">
        <is>
          <t>Full survey answers not in the files received · How We Grow export needed · HR</t>
        </is>
      </c>
    </row>
    <row r="573" ht="90" customHeight="1">
      <c r="A573" s="51" t="inlineStr">
        <is>
          <t>◂ Back</t>
        </is>
      </c>
      <c r="B573" s="29" t="inlineStr">
        <is>
          <t>Mapped</t>
        </is>
      </c>
      <c r="C573" s="28" t="inlineStr">
        <is>
          <t>iFile</t>
        </is>
      </c>
      <c r="D573" s="29" t="inlineStr">
        <is>
          <t>No Emp ID · in-house consultant</t>
        </is>
      </c>
      <c r="E573" s="29" t="inlineStr">
        <is>
          <t>Aloke Chatterjee</t>
        </is>
      </c>
      <c r="F573" s="29" t="inlineStr">
        <is>
          <t>Technology</t>
        </is>
      </c>
      <c r="G573" s="29" t="inlineStr">
        <is>
          <t>Consultant</t>
        </is>
      </c>
      <c r="H573" s="29" t="inlineStr">
        <is>
          <t>Associate Consultant – Software Development</t>
        </is>
      </c>
      <c r="I573" s="29" t="inlineStr">
        <is>
          <t>—</t>
        </is>
      </c>
      <c r="J573" s="29" t="inlineStr">
        <is>
          <t>X1</t>
        </is>
      </c>
      <c r="K573" s="29" t="inlineStr">
        <is>
          <t>• Same level</t>
        </is>
      </c>
      <c r="L573" s="29" t="inlineStr">
        <is>
          <t>Engineering &amp; Development</t>
        </is>
      </c>
      <c r="M573" s="29" t="inlineStr">
        <is>
          <t>Backend Development</t>
        </is>
      </c>
      <c r="N573" s="29" t="n"/>
      <c r="O573" s="29" t="n">
        <v>0</v>
      </c>
      <c r="P573" s="28" t="inlineStr">
        <is>
          <t>Contractor</t>
        </is>
      </c>
      <c r="Q573" s="29" t="inlineStr">
        <is>
          <t>—</t>
        </is>
      </c>
      <c r="R573" s="29" t="inlineStr">
        <is>
          <t>—</t>
        </is>
      </c>
      <c r="S573" s="29" t="inlineStr">
        <is>
          <t>0–5 yrs</t>
        </is>
      </c>
      <c r="T573" s="29" t="inlineStr">
        <is>
          <t>—</t>
        </is>
      </c>
      <c r="U573" s="29" t="inlineStr">
        <is>
          <t>Contractor · rate card</t>
        </is>
      </c>
      <c r="V573" s="29" t="inlineStr">
        <is>
          <t>—</t>
        </is>
      </c>
      <c r="W573" s="29" t="inlineStr">
        <is>
          <t>SFIA 9 · software development, programming; OWASP secure coding; cloud vendor certifications</t>
        </is>
      </c>
      <c r="X573" s="29" t="inlineStr">
        <is>
          <t>Per statement of work</t>
        </is>
      </c>
      <c r="Y573" s="52" t="n">
        <v>574</v>
      </c>
      <c r="Z573" s="53" t="n"/>
      <c r="AA573" s="53" t="inlineStr">
        <is>
          <t>In-House Consultant</t>
        </is>
      </c>
      <c r="AB573" s="53" t="inlineStr">
        <is>
          <t>Active</t>
        </is>
      </c>
      <c r="AC573" s="53" t="inlineStr">
        <is>
          <t>Aloke Chatterjee</t>
        </is>
      </c>
      <c r="AD573" s="54" t="n">
        <v>46023</v>
      </c>
      <c r="AE573" s="53" t="inlineStr">
        <is>
          <t>Consultant</t>
        </is>
      </c>
      <c r="AF573" s="53" t="n"/>
      <c r="AG573" s="53" t="n"/>
      <c r="AH573" s="53" t="n"/>
      <c r="AI573" s="53" t="inlineStr">
        <is>
          <t>Individual Contributor</t>
        </is>
      </c>
      <c r="AJ573" s="53" t="n"/>
      <c r="AK573" s="53" t="n"/>
      <c r="AL573" s="53" t="n"/>
      <c r="AM573" s="53" t="inlineStr">
        <is>
          <t>iFile</t>
        </is>
      </c>
      <c r="AN573" s="53" t="inlineStr">
        <is>
          <t>Technology</t>
        </is>
      </c>
      <c r="AO573" s="53" t="inlineStr">
        <is>
          <t>Development</t>
        </is>
      </c>
      <c r="AP573" s="53" t="inlineStr">
        <is>
          <t>Yes</t>
        </is>
      </c>
      <c r="AQ573" s="53" t="inlineStr">
        <is>
          <t>Product/Project</t>
        </is>
      </c>
      <c r="AR573" s="53" t="n"/>
      <c r="AS573" s="53" t="inlineStr">
        <is>
          <t>Technical - Developer</t>
        </is>
      </c>
      <c r="AT573" s="53" t="n">
        <v>0</v>
      </c>
      <c r="AU573" s="53" t="inlineStr">
        <is>
          <t>E-External Consultant</t>
        </is>
      </c>
      <c r="AV573" s="53" t="n"/>
      <c r="AW573" s="53" t="n"/>
      <c r="AX573" s="53" t="n"/>
      <c r="AY573" s="53" t="n"/>
      <c r="AZ573" s="53" t="n"/>
      <c r="BA573" s="53" t="n"/>
      <c r="BB573" s="53" t="n"/>
      <c r="BC573" s="53" t="n"/>
      <c r="BD573" s="53" t="n"/>
      <c r="BE573" s="53" t="n"/>
      <c r="BF573" s="53" t="n"/>
      <c r="BG573" s="53" t="n"/>
      <c r="BH573" s="53" t="n"/>
      <c r="BI573" s="53" t="n"/>
      <c r="BJ573" s="53" t="n"/>
      <c r="BK573" s="53" t="n"/>
      <c r="BL573" s="53" t="n"/>
      <c r="BM573" s="53" t="n"/>
      <c r="BN573" s="53" t="n"/>
      <c r="BO573" s="53" t="n"/>
      <c r="BP573" s="53" t="n"/>
      <c r="BQ573" s="53" t="n"/>
      <c r="BR573" s="53" t="n"/>
      <c r="BS573" s="53" t="n"/>
      <c r="BT573" s="53" t="n"/>
      <c r="BU573" s="53" t="n"/>
      <c r="BV573" s="53" t="n"/>
      <c r="BW573" s="53" t="n"/>
      <c r="BX573" s="53" t="n"/>
      <c r="BY573" s="53" t="n"/>
      <c r="BZ573" s="53" t="n"/>
      <c r="CA573" s="53" t="n"/>
      <c r="CB573" s="53" t="n"/>
      <c r="CC573" s="53" t="n"/>
      <c r="CD573" s="53" t="n"/>
      <c r="CE573" s="53" t="n"/>
      <c r="CF573" s="53" t="n"/>
      <c r="CG573" s="53" t="n"/>
      <c r="CH573" s="53" t="n"/>
      <c r="CI573" s="53" t="n"/>
      <c r="CJ573" s="53" t="n"/>
      <c r="CK573" s="53" t="n"/>
      <c r="CL573" s="53" t="n"/>
      <c r="CM573" s="53" t="n"/>
      <c r="CN573" s="53" t="n"/>
      <c r="CO573" s="53" t="n"/>
      <c r="CP573" s="53" t="n"/>
      <c r="CQ573" s="53" t="n"/>
      <c r="CR573" s="53" t="n"/>
      <c r="CS573" s="53" t="n"/>
      <c r="CT573" s="53" t="n"/>
      <c r="CU573" s="53" t="n"/>
      <c r="CV573" s="53" t="n"/>
      <c r="CW573" s="53" t="n"/>
      <c r="CX573" s="53" t="n"/>
      <c r="CY573" s="53" t="n"/>
      <c r="CZ573" s="53" t="n"/>
      <c r="DA573" s="53" t="n"/>
      <c r="DB573" s="53" t="n"/>
      <c r="DC573" s="53" t="n"/>
      <c r="DD573" s="53" t="n"/>
      <c r="DE573" s="53" t="n"/>
      <c r="DF573" s="53" t="n"/>
      <c r="DG573" s="53" t="n"/>
      <c r="DH573" s="53" t="n"/>
      <c r="DI573" s="53" t="n"/>
      <c r="DJ573" s="53" t="n"/>
      <c r="DK573" s="53" t="n"/>
      <c r="DL573" s="53" t="n"/>
      <c r="DM573" s="53" t="n"/>
      <c r="DN573" s="53" t="n"/>
      <c r="DO573" s="53" t="n"/>
      <c r="DP573" s="53" t="n"/>
      <c r="DQ573" s="53" t="n"/>
      <c r="DR573" s="53" t="n"/>
      <c r="DS573" s="53" t="n"/>
      <c r="DT573" s="53" t="n"/>
      <c r="DU573" s="53" t="n"/>
      <c r="DV573" s="53" t="n"/>
      <c r="DW573" s="53" t="n"/>
      <c r="DX573" s="53" t="n"/>
      <c r="DY573" s="53" t="n"/>
      <c r="DZ573" s="53" t="n"/>
      <c r="EA573" s="53" t="n"/>
      <c r="EB573" s="53" t="n"/>
      <c r="EC573" s="53" t="n"/>
      <c r="ED573" s="53" t="n"/>
      <c r="EE573" s="53" t="n"/>
      <c r="EF573" s="53" t="n"/>
      <c r="EG573" s="53" t="n"/>
      <c r="EH573" s="53" t="n"/>
      <c r="EI573" s="53" t="n"/>
      <c r="EJ573" s="53" t="n"/>
      <c r="EK573" s="53" t="n"/>
      <c r="EL573" s="53" t="n"/>
      <c r="EM573" s="53" t="n"/>
      <c r="EN573" s="53" t="n"/>
      <c r="EO573" s="53" t="n"/>
      <c r="EP573" s="53" t="n"/>
      <c r="EQ573" s="53" t="n"/>
      <c r="ER573" s="53" t="n"/>
      <c r="ES573" s="53" t="n"/>
      <c r="ET573" s="53" t="n"/>
      <c r="EU573" s="53" t="n"/>
      <c r="EV573" s="53" t="n"/>
      <c r="EW573" s="52" t="n"/>
      <c r="EX573" s="53" t="n"/>
      <c r="EY573" s="53" t="n"/>
      <c r="EZ573" s="53" t="n"/>
      <c r="FA573" s="53" t="n"/>
      <c r="FB573" s="53" t="n"/>
      <c r="FC573" s="53" t="n"/>
      <c r="FD573" s="53" t="n"/>
      <c r="FE573" s="55" t="inlineStr">
        <is>
          <t>KRAs not received · manager to supply</t>
        </is>
      </c>
      <c r="FF573" s="56" t="n"/>
      <c r="FG573" s="56" t="n"/>
      <c r="FH573" s="56" t="n"/>
      <c r="FI573" s="56" t="n"/>
      <c r="FJ573" s="32" t="inlineStr">
        <is>
          <t>KRAs not received · manager to supply</t>
        </is>
      </c>
      <c r="FK573" s="56" t="n"/>
      <c r="FL573" s="56" t="n">
        <v>0</v>
      </c>
      <c r="FM573" s="32" t="inlineStr">
        <is>
          <t>No survey response on file</t>
        </is>
      </c>
      <c r="FN573" s="56" t="inlineStr">
        <is>
          <t>—</t>
        </is>
      </c>
      <c r="FO573" s="56" t="inlineStr">
        <is>
          <t>—</t>
        </is>
      </c>
      <c r="FP573" s="56" t="inlineStr">
        <is>
          <t>—</t>
        </is>
      </c>
      <c r="FQ573" s="56" t="inlineStr">
        <is>
          <t>—</t>
        </is>
      </c>
      <c r="FR573" s="56" t="n"/>
      <c r="FS573" s="56"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FT573" s="56" t="n"/>
      <c r="FU573" s="32" t="inlineStr">
        <is>
          <t>No survey response on file</t>
        </is>
      </c>
    </row>
    <row r="574" ht="90" customHeight="1">
      <c r="A574" s="51" t="inlineStr">
        <is>
          <t>◂ Back</t>
        </is>
      </c>
      <c r="B574" s="29" t="inlineStr">
        <is>
          <t>Mapped</t>
        </is>
      </c>
      <c r="C574" s="28" t="inlineStr">
        <is>
          <t>Datatech</t>
        </is>
      </c>
      <c r="D574" s="29" t="inlineStr">
        <is>
          <t>No Emp ID · external consultant</t>
        </is>
      </c>
      <c r="E574" s="29" t="inlineStr">
        <is>
          <t>Arindam Bose</t>
        </is>
      </c>
      <c r="F574" s="29" t="inlineStr">
        <is>
          <t>Not provided · HRIS</t>
        </is>
      </c>
      <c r="G574" s="29" t="inlineStr">
        <is>
          <t>Consultant</t>
        </is>
      </c>
      <c r="H574" s="29" t="inlineStr">
        <is>
          <t>Associate Consultant – Software Development</t>
        </is>
      </c>
      <c r="I574" s="29" t="inlineStr">
        <is>
          <t>—</t>
        </is>
      </c>
      <c r="J574" s="29" t="inlineStr">
        <is>
          <t>X1</t>
        </is>
      </c>
      <c r="K574" s="29" t="inlineStr">
        <is>
          <t>• Same level</t>
        </is>
      </c>
      <c r="L574" s="29" t="inlineStr">
        <is>
          <t>Unassigned</t>
        </is>
      </c>
      <c r="M574" s="29" t="inlineStr">
        <is>
          <t>Role not recorded · external consultant</t>
        </is>
      </c>
      <c r="N574" s="29" t="inlineStr">
        <is>
          <t>• Role and department on record — Business head</t>
        </is>
      </c>
      <c r="O574" s="29" t="n">
        <v>0</v>
      </c>
      <c r="P574" s="28" t="inlineStr">
        <is>
          <t>Contractor</t>
        </is>
      </c>
      <c r="Q574" s="29" t="inlineStr">
        <is>
          <t>—</t>
        </is>
      </c>
      <c r="R574" s="29" t="inlineStr">
        <is>
          <t>—</t>
        </is>
      </c>
      <c r="S574" s="29" t="inlineStr">
        <is>
          <t>0–5 yrs</t>
        </is>
      </c>
      <c r="T574" s="29" t="inlineStr">
        <is>
          <t>—</t>
        </is>
      </c>
      <c r="U574" s="29" t="inlineStr">
        <is>
          <t>Contractor · rate card</t>
        </is>
      </c>
      <c r="V574" s="29" t="inlineStr">
        <is>
          <t>—</t>
        </is>
      </c>
      <c r="W574" s="29" t="inlineStr">
        <is>
          <t>—</t>
        </is>
      </c>
      <c r="X574" s="29" t="inlineStr">
        <is>
          <t>Per statement of work</t>
        </is>
      </c>
      <c r="Y574" s="52" t="n">
        <v>585</v>
      </c>
      <c r="Z574" s="53" t="n"/>
      <c r="AA574" s="53" t="inlineStr">
        <is>
          <t>External Consultant</t>
        </is>
      </c>
      <c r="AB574" s="53" t="inlineStr">
        <is>
          <t>Active</t>
        </is>
      </c>
      <c r="AC574" s="53" t="inlineStr">
        <is>
          <t>Arindam Bose</t>
        </is>
      </c>
      <c r="AD574" s="54" t="n">
        <v>46266</v>
      </c>
      <c r="AE574" s="53" t="inlineStr">
        <is>
          <t>Consultant</t>
        </is>
      </c>
      <c r="AF574" s="53" t="n"/>
      <c r="AG574" s="53" t="n"/>
      <c r="AH574" s="53" t="n"/>
      <c r="AI574" s="53" t="inlineStr">
        <is>
          <t>Individual Contributor</t>
        </is>
      </c>
      <c r="AJ574" s="53" t="n"/>
      <c r="AK574" s="53" t="n"/>
      <c r="AL574" s="53" t="n"/>
      <c r="AM574" s="53" t="inlineStr">
        <is>
          <t>Datatech</t>
        </is>
      </c>
      <c r="AN574" s="53" t="n"/>
      <c r="AO574" s="53" t="n"/>
      <c r="AP574" s="53" t="n"/>
      <c r="AQ574" s="53" t="n"/>
      <c r="AR574" s="53" t="n"/>
      <c r="AS574" s="53" t="n"/>
      <c r="AT574" s="53" t="n">
        <v>0</v>
      </c>
      <c r="AU574" s="53" t="inlineStr">
        <is>
          <t>E-External Consultant</t>
        </is>
      </c>
      <c r="AV574" s="53" t="n"/>
      <c r="AW574" s="53" t="n"/>
      <c r="AX574" s="53" t="n"/>
      <c r="AY574" s="53" t="n"/>
      <c r="AZ574" s="53" t="n"/>
      <c r="BA574" s="53" t="n"/>
      <c r="BB574" s="53" t="n"/>
      <c r="BC574" s="53" t="n"/>
      <c r="BD574" s="53" t="n"/>
      <c r="BE574" s="53" t="n"/>
      <c r="BF574" s="53" t="n"/>
      <c r="BG574" s="53" t="n"/>
      <c r="BH574" s="53" t="n"/>
      <c r="BI574" s="53" t="n"/>
      <c r="BJ574" s="53" t="n"/>
      <c r="BK574" s="53" t="n"/>
      <c r="BL574" s="53" t="n"/>
      <c r="BM574" s="53" t="n"/>
      <c r="BN574" s="53" t="n"/>
      <c r="BO574" s="53" t="n"/>
      <c r="BP574" s="53" t="n"/>
      <c r="BQ574" s="53" t="n"/>
      <c r="BR574" s="53" t="n"/>
      <c r="BS574" s="53" t="n"/>
      <c r="BT574" s="53" t="n"/>
      <c r="BU574" s="53" t="n"/>
      <c r="BV574" s="53" t="n"/>
      <c r="BW574" s="53" t="n"/>
      <c r="BX574" s="53" t="n"/>
      <c r="BY574" s="53" t="n"/>
      <c r="BZ574" s="53" t="n"/>
      <c r="CA574" s="53" t="n"/>
      <c r="CB574" s="53" t="n"/>
      <c r="CC574" s="53" t="n"/>
      <c r="CD574" s="53" t="n"/>
      <c r="CE574" s="53" t="n"/>
      <c r="CF574" s="53" t="n"/>
      <c r="CG574" s="53" t="n"/>
      <c r="CH574" s="53" t="n"/>
      <c r="CI574" s="53" t="n"/>
      <c r="CJ574" s="53" t="n"/>
      <c r="CK574" s="53" t="n"/>
      <c r="CL574" s="53" t="n"/>
      <c r="CM574" s="53" t="n"/>
      <c r="CN574" s="53" t="n"/>
      <c r="CO574" s="53" t="n"/>
      <c r="CP574" s="53" t="n"/>
      <c r="CQ574" s="53" t="n"/>
      <c r="CR574" s="53" t="n"/>
      <c r="CS574" s="53" t="n"/>
      <c r="CT574" s="53" t="n"/>
      <c r="CU574" s="53" t="n"/>
      <c r="CV574" s="53" t="n"/>
      <c r="CW574" s="53" t="n"/>
      <c r="CX574" s="53" t="n"/>
      <c r="CY574" s="53" t="n"/>
      <c r="CZ574" s="53" t="n"/>
      <c r="DA574" s="53" t="n"/>
      <c r="DB574" s="53" t="n"/>
      <c r="DC574" s="53" t="n"/>
      <c r="DD574" s="53" t="n"/>
      <c r="DE574" s="53" t="n"/>
      <c r="DF574" s="53" t="n"/>
      <c r="DG574" s="53" t="n"/>
      <c r="DH574" s="53" t="n"/>
      <c r="DI574" s="53" t="n"/>
      <c r="DJ574" s="53" t="n"/>
      <c r="DK574" s="53" t="n"/>
      <c r="DL574" s="53" t="n"/>
      <c r="DM574" s="53" t="n"/>
      <c r="DN574" s="53" t="n"/>
      <c r="DO574" s="53" t="n"/>
      <c r="DP574" s="53" t="n"/>
      <c r="DQ574" s="53" t="n"/>
      <c r="DR574" s="53" t="n"/>
      <c r="DS574" s="53" t="n"/>
      <c r="DT574" s="53" t="n"/>
      <c r="DU574" s="53" t="n"/>
      <c r="DV574" s="53" t="n"/>
      <c r="DW574" s="53" t="n"/>
      <c r="DX574" s="53" t="n"/>
      <c r="DY574" s="53" t="n"/>
      <c r="DZ574" s="53" t="n"/>
      <c r="EA574" s="53" t="n"/>
      <c r="EB574" s="53" t="n"/>
      <c r="EC574" s="53" t="n"/>
      <c r="ED574" s="53" t="n"/>
      <c r="EE574" s="53" t="n"/>
      <c r="EF574" s="53" t="n"/>
      <c r="EG574" s="53" t="n"/>
      <c r="EH574" s="53" t="n"/>
      <c r="EI574" s="53" t="n"/>
      <c r="EJ574" s="53" t="n"/>
      <c r="EK574" s="53" t="n"/>
      <c r="EL574" s="53" t="n"/>
      <c r="EM574" s="53" t="n"/>
      <c r="EN574" s="53" t="n"/>
      <c r="EO574" s="53" t="n"/>
      <c r="EP574" s="53" t="n"/>
      <c r="EQ574" s="53" t="n"/>
      <c r="ER574" s="53" t="n"/>
      <c r="ES574" s="53" t="n"/>
      <c r="ET574" s="53" t="n"/>
      <c r="EU574" s="53" t="n"/>
      <c r="EV574" s="53" t="n"/>
      <c r="EW574" s="52" t="n"/>
      <c r="EX574" s="53" t="n"/>
      <c r="EY574" s="53" t="n"/>
      <c r="EZ574" s="53" t="n"/>
      <c r="FA574" s="53" t="n"/>
      <c r="FB574" s="53" t="n"/>
      <c r="FC574" s="53" t="n"/>
      <c r="FD574" s="53" t="n"/>
      <c r="FE574" s="55" t="inlineStr">
        <is>
          <t>KRAs not received · manager to supply</t>
        </is>
      </c>
      <c r="FF574" s="56" t="n"/>
      <c r="FG574" s="56" t="n"/>
      <c r="FH574" s="56" t="n"/>
      <c r="FI574" s="56" t="n"/>
      <c r="FJ574" s="32" t="inlineStr">
        <is>
          <t>KRAs not received · manager to supply</t>
        </is>
      </c>
      <c r="FK574" s="56" t="n"/>
      <c r="FL574" s="56" t="n">
        <v>0</v>
      </c>
      <c r="FM574" s="32" t="inlineStr">
        <is>
          <t>No survey response on file</t>
        </is>
      </c>
      <c r="FN574" s="56" t="inlineStr">
        <is>
          <t>—</t>
        </is>
      </c>
      <c r="FO574" s="56" t="inlineStr">
        <is>
          <t>—</t>
        </is>
      </c>
      <c r="FP574" s="56" t="inlineStr">
        <is>
          <t>—</t>
        </is>
      </c>
      <c r="FQ574" s="56" t="inlineStr">
        <is>
          <t>—</t>
        </is>
      </c>
      <c r="FR574" s="56" t="n"/>
      <c r="FS574" s="56" t="n"/>
      <c r="FT574" s="56" t="n"/>
      <c r="FU574" s="32" t="inlineStr">
        <is>
          <t>No survey response on file</t>
        </is>
      </c>
    </row>
    <row r="575" ht="90" customHeight="1">
      <c r="A575" s="51" t="inlineStr">
        <is>
          <t>◂ Back</t>
        </is>
      </c>
      <c r="B575" s="29" t="inlineStr">
        <is>
          <t>Mapped</t>
        </is>
      </c>
      <c r="C575" s="28" t="inlineStr">
        <is>
          <t>iFile</t>
        </is>
      </c>
      <c r="D575" s="29" t="inlineStr">
        <is>
          <t>No Emp ID · external consultant</t>
        </is>
      </c>
      <c r="E575" s="29" t="inlineStr">
        <is>
          <t>Bhumika Viroja</t>
        </is>
      </c>
      <c r="F575" s="29" t="inlineStr">
        <is>
          <t>Technology</t>
        </is>
      </c>
      <c r="G575" s="29" t="inlineStr">
        <is>
          <t>Consultant</t>
        </is>
      </c>
      <c r="H575" s="29" t="inlineStr">
        <is>
          <t>Associate Consultant – Software Development</t>
        </is>
      </c>
      <c r="I575" s="29" t="inlineStr">
        <is>
          <t>—</t>
        </is>
      </c>
      <c r="J575" s="29" t="inlineStr">
        <is>
          <t>X1</t>
        </is>
      </c>
      <c r="K575" s="29" t="inlineStr">
        <is>
          <t>• Same level</t>
        </is>
      </c>
      <c r="L575" s="29" t="inlineStr">
        <is>
          <t>Engineering &amp; Development</t>
        </is>
      </c>
      <c r="M575" s="29" t="inlineStr">
        <is>
          <t>Backend Development</t>
        </is>
      </c>
      <c r="N575" s="29" t="n"/>
      <c r="O575" s="29" t="n">
        <v>0</v>
      </c>
      <c r="P575" s="28" t="inlineStr">
        <is>
          <t>Contractor</t>
        </is>
      </c>
      <c r="Q575" s="29" t="inlineStr">
        <is>
          <t>—</t>
        </is>
      </c>
      <c r="R575" s="29" t="inlineStr">
        <is>
          <t>—</t>
        </is>
      </c>
      <c r="S575" s="29" t="inlineStr">
        <is>
          <t>0–5 yrs</t>
        </is>
      </c>
      <c r="T575" s="29" t="inlineStr">
        <is>
          <t>—</t>
        </is>
      </c>
      <c r="U575" s="29" t="inlineStr">
        <is>
          <t>Contractor · rate card</t>
        </is>
      </c>
      <c r="V575" s="29" t="inlineStr">
        <is>
          <t>—</t>
        </is>
      </c>
      <c r="W575" s="29" t="inlineStr">
        <is>
          <t>SFIA 9 · software development, programming; OWASP secure coding; cloud vendor certifications</t>
        </is>
      </c>
      <c r="X575" s="29" t="inlineStr">
        <is>
          <t>Per statement of work</t>
        </is>
      </c>
      <c r="Y575" s="52" t="n">
        <v>571</v>
      </c>
      <c r="Z575" s="53" t="n"/>
      <c r="AA575" s="53" t="inlineStr">
        <is>
          <t>External Consultant</t>
        </is>
      </c>
      <c r="AB575" s="53" t="inlineStr">
        <is>
          <t>Active</t>
        </is>
      </c>
      <c r="AC575" s="53" t="inlineStr">
        <is>
          <t>Bhumika Viroja</t>
        </is>
      </c>
      <c r="AD575" s="54" t="n">
        <v>45425</v>
      </c>
      <c r="AE575" s="53" t="inlineStr">
        <is>
          <t>Consultant</t>
        </is>
      </c>
      <c r="AF575" s="53" t="n"/>
      <c r="AG575" s="53" t="n"/>
      <c r="AH575" s="53" t="n"/>
      <c r="AI575" s="53" t="inlineStr">
        <is>
          <t>Individual Contributor</t>
        </is>
      </c>
      <c r="AJ575" s="53" t="n"/>
      <c r="AK575" s="53" t="n"/>
      <c r="AL575" s="53" t="n"/>
      <c r="AM575" s="53" t="inlineStr">
        <is>
          <t>iFile</t>
        </is>
      </c>
      <c r="AN575" s="53" t="inlineStr">
        <is>
          <t>Technology</t>
        </is>
      </c>
      <c r="AO575" s="53" t="inlineStr">
        <is>
          <t>Development</t>
        </is>
      </c>
      <c r="AP575" s="53" t="inlineStr">
        <is>
          <t>Yes</t>
        </is>
      </c>
      <c r="AQ575" s="53" t="inlineStr">
        <is>
          <t>Product/Project</t>
        </is>
      </c>
      <c r="AR575" s="53" t="n"/>
      <c r="AS575" s="53" t="inlineStr">
        <is>
          <t>Technical - Developer</t>
        </is>
      </c>
      <c r="AT575" s="53" t="n">
        <v>0</v>
      </c>
      <c r="AU575" s="53" t="inlineStr">
        <is>
          <t>E-External Consultant</t>
        </is>
      </c>
      <c r="AV575" s="53" t="n"/>
      <c r="AW575" s="53" t="n"/>
      <c r="AX575" s="53" t="n"/>
      <c r="AY575" s="53" t="n"/>
      <c r="AZ575" s="53" t="n"/>
      <c r="BA575" s="53" t="n"/>
      <c r="BB575" s="53" t="n"/>
      <c r="BC575" s="53" t="n"/>
      <c r="BD575" s="53" t="n"/>
      <c r="BE575" s="53" t="n"/>
      <c r="BF575" s="53" t="n"/>
      <c r="BG575" s="53" t="n"/>
      <c r="BH575" s="53" t="n"/>
      <c r="BI575" s="53" t="n"/>
      <c r="BJ575" s="53" t="n"/>
      <c r="BK575" s="53" t="n"/>
      <c r="BL575" s="53" t="n"/>
      <c r="BM575" s="53" t="n"/>
      <c r="BN575" s="53" t="n"/>
      <c r="BO575" s="53" t="n"/>
      <c r="BP575" s="53" t="n"/>
      <c r="BQ575" s="53" t="n"/>
      <c r="BR575" s="53" t="n"/>
      <c r="BS575" s="53" t="n"/>
      <c r="BT575" s="53" t="n"/>
      <c r="BU575" s="53" t="n"/>
      <c r="BV575" s="53" t="n"/>
      <c r="BW575" s="53" t="n"/>
      <c r="BX575" s="53" t="n"/>
      <c r="BY575" s="53" t="n"/>
      <c r="BZ575" s="53" t="n"/>
      <c r="CA575" s="53" t="n"/>
      <c r="CB575" s="53" t="n"/>
      <c r="CC575" s="53" t="n"/>
      <c r="CD575" s="53" t="n"/>
      <c r="CE575" s="53" t="n"/>
      <c r="CF575" s="53" t="n"/>
      <c r="CG575" s="53" t="n"/>
      <c r="CH575" s="53" t="n"/>
      <c r="CI575" s="53" t="n"/>
      <c r="CJ575" s="53" t="n"/>
      <c r="CK575" s="53" t="n"/>
      <c r="CL575" s="53" t="n"/>
      <c r="CM575" s="53" t="n"/>
      <c r="CN575" s="53" t="n"/>
      <c r="CO575" s="53" t="n"/>
      <c r="CP575" s="53" t="n"/>
      <c r="CQ575" s="53" t="n"/>
      <c r="CR575" s="53" t="n"/>
      <c r="CS575" s="53" t="n"/>
      <c r="CT575" s="53" t="n"/>
      <c r="CU575" s="53" t="n"/>
      <c r="CV575" s="53" t="n"/>
      <c r="CW575" s="53" t="n"/>
      <c r="CX575" s="53" t="n"/>
      <c r="CY575" s="53" t="n"/>
      <c r="CZ575" s="53" t="n"/>
      <c r="DA575" s="53" t="n"/>
      <c r="DB575" s="53" t="n"/>
      <c r="DC575" s="53" t="n"/>
      <c r="DD575" s="53" t="n"/>
      <c r="DE575" s="53" t="n"/>
      <c r="DF575" s="53" t="n"/>
      <c r="DG575" s="53" t="n"/>
      <c r="DH575" s="53" t="n"/>
      <c r="DI575" s="53" t="n"/>
      <c r="DJ575" s="53" t="n"/>
      <c r="DK575" s="53" t="n"/>
      <c r="DL575" s="53" t="n"/>
      <c r="DM575" s="53" t="n"/>
      <c r="DN575" s="53" t="n"/>
      <c r="DO575" s="53" t="n"/>
      <c r="DP575" s="53" t="n"/>
      <c r="DQ575" s="53" t="n"/>
      <c r="DR575" s="53" t="n"/>
      <c r="DS575" s="53" t="n"/>
      <c r="DT575" s="53" t="n"/>
      <c r="DU575" s="53" t="n"/>
      <c r="DV575" s="53" t="n"/>
      <c r="DW575" s="53" t="n"/>
      <c r="DX575" s="53" t="n"/>
      <c r="DY575" s="53" t="n"/>
      <c r="DZ575" s="53" t="n"/>
      <c r="EA575" s="53" t="n"/>
      <c r="EB575" s="53" t="n"/>
      <c r="EC575" s="53" t="n"/>
      <c r="ED575" s="53" t="n"/>
      <c r="EE575" s="53" t="n"/>
      <c r="EF575" s="53" t="n"/>
      <c r="EG575" s="53" t="n"/>
      <c r="EH575" s="53" t="n"/>
      <c r="EI575" s="53" t="n"/>
      <c r="EJ575" s="53" t="n"/>
      <c r="EK575" s="53" t="n"/>
      <c r="EL575" s="53" t="n"/>
      <c r="EM575" s="53" t="n"/>
      <c r="EN575" s="53" t="n"/>
      <c r="EO575" s="53" t="n"/>
      <c r="EP575" s="53" t="n"/>
      <c r="EQ575" s="53" t="n"/>
      <c r="ER575" s="53" t="n"/>
      <c r="ES575" s="53" t="n"/>
      <c r="ET575" s="53" t="n"/>
      <c r="EU575" s="53" t="n"/>
      <c r="EV575" s="53" t="n"/>
      <c r="EW575" s="52" t="n"/>
      <c r="EX575" s="53" t="n"/>
      <c r="EY575" s="53" t="n"/>
      <c r="EZ575" s="53" t="n"/>
      <c r="FA575" s="53" t="n"/>
      <c r="FB575" s="53" t="n"/>
      <c r="FC575" s="53" t="n"/>
      <c r="FD575" s="53" t="n"/>
      <c r="FE575" s="55" t="inlineStr">
        <is>
          <t>KRAs not received · manager to supply</t>
        </is>
      </c>
      <c r="FF575" s="56" t="n"/>
      <c r="FG575" s="56" t="n"/>
      <c r="FH575" s="56" t="n"/>
      <c r="FI575" s="56" t="n"/>
      <c r="FJ575" s="32" t="inlineStr">
        <is>
          <t>KRAs not received · manager to supply</t>
        </is>
      </c>
      <c r="FK575" s="56" t="n"/>
      <c r="FL575" s="56" t="n">
        <v>0</v>
      </c>
      <c r="FM575" s="32" t="inlineStr">
        <is>
          <t>No survey response on file</t>
        </is>
      </c>
      <c r="FN575" s="56" t="inlineStr">
        <is>
          <t>—</t>
        </is>
      </c>
      <c r="FO575" s="56" t="inlineStr">
        <is>
          <t>—</t>
        </is>
      </c>
      <c r="FP575" s="56" t="inlineStr">
        <is>
          <t>—</t>
        </is>
      </c>
      <c r="FQ575" s="56" t="inlineStr">
        <is>
          <t>—</t>
        </is>
      </c>
      <c r="FR575" s="56" t="n"/>
      <c r="FS575" s="56"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FT575" s="56" t="n"/>
      <c r="FU575" s="32" t="inlineStr">
        <is>
          <t>No survey response on file</t>
        </is>
      </c>
    </row>
    <row r="576" ht="90" customHeight="1">
      <c r="A576" s="51" t="inlineStr">
        <is>
          <t>◂ Back</t>
        </is>
      </c>
      <c r="B576" s="29" t="inlineStr">
        <is>
          <t>Mapped</t>
        </is>
      </c>
      <c r="C576" s="28" t="inlineStr">
        <is>
          <t>iFile</t>
        </is>
      </c>
      <c r="D576" s="29" t="inlineStr">
        <is>
          <t>No Emp ID · external consultant</t>
        </is>
      </c>
      <c r="E576" s="29" t="inlineStr">
        <is>
          <t>Dhruv Patel</t>
        </is>
      </c>
      <c r="F576" s="29" t="inlineStr">
        <is>
          <t>Technology</t>
        </is>
      </c>
      <c r="G576" s="29" t="inlineStr">
        <is>
          <t>Consultant</t>
        </is>
      </c>
      <c r="H576" s="29" t="inlineStr">
        <is>
          <t>Associate Consultant – Software Development</t>
        </is>
      </c>
      <c r="I576" s="29" t="inlineStr">
        <is>
          <t>—</t>
        </is>
      </c>
      <c r="J576" s="29" t="inlineStr">
        <is>
          <t>X1</t>
        </is>
      </c>
      <c r="K576" s="29" t="inlineStr">
        <is>
          <t>• Same level</t>
        </is>
      </c>
      <c r="L576" s="29" t="inlineStr">
        <is>
          <t>Engineering &amp; Development</t>
        </is>
      </c>
      <c r="M576" s="29" t="inlineStr">
        <is>
          <t>Backend Development</t>
        </is>
      </c>
      <c r="N576" s="29" t="n"/>
      <c r="O576" s="29" t="n">
        <v>0</v>
      </c>
      <c r="P576" s="28" t="inlineStr">
        <is>
          <t>Contractor</t>
        </is>
      </c>
      <c r="Q576" s="29" t="inlineStr">
        <is>
          <t>—</t>
        </is>
      </c>
      <c r="R576" s="29" t="inlineStr">
        <is>
          <t>—</t>
        </is>
      </c>
      <c r="S576" s="29" t="inlineStr">
        <is>
          <t>0–5 yrs</t>
        </is>
      </c>
      <c r="T576" s="29" t="inlineStr">
        <is>
          <t>—</t>
        </is>
      </c>
      <c r="U576" s="29" t="inlineStr">
        <is>
          <t>Contractor · rate card</t>
        </is>
      </c>
      <c r="V576" s="29" t="inlineStr">
        <is>
          <t>—</t>
        </is>
      </c>
      <c r="W576" s="29" t="inlineStr">
        <is>
          <t>SFIA 9 · software development, programming; OWASP secure coding; cloud vendor certifications</t>
        </is>
      </c>
      <c r="X576" s="29" t="inlineStr">
        <is>
          <t>Per statement of work</t>
        </is>
      </c>
      <c r="Y576" s="52" t="n">
        <v>572</v>
      </c>
      <c r="Z576" s="53" t="n"/>
      <c r="AA576" s="53" t="inlineStr">
        <is>
          <t>External Consultant</t>
        </is>
      </c>
      <c r="AB576" s="53" t="inlineStr">
        <is>
          <t>Active</t>
        </is>
      </c>
      <c r="AC576" s="53" t="inlineStr">
        <is>
          <t>Dhruv Patel</t>
        </is>
      </c>
      <c r="AD576" s="54" t="n">
        <v>45495</v>
      </c>
      <c r="AE576" s="53" t="inlineStr">
        <is>
          <t>Consultant</t>
        </is>
      </c>
      <c r="AF576" s="53" t="n"/>
      <c r="AG576" s="53" t="n"/>
      <c r="AH576" s="53" t="n"/>
      <c r="AI576" s="53" t="inlineStr">
        <is>
          <t>Individual Contributor</t>
        </is>
      </c>
      <c r="AJ576" s="53" t="n"/>
      <c r="AK576" s="53" t="n"/>
      <c r="AL576" s="53" t="n"/>
      <c r="AM576" s="53" t="inlineStr">
        <is>
          <t>iFile</t>
        </is>
      </c>
      <c r="AN576" s="53" t="inlineStr">
        <is>
          <t>Technology</t>
        </is>
      </c>
      <c r="AO576" s="53" t="inlineStr">
        <is>
          <t>Development</t>
        </is>
      </c>
      <c r="AP576" s="53" t="inlineStr">
        <is>
          <t>Yes</t>
        </is>
      </c>
      <c r="AQ576" s="53" t="inlineStr">
        <is>
          <t>Product/Project</t>
        </is>
      </c>
      <c r="AR576" s="53" t="n"/>
      <c r="AS576" s="53" t="inlineStr">
        <is>
          <t>Technical - Developer</t>
        </is>
      </c>
      <c r="AT576" s="53" t="n">
        <v>0</v>
      </c>
      <c r="AU576" s="53" t="inlineStr">
        <is>
          <t>E-External Consultant</t>
        </is>
      </c>
      <c r="AV576" s="53" t="n"/>
      <c r="AW576" s="53" t="n"/>
      <c r="AX576" s="53" t="n"/>
      <c r="AY576" s="53" t="n"/>
      <c r="AZ576" s="53" t="n"/>
      <c r="BA576" s="53" t="n"/>
      <c r="BB576" s="53" t="n"/>
      <c r="BC576" s="53" t="n"/>
      <c r="BD576" s="53" t="n"/>
      <c r="BE576" s="53" t="n"/>
      <c r="BF576" s="53" t="n"/>
      <c r="BG576" s="53" t="n"/>
      <c r="BH576" s="53" t="n"/>
      <c r="BI576" s="53" t="n"/>
      <c r="BJ576" s="53" t="n"/>
      <c r="BK576" s="53" t="n"/>
      <c r="BL576" s="53" t="n"/>
      <c r="BM576" s="53" t="n"/>
      <c r="BN576" s="53" t="n"/>
      <c r="BO576" s="53" t="n"/>
      <c r="BP576" s="53" t="n"/>
      <c r="BQ576" s="53" t="n"/>
      <c r="BR576" s="53" t="n"/>
      <c r="BS576" s="53" t="n"/>
      <c r="BT576" s="53" t="n"/>
      <c r="BU576" s="53" t="n"/>
      <c r="BV576" s="53" t="n"/>
      <c r="BW576" s="53" t="n"/>
      <c r="BX576" s="53" t="n"/>
      <c r="BY576" s="53" t="n"/>
      <c r="BZ576" s="53" t="n"/>
      <c r="CA576" s="53" t="n"/>
      <c r="CB576" s="53" t="n"/>
      <c r="CC576" s="53" t="n"/>
      <c r="CD576" s="53" t="n"/>
      <c r="CE576" s="53" t="n"/>
      <c r="CF576" s="53" t="n"/>
      <c r="CG576" s="53" t="n"/>
      <c r="CH576" s="53" t="n"/>
      <c r="CI576" s="53" t="n"/>
      <c r="CJ576" s="53" t="n"/>
      <c r="CK576" s="53" t="n"/>
      <c r="CL576" s="53" t="n"/>
      <c r="CM576" s="53" t="n"/>
      <c r="CN576" s="53" t="n"/>
      <c r="CO576" s="53" t="n"/>
      <c r="CP576" s="53" t="n"/>
      <c r="CQ576" s="53" t="n"/>
      <c r="CR576" s="53" t="n"/>
      <c r="CS576" s="53" t="n"/>
      <c r="CT576" s="53" t="n"/>
      <c r="CU576" s="53" t="n"/>
      <c r="CV576" s="53" t="n"/>
      <c r="CW576" s="53" t="n"/>
      <c r="CX576" s="53" t="n"/>
      <c r="CY576" s="53" t="n"/>
      <c r="CZ576" s="53" t="n"/>
      <c r="DA576" s="53" t="n"/>
      <c r="DB576" s="53" t="n"/>
      <c r="DC576" s="53" t="n"/>
      <c r="DD576" s="53" t="n"/>
      <c r="DE576" s="53" t="n"/>
      <c r="DF576" s="53" t="n"/>
      <c r="DG576" s="53" t="n"/>
      <c r="DH576" s="53" t="n"/>
      <c r="DI576" s="53" t="n"/>
      <c r="DJ576" s="53" t="n"/>
      <c r="DK576" s="53" t="n"/>
      <c r="DL576" s="53" t="n"/>
      <c r="DM576" s="53" t="n"/>
      <c r="DN576" s="53" t="n"/>
      <c r="DO576" s="53" t="n"/>
      <c r="DP576" s="53" t="n"/>
      <c r="DQ576" s="53" t="n"/>
      <c r="DR576" s="53" t="n"/>
      <c r="DS576" s="53" t="n"/>
      <c r="DT576" s="53" t="n"/>
      <c r="DU576" s="53" t="n"/>
      <c r="DV576" s="53" t="n"/>
      <c r="DW576" s="53" t="n"/>
      <c r="DX576" s="53" t="n"/>
      <c r="DY576" s="53" t="n"/>
      <c r="DZ576" s="53" t="n"/>
      <c r="EA576" s="53" t="n"/>
      <c r="EB576" s="53" t="n"/>
      <c r="EC576" s="53" t="n"/>
      <c r="ED576" s="53" t="n"/>
      <c r="EE576" s="53" t="n"/>
      <c r="EF576" s="53" t="n"/>
      <c r="EG576" s="53" t="n"/>
      <c r="EH576" s="53" t="n"/>
      <c r="EI576" s="53" t="n"/>
      <c r="EJ576" s="53" t="n"/>
      <c r="EK576" s="53" t="n"/>
      <c r="EL576" s="53" t="n"/>
      <c r="EM576" s="53" t="n"/>
      <c r="EN576" s="53" t="n"/>
      <c r="EO576" s="53" t="n"/>
      <c r="EP576" s="53" t="n"/>
      <c r="EQ576" s="53" t="n"/>
      <c r="ER576" s="53" t="n"/>
      <c r="ES576" s="53" t="n"/>
      <c r="ET576" s="53" t="n"/>
      <c r="EU576" s="53" t="n"/>
      <c r="EV576" s="53" t="n"/>
      <c r="EW576" s="52" t="n"/>
      <c r="EX576" s="53" t="n"/>
      <c r="EY576" s="53" t="n"/>
      <c r="EZ576" s="53" t="n"/>
      <c r="FA576" s="53" t="n"/>
      <c r="FB576" s="53" t="n"/>
      <c r="FC576" s="53" t="n"/>
      <c r="FD576" s="53" t="n"/>
      <c r="FE576" s="55" t="inlineStr">
        <is>
          <t>KRAs not received · manager to supply</t>
        </is>
      </c>
      <c r="FF576" s="56" t="n"/>
      <c r="FG576" s="56" t="n"/>
      <c r="FH576" s="56" t="n"/>
      <c r="FI576" s="56" t="n"/>
      <c r="FJ576" s="32" t="inlineStr">
        <is>
          <t>KRAs not received · manager to supply</t>
        </is>
      </c>
      <c r="FK576" s="56" t="n"/>
      <c r="FL576" s="56" t="n">
        <v>0</v>
      </c>
      <c r="FM576" s="32" t="inlineStr">
        <is>
          <t>No survey response on file</t>
        </is>
      </c>
      <c r="FN576" s="56" t="inlineStr">
        <is>
          <t>—</t>
        </is>
      </c>
      <c r="FO576" s="56" t="inlineStr">
        <is>
          <t>—</t>
        </is>
      </c>
      <c r="FP576" s="56" t="inlineStr">
        <is>
          <t>—</t>
        </is>
      </c>
      <c r="FQ576" s="56" t="inlineStr">
        <is>
          <t>—</t>
        </is>
      </c>
      <c r="FR576" s="56" t="n"/>
      <c r="FS576" s="56"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FT576" s="56" t="n"/>
      <c r="FU576" s="32" t="inlineStr">
        <is>
          <t>No survey response on file</t>
        </is>
      </c>
    </row>
    <row r="577" ht="90" customHeight="1">
      <c r="A577" s="51" t="inlineStr">
        <is>
          <t>◂ Back</t>
        </is>
      </c>
      <c r="B577" s="29" t="inlineStr">
        <is>
          <t>Mapped</t>
        </is>
      </c>
      <c r="C577" s="28" t="inlineStr">
        <is>
          <t>iFile</t>
        </is>
      </c>
      <c r="D577" s="29" t="inlineStr">
        <is>
          <t>No Emp ID · external consultant</t>
        </is>
      </c>
      <c r="E577" s="29" t="inlineStr">
        <is>
          <t>Dinesh Choudhary</t>
        </is>
      </c>
      <c r="F577" s="29" t="inlineStr">
        <is>
          <t>Technology</t>
        </is>
      </c>
      <c r="G577" s="29" t="inlineStr">
        <is>
          <t>Consultant</t>
        </is>
      </c>
      <c r="H577" s="29" t="inlineStr">
        <is>
          <t>Associate Consultant – Software Development</t>
        </is>
      </c>
      <c r="I577" s="29" t="inlineStr">
        <is>
          <t>L3 – Professional / Associate</t>
        </is>
      </c>
      <c r="J577" s="29" t="inlineStr">
        <is>
          <t>X1</t>
        </is>
      </c>
      <c r="K577" s="29" t="inlineStr">
        <is>
          <t>• Same level</t>
        </is>
      </c>
      <c r="L577" s="29" t="inlineStr">
        <is>
          <t>Engineering &amp; Development</t>
        </is>
      </c>
      <c r="M577" s="29" t="inlineStr">
        <is>
          <t>Backend Development</t>
        </is>
      </c>
      <c r="N577" s="29" t="n"/>
      <c r="O577" s="29" t="n">
        <v>0</v>
      </c>
      <c r="P577" s="28" t="inlineStr">
        <is>
          <t>Contractor</t>
        </is>
      </c>
      <c r="Q577" s="29" t="inlineStr">
        <is>
          <t>—</t>
        </is>
      </c>
      <c r="R577" s="29" t="inlineStr">
        <is>
          <t>—</t>
        </is>
      </c>
      <c r="S577" s="29" t="inlineStr">
        <is>
          <t>0–5 yrs</t>
        </is>
      </c>
      <c r="T577" s="29" t="inlineStr">
        <is>
          <t>—</t>
        </is>
      </c>
      <c r="U577" s="29" t="inlineStr">
        <is>
          <t>Contractor · rate card</t>
        </is>
      </c>
      <c r="V577" s="29" t="inlineStr">
        <is>
          <t>—</t>
        </is>
      </c>
      <c r="W577" s="29" t="inlineStr">
        <is>
          <t>SFIA 9 · software development, programming; OWASP secure coding; cloud vendor certifications</t>
        </is>
      </c>
      <c r="X577" s="29" t="inlineStr">
        <is>
          <t>Per statement of work</t>
        </is>
      </c>
      <c r="Y577" s="52" t="n">
        <v>573</v>
      </c>
      <c r="Z577" s="53" t="n"/>
      <c r="AA577" s="53" t="inlineStr">
        <is>
          <t>External Consultant</t>
        </is>
      </c>
      <c r="AB577" s="53" t="inlineStr">
        <is>
          <t>Active</t>
        </is>
      </c>
      <c r="AC577" s="53" t="inlineStr">
        <is>
          <t>Dinesh Choudhary</t>
        </is>
      </c>
      <c r="AD577" s="54" t="n">
        <v>45756</v>
      </c>
      <c r="AE577" s="53" t="inlineStr">
        <is>
          <t>Consultant</t>
        </is>
      </c>
      <c r="AF577" s="53" t="n"/>
      <c r="AG577" s="53" t="n"/>
      <c r="AH577" s="53" t="n"/>
      <c r="AI577" s="53" t="inlineStr">
        <is>
          <t>Individual Contributor</t>
        </is>
      </c>
      <c r="AJ577" s="53" t="n"/>
      <c r="AK577" s="53" t="n"/>
      <c r="AL577" s="53" t="n"/>
      <c r="AM577" s="53" t="inlineStr">
        <is>
          <t>iFile</t>
        </is>
      </c>
      <c r="AN577" s="53" t="inlineStr">
        <is>
          <t>Technology</t>
        </is>
      </c>
      <c r="AO577" s="53" t="inlineStr">
        <is>
          <t>Development</t>
        </is>
      </c>
      <c r="AP577" s="53" t="inlineStr">
        <is>
          <t>Yes</t>
        </is>
      </c>
      <c r="AQ577" s="53" t="inlineStr">
        <is>
          <t>Product/Project</t>
        </is>
      </c>
      <c r="AR577" s="53" t="n"/>
      <c r="AS577" s="53" t="inlineStr">
        <is>
          <t>Technical - Developer</t>
        </is>
      </c>
      <c r="AT577" s="53" t="n">
        <v>0</v>
      </c>
      <c r="AU577" s="53" t="inlineStr">
        <is>
          <t>E-External Consultant</t>
        </is>
      </c>
      <c r="AV577" s="53" t="n"/>
      <c r="AW577" s="53" t="n"/>
      <c r="AX577" s="53" t="n"/>
      <c r="AY577" s="53" t="n"/>
      <c r="AZ577" s="53" t="n"/>
      <c r="BA577" s="53" t="n"/>
      <c r="BB577" s="53" t="n"/>
      <c r="BC577" s="53" t="n"/>
      <c r="BD577" s="53" t="n"/>
      <c r="BE577" s="53" t="n"/>
      <c r="BF577" s="53" t="n"/>
      <c r="BG577" s="53" t="n"/>
      <c r="BH577" s="53" t="n"/>
      <c r="BI577" s="53" t="n"/>
      <c r="BJ577" s="53" t="n"/>
      <c r="BK577" s="53" t="n"/>
      <c r="BL577" s="53" t="n"/>
      <c r="BM577" s="53" t="n"/>
      <c r="BN577" s="53" t="n"/>
      <c r="BO577" s="53" t="n"/>
      <c r="BP577" s="53" t="n"/>
      <c r="BQ577" s="53" t="n"/>
      <c r="BR577" s="53" t="n"/>
      <c r="BS577" s="53" t="n"/>
      <c r="BT577" s="53" t="n"/>
      <c r="BU577" s="53" t="n"/>
      <c r="BV577" s="53" t="n"/>
      <c r="BW577" s="53" t="n"/>
      <c r="BX577" s="53" t="n"/>
      <c r="BY577" s="53" t="n"/>
      <c r="BZ577" s="53" t="n"/>
      <c r="CA577" s="53" t="n"/>
      <c r="CB577" s="53" t="n"/>
      <c r="CC577" s="53" t="n"/>
      <c r="CD577" s="53" t="n"/>
      <c r="CE577" s="53" t="n"/>
      <c r="CF577" s="53" t="n"/>
      <c r="CG577" s="53" t="n"/>
      <c r="CH577" s="53" t="n"/>
      <c r="CI577" s="53" t="n"/>
      <c r="CJ577" s="53" t="n"/>
      <c r="CK577" s="53" t="n"/>
      <c r="CL577" s="53" t="n"/>
      <c r="CM577" s="53" t="n"/>
      <c r="CN577" s="53" t="n"/>
      <c r="CO577" s="53" t="n"/>
      <c r="CP577" s="53" t="n"/>
      <c r="CQ577" s="53" t="n"/>
      <c r="CR577" s="53" t="n"/>
      <c r="CS577" s="53" t="n"/>
      <c r="CT577" s="53" t="n"/>
      <c r="CU577" s="53" t="n"/>
      <c r="CV577" s="53" t="n"/>
      <c r="CW577" s="53" t="n"/>
      <c r="CX577" s="53" t="n"/>
      <c r="CY577" s="53" t="n"/>
      <c r="CZ577" s="53" t="n"/>
      <c r="DA577" s="53" t="n"/>
      <c r="DB577" s="53" t="n"/>
      <c r="DC577" s="53" t="n"/>
      <c r="DD577" s="53" t="inlineStr">
        <is>
          <t>IRISC309</t>
        </is>
      </c>
      <c r="DE577" s="53" t="inlineStr">
        <is>
          <t>External Consultant</t>
        </is>
      </c>
      <c r="DF577" s="53" t="inlineStr">
        <is>
          <t>Active</t>
        </is>
      </c>
      <c r="DG577" s="53" t="inlineStr">
        <is>
          <t>Dinesh Choudhary</t>
        </is>
      </c>
      <c r="DH577" s="54" t="n">
        <v>45756</v>
      </c>
      <c r="DI577" s="53" t="inlineStr">
        <is>
          <t>Consultant</t>
        </is>
      </c>
      <c r="DJ577" s="53" t="inlineStr">
        <is>
          <t>Engineering &amp; Development</t>
        </is>
      </c>
      <c r="DK577" s="53" t="inlineStr">
        <is>
          <t>Backend Engineering · Java</t>
        </is>
      </c>
      <c r="DL577" s="53" t="inlineStr">
        <is>
          <t>Consultant</t>
        </is>
      </c>
      <c r="DM577" s="53" t="inlineStr">
        <is>
          <t>L3 – Professional / Associate</t>
        </is>
      </c>
      <c r="DN577" s="53" t="inlineStr">
        <is>
          <t>B.Tech</t>
        </is>
      </c>
      <c r="DO577" s="53" t="inlineStr">
        <is>
          <t>Suman Kumar</t>
        </is>
      </c>
      <c r="DP577" s="53" t="inlineStr">
        <is>
          <t>N-3</t>
        </is>
      </c>
      <c r="DQ577" s="53" t="inlineStr">
        <is>
          <t>Individual Contributor</t>
        </is>
      </c>
      <c r="DR577" s="53" t="inlineStr">
        <is>
          <t>4 years, 0 months, 0 days</t>
        </is>
      </c>
      <c r="DS577" s="53" t="inlineStr">
        <is>
          <t>1 years, 2 months, 11 days</t>
        </is>
      </c>
      <c r="DT577" s="53" t="inlineStr">
        <is>
          <t>5 years, 2 months, 11 days</t>
        </is>
      </c>
      <c r="DU577" s="53" t="n"/>
      <c r="DV577" s="53" t="inlineStr">
        <is>
          <t>Suptech</t>
        </is>
      </c>
      <c r="DW577" s="53" t="inlineStr">
        <is>
          <t>iFile</t>
        </is>
      </c>
      <c r="DX577" s="53" t="inlineStr">
        <is>
          <t>Technology</t>
        </is>
      </c>
      <c r="DY577" s="53" t="inlineStr">
        <is>
          <t>Development</t>
        </is>
      </c>
      <c r="DZ577" s="53" t="inlineStr">
        <is>
          <t>Yes</t>
        </is>
      </c>
      <c r="EA577" s="53" t="inlineStr">
        <is>
          <t>Product/Project</t>
        </is>
      </c>
      <c r="EB577" s="53" t="inlineStr">
        <is>
          <t>Java</t>
        </is>
      </c>
      <c r="EC577" s="53" t="inlineStr">
        <is>
          <t>Technical - Developer</t>
        </is>
      </c>
      <c r="ED577" s="53" t="inlineStr">
        <is>
          <t>Remote- Outside Mumbai</t>
        </is>
      </c>
      <c r="EE577" s="53" t="inlineStr">
        <is>
          <t>1. Identify various security tools, their features and differences
2. Implement BPMN workflow
3. Implement the enhancement for CSV Validation engine
4. Implement sonar gate
5. Implement approach to automate unit test case writing
6. Contribute to phase 4 development</t>
        </is>
      </c>
      <c r="EF577" s="53"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EG577" s="53"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EH577" s="53" t="n">
        <v>4</v>
      </c>
      <c r="EI577" s="54" t="n">
        <v>46113</v>
      </c>
      <c r="EJ577" s="53" t="inlineStr">
        <is>
          <t>Consultant</t>
        </is>
      </c>
      <c r="EK577" s="53" t="inlineStr">
        <is>
          <t>No</t>
        </is>
      </c>
      <c r="EL577" s="53" t="n">
        <v>4</v>
      </c>
      <c r="EM577" s="53" t="inlineStr">
        <is>
          <t>High</t>
        </is>
      </c>
      <c r="EN577" s="53" t="inlineStr">
        <is>
          <t>High Impact / Growth Talent</t>
        </is>
      </c>
      <c r="EO577" s="53" t="inlineStr">
        <is>
          <t>No</t>
        </is>
      </c>
      <c r="EP577" s="53" t="inlineStr">
        <is>
          <t>No</t>
        </is>
      </c>
      <c r="EQ577" s="53" t="inlineStr">
        <is>
          <t>Yes</t>
        </is>
      </c>
      <c r="ER577" s="53" t="n"/>
      <c r="ES577" s="53" t="inlineStr">
        <is>
          <t>Reactive Programming/Spring AI/System Design &amp; Pattern</t>
        </is>
      </c>
      <c r="ET577" s="53" t="n"/>
      <c r="EU577" s="53" t="n"/>
      <c r="EV577" s="53" t="n"/>
      <c r="EW577" s="52" t="n"/>
      <c r="EX577" s="53" t="n"/>
      <c r="EY577" s="53" t="n"/>
      <c r="EZ577" s="53" t="n"/>
      <c r="FA577" s="53" t="n"/>
      <c r="FB577" s="53" t="n"/>
      <c r="FC577" s="53" t="n"/>
      <c r="FD577" s="53" t="inlineStr">
        <is>
          <t>IRISC309</t>
        </is>
      </c>
      <c r="FE577" s="57"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t>
        </is>
      </c>
      <c r="FF577" s="56"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t>
        </is>
      </c>
      <c r="FG577" s="56" t="inlineStr">
        <is>
          <t>1. Identify various security tools, their features and differences
2. Implement BPMN workflow
3. Implement the enhancement for CSV Validation engine
4. Implement sonar gate
5. Implement approach to automate unit test case writing
6. Contribute to phase 4 development</t>
        </is>
      </c>
      <c r="FH577" s="56" t="inlineStr">
        <is>
          <t>4</t>
        </is>
      </c>
      <c r="FI577" s="56" t="n"/>
      <c r="FJ577" s="56" t="inlineStr">
        <is>
          <t>Received · manager annual, quarterly, self</t>
        </is>
      </c>
      <c r="FK577" s="56" t="inlineStr">
        <is>
          <t>Talent Mapping · iFile collated</t>
        </is>
      </c>
      <c r="FL577" s="56" t="n">
        <v>0</v>
      </c>
      <c r="FM577" s="32" t="inlineStr">
        <is>
          <t>No survey response on file</t>
        </is>
      </c>
      <c r="FN577" s="56" t="inlineStr">
        <is>
          <t>—</t>
        </is>
      </c>
      <c r="FO577" s="56" t="inlineStr">
        <is>
          <t>—</t>
        </is>
      </c>
      <c r="FP577" s="56" t="inlineStr">
        <is>
          <t>—</t>
        </is>
      </c>
      <c r="FQ577" s="56" t="inlineStr">
        <is>
          <t>—</t>
        </is>
      </c>
      <c r="FR577" s="56" t="n"/>
      <c r="FS577" s="56"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FT577" s="56" t="n"/>
      <c r="FU577" s="32" t="inlineStr">
        <is>
          <t>No survey response on file</t>
        </is>
      </c>
    </row>
    <row r="578" ht="90" customHeight="1">
      <c r="A578" s="51" t="inlineStr">
        <is>
          <t>◂ Back</t>
        </is>
      </c>
      <c r="B578" s="29" t="inlineStr">
        <is>
          <t>Mapped</t>
        </is>
      </c>
      <c r="C578" s="28" t="inlineStr">
        <is>
          <t>iFile</t>
        </is>
      </c>
      <c r="D578" s="29" t="inlineStr">
        <is>
          <t>No Emp ID · external consultant</t>
        </is>
      </c>
      <c r="E578" s="29" t="inlineStr">
        <is>
          <t>Falguni</t>
        </is>
      </c>
      <c r="F578" s="29" t="inlineStr">
        <is>
          <t>Technology</t>
        </is>
      </c>
      <c r="G578" s="29" t="inlineStr">
        <is>
          <t>Consultant</t>
        </is>
      </c>
      <c r="H578" s="29" t="inlineStr">
        <is>
          <t>Associate Consultant – Software Development</t>
        </is>
      </c>
      <c r="I578" s="29" t="inlineStr">
        <is>
          <t>—</t>
        </is>
      </c>
      <c r="J578" s="29" t="inlineStr">
        <is>
          <t>X1</t>
        </is>
      </c>
      <c r="K578" s="29" t="inlineStr">
        <is>
          <t>• Same level</t>
        </is>
      </c>
      <c r="L578" s="29" t="inlineStr">
        <is>
          <t>Engineering &amp; Development</t>
        </is>
      </c>
      <c r="M578" s="29" t="inlineStr">
        <is>
          <t>Backend Development</t>
        </is>
      </c>
      <c r="N578" s="29" t="n"/>
      <c r="O578" s="29" t="n">
        <v>0</v>
      </c>
      <c r="P578" s="28" t="inlineStr">
        <is>
          <t>Contractor</t>
        </is>
      </c>
      <c r="Q578" s="29" t="inlineStr">
        <is>
          <t>—</t>
        </is>
      </c>
      <c r="R578" s="29" t="inlineStr">
        <is>
          <t>—</t>
        </is>
      </c>
      <c r="S578" s="29" t="inlineStr">
        <is>
          <t>0–5 yrs</t>
        </is>
      </c>
      <c r="T578" s="29" t="inlineStr">
        <is>
          <t>—</t>
        </is>
      </c>
      <c r="U578" s="29" t="inlineStr">
        <is>
          <t>Contractor · rate card</t>
        </is>
      </c>
      <c r="V578" s="29" t="inlineStr">
        <is>
          <t>—</t>
        </is>
      </c>
      <c r="W578" s="29" t="inlineStr">
        <is>
          <t>SFIA 9 · software development, programming; OWASP secure coding; cloud vendor certifications</t>
        </is>
      </c>
      <c r="X578" s="29" t="inlineStr">
        <is>
          <t>Per statement of work</t>
        </is>
      </c>
      <c r="Y578" s="52" t="n">
        <v>575</v>
      </c>
      <c r="Z578" s="53" t="n"/>
      <c r="AA578" s="53" t="inlineStr">
        <is>
          <t>External Consultant</t>
        </is>
      </c>
      <c r="AB578" s="53" t="inlineStr">
        <is>
          <t>Active</t>
        </is>
      </c>
      <c r="AC578" s="53" t="inlineStr">
        <is>
          <t>Falguni</t>
        </is>
      </c>
      <c r="AD578" s="54" t="n">
        <v>46052</v>
      </c>
      <c r="AE578" s="53" t="inlineStr">
        <is>
          <t>Consultant</t>
        </is>
      </c>
      <c r="AF578" s="53" t="n"/>
      <c r="AG578" s="53" t="n"/>
      <c r="AH578" s="53" t="n"/>
      <c r="AI578" s="53" t="inlineStr">
        <is>
          <t>Individual Contributor</t>
        </is>
      </c>
      <c r="AJ578" s="53" t="n"/>
      <c r="AK578" s="53" t="n"/>
      <c r="AL578" s="53" t="n"/>
      <c r="AM578" s="53" t="inlineStr">
        <is>
          <t>iFile</t>
        </is>
      </c>
      <c r="AN578" s="53" t="inlineStr">
        <is>
          <t>Technology</t>
        </is>
      </c>
      <c r="AO578" s="53" t="inlineStr">
        <is>
          <t>Development</t>
        </is>
      </c>
      <c r="AP578" s="53" t="inlineStr">
        <is>
          <t>Yes</t>
        </is>
      </c>
      <c r="AQ578" s="53" t="inlineStr">
        <is>
          <t>Product/Project</t>
        </is>
      </c>
      <c r="AR578" s="53" t="n"/>
      <c r="AS578" s="53" t="inlineStr">
        <is>
          <t>Technical - Developer</t>
        </is>
      </c>
      <c r="AT578" s="53" t="n">
        <v>0</v>
      </c>
      <c r="AU578" s="53" t="inlineStr">
        <is>
          <t>E-External Consultant</t>
        </is>
      </c>
      <c r="AV578" s="53" t="n"/>
      <c r="AW578" s="53" t="n"/>
      <c r="AX578" s="53" t="n"/>
      <c r="AY578" s="53" t="n"/>
      <c r="AZ578" s="53" t="n"/>
      <c r="BA578" s="53" t="n"/>
      <c r="BB578" s="53" t="n"/>
      <c r="BC578" s="53" t="n"/>
      <c r="BD578" s="53" t="n"/>
      <c r="BE578" s="53" t="n"/>
      <c r="BF578" s="53" t="n"/>
      <c r="BG578" s="53" t="n"/>
      <c r="BH578" s="53" t="n"/>
      <c r="BI578" s="53" t="n"/>
      <c r="BJ578" s="53" t="n"/>
      <c r="BK578" s="53" t="n"/>
      <c r="BL578" s="53" t="n"/>
      <c r="BM578" s="53" t="n"/>
      <c r="BN578" s="53" t="n"/>
      <c r="BO578" s="53" t="n"/>
      <c r="BP578" s="53" t="n"/>
      <c r="BQ578" s="53" t="n"/>
      <c r="BR578" s="53" t="n"/>
      <c r="BS578" s="53" t="n"/>
      <c r="BT578" s="53" t="n"/>
      <c r="BU578" s="53" t="n"/>
      <c r="BV578" s="53" t="n"/>
      <c r="BW578" s="53" t="n"/>
      <c r="BX578" s="53" t="n"/>
      <c r="BY578" s="53" t="n"/>
      <c r="BZ578" s="53" t="n"/>
      <c r="CA578" s="53" t="n"/>
      <c r="CB578" s="53" t="n"/>
      <c r="CC578" s="53" t="n"/>
      <c r="CD578" s="53" t="n"/>
      <c r="CE578" s="53" t="n"/>
      <c r="CF578" s="53" t="n"/>
      <c r="CG578" s="53" t="n"/>
      <c r="CH578" s="53" t="n"/>
      <c r="CI578" s="53" t="n"/>
      <c r="CJ578" s="53" t="n"/>
      <c r="CK578" s="53" t="n"/>
      <c r="CL578" s="53" t="n"/>
      <c r="CM578" s="53" t="n"/>
      <c r="CN578" s="53" t="n"/>
      <c r="CO578" s="53" t="n"/>
      <c r="CP578" s="53" t="n"/>
      <c r="CQ578" s="53" t="n"/>
      <c r="CR578" s="53" t="n"/>
      <c r="CS578" s="53" t="n"/>
      <c r="CT578" s="53" t="n"/>
      <c r="CU578" s="53" t="n"/>
      <c r="CV578" s="53" t="n"/>
      <c r="CW578" s="53" t="n"/>
      <c r="CX578" s="53" t="n"/>
      <c r="CY578" s="53" t="n"/>
      <c r="CZ578" s="53" t="n"/>
      <c r="DA578" s="53" t="n"/>
      <c r="DB578" s="53" t="n"/>
      <c r="DC578" s="53" t="n"/>
      <c r="DD578" s="53" t="n"/>
      <c r="DE578" s="53" t="n"/>
      <c r="DF578" s="53" t="n"/>
      <c r="DG578" s="53" t="n"/>
      <c r="DH578" s="53" t="n"/>
      <c r="DI578" s="53" t="n"/>
      <c r="DJ578" s="53" t="n"/>
      <c r="DK578" s="53" t="n"/>
      <c r="DL578" s="53" t="n"/>
      <c r="DM578" s="53" t="n"/>
      <c r="DN578" s="53" t="n"/>
      <c r="DO578" s="53" t="n"/>
      <c r="DP578" s="53" t="n"/>
      <c r="DQ578" s="53" t="n"/>
      <c r="DR578" s="53" t="n"/>
      <c r="DS578" s="53" t="n"/>
      <c r="DT578" s="53" t="n"/>
      <c r="DU578" s="53" t="n"/>
      <c r="DV578" s="53" t="n"/>
      <c r="DW578" s="53" t="n"/>
      <c r="DX578" s="53" t="n"/>
      <c r="DY578" s="53" t="n"/>
      <c r="DZ578" s="53" t="n"/>
      <c r="EA578" s="53" t="n"/>
      <c r="EB578" s="53" t="n"/>
      <c r="EC578" s="53" t="n"/>
      <c r="ED578" s="53" t="n"/>
      <c r="EE578" s="53" t="n"/>
      <c r="EF578" s="53" t="n"/>
      <c r="EG578" s="53" t="n"/>
      <c r="EH578" s="53" t="n"/>
      <c r="EI578" s="53" t="n"/>
      <c r="EJ578" s="53" t="n"/>
      <c r="EK578" s="53" t="n"/>
      <c r="EL578" s="53" t="n"/>
      <c r="EM578" s="53" t="n"/>
      <c r="EN578" s="53" t="n"/>
      <c r="EO578" s="53" t="n"/>
      <c r="EP578" s="53" t="n"/>
      <c r="EQ578" s="53" t="n"/>
      <c r="ER578" s="53" t="n"/>
      <c r="ES578" s="53" t="n"/>
      <c r="ET578" s="53" t="n"/>
      <c r="EU578" s="53" t="n"/>
      <c r="EV578" s="53" t="n"/>
      <c r="EW578" s="52" t="n"/>
      <c r="EX578" s="53" t="n"/>
      <c r="EY578" s="53" t="n"/>
      <c r="EZ578" s="53" t="n"/>
      <c r="FA578" s="53" t="n"/>
      <c r="FB578" s="53" t="n"/>
      <c r="FC578" s="53" t="n"/>
      <c r="FD578" s="53" t="n"/>
      <c r="FE578" s="55" t="inlineStr">
        <is>
          <t>KRAs not received · manager to supply</t>
        </is>
      </c>
      <c r="FF578" s="56" t="n"/>
      <c r="FG578" s="56" t="n"/>
      <c r="FH578" s="56" t="n"/>
      <c r="FI578" s="56" t="n"/>
      <c r="FJ578" s="32" t="inlineStr">
        <is>
          <t>KRAs not received · manager to supply</t>
        </is>
      </c>
      <c r="FK578" s="56" t="n"/>
      <c r="FL578" s="56" t="n">
        <v>0</v>
      </c>
      <c r="FM578" s="32" t="inlineStr">
        <is>
          <t>No survey response on file</t>
        </is>
      </c>
      <c r="FN578" s="56" t="inlineStr">
        <is>
          <t>—</t>
        </is>
      </c>
      <c r="FO578" s="56" t="inlineStr">
        <is>
          <t>—</t>
        </is>
      </c>
      <c r="FP578" s="56" t="inlineStr">
        <is>
          <t>—</t>
        </is>
      </c>
      <c r="FQ578" s="56" t="inlineStr">
        <is>
          <t>—</t>
        </is>
      </c>
      <c r="FR578" s="56" t="n"/>
      <c r="FS578" s="56"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FT578" s="56" t="n"/>
      <c r="FU578" s="32" t="inlineStr">
        <is>
          <t>No survey response on file</t>
        </is>
      </c>
    </row>
    <row r="579" ht="90" customHeight="1">
      <c r="A579" s="51" t="inlineStr">
        <is>
          <t>◂ Back</t>
        </is>
      </c>
      <c r="B579" s="29" t="inlineStr">
        <is>
          <t>Mapped</t>
        </is>
      </c>
      <c r="C579" s="28" t="inlineStr">
        <is>
          <t>iFile</t>
        </is>
      </c>
      <c r="D579" s="29" t="inlineStr">
        <is>
          <t>No Emp ID · external consultant</t>
        </is>
      </c>
      <c r="E579" s="29" t="inlineStr">
        <is>
          <t>Hardikraja</t>
        </is>
      </c>
      <c r="F579" s="29" t="inlineStr">
        <is>
          <t>Technology</t>
        </is>
      </c>
      <c r="G579" s="29" t="inlineStr">
        <is>
          <t>Consultant</t>
        </is>
      </c>
      <c r="H579" s="29" t="inlineStr">
        <is>
          <t>Associate Consultant – Software Development</t>
        </is>
      </c>
      <c r="I579" s="29" t="inlineStr">
        <is>
          <t>—</t>
        </is>
      </c>
      <c r="J579" s="29" t="inlineStr">
        <is>
          <t>X1</t>
        </is>
      </c>
      <c r="K579" s="29" t="inlineStr">
        <is>
          <t>• Same level</t>
        </is>
      </c>
      <c r="L579" s="29" t="inlineStr">
        <is>
          <t>Engineering &amp; Development</t>
        </is>
      </c>
      <c r="M579" s="29" t="inlineStr">
        <is>
          <t>Backend Development</t>
        </is>
      </c>
      <c r="N579" s="29" t="n"/>
      <c r="O579" s="29" t="n">
        <v>0</v>
      </c>
      <c r="P579" s="28" t="inlineStr">
        <is>
          <t>Contractor</t>
        </is>
      </c>
      <c r="Q579" s="29" t="inlineStr">
        <is>
          <t>—</t>
        </is>
      </c>
      <c r="R579" s="29" t="inlineStr">
        <is>
          <t>—</t>
        </is>
      </c>
      <c r="S579" s="29" t="inlineStr">
        <is>
          <t>0–5 yrs</t>
        </is>
      </c>
      <c r="T579" s="29" t="inlineStr">
        <is>
          <t>—</t>
        </is>
      </c>
      <c r="U579" s="29" t="inlineStr">
        <is>
          <t>Contractor · rate card</t>
        </is>
      </c>
      <c r="V579" s="29" t="inlineStr">
        <is>
          <t>—</t>
        </is>
      </c>
      <c r="W579" s="29" t="inlineStr">
        <is>
          <t>SFIA 9 · software development, programming; OWASP secure coding; cloud vendor certifications</t>
        </is>
      </c>
      <c r="X579" s="29" t="inlineStr">
        <is>
          <t>Per statement of work</t>
        </is>
      </c>
      <c r="Y579" s="52" t="n">
        <v>576</v>
      </c>
      <c r="Z579" s="53" t="n"/>
      <c r="AA579" s="53" t="inlineStr">
        <is>
          <t>External Consultant</t>
        </is>
      </c>
      <c r="AB579" s="53" t="inlineStr">
        <is>
          <t>Active</t>
        </is>
      </c>
      <c r="AC579" s="53" t="inlineStr">
        <is>
          <t>Hardikraja</t>
        </is>
      </c>
      <c r="AD579" s="54" t="n">
        <v>46055</v>
      </c>
      <c r="AE579" s="53" t="inlineStr">
        <is>
          <t>Consultant</t>
        </is>
      </c>
      <c r="AF579" s="53" t="n"/>
      <c r="AG579" s="53" t="n"/>
      <c r="AH579" s="53" t="n"/>
      <c r="AI579" s="53" t="inlineStr">
        <is>
          <t>Individual Contributor</t>
        </is>
      </c>
      <c r="AJ579" s="53" t="n"/>
      <c r="AK579" s="53" t="n"/>
      <c r="AL579" s="53" t="n"/>
      <c r="AM579" s="53" t="inlineStr">
        <is>
          <t>iFile</t>
        </is>
      </c>
      <c r="AN579" s="53" t="inlineStr">
        <is>
          <t>Technology</t>
        </is>
      </c>
      <c r="AO579" s="53" t="inlineStr">
        <is>
          <t>Development</t>
        </is>
      </c>
      <c r="AP579" s="53" t="inlineStr">
        <is>
          <t>Yes</t>
        </is>
      </c>
      <c r="AQ579" s="53" t="inlineStr">
        <is>
          <t>Product/Project</t>
        </is>
      </c>
      <c r="AR579" s="53" t="n"/>
      <c r="AS579" s="53" t="inlineStr">
        <is>
          <t>Technical - Developer</t>
        </is>
      </c>
      <c r="AT579" s="53" t="n">
        <v>0</v>
      </c>
      <c r="AU579" s="53" t="inlineStr">
        <is>
          <t>E-External Consultant</t>
        </is>
      </c>
      <c r="AV579" s="53" t="n"/>
      <c r="AW579" s="53" t="n"/>
      <c r="AX579" s="53" t="n"/>
      <c r="AY579" s="53" t="n"/>
      <c r="AZ579" s="53" t="n"/>
      <c r="BA579" s="53" t="n"/>
      <c r="BB579" s="53" t="n"/>
      <c r="BC579" s="53" t="n"/>
      <c r="BD579" s="53" t="n"/>
      <c r="BE579" s="53" t="n"/>
      <c r="BF579" s="53" t="n"/>
      <c r="BG579" s="53" t="n"/>
      <c r="BH579" s="53" t="n"/>
      <c r="BI579" s="53" t="n"/>
      <c r="BJ579" s="53" t="n"/>
      <c r="BK579" s="53" t="n"/>
      <c r="BL579" s="53" t="n"/>
      <c r="BM579" s="53" t="n"/>
      <c r="BN579" s="53" t="n"/>
      <c r="BO579" s="53" t="n"/>
      <c r="BP579" s="53" t="n"/>
      <c r="BQ579" s="53" t="n"/>
      <c r="BR579" s="53" t="n"/>
      <c r="BS579" s="53" t="n"/>
      <c r="BT579" s="53" t="n"/>
      <c r="BU579" s="53" t="n"/>
      <c r="BV579" s="53" t="n"/>
      <c r="BW579" s="53" t="n"/>
      <c r="BX579" s="53" t="n"/>
      <c r="BY579" s="53" t="n"/>
      <c r="BZ579" s="53" t="n"/>
      <c r="CA579" s="53" t="n"/>
      <c r="CB579" s="53" t="n"/>
      <c r="CC579" s="53" t="n"/>
      <c r="CD579" s="53" t="n"/>
      <c r="CE579" s="53" t="n"/>
      <c r="CF579" s="53" t="n"/>
      <c r="CG579" s="53" t="n"/>
      <c r="CH579" s="53" t="n"/>
      <c r="CI579" s="53" t="n"/>
      <c r="CJ579" s="53" t="n"/>
      <c r="CK579" s="53" t="n"/>
      <c r="CL579" s="53" t="n"/>
      <c r="CM579" s="53" t="n"/>
      <c r="CN579" s="53" t="n"/>
      <c r="CO579" s="53" t="n"/>
      <c r="CP579" s="53" t="n"/>
      <c r="CQ579" s="53" t="n"/>
      <c r="CR579" s="53" t="n"/>
      <c r="CS579" s="53" t="n"/>
      <c r="CT579" s="53" t="n"/>
      <c r="CU579" s="53" t="n"/>
      <c r="CV579" s="53" t="n"/>
      <c r="CW579" s="53" t="n"/>
      <c r="CX579" s="53" t="n"/>
      <c r="CY579" s="53" t="n"/>
      <c r="CZ579" s="53" t="n"/>
      <c r="DA579" s="53" t="n"/>
      <c r="DB579" s="53" t="n"/>
      <c r="DC579" s="53" t="n"/>
      <c r="DD579" s="53" t="n"/>
      <c r="DE579" s="53" t="n"/>
      <c r="DF579" s="53" t="n"/>
      <c r="DG579" s="53" t="n"/>
      <c r="DH579" s="53" t="n"/>
      <c r="DI579" s="53" t="n"/>
      <c r="DJ579" s="53" t="n"/>
      <c r="DK579" s="53" t="n"/>
      <c r="DL579" s="53" t="n"/>
      <c r="DM579" s="53" t="n"/>
      <c r="DN579" s="53" t="n"/>
      <c r="DO579" s="53" t="n"/>
      <c r="DP579" s="53" t="n"/>
      <c r="DQ579" s="53" t="n"/>
      <c r="DR579" s="53" t="n"/>
      <c r="DS579" s="53" t="n"/>
      <c r="DT579" s="53" t="n"/>
      <c r="DU579" s="53" t="n"/>
      <c r="DV579" s="53" t="n"/>
      <c r="DW579" s="53" t="n"/>
      <c r="DX579" s="53" t="n"/>
      <c r="DY579" s="53" t="n"/>
      <c r="DZ579" s="53" t="n"/>
      <c r="EA579" s="53" t="n"/>
      <c r="EB579" s="53" t="n"/>
      <c r="EC579" s="53" t="n"/>
      <c r="ED579" s="53" t="n"/>
      <c r="EE579" s="53" t="n"/>
      <c r="EF579" s="53" t="n"/>
      <c r="EG579" s="53" t="n"/>
      <c r="EH579" s="53" t="n"/>
      <c r="EI579" s="53" t="n"/>
      <c r="EJ579" s="53" t="n"/>
      <c r="EK579" s="53" t="n"/>
      <c r="EL579" s="53" t="n"/>
      <c r="EM579" s="53" t="n"/>
      <c r="EN579" s="53" t="n"/>
      <c r="EO579" s="53" t="n"/>
      <c r="EP579" s="53" t="n"/>
      <c r="EQ579" s="53" t="n"/>
      <c r="ER579" s="53" t="n"/>
      <c r="ES579" s="53" t="n"/>
      <c r="ET579" s="53" t="n"/>
      <c r="EU579" s="53" t="n"/>
      <c r="EV579" s="53" t="n"/>
      <c r="EW579" s="52" t="n"/>
      <c r="EX579" s="53" t="n"/>
      <c r="EY579" s="53" t="n"/>
      <c r="EZ579" s="53" t="n"/>
      <c r="FA579" s="53" t="n"/>
      <c r="FB579" s="53" t="n"/>
      <c r="FC579" s="53" t="n"/>
      <c r="FD579" s="53" t="n"/>
      <c r="FE579" s="55" t="inlineStr">
        <is>
          <t>KRAs not received · manager to supply</t>
        </is>
      </c>
      <c r="FF579" s="56" t="n"/>
      <c r="FG579" s="56" t="n"/>
      <c r="FH579" s="56" t="n"/>
      <c r="FI579" s="56" t="n"/>
      <c r="FJ579" s="32" t="inlineStr">
        <is>
          <t>KRAs not received · manager to supply</t>
        </is>
      </c>
      <c r="FK579" s="56" t="n"/>
      <c r="FL579" s="56" t="n">
        <v>0</v>
      </c>
      <c r="FM579" s="32" t="inlineStr">
        <is>
          <t>No survey response on file</t>
        </is>
      </c>
      <c r="FN579" s="56" t="inlineStr">
        <is>
          <t>—</t>
        </is>
      </c>
      <c r="FO579" s="56" t="inlineStr">
        <is>
          <t>—</t>
        </is>
      </c>
      <c r="FP579" s="56" t="inlineStr">
        <is>
          <t>—</t>
        </is>
      </c>
      <c r="FQ579" s="56" t="inlineStr">
        <is>
          <t>—</t>
        </is>
      </c>
      <c r="FR579" s="56" t="n"/>
      <c r="FS579" s="56"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FT579" s="56" t="n"/>
      <c r="FU579" s="32" t="inlineStr">
        <is>
          <t>No survey response on file</t>
        </is>
      </c>
    </row>
    <row r="580" ht="90" customHeight="1">
      <c r="A580" s="51" t="inlineStr">
        <is>
          <t>◂ Back</t>
        </is>
      </c>
      <c r="B580" s="29" t="inlineStr">
        <is>
          <t>Mapped</t>
        </is>
      </c>
      <c r="C580" s="28" t="inlineStr">
        <is>
          <t>iFile</t>
        </is>
      </c>
      <c r="D580" s="29" t="inlineStr">
        <is>
          <t>No Emp ID · external consultant</t>
        </is>
      </c>
      <c r="E580" s="29" t="inlineStr">
        <is>
          <t>Jay Kalariya</t>
        </is>
      </c>
      <c r="F580" s="29" t="inlineStr">
        <is>
          <t>Technology</t>
        </is>
      </c>
      <c r="G580" s="29" t="inlineStr">
        <is>
          <t>Consultant</t>
        </is>
      </c>
      <c r="H580" s="29" t="inlineStr">
        <is>
          <t>Associate Consultant – Software Development</t>
        </is>
      </c>
      <c r="I580" s="29" t="inlineStr">
        <is>
          <t>—</t>
        </is>
      </c>
      <c r="J580" s="29" t="inlineStr">
        <is>
          <t>X1</t>
        </is>
      </c>
      <c r="K580" s="29" t="inlineStr">
        <is>
          <t>• Same level</t>
        </is>
      </c>
      <c r="L580" s="29" t="inlineStr">
        <is>
          <t>Engineering &amp; Development</t>
        </is>
      </c>
      <c r="M580" s="29" t="inlineStr">
        <is>
          <t>Backend Development</t>
        </is>
      </c>
      <c r="N580" s="29" t="n"/>
      <c r="O580" s="29" t="n">
        <v>0</v>
      </c>
      <c r="P580" s="28" t="inlineStr">
        <is>
          <t>Contractor</t>
        </is>
      </c>
      <c r="Q580" s="29" t="inlineStr">
        <is>
          <t>—</t>
        </is>
      </c>
      <c r="R580" s="29" t="inlineStr">
        <is>
          <t>—</t>
        </is>
      </c>
      <c r="S580" s="29" t="inlineStr">
        <is>
          <t>0–5 yrs</t>
        </is>
      </c>
      <c r="T580" s="29" t="inlineStr">
        <is>
          <t>—</t>
        </is>
      </c>
      <c r="U580" s="29" t="inlineStr">
        <is>
          <t>Contractor · rate card</t>
        </is>
      </c>
      <c r="V580" s="29" t="inlineStr">
        <is>
          <t>—</t>
        </is>
      </c>
      <c r="W580" s="29" t="inlineStr">
        <is>
          <t>SFIA 9 · software development, programming; OWASP secure coding; cloud vendor certifications</t>
        </is>
      </c>
      <c r="X580" s="29" t="inlineStr">
        <is>
          <t>Per statement of work</t>
        </is>
      </c>
      <c r="Y580" s="52" t="n">
        <v>569</v>
      </c>
      <c r="Z580" s="53" t="n"/>
      <c r="AA580" s="53" t="inlineStr">
        <is>
          <t>External Consultant</t>
        </is>
      </c>
      <c r="AB580" s="53" t="inlineStr">
        <is>
          <t>Active</t>
        </is>
      </c>
      <c r="AC580" s="53" t="inlineStr">
        <is>
          <t>Jay Kalariya</t>
        </is>
      </c>
      <c r="AD580" s="54" t="n">
        <v>45425</v>
      </c>
      <c r="AE580" s="53" t="inlineStr">
        <is>
          <t>Consultant</t>
        </is>
      </c>
      <c r="AF580" s="53" t="n"/>
      <c r="AG580" s="53" t="n"/>
      <c r="AH580" s="53" t="n"/>
      <c r="AI580" s="53" t="inlineStr">
        <is>
          <t>Individual Contributor</t>
        </is>
      </c>
      <c r="AJ580" s="53" t="n"/>
      <c r="AK580" s="53" t="n"/>
      <c r="AL580" s="53" t="n"/>
      <c r="AM580" s="53" t="inlineStr">
        <is>
          <t>iFile</t>
        </is>
      </c>
      <c r="AN580" s="53" t="inlineStr">
        <is>
          <t>Technology</t>
        </is>
      </c>
      <c r="AO580" s="53" t="inlineStr">
        <is>
          <t>Development</t>
        </is>
      </c>
      <c r="AP580" s="53" t="inlineStr">
        <is>
          <t>Yes</t>
        </is>
      </c>
      <c r="AQ580" s="53" t="inlineStr">
        <is>
          <t>Product/Project</t>
        </is>
      </c>
      <c r="AR580" s="53" t="n"/>
      <c r="AS580" s="53" t="inlineStr">
        <is>
          <t>Technical - Developer</t>
        </is>
      </c>
      <c r="AT580" s="53" t="n">
        <v>0</v>
      </c>
      <c r="AU580" s="53" t="inlineStr">
        <is>
          <t>E-External Consultant</t>
        </is>
      </c>
      <c r="AV580" s="53" t="n"/>
      <c r="AW580" s="53" t="n"/>
      <c r="AX580" s="53" t="n"/>
      <c r="AY580" s="53" t="n"/>
      <c r="AZ580" s="53" t="n"/>
      <c r="BA580" s="53" t="n"/>
      <c r="BB580" s="53" t="n"/>
      <c r="BC580" s="53" t="n"/>
      <c r="BD580" s="53" t="n"/>
      <c r="BE580" s="53" t="n"/>
      <c r="BF580" s="53" t="n"/>
      <c r="BG580" s="53" t="n"/>
      <c r="BH580" s="53" t="n"/>
      <c r="BI580" s="53" t="n"/>
      <c r="BJ580" s="53" t="n"/>
      <c r="BK580" s="53" t="n"/>
      <c r="BL580" s="53" t="n"/>
      <c r="BM580" s="53" t="n"/>
      <c r="BN580" s="53" t="n"/>
      <c r="BO580" s="53" t="n"/>
      <c r="BP580" s="53" t="n"/>
      <c r="BQ580" s="53" t="n"/>
      <c r="BR580" s="53" t="n"/>
      <c r="BS580" s="53" t="n"/>
      <c r="BT580" s="53" t="n"/>
      <c r="BU580" s="53" t="n"/>
      <c r="BV580" s="53" t="n"/>
      <c r="BW580" s="53" t="n"/>
      <c r="BX580" s="53" t="n"/>
      <c r="BY580" s="53" t="n"/>
      <c r="BZ580" s="53" t="n"/>
      <c r="CA580" s="53" t="n"/>
      <c r="CB580" s="53" t="n"/>
      <c r="CC580" s="53" t="n"/>
      <c r="CD580" s="53" t="n"/>
      <c r="CE580" s="53" t="n"/>
      <c r="CF580" s="53" t="n"/>
      <c r="CG580" s="53" t="n"/>
      <c r="CH580" s="53" t="n"/>
      <c r="CI580" s="53" t="n"/>
      <c r="CJ580" s="53" t="n"/>
      <c r="CK580" s="53" t="n"/>
      <c r="CL580" s="53" t="n"/>
      <c r="CM580" s="53" t="n"/>
      <c r="CN580" s="53" t="n"/>
      <c r="CO580" s="53" t="n"/>
      <c r="CP580" s="53" t="n"/>
      <c r="CQ580" s="53" t="n"/>
      <c r="CR580" s="53" t="n"/>
      <c r="CS580" s="53" t="n"/>
      <c r="CT580" s="53" t="n"/>
      <c r="CU580" s="53" t="n"/>
      <c r="CV580" s="53" t="n"/>
      <c r="CW580" s="53" t="n"/>
      <c r="CX580" s="53" t="n"/>
      <c r="CY580" s="53" t="n"/>
      <c r="CZ580" s="53" t="n"/>
      <c r="DA580" s="53" t="n"/>
      <c r="DB580" s="53" t="n"/>
      <c r="DC580" s="53" t="n"/>
      <c r="DD580" s="53" t="n"/>
      <c r="DE580" s="53" t="n"/>
      <c r="DF580" s="53" t="n"/>
      <c r="DG580" s="53" t="n"/>
      <c r="DH580" s="53" t="n"/>
      <c r="DI580" s="53" t="n"/>
      <c r="DJ580" s="53" t="n"/>
      <c r="DK580" s="53" t="n"/>
      <c r="DL580" s="53" t="n"/>
      <c r="DM580" s="53" t="n"/>
      <c r="DN580" s="53" t="n"/>
      <c r="DO580" s="53" t="n"/>
      <c r="DP580" s="53" t="n"/>
      <c r="DQ580" s="53" t="n"/>
      <c r="DR580" s="53" t="n"/>
      <c r="DS580" s="53" t="n"/>
      <c r="DT580" s="53" t="n"/>
      <c r="DU580" s="53" t="n"/>
      <c r="DV580" s="53" t="n"/>
      <c r="DW580" s="53" t="n"/>
      <c r="DX580" s="53" t="n"/>
      <c r="DY580" s="53" t="n"/>
      <c r="DZ580" s="53" t="n"/>
      <c r="EA580" s="53" t="n"/>
      <c r="EB580" s="53" t="n"/>
      <c r="EC580" s="53" t="n"/>
      <c r="ED580" s="53" t="n"/>
      <c r="EE580" s="53" t="n"/>
      <c r="EF580" s="53" t="n"/>
      <c r="EG580" s="53" t="n"/>
      <c r="EH580" s="53" t="n"/>
      <c r="EI580" s="53" t="n"/>
      <c r="EJ580" s="53" t="n"/>
      <c r="EK580" s="53" t="n"/>
      <c r="EL580" s="53" t="n"/>
      <c r="EM580" s="53" t="n"/>
      <c r="EN580" s="53" t="n"/>
      <c r="EO580" s="53" t="n"/>
      <c r="EP580" s="53" t="n"/>
      <c r="EQ580" s="53" t="n"/>
      <c r="ER580" s="53" t="n"/>
      <c r="ES580" s="53" t="n"/>
      <c r="ET580" s="53" t="n"/>
      <c r="EU580" s="53" t="n"/>
      <c r="EV580" s="53" t="n"/>
      <c r="EW580" s="52" t="n"/>
      <c r="EX580" s="53" t="n"/>
      <c r="EY580" s="53" t="n"/>
      <c r="EZ580" s="53" t="n"/>
      <c r="FA580" s="53" t="n"/>
      <c r="FB580" s="53" t="n"/>
      <c r="FC580" s="53" t="n"/>
      <c r="FD580" s="53" t="n"/>
      <c r="FE580" s="55" t="inlineStr">
        <is>
          <t>KRAs not received · manager to supply</t>
        </is>
      </c>
      <c r="FF580" s="56" t="n"/>
      <c r="FG580" s="56" t="n"/>
      <c r="FH580" s="56" t="n"/>
      <c r="FI580" s="56" t="n"/>
      <c r="FJ580" s="32" t="inlineStr">
        <is>
          <t>KRAs not received · manager to supply</t>
        </is>
      </c>
      <c r="FK580" s="56" t="n"/>
      <c r="FL580" s="56" t="n">
        <v>0</v>
      </c>
      <c r="FM580" s="32" t="inlineStr">
        <is>
          <t>No survey response on file</t>
        </is>
      </c>
      <c r="FN580" s="56" t="inlineStr">
        <is>
          <t>—</t>
        </is>
      </c>
      <c r="FO580" s="56" t="inlineStr">
        <is>
          <t>—</t>
        </is>
      </c>
      <c r="FP580" s="56" t="inlineStr">
        <is>
          <t>—</t>
        </is>
      </c>
      <c r="FQ580" s="56" t="inlineStr">
        <is>
          <t>—</t>
        </is>
      </c>
      <c r="FR580" s="56" t="n"/>
      <c r="FS580" s="56"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FT580" s="56" t="n"/>
      <c r="FU580" s="32" t="inlineStr">
        <is>
          <t>No survey response on file</t>
        </is>
      </c>
    </row>
    <row r="581" ht="90" customHeight="1">
      <c r="A581" s="51" t="inlineStr">
        <is>
          <t>◂ Back</t>
        </is>
      </c>
      <c r="B581" s="29" t="inlineStr">
        <is>
          <t>Mapped</t>
        </is>
      </c>
      <c r="C581" s="28" t="inlineStr">
        <is>
          <t>CARBON</t>
        </is>
      </c>
      <c r="D581" s="29" t="inlineStr">
        <is>
          <t>No Emp ID · in-house consultant</t>
        </is>
      </c>
      <c r="E581" s="29" t="inlineStr">
        <is>
          <t>Kanika Jain</t>
        </is>
      </c>
      <c r="F581" s="29" t="inlineStr">
        <is>
          <t>Support</t>
        </is>
      </c>
      <c r="G581" s="29" t="inlineStr">
        <is>
          <t>Consultant</t>
        </is>
      </c>
      <c r="H581" s="29" t="inlineStr">
        <is>
          <t>Associate Consultant – Customer Success &amp; Account Management</t>
        </is>
      </c>
      <c r="I581" s="29" t="inlineStr">
        <is>
          <t>L3 – Professional / Associate</t>
        </is>
      </c>
      <c r="J581" s="29" t="inlineStr">
        <is>
          <t>X1</t>
        </is>
      </c>
      <c r="K581" s="29" t="inlineStr">
        <is>
          <t>• Same level</t>
        </is>
      </c>
      <c r="L581" s="29" t="inlineStr">
        <is>
          <t>Customer Success &amp; Support</t>
        </is>
      </c>
      <c r="M581" s="29" t="inlineStr">
        <is>
          <t>Customer Success &amp; Account Management</t>
        </is>
      </c>
      <c r="N581" s="29" t="n"/>
      <c r="O581" s="29" t="n">
        <v>0</v>
      </c>
      <c r="P581" s="28" t="inlineStr">
        <is>
          <t>Contractor</t>
        </is>
      </c>
      <c r="Q581" s="29" t="inlineStr">
        <is>
          <t>—</t>
        </is>
      </c>
      <c r="R581" s="29" t="inlineStr">
        <is>
          <t>—</t>
        </is>
      </c>
      <c r="S581" s="29" t="inlineStr">
        <is>
          <t>0–5 yrs</t>
        </is>
      </c>
      <c r="T581" s="29" t="inlineStr">
        <is>
          <t>—</t>
        </is>
      </c>
      <c r="U581" s="29" t="inlineStr">
        <is>
          <t>Contractor · rate card</t>
        </is>
      </c>
      <c r="V581" s="29" t="inlineStr">
        <is>
          <t>—</t>
        </is>
      </c>
      <c r="W581" s="29" t="inlineStr">
        <is>
          <t>TSIA frameworks and benchmarks; ITIL 4 service desk; Gainsight customer-success practice</t>
        </is>
      </c>
      <c r="X581" s="29" t="inlineStr">
        <is>
          <t>Per statement of work</t>
        </is>
      </c>
      <c r="Y581" s="52" t="n">
        <v>580</v>
      </c>
      <c r="Z581" s="53" t="n"/>
      <c r="AA581" s="53" t="inlineStr">
        <is>
          <t>In-House Consultant</t>
        </is>
      </c>
      <c r="AB581" s="53" t="inlineStr">
        <is>
          <t>Active</t>
        </is>
      </c>
      <c r="AC581" s="53" t="inlineStr">
        <is>
          <t>Kanika Jain</t>
        </is>
      </c>
      <c r="AD581" s="54" t="n">
        <v>45461</v>
      </c>
      <c r="AE581" s="53" t="inlineStr">
        <is>
          <t>Consultant</t>
        </is>
      </c>
      <c r="AF581" s="53" t="n"/>
      <c r="AG581" s="53" t="n"/>
      <c r="AH581" s="53" t="n"/>
      <c r="AI581" s="53" t="inlineStr">
        <is>
          <t>Individual Contributor</t>
        </is>
      </c>
      <c r="AJ581" s="53" t="n"/>
      <c r="AK581" s="53" t="n"/>
      <c r="AL581" s="53" t="n"/>
      <c r="AM581" s="53" t="inlineStr">
        <is>
          <t>CARBON</t>
        </is>
      </c>
      <c r="AN581" s="53" t="inlineStr">
        <is>
          <t>Support</t>
        </is>
      </c>
      <c r="AO581" s="53" t="inlineStr">
        <is>
          <t>Client Engagement</t>
        </is>
      </c>
      <c r="AP581" s="53" t="inlineStr">
        <is>
          <t>No</t>
        </is>
      </c>
      <c r="AQ581" s="53" t="inlineStr">
        <is>
          <t>Client Engagement</t>
        </is>
      </c>
      <c r="AR581" s="53" t="n"/>
      <c r="AS581" s="53" t="inlineStr">
        <is>
          <t>Non-technical</t>
        </is>
      </c>
      <c r="AT581" s="53" t="n">
        <v>0</v>
      </c>
      <c r="AU581" s="53" t="inlineStr">
        <is>
          <t>E-External Consultant</t>
        </is>
      </c>
      <c r="AV581" s="53" t="inlineStr">
        <is>
          <t>IRISC295</t>
        </is>
      </c>
      <c r="AW581" s="53" t="inlineStr">
        <is>
          <t>Kanika Jain</t>
        </is>
      </c>
      <c r="AX581" s="53" t="inlineStr">
        <is>
          <t>Support</t>
        </is>
      </c>
      <c r="AY581" s="53" t="inlineStr">
        <is>
          <t>Customer Success &amp; Support</t>
        </is>
      </c>
      <c r="AZ581" s="53" t="inlineStr">
        <is>
          <t>Customer Success</t>
        </is>
      </c>
      <c r="BA581" s="53" t="n"/>
      <c r="BB581" s="53" t="n"/>
      <c r="BC581" s="53" t="inlineStr">
        <is>
          <t>Full Time Consultant</t>
        </is>
      </c>
      <c r="BD581" s="53" t="inlineStr">
        <is>
          <t>Anushree Aparajit</t>
        </is>
      </c>
      <c r="BE581" s="53" t="inlineStr">
        <is>
          <t>Anushree Aparajit</t>
        </is>
      </c>
      <c r="BF581" s="53" t="inlineStr">
        <is>
          <t>No</t>
        </is>
      </c>
      <c r="BG581" s="53" t="inlineStr">
        <is>
          <t>Consultant</t>
        </is>
      </c>
      <c r="BH581" s="53" t="inlineStr">
        <is>
          <t>Senior Consultant</t>
        </is>
      </c>
      <c r="BI581" s="53" t="inlineStr">
        <is>
          <t>Yes</t>
        </is>
      </c>
      <c r="BJ581" s="53" t="inlineStr">
        <is>
          <t>—</t>
        </is>
      </c>
      <c r="BK581" s="53" t="inlineStr">
        <is>
          <t>—</t>
        </is>
      </c>
      <c r="BL581" s="53" t="inlineStr">
        <is>
          <t>—</t>
        </is>
      </c>
      <c r="BM581" s="53" t="inlineStr">
        <is>
          <t>Not a manager</t>
        </is>
      </c>
      <c r="BN581" s="53" t="inlineStr">
        <is>
          <t>—</t>
        </is>
      </c>
      <c r="BO581" s="53" t="inlineStr">
        <is>
          <t>—</t>
        </is>
      </c>
      <c r="BP581" s="53" t="inlineStr">
        <is>
          <t>—</t>
        </is>
      </c>
      <c r="BQ581" s="53" t="inlineStr">
        <is>
          <t>Not a manager</t>
        </is>
      </c>
      <c r="BR581" s="53" t="inlineStr">
        <is>
          <t>—</t>
        </is>
      </c>
      <c r="BS581" s="53" t="inlineStr">
        <is>
          <t>L3 – Professional / Associate</t>
        </is>
      </c>
      <c r="BT581" s="53" t="inlineStr">
        <is>
          <t>L3 – Professional / Associate</t>
        </is>
      </c>
      <c r="BU581" s="53" t="inlineStr">
        <is>
          <t>Designation refined from Raw tab Comments column · this update</t>
        </is>
      </c>
      <c r="BV581" s="53" t="n"/>
      <c r="BW581" s="53" t="n"/>
      <c r="BX581" s="53" t="n"/>
      <c r="BY581" s="53" t="n"/>
      <c r="BZ581" s="53" t="inlineStr">
        <is>
          <t>IRISC295</t>
        </is>
      </c>
      <c r="CA581" s="53" t="inlineStr">
        <is>
          <t>Full Time Consultant</t>
        </is>
      </c>
      <c r="CB581" s="53" t="inlineStr">
        <is>
          <t>Active</t>
        </is>
      </c>
      <c r="CC581" s="53" t="inlineStr">
        <is>
          <t>Kanika Jain</t>
        </is>
      </c>
      <c r="CD581" s="54" t="n">
        <v>45461</v>
      </c>
      <c r="CE581" s="53" t="inlineStr">
        <is>
          <t>Consultant</t>
        </is>
      </c>
      <c r="CF581" s="53" t="inlineStr">
        <is>
          <t>Helps Anushree in agreement review etc</t>
        </is>
      </c>
      <c r="CG581" s="53" t="inlineStr">
        <is>
          <t>Customer Success &amp; Support</t>
        </is>
      </c>
      <c r="CH581" s="53" t="inlineStr">
        <is>
          <t>Customer Support</t>
        </is>
      </c>
      <c r="CI581" s="53" t="inlineStr">
        <is>
          <t>Senior Consultant</t>
        </is>
      </c>
      <c r="CJ581" s="53" t="inlineStr">
        <is>
          <t>L3 – Professional / Associate</t>
        </is>
      </c>
      <c r="CK581" s="53" t="inlineStr">
        <is>
          <t>Anushree Aparajit</t>
        </is>
      </c>
      <c r="CL581" s="53" t="inlineStr">
        <is>
          <t>N-5</t>
        </is>
      </c>
      <c r="CM581" s="53" t="inlineStr">
        <is>
          <t>Individual Contributor</t>
        </is>
      </c>
      <c r="CN581" s="53" t="inlineStr">
        <is>
          <t>Regtech</t>
        </is>
      </c>
      <c r="CO581" s="53" t="inlineStr">
        <is>
          <t>Support</t>
        </is>
      </c>
      <c r="CP581" s="53" t="inlineStr">
        <is>
          <t>8 years, 5 months, 2 days</t>
        </is>
      </c>
      <c r="CQ581" s="53" t="inlineStr">
        <is>
          <t>Senior Consultant · review – experience supports senior band</t>
        </is>
      </c>
      <c r="CR581" s="53" t="n"/>
      <c r="CS581" s="53" t="n"/>
      <c r="CT581" s="53" t="n"/>
      <c r="CU581" s="53" t="n"/>
      <c r="CV581" s="53" t="n"/>
      <c r="CW581" s="53" t="n"/>
      <c r="CX581" s="53" t="n"/>
      <c r="CY581" s="53" t="n"/>
      <c r="CZ581" s="53" t="inlineStr">
        <is>
          <t>XBRL taxonomy &amp; regulatory updates; domain/accounting refreshers; quality &amp; accuracy practices; tooling proficiency</t>
        </is>
      </c>
      <c r="DA581" s="53" t="inlineStr">
        <is>
          <t>Transition to leadership: people management &amp; delegation, mentoring/coaching, project ownership &amp; stakeholder management, prioritisation under ambiguity, presentation &amp; influence skills</t>
        </is>
      </c>
      <c r="DB581" s="53" t="inlineStr">
        <is>
          <t>NA - Contractor. Title to be standardized to : Senior Consultant</t>
        </is>
      </c>
      <c r="DC581" s="53" t="n"/>
      <c r="DD581" s="53" t="n"/>
      <c r="DE581" s="53" t="n"/>
      <c r="DF581" s="53" t="n"/>
      <c r="DG581" s="53" t="n"/>
      <c r="DH581" s="53" t="n"/>
      <c r="DI581" s="53" t="n"/>
      <c r="DJ581" s="53" t="n"/>
      <c r="DK581" s="53" t="n"/>
      <c r="DL581" s="53" t="n"/>
      <c r="DM581" s="53" t="n"/>
      <c r="DN581" s="53" t="n"/>
      <c r="DO581" s="53" t="n"/>
      <c r="DP581" s="53" t="n"/>
      <c r="DQ581" s="53" t="n"/>
      <c r="DR581" s="53" t="n"/>
      <c r="DS581" s="53" t="n"/>
      <c r="DT581" s="53" t="n"/>
      <c r="DU581" s="53" t="n"/>
      <c r="DV581" s="53" t="n"/>
      <c r="DW581" s="53" t="n"/>
      <c r="DX581" s="53" t="n"/>
      <c r="DY581" s="53" t="n"/>
      <c r="DZ581" s="53" t="n"/>
      <c r="EA581" s="53" t="n"/>
      <c r="EB581" s="53" t="n"/>
      <c r="EC581" s="53" t="n"/>
      <c r="ED581" s="53" t="n"/>
      <c r="EE581" s="53" t="n"/>
      <c r="EF581" s="53" t="n"/>
      <c r="EG581" s="53" t="n"/>
      <c r="EH581" s="53" t="n"/>
      <c r="EI581" s="53" t="n"/>
      <c r="EJ581" s="53" t="n"/>
      <c r="EK581" s="53" t="n"/>
      <c r="EL581" s="53" t="n"/>
      <c r="EM581" s="53" t="n"/>
      <c r="EN581" s="53" t="n"/>
      <c r="EO581" s="53" t="n"/>
      <c r="EP581" s="53" t="n"/>
      <c r="EQ581" s="53" t="n"/>
      <c r="ER581" s="53" t="n"/>
      <c r="ES581" s="53" t="n"/>
      <c r="ET581" s="53" t="n"/>
      <c r="EU581" s="53" t="n"/>
      <c r="EV581" s="53" t="n"/>
      <c r="EW581" s="52" t="n"/>
      <c r="EX581" s="53" t="n"/>
      <c r="EY581" s="53" t="n"/>
      <c r="EZ581" s="53" t="n"/>
      <c r="FA581" s="53" t="n"/>
      <c r="FB581" s="53" t="n"/>
      <c r="FC581" s="53" t="n"/>
      <c r="FD581" s="53" t="inlineStr">
        <is>
          <t>IRISC295</t>
        </is>
      </c>
      <c r="FE581" s="55" t="inlineStr">
        <is>
          <t>KRAs not received · manager to supply</t>
        </is>
      </c>
      <c r="FF581" s="56" t="n"/>
      <c r="FG581" s="56" t="n"/>
      <c r="FH581" s="56" t="n"/>
      <c r="FI581" s="56" t="inlineStr">
        <is>
          <t>Helps Anushree in agreement review etc</t>
        </is>
      </c>
      <c r="FJ581" s="32" t="inlineStr">
        <is>
          <t>KRAs not received · manager to supply</t>
        </is>
      </c>
      <c r="FK581" s="56" t="inlineStr">
        <is>
          <t>CARBON Talent Mapping · Raw</t>
        </is>
      </c>
      <c r="FL581" s="56" t="n">
        <v>0</v>
      </c>
      <c r="FM581" s="32" t="inlineStr">
        <is>
          <t>No survey response on file</t>
        </is>
      </c>
      <c r="FN581" s="56" t="inlineStr">
        <is>
          <t>—</t>
        </is>
      </c>
      <c r="FO581" s="56" t="inlineStr">
        <is>
          <t>—</t>
        </is>
      </c>
      <c r="FP581" s="56" t="inlineStr">
        <is>
          <t>—</t>
        </is>
      </c>
      <c r="FQ581" s="56" t="inlineStr">
        <is>
          <t>—</t>
        </is>
      </c>
      <c r="FR581" s="56" t="n"/>
      <c r="FS581" s="56" t="inlineStr">
        <is>
          <t>Common themes in sub-family holders, all levels' answers: cross improve · upsell cross · nps follow · tech · improve nps · us market
Common themes in sub-family holders, all levels' answers: product · renewals · testing · upsell · cross sell · training
Common themes in sub-family holders, all levels' answers: customer · csat · product · esef · client
Common themes in sub-family holders, all levels' answers: retention · renewals · sell · cross · invoicing · outstanding
Common themes in sub-family holders, all levels' answers: trainings
If the work is missed · role-holders' themes: business · impact · revenue.</t>
        </is>
      </c>
      <c r="FT581" s="56" t="n"/>
      <c r="FU581" s="32" t="inlineStr">
        <is>
          <t>No survey response on file</t>
        </is>
      </c>
    </row>
    <row r="582" ht="90" customHeight="1">
      <c r="A582" s="51" t="inlineStr">
        <is>
          <t>◂ Back</t>
        </is>
      </c>
      <c r="B582" s="29" t="inlineStr">
        <is>
          <t>Mapped</t>
        </is>
      </c>
      <c r="C582" s="28" t="inlineStr">
        <is>
          <t>iFile</t>
        </is>
      </c>
      <c r="D582" s="29" t="inlineStr">
        <is>
          <t>No Emp ID · in-house consultant</t>
        </is>
      </c>
      <c r="E582" s="29" t="inlineStr">
        <is>
          <t>Nilimesh Baruah</t>
        </is>
      </c>
      <c r="F582" s="29" t="inlineStr">
        <is>
          <t>Technology</t>
        </is>
      </c>
      <c r="G582" s="29" t="inlineStr">
        <is>
          <t>Consultant</t>
        </is>
      </c>
      <c r="H582" s="29" t="inlineStr">
        <is>
          <t>Associate Consultant – Software Development</t>
        </is>
      </c>
      <c r="I582" s="29" t="inlineStr">
        <is>
          <t>—</t>
        </is>
      </c>
      <c r="J582" s="29" t="inlineStr">
        <is>
          <t>X1</t>
        </is>
      </c>
      <c r="K582" s="29" t="inlineStr">
        <is>
          <t>• Same level</t>
        </is>
      </c>
      <c r="L582" s="29" t="inlineStr">
        <is>
          <t>Engineering &amp; Development</t>
        </is>
      </c>
      <c r="M582" s="29" t="inlineStr">
        <is>
          <t>Backend Development</t>
        </is>
      </c>
      <c r="N582" s="29" t="n"/>
      <c r="O582" s="29" t="n">
        <v>0</v>
      </c>
      <c r="P582" s="28" t="inlineStr">
        <is>
          <t>Contractor</t>
        </is>
      </c>
      <c r="Q582" s="29" t="inlineStr">
        <is>
          <t>—</t>
        </is>
      </c>
      <c r="R582" s="29" t="inlineStr">
        <is>
          <t>—</t>
        </is>
      </c>
      <c r="S582" s="29" t="inlineStr">
        <is>
          <t>0–5 yrs</t>
        </is>
      </c>
      <c r="T582" s="29" t="inlineStr">
        <is>
          <t>—</t>
        </is>
      </c>
      <c r="U582" s="29" t="inlineStr">
        <is>
          <t>Contractor · rate card</t>
        </is>
      </c>
      <c r="V582" s="29" t="inlineStr">
        <is>
          <t>—</t>
        </is>
      </c>
      <c r="W582" s="29" t="inlineStr">
        <is>
          <t>SFIA 9 · software development, programming; OWASP secure coding; cloud vendor certifications</t>
        </is>
      </c>
      <c r="X582" s="29" t="inlineStr">
        <is>
          <t>Per statement of work</t>
        </is>
      </c>
      <c r="Y582" s="52" t="n">
        <v>579</v>
      </c>
      <c r="Z582" s="53" t="n"/>
      <c r="AA582" s="53" t="inlineStr">
        <is>
          <t>In-House Consultant</t>
        </is>
      </c>
      <c r="AB582" s="53" t="inlineStr">
        <is>
          <t>Active</t>
        </is>
      </c>
      <c r="AC582" s="53" t="inlineStr">
        <is>
          <t>Nilimesh Baruah</t>
        </is>
      </c>
      <c r="AD582" s="54" t="n">
        <v>46113</v>
      </c>
      <c r="AE582" s="53" t="inlineStr">
        <is>
          <t>Consultant</t>
        </is>
      </c>
      <c r="AF582" s="53" t="n"/>
      <c r="AG582" s="53" t="n"/>
      <c r="AH582" s="53" t="n"/>
      <c r="AI582" s="53" t="inlineStr">
        <is>
          <t>Individual Contributor</t>
        </is>
      </c>
      <c r="AJ582" s="53" t="n"/>
      <c r="AK582" s="53" t="n"/>
      <c r="AL582" s="53" t="n"/>
      <c r="AM582" s="53" t="inlineStr">
        <is>
          <t>iFile</t>
        </is>
      </c>
      <c r="AN582" s="53" t="inlineStr">
        <is>
          <t>Technology</t>
        </is>
      </c>
      <c r="AO582" s="53" t="inlineStr">
        <is>
          <t>Development</t>
        </is>
      </c>
      <c r="AP582" s="53" t="inlineStr">
        <is>
          <t>Yes</t>
        </is>
      </c>
      <c r="AQ582" s="53" t="inlineStr">
        <is>
          <t>Product/Project</t>
        </is>
      </c>
      <c r="AR582" s="53" t="n"/>
      <c r="AS582" s="53" t="inlineStr">
        <is>
          <t>Technical - Developer</t>
        </is>
      </c>
      <c r="AT582" s="53" t="n">
        <v>0</v>
      </c>
      <c r="AU582" s="53" t="inlineStr">
        <is>
          <t>E-External Consultant</t>
        </is>
      </c>
      <c r="AV582" s="53" t="n"/>
      <c r="AW582" s="53" t="n"/>
      <c r="AX582" s="53" t="n"/>
      <c r="AY582" s="53" t="n"/>
      <c r="AZ582" s="53" t="n"/>
      <c r="BA582" s="53" t="n"/>
      <c r="BB582" s="53" t="n"/>
      <c r="BC582" s="53" t="n"/>
      <c r="BD582" s="53" t="n"/>
      <c r="BE582" s="53" t="n"/>
      <c r="BF582" s="53" t="n"/>
      <c r="BG582" s="53" t="n"/>
      <c r="BH582" s="53" t="n"/>
      <c r="BI582" s="53" t="n"/>
      <c r="BJ582" s="53" t="n"/>
      <c r="BK582" s="53" t="n"/>
      <c r="BL582" s="53" t="n"/>
      <c r="BM582" s="53" t="n"/>
      <c r="BN582" s="53" t="n"/>
      <c r="BO582" s="53" t="n"/>
      <c r="BP582" s="53" t="n"/>
      <c r="BQ582" s="53" t="n"/>
      <c r="BR582" s="53" t="n"/>
      <c r="BS582" s="53" t="n"/>
      <c r="BT582" s="53" t="n"/>
      <c r="BU582" s="53" t="n"/>
      <c r="BV582" s="53" t="n"/>
      <c r="BW582" s="53" t="n"/>
      <c r="BX582" s="53" t="n"/>
      <c r="BY582" s="53" t="n"/>
      <c r="BZ582" s="53" t="n"/>
      <c r="CA582" s="53" t="n"/>
      <c r="CB582" s="53" t="n"/>
      <c r="CC582" s="53" t="n"/>
      <c r="CD582" s="53" t="n"/>
      <c r="CE582" s="53" t="n"/>
      <c r="CF582" s="53" t="n"/>
      <c r="CG582" s="53" t="n"/>
      <c r="CH582" s="53" t="n"/>
      <c r="CI582" s="53" t="n"/>
      <c r="CJ582" s="53" t="n"/>
      <c r="CK582" s="53" t="n"/>
      <c r="CL582" s="53" t="n"/>
      <c r="CM582" s="53" t="n"/>
      <c r="CN582" s="53" t="n"/>
      <c r="CO582" s="53" t="n"/>
      <c r="CP582" s="53" t="n"/>
      <c r="CQ582" s="53" t="n"/>
      <c r="CR582" s="53" t="n"/>
      <c r="CS582" s="53" t="n"/>
      <c r="CT582" s="53" t="n"/>
      <c r="CU582" s="53" t="n"/>
      <c r="CV582" s="53" t="n"/>
      <c r="CW582" s="53" t="n"/>
      <c r="CX582" s="53" t="n"/>
      <c r="CY582" s="53" t="n"/>
      <c r="CZ582" s="53" t="n"/>
      <c r="DA582" s="53" t="n"/>
      <c r="DB582" s="53" t="n"/>
      <c r="DC582" s="53" t="n"/>
      <c r="DD582" s="53" t="n"/>
      <c r="DE582" s="53" t="n"/>
      <c r="DF582" s="53" t="n"/>
      <c r="DG582" s="53" t="n"/>
      <c r="DH582" s="53" t="n"/>
      <c r="DI582" s="53" t="n"/>
      <c r="DJ582" s="53" t="n"/>
      <c r="DK582" s="53" t="n"/>
      <c r="DL582" s="53" t="n"/>
      <c r="DM582" s="53" t="n"/>
      <c r="DN582" s="53" t="n"/>
      <c r="DO582" s="53" t="n"/>
      <c r="DP582" s="53" t="n"/>
      <c r="DQ582" s="53" t="n"/>
      <c r="DR582" s="53" t="n"/>
      <c r="DS582" s="53" t="n"/>
      <c r="DT582" s="53" t="n"/>
      <c r="DU582" s="53" t="n"/>
      <c r="DV582" s="53" t="n"/>
      <c r="DW582" s="53" t="n"/>
      <c r="DX582" s="53" t="n"/>
      <c r="DY582" s="53" t="n"/>
      <c r="DZ582" s="53" t="n"/>
      <c r="EA582" s="53" t="n"/>
      <c r="EB582" s="53" t="n"/>
      <c r="EC582" s="53" t="n"/>
      <c r="ED582" s="53" t="n"/>
      <c r="EE582" s="53" t="n"/>
      <c r="EF582" s="53" t="n"/>
      <c r="EG582" s="53" t="n"/>
      <c r="EH582" s="53" t="n"/>
      <c r="EI582" s="53" t="n"/>
      <c r="EJ582" s="53" t="n"/>
      <c r="EK582" s="53" t="n"/>
      <c r="EL582" s="53" t="n"/>
      <c r="EM582" s="53" t="n"/>
      <c r="EN582" s="53" t="n"/>
      <c r="EO582" s="53" t="n"/>
      <c r="EP582" s="53" t="n"/>
      <c r="EQ582" s="53" t="n"/>
      <c r="ER582" s="53" t="n"/>
      <c r="ES582" s="53" t="n"/>
      <c r="ET582" s="53" t="n"/>
      <c r="EU582" s="53" t="n"/>
      <c r="EV582" s="53" t="n"/>
      <c r="EW582" s="52" t="n"/>
      <c r="EX582" s="53" t="n"/>
      <c r="EY582" s="53" t="n"/>
      <c r="EZ582" s="53" t="n"/>
      <c r="FA582" s="53" t="n"/>
      <c r="FB582" s="53" t="n"/>
      <c r="FC582" s="53" t="n"/>
      <c r="FD582" s="53" t="n"/>
      <c r="FE582" s="55" t="inlineStr">
        <is>
          <t>KRAs not received · manager to supply</t>
        </is>
      </c>
      <c r="FF582" s="56" t="n"/>
      <c r="FG582" s="56" t="n"/>
      <c r="FH582" s="56" t="n"/>
      <c r="FI582" s="56" t="n"/>
      <c r="FJ582" s="32" t="inlineStr">
        <is>
          <t>KRAs not received · manager to supply</t>
        </is>
      </c>
      <c r="FK582" s="56" t="n"/>
      <c r="FL582" s="56" t="n">
        <v>0</v>
      </c>
      <c r="FM582" s="32" t="inlineStr">
        <is>
          <t>No survey response on file</t>
        </is>
      </c>
      <c r="FN582" s="56" t="inlineStr">
        <is>
          <t>—</t>
        </is>
      </c>
      <c r="FO582" s="56" t="inlineStr">
        <is>
          <t>—</t>
        </is>
      </c>
      <c r="FP582" s="56" t="inlineStr">
        <is>
          <t>—</t>
        </is>
      </c>
      <c r="FQ582" s="56" t="inlineStr">
        <is>
          <t>—</t>
        </is>
      </c>
      <c r="FR582" s="56" t="n"/>
      <c r="FS582" s="56"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FT582" s="56" t="n"/>
      <c r="FU582" s="32" t="inlineStr">
        <is>
          <t>No survey response on file</t>
        </is>
      </c>
    </row>
    <row r="583" ht="90" customHeight="1">
      <c r="A583" s="51" t="inlineStr">
        <is>
          <t>◂ Back</t>
        </is>
      </c>
      <c r="B583" s="29" t="inlineStr">
        <is>
          <t>Mapped</t>
        </is>
      </c>
      <c r="C583" s="28" t="inlineStr">
        <is>
          <t>iFile</t>
        </is>
      </c>
      <c r="D583" s="29" t="inlineStr">
        <is>
          <t>No Emp ID · external consultant</t>
        </is>
      </c>
      <c r="E583" s="29" t="inlineStr">
        <is>
          <t>Peshal Jha</t>
        </is>
      </c>
      <c r="F583" s="29" t="inlineStr">
        <is>
          <t>Technology</t>
        </is>
      </c>
      <c r="G583" s="29" t="inlineStr">
        <is>
          <t>Consultant</t>
        </is>
      </c>
      <c r="H583" s="29" t="inlineStr">
        <is>
          <t>Associate Consultant – Software Development</t>
        </is>
      </c>
      <c r="I583" s="29" t="inlineStr">
        <is>
          <t>—</t>
        </is>
      </c>
      <c r="J583" s="29" t="inlineStr">
        <is>
          <t>X1</t>
        </is>
      </c>
      <c r="K583" s="29" t="inlineStr">
        <is>
          <t>• Same level</t>
        </is>
      </c>
      <c r="L583" s="29" t="inlineStr">
        <is>
          <t>Engineering &amp; Development</t>
        </is>
      </c>
      <c r="M583" s="29" t="inlineStr">
        <is>
          <t>Backend Development</t>
        </is>
      </c>
      <c r="N583" s="29" t="n"/>
      <c r="O583" s="29" t="n">
        <v>0</v>
      </c>
      <c r="P583" s="28" t="inlineStr">
        <is>
          <t>Contractor</t>
        </is>
      </c>
      <c r="Q583" s="29" t="inlineStr">
        <is>
          <t>—</t>
        </is>
      </c>
      <c r="R583" s="29" t="inlineStr">
        <is>
          <t>—</t>
        </is>
      </c>
      <c r="S583" s="29" t="inlineStr">
        <is>
          <t>0–5 yrs</t>
        </is>
      </c>
      <c r="T583" s="29" t="inlineStr">
        <is>
          <t>—</t>
        </is>
      </c>
      <c r="U583" s="29" t="inlineStr">
        <is>
          <t>Contractor · rate card</t>
        </is>
      </c>
      <c r="V583" s="29" t="inlineStr">
        <is>
          <t>—</t>
        </is>
      </c>
      <c r="W583" s="29" t="inlineStr">
        <is>
          <t>SFIA 9 · software development, programming; OWASP secure coding; cloud vendor certifications</t>
        </is>
      </c>
      <c r="X583" s="29" t="inlineStr">
        <is>
          <t>Per statement of work</t>
        </is>
      </c>
      <c r="Y583" s="52" t="n">
        <v>567</v>
      </c>
      <c r="Z583" s="53" t="n"/>
      <c r="AA583" s="53" t="inlineStr">
        <is>
          <t>External Consultant</t>
        </is>
      </c>
      <c r="AB583" s="53" t="inlineStr">
        <is>
          <t>Active</t>
        </is>
      </c>
      <c r="AC583" s="53" t="inlineStr">
        <is>
          <t>Peshal Jha</t>
        </is>
      </c>
      <c r="AD583" s="54" t="n">
        <v>45425</v>
      </c>
      <c r="AE583" s="53" t="inlineStr">
        <is>
          <t>Consultant</t>
        </is>
      </c>
      <c r="AF583" s="53" t="n"/>
      <c r="AG583" s="53" t="n"/>
      <c r="AH583" s="53" t="n"/>
      <c r="AI583" s="53" t="inlineStr">
        <is>
          <t>Individual Contributor</t>
        </is>
      </c>
      <c r="AJ583" s="53" t="n"/>
      <c r="AK583" s="53" t="n"/>
      <c r="AL583" s="53" t="n"/>
      <c r="AM583" s="53" t="inlineStr">
        <is>
          <t>iFile</t>
        </is>
      </c>
      <c r="AN583" s="53" t="inlineStr">
        <is>
          <t>Technology</t>
        </is>
      </c>
      <c r="AO583" s="53" t="inlineStr">
        <is>
          <t>Development</t>
        </is>
      </c>
      <c r="AP583" s="53" t="inlineStr">
        <is>
          <t>Yes</t>
        </is>
      </c>
      <c r="AQ583" s="53" t="inlineStr">
        <is>
          <t>Product/Project</t>
        </is>
      </c>
      <c r="AR583" s="53" t="n"/>
      <c r="AS583" s="53" t="inlineStr">
        <is>
          <t>Technical - Developer</t>
        </is>
      </c>
      <c r="AT583" s="53" t="n">
        <v>0</v>
      </c>
      <c r="AU583" s="53" t="inlineStr">
        <is>
          <t>E-External Consultant</t>
        </is>
      </c>
      <c r="AV583" s="53" t="n"/>
      <c r="AW583" s="53" t="n"/>
      <c r="AX583" s="53" t="n"/>
      <c r="AY583" s="53" t="n"/>
      <c r="AZ583" s="53" t="n"/>
      <c r="BA583" s="53" t="n"/>
      <c r="BB583" s="53" t="n"/>
      <c r="BC583" s="53" t="n"/>
      <c r="BD583" s="53" t="n"/>
      <c r="BE583" s="53" t="n"/>
      <c r="BF583" s="53" t="n"/>
      <c r="BG583" s="53" t="n"/>
      <c r="BH583" s="53" t="n"/>
      <c r="BI583" s="53" t="n"/>
      <c r="BJ583" s="53" t="n"/>
      <c r="BK583" s="53" t="n"/>
      <c r="BL583" s="53" t="n"/>
      <c r="BM583" s="53" t="n"/>
      <c r="BN583" s="53" t="n"/>
      <c r="BO583" s="53" t="n"/>
      <c r="BP583" s="53" t="n"/>
      <c r="BQ583" s="53" t="n"/>
      <c r="BR583" s="53" t="n"/>
      <c r="BS583" s="53" t="n"/>
      <c r="BT583" s="53" t="n"/>
      <c r="BU583" s="53" t="n"/>
      <c r="BV583" s="53" t="n"/>
      <c r="BW583" s="53" t="n"/>
      <c r="BX583" s="53" t="n"/>
      <c r="BY583" s="53" t="n"/>
      <c r="BZ583" s="53" t="n"/>
      <c r="CA583" s="53" t="n"/>
      <c r="CB583" s="53" t="n"/>
      <c r="CC583" s="53" t="n"/>
      <c r="CD583" s="53" t="n"/>
      <c r="CE583" s="53" t="n"/>
      <c r="CF583" s="53" t="n"/>
      <c r="CG583" s="53" t="n"/>
      <c r="CH583" s="53" t="n"/>
      <c r="CI583" s="53" t="n"/>
      <c r="CJ583" s="53" t="n"/>
      <c r="CK583" s="53" t="n"/>
      <c r="CL583" s="53" t="n"/>
      <c r="CM583" s="53" t="n"/>
      <c r="CN583" s="53" t="n"/>
      <c r="CO583" s="53" t="n"/>
      <c r="CP583" s="53" t="n"/>
      <c r="CQ583" s="53" t="n"/>
      <c r="CR583" s="53" t="n"/>
      <c r="CS583" s="53" t="n"/>
      <c r="CT583" s="53" t="n"/>
      <c r="CU583" s="53" t="n"/>
      <c r="CV583" s="53" t="n"/>
      <c r="CW583" s="53" t="n"/>
      <c r="CX583" s="53" t="n"/>
      <c r="CY583" s="53" t="n"/>
      <c r="CZ583" s="53" t="n"/>
      <c r="DA583" s="53" t="n"/>
      <c r="DB583" s="53" t="n"/>
      <c r="DC583" s="53" t="n"/>
      <c r="DD583" s="53" t="n"/>
      <c r="DE583" s="53" t="n"/>
      <c r="DF583" s="53" t="n"/>
      <c r="DG583" s="53" t="n"/>
      <c r="DH583" s="53" t="n"/>
      <c r="DI583" s="53" t="n"/>
      <c r="DJ583" s="53" t="n"/>
      <c r="DK583" s="53" t="n"/>
      <c r="DL583" s="53" t="n"/>
      <c r="DM583" s="53" t="n"/>
      <c r="DN583" s="53" t="n"/>
      <c r="DO583" s="53" t="n"/>
      <c r="DP583" s="53" t="n"/>
      <c r="DQ583" s="53" t="n"/>
      <c r="DR583" s="53" t="n"/>
      <c r="DS583" s="53" t="n"/>
      <c r="DT583" s="53" t="n"/>
      <c r="DU583" s="53" t="n"/>
      <c r="DV583" s="53" t="n"/>
      <c r="DW583" s="53" t="n"/>
      <c r="DX583" s="53" t="n"/>
      <c r="DY583" s="53" t="n"/>
      <c r="DZ583" s="53" t="n"/>
      <c r="EA583" s="53" t="n"/>
      <c r="EB583" s="53" t="n"/>
      <c r="EC583" s="53" t="n"/>
      <c r="ED583" s="53" t="n"/>
      <c r="EE583" s="53" t="n"/>
      <c r="EF583" s="53" t="n"/>
      <c r="EG583" s="53" t="n"/>
      <c r="EH583" s="53" t="n"/>
      <c r="EI583" s="53" t="n"/>
      <c r="EJ583" s="53" t="n"/>
      <c r="EK583" s="53" t="n"/>
      <c r="EL583" s="53" t="n"/>
      <c r="EM583" s="53" t="n"/>
      <c r="EN583" s="53" t="n"/>
      <c r="EO583" s="53" t="n"/>
      <c r="EP583" s="53" t="n"/>
      <c r="EQ583" s="53" t="n"/>
      <c r="ER583" s="53" t="n"/>
      <c r="ES583" s="53" t="n"/>
      <c r="ET583" s="53" t="n"/>
      <c r="EU583" s="53" t="n"/>
      <c r="EV583" s="53" t="n"/>
      <c r="EW583" s="52" t="n"/>
      <c r="EX583" s="53" t="n"/>
      <c r="EY583" s="53" t="n"/>
      <c r="EZ583" s="53" t="n"/>
      <c r="FA583" s="53" t="n"/>
      <c r="FB583" s="53" t="n"/>
      <c r="FC583" s="53" t="n"/>
      <c r="FD583" s="53" t="n"/>
      <c r="FE583" s="55" t="inlineStr">
        <is>
          <t>KRAs not received · manager to supply</t>
        </is>
      </c>
      <c r="FF583" s="56" t="n"/>
      <c r="FG583" s="56" t="n"/>
      <c r="FH583" s="56" t="n"/>
      <c r="FI583" s="56" t="n"/>
      <c r="FJ583" s="32" t="inlineStr">
        <is>
          <t>KRAs not received · manager to supply</t>
        </is>
      </c>
      <c r="FK583" s="56" t="n"/>
      <c r="FL583" s="56" t="n">
        <v>0</v>
      </c>
      <c r="FM583" s="32" t="inlineStr">
        <is>
          <t>No survey response on file</t>
        </is>
      </c>
      <c r="FN583" s="56" t="inlineStr">
        <is>
          <t>—</t>
        </is>
      </c>
      <c r="FO583" s="56" t="inlineStr">
        <is>
          <t>—</t>
        </is>
      </c>
      <c r="FP583" s="56" t="inlineStr">
        <is>
          <t>—</t>
        </is>
      </c>
      <c r="FQ583" s="56" t="inlineStr">
        <is>
          <t>—</t>
        </is>
      </c>
      <c r="FR583" s="56" t="n"/>
      <c r="FS583" s="56"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FT583" s="56" t="n"/>
      <c r="FU583" s="32" t="inlineStr">
        <is>
          <t>No survey response on file</t>
        </is>
      </c>
    </row>
    <row r="584" ht="90" customHeight="1">
      <c r="A584" s="51" t="inlineStr">
        <is>
          <t>◂ Back</t>
        </is>
      </c>
      <c r="B584" s="29" t="inlineStr">
        <is>
          <t>Mapped</t>
        </is>
      </c>
      <c r="C584" s="28" t="inlineStr">
        <is>
          <t>iFile</t>
        </is>
      </c>
      <c r="D584" s="29" t="inlineStr">
        <is>
          <t>No Emp ID · external consultant</t>
        </is>
      </c>
      <c r="E584" s="29" t="inlineStr">
        <is>
          <t>Poonam Rajput</t>
        </is>
      </c>
      <c r="F584" s="29" t="inlineStr">
        <is>
          <t>Technology</t>
        </is>
      </c>
      <c r="G584" s="29" t="inlineStr">
        <is>
          <t>Consultant</t>
        </is>
      </c>
      <c r="H584" s="29" t="inlineStr">
        <is>
          <t>Associate Consultant – Software Development</t>
        </is>
      </c>
      <c r="I584" s="29" t="inlineStr">
        <is>
          <t>—</t>
        </is>
      </c>
      <c r="J584" s="29" t="inlineStr">
        <is>
          <t>X1</t>
        </is>
      </c>
      <c r="K584" s="29" t="inlineStr">
        <is>
          <t>• Same level</t>
        </is>
      </c>
      <c r="L584" s="29" t="inlineStr">
        <is>
          <t>Engineering &amp; Development</t>
        </is>
      </c>
      <c r="M584" s="29" t="inlineStr">
        <is>
          <t>Backend Development</t>
        </is>
      </c>
      <c r="N584" s="29" t="n"/>
      <c r="O584" s="29" t="n">
        <v>0</v>
      </c>
      <c r="P584" s="28" t="inlineStr">
        <is>
          <t>Contractor</t>
        </is>
      </c>
      <c r="Q584" s="29" t="inlineStr">
        <is>
          <t>—</t>
        </is>
      </c>
      <c r="R584" s="29" t="inlineStr">
        <is>
          <t>—</t>
        </is>
      </c>
      <c r="S584" s="29" t="inlineStr">
        <is>
          <t>0–5 yrs</t>
        </is>
      </c>
      <c r="T584" s="29" t="inlineStr">
        <is>
          <t>—</t>
        </is>
      </c>
      <c r="U584" s="29" t="inlineStr">
        <is>
          <t>Contractor · rate card</t>
        </is>
      </c>
      <c r="V584" s="29" t="inlineStr">
        <is>
          <t>—</t>
        </is>
      </c>
      <c r="W584" s="29" t="inlineStr">
        <is>
          <t>SFIA 9 · software development, programming; OWASP secure coding; cloud vendor certifications</t>
        </is>
      </c>
      <c r="X584" s="29" t="inlineStr">
        <is>
          <t>Per statement of work</t>
        </is>
      </c>
      <c r="Y584" s="52" t="n">
        <v>570</v>
      </c>
      <c r="Z584" s="53" t="n"/>
      <c r="AA584" s="53" t="inlineStr">
        <is>
          <t>External Consultant</t>
        </is>
      </c>
      <c r="AB584" s="53" t="inlineStr">
        <is>
          <t>Active</t>
        </is>
      </c>
      <c r="AC584" s="53" t="inlineStr">
        <is>
          <t>Poonam Rajput</t>
        </is>
      </c>
      <c r="AD584" s="54" t="n">
        <v>45425</v>
      </c>
      <c r="AE584" s="53" t="inlineStr">
        <is>
          <t>Consultant</t>
        </is>
      </c>
      <c r="AF584" s="53" t="n"/>
      <c r="AG584" s="53" t="n"/>
      <c r="AH584" s="53" t="n"/>
      <c r="AI584" s="53" t="inlineStr">
        <is>
          <t>Individual Contributor</t>
        </is>
      </c>
      <c r="AJ584" s="53" t="n"/>
      <c r="AK584" s="53" t="n"/>
      <c r="AL584" s="53" t="n"/>
      <c r="AM584" s="53" t="inlineStr">
        <is>
          <t>iFile</t>
        </is>
      </c>
      <c r="AN584" s="53" t="inlineStr">
        <is>
          <t>Technology</t>
        </is>
      </c>
      <c r="AO584" s="53" t="inlineStr">
        <is>
          <t>Development</t>
        </is>
      </c>
      <c r="AP584" s="53" t="inlineStr">
        <is>
          <t>Yes</t>
        </is>
      </c>
      <c r="AQ584" s="53" t="inlineStr">
        <is>
          <t>Product/Project</t>
        </is>
      </c>
      <c r="AR584" s="53" t="n"/>
      <c r="AS584" s="53" t="inlineStr">
        <is>
          <t>Technical - Developer</t>
        </is>
      </c>
      <c r="AT584" s="53" t="n">
        <v>0</v>
      </c>
      <c r="AU584" s="53" t="inlineStr">
        <is>
          <t>E-External Consultant</t>
        </is>
      </c>
      <c r="AV584" s="53" t="n"/>
      <c r="AW584" s="53" t="n"/>
      <c r="AX584" s="53" t="n"/>
      <c r="AY584" s="53" t="n"/>
      <c r="AZ584" s="53" t="n"/>
      <c r="BA584" s="53" t="n"/>
      <c r="BB584" s="53" t="n"/>
      <c r="BC584" s="53" t="n"/>
      <c r="BD584" s="53" t="n"/>
      <c r="BE584" s="53" t="n"/>
      <c r="BF584" s="53" t="n"/>
      <c r="BG584" s="53" t="n"/>
      <c r="BH584" s="53" t="n"/>
      <c r="BI584" s="53" t="n"/>
      <c r="BJ584" s="53" t="n"/>
      <c r="BK584" s="53" t="n"/>
      <c r="BL584" s="53" t="n"/>
      <c r="BM584" s="53" t="n"/>
      <c r="BN584" s="53" t="n"/>
      <c r="BO584" s="53" t="n"/>
      <c r="BP584" s="53" t="n"/>
      <c r="BQ584" s="53" t="n"/>
      <c r="BR584" s="53" t="n"/>
      <c r="BS584" s="53" t="n"/>
      <c r="BT584" s="53" t="n"/>
      <c r="BU584" s="53" t="n"/>
      <c r="BV584" s="53" t="n"/>
      <c r="BW584" s="53" t="n"/>
      <c r="BX584" s="53" t="n"/>
      <c r="BY584" s="53" t="n"/>
      <c r="BZ584" s="53" t="n"/>
      <c r="CA584" s="53" t="n"/>
      <c r="CB584" s="53" t="n"/>
      <c r="CC584" s="53" t="n"/>
      <c r="CD584" s="53" t="n"/>
      <c r="CE584" s="53" t="n"/>
      <c r="CF584" s="53" t="n"/>
      <c r="CG584" s="53" t="n"/>
      <c r="CH584" s="53" t="n"/>
      <c r="CI584" s="53" t="n"/>
      <c r="CJ584" s="53" t="n"/>
      <c r="CK584" s="53" t="n"/>
      <c r="CL584" s="53" t="n"/>
      <c r="CM584" s="53" t="n"/>
      <c r="CN584" s="53" t="n"/>
      <c r="CO584" s="53" t="n"/>
      <c r="CP584" s="53" t="n"/>
      <c r="CQ584" s="53" t="n"/>
      <c r="CR584" s="53" t="n"/>
      <c r="CS584" s="53" t="n"/>
      <c r="CT584" s="53" t="n"/>
      <c r="CU584" s="53" t="n"/>
      <c r="CV584" s="53" t="n"/>
      <c r="CW584" s="53" t="n"/>
      <c r="CX584" s="53" t="n"/>
      <c r="CY584" s="53" t="n"/>
      <c r="CZ584" s="53" t="n"/>
      <c r="DA584" s="53" t="n"/>
      <c r="DB584" s="53" t="n"/>
      <c r="DC584" s="53" t="n"/>
      <c r="DD584" s="53" t="n"/>
      <c r="DE584" s="53" t="n"/>
      <c r="DF584" s="53" t="n"/>
      <c r="DG584" s="53" t="n"/>
      <c r="DH584" s="53" t="n"/>
      <c r="DI584" s="53" t="n"/>
      <c r="DJ584" s="53" t="n"/>
      <c r="DK584" s="53" t="n"/>
      <c r="DL584" s="53" t="n"/>
      <c r="DM584" s="53" t="n"/>
      <c r="DN584" s="53" t="n"/>
      <c r="DO584" s="53" t="n"/>
      <c r="DP584" s="53" t="n"/>
      <c r="DQ584" s="53" t="n"/>
      <c r="DR584" s="53" t="n"/>
      <c r="DS584" s="53" t="n"/>
      <c r="DT584" s="53" t="n"/>
      <c r="DU584" s="53" t="n"/>
      <c r="DV584" s="53" t="n"/>
      <c r="DW584" s="53" t="n"/>
      <c r="DX584" s="53" t="n"/>
      <c r="DY584" s="53" t="n"/>
      <c r="DZ584" s="53" t="n"/>
      <c r="EA584" s="53" t="n"/>
      <c r="EB584" s="53" t="n"/>
      <c r="EC584" s="53" t="n"/>
      <c r="ED584" s="53" t="n"/>
      <c r="EE584" s="53" t="n"/>
      <c r="EF584" s="53" t="n"/>
      <c r="EG584" s="53" t="n"/>
      <c r="EH584" s="53" t="n"/>
      <c r="EI584" s="53" t="n"/>
      <c r="EJ584" s="53" t="n"/>
      <c r="EK584" s="53" t="n"/>
      <c r="EL584" s="53" t="n"/>
      <c r="EM584" s="53" t="n"/>
      <c r="EN584" s="53" t="n"/>
      <c r="EO584" s="53" t="n"/>
      <c r="EP584" s="53" t="n"/>
      <c r="EQ584" s="53" t="n"/>
      <c r="ER584" s="53" t="n"/>
      <c r="ES584" s="53" t="n"/>
      <c r="ET584" s="53" t="n"/>
      <c r="EU584" s="53" t="n"/>
      <c r="EV584" s="53" t="n"/>
      <c r="EW584" s="52" t="n"/>
      <c r="EX584" s="53" t="n"/>
      <c r="EY584" s="53" t="n"/>
      <c r="EZ584" s="53" t="n"/>
      <c r="FA584" s="53" t="n"/>
      <c r="FB584" s="53" t="n"/>
      <c r="FC584" s="53" t="n"/>
      <c r="FD584" s="53" t="n"/>
      <c r="FE584" s="55" t="inlineStr">
        <is>
          <t>KRAs not received · manager to supply</t>
        </is>
      </c>
      <c r="FF584" s="56" t="n"/>
      <c r="FG584" s="56" t="n"/>
      <c r="FH584" s="56" t="n"/>
      <c r="FI584" s="56" t="n"/>
      <c r="FJ584" s="32" t="inlineStr">
        <is>
          <t>KRAs not received · manager to supply</t>
        </is>
      </c>
      <c r="FK584" s="56" t="n"/>
      <c r="FL584" s="56" t="n">
        <v>0</v>
      </c>
      <c r="FM584" s="32" t="inlineStr">
        <is>
          <t>No survey response on file</t>
        </is>
      </c>
      <c r="FN584" s="56" t="inlineStr">
        <is>
          <t>—</t>
        </is>
      </c>
      <c r="FO584" s="56" t="inlineStr">
        <is>
          <t>—</t>
        </is>
      </c>
      <c r="FP584" s="56" t="inlineStr">
        <is>
          <t>—</t>
        </is>
      </c>
      <c r="FQ584" s="56" t="inlineStr">
        <is>
          <t>—</t>
        </is>
      </c>
      <c r="FR584" s="56" t="n"/>
      <c r="FS584" s="56"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FT584" s="56" t="n"/>
      <c r="FU584" s="32" t="inlineStr">
        <is>
          <t>No survey response on file</t>
        </is>
      </c>
    </row>
    <row r="585" ht="90" customHeight="1">
      <c r="A585" s="51" t="inlineStr">
        <is>
          <t>◂ Back</t>
        </is>
      </c>
      <c r="B585" s="29" t="inlineStr">
        <is>
          <t>Mapped</t>
        </is>
      </c>
      <c r="C585" s="28" t="inlineStr">
        <is>
          <t>Datatech</t>
        </is>
      </c>
      <c r="D585" s="29" t="inlineStr">
        <is>
          <t>No Emp ID · in-house consultant</t>
        </is>
      </c>
      <c r="E585" s="29" t="inlineStr">
        <is>
          <t>R Indumathi</t>
        </is>
      </c>
      <c r="F585" s="29" t="inlineStr">
        <is>
          <t>Marketing</t>
        </is>
      </c>
      <c r="G585" s="29" t="inlineStr">
        <is>
          <t>Consultant</t>
        </is>
      </c>
      <c r="H585" s="29" t="inlineStr">
        <is>
          <t>Associate Consultant – Demand Generation, Brand &amp; Events</t>
        </is>
      </c>
      <c r="I585" s="29" t="inlineStr">
        <is>
          <t>—</t>
        </is>
      </c>
      <c r="J585" s="29" t="inlineStr">
        <is>
          <t>X1</t>
        </is>
      </c>
      <c r="K585" s="29" t="inlineStr">
        <is>
          <t>• Same level</t>
        </is>
      </c>
      <c r="L585" s="29" t="inlineStr">
        <is>
          <t>Marketing &amp; Communications</t>
        </is>
      </c>
      <c r="M585" s="29" t="inlineStr">
        <is>
          <t>Marketing · role not recorded</t>
        </is>
      </c>
      <c r="N585" s="29" t="n"/>
      <c r="O585" s="29" t="n">
        <v>0</v>
      </c>
      <c r="P585" s="28" t="inlineStr">
        <is>
          <t>Contractor</t>
        </is>
      </c>
      <c r="Q585" s="29" t="inlineStr">
        <is>
          <t>—</t>
        </is>
      </c>
      <c r="R585" s="29" t="inlineStr">
        <is>
          <t>—</t>
        </is>
      </c>
      <c r="S585" s="29" t="inlineStr">
        <is>
          <t>0–5 yrs</t>
        </is>
      </c>
      <c r="T585" s="29" t="inlineStr">
        <is>
          <t>—</t>
        </is>
      </c>
      <c r="U585" s="29" t="inlineStr">
        <is>
          <t>Contractor · rate card</t>
        </is>
      </c>
      <c r="V585" s="29" t="inlineStr">
        <is>
          <t>—</t>
        </is>
      </c>
      <c r="W585" s="29" t="inlineStr">
        <is>
          <t>CIM Global Professional Marketing Framework — proficiency Aware → Active learner → Able → Accomplished → Authoritative</t>
        </is>
      </c>
      <c r="X585" s="29" t="inlineStr">
        <is>
          <t>Per statement of work</t>
        </is>
      </c>
      <c r="Y585" s="52" t="n">
        <v>583</v>
      </c>
      <c r="Z585" s="53" t="n"/>
      <c r="AA585" s="53" t="inlineStr">
        <is>
          <t>In-House Consultant</t>
        </is>
      </c>
      <c r="AB585" s="53" t="inlineStr">
        <is>
          <t>Active</t>
        </is>
      </c>
      <c r="AC585" s="53" t="inlineStr">
        <is>
          <t>R Indumathi</t>
        </is>
      </c>
      <c r="AD585" s="54" t="n">
        <v>46174</v>
      </c>
      <c r="AE585" s="53" t="inlineStr">
        <is>
          <t>Consultant</t>
        </is>
      </c>
      <c r="AF585" s="53" t="n"/>
      <c r="AG585" s="53" t="n"/>
      <c r="AH585" s="53" t="n"/>
      <c r="AI585" s="53" t="inlineStr">
        <is>
          <t>Individual Contributor</t>
        </is>
      </c>
      <c r="AJ585" s="53" t="n"/>
      <c r="AK585" s="53" t="n"/>
      <c r="AL585" s="53" t="n"/>
      <c r="AM585" s="53" t="inlineStr">
        <is>
          <t>Datatech</t>
        </is>
      </c>
      <c r="AN585" s="53" t="inlineStr">
        <is>
          <t>Marketing</t>
        </is>
      </c>
      <c r="AO585" s="53" t="inlineStr">
        <is>
          <t>Marketing</t>
        </is>
      </c>
      <c r="AP585" s="53" t="inlineStr">
        <is>
          <t>No</t>
        </is>
      </c>
      <c r="AQ585" s="53" t="inlineStr">
        <is>
          <t>Sales, Marketing &amp; Support</t>
        </is>
      </c>
      <c r="AR585" s="53" t="n"/>
      <c r="AS585" s="53" t="inlineStr">
        <is>
          <t>Non-technical</t>
        </is>
      </c>
      <c r="AT585" s="53" t="n">
        <v>0</v>
      </c>
      <c r="AU585" s="53" t="inlineStr">
        <is>
          <t>E-External Consultant</t>
        </is>
      </c>
      <c r="AV585" s="53" t="n"/>
      <c r="AW585" s="53" t="n"/>
      <c r="AX585" s="53" t="n"/>
      <c r="AY585" s="53" t="n"/>
      <c r="AZ585" s="53" t="n"/>
      <c r="BA585" s="53" t="n"/>
      <c r="BB585" s="53" t="n"/>
      <c r="BC585" s="53" t="n"/>
      <c r="BD585" s="53" t="n"/>
      <c r="BE585" s="53" t="n"/>
      <c r="BF585" s="53" t="n"/>
      <c r="BG585" s="53" t="n"/>
      <c r="BH585" s="53" t="n"/>
      <c r="BI585" s="53" t="n"/>
      <c r="BJ585" s="53" t="n"/>
      <c r="BK585" s="53" t="n"/>
      <c r="BL585" s="53" t="n"/>
      <c r="BM585" s="53" t="n"/>
      <c r="BN585" s="53" t="n"/>
      <c r="BO585" s="53" t="n"/>
      <c r="BP585" s="53" t="n"/>
      <c r="BQ585" s="53" t="n"/>
      <c r="BR585" s="53" t="n"/>
      <c r="BS585" s="53" t="n"/>
      <c r="BT585" s="53" t="n"/>
      <c r="BU585" s="53" t="n"/>
      <c r="BV585" s="53" t="n"/>
      <c r="BW585" s="53" t="n"/>
      <c r="BX585" s="53" t="n"/>
      <c r="BY585" s="53" t="n"/>
      <c r="BZ585" s="53" t="n"/>
      <c r="CA585" s="53" t="n"/>
      <c r="CB585" s="53" t="n"/>
      <c r="CC585" s="53" t="n"/>
      <c r="CD585" s="53" t="n"/>
      <c r="CE585" s="53" t="n"/>
      <c r="CF585" s="53" t="n"/>
      <c r="CG585" s="53" t="n"/>
      <c r="CH585" s="53" t="n"/>
      <c r="CI585" s="53" t="n"/>
      <c r="CJ585" s="53" t="n"/>
      <c r="CK585" s="53" t="n"/>
      <c r="CL585" s="53" t="n"/>
      <c r="CM585" s="53" t="n"/>
      <c r="CN585" s="53" t="n"/>
      <c r="CO585" s="53" t="n"/>
      <c r="CP585" s="53" t="n"/>
      <c r="CQ585" s="53" t="n"/>
      <c r="CR585" s="53" t="n"/>
      <c r="CS585" s="53" t="n"/>
      <c r="CT585" s="53" t="n"/>
      <c r="CU585" s="53" t="n"/>
      <c r="CV585" s="53" t="n"/>
      <c r="CW585" s="53" t="n"/>
      <c r="CX585" s="53" t="n"/>
      <c r="CY585" s="53" t="n"/>
      <c r="CZ585" s="53" t="n"/>
      <c r="DA585" s="53" t="n"/>
      <c r="DB585" s="53" t="n"/>
      <c r="DC585" s="53" t="n"/>
      <c r="DD585" s="53" t="n"/>
      <c r="DE585" s="53" t="n"/>
      <c r="DF585" s="53" t="n"/>
      <c r="DG585" s="53" t="n"/>
      <c r="DH585" s="53" t="n"/>
      <c r="DI585" s="53" t="n"/>
      <c r="DJ585" s="53" t="n"/>
      <c r="DK585" s="53" t="n"/>
      <c r="DL585" s="53" t="n"/>
      <c r="DM585" s="53" t="n"/>
      <c r="DN585" s="53" t="n"/>
      <c r="DO585" s="53" t="n"/>
      <c r="DP585" s="53" t="n"/>
      <c r="DQ585" s="53" t="n"/>
      <c r="DR585" s="53" t="n"/>
      <c r="DS585" s="53" t="n"/>
      <c r="DT585" s="53" t="n"/>
      <c r="DU585" s="53" t="n"/>
      <c r="DV585" s="53" t="n"/>
      <c r="DW585" s="53" t="n"/>
      <c r="DX585" s="53" t="n"/>
      <c r="DY585" s="53" t="n"/>
      <c r="DZ585" s="53" t="n"/>
      <c r="EA585" s="53" t="n"/>
      <c r="EB585" s="53" t="n"/>
      <c r="EC585" s="53" t="n"/>
      <c r="ED585" s="53" t="n"/>
      <c r="EE585" s="53" t="n"/>
      <c r="EF585" s="53" t="n"/>
      <c r="EG585" s="53" t="n"/>
      <c r="EH585" s="53" t="n"/>
      <c r="EI585" s="53" t="n"/>
      <c r="EJ585" s="53" t="n"/>
      <c r="EK585" s="53" t="n"/>
      <c r="EL585" s="53" t="n"/>
      <c r="EM585" s="53" t="n"/>
      <c r="EN585" s="53" t="n"/>
      <c r="EO585" s="53" t="n"/>
      <c r="EP585" s="53" t="n"/>
      <c r="EQ585" s="53" t="n"/>
      <c r="ER585" s="53" t="n"/>
      <c r="ES585" s="53" t="n"/>
      <c r="ET585" s="53" t="n"/>
      <c r="EU585" s="53" t="n"/>
      <c r="EV585" s="53" t="n"/>
      <c r="EW585" s="52" t="n"/>
      <c r="EX585" s="53" t="n"/>
      <c r="EY585" s="53" t="n"/>
      <c r="EZ585" s="53" t="n"/>
      <c r="FA585" s="53" t="n"/>
      <c r="FB585" s="53" t="n"/>
      <c r="FC585" s="53" t="n"/>
      <c r="FD585" s="53" t="n"/>
      <c r="FE585" s="55" t="inlineStr">
        <is>
          <t>KRAs not received · manager to supply</t>
        </is>
      </c>
      <c r="FF585" s="56" t="n"/>
      <c r="FG585" s="56" t="n"/>
      <c r="FH585" s="56" t="n"/>
      <c r="FI585" s="56" t="n"/>
      <c r="FJ585" s="32" t="inlineStr">
        <is>
          <t>KRAs not received · manager to supply</t>
        </is>
      </c>
      <c r="FK585" s="56" t="n"/>
      <c r="FL585" s="56" t="n">
        <v>0</v>
      </c>
      <c r="FM585" s="32" t="inlineStr">
        <is>
          <t>No survey response on file</t>
        </is>
      </c>
      <c r="FN585" s="56" t="inlineStr">
        <is>
          <t>—</t>
        </is>
      </c>
      <c r="FO585" s="56" t="inlineStr">
        <is>
          <t>—</t>
        </is>
      </c>
      <c r="FP585" s="56" t="inlineStr">
        <is>
          <t>—</t>
        </is>
      </c>
      <c r="FQ585" s="56" t="inlineStr">
        <is>
          <t>—</t>
        </is>
      </c>
      <c r="FR585" s="56" t="n"/>
      <c r="FS585" s="56" t="n"/>
      <c r="FT585" s="56" t="n"/>
      <c r="FU585" s="32" t="inlineStr">
        <is>
          <t>No survey response on file</t>
        </is>
      </c>
    </row>
    <row r="586" ht="90" customHeight="1">
      <c r="A586" s="51" t="inlineStr">
        <is>
          <t>◂ Back</t>
        </is>
      </c>
      <c r="B586" s="29" t="inlineStr">
        <is>
          <t>Mapped</t>
        </is>
      </c>
      <c r="C586" s="28" t="inlineStr">
        <is>
          <t>Datatech</t>
        </is>
      </c>
      <c r="D586" s="29" t="inlineStr">
        <is>
          <t>No Emp ID · external consultant</t>
        </is>
      </c>
      <c r="E586" s="29" t="inlineStr">
        <is>
          <t>Sadhan Kumar</t>
        </is>
      </c>
      <c r="F586" s="29" t="inlineStr">
        <is>
          <t>Technology</t>
        </is>
      </c>
      <c r="G586" s="29" t="inlineStr">
        <is>
          <t>Consultant</t>
        </is>
      </c>
      <c r="H586" s="29" t="inlineStr">
        <is>
          <t>Associate Consultant – Software Development</t>
        </is>
      </c>
      <c r="I586" s="29" t="inlineStr">
        <is>
          <t>—</t>
        </is>
      </c>
      <c r="J586" s="29" t="inlineStr">
        <is>
          <t>X1</t>
        </is>
      </c>
      <c r="K586" s="29" t="inlineStr">
        <is>
          <t>• Same level</t>
        </is>
      </c>
      <c r="L586" s="29" t="inlineStr">
        <is>
          <t>Engineering &amp; Development</t>
        </is>
      </c>
      <c r="M586" s="29" t="inlineStr">
        <is>
          <t>Backend Development</t>
        </is>
      </c>
      <c r="N586" s="29" t="n"/>
      <c r="O586" s="29" t="n">
        <v>0</v>
      </c>
      <c r="P586" s="28" t="inlineStr">
        <is>
          <t>Contractor</t>
        </is>
      </c>
      <c r="Q586" s="29" t="inlineStr">
        <is>
          <t>—</t>
        </is>
      </c>
      <c r="R586" s="29" t="inlineStr">
        <is>
          <t>—</t>
        </is>
      </c>
      <c r="S586" s="29" t="inlineStr">
        <is>
          <t>0–5 yrs</t>
        </is>
      </c>
      <c r="T586" s="29" t="inlineStr">
        <is>
          <t>—</t>
        </is>
      </c>
      <c r="U586" s="29" t="inlineStr">
        <is>
          <t>Contractor · rate card</t>
        </is>
      </c>
      <c r="V586" s="29" t="inlineStr">
        <is>
          <t>—</t>
        </is>
      </c>
      <c r="W586" s="29" t="inlineStr">
        <is>
          <t>SFIA 9 · software development, programming; OWASP secure coding; cloud vendor certifications</t>
        </is>
      </c>
      <c r="X586" s="29" t="inlineStr">
        <is>
          <t>Per statement of work</t>
        </is>
      </c>
      <c r="Y586" s="52" t="n">
        <v>584</v>
      </c>
      <c r="Z586" s="53" t="n"/>
      <c r="AA586" s="53" t="inlineStr">
        <is>
          <t>External Consultant</t>
        </is>
      </c>
      <c r="AB586" s="53" t="inlineStr">
        <is>
          <t>Active</t>
        </is>
      </c>
      <c r="AC586" s="53" t="inlineStr">
        <is>
          <t>Sadhan Kumar</t>
        </is>
      </c>
      <c r="AD586" s="54" t="n">
        <v>46235</v>
      </c>
      <c r="AE586" s="53" t="inlineStr">
        <is>
          <t>Consultant</t>
        </is>
      </c>
      <c r="AF586" s="53" t="n"/>
      <c r="AG586" s="53" t="n"/>
      <c r="AH586" s="53" t="n"/>
      <c r="AI586" s="53" t="inlineStr">
        <is>
          <t>Individual Contributor</t>
        </is>
      </c>
      <c r="AJ586" s="53" t="n"/>
      <c r="AK586" s="53" t="n"/>
      <c r="AL586" s="53" t="n"/>
      <c r="AM586" s="53" t="inlineStr">
        <is>
          <t>Datatech</t>
        </is>
      </c>
      <c r="AN586" s="53" t="inlineStr">
        <is>
          <t>Technology</t>
        </is>
      </c>
      <c r="AO586" s="53" t="inlineStr">
        <is>
          <t>Development</t>
        </is>
      </c>
      <c r="AP586" s="53" t="inlineStr">
        <is>
          <t>Yes</t>
        </is>
      </c>
      <c r="AQ586" s="53" t="inlineStr">
        <is>
          <t>Product/Project</t>
        </is>
      </c>
      <c r="AR586" s="53" t="n"/>
      <c r="AS586" s="53" t="inlineStr">
        <is>
          <t>Technical - Developer</t>
        </is>
      </c>
      <c r="AT586" s="53" t="n">
        <v>0</v>
      </c>
      <c r="AU586" s="53" t="inlineStr">
        <is>
          <t>E-External Consultant</t>
        </is>
      </c>
      <c r="AV586" s="53" t="n"/>
      <c r="AW586" s="53" t="n"/>
      <c r="AX586" s="53" t="n"/>
      <c r="AY586" s="53" t="n"/>
      <c r="AZ586" s="53" t="n"/>
      <c r="BA586" s="53" t="n"/>
      <c r="BB586" s="53" t="n"/>
      <c r="BC586" s="53" t="n"/>
      <c r="BD586" s="53" t="n"/>
      <c r="BE586" s="53" t="n"/>
      <c r="BF586" s="53" t="n"/>
      <c r="BG586" s="53" t="n"/>
      <c r="BH586" s="53" t="n"/>
      <c r="BI586" s="53" t="n"/>
      <c r="BJ586" s="53" t="n"/>
      <c r="BK586" s="53" t="n"/>
      <c r="BL586" s="53" t="n"/>
      <c r="BM586" s="53" t="n"/>
      <c r="BN586" s="53" t="n"/>
      <c r="BO586" s="53" t="n"/>
      <c r="BP586" s="53" t="n"/>
      <c r="BQ586" s="53" t="n"/>
      <c r="BR586" s="53" t="n"/>
      <c r="BS586" s="53" t="n"/>
      <c r="BT586" s="53" t="n"/>
      <c r="BU586" s="53" t="n"/>
      <c r="BV586" s="53" t="n"/>
      <c r="BW586" s="53" t="n"/>
      <c r="BX586" s="53" t="n"/>
      <c r="BY586" s="53" t="n"/>
      <c r="BZ586" s="53" t="n"/>
      <c r="CA586" s="53" t="n"/>
      <c r="CB586" s="53" t="n"/>
      <c r="CC586" s="53" t="n"/>
      <c r="CD586" s="53" t="n"/>
      <c r="CE586" s="53" t="n"/>
      <c r="CF586" s="53" t="n"/>
      <c r="CG586" s="53" t="n"/>
      <c r="CH586" s="53" t="n"/>
      <c r="CI586" s="53" t="n"/>
      <c r="CJ586" s="53" t="n"/>
      <c r="CK586" s="53" t="n"/>
      <c r="CL586" s="53" t="n"/>
      <c r="CM586" s="53" t="n"/>
      <c r="CN586" s="53" t="n"/>
      <c r="CO586" s="53" t="n"/>
      <c r="CP586" s="53" t="n"/>
      <c r="CQ586" s="53" t="n"/>
      <c r="CR586" s="53" t="n"/>
      <c r="CS586" s="53" t="n"/>
      <c r="CT586" s="53" t="n"/>
      <c r="CU586" s="53" t="n"/>
      <c r="CV586" s="53" t="n"/>
      <c r="CW586" s="53" t="n"/>
      <c r="CX586" s="53" t="n"/>
      <c r="CY586" s="53" t="n"/>
      <c r="CZ586" s="53" t="n"/>
      <c r="DA586" s="53" t="n"/>
      <c r="DB586" s="53" t="n"/>
      <c r="DC586" s="53" t="n"/>
      <c r="DD586" s="53" t="n"/>
      <c r="DE586" s="53" t="n"/>
      <c r="DF586" s="53" t="n"/>
      <c r="DG586" s="53" t="n"/>
      <c r="DH586" s="53" t="n"/>
      <c r="DI586" s="53" t="n"/>
      <c r="DJ586" s="53" t="n"/>
      <c r="DK586" s="53" t="n"/>
      <c r="DL586" s="53" t="n"/>
      <c r="DM586" s="53" t="n"/>
      <c r="DN586" s="53" t="n"/>
      <c r="DO586" s="53" t="n"/>
      <c r="DP586" s="53" t="n"/>
      <c r="DQ586" s="53" t="n"/>
      <c r="DR586" s="53" t="n"/>
      <c r="DS586" s="53" t="n"/>
      <c r="DT586" s="53" t="n"/>
      <c r="DU586" s="53" t="n"/>
      <c r="DV586" s="53" t="n"/>
      <c r="DW586" s="53" t="n"/>
      <c r="DX586" s="53" t="n"/>
      <c r="DY586" s="53" t="n"/>
      <c r="DZ586" s="53" t="n"/>
      <c r="EA586" s="53" t="n"/>
      <c r="EB586" s="53" t="n"/>
      <c r="EC586" s="53" t="n"/>
      <c r="ED586" s="53" t="n"/>
      <c r="EE586" s="53" t="n"/>
      <c r="EF586" s="53" t="n"/>
      <c r="EG586" s="53" t="n"/>
      <c r="EH586" s="53" t="n"/>
      <c r="EI586" s="53" t="n"/>
      <c r="EJ586" s="53" t="n"/>
      <c r="EK586" s="53" t="n"/>
      <c r="EL586" s="53" t="n"/>
      <c r="EM586" s="53" t="n"/>
      <c r="EN586" s="53" t="n"/>
      <c r="EO586" s="53" t="n"/>
      <c r="EP586" s="53" t="n"/>
      <c r="EQ586" s="53" t="n"/>
      <c r="ER586" s="53" t="n"/>
      <c r="ES586" s="53" t="n"/>
      <c r="ET586" s="53" t="n"/>
      <c r="EU586" s="53" t="n"/>
      <c r="EV586" s="53" t="n"/>
      <c r="EW586" s="52" t="n"/>
      <c r="EX586" s="53" t="n"/>
      <c r="EY586" s="53" t="n"/>
      <c r="EZ586" s="53" t="n"/>
      <c r="FA586" s="53" t="n"/>
      <c r="FB586" s="53" t="n"/>
      <c r="FC586" s="53" t="n"/>
      <c r="FD586" s="53" t="n"/>
      <c r="FE586" s="55" t="inlineStr">
        <is>
          <t>KRAs not received · manager to supply</t>
        </is>
      </c>
      <c r="FF586" s="56" t="n"/>
      <c r="FG586" s="56" t="n"/>
      <c r="FH586" s="56" t="n"/>
      <c r="FI586" s="56" t="n"/>
      <c r="FJ586" s="32" t="inlineStr">
        <is>
          <t>KRAs not received · manager to supply</t>
        </is>
      </c>
      <c r="FK586" s="56" t="n"/>
      <c r="FL586" s="56" t="n">
        <v>0</v>
      </c>
      <c r="FM586" s="32" t="inlineStr">
        <is>
          <t>No survey response on file</t>
        </is>
      </c>
      <c r="FN586" s="56" t="inlineStr">
        <is>
          <t>—</t>
        </is>
      </c>
      <c r="FO586" s="56" t="inlineStr">
        <is>
          <t>—</t>
        </is>
      </c>
      <c r="FP586" s="56" t="inlineStr">
        <is>
          <t>—</t>
        </is>
      </c>
      <c r="FQ586" s="56" t="inlineStr">
        <is>
          <t>—</t>
        </is>
      </c>
      <c r="FR586" s="56" t="n"/>
      <c r="FS586" s="56"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FT586" s="56" t="n"/>
      <c r="FU586" s="32" t="inlineStr">
        <is>
          <t>No survey response on file</t>
        </is>
      </c>
    </row>
    <row r="587" ht="90" customHeight="1">
      <c r="A587" s="51" t="inlineStr">
        <is>
          <t>◂ Back</t>
        </is>
      </c>
      <c r="B587" s="29" t="inlineStr">
        <is>
          <t>Mapped</t>
        </is>
      </c>
      <c r="C587" s="28" t="inlineStr">
        <is>
          <t>iFile</t>
        </is>
      </c>
      <c r="D587" s="29" t="inlineStr">
        <is>
          <t>No Emp ID · external consultant</t>
        </is>
      </c>
      <c r="E587" s="29" t="inlineStr">
        <is>
          <t>Shifa Salheen</t>
        </is>
      </c>
      <c r="F587" s="29" t="inlineStr">
        <is>
          <t>Technology</t>
        </is>
      </c>
      <c r="G587" s="29" t="inlineStr">
        <is>
          <t>Consultant</t>
        </is>
      </c>
      <c r="H587" s="29" t="inlineStr">
        <is>
          <t>Associate Consultant – Software Development</t>
        </is>
      </c>
      <c r="I587" s="29" t="inlineStr">
        <is>
          <t>—</t>
        </is>
      </c>
      <c r="J587" s="29" t="inlineStr">
        <is>
          <t>X1</t>
        </is>
      </c>
      <c r="K587" s="29" t="inlineStr">
        <is>
          <t>• Same level</t>
        </is>
      </c>
      <c r="L587" s="29" t="inlineStr">
        <is>
          <t>Engineering &amp; Development</t>
        </is>
      </c>
      <c r="M587" s="29" t="inlineStr">
        <is>
          <t>Backend Development</t>
        </is>
      </c>
      <c r="N587" s="29" t="n"/>
      <c r="O587" s="29" t="n">
        <v>0</v>
      </c>
      <c r="P587" s="28" t="inlineStr">
        <is>
          <t>Contractor</t>
        </is>
      </c>
      <c r="Q587" s="29" t="inlineStr">
        <is>
          <t>—</t>
        </is>
      </c>
      <c r="R587" s="29" t="inlineStr">
        <is>
          <t>—</t>
        </is>
      </c>
      <c r="S587" s="29" t="inlineStr">
        <is>
          <t>0–5 yrs</t>
        </is>
      </c>
      <c r="T587" s="29" t="inlineStr">
        <is>
          <t>—</t>
        </is>
      </c>
      <c r="U587" s="29" t="inlineStr">
        <is>
          <t>Contractor · rate card</t>
        </is>
      </c>
      <c r="V587" s="29" t="inlineStr">
        <is>
          <t>—</t>
        </is>
      </c>
      <c r="W587" s="29" t="inlineStr">
        <is>
          <t>SFIA 9 · software development, programming; OWASP secure coding; cloud vendor certifications</t>
        </is>
      </c>
      <c r="X587" s="29" t="inlineStr">
        <is>
          <t>Per statement of work</t>
        </is>
      </c>
      <c r="Y587" s="52" t="n">
        <v>568</v>
      </c>
      <c r="Z587" s="53" t="n"/>
      <c r="AA587" s="53" t="inlineStr">
        <is>
          <t>External Consultant</t>
        </is>
      </c>
      <c r="AB587" s="53" t="inlineStr">
        <is>
          <t>Active</t>
        </is>
      </c>
      <c r="AC587" s="53" t="inlineStr">
        <is>
          <t>Shifa Salheen</t>
        </is>
      </c>
      <c r="AD587" s="54" t="n">
        <v>45425</v>
      </c>
      <c r="AE587" s="53" t="inlineStr">
        <is>
          <t>Consultant</t>
        </is>
      </c>
      <c r="AF587" s="53" t="n"/>
      <c r="AG587" s="53" t="n"/>
      <c r="AH587" s="53" t="n"/>
      <c r="AI587" s="53" t="inlineStr">
        <is>
          <t>Individual Contributor</t>
        </is>
      </c>
      <c r="AJ587" s="53" t="n"/>
      <c r="AK587" s="53" t="n"/>
      <c r="AL587" s="53" t="n"/>
      <c r="AM587" s="53" t="inlineStr">
        <is>
          <t>iFile</t>
        </is>
      </c>
      <c r="AN587" s="53" t="inlineStr">
        <is>
          <t>Technology</t>
        </is>
      </c>
      <c r="AO587" s="53" t="inlineStr">
        <is>
          <t>Development</t>
        </is>
      </c>
      <c r="AP587" s="53" t="inlineStr">
        <is>
          <t>Yes</t>
        </is>
      </c>
      <c r="AQ587" s="53" t="inlineStr">
        <is>
          <t>Product/Project</t>
        </is>
      </c>
      <c r="AR587" s="53" t="n"/>
      <c r="AS587" s="53" t="inlineStr">
        <is>
          <t>Technical - Developer</t>
        </is>
      </c>
      <c r="AT587" s="53" t="n">
        <v>0</v>
      </c>
      <c r="AU587" s="53" t="inlineStr">
        <is>
          <t>E-External Consultant</t>
        </is>
      </c>
      <c r="AV587" s="53" t="n"/>
      <c r="AW587" s="53" t="n"/>
      <c r="AX587" s="53" t="n"/>
      <c r="AY587" s="53" t="n"/>
      <c r="AZ587" s="53" t="n"/>
      <c r="BA587" s="53" t="n"/>
      <c r="BB587" s="53" t="n"/>
      <c r="BC587" s="53" t="n"/>
      <c r="BD587" s="53" t="n"/>
      <c r="BE587" s="53" t="n"/>
      <c r="BF587" s="53" t="n"/>
      <c r="BG587" s="53" t="n"/>
      <c r="BH587" s="53" t="n"/>
      <c r="BI587" s="53" t="n"/>
      <c r="BJ587" s="53" t="n"/>
      <c r="BK587" s="53" t="n"/>
      <c r="BL587" s="53" t="n"/>
      <c r="BM587" s="53" t="n"/>
      <c r="BN587" s="53" t="n"/>
      <c r="BO587" s="53" t="n"/>
      <c r="BP587" s="53" t="n"/>
      <c r="BQ587" s="53" t="n"/>
      <c r="BR587" s="53" t="n"/>
      <c r="BS587" s="53" t="n"/>
      <c r="BT587" s="53" t="n"/>
      <c r="BU587" s="53" t="n"/>
      <c r="BV587" s="53" t="n"/>
      <c r="BW587" s="53" t="n"/>
      <c r="BX587" s="53" t="n"/>
      <c r="BY587" s="53" t="n"/>
      <c r="BZ587" s="53" t="n"/>
      <c r="CA587" s="53" t="n"/>
      <c r="CB587" s="53" t="n"/>
      <c r="CC587" s="53" t="n"/>
      <c r="CD587" s="53" t="n"/>
      <c r="CE587" s="53" t="n"/>
      <c r="CF587" s="53" t="n"/>
      <c r="CG587" s="53" t="n"/>
      <c r="CH587" s="53" t="n"/>
      <c r="CI587" s="53" t="n"/>
      <c r="CJ587" s="53" t="n"/>
      <c r="CK587" s="53" t="n"/>
      <c r="CL587" s="53" t="n"/>
      <c r="CM587" s="53" t="n"/>
      <c r="CN587" s="53" t="n"/>
      <c r="CO587" s="53" t="n"/>
      <c r="CP587" s="53" t="n"/>
      <c r="CQ587" s="53" t="n"/>
      <c r="CR587" s="53" t="n"/>
      <c r="CS587" s="53" t="n"/>
      <c r="CT587" s="53" t="n"/>
      <c r="CU587" s="53" t="n"/>
      <c r="CV587" s="53" t="n"/>
      <c r="CW587" s="53" t="n"/>
      <c r="CX587" s="53" t="n"/>
      <c r="CY587" s="53" t="n"/>
      <c r="CZ587" s="53" t="n"/>
      <c r="DA587" s="53" t="n"/>
      <c r="DB587" s="53" t="n"/>
      <c r="DC587" s="53" t="n"/>
      <c r="DD587" s="53" t="n"/>
      <c r="DE587" s="53" t="n"/>
      <c r="DF587" s="53" t="n"/>
      <c r="DG587" s="53" t="n"/>
      <c r="DH587" s="53" t="n"/>
      <c r="DI587" s="53" t="n"/>
      <c r="DJ587" s="53" t="n"/>
      <c r="DK587" s="53" t="n"/>
      <c r="DL587" s="53" t="n"/>
      <c r="DM587" s="53" t="n"/>
      <c r="DN587" s="53" t="n"/>
      <c r="DO587" s="53" t="n"/>
      <c r="DP587" s="53" t="n"/>
      <c r="DQ587" s="53" t="n"/>
      <c r="DR587" s="53" t="n"/>
      <c r="DS587" s="53" t="n"/>
      <c r="DT587" s="53" t="n"/>
      <c r="DU587" s="53" t="n"/>
      <c r="DV587" s="53" t="n"/>
      <c r="DW587" s="53" t="n"/>
      <c r="DX587" s="53" t="n"/>
      <c r="DY587" s="53" t="n"/>
      <c r="DZ587" s="53" t="n"/>
      <c r="EA587" s="53" t="n"/>
      <c r="EB587" s="53" t="n"/>
      <c r="EC587" s="53" t="n"/>
      <c r="ED587" s="53" t="n"/>
      <c r="EE587" s="53" t="n"/>
      <c r="EF587" s="53" t="n"/>
      <c r="EG587" s="53" t="n"/>
      <c r="EH587" s="53" t="n"/>
      <c r="EI587" s="53" t="n"/>
      <c r="EJ587" s="53" t="n"/>
      <c r="EK587" s="53" t="n"/>
      <c r="EL587" s="53" t="n"/>
      <c r="EM587" s="53" t="n"/>
      <c r="EN587" s="53" t="n"/>
      <c r="EO587" s="53" t="n"/>
      <c r="EP587" s="53" t="n"/>
      <c r="EQ587" s="53" t="n"/>
      <c r="ER587" s="53" t="n"/>
      <c r="ES587" s="53" t="n"/>
      <c r="ET587" s="53" t="n"/>
      <c r="EU587" s="53" t="n"/>
      <c r="EV587" s="53" t="n"/>
      <c r="EW587" s="52" t="n"/>
      <c r="EX587" s="53" t="n"/>
      <c r="EY587" s="53" t="n"/>
      <c r="EZ587" s="53" t="n"/>
      <c r="FA587" s="53" t="n"/>
      <c r="FB587" s="53" t="n"/>
      <c r="FC587" s="53" t="n"/>
      <c r="FD587" s="53" t="n"/>
      <c r="FE587" s="55" t="inlineStr">
        <is>
          <t>KRAs not received · manager to supply</t>
        </is>
      </c>
      <c r="FF587" s="56" t="n"/>
      <c r="FG587" s="56" t="n"/>
      <c r="FH587" s="56" t="n"/>
      <c r="FI587" s="56" t="n"/>
      <c r="FJ587" s="32" t="inlineStr">
        <is>
          <t>KRAs not received · manager to supply</t>
        </is>
      </c>
      <c r="FK587" s="56" t="n"/>
      <c r="FL587" s="56" t="n">
        <v>0</v>
      </c>
      <c r="FM587" s="32" t="inlineStr">
        <is>
          <t>No survey response on file</t>
        </is>
      </c>
      <c r="FN587" s="56" t="inlineStr">
        <is>
          <t>—</t>
        </is>
      </c>
      <c r="FO587" s="56" t="inlineStr">
        <is>
          <t>—</t>
        </is>
      </c>
      <c r="FP587" s="56" t="inlineStr">
        <is>
          <t>—</t>
        </is>
      </c>
      <c r="FQ587" s="56" t="inlineStr">
        <is>
          <t>—</t>
        </is>
      </c>
      <c r="FR587" s="56" t="n"/>
      <c r="FS587" s="56"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FT587" s="56" t="n"/>
      <c r="FU587" s="32" t="inlineStr">
        <is>
          <t>No survey response on file</t>
        </is>
      </c>
    </row>
    <row r="588" ht="90" customHeight="1">
      <c r="A588" s="51" t="inlineStr">
        <is>
          <t>◂ Back</t>
        </is>
      </c>
      <c r="B588" s="29" t="inlineStr">
        <is>
          <t>Mapped</t>
        </is>
      </c>
      <c r="C588" s="28" t="inlineStr">
        <is>
          <t>Datatech</t>
        </is>
      </c>
      <c r="D588" s="29" t="inlineStr">
        <is>
          <t>No Emp ID · external consultant</t>
        </is>
      </c>
      <c r="E588" s="29" t="inlineStr">
        <is>
          <t>Shweta Vijay</t>
        </is>
      </c>
      <c r="F588" s="29" t="inlineStr">
        <is>
          <t>Not provided · HRIS</t>
        </is>
      </c>
      <c r="G588" s="29" t="inlineStr">
        <is>
          <t>Consultant</t>
        </is>
      </c>
      <c r="H588" s="29" t="inlineStr">
        <is>
          <t>Associate Consultant – Software Development</t>
        </is>
      </c>
      <c r="I588" s="29" t="inlineStr">
        <is>
          <t>—</t>
        </is>
      </c>
      <c r="J588" s="29" t="inlineStr">
        <is>
          <t>X1</t>
        </is>
      </c>
      <c r="K588" s="29" t="inlineStr">
        <is>
          <t>• Same level</t>
        </is>
      </c>
      <c r="L588" s="29" t="inlineStr">
        <is>
          <t>Unassigned</t>
        </is>
      </c>
      <c r="M588" s="29" t="inlineStr">
        <is>
          <t>Role not recorded · external consultant</t>
        </is>
      </c>
      <c r="N588" s="29" t="inlineStr">
        <is>
          <t>• Role and department on record — Business head</t>
        </is>
      </c>
      <c r="O588" s="29" t="n">
        <v>0</v>
      </c>
      <c r="P588" s="28" t="inlineStr">
        <is>
          <t>Contractor</t>
        </is>
      </c>
      <c r="Q588" s="29" t="inlineStr">
        <is>
          <t>—</t>
        </is>
      </c>
      <c r="R588" s="29" t="inlineStr">
        <is>
          <t>—</t>
        </is>
      </c>
      <c r="S588" s="29" t="inlineStr">
        <is>
          <t>0–5 yrs</t>
        </is>
      </c>
      <c r="T588" s="29" t="inlineStr">
        <is>
          <t>—</t>
        </is>
      </c>
      <c r="U588" s="29" t="inlineStr">
        <is>
          <t>Contractor · rate card</t>
        </is>
      </c>
      <c r="V588" s="29" t="inlineStr">
        <is>
          <t>—</t>
        </is>
      </c>
      <c r="W588" s="29" t="inlineStr">
        <is>
          <t>—</t>
        </is>
      </c>
      <c r="X588" s="29" t="inlineStr">
        <is>
          <t>Per statement of work</t>
        </is>
      </c>
      <c r="Y588" s="52" t="n">
        <v>586</v>
      </c>
      <c r="Z588" s="53" t="n"/>
      <c r="AA588" s="53" t="inlineStr">
        <is>
          <t>External Consultant</t>
        </is>
      </c>
      <c r="AB588" s="53" t="inlineStr">
        <is>
          <t>Active</t>
        </is>
      </c>
      <c r="AC588" s="53" t="inlineStr">
        <is>
          <t>Shweta Vijay</t>
        </is>
      </c>
      <c r="AD588" s="54" t="n">
        <v>46266</v>
      </c>
      <c r="AE588" s="53" t="inlineStr">
        <is>
          <t>Consultant</t>
        </is>
      </c>
      <c r="AF588" s="53" t="n"/>
      <c r="AG588" s="53" t="n"/>
      <c r="AH588" s="53" t="n"/>
      <c r="AI588" s="53" t="inlineStr">
        <is>
          <t>Individual Contributor</t>
        </is>
      </c>
      <c r="AJ588" s="53" t="n"/>
      <c r="AK588" s="53" t="n"/>
      <c r="AL588" s="53" t="n"/>
      <c r="AM588" s="53" t="inlineStr">
        <is>
          <t>Datatech</t>
        </is>
      </c>
      <c r="AN588" s="53" t="n"/>
      <c r="AO588" s="53" t="n"/>
      <c r="AP588" s="53" t="n"/>
      <c r="AQ588" s="53" t="n"/>
      <c r="AR588" s="53" t="n"/>
      <c r="AS588" s="53" t="n"/>
      <c r="AT588" s="53" t="n">
        <v>0</v>
      </c>
      <c r="AU588" s="53" t="inlineStr">
        <is>
          <t>E-External Consultant</t>
        </is>
      </c>
      <c r="AV588" s="53" t="n"/>
      <c r="AW588" s="53" t="n"/>
      <c r="AX588" s="53" t="n"/>
      <c r="AY588" s="53" t="n"/>
      <c r="AZ588" s="53" t="n"/>
      <c r="BA588" s="53" t="n"/>
      <c r="BB588" s="53" t="n"/>
      <c r="BC588" s="53" t="n"/>
      <c r="BD588" s="53" t="n"/>
      <c r="BE588" s="53" t="n"/>
      <c r="BF588" s="53" t="n"/>
      <c r="BG588" s="53" t="n"/>
      <c r="BH588" s="53" t="n"/>
      <c r="BI588" s="53" t="n"/>
      <c r="BJ588" s="53" t="n"/>
      <c r="BK588" s="53" t="n"/>
      <c r="BL588" s="53" t="n"/>
      <c r="BM588" s="53" t="n"/>
      <c r="BN588" s="53" t="n"/>
      <c r="BO588" s="53" t="n"/>
      <c r="BP588" s="53" t="n"/>
      <c r="BQ588" s="53" t="n"/>
      <c r="BR588" s="53" t="n"/>
      <c r="BS588" s="53" t="n"/>
      <c r="BT588" s="53" t="n"/>
      <c r="BU588" s="53" t="n"/>
      <c r="BV588" s="53" t="n"/>
      <c r="BW588" s="53" t="n"/>
      <c r="BX588" s="53" t="n"/>
      <c r="BY588" s="53" t="n"/>
      <c r="BZ588" s="53" t="n"/>
      <c r="CA588" s="53" t="n"/>
      <c r="CB588" s="53" t="n"/>
      <c r="CC588" s="53" t="n"/>
      <c r="CD588" s="53" t="n"/>
      <c r="CE588" s="53" t="n"/>
      <c r="CF588" s="53" t="n"/>
      <c r="CG588" s="53" t="n"/>
      <c r="CH588" s="53" t="n"/>
      <c r="CI588" s="53" t="n"/>
      <c r="CJ588" s="53" t="n"/>
      <c r="CK588" s="53" t="n"/>
      <c r="CL588" s="53" t="n"/>
      <c r="CM588" s="53" t="n"/>
      <c r="CN588" s="53" t="n"/>
      <c r="CO588" s="53" t="n"/>
      <c r="CP588" s="53" t="n"/>
      <c r="CQ588" s="53" t="n"/>
      <c r="CR588" s="53" t="n"/>
      <c r="CS588" s="53" t="n"/>
      <c r="CT588" s="53" t="n"/>
      <c r="CU588" s="53" t="n"/>
      <c r="CV588" s="53" t="n"/>
      <c r="CW588" s="53" t="n"/>
      <c r="CX588" s="53" t="n"/>
      <c r="CY588" s="53" t="n"/>
      <c r="CZ588" s="53" t="n"/>
      <c r="DA588" s="53" t="n"/>
      <c r="DB588" s="53" t="n"/>
      <c r="DC588" s="53" t="n"/>
      <c r="DD588" s="53" t="n"/>
      <c r="DE588" s="53" t="n"/>
      <c r="DF588" s="53" t="n"/>
      <c r="DG588" s="53" t="n"/>
      <c r="DH588" s="53" t="n"/>
      <c r="DI588" s="53" t="n"/>
      <c r="DJ588" s="53" t="n"/>
      <c r="DK588" s="53" t="n"/>
      <c r="DL588" s="53" t="n"/>
      <c r="DM588" s="53" t="n"/>
      <c r="DN588" s="53" t="n"/>
      <c r="DO588" s="53" t="n"/>
      <c r="DP588" s="53" t="n"/>
      <c r="DQ588" s="53" t="n"/>
      <c r="DR588" s="53" t="n"/>
      <c r="DS588" s="53" t="n"/>
      <c r="DT588" s="53" t="n"/>
      <c r="DU588" s="53" t="n"/>
      <c r="DV588" s="53" t="n"/>
      <c r="DW588" s="53" t="n"/>
      <c r="DX588" s="53" t="n"/>
      <c r="DY588" s="53" t="n"/>
      <c r="DZ588" s="53" t="n"/>
      <c r="EA588" s="53" t="n"/>
      <c r="EB588" s="53" t="n"/>
      <c r="EC588" s="53" t="n"/>
      <c r="ED588" s="53" t="n"/>
      <c r="EE588" s="53" t="n"/>
      <c r="EF588" s="53" t="n"/>
      <c r="EG588" s="53" t="n"/>
      <c r="EH588" s="53" t="n"/>
      <c r="EI588" s="53" t="n"/>
      <c r="EJ588" s="53" t="n"/>
      <c r="EK588" s="53" t="n"/>
      <c r="EL588" s="53" t="n"/>
      <c r="EM588" s="53" t="n"/>
      <c r="EN588" s="53" t="n"/>
      <c r="EO588" s="53" t="n"/>
      <c r="EP588" s="53" t="n"/>
      <c r="EQ588" s="53" t="n"/>
      <c r="ER588" s="53" t="n"/>
      <c r="ES588" s="53" t="n"/>
      <c r="ET588" s="53" t="n"/>
      <c r="EU588" s="53" t="n"/>
      <c r="EV588" s="53" t="n"/>
      <c r="EW588" s="52" t="n"/>
      <c r="EX588" s="53" t="n"/>
      <c r="EY588" s="53" t="n"/>
      <c r="EZ588" s="53" t="n"/>
      <c r="FA588" s="53" t="n"/>
      <c r="FB588" s="53" t="n"/>
      <c r="FC588" s="53" t="n"/>
      <c r="FD588" s="53" t="n"/>
      <c r="FE588" s="55" t="inlineStr">
        <is>
          <t>KRAs not received · manager to supply</t>
        </is>
      </c>
      <c r="FF588" s="56" t="n"/>
      <c r="FG588" s="56" t="n"/>
      <c r="FH588" s="56" t="n"/>
      <c r="FI588" s="56" t="n"/>
      <c r="FJ588" s="32" t="inlineStr">
        <is>
          <t>KRAs not received · manager to supply</t>
        </is>
      </c>
      <c r="FK588" s="56" t="n"/>
      <c r="FL588" s="56" t="n">
        <v>0</v>
      </c>
      <c r="FM588" s="32" t="inlineStr">
        <is>
          <t>No survey response on file</t>
        </is>
      </c>
      <c r="FN588" s="56" t="inlineStr">
        <is>
          <t>—</t>
        </is>
      </c>
      <c r="FO588" s="56" t="inlineStr">
        <is>
          <t>—</t>
        </is>
      </c>
      <c r="FP588" s="56" t="inlineStr">
        <is>
          <t>—</t>
        </is>
      </c>
      <c r="FQ588" s="56" t="inlineStr">
        <is>
          <t>—</t>
        </is>
      </c>
      <c r="FR588" s="56" t="n"/>
      <c r="FS588" s="56" t="n"/>
      <c r="FT588" s="56" t="n"/>
      <c r="FU588" s="32" t="inlineStr">
        <is>
          <t>No survey response on file</t>
        </is>
      </c>
    </row>
    <row r="589" ht="90" customHeight="1">
      <c r="A589" s="51" t="inlineStr">
        <is>
          <t>◂ Back</t>
        </is>
      </c>
      <c r="B589" s="29" t="inlineStr">
        <is>
          <t>Mapped</t>
        </is>
      </c>
      <c r="C589" s="28" t="inlineStr">
        <is>
          <t>iFile</t>
        </is>
      </c>
      <c r="D589" s="29" t="inlineStr">
        <is>
          <t>No Emp ID · external consultant</t>
        </is>
      </c>
      <c r="E589" s="29" t="inlineStr">
        <is>
          <t>Snnehasis Debyans</t>
        </is>
      </c>
      <c r="F589" s="29" t="inlineStr">
        <is>
          <t>Technology</t>
        </is>
      </c>
      <c r="G589" s="29" t="inlineStr">
        <is>
          <t>Consultant</t>
        </is>
      </c>
      <c r="H589" s="29" t="inlineStr">
        <is>
          <t>Associate Consultant – Software Development</t>
        </is>
      </c>
      <c r="I589" s="29" t="inlineStr">
        <is>
          <t>—</t>
        </is>
      </c>
      <c r="J589" s="29" t="inlineStr">
        <is>
          <t>X1</t>
        </is>
      </c>
      <c r="K589" s="29" t="inlineStr">
        <is>
          <t>• Same level</t>
        </is>
      </c>
      <c r="L589" s="29" t="inlineStr">
        <is>
          <t>Engineering &amp; Development</t>
        </is>
      </c>
      <c r="M589" s="29" t="inlineStr">
        <is>
          <t>Backend Development</t>
        </is>
      </c>
      <c r="N589" s="29" t="n"/>
      <c r="O589" s="29" t="n">
        <v>0</v>
      </c>
      <c r="P589" s="28" t="inlineStr">
        <is>
          <t>Contractor</t>
        </is>
      </c>
      <c r="Q589" s="29" t="inlineStr">
        <is>
          <t>—</t>
        </is>
      </c>
      <c r="R589" s="29" t="inlineStr">
        <is>
          <t>—</t>
        </is>
      </c>
      <c r="S589" s="29" t="inlineStr">
        <is>
          <t>0–5 yrs</t>
        </is>
      </c>
      <c r="T589" s="29" t="inlineStr">
        <is>
          <t>—</t>
        </is>
      </c>
      <c r="U589" s="29" t="inlineStr">
        <is>
          <t>Contractor · rate card</t>
        </is>
      </c>
      <c r="V589" s="29" t="inlineStr">
        <is>
          <t>—</t>
        </is>
      </c>
      <c r="W589" s="29" t="inlineStr">
        <is>
          <t>SFIA 9 · software development, programming; OWASP secure coding; cloud vendor certifications</t>
        </is>
      </c>
      <c r="X589" s="29" t="inlineStr">
        <is>
          <t>Per statement of work</t>
        </is>
      </c>
      <c r="Y589" s="52" t="n">
        <v>578</v>
      </c>
      <c r="Z589" s="53" t="n"/>
      <c r="AA589" s="53" t="inlineStr">
        <is>
          <t>External Consultant</t>
        </is>
      </c>
      <c r="AB589" s="53" t="inlineStr">
        <is>
          <t>Active</t>
        </is>
      </c>
      <c r="AC589" s="53" t="inlineStr">
        <is>
          <t>Snnehasis Debyans</t>
        </is>
      </c>
      <c r="AD589" s="54" t="n">
        <v>46094</v>
      </c>
      <c r="AE589" s="53" t="inlineStr">
        <is>
          <t>Consultant</t>
        </is>
      </c>
      <c r="AF589" s="53" t="n"/>
      <c r="AG589" s="53" t="n"/>
      <c r="AH589" s="53" t="n"/>
      <c r="AI589" s="53" t="inlineStr">
        <is>
          <t>Individual Contributor</t>
        </is>
      </c>
      <c r="AJ589" s="53" t="n"/>
      <c r="AK589" s="53" t="n"/>
      <c r="AL589" s="53" t="n"/>
      <c r="AM589" s="53" t="inlineStr">
        <is>
          <t>iFile</t>
        </is>
      </c>
      <c r="AN589" s="53" t="inlineStr">
        <is>
          <t>Technology</t>
        </is>
      </c>
      <c r="AO589" s="53" t="inlineStr">
        <is>
          <t>Development</t>
        </is>
      </c>
      <c r="AP589" s="53" t="inlineStr">
        <is>
          <t>Yes</t>
        </is>
      </c>
      <c r="AQ589" s="53" t="inlineStr">
        <is>
          <t>Product/Project</t>
        </is>
      </c>
      <c r="AR589" s="53" t="n"/>
      <c r="AS589" s="53" t="inlineStr">
        <is>
          <t>Technical - Developer</t>
        </is>
      </c>
      <c r="AT589" s="53" t="n">
        <v>0</v>
      </c>
      <c r="AU589" s="53" t="inlineStr">
        <is>
          <t>E-External Consultant</t>
        </is>
      </c>
      <c r="AV589" s="53" t="n"/>
      <c r="AW589" s="53" t="n"/>
      <c r="AX589" s="53" t="n"/>
      <c r="AY589" s="53" t="n"/>
      <c r="AZ589" s="53" t="n"/>
      <c r="BA589" s="53" t="n"/>
      <c r="BB589" s="53" t="n"/>
      <c r="BC589" s="53" t="n"/>
      <c r="BD589" s="53" t="n"/>
      <c r="BE589" s="53" t="n"/>
      <c r="BF589" s="53" t="n"/>
      <c r="BG589" s="53" t="n"/>
      <c r="BH589" s="53" t="n"/>
      <c r="BI589" s="53" t="n"/>
      <c r="BJ589" s="53" t="n"/>
      <c r="BK589" s="53" t="n"/>
      <c r="BL589" s="53" t="n"/>
      <c r="BM589" s="53" t="n"/>
      <c r="BN589" s="53" t="n"/>
      <c r="BO589" s="53" t="n"/>
      <c r="BP589" s="53" t="n"/>
      <c r="BQ589" s="53" t="n"/>
      <c r="BR589" s="53" t="n"/>
      <c r="BS589" s="53" t="n"/>
      <c r="BT589" s="53" t="n"/>
      <c r="BU589" s="53" t="n"/>
      <c r="BV589" s="53" t="n"/>
      <c r="BW589" s="53" t="n"/>
      <c r="BX589" s="53" t="n"/>
      <c r="BY589" s="53" t="n"/>
      <c r="BZ589" s="53" t="n"/>
      <c r="CA589" s="53" t="n"/>
      <c r="CB589" s="53" t="n"/>
      <c r="CC589" s="53" t="n"/>
      <c r="CD589" s="53" t="n"/>
      <c r="CE589" s="53" t="n"/>
      <c r="CF589" s="53" t="n"/>
      <c r="CG589" s="53" t="n"/>
      <c r="CH589" s="53" t="n"/>
      <c r="CI589" s="53" t="n"/>
      <c r="CJ589" s="53" t="n"/>
      <c r="CK589" s="53" t="n"/>
      <c r="CL589" s="53" t="n"/>
      <c r="CM589" s="53" t="n"/>
      <c r="CN589" s="53" t="n"/>
      <c r="CO589" s="53" t="n"/>
      <c r="CP589" s="53" t="n"/>
      <c r="CQ589" s="53" t="n"/>
      <c r="CR589" s="53" t="n"/>
      <c r="CS589" s="53" t="n"/>
      <c r="CT589" s="53" t="n"/>
      <c r="CU589" s="53" t="n"/>
      <c r="CV589" s="53" t="n"/>
      <c r="CW589" s="53" t="n"/>
      <c r="CX589" s="53" t="n"/>
      <c r="CY589" s="53" t="n"/>
      <c r="CZ589" s="53" t="n"/>
      <c r="DA589" s="53" t="n"/>
      <c r="DB589" s="53" t="n"/>
      <c r="DC589" s="53" t="n"/>
      <c r="DD589" s="53" t="n"/>
      <c r="DE589" s="53" t="n"/>
      <c r="DF589" s="53" t="n"/>
      <c r="DG589" s="53" t="n"/>
      <c r="DH589" s="53" t="n"/>
      <c r="DI589" s="53" t="n"/>
      <c r="DJ589" s="53" t="n"/>
      <c r="DK589" s="53" t="n"/>
      <c r="DL589" s="53" t="n"/>
      <c r="DM589" s="53" t="n"/>
      <c r="DN589" s="53" t="n"/>
      <c r="DO589" s="53" t="n"/>
      <c r="DP589" s="53" t="n"/>
      <c r="DQ589" s="53" t="n"/>
      <c r="DR589" s="53" t="n"/>
      <c r="DS589" s="53" t="n"/>
      <c r="DT589" s="53" t="n"/>
      <c r="DU589" s="53" t="n"/>
      <c r="DV589" s="53" t="n"/>
      <c r="DW589" s="53" t="n"/>
      <c r="DX589" s="53" t="n"/>
      <c r="DY589" s="53" t="n"/>
      <c r="DZ589" s="53" t="n"/>
      <c r="EA589" s="53" t="n"/>
      <c r="EB589" s="53" t="n"/>
      <c r="EC589" s="53" t="n"/>
      <c r="ED589" s="53" t="n"/>
      <c r="EE589" s="53" t="n"/>
      <c r="EF589" s="53" t="n"/>
      <c r="EG589" s="53" t="n"/>
      <c r="EH589" s="53" t="n"/>
      <c r="EI589" s="53" t="n"/>
      <c r="EJ589" s="53" t="n"/>
      <c r="EK589" s="53" t="n"/>
      <c r="EL589" s="53" t="n"/>
      <c r="EM589" s="53" t="n"/>
      <c r="EN589" s="53" t="n"/>
      <c r="EO589" s="53" t="n"/>
      <c r="EP589" s="53" t="n"/>
      <c r="EQ589" s="53" t="n"/>
      <c r="ER589" s="53" t="n"/>
      <c r="ES589" s="53" t="n"/>
      <c r="ET589" s="53" t="n"/>
      <c r="EU589" s="53" t="n"/>
      <c r="EV589" s="53" t="n"/>
      <c r="EW589" s="52" t="n"/>
      <c r="EX589" s="53" t="n"/>
      <c r="EY589" s="53" t="n"/>
      <c r="EZ589" s="53" t="n"/>
      <c r="FA589" s="53" t="n"/>
      <c r="FB589" s="53" t="n"/>
      <c r="FC589" s="53" t="n"/>
      <c r="FD589" s="53" t="n"/>
      <c r="FE589" s="55" t="inlineStr">
        <is>
          <t>KRAs not received · manager to supply</t>
        </is>
      </c>
      <c r="FF589" s="56" t="n"/>
      <c r="FG589" s="56" t="n"/>
      <c r="FH589" s="56" t="n"/>
      <c r="FI589" s="56" t="n"/>
      <c r="FJ589" s="32" t="inlineStr">
        <is>
          <t>KRAs not received · manager to supply</t>
        </is>
      </c>
      <c r="FK589" s="56" t="n"/>
      <c r="FL589" s="56" t="n">
        <v>0</v>
      </c>
      <c r="FM589" s="32" t="inlineStr">
        <is>
          <t>No survey response on file</t>
        </is>
      </c>
      <c r="FN589" s="56" t="inlineStr">
        <is>
          <t>—</t>
        </is>
      </c>
      <c r="FO589" s="56" t="inlineStr">
        <is>
          <t>—</t>
        </is>
      </c>
      <c r="FP589" s="56" t="inlineStr">
        <is>
          <t>—</t>
        </is>
      </c>
      <c r="FQ589" s="56" t="inlineStr">
        <is>
          <t>—</t>
        </is>
      </c>
      <c r="FR589" s="56" t="n"/>
      <c r="FS589" s="56"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FT589" s="56" t="n"/>
      <c r="FU589" s="32" t="inlineStr">
        <is>
          <t>No survey response on file</t>
        </is>
      </c>
    </row>
    <row r="590" ht="90" customHeight="1">
      <c r="A590" s="51" t="inlineStr">
        <is>
          <t>◂ Back</t>
        </is>
      </c>
      <c r="B590" s="29" t="inlineStr">
        <is>
          <t>Mapped</t>
        </is>
      </c>
      <c r="C590" s="28" t="inlineStr">
        <is>
          <t>Datatech</t>
        </is>
      </c>
      <c r="D590" s="29" t="inlineStr">
        <is>
          <t>No Emp ID · external consultant</t>
        </is>
      </c>
      <c r="E590" s="29" t="inlineStr">
        <is>
          <t>Sohel Yadav</t>
        </is>
      </c>
      <c r="F590" s="29" t="inlineStr">
        <is>
          <t>Technology</t>
        </is>
      </c>
      <c r="G590" s="29" t="inlineStr">
        <is>
          <t>Consultant</t>
        </is>
      </c>
      <c r="H590" s="29" t="inlineStr">
        <is>
          <t>Associate Consultant – Software Development</t>
        </is>
      </c>
      <c r="I590" s="29" t="inlineStr">
        <is>
          <t>—</t>
        </is>
      </c>
      <c r="J590" s="29" t="inlineStr">
        <is>
          <t>X1</t>
        </is>
      </c>
      <c r="K590" s="29" t="inlineStr">
        <is>
          <t>• Same level</t>
        </is>
      </c>
      <c r="L590" s="29" t="inlineStr">
        <is>
          <t>Engineering &amp; Development</t>
        </is>
      </c>
      <c r="M590" s="29" t="inlineStr">
        <is>
          <t>Backend Development</t>
        </is>
      </c>
      <c r="N590" s="29" t="n"/>
      <c r="O590" s="29" t="n">
        <v>0</v>
      </c>
      <c r="P590" s="28" t="inlineStr">
        <is>
          <t>Contractor</t>
        </is>
      </c>
      <c r="Q590" s="29" t="inlineStr">
        <is>
          <t>—</t>
        </is>
      </c>
      <c r="R590" s="29" t="inlineStr">
        <is>
          <t>—</t>
        </is>
      </c>
      <c r="S590" s="29" t="inlineStr">
        <is>
          <t>0–5 yrs</t>
        </is>
      </c>
      <c r="T590" s="29" t="inlineStr">
        <is>
          <t>—</t>
        </is>
      </c>
      <c r="U590" s="29" t="inlineStr">
        <is>
          <t>Contractor · rate card</t>
        </is>
      </c>
      <c r="V590" s="29" t="inlineStr">
        <is>
          <t>—</t>
        </is>
      </c>
      <c r="W590" s="29" t="inlineStr">
        <is>
          <t>SFIA 9 · software development, programming; OWASP secure coding; cloud vendor certifications</t>
        </is>
      </c>
      <c r="X590" s="29" t="inlineStr">
        <is>
          <t>Per statement of work</t>
        </is>
      </c>
      <c r="Y590" s="52" t="n">
        <v>581</v>
      </c>
      <c r="Z590" s="53" t="n"/>
      <c r="AA590" s="53" t="inlineStr">
        <is>
          <t>External Consultant</t>
        </is>
      </c>
      <c r="AB590" s="53" t="inlineStr">
        <is>
          <t>Active</t>
        </is>
      </c>
      <c r="AC590" s="53" t="inlineStr">
        <is>
          <t>Sohel Yadav</t>
        </is>
      </c>
      <c r="AD590" s="54" t="n">
        <v>46174</v>
      </c>
      <c r="AE590" s="53" t="inlineStr">
        <is>
          <t>Consultant</t>
        </is>
      </c>
      <c r="AF590" s="53" t="n"/>
      <c r="AG590" s="53" t="n"/>
      <c r="AH590" s="53" t="n"/>
      <c r="AI590" s="53" t="inlineStr">
        <is>
          <t>Individual Contributor</t>
        </is>
      </c>
      <c r="AJ590" s="53" t="n"/>
      <c r="AK590" s="53" t="n"/>
      <c r="AL590" s="53" t="n"/>
      <c r="AM590" s="53" t="inlineStr">
        <is>
          <t>Datatech</t>
        </is>
      </c>
      <c r="AN590" s="53" t="inlineStr">
        <is>
          <t>Technology</t>
        </is>
      </c>
      <c r="AO590" s="53" t="inlineStr">
        <is>
          <t>Development</t>
        </is>
      </c>
      <c r="AP590" s="53" t="inlineStr">
        <is>
          <t>Yes</t>
        </is>
      </c>
      <c r="AQ590" s="53" t="inlineStr">
        <is>
          <t>Product/Project</t>
        </is>
      </c>
      <c r="AR590" s="53" t="n"/>
      <c r="AS590" s="53" t="inlineStr">
        <is>
          <t>Technical - Developer</t>
        </is>
      </c>
      <c r="AT590" s="53" t="n">
        <v>0</v>
      </c>
      <c r="AU590" s="53" t="inlineStr">
        <is>
          <t>E-External Consultant</t>
        </is>
      </c>
      <c r="AV590" s="53" t="n"/>
      <c r="AW590" s="53" t="n"/>
      <c r="AX590" s="53" t="n"/>
      <c r="AY590" s="53" t="n"/>
      <c r="AZ590" s="53" t="n"/>
      <c r="BA590" s="53" t="n"/>
      <c r="BB590" s="53" t="n"/>
      <c r="BC590" s="53" t="n"/>
      <c r="BD590" s="53" t="n"/>
      <c r="BE590" s="53" t="n"/>
      <c r="BF590" s="53" t="n"/>
      <c r="BG590" s="53" t="n"/>
      <c r="BH590" s="53" t="n"/>
      <c r="BI590" s="53" t="n"/>
      <c r="BJ590" s="53" t="n"/>
      <c r="BK590" s="53" t="n"/>
      <c r="BL590" s="53" t="n"/>
      <c r="BM590" s="53" t="n"/>
      <c r="BN590" s="53" t="n"/>
      <c r="BO590" s="53" t="n"/>
      <c r="BP590" s="53" t="n"/>
      <c r="BQ590" s="53" t="n"/>
      <c r="BR590" s="53" t="n"/>
      <c r="BS590" s="53" t="n"/>
      <c r="BT590" s="53" t="n"/>
      <c r="BU590" s="53" t="n"/>
      <c r="BV590" s="53" t="n"/>
      <c r="BW590" s="53" t="n"/>
      <c r="BX590" s="53" t="n"/>
      <c r="BY590" s="53" t="n"/>
      <c r="BZ590" s="53" t="n"/>
      <c r="CA590" s="53" t="n"/>
      <c r="CB590" s="53" t="n"/>
      <c r="CC590" s="53" t="n"/>
      <c r="CD590" s="53" t="n"/>
      <c r="CE590" s="53" t="n"/>
      <c r="CF590" s="53" t="n"/>
      <c r="CG590" s="53" t="n"/>
      <c r="CH590" s="53" t="n"/>
      <c r="CI590" s="53" t="n"/>
      <c r="CJ590" s="53" t="n"/>
      <c r="CK590" s="53" t="n"/>
      <c r="CL590" s="53" t="n"/>
      <c r="CM590" s="53" t="n"/>
      <c r="CN590" s="53" t="n"/>
      <c r="CO590" s="53" t="n"/>
      <c r="CP590" s="53" t="n"/>
      <c r="CQ590" s="53" t="n"/>
      <c r="CR590" s="53" t="n"/>
      <c r="CS590" s="53" t="n"/>
      <c r="CT590" s="53" t="n"/>
      <c r="CU590" s="53" t="n"/>
      <c r="CV590" s="53" t="n"/>
      <c r="CW590" s="53" t="n"/>
      <c r="CX590" s="53" t="n"/>
      <c r="CY590" s="53" t="n"/>
      <c r="CZ590" s="53" t="n"/>
      <c r="DA590" s="53" t="n"/>
      <c r="DB590" s="53" t="n"/>
      <c r="DC590" s="53" t="n"/>
      <c r="DD590" s="53" t="n"/>
      <c r="DE590" s="53" t="n"/>
      <c r="DF590" s="53" t="n"/>
      <c r="DG590" s="53" t="n"/>
      <c r="DH590" s="53" t="n"/>
      <c r="DI590" s="53" t="n"/>
      <c r="DJ590" s="53" t="n"/>
      <c r="DK590" s="53" t="n"/>
      <c r="DL590" s="53" t="n"/>
      <c r="DM590" s="53" t="n"/>
      <c r="DN590" s="53" t="n"/>
      <c r="DO590" s="53" t="n"/>
      <c r="DP590" s="53" t="n"/>
      <c r="DQ590" s="53" t="n"/>
      <c r="DR590" s="53" t="n"/>
      <c r="DS590" s="53" t="n"/>
      <c r="DT590" s="53" t="n"/>
      <c r="DU590" s="53" t="n"/>
      <c r="DV590" s="53" t="n"/>
      <c r="DW590" s="53" t="n"/>
      <c r="DX590" s="53" t="n"/>
      <c r="DY590" s="53" t="n"/>
      <c r="DZ590" s="53" t="n"/>
      <c r="EA590" s="53" t="n"/>
      <c r="EB590" s="53" t="n"/>
      <c r="EC590" s="53" t="n"/>
      <c r="ED590" s="53" t="n"/>
      <c r="EE590" s="53" t="n"/>
      <c r="EF590" s="53" t="n"/>
      <c r="EG590" s="53" t="n"/>
      <c r="EH590" s="53" t="n"/>
      <c r="EI590" s="53" t="n"/>
      <c r="EJ590" s="53" t="n"/>
      <c r="EK590" s="53" t="n"/>
      <c r="EL590" s="53" t="n"/>
      <c r="EM590" s="53" t="n"/>
      <c r="EN590" s="53" t="n"/>
      <c r="EO590" s="53" t="n"/>
      <c r="EP590" s="53" t="n"/>
      <c r="EQ590" s="53" t="n"/>
      <c r="ER590" s="53" t="n"/>
      <c r="ES590" s="53" t="n"/>
      <c r="ET590" s="53" t="n"/>
      <c r="EU590" s="53" t="n"/>
      <c r="EV590" s="53" t="n"/>
      <c r="EW590" s="52" t="n"/>
      <c r="EX590" s="53" t="n"/>
      <c r="EY590" s="53" t="n"/>
      <c r="EZ590" s="53" t="n"/>
      <c r="FA590" s="53" t="n"/>
      <c r="FB590" s="53" t="n"/>
      <c r="FC590" s="53" t="n"/>
      <c r="FD590" s="53" t="n"/>
      <c r="FE590" s="55" t="inlineStr">
        <is>
          <t>KRAs not received · manager to supply</t>
        </is>
      </c>
      <c r="FF590" s="56" t="n"/>
      <c r="FG590" s="56" t="n"/>
      <c r="FH590" s="56" t="n"/>
      <c r="FI590" s="56" t="n"/>
      <c r="FJ590" s="32" t="inlineStr">
        <is>
          <t>KRAs not received · manager to supply</t>
        </is>
      </c>
      <c r="FK590" s="56" t="n"/>
      <c r="FL590" s="56" t="n">
        <v>0</v>
      </c>
      <c r="FM590" s="32" t="inlineStr">
        <is>
          <t>No survey response on file</t>
        </is>
      </c>
      <c r="FN590" s="56" t="inlineStr">
        <is>
          <t>—</t>
        </is>
      </c>
      <c r="FO590" s="56" t="inlineStr">
        <is>
          <t>—</t>
        </is>
      </c>
      <c r="FP590" s="56" t="inlineStr">
        <is>
          <t>—</t>
        </is>
      </c>
      <c r="FQ590" s="56" t="inlineStr">
        <is>
          <t>—</t>
        </is>
      </c>
      <c r="FR590" s="56" t="n"/>
      <c r="FS590" s="56"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FT590" s="56" t="n"/>
      <c r="FU590" s="32" t="inlineStr">
        <is>
          <t>No survey response on file</t>
        </is>
      </c>
    </row>
    <row r="591" ht="90" customHeight="1">
      <c r="A591" s="51" t="inlineStr">
        <is>
          <t>◂ Back</t>
        </is>
      </c>
      <c r="B591" s="29" t="inlineStr">
        <is>
          <t>Mapped</t>
        </is>
      </c>
      <c r="C591" s="28" t="inlineStr">
        <is>
          <t>Datatech</t>
        </is>
      </c>
      <c r="D591" s="29" t="inlineStr">
        <is>
          <t>No Emp ID · in-house consultant</t>
        </is>
      </c>
      <c r="E591" s="29" t="inlineStr">
        <is>
          <t>Vivek Kumar</t>
        </is>
      </c>
      <c r="F591" s="29" t="inlineStr">
        <is>
          <t>Technology</t>
        </is>
      </c>
      <c r="G591" s="29" t="inlineStr">
        <is>
          <t>Consultant</t>
        </is>
      </c>
      <c r="H591" s="29" t="inlineStr">
        <is>
          <t>Associate Consultant – Software Development</t>
        </is>
      </c>
      <c r="I591" s="29" t="inlineStr">
        <is>
          <t>Not in current mapping files</t>
        </is>
      </c>
      <c r="J591" s="29" t="inlineStr">
        <is>
          <t>X1</t>
        </is>
      </c>
      <c r="K591" s="29" t="inlineStr">
        <is>
          <t>• Same level</t>
        </is>
      </c>
      <c r="L591" s="29" t="inlineStr">
        <is>
          <t>Engineering &amp; Development</t>
        </is>
      </c>
      <c r="M591" s="29" t="inlineStr">
        <is>
          <t>Backend Development</t>
        </is>
      </c>
      <c r="N591" s="29" t="n"/>
      <c r="O591" s="29" t="n">
        <v>0</v>
      </c>
      <c r="P591" s="28" t="inlineStr">
        <is>
          <t>Contractor</t>
        </is>
      </c>
      <c r="Q591" s="29" t="inlineStr">
        <is>
          <t>—</t>
        </is>
      </c>
      <c r="R591" s="29" t="inlineStr">
        <is>
          <t>—</t>
        </is>
      </c>
      <c r="S591" s="29" t="inlineStr">
        <is>
          <t>0–5 yrs</t>
        </is>
      </c>
      <c r="T591" s="29" t="inlineStr">
        <is>
          <t>—</t>
        </is>
      </c>
      <c r="U591" s="29" t="inlineStr">
        <is>
          <t>Contractor · rate card</t>
        </is>
      </c>
      <c r="V591" s="29" t="inlineStr">
        <is>
          <t>—</t>
        </is>
      </c>
      <c r="W591" s="29" t="inlineStr">
        <is>
          <t>SFIA 9 · software development, programming; OWASP secure coding; cloud vendor certifications</t>
        </is>
      </c>
      <c r="X591" s="29" t="inlineStr">
        <is>
          <t>Per statement of work</t>
        </is>
      </c>
      <c r="Y591" s="52" t="n">
        <v>582</v>
      </c>
      <c r="Z591" s="53" t="n"/>
      <c r="AA591" s="53" t="inlineStr">
        <is>
          <t>In-House Consultant</t>
        </is>
      </c>
      <c r="AB591" s="53" t="inlineStr">
        <is>
          <t>Active</t>
        </is>
      </c>
      <c r="AC591" s="53" t="inlineStr">
        <is>
          <t>Vivek Kumar</t>
        </is>
      </c>
      <c r="AD591" s="54" t="n">
        <v>46174</v>
      </c>
      <c r="AE591" s="53" t="inlineStr">
        <is>
          <t>Consultant</t>
        </is>
      </c>
      <c r="AF591" s="53" t="n"/>
      <c r="AG591" s="53" t="n"/>
      <c r="AH591" s="53" t="n"/>
      <c r="AI591" s="53" t="inlineStr">
        <is>
          <t>Individual Contributor</t>
        </is>
      </c>
      <c r="AJ591" s="53" t="n"/>
      <c r="AK591" s="53" t="n"/>
      <c r="AL591" s="53" t="n"/>
      <c r="AM591" s="53" t="inlineStr">
        <is>
          <t>Datatech</t>
        </is>
      </c>
      <c r="AN591" s="53" t="inlineStr">
        <is>
          <t>Technology</t>
        </is>
      </c>
      <c r="AO591" s="53" t="inlineStr">
        <is>
          <t>Development</t>
        </is>
      </c>
      <c r="AP591" s="53" t="inlineStr">
        <is>
          <t>Yes</t>
        </is>
      </c>
      <c r="AQ591" s="53" t="inlineStr">
        <is>
          <t>Product/Project</t>
        </is>
      </c>
      <c r="AR591" s="53" t="n"/>
      <c r="AS591" s="53" t="inlineStr">
        <is>
          <t>Technical - Developer</t>
        </is>
      </c>
      <c r="AT591" s="53" t="n">
        <v>0</v>
      </c>
      <c r="AU591" s="53" t="inlineStr">
        <is>
          <t>E-External Consultant</t>
        </is>
      </c>
      <c r="AV591" s="53" t="n"/>
      <c r="AW591" s="53" t="n"/>
      <c r="AX591" s="53" t="n"/>
      <c r="AY591" s="53" t="n"/>
      <c r="AZ591" s="53" t="n"/>
      <c r="BA591" s="53" t="n"/>
      <c r="BB591" s="53" t="n"/>
      <c r="BC591" s="53" t="n"/>
      <c r="BD591" s="53" t="n"/>
      <c r="BE591" s="53" t="n"/>
      <c r="BF591" s="53" t="n"/>
      <c r="BG591" s="53" t="n"/>
      <c r="BH591" s="53" t="n"/>
      <c r="BI591" s="53" t="n"/>
      <c r="BJ591" s="53" t="n"/>
      <c r="BK591" s="53" t="n"/>
      <c r="BL591" s="53" t="n"/>
      <c r="BM591" s="53" t="n"/>
      <c r="BN591" s="53" t="n"/>
      <c r="BO591" s="53" t="n"/>
      <c r="BP591" s="53" t="n"/>
      <c r="BQ591" s="53" t="n"/>
      <c r="BR591" s="53" t="n"/>
      <c r="BS591" s="53" t="n"/>
      <c r="BT591" s="53" t="n"/>
      <c r="BU591" s="53" t="n"/>
      <c r="BV591" s="53" t="n"/>
      <c r="BW591" s="53" t="n"/>
      <c r="BX591" s="53" t="n"/>
      <c r="BY591" s="53" t="n"/>
      <c r="BZ591" s="53" t="n"/>
      <c r="CA591" s="53" t="n"/>
      <c r="CB591" s="53" t="n"/>
      <c r="CC591" s="53" t="n"/>
      <c r="CD591" s="53" t="n"/>
      <c r="CE591" s="53" t="n"/>
      <c r="CF591" s="53" t="n"/>
      <c r="CG591" s="53" t="n"/>
      <c r="CH591" s="53" t="n"/>
      <c r="CI591" s="53" t="n"/>
      <c r="CJ591" s="53" t="n"/>
      <c r="CK591" s="53" t="n"/>
      <c r="CL591" s="53" t="n"/>
      <c r="CM591" s="53" t="n"/>
      <c r="CN591" s="53" t="n"/>
      <c r="CO591" s="53" t="n"/>
      <c r="CP591" s="53" t="n"/>
      <c r="CQ591" s="53" t="n"/>
      <c r="CR591" s="53" t="n"/>
      <c r="CS591" s="53" t="n"/>
      <c r="CT591" s="53" t="n"/>
      <c r="CU591" s="53" t="n"/>
      <c r="CV591" s="53" t="n"/>
      <c r="CW591" s="53" t="n"/>
      <c r="CX591" s="53" t="n"/>
      <c r="CY591" s="53" t="n"/>
      <c r="CZ591" s="53" t="n"/>
      <c r="DA591" s="53" t="n"/>
      <c r="DB591" s="53" t="n"/>
      <c r="DC591" s="53" t="n"/>
      <c r="DD591" s="53" t="n"/>
      <c r="DE591" s="53" t="n"/>
      <c r="DF591" s="53" t="n"/>
      <c r="DG591" s="53" t="n"/>
      <c r="DH591" s="53" t="n"/>
      <c r="DI591" s="53" t="n"/>
      <c r="DJ591" s="53" t="n"/>
      <c r="DK591" s="53" t="n"/>
      <c r="DL591" s="53" t="n"/>
      <c r="DM591" s="53" t="n"/>
      <c r="DN591" s="53" t="n"/>
      <c r="DO591" s="53" t="n"/>
      <c r="DP591" s="53" t="n"/>
      <c r="DQ591" s="53" t="n"/>
      <c r="DR591" s="53" t="n"/>
      <c r="DS591" s="53" t="n"/>
      <c r="DT591" s="53" t="n"/>
      <c r="DU591" s="53" t="n"/>
      <c r="DV591" s="53" t="n"/>
      <c r="DW591" s="53" t="n"/>
      <c r="DX591" s="53" t="n"/>
      <c r="DY591" s="53" t="n"/>
      <c r="DZ591" s="53" t="n"/>
      <c r="EA591" s="53" t="n"/>
      <c r="EB591" s="53" t="n"/>
      <c r="EC591" s="53" t="n"/>
      <c r="ED591" s="53" t="n"/>
      <c r="EE591" s="53" t="n"/>
      <c r="EF591" s="53" t="n"/>
      <c r="EG591" s="53" t="n"/>
      <c r="EH591" s="53" t="n"/>
      <c r="EI591" s="53" t="n"/>
      <c r="EJ591" s="53" t="n"/>
      <c r="EK591" s="53" t="n"/>
      <c r="EL591" s="53" t="n"/>
      <c r="EM591" s="53" t="n"/>
      <c r="EN591" s="53" t="n"/>
      <c r="EO591" s="53" t="n"/>
      <c r="EP591" s="53" t="n"/>
      <c r="EQ591" s="53" t="n"/>
      <c r="ER591" s="53" t="n"/>
      <c r="ES591" s="53" t="n"/>
      <c r="ET591" s="53" t="n"/>
      <c r="EU591" s="53" t="n"/>
      <c r="EV591" s="53" t="n"/>
      <c r="EW591" s="52" t="n"/>
      <c r="EX591" s="53" t="n"/>
      <c r="EY591" s="53" t="n"/>
      <c r="EZ591" s="53" t="n"/>
      <c r="FA591" s="53" t="n"/>
      <c r="FB591" s="53" t="n"/>
      <c r="FC591" s="53" t="n"/>
      <c r="FD591" s="53" t="n"/>
      <c r="FE591" s="55" t="inlineStr">
        <is>
          <t>KRAs not received · manager to supply</t>
        </is>
      </c>
      <c r="FF591" s="56" t="n"/>
      <c r="FG591" s="56" t="n"/>
      <c r="FH591" s="56" t="n"/>
      <c r="FI591" s="56" t="n"/>
      <c r="FJ591" s="32" t="inlineStr">
        <is>
          <t>KRAs not received · manager to supply</t>
        </is>
      </c>
      <c r="FK591" s="56" t="n"/>
      <c r="FL591" s="56" t="n">
        <v>0</v>
      </c>
      <c r="FM591" s="32" t="inlineStr">
        <is>
          <t>No survey response on file</t>
        </is>
      </c>
      <c r="FN591" s="56" t="inlineStr">
        <is>
          <t>—</t>
        </is>
      </c>
      <c r="FO591" s="56" t="inlineStr">
        <is>
          <t>—</t>
        </is>
      </c>
      <c r="FP591" s="56" t="inlineStr">
        <is>
          <t>—</t>
        </is>
      </c>
      <c r="FQ591" s="56" t="inlineStr">
        <is>
          <t>—</t>
        </is>
      </c>
      <c r="FR591" s="56" t="n"/>
      <c r="FS591" s="56"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FT591" s="56" t="n"/>
      <c r="FU591" s="32" t="inlineStr">
        <is>
          <t>No survey response on file</t>
        </is>
      </c>
    </row>
    <row r="592" ht="90" customHeight="1">
      <c r="A592" s="51" t="inlineStr">
        <is>
          <t>◂ Back</t>
        </is>
      </c>
      <c r="B592" s="29" t="inlineStr">
        <is>
          <t>Mapped</t>
        </is>
      </c>
      <c r="C592" s="28" t="inlineStr">
        <is>
          <t>iFile</t>
        </is>
      </c>
      <c r="D592" s="29" t="inlineStr">
        <is>
          <t>No Emp ID · external consultant</t>
        </is>
      </c>
      <c r="E592" s="29" t="inlineStr">
        <is>
          <t>Vivek Kumar Singh</t>
        </is>
      </c>
      <c r="F592" s="29" t="inlineStr">
        <is>
          <t>Technology</t>
        </is>
      </c>
      <c r="G592" s="29" t="inlineStr">
        <is>
          <t>Consultant</t>
        </is>
      </c>
      <c r="H592" s="29" t="inlineStr">
        <is>
          <t>Associate Consultant – Software Development</t>
        </is>
      </c>
      <c r="I592" s="29" t="inlineStr">
        <is>
          <t>—</t>
        </is>
      </c>
      <c r="J592" s="29" t="inlineStr">
        <is>
          <t>X1</t>
        </is>
      </c>
      <c r="K592" s="29" t="inlineStr">
        <is>
          <t>• Same level</t>
        </is>
      </c>
      <c r="L592" s="29" t="inlineStr">
        <is>
          <t>Engineering &amp; Development</t>
        </is>
      </c>
      <c r="M592" s="29" t="inlineStr">
        <is>
          <t>Backend Development</t>
        </is>
      </c>
      <c r="N592" s="29" t="n"/>
      <c r="O592" s="29" t="n">
        <v>0</v>
      </c>
      <c r="P592" s="28" t="inlineStr">
        <is>
          <t>Contractor</t>
        </is>
      </c>
      <c r="Q592" s="29" t="inlineStr">
        <is>
          <t>—</t>
        </is>
      </c>
      <c r="R592" s="29" t="inlineStr">
        <is>
          <t>—</t>
        </is>
      </c>
      <c r="S592" s="29" t="inlineStr">
        <is>
          <t>0–5 yrs</t>
        </is>
      </c>
      <c r="T592" s="29" t="inlineStr">
        <is>
          <t>—</t>
        </is>
      </c>
      <c r="U592" s="29" t="inlineStr">
        <is>
          <t>Contractor · rate card</t>
        </is>
      </c>
      <c r="V592" s="29" t="inlineStr">
        <is>
          <t>—</t>
        </is>
      </c>
      <c r="W592" s="29" t="inlineStr">
        <is>
          <t>SFIA 9 · software development, programming; OWASP secure coding; cloud vendor certifications</t>
        </is>
      </c>
      <c r="X592" s="29" t="inlineStr">
        <is>
          <t>Per statement of work</t>
        </is>
      </c>
      <c r="Y592" s="52" t="n">
        <v>577</v>
      </c>
      <c r="Z592" s="53" t="n"/>
      <c r="AA592" s="53" t="inlineStr">
        <is>
          <t>External Consultant</t>
        </is>
      </c>
      <c r="AB592" s="53" t="inlineStr">
        <is>
          <t>Active</t>
        </is>
      </c>
      <c r="AC592" s="53" t="inlineStr">
        <is>
          <t>Vivek Kumar Singh</t>
        </is>
      </c>
      <c r="AD592" s="54" t="n">
        <v>46084</v>
      </c>
      <c r="AE592" s="53" t="inlineStr">
        <is>
          <t>Consultant</t>
        </is>
      </c>
      <c r="AF592" s="53" t="n"/>
      <c r="AG592" s="53" t="n"/>
      <c r="AH592" s="53" t="n"/>
      <c r="AI592" s="53" t="inlineStr">
        <is>
          <t>Individual Contributor</t>
        </is>
      </c>
      <c r="AJ592" s="53" t="n"/>
      <c r="AK592" s="53" t="n"/>
      <c r="AL592" s="53" t="n"/>
      <c r="AM592" s="53" t="inlineStr">
        <is>
          <t>iFile</t>
        </is>
      </c>
      <c r="AN592" s="53" t="inlineStr">
        <is>
          <t>Technology</t>
        </is>
      </c>
      <c r="AO592" s="53" t="inlineStr">
        <is>
          <t>Development</t>
        </is>
      </c>
      <c r="AP592" s="53" t="inlineStr">
        <is>
          <t>Yes</t>
        </is>
      </c>
      <c r="AQ592" s="53" t="inlineStr">
        <is>
          <t>Product/Project</t>
        </is>
      </c>
      <c r="AR592" s="53" t="n"/>
      <c r="AS592" s="53" t="inlineStr">
        <is>
          <t>Technical - Developer</t>
        </is>
      </c>
      <c r="AT592" s="53" t="n">
        <v>0</v>
      </c>
      <c r="AU592" s="53" t="inlineStr">
        <is>
          <t>E-External Consultant</t>
        </is>
      </c>
      <c r="AV592" s="53" t="n"/>
      <c r="AW592" s="53" t="n"/>
      <c r="AX592" s="53" t="n"/>
      <c r="AY592" s="53" t="n"/>
      <c r="AZ592" s="53" t="n"/>
      <c r="BA592" s="53" t="n"/>
      <c r="BB592" s="53" t="n"/>
      <c r="BC592" s="53" t="n"/>
      <c r="BD592" s="53" t="n"/>
      <c r="BE592" s="53" t="n"/>
      <c r="BF592" s="53" t="n"/>
      <c r="BG592" s="53" t="n"/>
      <c r="BH592" s="53" t="n"/>
      <c r="BI592" s="53" t="n"/>
      <c r="BJ592" s="53" t="n"/>
      <c r="BK592" s="53" t="n"/>
      <c r="BL592" s="53" t="n"/>
      <c r="BM592" s="53" t="n"/>
      <c r="BN592" s="53" t="n"/>
      <c r="BO592" s="53" t="n"/>
      <c r="BP592" s="53" t="n"/>
      <c r="BQ592" s="53" t="n"/>
      <c r="BR592" s="53" t="n"/>
      <c r="BS592" s="53" t="n"/>
      <c r="BT592" s="53" t="n"/>
      <c r="BU592" s="53" t="n"/>
      <c r="BV592" s="53" t="n"/>
      <c r="BW592" s="53" t="n"/>
      <c r="BX592" s="53" t="n"/>
      <c r="BY592" s="53" t="n"/>
      <c r="BZ592" s="53" t="n"/>
      <c r="CA592" s="53" t="n"/>
      <c r="CB592" s="53" t="n"/>
      <c r="CC592" s="53" t="n"/>
      <c r="CD592" s="53" t="n"/>
      <c r="CE592" s="53" t="n"/>
      <c r="CF592" s="53" t="n"/>
      <c r="CG592" s="53" t="n"/>
      <c r="CH592" s="53" t="n"/>
      <c r="CI592" s="53" t="n"/>
      <c r="CJ592" s="53" t="n"/>
      <c r="CK592" s="53" t="n"/>
      <c r="CL592" s="53" t="n"/>
      <c r="CM592" s="53" t="n"/>
      <c r="CN592" s="53" t="n"/>
      <c r="CO592" s="53" t="n"/>
      <c r="CP592" s="53" t="n"/>
      <c r="CQ592" s="53" t="n"/>
      <c r="CR592" s="53" t="n"/>
      <c r="CS592" s="53" t="n"/>
      <c r="CT592" s="53" t="n"/>
      <c r="CU592" s="53" t="n"/>
      <c r="CV592" s="53" t="n"/>
      <c r="CW592" s="53" t="n"/>
      <c r="CX592" s="53" t="n"/>
      <c r="CY592" s="53" t="n"/>
      <c r="CZ592" s="53" t="n"/>
      <c r="DA592" s="53" t="n"/>
      <c r="DB592" s="53" t="n"/>
      <c r="DC592" s="53" t="n"/>
      <c r="DD592" s="53" t="n"/>
      <c r="DE592" s="53" t="n"/>
      <c r="DF592" s="53" t="n"/>
      <c r="DG592" s="53" t="n"/>
      <c r="DH592" s="53" t="n"/>
      <c r="DI592" s="53" t="n"/>
      <c r="DJ592" s="53" t="n"/>
      <c r="DK592" s="53" t="n"/>
      <c r="DL592" s="53" t="n"/>
      <c r="DM592" s="53" t="n"/>
      <c r="DN592" s="53" t="n"/>
      <c r="DO592" s="53" t="n"/>
      <c r="DP592" s="53" t="n"/>
      <c r="DQ592" s="53" t="n"/>
      <c r="DR592" s="53" t="n"/>
      <c r="DS592" s="53" t="n"/>
      <c r="DT592" s="53" t="n"/>
      <c r="DU592" s="53" t="n"/>
      <c r="DV592" s="53" t="n"/>
      <c r="DW592" s="53" t="n"/>
      <c r="DX592" s="53" t="n"/>
      <c r="DY592" s="53" t="n"/>
      <c r="DZ592" s="53" t="n"/>
      <c r="EA592" s="53" t="n"/>
      <c r="EB592" s="53" t="n"/>
      <c r="EC592" s="53" t="n"/>
      <c r="ED592" s="53" t="n"/>
      <c r="EE592" s="53" t="n"/>
      <c r="EF592" s="53" t="n"/>
      <c r="EG592" s="53" t="n"/>
      <c r="EH592" s="53" t="n"/>
      <c r="EI592" s="53" t="n"/>
      <c r="EJ592" s="53" t="n"/>
      <c r="EK592" s="53" t="n"/>
      <c r="EL592" s="53" t="n"/>
      <c r="EM592" s="53" t="n"/>
      <c r="EN592" s="53" t="n"/>
      <c r="EO592" s="53" t="n"/>
      <c r="EP592" s="53" t="n"/>
      <c r="EQ592" s="53" t="n"/>
      <c r="ER592" s="53" t="n"/>
      <c r="ES592" s="53" t="n"/>
      <c r="ET592" s="53" t="n"/>
      <c r="EU592" s="53" t="n"/>
      <c r="EV592" s="53" t="n"/>
      <c r="EW592" s="52" t="n"/>
      <c r="EX592" s="53" t="n"/>
      <c r="EY592" s="53" t="n"/>
      <c r="EZ592" s="53" t="n"/>
      <c r="FA592" s="53" t="n"/>
      <c r="FB592" s="53" t="n"/>
      <c r="FC592" s="53" t="n"/>
      <c r="FD592" s="53" t="n"/>
      <c r="FE592" s="55" t="inlineStr">
        <is>
          <t>KRAs not received · manager to supply</t>
        </is>
      </c>
      <c r="FF592" s="56" t="n"/>
      <c r="FG592" s="56" t="n"/>
      <c r="FH592" s="56" t="n"/>
      <c r="FI592" s="56" t="n"/>
      <c r="FJ592" s="32" t="inlineStr">
        <is>
          <t>KRAs not received · manager to supply</t>
        </is>
      </c>
      <c r="FK592" s="56" t="n"/>
      <c r="FL592" s="56" t="n">
        <v>0</v>
      </c>
      <c r="FM592" s="32" t="inlineStr">
        <is>
          <t>No survey response on file</t>
        </is>
      </c>
      <c r="FN592" s="56" t="inlineStr">
        <is>
          <t>—</t>
        </is>
      </c>
      <c r="FO592" s="56" t="inlineStr">
        <is>
          <t>—</t>
        </is>
      </c>
      <c r="FP592" s="56" t="inlineStr">
        <is>
          <t>—</t>
        </is>
      </c>
      <c r="FQ592" s="56" t="inlineStr">
        <is>
          <t>—</t>
        </is>
      </c>
      <c r="FR592" s="56" t="n"/>
      <c r="FS592" s="56" t="inlineStr">
        <is>
          <t>Common themes in sub-family holders, all levels' answers: software · solutions · business · reliable · develop · technical
Common themes in sub-family holders, all levels' answers: development · code · quality · technical · support · software
Common themes in sub-family holders, all levels' answers: features · software · product · application · support · code
Common themes in sub-family holders, all levels' answers: quality · accountable · am · delivery · features · code
Common themes in sub-family holders, all levels' answers: technical · code · approach · implementation · decisions · issues
If the work is missed · role-holders' themes: delays · rework · issues · impact.</t>
        </is>
      </c>
      <c r="FT592" s="56" t="n"/>
      <c r="FU592" s="32" t="inlineStr">
        <is>
          <t>No survey response on file</t>
        </is>
      </c>
    </row>
    <row r="593" ht="60" customHeight="1">
      <c r="A593" s="58" t="n"/>
      <c r="B593" s="59" t="inlineStr">
        <is>
          <t>NOT YET MAPPED</t>
        </is>
      </c>
      <c r="C593" s="40" t="inlineStr">
        <is>
          <t>CARBON</t>
        </is>
      </c>
      <c r="D593" s="40" t="inlineStr">
        <is>
          <t>INTN0290</t>
        </is>
      </c>
      <c r="E593" s="40" t="inlineStr">
        <is>
          <t>Nilesh Shriram Jagtap</t>
        </is>
      </c>
      <c r="F593" s="40" t="n"/>
      <c r="G593" s="40" t="n"/>
      <c r="H593" s="40" t="n"/>
      <c r="I593" s="40" t="n"/>
      <c r="J593" s="40" t="n"/>
      <c r="K593" s="40" t="n"/>
      <c r="L593" s="40" t="n"/>
      <c r="M593" s="40" t="n"/>
      <c r="N593" s="40" t="n"/>
      <c r="O593" s="40" t="n"/>
      <c r="P593" s="40" t="n"/>
      <c r="Q593" s="40" t="n"/>
      <c r="R593" s="40" t="n"/>
      <c r="S593" s="40" t="n"/>
      <c r="T593" s="40" t="n"/>
      <c r="U593" s="40" t="n"/>
      <c r="V593" s="40" t="n"/>
      <c r="W593" s="40" t="n"/>
      <c r="X593" s="40" t="n"/>
      <c r="Y593" s="40" t="n"/>
      <c r="Z593" s="40" t="n"/>
      <c r="AA593" s="40" t="n"/>
      <c r="AB593" s="40" t="n"/>
      <c r="AC593" s="40" t="n"/>
      <c r="AD593" s="40" t="n"/>
      <c r="AE593" s="40" t="n"/>
      <c r="AF593" s="40" t="n"/>
      <c r="AG593" s="40" t="n"/>
      <c r="AH593" s="40" t="n"/>
      <c r="AI593" s="40" t="n"/>
      <c r="AJ593" s="40" t="n"/>
      <c r="AK593" s="40" t="n"/>
      <c r="AL593" s="40" t="n"/>
      <c r="AM593" s="40" t="n"/>
      <c r="AN593" s="40" t="n"/>
      <c r="AO593" s="40" t="n"/>
      <c r="AP593" s="40" t="n"/>
      <c r="AQ593" s="40" t="n"/>
      <c r="AR593" s="40" t="n"/>
      <c r="AS593" s="40" t="n"/>
      <c r="AT593" s="40" t="n"/>
      <c r="AU593" s="40" t="n"/>
      <c r="AV593" s="40" t="inlineStr">
        <is>
          <t>INTN0290</t>
        </is>
      </c>
      <c r="AW593" s="40" t="inlineStr">
        <is>
          <t>Nilesh Shriram Jagtap</t>
        </is>
      </c>
      <c r="AX593" s="40" t="inlineStr">
        <is>
          <t>Functional</t>
        </is>
      </c>
      <c r="AY593" s="40" t="inlineStr">
        <is>
          <t>Customer Success &amp; Support</t>
        </is>
      </c>
      <c r="AZ593" s="40" t="inlineStr">
        <is>
          <t>Customer Success</t>
        </is>
      </c>
      <c r="BA593" s="40" t="n"/>
      <c r="BB593" s="40" t="n"/>
      <c r="BC593" s="40" t="inlineStr">
        <is>
          <t>Intern</t>
        </is>
      </c>
      <c r="BD593" s="40" t="inlineStr">
        <is>
          <t>Biswajit Biswal</t>
        </is>
      </c>
      <c r="BE593" s="40" t="inlineStr">
        <is>
          <t>Biswajit Biswal</t>
        </is>
      </c>
      <c r="BF593" s="40" t="inlineStr">
        <is>
          <t>No</t>
        </is>
      </c>
      <c r="BG593" s="40" t="inlineStr">
        <is>
          <t>Intern</t>
        </is>
      </c>
      <c r="BH593" s="40" t="inlineStr">
        <is>
          <t>Intern</t>
        </is>
      </c>
      <c r="BI593" s="40" t="inlineStr">
        <is>
          <t>No</t>
        </is>
      </c>
      <c r="BJ593" s="40" t="n"/>
      <c r="BK593" s="40" t="n"/>
      <c r="BL593" s="40" t="n"/>
      <c r="BM593" s="40" t="inlineStr">
        <is>
          <t>Not a manager</t>
        </is>
      </c>
      <c r="BN593" s="40" t="n"/>
      <c r="BO593" s="40" t="n"/>
      <c r="BP593" s="40" t="n"/>
      <c r="BQ593" s="40" t="inlineStr">
        <is>
          <t>Not a manager</t>
        </is>
      </c>
      <c r="BR593" s="40" t="n"/>
      <c r="BS593" s="40" t="inlineStr">
        <is>
          <t>L1 – Intern</t>
        </is>
      </c>
      <c r="BT593" s="40" t="inlineStr">
        <is>
          <t>L1 – Intern</t>
        </is>
      </c>
      <c r="BU593" s="40" t="inlineStr">
        <is>
          <t>No designation change — current record value carried forward</t>
        </is>
      </c>
      <c r="BV593" s="40"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BW593" s="40" t="n"/>
      <c r="BX593" s="40" t="n"/>
      <c r="BY593" s="40" t="n"/>
      <c r="BZ593" s="40" t="inlineStr">
        <is>
          <t>INTN0290</t>
        </is>
      </c>
      <c r="CA593" s="40" t="inlineStr">
        <is>
          <t>Intern</t>
        </is>
      </c>
      <c r="CB593" s="40" t="inlineStr">
        <is>
          <t>Active</t>
        </is>
      </c>
      <c r="CC593" s="40" t="inlineStr">
        <is>
          <t>Nilesh Shriram Jagtap</t>
        </is>
      </c>
      <c r="CD593" s="40" t="inlineStr">
        <is>
          <t>19 Jan 2026</t>
        </is>
      </c>
      <c r="CE593" s="40" t="inlineStr">
        <is>
          <t>Intern</t>
        </is>
      </c>
      <c r="CF593" s="40" t="inlineStr">
        <is>
          <t>Exited</t>
        </is>
      </c>
      <c r="CG593" s="40" t="inlineStr">
        <is>
          <t>Customer Success &amp; Support</t>
        </is>
      </c>
      <c r="CH593" s="40" t="inlineStr">
        <is>
          <t>Customer Support</t>
        </is>
      </c>
      <c r="CI593" s="40" t="inlineStr">
        <is>
          <t>Intern</t>
        </is>
      </c>
      <c r="CJ593" s="40" t="inlineStr">
        <is>
          <t>L1 – Intern</t>
        </is>
      </c>
      <c r="CK593" s="40" t="inlineStr">
        <is>
          <t>Biswajit Biswal</t>
        </is>
      </c>
      <c r="CL593" s="40" t="inlineStr">
        <is>
          <t>N-5</t>
        </is>
      </c>
      <c r="CM593" s="40" t="inlineStr">
        <is>
          <t>Individual Contributor</t>
        </is>
      </c>
      <c r="CN593" s="40" t="inlineStr">
        <is>
          <t>Regtech</t>
        </is>
      </c>
      <c r="CO593" s="40" t="inlineStr">
        <is>
          <t>Functional</t>
        </is>
      </c>
      <c r="CP593" s="40" t="inlineStr">
        <is>
          <t>1 years, 2 months, 1 days</t>
        </is>
      </c>
      <c r="CQ593" s="40" t="n"/>
      <c r="CR593" s="40" t="n"/>
      <c r="CS593" s="40" t="n"/>
      <c r="CT593" s="40" t="n"/>
      <c r="CU593" s="40" t="n"/>
      <c r="CV593" s="40" t="n"/>
      <c r="CW593" s="40" t="n"/>
      <c r="CX593" s="40" t="n"/>
      <c r="CY593" s="40" t="n"/>
      <c r="CZ593" s="40" t="n"/>
      <c r="DA593" s="40" t="n"/>
      <c r="DB593" s="40" t="n"/>
      <c r="DC593" s="40" t="n"/>
      <c r="DD593" s="40" t="n"/>
      <c r="DE593" s="40" t="n"/>
      <c r="DF593" s="40" t="n"/>
      <c r="DG593" s="40" t="n"/>
      <c r="DH593" s="40" t="n"/>
      <c r="DI593" s="40" t="n"/>
      <c r="DJ593" s="40" t="n"/>
      <c r="DK593" s="40" t="n"/>
      <c r="DL593" s="40" t="n"/>
      <c r="DM593" s="40" t="n"/>
      <c r="DN593" s="40" t="n"/>
      <c r="DO593" s="40" t="n"/>
      <c r="DP593" s="40" t="n"/>
      <c r="DQ593" s="40" t="n"/>
      <c r="DR593" s="40" t="n"/>
      <c r="DS593" s="40" t="n"/>
      <c r="DT593" s="40" t="n"/>
      <c r="DU593" s="40" t="n"/>
      <c r="DV593" s="40" t="n"/>
      <c r="DW593" s="40" t="n"/>
      <c r="DX593" s="40" t="n"/>
      <c r="DY593" s="40" t="n"/>
      <c r="DZ593" s="40" t="n"/>
      <c r="EA593" s="40" t="n"/>
      <c r="EB593" s="40" t="n"/>
      <c r="EC593" s="40" t="n"/>
      <c r="ED593" s="40" t="n"/>
      <c r="EE593" s="40" t="n"/>
      <c r="EF593" s="40" t="n"/>
      <c r="EG593" s="40" t="n"/>
      <c r="EH593" s="40" t="n"/>
      <c r="EI593" s="40" t="n"/>
      <c r="EJ593" s="40" t="n"/>
      <c r="EK593" s="40" t="n"/>
      <c r="EL593" s="40" t="n"/>
      <c r="EM593" s="40" t="n"/>
      <c r="EN593" s="40" t="n"/>
      <c r="EO593" s="40" t="n"/>
      <c r="EP593" s="40" t="n"/>
      <c r="EQ593" s="40" t="n"/>
      <c r="ER593" s="40" t="n"/>
      <c r="ES593" s="40" t="n"/>
      <c r="ET593" s="40" t="n"/>
      <c r="EU593" s="40" t="n"/>
      <c r="EV593" s="40" t="n"/>
      <c r="EW593" s="40" t="n"/>
      <c r="EX593" s="40" t="n"/>
      <c r="EY593" s="40" t="n"/>
      <c r="EZ593" s="40" t="n"/>
      <c r="FA593" s="40" t="n"/>
      <c r="FB593" s="40" t="n"/>
      <c r="FC593" s="40" t="n"/>
      <c r="FD593" s="40" t="n"/>
    </row>
    <row r="594" ht="60" customHeight="1">
      <c r="A594" s="58" t="n"/>
      <c r="B594" s="59" t="inlineStr">
        <is>
          <t>NOT YET MAPPED</t>
        </is>
      </c>
      <c r="C594" s="40" t="inlineStr">
        <is>
          <t>CARBON</t>
        </is>
      </c>
      <c r="D594" s="40" t="inlineStr">
        <is>
          <t>INTN0292</t>
        </is>
      </c>
      <c r="E594" s="40" t="inlineStr">
        <is>
          <t>Madhvi Sharma</t>
        </is>
      </c>
      <c r="F594" s="40" t="n"/>
      <c r="G594" s="40" t="n"/>
      <c r="H594" s="40" t="n"/>
      <c r="I594" s="40" t="n"/>
      <c r="J594" s="40" t="n"/>
      <c r="K594" s="40" t="n"/>
      <c r="L594" s="40" t="n"/>
      <c r="M594" s="40" t="n"/>
      <c r="N594" s="40" t="n"/>
      <c r="O594" s="40" t="n"/>
      <c r="P594" s="40" t="n"/>
      <c r="Q594" s="40" t="n"/>
      <c r="R594" s="40" t="n"/>
      <c r="S594" s="40" t="n"/>
      <c r="T594" s="40" t="n"/>
      <c r="U594" s="40" t="n"/>
      <c r="V594" s="40" t="n"/>
      <c r="W594" s="40" t="n"/>
      <c r="X594" s="40" t="n"/>
      <c r="Y594" s="40" t="n"/>
      <c r="Z594" s="40" t="n"/>
      <c r="AA594" s="40" t="n"/>
      <c r="AB594" s="40" t="n"/>
      <c r="AC594" s="40" t="n"/>
      <c r="AD594" s="40" t="n"/>
      <c r="AE594" s="40" t="n"/>
      <c r="AF594" s="40" t="n"/>
      <c r="AG594" s="40" t="n"/>
      <c r="AH594" s="40" t="n"/>
      <c r="AI594" s="40" t="n"/>
      <c r="AJ594" s="40" t="n"/>
      <c r="AK594" s="40" t="n"/>
      <c r="AL594" s="40" t="n"/>
      <c r="AM594" s="40" t="n"/>
      <c r="AN594" s="40" t="n"/>
      <c r="AO594" s="40" t="n"/>
      <c r="AP594" s="40" t="n"/>
      <c r="AQ594" s="40" t="n"/>
      <c r="AR594" s="40" t="n"/>
      <c r="AS594" s="40" t="n"/>
      <c r="AT594" s="40" t="n"/>
      <c r="AU594" s="40" t="n"/>
      <c r="AV594" s="40" t="inlineStr">
        <is>
          <t>INTN0292</t>
        </is>
      </c>
      <c r="AW594" s="40" t="inlineStr">
        <is>
          <t>Madhvi Sharma</t>
        </is>
      </c>
      <c r="AX594" s="40" t="inlineStr">
        <is>
          <t>Functional</t>
        </is>
      </c>
      <c r="AY594" s="40" t="inlineStr">
        <is>
          <t>Customer Success &amp; Support</t>
        </is>
      </c>
      <c r="AZ594" s="40" t="inlineStr">
        <is>
          <t>Customer Success</t>
        </is>
      </c>
      <c r="BA594" s="40" t="n"/>
      <c r="BB594" s="40" t="n"/>
      <c r="BC594" s="40" t="inlineStr">
        <is>
          <t>Intern</t>
        </is>
      </c>
      <c r="BD594" s="40" t="inlineStr">
        <is>
          <t>Shambo Mitra</t>
        </is>
      </c>
      <c r="BE594" s="40" t="inlineStr">
        <is>
          <t>Shambo Mitra</t>
        </is>
      </c>
      <c r="BF594" s="40" t="inlineStr">
        <is>
          <t>No</t>
        </is>
      </c>
      <c r="BG594" s="40" t="inlineStr">
        <is>
          <t>Intern</t>
        </is>
      </c>
      <c r="BH594" s="40" t="inlineStr">
        <is>
          <t>Intern</t>
        </is>
      </c>
      <c r="BI594" s="40" t="inlineStr">
        <is>
          <t>No</t>
        </is>
      </c>
      <c r="BJ594" s="40" t="n"/>
      <c r="BK594" s="40" t="n"/>
      <c r="BL594" s="40" t="n"/>
      <c r="BM594" s="40" t="inlineStr">
        <is>
          <t>Not a manager</t>
        </is>
      </c>
      <c r="BN594" s="40" t="n"/>
      <c r="BO594" s="40" t="n"/>
      <c r="BP594" s="40" t="n"/>
      <c r="BQ594" s="40" t="inlineStr">
        <is>
          <t>Not a manager</t>
        </is>
      </c>
      <c r="BR594" s="40" t="n"/>
      <c r="BS594" s="40" t="inlineStr">
        <is>
          <t>L1 – Intern</t>
        </is>
      </c>
      <c r="BT594" s="40" t="inlineStr">
        <is>
          <t>L1 – Intern</t>
        </is>
      </c>
      <c r="BU594" s="40" t="inlineStr">
        <is>
          <t>No designation change — current record value carried forward</t>
        </is>
      </c>
      <c r="BV594" s="40"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BW594" s="40" t="n"/>
      <c r="BX594" s="40" t="n"/>
      <c r="BY594" s="40" t="n"/>
      <c r="BZ594" s="40" t="inlineStr">
        <is>
          <t>INTN0292</t>
        </is>
      </c>
      <c r="CA594" s="40" t="inlineStr">
        <is>
          <t>Intern</t>
        </is>
      </c>
      <c r="CB594" s="40" t="inlineStr">
        <is>
          <t>Active</t>
        </is>
      </c>
      <c r="CC594" s="40" t="inlineStr">
        <is>
          <t>Madhvi Sharma</t>
        </is>
      </c>
      <c r="CD594" s="40" t="inlineStr">
        <is>
          <t>02 Feb 2026</t>
        </is>
      </c>
      <c r="CE594" s="40" t="inlineStr">
        <is>
          <t>Intern</t>
        </is>
      </c>
      <c r="CF594" s="40" t="inlineStr">
        <is>
          <t>Intern</t>
        </is>
      </c>
      <c r="CG594" s="40" t="inlineStr">
        <is>
          <t>Customer Success &amp; Support</t>
        </is>
      </c>
      <c r="CH594" s="40" t="inlineStr">
        <is>
          <t>Customer Support</t>
        </is>
      </c>
      <c r="CI594" s="40" t="inlineStr">
        <is>
          <t>Intern</t>
        </is>
      </c>
      <c r="CJ594" s="40" t="inlineStr">
        <is>
          <t>L1 – Intern</t>
        </is>
      </c>
      <c r="CK594" s="40" t="inlineStr">
        <is>
          <t>Shambo Mitra</t>
        </is>
      </c>
      <c r="CL594" s="40" t="inlineStr">
        <is>
          <t>N-5</t>
        </is>
      </c>
      <c r="CM594" s="40" t="inlineStr">
        <is>
          <t>Individual Contributor</t>
        </is>
      </c>
      <c r="CN594" s="40" t="inlineStr">
        <is>
          <t>Regtech</t>
        </is>
      </c>
      <c r="CO594" s="40" t="inlineStr">
        <is>
          <t>Functional</t>
        </is>
      </c>
      <c r="CP594" s="40" t="inlineStr">
        <is>
          <t>0 years, 7 months, 18 days</t>
        </is>
      </c>
      <c r="CQ594" s="40" t="n"/>
      <c r="CR594" s="40" t="n"/>
      <c r="CS594" s="40" t="n"/>
      <c r="CT594" s="40" t="n"/>
      <c r="CU594" s="40" t="n"/>
      <c r="CV594" s="40" t="n"/>
      <c r="CW594" s="40" t="n"/>
      <c r="CX594" s="40" t="n"/>
      <c r="CY594" s="40" t="n"/>
      <c r="CZ594" s="40" t="n"/>
      <c r="DA594" s="40" t="n"/>
      <c r="DB594" s="40" t="n"/>
      <c r="DC594" s="40" t="n"/>
      <c r="DD594" s="40" t="n"/>
      <c r="DE594" s="40" t="n"/>
      <c r="DF594" s="40" t="n"/>
      <c r="DG594" s="40" t="n"/>
      <c r="DH594" s="40" t="n"/>
      <c r="DI594" s="40" t="n"/>
      <c r="DJ594" s="40" t="n"/>
      <c r="DK594" s="40" t="n"/>
      <c r="DL594" s="40" t="n"/>
      <c r="DM594" s="40" t="n"/>
      <c r="DN594" s="40" t="n"/>
      <c r="DO594" s="40" t="n"/>
      <c r="DP594" s="40" t="n"/>
      <c r="DQ594" s="40" t="n"/>
      <c r="DR594" s="40" t="n"/>
      <c r="DS594" s="40" t="n"/>
      <c r="DT594" s="40" t="n"/>
      <c r="DU594" s="40" t="n"/>
      <c r="DV594" s="40" t="n"/>
      <c r="DW594" s="40" t="n"/>
      <c r="DX594" s="40" t="n"/>
      <c r="DY594" s="40" t="n"/>
      <c r="DZ594" s="40" t="n"/>
      <c r="EA594" s="40" t="n"/>
      <c r="EB594" s="40" t="n"/>
      <c r="EC594" s="40" t="n"/>
      <c r="ED594" s="40" t="n"/>
      <c r="EE594" s="40" t="n"/>
      <c r="EF594" s="40" t="n"/>
      <c r="EG594" s="40" t="n"/>
      <c r="EH594" s="40" t="n"/>
      <c r="EI594" s="40" t="n"/>
      <c r="EJ594" s="40" t="n"/>
      <c r="EK594" s="40" t="n"/>
      <c r="EL594" s="40" t="n"/>
      <c r="EM594" s="40" t="n"/>
      <c r="EN594" s="40" t="n"/>
      <c r="EO594" s="40" t="n"/>
      <c r="EP594" s="40" t="n"/>
      <c r="EQ594" s="40" t="n"/>
      <c r="ER594" s="40" t="n"/>
      <c r="ES594" s="40" t="n"/>
      <c r="ET594" s="40" t="n"/>
      <c r="EU594" s="40" t="n"/>
      <c r="EV594" s="40" t="n"/>
      <c r="EW594" s="40" t="n"/>
      <c r="EX594" s="40" t="n"/>
      <c r="EY594" s="40" t="n"/>
      <c r="EZ594" s="40" t="n"/>
      <c r="FA594" s="40" t="n"/>
      <c r="FB594" s="40" t="n"/>
      <c r="FC594" s="40" t="n"/>
      <c r="FD594" s="40" t="n"/>
    </row>
    <row r="595" ht="60" customHeight="1">
      <c r="A595" s="58" t="n"/>
      <c r="B595" s="59" t="inlineStr">
        <is>
          <t>NOT YET MAPPED</t>
        </is>
      </c>
      <c r="C595" s="40" t="inlineStr">
        <is>
          <t>CARBON</t>
        </is>
      </c>
      <c r="D595" s="40" t="inlineStr">
        <is>
          <t>INTN0291</t>
        </is>
      </c>
      <c r="E595" s="40" t="inlineStr">
        <is>
          <t>Aryesh Singh Yadav</t>
        </is>
      </c>
      <c r="F595" s="40" t="n"/>
      <c r="G595" s="40" t="n"/>
      <c r="H595" s="40" t="n"/>
      <c r="I595" s="40" t="n"/>
      <c r="J595" s="40" t="n"/>
      <c r="K595" s="40" t="n"/>
      <c r="L595" s="40" t="n"/>
      <c r="M595" s="40" t="n"/>
      <c r="N595" s="40" t="n"/>
      <c r="O595" s="40" t="n"/>
      <c r="P595" s="40" t="n"/>
      <c r="Q595" s="40" t="n"/>
      <c r="R595" s="40" t="n"/>
      <c r="S595" s="40" t="n"/>
      <c r="T595" s="40" t="n"/>
      <c r="U595" s="40" t="n"/>
      <c r="V595" s="40" t="n"/>
      <c r="W595" s="40" t="n"/>
      <c r="X595" s="40" t="n"/>
      <c r="Y595" s="40" t="n"/>
      <c r="Z595" s="40" t="n"/>
      <c r="AA595" s="40" t="n"/>
      <c r="AB595" s="40" t="n"/>
      <c r="AC595" s="40" t="n"/>
      <c r="AD595" s="40" t="n"/>
      <c r="AE595" s="40" t="n"/>
      <c r="AF595" s="40" t="n"/>
      <c r="AG595" s="40" t="n"/>
      <c r="AH595" s="40" t="n"/>
      <c r="AI595" s="40" t="n"/>
      <c r="AJ595" s="40" t="n"/>
      <c r="AK595" s="40" t="n"/>
      <c r="AL595" s="40" t="n"/>
      <c r="AM595" s="40" t="n"/>
      <c r="AN595" s="40" t="n"/>
      <c r="AO595" s="40" t="n"/>
      <c r="AP595" s="40" t="n"/>
      <c r="AQ595" s="40" t="n"/>
      <c r="AR595" s="40" t="n"/>
      <c r="AS595" s="40" t="n"/>
      <c r="AT595" s="40" t="n"/>
      <c r="AU595" s="40" t="n"/>
      <c r="AV595" s="40" t="inlineStr">
        <is>
          <t>INTN0291</t>
        </is>
      </c>
      <c r="AW595" s="40" t="inlineStr">
        <is>
          <t>Aryesh Singh Yadav</t>
        </is>
      </c>
      <c r="AX595" s="40" t="inlineStr">
        <is>
          <t>Functional</t>
        </is>
      </c>
      <c r="AY595" s="40" t="inlineStr">
        <is>
          <t>Customer Success &amp; Support</t>
        </is>
      </c>
      <c r="AZ595" s="40" t="inlineStr">
        <is>
          <t>Customer Success</t>
        </is>
      </c>
      <c r="BA595" s="40" t="n"/>
      <c r="BB595" s="40" t="n"/>
      <c r="BC595" s="40" t="inlineStr">
        <is>
          <t>Intern</t>
        </is>
      </c>
      <c r="BD595" s="40" t="inlineStr">
        <is>
          <t>Biswajit Biswal</t>
        </is>
      </c>
      <c r="BE595" s="40" t="inlineStr">
        <is>
          <t>Biswajit Biswal</t>
        </is>
      </c>
      <c r="BF595" s="40" t="inlineStr">
        <is>
          <t>No</t>
        </is>
      </c>
      <c r="BG595" s="40" t="inlineStr">
        <is>
          <t>Intern</t>
        </is>
      </c>
      <c r="BH595" s="40" t="inlineStr">
        <is>
          <t>Intern</t>
        </is>
      </c>
      <c r="BI595" s="40" t="inlineStr">
        <is>
          <t>No</t>
        </is>
      </c>
      <c r="BJ595" s="40" t="n"/>
      <c r="BK595" s="40" t="n"/>
      <c r="BL595" s="40" t="n"/>
      <c r="BM595" s="40" t="inlineStr">
        <is>
          <t>Not a manager</t>
        </is>
      </c>
      <c r="BN595" s="40" t="n"/>
      <c r="BO595" s="40" t="n"/>
      <c r="BP595" s="40" t="n"/>
      <c r="BQ595" s="40" t="inlineStr">
        <is>
          <t>Not a manager</t>
        </is>
      </c>
      <c r="BR595" s="40" t="n"/>
      <c r="BS595" s="40" t="inlineStr">
        <is>
          <t>L1 – Intern</t>
        </is>
      </c>
      <c r="BT595" s="40" t="inlineStr">
        <is>
          <t>L1 – Intern</t>
        </is>
      </c>
      <c r="BU595" s="40" t="inlineStr">
        <is>
          <t>No designation change — current record value carried forward</t>
        </is>
      </c>
      <c r="BV595" s="40" t="inlineStr">
        <is>
          <t>1. Maintain client/customer satisfaction · CSAT of &gt;=4.2 / 5
2. Resolve &gt;=95% of assigned tickets/queries within SLA
3. Keep first-response time within agreed SLA on 100% of cases
4. Drive retention/renewal of assigned accounts to &gt;=90%
5. Maintain 100% accurate, up-to-date case/engagement documentation
6. Reduce escalations on owned accounts by &gt;=10% year on year</t>
        </is>
      </c>
      <c r="BW595" s="40" t="n"/>
      <c r="BX595" s="40" t="n"/>
      <c r="BY595" s="40" t="n"/>
      <c r="BZ595" s="40" t="inlineStr">
        <is>
          <t>INTN0291</t>
        </is>
      </c>
      <c r="CA595" s="40" t="inlineStr">
        <is>
          <t>Intern</t>
        </is>
      </c>
      <c r="CB595" s="40" t="inlineStr">
        <is>
          <t>Active</t>
        </is>
      </c>
      <c r="CC595" s="40" t="inlineStr">
        <is>
          <t>Aryesh Singh Yadav</t>
        </is>
      </c>
      <c r="CD595" s="40" t="inlineStr">
        <is>
          <t>19 Jan 2026</t>
        </is>
      </c>
      <c r="CE595" s="40" t="inlineStr">
        <is>
          <t>Intern</t>
        </is>
      </c>
      <c r="CF595" s="40" t="inlineStr">
        <is>
          <t>Exited</t>
        </is>
      </c>
      <c r="CG595" s="40" t="inlineStr">
        <is>
          <t>Customer Success &amp; Support</t>
        </is>
      </c>
      <c r="CH595" s="40" t="inlineStr">
        <is>
          <t>Customer Support</t>
        </is>
      </c>
      <c r="CI595" s="40" t="inlineStr">
        <is>
          <t>Intern</t>
        </is>
      </c>
      <c r="CJ595" s="40" t="inlineStr">
        <is>
          <t>L1 – Intern</t>
        </is>
      </c>
      <c r="CK595" s="40" t="inlineStr">
        <is>
          <t>Biswajit Biswal</t>
        </is>
      </c>
      <c r="CL595" s="40" t="inlineStr">
        <is>
          <t>N-5</t>
        </is>
      </c>
      <c r="CM595" s="40" t="inlineStr">
        <is>
          <t>Individual Contributor</t>
        </is>
      </c>
      <c r="CN595" s="40" t="inlineStr">
        <is>
          <t>Regtech</t>
        </is>
      </c>
      <c r="CO595" s="40" t="inlineStr">
        <is>
          <t>Functional</t>
        </is>
      </c>
      <c r="CP595" s="40" t="inlineStr">
        <is>
          <t>0 years, 8 months, 1 days</t>
        </is>
      </c>
      <c r="CQ595" s="40" t="n"/>
      <c r="CR595" s="40" t="n"/>
      <c r="CS595" s="40" t="n"/>
      <c r="CT595" s="40" t="n"/>
      <c r="CU595" s="40" t="n"/>
      <c r="CV595" s="40" t="n"/>
      <c r="CW595" s="40" t="n"/>
      <c r="CX595" s="40" t="n"/>
      <c r="CY595" s="40" t="n"/>
      <c r="CZ595" s="40" t="n"/>
      <c r="DA595" s="40" t="n"/>
      <c r="DB595" s="40" t="n"/>
      <c r="DC595" s="40" t="n"/>
      <c r="DD595" s="40" t="n"/>
      <c r="DE595" s="40" t="n"/>
      <c r="DF595" s="40" t="n"/>
      <c r="DG595" s="40" t="n"/>
      <c r="DH595" s="40" t="n"/>
      <c r="DI595" s="40" t="n"/>
      <c r="DJ595" s="40" t="n"/>
      <c r="DK595" s="40" t="n"/>
      <c r="DL595" s="40" t="n"/>
      <c r="DM595" s="40" t="n"/>
      <c r="DN595" s="40" t="n"/>
      <c r="DO595" s="40" t="n"/>
      <c r="DP595" s="40" t="n"/>
      <c r="DQ595" s="40" t="n"/>
      <c r="DR595" s="40" t="n"/>
      <c r="DS595" s="40" t="n"/>
      <c r="DT595" s="40" t="n"/>
      <c r="DU595" s="40" t="n"/>
      <c r="DV595" s="40" t="n"/>
      <c r="DW595" s="40" t="n"/>
      <c r="DX595" s="40" t="n"/>
      <c r="DY595" s="40" t="n"/>
      <c r="DZ595" s="40" t="n"/>
      <c r="EA595" s="40" t="n"/>
      <c r="EB595" s="40" t="n"/>
      <c r="EC595" s="40" t="n"/>
      <c r="ED595" s="40" t="n"/>
      <c r="EE595" s="40" t="n"/>
      <c r="EF595" s="40" t="n"/>
      <c r="EG595" s="40" t="n"/>
      <c r="EH595" s="40" t="n"/>
      <c r="EI595" s="40" t="n"/>
      <c r="EJ595" s="40" t="n"/>
      <c r="EK595" s="40" t="n"/>
      <c r="EL595" s="40" t="n"/>
      <c r="EM595" s="40" t="n"/>
      <c r="EN595" s="40" t="n"/>
      <c r="EO595" s="40" t="n"/>
      <c r="EP595" s="40" t="n"/>
      <c r="EQ595" s="40" t="n"/>
      <c r="ER595" s="40" t="n"/>
      <c r="ES595" s="40" t="n"/>
      <c r="ET595" s="40" t="n"/>
      <c r="EU595" s="40" t="n"/>
      <c r="EV595" s="40" t="n"/>
      <c r="EW595" s="40" t="n"/>
      <c r="EX595" s="40" t="n"/>
      <c r="EY595" s="40" t="n"/>
      <c r="EZ595" s="40" t="n"/>
      <c r="FA595" s="40" t="n"/>
      <c r="FB595" s="40" t="n"/>
      <c r="FC595" s="40" t="n"/>
      <c r="FD595" s="40" t="n"/>
    </row>
    <row r="596" ht="60" customHeight="1">
      <c r="A596" s="58" t="n"/>
      <c r="B596" s="59" t="inlineStr">
        <is>
          <t>NOT YET MAPPED</t>
        </is>
      </c>
      <c r="C596" s="40" t="inlineStr">
        <is>
          <t>CARBON</t>
        </is>
      </c>
      <c r="D596" s="40" t="inlineStr">
        <is>
          <t>—</t>
        </is>
      </c>
      <c r="E596" s="40" t="inlineStr">
        <is>
          <t>Aditya Nair</t>
        </is>
      </c>
      <c r="F596" s="40" t="n"/>
      <c r="G596" s="40" t="n"/>
      <c r="H596" s="40" t="n"/>
      <c r="I596" s="40" t="n"/>
      <c r="J596" s="40" t="n"/>
      <c r="K596" s="40" t="n"/>
      <c r="L596" s="40" t="n"/>
      <c r="M596" s="40" t="n"/>
      <c r="N596" s="40" t="n"/>
      <c r="O596" s="40" t="n"/>
      <c r="P596" s="40" t="n"/>
      <c r="Q596" s="40" t="n"/>
      <c r="R596" s="40" t="n"/>
      <c r="S596" s="40" t="n"/>
      <c r="T596" s="40" t="n"/>
      <c r="U596" s="40" t="n"/>
      <c r="V596" s="40" t="n"/>
      <c r="W596" s="40" t="n"/>
      <c r="X596" s="40" t="n"/>
      <c r="Y596" s="40" t="n"/>
      <c r="Z596" s="40" t="n"/>
      <c r="AA596" s="40" t="n"/>
      <c r="AB596" s="40" t="n"/>
      <c r="AC596" s="40" t="n"/>
      <c r="AD596" s="40" t="n"/>
      <c r="AE596" s="40" t="n"/>
      <c r="AF596" s="40" t="n"/>
      <c r="AG596" s="40" t="n"/>
      <c r="AH596" s="40" t="n"/>
      <c r="AI596" s="40" t="n"/>
      <c r="AJ596" s="40" t="n"/>
      <c r="AK596" s="40" t="n"/>
      <c r="AL596" s="40" t="n"/>
      <c r="AM596" s="40" t="n"/>
      <c r="AN596" s="40" t="n"/>
      <c r="AO596" s="40" t="n"/>
      <c r="AP596" s="40" t="n"/>
      <c r="AQ596" s="40" t="n"/>
      <c r="AR596" s="40" t="n"/>
      <c r="AS596" s="40" t="n"/>
      <c r="AT596" s="40" t="n"/>
      <c r="AU596" s="40" t="n"/>
      <c r="AV596" s="40" t="n"/>
      <c r="AW596" s="40" t="inlineStr">
        <is>
          <t>Aditya Nair</t>
        </is>
      </c>
      <c r="AX596" s="40" t="inlineStr">
        <is>
          <t>Marketing</t>
        </is>
      </c>
      <c r="AY596" s="40" t="inlineStr">
        <is>
          <t>Sales &amp; Business Development</t>
        </is>
      </c>
      <c r="AZ596" s="40" t="inlineStr">
        <is>
          <t>Sales Development · SDR</t>
        </is>
      </c>
      <c r="BA596" s="40" t="n"/>
      <c r="BB596" s="40" t="n"/>
      <c r="BC596" s="40" t="inlineStr">
        <is>
          <t>Employee</t>
        </is>
      </c>
      <c r="BD596" s="40" t="inlineStr">
        <is>
          <t>Anuradha RK</t>
        </is>
      </c>
      <c r="BE596" s="40" t="inlineStr">
        <is>
          <t>Anuradha RK</t>
        </is>
      </c>
      <c r="BF596" s="40" t="inlineStr">
        <is>
          <t>No</t>
        </is>
      </c>
      <c r="BG596" s="40" t="inlineStr">
        <is>
          <t>Team Lead SDR</t>
        </is>
      </c>
      <c r="BH596" s="40" t="inlineStr">
        <is>
          <t>Sr.Sales Development Rep.</t>
        </is>
      </c>
      <c r="BI596" s="40" t="inlineStr">
        <is>
          <t>Yes</t>
        </is>
      </c>
      <c r="BJ596" s="40" t="n"/>
      <c r="BK596" s="40" t="n"/>
      <c r="BL596" s="40" t="n"/>
      <c r="BM596" s="40" t="inlineStr">
        <is>
          <t>Not a manager</t>
        </is>
      </c>
      <c r="BN596" s="40" t="n"/>
      <c r="BO596" s="40" t="n"/>
      <c r="BP596" s="40" t="n"/>
      <c r="BQ596" s="40" t="inlineStr">
        <is>
          <t>Not a manager</t>
        </is>
      </c>
      <c r="BR596" s="40" t="n"/>
      <c r="BS596" s="40" t="inlineStr">
        <is>
          <t>L5 – Lead · IC</t>
        </is>
      </c>
      <c r="BT596" s="40" t="inlineStr">
        <is>
          <t>L5 – Lead · IC</t>
        </is>
      </c>
      <c r="BU596" s="40" t="inlineStr">
        <is>
          <t>No exact Title Hierarchy match — retained current record value</t>
        </is>
      </c>
      <c r="BV596" s="40" t="n"/>
      <c r="BW596" s="40" t="n"/>
      <c r="BX596" s="40" t="n"/>
      <c r="BY596" s="40" t="n"/>
      <c r="BZ596" s="40" t="n"/>
      <c r="CA596" s="40" t="n"/>
      <c r="CB596" s="40" t="n"/>
      <c r="CC596" s="40" t="n"/>
      <c r="CD596" s="40" t="n"/>
      <c r="CE596" s="40" t="n"/>
      <c r="CF596" s="40" t="n"/>
      <c r="CG596" s="40" t="n"/>
      <c r="CH596" s="40" t="n"/>
      <c r="CI596" s="40" t="n"/>
      <c r="CJ596" s="40" t="n"/>
      <c r="CK596" s="40" t="n"/>
      <c r="CL596" s="40" t="n"/>
      <c r="CM596" s="40" t="n"/>
      <c r="CN596" s="40" t="n"/>
      <c r="CO596" s="40" t="n"/>
      <c r="CP596" s="40" t="n"/>
      <c r="CQ596" s="40" t="n"/>
      <c r="CR596" s="40" t="n"/>
      <c r="CS596" s="40" t="n"/>
      <c r="CT596" s="40" t="n"/>
      <c r="CU596" s="40" t="n"/>
      <c r="CV596" s="40" t="n"/>
      <c r="CW596" s="40" t="n"/>
      <c r="CX596" s="40" t="n"/>
      <c r="CY596" s="40" t="n"/>
      <c r="CZ596" s="40" t="n"/>
      <c r="DA596" s="40" t="n"/>
      <c r="DB596" s="40" t="n"/>
      <c r="DC596" s="40" t="n"/>
      <c r="DD596" s="40" t="n"/>
      <c r="DE596" s="40" t="n"/>
      <c r="DF596" s="40" t="n"/>
      <c r="DG596" s="40" t="n"/>
      <c r="DH596" s="40" t="n"/>
      <c r="DI596" s="40" t="n"/>
      <c r="DJ596" s="40" t="n"/>
      <c r="DK596" s="40" t="n"/>
      <c r="DL596" s="40" t="n"/>
      <c r="DM596" s="40" t="n"/>
      <c r="DN596" s="40" t="n"/>
      <c r="DO596" s="40" t="n"/>
      <c r="DP596" s="40" t="n"/>
      <c r="DQ596" s="40" t="n"/>
      <c r="DR596" s="40" t="n"/>
      <c r="DS596" s="40" t="n"/>
      <c r="DT596" s="40" t="n"/>
      <c r="DU596" s="40" t="n"/>
      <c r="DV596" s="40" t="n"/>
      <c r="DW596" s="40" t="n"/>
      <c r="DX596" s="40" t="n"/>
      <c r="DY596" s="40" t="n"/>
      <c r="DZ596" s="40" t="n"/>
      <c r="EA596" s="40" t="n"/>
      <c r="EB596" s="40" t="n"/>
      <c r="EC596" s="40" t="n"/>
      <c r="ED596" s="40" t="n"/>
      <c r="EE596" s="40" t="n"/>
      <c r="EF596" s="40" t="n"/>
      <c r="EG596" s="40" t="n"/>
      <c r="EH596" s="40" t="n"/>
      <c r="EI596" s="40" t="n"/>
      <c r="EJ596" s="40" t="n"/>
      <c r="EK596" s="40" t="n"/>
      <c r="EL596" s="40" t="n"/>
      <c r="EM596" s="40" t="n"/>
      <c r="EN596" s="40" t="n"/>
      <c r="EO596" s="40" t="n"/>
      <c r="EP596" s="40" t="n"/>
      <c r="EQ596" s="40" t="n"/>
      <c r="ER596" s="40" t="n"/>
      <c r="ES596" s="40" t="n"/>
      <c r="ET596" s="40" t="n"/>
      <c r="EU596" s="40" t="n"/>
      <c r="EV596" s="40" t="n"/>
      <c r="EW596" s="40" t="n"/>
      <c r="EX596" s="40" t="n"/>
      <c r="EY596" s="40" t="n"/>
      <c r="EZ596" s="40" t="n"/>
      <c r="FA596" s="40" t="n"/>
      <c r="FB596" s="40" t="n"/>
      <c r="FC596" s="40" t="n"/>
      <c r="FD596" s="40" t="n"/>
    </row>
    <row r="597" ht="60" customHeight="1">
      <c r="A597" s="58" t="n"/>
      <c r="B597" s="59" t="inlineStr">
        <is>
          <t>NOT YET MAPPED</t>
        </is>
      </c>
      <c r="C597" s="40" t="inlineStr">
        <is>
          <t>CARBON</t>
        </is>
      </c>
      <c r="D597" s="40" t="inlineStr">
        <is>
          <t>IRIS2499</t>
        </is>
      </c>
      <c r="E597" s="40" t="inlineStr">
        <is>
          <t>Aniket Rajaram Hinukale</t>
        </is>
      </c>
      <c r="F597" s="40" t="n"/>
      <c r="G597" s="40" t="n"/>
      <c r="H597" s="40" t="n"/>
      <c r="I597" s="40" t="n"/>
      <c r="J597" s="40" t="n"/>
      <c r="K597" s="40" t="n"/>
      <c r="L597" s="40" t="n"/>
      <c r="M597" s="40" t="n"/>
      <c r="N597" s="40" t="n"/>
      <c r="O597" s="40" t="n"/>
      <c r="P597" s="40" t="n"/>
      <c r="Q597" s="40" t="n"/>
      <c r="R597" s="40" t="n"/>
      <c r="S597" s="40" t="n"/>
      <c r="T597" s="40" t="n"/>
      <c r="U597" s="40" t="n"/>
      <c r="V597" s="40" t="n"/>
      <c r="W597" s="40" t="n"/>
      <c r="X597" s="40" t="n"/>
      <c r="Y597" s="40" t="n"/>
      <c r="Z597" s="40" t="n"/>
      <c r="AA597" s="40" t="n"/>
      <c r="AB597" s="40" t="n"/>
      <c r="AC597" s="40" t="n"/>
      <c r="AD597" s="40" t="n"/>
      <c r="AE597" s="40" t="n"/>
      <c r="AF597" s="40" t="n"/>
      <c r="AG597" s="40" t="n"/>
      <c r="AH597" s="40" t="n"/>
      <c r="AI597" s="40" t="n"/>
      <c r="AJ597" s="40" t="n"/>
      <c r="AK597" s="40" t="n"/>
      <c r="AL597" s="40" t="n"/>
      <c r="AM597" s="40" t="n"/>
      <c r="AN597" s="40" t="n"/>
      <c r="AO597" s="40" t="n"/>
      <c r="AP597" s="40" t="n"/>
      <c r="AQ597" s="40" t="n"/>
      <c r="AR597" s="40" t="n"/>
      <c r="AS597" s="40" t="n"/>
      <c r="AT597" s="40" t="n"/>
      <c r="AU597" s="40" t="n"/>
      <c r="AV597" s="40" t="inlineStr">
        <is>
          <t>IRIS2499</t>
        </is>
      </c>
      <c r="AW597" s="40" t="inlineStr">
        <is>
          <t>Aniket Rajaram Hinukale</t>
        </is>
      </c>
      <c r="AX597" s="40" t="inlineStr">
        <is>
          <t>Technology</t>
        </is>
      </c>
      <c r="AY597" s="40" t="inlineStr">
        <is>
          <t>Engineering &amp; Development</t>
        </is>
      </c>
      <c r="AZ597" s="40" t="inlineStr">
        <is>
          <t>Backend Engineering · .NET</t>
        </is>
      </c>
      <c r="BA597" s="40" t="n"/>
      <c r="BB597" s="40" t="n"/>
      <c r="BC597" s="40" t="inlineStr">
        <is>
          <t>Employee</t>
        </is>
      </c>
      <c r="BD597" s="40" t="inlineStr">
        <is>
          <t>Sarfaraz Badi</t>
        </is>
      </c>
      <c r="BE597" s="40" t="inlineStr">
        <is>
          <t>Sarfaraz Badi</t>
        </is>
      </c>
      <c r="BF597" s="40" t="inlineStr">
        <is>
          <t>No</t>
        </is>
      </c>
      <c r="BG597" s="40" t="inlineStr">
        <is>
          <t>Senior Software Engineer</t>
        </is>
      </c>
      <c r="BH597" s="40" t="inlineStr">
        <is>
          <t>Senior Software Engineer</t>
        </is>
      </c>
      <c r="BI597" s="40" t="inlineStr">
        <is>
          <t>No</t>
        </is>
      </c>
      <c r="BJ597" s="40" t="n"/>
      <c r="BK597" s="40" t="n"/>
      <c r="BL597" s="40" t="n"/>
      <c r="BM597" s="40" t="inlineStr">
        <is>
          <t>Not a manager</t>
        </is>
      </c>
      <c r="BN597" s="40" t="n"/>
      <c r="BO597" s="40" t="n"/>
      <c r="BP597" s="40" t="n"/>
      <c r="BQ597" s="40" t="inlineStr">
        <is>
          <t>Not a manager</t>
        </is>
      </c>
      <c r="BR597" s="40" t="n"/>
      <c r="BS597" s="40" t="inlineStr">
        <is>
          <t>L4 – Senior</t>
        </is>
      </c>
      <c r="BT597" s="40" t="inlineStr">
        <is>
          <t>L4 – Senior</t>
        </is>
      </c>
      <c r="BU597" s="40" t="inlineStr">
        <is>
          <t>No designation change — current record value carried forward</t>
        </is>
      </c>
      <c r="BV597" s="40" t="inlineStr">
        <is>
          <t>1. Achieve ≥ 92% sprint and release delivery adherence by completing committed tasks within agreed timelines with high-quality execution and minimal dependency.
2. Strengthen advanced technical expertise in .NET, React, APIs, database design, and scalable system implementation by contributing to ≥ 60% end-to-end technical solutions.
3. Demonstrate strong ownership by independently driving ≥ 85% assigned modules/tasks from requirement understanding to implementation, testing, and deployment readiness.
4. Increase involvement in team discussions by contributing meaningful inputs in ≥ 70% technical, solution, architecture, and requirement discussions.
5. Strengthen model designing and solution architecture capability by designing scalable workflows, data models, and implementation approaches for complex business scenarios.
6. Demonstrate leadership readiness by mentoring team members, resolving blockers proactively, supporting delivery execution, and contributing to team growth through knowledge sharing and technical guidance.</t>
        </is>
      </c>
      <c r="BW597" s="40" t="n"/>
      <c r="BX597" s="40" t="n"/>
      <c r="BY597" s="40" t="n"/>
      <c r="BZ597" s="40" t="n"/>
      <c r="CA597" s="40" t="n"/>
      <c r="CB597" s="40" t="n"/>
      <c r="CC597" s="40" t="n"/>
      <c r="CD597" s="40" t="n"/>
      <c r="CE597" s="40" t="n"/>
      <c r="CF597" s="40" t="n"/>
      <c r="CG597" s="40" t="n"/>
      <c r="CH597" s="40" t="n"/>
      <c r="CI597" s="40" t="n"/>
      <c r="CJ597" s="40" t="n"/>
      <c r="CK597" s="40" t="n"/>
      <c r="CL597" s="40" t="n"/>
      <c r="CM597" s="40" t="n"/>
      <c r="CN597" s="40" t="n"/>
      <c r="CO597" s="40" t="n"/>
      <c r="CP597" s="40" t="n"/>
      <c r="CQ597" s="40" t="n"/>
      <c r="CR597" s="40" t="n"/>
      <c r="CS597" s="40" t="n"/>
      <c r="CT597" s="40" t="n"/>
      <c r="CU597" s="40" t="n"/>
      <c r="CV597" s="40" t="n"/>
      <c r="CW597" s="40" t="n"/>
      <c r="CX597" s="40" t="n"/>
      <c r="CY597" s="40" t="n"/>
      <c r="CZ597" s="40" t="n"/>
      <c r="DA597" s="40" t="n"/>
      <c r="DB597" s="40" t="n"/>
      <c r="DC597" s="40" t="n"/>
      <c r="DD597" s="40" t="n"/>
      <c r="DE597" s="40" t="n"/>
      <c r="DF597" s="40" t="n"/>
      <c r="DG597" s="40" t="n"/>
      <c r="DH597" s="40" t="n"/>
      <c r="DI597" s="40" t="n"/>
      <c r="DJ597" s="40" t="n"/>
      <c r="DK597" s="40" t="n"/>
      <c r="DL597" s="40" t="n"/>
      <c r="DM597" s="40" t="n"/>
      <c r="DN597" s="40" t="n"/>
      <c r="DO597" s="40" t="n"/>
      <c r="DP597" s="40" t="n"/>
      <c r="DQ597" s="40" t="n"/>
      <c r="DR597" s="40" t="n"/>
      <c r="DS597" s="40" t="n"/>
      <c r="DT597" s="40" t="n"/>
      <c r="DU597" s="40" t="n"/>
      <c r="DV597" s="40" t="n"/>
      <c r="DW597" s="40" t="n"/>
      <c r="DX597" s="40" t="n"/>
      <c r="DY597" s="40" t="n"/>
      <c r="DZ597" s="40" t="n"/>
      <c r="EA597" s="40" t="n"/>
      <c r="EB597" s="40" t="n"/>
      <c r="EC597" s="40" t="n"/>
      <c r="ED597" s="40" t="n"/>
      <c r="EE597" s="40" t="n"/>
      <c r="EF597" s="40" t="n"/>
      <c r="EG597" s="40" t="n"/>
      <c r="EH597" s="40" t="n"/>
      <c r="EI597" s="40" t="n"/>
      <c r="EJ597" s="40" t="n"/>
      <c r="EK597" s="40" t="n"/>
      <c r="EL597" s="40" t="n"/>
      <c r="EM597" s="40" t="n"/>
      <c r="EN597" s="40" t="n"/>
      <c r="EO597" s="40" t="n"/>
      <c r="EP597" s="40" t="n"/>
      <c r="EQ597" s="40" t="n"/>
      <c r="ER597" s="40" t="n"/>
      <c r="ES597" s="40" t="n"/>
      <c r="ET597" s="40" t="n"/>
      <c r="EU597" s="40" t="n"/>
      <c r="EV597" s="40" t="n"/>
      <c r="EW597" s="40" t="n"/>
      <c r="EX597" s="40" t="n"/>
      <c r="EY597" s="40" t="n"/>
      <c r="EZ597" s="40" t="n"/>
      <c r="FA597" s="40" t="n"/>
      <c r="FB597" s="40" t="n"/>
      <c r="FC597" s="40" t="n"/>
      <c r="FD597" s="40" t="n"/>
    </row>
    <row r="598" ht="60" customHeight="1">
      <c r="A598" s="58" t="n"/>
      <c r="B598" s="59" t="inlineStr">
        <is>
          <t>NOT YET MAPPED</t>
        </is>
      </c>
      <c r="C598" s="40" t="inlineStr">
        <is>
          <t>CARBON</t>
        </is>
      </c>
      <c r="D598" s="40" t="inlineStr">
        <is>
          <t>IRISC329</t>
        </is>
      </c>
      <c r="E598" s="40" t="inlineStr">
        <is>
          <t>Devika Vivek Savaratkar</t>
        </is>
      </c>
      <c r="F598" s="40" t="n"/>
      <c r="G598" s="40" t="n"/>
      <c r="H598" s="40" t="n"/>
      <c r="I598" s="40" t="n"/>
      <c r="J598" s="40" t="n"/>
      <c r="K598" s="40" t="n"/>
      <c r="L598" s="40" t="n"/>
      <c r="M598" s="40" t="n"/>
      <c r="N598" s="40" t="n"/>
      <c r="O598" s="40" t="n"/>
      <c r="P598" s="40" t="n"/>
      <c r="Q598" s="40" t="n"/>
      <c r="R598" s="40" t="n"/>
      <c r="S598" s="40" t="n"/>
      <c r="T598" s="40" t="n"/>
      <c r="U598" s="40" t="n"/>
      <c r="V598" s="40" t="n"/>
      <c r="W598" s="40" t="n"/>
      <c r="X598" s="40" t="n"/>
      <c r="Y598" s="40" t="n"/>
      <c r="Z598" s="40" t="n"/>
      <c r="AA598" s="40" t="n"/>
      <c r="AB598" s="40" t="n"/>
      <c r="AC598" s="40" t="n"/>
      <c r="AD598" s="40" t="n"/>
      <c r="AE598" s="40" t="n"/>
      <c r="AF598" s="40" t="n"/>
      <c r="AG598" s="40" t="n"/>
      <c r="AH598" s="40" t="n"/>
      <c r="AI598" s="40" t="n"/>
      <c r="AJ598" s="40" t="n"/>
      <c r="AK598" s="40" t="n"/>
      <c r="AL598" s="40" t="n"/>
      <c r="AM598" s="40" t="n"/>
      <c r="AN598" s="40" t="n"/>
      <c r="AO598" s="40" t="n"/>
      <c r="AP598" s="40" t="n"/>
      <c r="AQ598" s="40" t="n"/>
      <c r="AR598" s="40" t="n"/>
      <c r="AS598" s="40" t="n"/>
      <c r="AT598" s="40" t="n"/>
      <c r="AU598" s="40" t="n"/>
      <c r="AV598" s="40" t="n"/>
      <c r="AW598" s="40" t="n"/>
      <c r="AX598" s="40" t="n"/>
      <c r="AY598" s="40" t="n"/>
      <c r="AZ598" s="40" t="n"/>
      <c r="BA598" s="40" t="n"/>
      <c r="BB598" s="40" t="n"/>
      <c r="BC598" s="40" t="n"/>
      <c r="BD598" s="40" t="n"/>
      <c r="BE598" s="40" t="n"/>
      <c r="BF598" s="40" t="n"/>
      <c r="BG598" s="40" t="n"/>
      <c r="BH598" s="40" t="n"/>
      <c r="BI598" s="40" t="n"/>
      <c r="BJ598" s="40" t="n"/>
      <c r="BK598" s="40" t="n"/>
      <c r="BL598" s="40" t="n"/>
      <c r="BM598" s="40" t="n"/>
      <c r="BN598" s="40" t="n"/>
      <c r="BO598" s="40" t="n"/>
      <c r="BP598" s="40" t="n"/>
      <c r="BQ598" s="40" t="n"/>
      <c r="BR598" s="40" t="n"/>
      <c r="BS598" s="40" t="n"/>
      <c r="BT598" s="40" t="n"/>
      <c r="BU598" s="40" t="n"/>
      <c r="BV598" s="40" t="n"/>
      <c r="BW598" s="40" t="n"/>
      <c r="BX598" s="40" t="n"/>
      <c r="BY598" s="40" t="n"/>
      <c r="BZ598" s="40" t="inlineStr">
        <is>
          <t>IRISC329</t>
        </is>
      </c>
      <c r="CA598" s="40" t="inlineStr">
        <is>
          <t>On Contract</t>
        </is>
      </c>
      <c r="CB598" s="40" t="inlineStr">
        <is>
          <t>Active</t>
        </is>
      </c>
      <c r="CC598" s="40" t="inlineStr">
        <is>
          <t>Devika Vivek Savaratkar</t>
        </is>
      </c>
      <c r="CD598" s="40" t="inlineStr">
        <is>
          <t>05 Jan 2026</t>
        </is>
      </c>
      <c r="CE598" s="40" t="inlineStr">
        <is>
          <t>Consultant</t>
        </is>
      </c>
      <c r="CF598" s="40" t="inlineStr">
        <is>
          <t>Exited</t>
        </is>
      </c>
      <c r="CG598" s="40" t="inlineStr">
        <is>
          <t>Customer Success &amp; Support</t>
        </is>
      </c>
      <c r="CH598" s="40" t="inlineStr">
        <is>
          <t>Customer Support</t>
        </is>
      </c>
      <c r="CI598" s="40" t="inlineStr">
        <is>
          <t>Consultant</t>
        </is>
      </c>
      <c r="CJ598" s="40" t="inlineStr">
        <is>
          <t>L3 – Professional / Associate</t>
        </is>
      </c>
      <c r="CK598" s="40" t="inlineStr">
        <is>
          <t>Anushree Aparajit</t>
        </is>
      </c>
      <c r="CL598" s="40" t="inlineStr">
        <is>
          <t>N-5</t>
        </is>
      </c>
      <c r="CM598" s="40" t="inlineStr">
        <is>
          <t>Individual Contributor</t>
        </is>
      </c>
      <c r="CN598" s="40" t="inlineStr">
        <is>
          <t>Regtech</t>
        </is>
      </c>
      <c r="CO598" s="40" t="inlineStr">
        <is>
          <t>Services</t>
        </is>
      </c>
      <c r="CP598" s="40" t="inlineStr">
        <is>
          <t>3 years, 1 months, 15 days</t>
        </is>
      </c>
      <c r="CQ598" s="40" t="n"/>
      <c r="CR598" s="40" t="n"/>
      <c r="CS598" s="40" t="n"/>
      <c r="CT598" s="40" t="n"/>
      <c r="CU598" s="40" t="n"/>
      <c r="CV598" s="40" t="n"/>
      <c r="CW598" s="40" t="n"/>
      <c r="CX598" s="40" t="n"/>
      <c r="CY598" s="40" t="n"/>
      <c r="CZ598" s="40" t="n"/>
      <c r="DA598" s="40" t="n"/>
      <c r="DB598" s="40" t="inlineStr">
        <is>
          <t>She is not part of Assisted services team and currently working with CEM · Anushree team.</t>
        </is>
      </c>
      <c r="DC598" s="40" t="n"/>
      <c r="DD598" s="40" t="n"/>
      <c r="DE598" s="40" t="n"/>
      <c r="DF598" s="40" t="n"/>
      <c r="DG598" s="40" t="n"/>
      <c r="DH598" s="40" t="n"/>
      <c r="DI598" s="40" t="n"/>
      <c r="DJ598" s="40" t="n"/>
      <c r="DK598" s="40" t="n"/>
      <c r="DL598" s="40" t="n"/>
      <c r="DM598" s="40" t="n"/>
      <c r="DN598" s="40" t="n"/>
      <c r="DO598" s="40" t="n"/>
      <c r="DP598" s="40" t="n"/>
      <c r="DQ598" s="40" t="n"/>
      <c r="DR598" s="40" t="n"/>
      <c r="DS598" s="40" t="n"/>
      <c r="DT598" s="40" t="n"/>
      <c r="DU598" s="40" t="n"/>
      <c r="DV598" s="40" t="n"/>
      <c r="DW598" s="40" t="n"/>
      <c r="DX598" s="40" t="n"/>
      <c r="DY598" s="40" t="n"/>
      <c r="DZ598" s="40" t="n"/>
      <c r="EA598" s="40" t="n"/>
      <c r="EB598" s="40" t="n"/>
      <c r="EC598" s="40" t="n"/>
      <c r="ED598" s="40" t="n"/>
      <c r="EE598" s="40" t="n"/>
      <c r="EF598" s="40" t="n"/>
      <c r="EG598" s="40" t="n"/>
      <c r="EH598" s="40" t="n"/>
      <c r="EI598" s="40" t="n"/>
      <c r="EJ598" s="40" t="n"/>
      <c r="EK598" s="40" t="n"/>
      <c r="EL598" s="40" t="n"/>
      <c r="EM598" s="40" t="n"/>
      <c r="EN598" s="40" t="n"/>
      <c r="EO598" s="40" t="n"/>
      <c r="EP598" s="40" t="n"/>
      <c r="EQ598" s="40" t="n"/>
      <c r="ER598" s="40" t="n"/>
      <c r="ES598" s="40" t="n"/>
      <c r="ET598" s="40" t="n"/>
      <c r="EU598" s="40" t="n"/>
      <c r="EV598" s="40" t="n"/>
      <c r="EW598" s="40" t="n"/>
      <c r="EX598" s="40" t="n"/>
      <c r="EY598" s="40" t="n"/>
      <c r="EZ598" s="40" t="n"/>
      <c r="FA598" s="40" t="n"/>
      <c r="FB598" s="40" t="n"/>
      <c r="FC598" s="40" t="n"/>
      <c r="FD598" s="40" t="n"/>
    </row>
    <row r="599" ht="60" customHeight="1">
      <c r="A599" s="58" t="n"/>
      <c r="B599" s="59" t="inlineStr">
        <is>
          <t>NOT YET MAPPED</t>
        </is>
      </c>
      <c r="C599" s="40" t="inlineStr">
        <is>
          <t>CARBON</t>
        </is>
      </c>
      <c r="D599" s="40" t="inlineStr">
        <is>
          <t>IRISC336</t>
        </is>
      </c>
      <c r="E599" s="40" t="inlineStr">
        <is>
          <t>Shweta Sanjay Vardhamane</t>
        </is>
      </c>
      <c r="F599" s="40" t="n"/>
      <c r="G599" s="40" t="n"/>
      <c r="H599" s="40" t="n"/>
      <c r="I599" s="40" t="n"/>
      <c r="J599" s="40" t="n"/>
      <c r="K599" s="40" t="n"/>
      <c r="L599" s="40" t="n"/>
      <c r="M599" s="40" t="n"/>
      <c r="N599" s="40" t="n"/>
      <c r="O599" s="40" t="n"/>
      <c r="P599" s="40" t="n"/>
      <c r="Q599" s="40" t="n"/>
      <c r="R599" s="40" t="n"/>
      <c r="S599" s="40" t="n"/>
      <c r="T599" s="40" t="n"/>
      <c r="U599" s="40" t="n"/>
      <c r="V599" s="40" t="n"/>
      <c r="W599" s="40" t="n"/>
      <c r="X599" s="40" t="n"/>
      <c r="Y599" s="40" t="n"/>
      <c r="Z599" s="40" t="n"/>
      <c r="AA599" s="40" t="n"/>
      <c r="AB599" s="40" t="n"/>
      <c r="AC599" s="40" t="n"/>
      <c r="AD599" s="40" t="n"/>
      <c r="AE599" s="40" t="n"/>
      <c r="AF599" s="40" t="n"/>
      <c r="AG599" s="40" t="n"/>
      <c r="AH599" s="40" t="n"/>
      <c r="AI599" s="40" t="n"/>
      <c r="AJ599" s="40" t="n"/>
      <c r="AK599" s="40" t="n"/>
      <c r="AL599" s="40" t="n"/>
      <c r="AM599" s="40" t="n"/>
      <c r="AN599" s="40" t="n"/>
      <c r="AO599" s="40" t="n"/>
      <c r="AP599" s="40" t="n"/>
      <c r="AQ599" s="40" t="n"/>
      <c r="AR599" s="40" t="n"/>
      <c r="AS599" s="40" t="n"/>
      <c r="AT599" s="40" t="n"/>
      <c r="AU599" s="40" t="n"/>
      <c r="AV599" s="40" t="n"/>
      <c r="AW599" s="40" t="n"/>
      <c r="AX599" s="40" t="n"/>
      <c r="AY599" s="40" t="n"/>
      <c r="AZ599" s="40" t="n"/>
      <c r="BA599" s="40" t="n"/>
      <c r="BB599" s="40" t="n"/>
      <c r="BC599" s="40" t="n"/>
      <c r="BD599" s="40" t="n"/>
      <c r="BE599" s="40" t="n"/>
      <c r="BF599" s="40" t="n"/>
      <c r="BG599" s="40" t="n"/>
      <c r="BH599" s="40" t="n"/>
      <c r="BI599" s="40" t="n"/>
      <c r="BJ599" s="40" t="n"/>
      <c r="BK599" s="40" t="n"/>
      <c r="BL599" s="40" t="n"/>
      <c r="BM599" s="40" t="n"/>
      <c r="BN599" s="40" t="n"/>
      <c r="BO599" s="40" t="n"/>
      <c r="BP599" s="40" t="n"/>
      <c r="BQ599" s="40" t="n"/>
      <c r="BR599" s="40" t="n"/>
      <c r="BS599" s="40" t="n"/>
      <c r="BT599" s="40" t="n"/>
      <c r="BU599" s="40" t="n"/>
      <c r="BV599" s="40" t="n"/>
      <c r="BW599" s="40" t="n"/>
      <c r="BX599" s="40" t="n"/>
      <c r="BY599" s="40" t="n"/>
      <c r="BZ599" s="40" t="inlineStr">
        <is>
          <t>IRISC336</t>
        </is>
      </c>
      <c r="CA599" s="40" t="inlineStr">
        <is>
          <t>On Contract</t>
        </is>
      </c>
      <c r="CB599" s="40" t="inlineStr">
        <is>
          <t>Active</t>
        </is>
      </c>
      <c r="CC599" s="40" t="inlineStr">
        <is>
          <t>Shweta Sanjay Vardhamane</t>
        </is>
      </c>
      <c r="CD599" s="40" t="inlineStr">
        <is>
          <t>22 Jan 2026</t>
        </is>
      </c>
      <c r="CE599" s="40" t="inlineStr">
        <is>
          <t>Consultant</t>
        </is>
      </c>
      <c r="CF599" s="40" t="n"/>
      <c r="CG599" s="40" t="inlineStr">
        <is>
          <t>Professional Services</t>
        </is>
      </c>
      <c r="CH599" s="40" t="inlineStr">
        <is>
          <t>Digitization &amp; Image Processing</t>
        </is>
      </c>
      <c r="CI599" s="40" t="inlineStr">
        <is>
          <t>Consultant</t>
        </is>
      </c>
      <c r="CJ599" s="40" t="inlineStr">
        <is>
          <t>L3 – Professional / Associate</t>
        </is>
      </c>
      <c r="CK599" s="40" t="inlineStr">
        <is>
          <t>Shraddha Patil</t>
        </is>
      </c>
      <c r="CL599" s="40" t="inlineStr">
        <is>
          <t>N-7</t>
        </is>
      </c>
      <c r="CM599" s="40" t="inlineStr">
        <is>
          <t>Individual Contributor</t>
        </is>
      </c>
      <c r="CN599" s="40" t="inlineStr">
        <is>
          <t>Consume</t>
        </is>
      </c>
      <c r="CO599" s="40" t="inlineStr">
        <is>
          <t>Digitizing</t>
        </is>
      </c>
      <c r="CP599" s="40" t="inlineStr">
        <is>
          <t>0 years, 10 months, 29 days</t>
        </is>
      </c>
      <c r="CQ599" s="40" t="inlineStr">
        <is>
          <t>Consultant</t>
        </is>
      </c>
      <c r="CR599" s="40" t="n"/>
      <c r="CS599" s="40" t="inlineStr">
        <is>
          <t>3</t>
        </is>
      </c>
      <c r="CT599" s="40" t="inlineStr">
        <is>
          <t>Medium</t>
        </is>
      </c>
      <c r="CU599" s="40" t="inlineStr">
        <is>
          <t>Core Contributor</t>
        </is>
      </c>
      <c r="CV599" s="40" t="inlineStr">
        <is>
          <t>No</t>
        </is>
      </c>
      <c r="CW599" s="40" t="inlineStr">
        <is>
          <t>No</t>
        </is>
      </c>
      <c r="CX599" s="40" t="inlineStr">
        <is>
          <t>No</t>
        </is>
      </c>
      <c r="CY599" s="40" t="n"/>
      <c r="CZ599" s="40" t="n"/>
      <c r="DA599" s="40" t="n"/>
      <c r="DB599" s="40" t="inlineStr">
        <is>
          <t>Will release on 31st July 2026</t>
        </is>
      </c>
      <c r="DC599" s="40" t="n"/>
      <c r="DD599" s="40" t="n"/>
      <c r="DE599" s="40" t="n"/>
      <c r="DF599" s="40" t="n"/>
      <c r="DG599" s="40" t="n"/>
      <c r="DH599" s="40" t="n"/>
      <c r="DI599" s="40" t="n"/>
      <c r="DJ599" s="40" t="n"/>
      <c r="DK599" s="40" t="n"/>
      <c r="DL599" s="40" t="n"/>
      <c r="DM599" s="40" t="n"/>
      <c r="DN599" s="40" t="n"/>
      <c r="DO599" s="40" t="n"/>
      <c r="DP599" s="40" t="n"/>
      <c r="DQ599" s="40" t="n"/>
      <c r="DR599" s="40" t="n"/>
      <c r="DS599" s="40" t="n"/>
      <c r="DT599" s="40" t="n"/>
      <c r="DU599" s="40" t="n"/>
      <c r="DV599" s="40" t="n"/>
      <c r="DW599" s="40" t="n"/>
      <c r="DX599" s="40" t="n"/>
      <c r="DY599" s="40" t="n"/>
      <c r="DZ599" s="40" t="n"/>
      <c r="EA599" s="40" t="n"/>
      <c r="EB599" s="40" t="n"/>
      <c r="EC599" s="40" t="n"/>
      <c r="ED599" s="40" t="n"/>
      <c r="EE599" s="40" t="n"/>
      <c r="EF599" s="40" t="n"/>
      <c r="EG599" s="40" t="n"/>
      <c r="EH599" s="40" t="n"/>
      <c r="EI599" s="40" t="n"/>
      <c r="EJ599" s="40" t="n"/>
      <c r="EK599" s="40" t="n"/>
      <c r="EL599" s="40" t="n"/>
      <c r="EM599" s="40" t="n"/>
      <c r="EN599" s="40" t="n"/>
      <c r="EO599" s="40" t="n"/>
      <c r="EP599" s="40" t="n"/>
      <c r="EQ599" s="40" t="n"/>
      <c r="ER599" s="40" t="n"/>
      <c r="ES599" s="40" t="n"/>
      <c r="ET599" s="40" t="n"/>
      <c r="EU599" s="40" t="n"/>
      <c r="EV599" s="40" t="n"/>
      <c r="EW599" s="40" t="n"/>
      <c r="EX599" s="40" t="n"/>
      <c r="EY599" s="40" t="n"/>
      <c r="EZ599" s="40" t="n"/>
      <c r="FA599" s="40" t="n"/>
      <c r="FB599" s="40" t="n"/>
      <c r="FC599" s="40" t="n"/>
      <c r="FD599" s="40" t="n"/>
    </row>
    <row r="600" ht="60" customHeight="1">
      <c r="A600" s="58" t="n"/>
      <c r="B600" s="59" t="inlineStr">
        <is>
          <t>NOT YET MAPPED</t>
        </is>
      </c>
      <c r="C600" s="40" t="inlineStr">
        <is>
          <t>CARBON</t>
        </is>
      </c>
      <c r="D600" s="40" t="inlineStr">
        <is>
          <t>IRISC340</t>
        </is>
      </c>
      <c r="E600" s="40" t="inlineStr">
        <is>
          <t>Sahil Sham Girkar</t>
        </is>
      </c>
      <c r="F600" s="40" t="n"/>
      <c r="G600" s="40" t="n"/>
      <c r="H600" s="40" t="n"/>
      <c r="I600" s="40" t="n"/>
      <c r="J600" s="40" t="n"/>
      <c r="K600" s="40" t="n"/>
      <c r="L600" s="40" t="n"/>
      <c r="M600" s="40" t="n"/>
      <c r="N600" s="40" t="n"/>
      <c r="O600" s="40" t="n"/>
      <c r="P600" s="40" t="n"/>
      <c r="Q600" s="40" t="n"/>
      <c r="R600" s="40" t="n"/>
      <c r="S600" s="40" t="n"/>
      <c r="T600" s="40" t="n"/>
      <c r="U600" s="40" t="n"/>
      <c r="V600" s="40" t="n"/>
      <c r="W600" s="40" t="n"/>
      <c r="X600" s="40" t="n"/>
      <c r="Y600" s="40" t="n"/>
      <c r="Z600" s="40" t="n"/>
      <c r="AA600" s="40" t="n"/>
      <c r="AB600" s="40" t="n"/>
      <c r="AC600" s="40" t="n"/>
      <c r="AD600" s="40" t="n"/>
      <c r="AE600" s="40" t="n"/>
      <c r="AF600" s="40" t="n"/>
      <c r="AG600" s="40" t="n"/>
      <c r="AH600" s="40" t="n"/>
      <c r="AI600" s="40" t="n"/>
      <c r="AJ600" s="40" t="n"/>
      <c r="AK600" s="40" t="n"/>
      <c r="AL600" s="40" t="n"/>
      <c r="AM600" s="40" t="n"/>
      <c r="AN600" s="40" t="n"/>
      <c r="AO600" s="40" t="n"/>
      <c r="AP600" s="40" t="n"/>
      <c r="AQ600" s="40" t="n"/>
      <c r="AR600" s="40" t="n"/>
      <c r="AS600" s="40" t="n"/>
      <c r="AT600" s="40" t="n"/>
      <c r="AU600" s="40" t="n"/>
      <c r="AV600" s="40" t="n"/>
      <c r="AW600" s="40" t="n"/>
      <c r="AX600" s="40" t="n"/>
      <c r="AY600" s="40" t="n"/>
      <c r="AZ600" s="40" t="n"/>
      <c r="BA600" s="40" t="n"/>
      <c r="BB600" s="40" t="n"/>
      <c r="BC600" s="40" t="n"/>
      <c r="BD600" s="40" t="n"/>
      <c r="BE600" s="40" t="n"/>
      <c r="BF600" s="40" t="n"/>
      <c r="BG600" s="40" t="n"/>
      <c r="BH600" s="40" t="n"/>
      <c r="BI600" s="40" t="n"/>
      <c r="BJ600" s="40" t="n"/>
      <c r="BK600" s="40" t="n"/>
      <c r="BL600" s="40" t="n"/>
      <c r="BM600" s="40" t="n"/>
      <c r="BN600" s="40" t="n"/>
      <c r="BO600" s="40" t="n"/>
      <c r="BP600" s="40" t="n"/>
      <c r="BQ600" s="40" t="n"/>
      <c r="BR600" s="40" t="n"/>
      <c r="BS600" s="40" t="n"/>
      <c r="BT600" s="40" t="n"/>
      <c r="BU600" s="40" t="n"/>
      <c r="BV600" s="40" t="n"/>
      <c r="BW600" s="40" t="n"/>
      <c r="BX600" s="40" t="n"/>
      <c r="BY600" s="40" t="n"/>
      <c r="BZ600" s="40" t="inlineStr">
        <is>
          <t>IRISC340</t>
        </is>
      </c>
      <c r="CA600" s="40" t="inlineStr">
        <is>
          <t>On Contract</t>
        </is>
      </c>
      <c r="CB600" s="40" t="inlineStr">
        <is>
          <t>Active</t>
        </is>
      </c>
      <c r="CC600" s="40" t="inlineStr">
        <is>
          <t>Sahil Sham Girkar</t>
        </is>
      </c>
      <c r="CD600" s="40" t="inlineStr">
        <is>
          <t>02 Feb 2026</t>
        </is>
      </c>
      <c r="CE600" s="40" t="inlineStr">
        <is>
          <t>Consultant</t>
        </is>
      </c>
      <c r="CF600" s="40" t="n"/>
      <c r="CG600" s="40" t="inlineStr">
        <is>
          <t>Professional Services</t>
        </is>
      </c>
      <c r="CH600" s="40" t="inlineStr">
        <is>
          <t>Digitization &amp; Image Processing</t>
        </is>
      </c>
      <c r="CI600" s="40" t="inlineStr">
        <is>
          <t>Consultant</t>
        </is>
      </c>
      <c r="CJ600" s="40" t="inlineStr">
        <is>
          <t>L3 – Professional / Associate</t>
        </is>
      </c>
      <c r="CK600" s="40" t="inlineStr">
        <is>
          <t>Shraddha Patil</t>
        </is>
      </c>
      <c r="CL600" s="40" t="inlineStr">
        <is>
          <t>N-7</t>
        </is>
      </c>
      <c r="CM600" s="40" t="inlineStr">
        <is>
          <t>Individual Contributor</t>
        </is>
      </c>
      <c r="CN600" s="40" t="inlineStr">
        <is>
          <t>Consume</t>
        </is>
      </c>
      <c r="CO600" s="40" t="inlineStr">
        <is>
          <t>Digitizing</t>
        </is>
      </c>
      <c r="CP600" s="40" t="inlineStr">
        <is>
          <t>0 years, 4 months, 18 days</t>
        </is>
      </c>
      <c r="CQ600" s="40" t="inlineStr">
        <is>
          <t>Consultant</t>
        </is>
      </c>
      <c r="CR600" s="40" t="n"/>
      <c r="CS600" s="40" t="inlineStr">
        <is>
          <t>3</t>
        </is>
      </c>
      <c r="CT600" s="40" t="inlineStr">
        <is>
          <t>Medium</t>
        </is>
      </c>
      <c r="CU600" s="40" t="inlineStr">
        <is>
          <t>Core Contributor</t>
        </is>
      </c>
      <c r="CV600" s="40" t="inlineStr">
        <is>
          <t>No</t>
        </is>
      </c>
      <c r="CW600" s="40" t="inlineStr">
        <is>
          <t>No</t>
        </is>
      </c>
      <c r="CX600" s="40" t="inlineStr">
        <is>
          <t>No</t>
        </is>
      </c>
      <c r="CY600" s="40" t="n"/>
      <c r="CZ600" s="40" t="n"/>
      <c r="DA600" s="40" t="n"/>
      <c r="DB600" s="40" t="inlineStr">
        <is>
          <t>Will release on 31st July 2026</t>
        </is>
      </c>
      <c r="DC600" s="40" t="n"/>
      <c r="DD600" s="40" t="n"/>
      <c r="DE600" s="40" t="n"/>
      <c r="DF600" s="40" t="n"/>
      <c r="DG600" s="40" t="n"/>
      <c r="DH600" s="40" t="n"/>
      <c r="DI600" s="40" t="n"/>
      <c r="DJ600" s="40" t="n"/>
      <c r="DK600" s="40" t="n"/>
      <c r="DL600" s="40" t="n"/>
      <c r="DM600" s="40" t="n"/>
      <c r="DN600" s="40" t="n"/>
      <c r="DO600" s="40" t="n"/>
      <c r="DP600" s="40" t="n"/>
      <c r="DQ600" s="40" t="n"/>
      <c r="DR600" s="40" t="n"/>
      <c r="DS600" s="40" t="n"/>
      <c r="DT600" s="40" t="n"/>
      <c r="DU600" s="40" t="n"/>
      <c r="DV600" s="40" t="n"/>
      <c r="DW600" s="40" t="n"/>
      <c r="DX600" s="40" t="n"/>
      <c r="DY600" s="40" t="n"/>
      <c r="DZ600" s="40" t="n"/>
      <c r="EA600" s="40" t="n"/>
      <c r="EB600" s="40" t="n"/>
      <c r="EC600" s="40" t="n"/>
      <c r="ED600" s="40" t="n"/>
      <c r="EE600" s="40" t="n"/>
      <c r="EF600" s="40" t="n"/>
      <c r="EG600" s="40" t="n"/>
      <c r="EH600" s="40" t="n"/>
      <c r="EI600" s="40" t="n"/>
      <c r="EJ600" s="40" t="n"/>
      <c r="EK600" s="40" t="n"/>
      <c r="EL600" s="40" t="n"/>
      <c r="EM600" s="40" t="n"/>
      <c r="EN600" s="40" t="n"/>
      <c r="EO600" s="40" t="n"/>
      <c r="EP600" s="40" t="n"/>
      <c r="EQ600" s="40" t="n"/>
      <c r="ER600" s="40" t="n"/>
      <c r="ES600" s="40" t="n"/>
      <c r="ET600" s="40" t="n"/>
      <c r="EU600" s="40" t="n"/>
      <c r="EV600" s="40" t="n"/>
      <c r="EW600" s="40" t="n"/>
      <c r="EX600" s="40" t="n"/>
      <c r="EY600" s="40" t="n"/>
      <c r="EZ600" s="40" t="n"/>
      <c r="FA600" s="40" t="n"/>
      <c r="FB600" s="40" t="n"/>
      <c r="FC600" s="40" t="n"/>
      <c r="FD600" s="40" t="n"/>
    </row>
    <row r="601" ht="60" customHeight="1">
      <c r="A601" s="58" t="n"/>
      <c r="B601" s="59" t="inlineStr">
        <is>
          <t>NOT YET MAPPED</t>
        </is>
      </c>
      <c r="C601" s="40" t="inlineStr">
        <is>
          <t>CARBON</t>
        </is>
      </c>
      <c r="D601" s="40" t="inlineStr">
        <is>
          <t>IRISC333</t>
        </is>
      </c>
      <c r="E601" s="40" t="inlineStr">
        <is>
          <t>Ayush Sanas</t>
        </is>
      </c>
      <c r="F601" s="40" t="n"/>
      <c r="G601" s="40" t="n"/>
      <c r="H601" s="40" t="n"/>
      <c r="I601" s="40" t="n"/>
      <c r="J601" s="40" t="n"/>
      <c r="K601" s="40" t="n"/>
      <c r="L601" s="40" t="n"/>
      <c r="M601" s="40" t="n"/>
      <c r="N601" s="40" t="n"/>
      <c r="O601" s="40" t="n"/>
      <c r="P601" s="40" t="n"/>
      <c r="Q601" s="40" t="n"/>
      <c r="R601" s="40" t="n"/>
      <c r="S601" s="40" t="n"/>
      <c r="T601" s="40" t="n"/>
      <c r="U601" s="40" t="n"/>
      <c r="V601" s="40" t="n"/>
      <c r="W601" s="40" t="n"/>
      <c r="X601" s="40" t="n"/>
      <c r="Y601" s="40" t="n"/>
      <c r="Z601" s="40" t="n"/>
      <c r="AA601" s="40" t="n"/>
      <c r="AB601" s="40" t="n"/>
      <c r="AC601" s="40" t="n"/>
      <c r="AD601" s="40" t="n"/>
      <c r="AE601" s="40" t="n"/>
      <c r="AF601" s="40" t="n"/>
      <c r="AG601" s="40" t="n"/>
      <c r="AH601" s="40" t="n"/>
      <c r="AI601" s="40" t="n"/>
      <c r="AJ601" s="40" t="n"/>
      <c r="AK601" s="40" t="n"/>
      <c r="AL601" s="40" t="n"/>
      <c r="AM601" s="40" t="n"/>
      <c r="AN601" s="40" t="n"/>
      <c r="AO601" s="40" t="n"/>
      <c r="AP601" s="40" t="n"/>
      <c r="AQ601" s="40" t="n"/>
      <c r="AR601" s="40" t="n"/>
      <c r="AS601" s="40" t="n"/>
      <c r="AT601" s="40" t="n"/>
      <c r="AU601" s="40" t="n"/>
      <c r="AV601" s="40" t="n"/>
      <c r="AW601" s="40" t="n"/>
      <c r="AX601" s="40" t="n"/>
      <c r="AY601" s="40" t="n"/>
      <c r="AZ601" s="40" t="n"/>
      <c r="BA601" s="40" t="n"/>
      <c r="BB601" s="40" t="n"/>
      <c r="BC601" s="40" t="n"/>
      <c r="BD601" s="40" t="n"/>
      <c r="BE601" s="40" t="n"/>
      <c r="BF601" s="40" t="n"/>
      <c r="BG601" s="40" t="n"/>
      <c r="BH601" s="40" t="n"/>
      <c r="BI601" s="40" t="n"/>
      <c r="BJ601" s="40" t="n"/>
      <c r="BK601" s="40" t="n"/>
      <c r="BL601" s="40" t="n"/>
      <c r="BM601" s="40" t="n"/>
      <c r="BN601" s="40" t="n"/>
      <c r="BO601" s="40" t="n"/>
      <c r="BP601" s="40" t="n"/>
      <c r="BQ601" s="40" t="n"/>
      <c r="BR601" s="40" t="n"/>
      <c r="BS601" s="40" t="n"/>
      <c r="BT601" s="40" t="n"/>
      <c r="BU601" s="40" t="n"/>
      <c r="BV601" s="40" t="n"/>
      <c r="BW601" s="40" t="n"/>
      <c r="BX601" s="40" t="n"/>
      <c r="BY601" s="40" t="n"/>
      <c r="BZ601" s="40" t="inlineStr">
        <is>
          <t>IRISC333</t>
        </is>
      </c>
      <c r="CA601" s="40" t="inlineStr">
        <is>
          <t>On Contract</t>
        </is>
      </c>
      <c r="CB601" s="40" t="inlineStr">
        <is>
          <t>Active</t>
        </is>
      </c>
      <c r="CC601" s="40" t="inlineStr">
        <is>
          <t>Ayush Sanas</t>
        </is>
      </c>
      <c r="CD601" s="40" t="inlineStr">
        <is>
          <t>12 Jan 2026</t>
        </is>
      </c>
      <c r="CE601" s="40" t="inlineStr">
        <is>
          <t>Consultant</t>
        </is>
      </c>
      <c r="CF601" s="40" t="n"/>
      <c r="CG601" s="40" t="inlineStr">
        <is>
          <t>Professional Services</t>
        </is>
      </c>
      <c r="CH601" s="40" t="inlineStr">
        <is>
          <t>Digitization &amp; Image Processing</t>
        </is>
      </c>
      <c r="CI601" s="40" t="inlineStr">
        <is>
          <t>Consultant</t>
        </is>
      </c>
      <c r="CJ601" s="40" t="inlineStr">
        <is>
          <t>L3 – Professional / Associate</t>
        </is>
      </c>
      <c r="CK601" s="40" t="inlineStr">
        <is>
          <t>Dinesh Sharma</t>
        </is>
      </c>
      <c r="CL601" s="40" t="inlineStr">
        <is>
          <t>N-7</t>
        </is>
      </c>
      <c r="CM601" s="40" t="inlineStr">
        <is>
          <t>Individual Contributor</t>
        </is>
      </c>
      <c r="CN601" s="40" t="inlineStr">
        <is>
          <t>Regtech</t>
        </is>
      </c>
      <c r="CO601" s="40" t="inlineStr">
        <is>
          <t>Digitizing</t>
        </is>
      </c>
      <c r="CP601" s="40" t="inlineStr">
        <is>
          <t>0 years, 5 months, 8 days</t>
        </is>
      </c>
      <c r="CQ601" s="40" t="inlineStr">
        <is>
          <t>Consultant</t>
        </is>
      </c>
      <c r="CR601" s="40" t="n"/>
      <c r="CS601" s="40" t="inlineStr">
        <is>
          <t>1</t>
        </is>
      </c>
      <c r="CT601" s="40" t="inlineStr">
        <is>
          <t>Low</t>
        </is>
      </c>
      <c r="CU601" s="40" t="inlineStr">
        <is>
          <t>Core Contributor</t>
        </is>
      </c>
      <c r="CV601" s="40" t="inlineStr">
        <is>
          <t>No</t>
        </is>
      </c>
      <c r="CW601" s="40" t="inlineStr">
        <is>
          <t>No</t>
        </is>
      </c>
      <c r="CX601" s="40" t="inlineStr">
        <is>
          <t>No</t>
        </is>
      </c>
      <c r="CY601" s="40" t="n"/>
      <c r="CZ601" s="40" t="n"/>
      <c r="DA601" s="40" t="n"/>
      <c r="DB601" s="40" t="n"/>
      <c r="DC601" s="40" t="n"/>
      <c r="DD601" s="40" t="n"/>
      <c r="DE601" s="40" t="n"/>
      <c r="DF601" s="40" t="n"/>
      <c r="DG601" s="40" t="n"/>
      <c r="DH601" s="40" t="n"/>
      <c r="DI601" s="40" t="n"/>
      <c r="DJ601" s="40" t="n"/>
      <c r="DK601" s="40" t="n"/>
      <c r="DL601" s="40" t="n"/>
      <c r="DM601" s="40" t="n"/>
      <c r="DN601" s="40" t="n"/>
      <c r="DO601" s="40" t="n"/>
      <c r="DP601" s="40" t="n"/>
      <c r="DQ601" s="40" t="n"/>
      <c r="DR601" s="40" t="n"/>
      <c r="DS601" s="40" t="n"/>
      <c r="DT601" s="40" t="n"/>
      <c r="DU601" s="40" t="n"/>
      <c r="DV601" s="40" t="n"/>
      <c r="DW601" s="40" t="n"/>
      <c r="DX601" s="40" t="n"/>
      <c r="DY601" s="40" t="n"/>
      <c r="DZ601" s="40" t="n"/>
      <c r="EA601" s="40" t="n"/>
      <c r="EB601" s="40" t="n"/>
      <c r="EC601" s="40" t="n"/>
      <c r="ED601" s="40" t="n"/>
      <c r="EE601" s="40" t="n"/>
      <c r="EF601" s="40" t="n"/>
      <c r="EG601" s="40" t="n"/>
      <c r="EH601" s="40" t="n"/>
      <c r="EI601" s="40" t="n"/>
      <c r="EJ601" s="40" t="n"/>
      <c r="EK601" s="40" t="n"/>
      <c r="EL601" s="40" t="n"/>
      <c r="EM601" s="40" t="n"/>
      <c r="EN601" s="40" t="n"/>
      <c r="EO601" s="40" t="n"/>
      <c r="EP601" s="40" t="n"/>
      <c r="EQ601" s="40" t="n"/>
      <c r="ER601" s="40" t="n"/>
      <c r="ES601" s="40" t="n"/>
      <c r="ET601" s="40" t="n"/>
      <c r="EU601" s="40" t="n"/>
      <c r="EV601" s="40" t="n"/>
      <c r="EW601" s="40" t="n"/>
      <c r="EX601" s="40" t="n"/>
      <c r="EY601" s="40" t="n"/>
      <c r="EZ601" s="40" t="n"/>
      <c r="FA601" s="40" t="n"/>
      <c r="FB601" s="40" t="n"/>
      <c r="FC601" s="40" t="n"/>
      <c r="FD601" s="40" t="n"/>
    </row>
    <row r="602" ht="60" customHeight="1">
      <c r="A602" s="58" t="n"/>
      <c r="B602" s="59" t="inlineStr">
        <is>
          <t>NOT YET MAPPED</t>
        </is>
      </c>
      <c r="C602" s="40" t="inlineStr">
        <is>
          <t>CARBON</t>
        </is>
      </c>
      <c r="D602" s="40" t="inlineStr">
        <is>
          <t>IRIS2360</t>
        </is>
      </c>
      <c r="E602" s="40" t="inlineStr">
        <is>
          <t>Yash Bohra</t>
        </is>
      </c>
      <c r="F602" s="40" t="n"/>
      <c r="G602" s="40" t="n"/>
      <c r="H602" s="40" t="n"/>
      <c r="I602" s="40" t="n"/>
      <c r="J602" s="40" t="n"/>
      <c r="K602" s="40" t="n"/>
      <c r="L602" s="40" t="n"/>
      <c r="M602" s="40" t="n"/>
      <c r="N602" s="40" t="n"/>
      <c r="O602" s="40" t="n"/>
      <c r="P602" s="40" t="n"/>
      <c r="Q602" s="40" t="n"/>
      <c r="R602" s="40" t="n"/>
      <c r="S602" s="40" t="n"/>
      <c r="T602" s="40" t="n"/>
      <c r="U602" s="40" t="n"/>
      <c r="V602" s="40" t="n"/>
      <c r="W602" s="40" t="n"/>
      <c r="X602" s="40" t="n"/>
      <c r="Y602" s="40" t="n"/>
      <c r="Z602" s="40" t="n"/>
      <c r="AA602" s="40" t="n"/>
      <c r="AB602" s="40" t="n"/>
      <c r="AC602" s="40" t="n"/>
      <c r="AD602" s="40" t="n"/>
      <c r="AE602" s="40" t="n"/>
      <c r="AF602" s="40" t="n"/>
      <c r="AG602" s="40" t="n"/>
      <c r="AH602" s="40" t="n"/>
      <c r="AI602" s="40" t="n"/>
      <c r="AJ602" s="40" t="n"/>
      <c r="AK602" s="40" t="n"/>
      <c r="AL602" s="40" t="n"/>
      <c r="AM602" s="40" t="n"/>
      <c r="AN602" s="40" t="n"/>
      <c r="AO602" s="40" t="n"/>
      <c r="AP602" s="40" t="n"/>
      <c r="AQ602" s="40" t="n"/>
      <c r="AR602" s="40" t="n"/>
      <c r="AS602" s="40" t="n"/>
      <c r="AT602" s="40" t="n"/>
      <c r="AU602" s="40" t="n"/>
      <c r="AV602" s="40" t="n"/>
      <c r="AW602" s="40" t="n"/>
      <c r="AX602" s="40" t="n"/>
      <c r="AY602" s="40" t="n"/>
      <c r="AZ602" s="40" t="n"/>
      <c r="BA602" s="40" t="n"/>
      <c r="BB602" s="40" t="n"/>
      <c r="BC602" s="40" t="n"/>
      <c r="BD602" s="40" t="n"/>
      <c r="BE602" s="40" t="n"/>
      <c r="BF602" s="40" t="n"/>
      <c r="BG602" s="40" t="n"/>
      <c r="BH602" s="40" t="n"/>
      <c r="BI602" s="40" t="n"/>
      <c r="BJ602" s="40" t="n"/>
      <c r="BK602" s="40" t="n"/>
      <c r="BL602" s="40" t="n"/>
      <c r="BM602" s="40" t="n"/>
      <c r="BN602" s="40" t="n"/>
      <c r="BO602" s="40" t="n"/>
      <c r="BP602" s="40" t="n"/>
      <c r="BQ602" s="40" t="n"/>
      <c r="BR602" s="40" t="n"/>
      <c r="BS602" s="40" t="n"/>
      <c r="BT602" s="40" t="n"/>
      <c r="BU602" s="40" t="n"/>
      <c r="BV602" s="40" t="n"/>
      <c r="BW602" s="40" t="n"/>
      <c r="BX602" s="40" t="n"/>
      <c r="BY602" s="40" t="inlineStr">
        <is>
          <t>Suman Adhikary</t>
        </is>
      </c>
      <c r="BZ602" s="40" t="inlineStr">
        <is>
          <t>IRIS2360</t>
        </is>
      </c>
      <c r="CA602" s="40" t="inlineStr">
        <is>
          <t>Employee</t>
        </is>
      </c>
      <c r="CB602" s="40" t="inlineStr">
        <is>
          <t>Serving Notice</t>
        </is>
      </c>
      <c r="CC602" s="40" t="inlineStr">
        <is>
          <t>Yash Bohra</t>
        </is>
      </c>
      <c r="CD602" s="40" t="inlineStr">
        <is>
          <t>01 Apr 2025</t>
        </is>
      </c>
      <c r="CE602" s="40" t="inlineStr">
        <is>
          <t>Functional Specialist</t>
        </is>
      </c>
      <c r="CF602" s="40" t="inlineStr">
        <is>
          <t>7th Aug LWD :</t>
        </is>
      </c>
      <c r="CG602" s="40" t="inlineStr">
        <is>
          <t>Consulting  Services</t>
        </is>
      </c>
      <c r="CH602" s="40" t="inlineStr">
        <is>
          <t>Financial Reporting Advisory</t>
        </is>
      </c>
      <c r="CI602" s="40" t="inlineStr">
        <is>
          <t>Functional Specialist</t>
        </is>
      </c>
      <c r="CJ602" s="40" t="inlineStr">
        <is>
          <t>L3 – Professional / Associate</t>
        </is>
      </c>
      <c r="CK602" s="40" t="inlineStr">
        <is>
          <t>Priyadarsini Kairali</t>
        </is>
      </c>
      <c r="CL602" s="40" t="inlineStr">
        <is>
          <t>N-5</t>
        </is>
      </c>
      <c r="CM602" s="40" t="inlineStr">
        <is>
          <t>Individual Contributor</t>
        </is>
      </c>
      <c r="CN602" s="40" t="inlineStr">
        <is>
          <t>Regtech</t>
        </is>
      </c>
      <c r="CO602" s="40" t="inlineStr">
        <is>
          <t>Functional</t>
        </is>
      </c>
      <c r="CP602" s="40" t="inlineStr">
        <is>
          <t>4 years, 3 months, 19 days</t>
        </is>
      </c>
      <c r="CQ602" s="40" t="n"/>
      <c r="CR602" s="40" t="n"/>
      <c r="CS602" s="40" t="n"/>
      <c r="CT602" s="40" t="n"/>
      <c r="CU602" s="40" t="n"/>
      <c r="CV602" s="40" t="n"/>
      <c r="CW602" s="40" t="n"/>
      <c r="CX602" s="40" t="n"/>
      <c r="CY602" s="40" t="n"/>
      <c r="CZ602" s="40" t="inlineStr">
        <is>
          <t>Customer success methods; communication &amp; de-escalation; product/domain depth; ticketing &amp; SLA tools</t>
        </is>
      </c>
      <c r="DA602" s="40" t="inlineStr">
        <is>
          <t>Transition to leadership: people management &amp; delegation, mentoring/coaching, project ownership &amp; stakeholder management, prioritisation under ambiguity, presentation &amp; influence skills</t>
        </is>
      </c>
      <c r="DB602" s="40" t="n"/>
      <c r="DC602" s="40" t="n"/>
      <c r="DD602" s="40" t="n"/>
      <c r="DE602" s="40" t="n"/>
      <c r="DF602" s="40" t="n"/>
      <c r="DG602" s="40" t="n"/>
      <c r="DH602" s="40" t="n"/>
      <c r="DI602" s="40" t="n"/>
      <c r="DJ602" s="40" t="n"/>
      <c r="DK602" s="40" t="n"/>
      <c r="DL602" s="40" t="n"/>
      <c r="DM602" s="40" t="n"/>
      <c r="DN602" s="40" t="n"/>
      <c r="DO602" s="40" t="n"/>
      <c r="DP602" s="40" t="n"/>
      <c r="DQ602" s="40" t="n"/>
      <c r="DR602" s="40" t="n"/>
      <c r="DS602" s="40" t="n"/>
      <c r="DT602" s="40" t="n"/>
      <c r="DU602" s="40" t="n"/>
      <c r="DV602" s="40" t="n"/>
      <c r="DW602" s="40" t="n"/>
      <c r="DX602" s="40" t="n"/>
      <c r="DY602" s="40" t="n"/>
      <c r="DZ602" s="40" t="n"/>
      <c r="EA602" s="40" t="n"/>
      <c r="EB602" s="40" t="n"/>
      <c r="EC602" s="40" t="n"/>
      <c r="ED602" s="40" t="n"/>
      <c r="EE602" s="40" t="n"/>
      <c r="EF602" s="40" t="n"/>
      <c r="EG602" s="40" t="n"/>
      <c r="EH602" s="40" t="n"/>
      <c r="EI602" s="40" t="n"/>
      <c r="EJ602" s="40" t="n"/>
      <c r="EK602" s="40" t="n"/>
      <c r="EL602" s="40" t="n"/>
      <c r="EM602" s="40" t="n"/>
      <c r="EN602" s="40" t="n"/>
      <c r="EO602" s="40" t="n"/>
      <c r="EP602" s="40" t="n"/>
      <c r="EQ602" s="40" t="n"/>
      <c r="ER602" s="40" t="n"/>
      <c r="ES602" s="40" t="n"/>
      <c r="ET602" s="40" t="n"/>
      <c r="EU602" s="40" t="n"/>
      <c r="EV602" s="40" t="n"/>
      <c r="EW602" s="40" t="n"/>
      <c r="EX602" s="40" t="n"/>
      <c r="EY602" s="40" t="n"/>
      <c r="EZ602" s="40" t="n"/>
      <c r="FA602" s="40" t="n"/>
      <c r="FB602" s="40" t="n"/>
      <c r="FC602" s="40" t="n"/>
      <c r="FD602" s="40" t="n"/>
    </row>
    <row r="603" ht="60" customHeight="1">
      <c r="A603" s="58" t="n"/>
      <c r="B603" s="59" t="inlineStr">
        <is>
          <t>NOT YET MAPPED</t>
        </is>
      </c>
      <c r="C603" s="40" t="inlineStr">
        <is>
          <t>CARBON</t>
        </is>
      </c>
      <c r="D603" s="40" t="inlineStr">
        <is>
          <t>IRIS2520</t>
        </is>
      </c>
      <c r="E603" s="40" t="inlineStr">
        <is>
          <t>Brahmajith M S</t>
        </is>
      </c>
      <c r="F603" s="40" t="n"/>
      <c r="G603" s="40" t="n"/>
      <c r="H603" s="40" t="n"/>
      <c r="I603" s="40" t="n"/>
      <c r="J603" s="40" t="n"/>
      <c r="K603" s="40" t="n"/>
      <c r="L603" s="40" t="n"/>
      <c r="M603" s="40" t="n"/>
      <c r="N603" s="40" t="n"/>
      <c r="O603" s="40" t="n"/>
      <c r="P603" s="40" t="n"/>
      <c r="Q603" s="40" t="n"/>
      <c r="R603" s="40" t="n"/>
      <c r="S603" s="40" t="n"/>
      <c r="T603" s="40" t="n"/>
      <c r="U603" s="40" t="n"/>
      <c r="V603" s="40" t="n"/>
      <c r="W603" s="40" t="n"/>
      <c r="X603" s="40" t="n"/>
      <c r="Y603" s="40" t="n"/>
      <c r="Z603" s="40" t="n"/>
      <c r="AA603" s="40" t="n"/>
      <c r="AB603" s="40" t="n"/>
      <c r="AC603" s="40" t="n"/>
      <c r="AD603" s="40" t="n"/>
      <c r="AE603" s="40" t="n"/>
      <c r="AF603" s="40" t="n"/>
      <c r="AG603" s="40" t="n"/>
      <c r="AH603" s="40" t="n"/>
      <c r="AI603" s="40" t="n"/>
      <c r="AJ603" s="40" t="n"/>
      <c r="AK603" s="40" t="n"/>
      <c r="AL603" s="40" t="n"/>
      <c r="AM603" s="40" t="n"/>
      <c r="AN603" s="40" t="n"/>
      <c r="AO603" s="40" t="n"/>
      <c r="AP603" s="40" t="n"/>
      <c r="AQ603" s="40" t="n"/>
      <c r="AR603" s="40" t="n"/>
      <c r="AS603" s="40" t="n"/>
      <c r="AT603" s="40" t="n"/>
      <c r="AU603" s="40" t="n"/>
      <c r="AV603" s="40" t="n"/>
      <c r="AW603" s="40" t="n"/>
      <c r="AX603" s="40" t="n"/>
      <c r="AY603" s="40" t="n"/>
      <c r="AZ603" s="40" t="n"/>
      <c r="BA603" s="40" t="n"/>
      <c r="BB603" s="40" t="n"/>
      <c r="BC603" s="40" t="n"/>
      <c r="BD603" s="40" t="n"/>
      <c r="BE603" s="40" t="n"/>
      <c r="BF603" s="40" t="n"/>
      <c r="BG603" s="40" t="n"/>
      <c r="BH603" s="40" t="n"/>
      <c r="BI603" s="40" t="n"/>
      <c r="BJ603" s="40" t="n"/>
      <c r="BK603" s="40" t="n"/>
      <c r="BL603" s="40" t="n"/>
      <c r="BM603" s="40" t="n"/>
      <c r="BN603" s="40" t="n"/>
      <c r="BO603" s="40" t="n"/>
      <c r="BP603" s="40" t="n"/>
      <c r="BQ603" s="40" t="n"/>
      <c r="BR603" s="40" t="n"/>
      <c r="BS603" s="40" t="n"/>
      <c r="BT603" s="40" t="n"/>
      <c r="BU603" s="40" t="n"/>
      <c r="BV603" s="40" t="n"/>
      <c r="BW603" s="40" t="n"/>
      <c r="BX603" s="40" t="n"/>
      <c r="BY603" s="40" t="n"/>
      <c r="BZ603" s="40" t="inlineStr">
        <is>
          <t>IRIS2520</t>
        </is>
      </c>
      <c r="CA603" s="40" t="inlineStr">
        <is>
          <t>Employee</t>
        </is>
      </c>
      <c r="CB603" s="40" t="inlineStr">
        <is>
          <t>Active</t>
        </is>
      </c>
      <c r="CC603" s="40" t="inlineStr">
        <is>
          <t>Brahmajith M S</t>
        </is>
      </c>
      <c r="CD603" s="40" t="inlineStr">
        <is>
          <t>16 Apr 2026</t>
        </is>
      </c>
      <c r="CE603" s="40" t="inlineStr">
        <is>
          <t>ESG Sales and Partner Manager</t>
        </is>
      </c>
      <c r="CF603" s="40" t="inlineStr">
        <is>
          <t>Exited</t>
        </is>
      </c>
      <c r="CG603" s="40" t="inlineStr">
        <is>
          <t>Sales &amp; Business Development</t>
        </is>
      </c>
      <c r="CH603" s="40" t="inlineStr">
        <is>
          <t>ESG Advisory</t>
        </is>
      </c>
      <c r="CI603" s="40" t="inlineStr">
        <is>
          <t>ESG Sales and Partner Manager</t>
        </is>
      </c>
      <c r="CJ603" s="40" t="inlineStr">
        <is>
          <t>L5 – Manager</t>
        </is>
      </c>
      <c r="CK603" s="40" t="inlineStr">
        <is>
          <t>Farzad Wadia</t>
        </is>
      </c>
      <c r="CL603" s="40" t="inlineStr">
        <is>
          <t>N-4</t>
        </is>
      </c>
      <c r="CM603" s="40" t="inlineStr">
        <is>
          <t>Individual Contributor</t>
        </is>
      </c>
      <c r="CN603" s="40" t="inlineStr">
        <is>
          <t>Regtech</t>
        </is>
      </c>
      <c r="CO603" s="40" t="inlineStr">
        <is>
          <t>Sales</t>
        </is>
      </c>
      <c r="CP603" s="40" t="inlineStr">
        <is>
          <t>5 years, 9 months, 4 days</t>
        </is>
      </c>
      <c r="CQ603" s="40" t="inlineStr">
        <is>
          <t>ESG Sales and Partner Manager</t>
        </is>
      </c>
      <c r="CR603" s="40" t="inlineStr">
        <is>
          <t>No</t>
        </is>
      </c>
      <c r="CS603" s="40" t="inlineStr">
        <is>
          <t>2</t>
        </is>
      </c>
      <c r="CT603" s="40" t="inlineStr">
        <is>
          <t>Low</t>
        </is>
      </c>
      <c r="CU603" s="40" t="inlineStr">
        <is>
          <t>Underperformer / Exit Risk</t>
        </is>
      </c>
      <c r="CV603" s="40" t="inlineStr">
        <is>
          <t>No</t>
        </is>
      </c>
      <c r="CW603" s="40" t="inlineStr">
        <is>
          <t>No</t>
        </is>
      </c>
      <c r="CX603" s="40" t="inlineStr">
        <is>
          <t>Yes</t>
        </is>
      </c>
      <c r="CY603" s="40" t="n"/>
      <c r="CZ603" s="40" t="inlineStr">
        <is>
          <t>-None at this time</t>
        </is>
      </c>
      <c r="DA603" s="40" t="n"/>
      <c r="DB603" s="40" t="inlineStr">
        <is>
          <t>Left</t>
        </is>
      </c>
      <c r="DC603" s="40" t="n"/>
      <c r="DD603" s="40" t="n"/>
      <c r="DE603" s="40" t="n"/>
      <c r="DF603" s="40" t="n"/>
      <c r="DG603" s="40" t="n"/>
      <c r="DH603" s="40" t="n"/>
      <c r="DI603" s="40" t="n"/>
      <c r="DJ603" s="40" t="n"/>
      <c r="DK603" s="40" t="n"/>
      <c r="DL603" s="40" t="n"/>
      <c r="DM603" s="40" t="n"/>
      <c r="DN603" s="40" t="n"/>
      <c r="DO603" s="40" t="n"/>
      <c r="DP603" s="40" t="n"/>
      <c r="DQ603" s="40" t="n"/>
      <c r="DR603" s="40" t="n"/>
      <c r="DS603" s="40" t="n"/>
      <c r="DT603" s="40" t="n"/>
      <c r="DU603" s="40" t="n"/>
      <c r="DV603" s="40" t="n"/>
      <c r="DW603" s="40" t="n"/>
      <c r="DX603" s="40" t="n"/>
      <c r="DY603" s="40" t="n"/>
      <c r="DZ603" s="40" t="n"/>
      <c r="EA603" s="40" t="n"/>
      <c r="EB603" s="40" t="n"/>
      <c r="EC603" s="40" t="n"/>
      <c r="ED603" s="40" t="n"/>
      <c r="EE603" s="40" t="n"/>
      <c r="EF603" s="40" t="n"/>
      <c r="EG603" s="40" t="n"/>
      <c r="EH603" s="40" t="n"/>
      <c r="EI603" s="40" t="n"/>
      <c r="EJ603" s="40" t="n"/>
      <c r="EK603" s="40" t="n"/>
      <c r="EL603" s="40" t="n"/>
      <c r="EM603" s="40" t="n"/>
      <c r="EN603" s="40" t="n"/>
      <c r="EO603" s="40" t="n"/>
      <c r="EP603" s="40" t="n"/>
      <c r="EQ603" s="40" t="n"/>
      <c r="ER603" s="40" t="n"/>
      <c r="ES603" s="40" t="n"/>
      <c r="ET603" s="40" t="n"/>
      <c r="EU603" s="40" t="n"/>
      <c r="EV603" s="40" t="n"/>
      <c r="EW603" s="40" t="n"/>
      <c r="EX603" s="40" t="n"/>
      <c r="EY603" s="40" t="n"/>
      <c r="EZ603" s="40" t="n"/>
      <c r="FA603" s="40" t="n"/>
      <c r="FB603" s="40" t="n"/>
      <c r="FC603" s="40" t="n"/>
      <c r="FD603" s="40" t="n"/>
    </row>
    <row r="604" ht="60" customHeight="1">
      <c r="A604" s="58" t="n"/>
      <c r="B604" s="59" t="inlineStr">
        <is>
          <t>NOT YET MAPPED</t>
        </is>
      </c>
      <c r="C604" s="40" t="inlineStr">
        <is>
          <t>CARBON</t>
        </is>
      </c>
      <c r="D604" s="40" t="inlineStr">
        <is>
          <t>IRIS2432</t>
        </is>
      </c>
      <c r="E604" s="40" t="inlineStr">
        <is>
          <t>Aditya Kumar</t>
        </is>
      </c>
      <c r="F604" s="40" t="n"/>
      <c r="G604" s="40" t="n"/>
      <c r="H604" s="40" t="n"/>
      <c r="I604" s="40" t="n"/>
      <c r="J604" s="40" t="n"/>
      <c r="K604" s="40" t="n"/>
      <c r="L604" s="40" t="n"/>
      <c r="M604" s="40" t="n"/>
      <c r="N604" s="40" t="n"/>
      <c r="O604" s="40" t="n"/>
      <c r="P604" s="40" t="n"/>
      <c r="Q604" s="40" t="n"/>
      <c r="R604" s="40" t="n"/>
      <c r="S604" s="40" t="n"/>
      <c r="T604" s="40" t="n"/>
      <c r="U604" s="40" t="n"/>
      <c r="V604" s="40" t="n"/>
      <c r="W604" s="40" t="n"/>
      <c r="X604" s="40" t="n"/>
      <c r="Y604" s="40" t="n"/>
      <c r="Z604" s="40" t="n"/>
      <c r="AA604" s="40" t="n"/>
      <c r="AB604" s="40" t="n"/>
      <c r="AC604" s="40" t="n"/>
      <c r="AD604" s="40" t="n"/>
      <c r="AE604" s="40" t="n"/>
      <c r="AF604" s="40" t="n"/>
      <c r="AG604" s="40" t="n"/>
      <c r="AH604" s="40" t="n"/>
      <c r="AI604" s="40" t="n"/>
      <c r="AJ604" s="40" t="n"/>
      <c r="AK604" s="40" t="n"/>
      <c r="AL604" s="40" t="n"/>
      <c r="AM604" s="40" t="n"/>
      <c r="AN604" s="40" t="n"/>
      <c r="AO604" s="40" t="n"/>
      <c r="AP604" s="40" t="n"/>
      <c r="AQ604" s="40" t="n"/>
      <c r="AR604" s="40" t="n"/>
      <c r="AS604" s="40" t="n"/>
      <c r="AT604" s="40" t="n"/>
      <c r="AU604" s="40" t="n"/>
      <c r="AV604" s="40" t="n"/>
      <c r="AW604" s="40" t="n"/>
      <c r="AX604" s="40" t="n"/>
      <c r="AY604" s="40" t="n"/>
      <c r="AZ604" s="40" t="n"/>
      <c r="BA604" s="40" t="n"/>
      <c r="BB604" s="40" t="n"/>
      <c r="BC604" s="40" t="n"/>
      <c r="BD604" s="40" t="n"/>
      <c r="BE604" s="40" t="n"/>
      <c r="BF604" s="40" t="n"/>
      <c r="BG604" s="40" t="n"/>
      <c r="BH604" s="40" t="n"/>
      <c r="BI604" s="40" t="n"/>
      <c r="BJ604" s="40" t="n"/>
      <c r="BK604" s="40" t="n"/>
      <c r="BL604" s="40" t="n"/>
      <c r="BM604" s="40" t="n"/>
      <c r="BN604" s="40" t="n"/>
      <c r="BO604" s="40" t="n"/>
      <c r="BP604" s="40" t="n"/>
      <c r="BQ604" s="40" t="n"/>
      <c r="BR604" s="40" t="n"/>
      <c r="BS604" s="40" t="n"/>
      <c r="BT604" s="40" t="n"/>
      <c r="BU604" s="40" t="n"/>
      <c r="BV604" s="40" t="n"/>
      <c r="BW604" s="40" t="n"/>
      <c r="BX604" s="40" t="n"/>
      <c r="BY604" s="40" t="n"/>
      <c r="BZ604" s="40" t="inlineStr">
        <is>
          <t>IRIS2432</t>
        </is>
      </c>
      <c r="CA604" s="40" t="inlineStr">
        <is>
          <t>Employee</t>
        </is>
      </c>
      <c r="CB604" s="40" t="inlineStr">
        <is>
          <t>Active</t>
        </is>
      </c>
      <c r="CC604" s="40" t="inlineStr">
        <is>
          <t>Aditya Kumar</t>
        </is>
      </c>
      <c r="CD604" s="40" t="inlineStr">
        <is>
          <t>22 Sep 2025</t>
        </is>
      </c>
      <c r="CE604" s="40" t="inlineStr">
        <is>
          <t>Team Lead SDR</t>
        </is>
      </c>
      <c r="CF604" s="40" t="inlineStr">
        <is>
          <t>"Reports to Saahit : Cold calling, Scheduling Demo, Tools used - Linkedin Sales navigator · To fetch number of customers shared by Database Team:</t>
        </is>
      </c>
      <c r="CG604" s="40" t="inlineStr">
        <is>
          <t>Sales &amp; Business Development</t>
        </is>
      </c>
      <c r="CH604" s="40" t="inlineStr">
        <is>
          <t>Sales Development · SDR</t>
        </is>
      </c>
      <c r="CI604" s="40" t="inlineStr">
        <is>
          <t>Team Lead SDR</t>
        </is>
      </c>
      <c r="CJ604" s="40" t="inlineStr">
        <is>
          <t>L5 – Lead · IC</t>
        </is>
      </c>
      <c r="CK604" s="40" t="inlineStr">
        <is>
          <t>Saahit Togaru</t>
        </is>
      </c>
      <c r="CL604" s="40" t="inlineStr">
        <is>
          <t>N-4</t>
        </is>
      </c>
      <c r="CM604" s="40" t="inlineStr">
        <is>
          <t>Individual Contributor</t>
        </is>
      </c>
      <c r="CN604" s="40" t="inlineStr">
        <is>
          <t>Regtech</t>
        </is>
      </c>
      <c r="CO604" s="40" t="inlineStr">
        <is>
          <t>Marketing</t>
        </is>
      </c>
      <c r="CP604" s="40" t="inlineStr">
        <is>
          <t>10 years, 8 months, 29 days</t>
        </is>
      </c>
      <c r="CQ604" s="40" t="inlineStr">
        <is>
          <t>Sr.Sales Development Rep.</t>
        </is>
      </c>
      <c r="CR604" s="40" t="n"/>
      <c r="CS604" s="40" t="n"/>
      <c r="CT604" s="40" t="n"/>
      <c r="CU604" s="40" t="n"/>
      <c r="CV604" s="40" t="n"/>
      <c r="CW604" s="40" t="inlineStr">
        <is>
          <t>No</t>
        </is>
      </c>
      <c r="CX604" s="40" t="inlineStr">
        <is>
          <t>No</t>
        </is>
      </c>
      <c r="CY604" s="40" t="n"/>
      <c r="CZ604" s="40" t="n"/>
      <c r="DA604" s="40" t="n"/>
      <c r="DB604" s="40" t="inlineStr">
        <is>
          <t>To be mapped to SDR Mgr US - TBH</t>
        </is>
      </c>
      <c r="DC604" s="40" t="n"/>
      <c r="DD604" s="40" t="n"/>
      <c r="DE604" s="40" t="n"/>
      <c r="DF604" s="40" t="n"/>
      <c r="DG604" s="40" t="n"/>
      <c r="DH604" s="40" t="n"/>
      <c r="DI604" s="40" t="n"/>
      <c r="DJ604" s="40" t="n"/>
      <c r="DK604" s="40" t="n"/>
      <c r="DL604" s="40" t="n"/>
      <c r="DM604" s="40" t="n"/>
      <c r="DN604" s="40" t="n"/>
      <c r="DO604" s="40" t="n"/>
      <c r="DP604" s="40" t="n"/>
      <c r="DQ604" s="40" t="n"/>
      <c r="DR604" s="40" t="n"/>
      <c r="DS604" s="40" t="n"/>
      <c r="DT604" s="40" t="n"/>
      <c r="DU604" s="40" t="n"/>
      <c r="DV604" s="40" t="n"/>
      <c r="DW604" s="40" t="n"/>
      <c r="DX604" s="40" t="n"/>
      <c r="DY604" s="40" t="n"/>
      <c r="DZ604" s="40" t="n"/>
      <c r="EA604" s="40" t="n"/>
      <c r="EB604" s="40" t="n"/>
      <c r="EC604" s="40" t="n"/>
      <c r="ED604" s="40" t="n"/>
      <c r="EE604" s="40" t="n"/>
      <c r="EF604" s="40" t="n"/>
      <c r="EG604" s="40" t="n"/>
      <c r="EH604" s="40" t="n"/>
      <c r="EI604" s="40" t="n"/>
      <c r="EJ604" s="40" t="n"/>
      <c r="EK604" s="40" t="n"/>
      <c r="EL604" s="40" t="n"/>
      <c r="EM604" s="40" t="n"/>
      <c r="EN604" s="40" t="n"/>
      <c r="EO604" s="40" t="n"/>
      <c r="EP604" s="40" t="n"/>
      <c r="EQ604" s="40" t="n"/>
      <c r="ER604" s="40" t="n"/>
      <c r="ES604" s="40" t="n"/>
      <c r="ET604" s="40" t="n"/>
      <c r="EU604" s="40" t="n"/>
      <c r="EV604" s="40" t="n"/>
      <c r="EW604" s="40" t="n"/>
      <c r="EX604" s="40" t="n"/>
      <c r="EY604" s="40" t="n"/>
      <c r="EZ604" s="40" t="n"/>
      <c r="FA604" s="40" t="n"/>
      <c r="FB604" s="40" t="n"/>
      <c r="FC604" s="40" t="n"/>
      <c r="FD604" s="40" t="n"/>
    </row>
    <row r="605" ht="60" customHeight="1">
      <c r="A605" s="58" t="n"/>
      <c r="B605" s="59" t="inlineStr">
        <is>
          <t>NOT YET MAPPED</t>
        </is>
      </c>
      <c r="C605" s="40" t="inlineStr">
        <is>
          <t>CARBON</t>
        </is>
      </c>
      <c r="D605" s="40" t="inlineStr">
        <is>
          <t>—</t>
        </is>
      </c>
      <c r="E605" s="40" t="inlineStr">
        <is>
          <t>Aakanksha Gupta</t>
        </is>
      </c>
      <c r="F605" s="40" t="n"/>
      <c r="G605" s="40" t="n"/>
      <c r="H605" s="40" t="n"/>
      <c r="I605" s="40" t="n"/>
      <c r="J605" s="40" t="n"/>
      <c r="K605" s="40" t="n"/>
      <c r="L605" s="40" t="n"/>
      <c r="M605" s="40" t="n"/>
      <c r="N605" s="40" t="n"/>
      <c r="O605" s="40" t="n"/>
      <c r="P605" s="40" t="n"/>
      <c r="Q605" s="40" t="n"/>
      <c r="R605" s="40" t="n"/>
      <c r="S605" s="40" t="n"/>
      <c r="T605" s="40" t="n"/>
      <c r="U605" s="40" t="n"/>
      <c r="V605" s="40" t="n"/>
      <c r="W605" s="40" t="n"/>
      <c r="X605" s="40" t="n"/>
      <c r="Y605" s="40" t="n"/>
      <c r="Z605" s="40" t="n"/>
      <c r="AA605" s="40" t="n"/>
      <c r="AB605" s="40" t="n"/>
      <c r="AC605" s="40" t="n"/>
      <c r="AD605" s="40" t="n"/>
      <c r="AE605" s="40" t="n"/>
      <c r="AF605" s="40" t="n"/>
      <c r="AG605" s="40" t="n"/>
      <c r="AH605" s="40" t="n"/>
      <c r="AI605" s="40" t="n"/>
      <c r="AJ605" s="40" t="n"/>
      <c r="AK605" s="40" t="n"/>
      <c r="AL605" s="40" t="n"/>
      <c r="AM605" s="40" t="n"/>
      <c r="AN605" s="40" t="n"/>
      <c r="AO605" s="40" t="n"/>
      <c r="AP605" s="40" t="n"/>
      <c r="AQ605" s="40" t="n"/>
      <c r="AR605" s="40" t="n"/>
      <c r="AS605" s="40" t="n"/>
      <c r="AT605" s="40" t="n"/>
      <c r="AU605" s="40" t="n"/>
      <c r="AV605" s="40" t="n"/>
      <c r="AW605" s="40" t="n"/>
      <c r="AX605" s="40" t="n"/>
      <c r="AY605" s="40" t="n"/>
      <c r="AZ605" s="40" t="n"/>
      <c r="BA605" s="40" t="n"/>
      <c r="BB605" s="40" t="n"/>
      <c r="BC605" s="40" t="n"/>
      <c r="BD605" s="40" t="n"/>
      <c r="BE605" s="40" t="n"/>
      <c r="BF605" s="40" t="n"/>
      <c r="BG605" s="40" t="n"/>
      <c r="BH605" s="40" t="n"/>
      <c r="BI605" s="40" t="n"/>
      <c r="BJ605" s="40" t="n"/>
      <c r="BK605" s="40" t="n"/>
      <c r="BL605" s="40" t="n"/>
      <c r="BM605" s="40" t="n"/>
      <c r="BN605" s="40" t="n"/>
      <c r="BO605" s="40" t="n"/>
      <c r="BP605" s="40" t="n"/>
      <c r="BQ605" s="40" t="n"/>
      <c r="BR605" s="40" t="n"/>
      <c r="BS605" s="40" t="n"/>
      <c r="BT605" s="40" t="n"/>
      <c r="BU605" s="40" t="n"/>
      <c r="BV605" s="40" t="n"/>
      <c r="BW605" s="40" t="n"/>
      <c r="BX605" s="40" t="n"/>
      <c r="BY605" s="40" t="n"/>
      <c r="BZ605" s="40" t="n"/>
      <c r="CA605" s="40" t="n"/>
      <c r="CB605" s="40" t="n"/>
      <c r="CC605" s="40" t="inlineStr">
        <is>
          <t>Aakanksha Gupta</t>
        </is>
      </c>
      <c r="CD605" s="40" t="n"/>
      <c r="CE605" s="40" t="inlineStr">
        <is>
          <t>Marketing Associate</t>
        </is>
      </c>
      <c r="CF605" s="40" t="inlineStr">
        <is>
          <t>Reports to Shobhan: Responsible for content creation</t>
        </is>
      </c>
      <c r="CG605" s="40" t="n"/>
      <c r="CH605" s="40" t="n"/>
      <c r="CI605" s="40" t="n"/>
      <c r="CJ605" s="40" t="n"/>
      <c r="CK605" s="40" t="n"/>
      <c r="CL605" s="40" t="n"/>
      <c r="CM605" s="40" t="n"/>
      <c r="CN605" s="40" t="n"/>
      <c r="CO605" s="40" t="n"/>
      <c r="CP605" s="40" t="n"/>
      <c r="CQ605" s="40" t="n"/>
      <c r="CR605" s="40" t="n"/>
      <c r="CS605" s="40" t="n"/>
      <c r="CT605" s="40" t="n"/>
      <c r="CU605" s="40" t="n"/>
      <c r="CV605" s="40" t="n"/>
      <c r="CW605" s="40" t="n"/>
      <c r="CX605" s="40" t="n"/>
      <c r="CY605" s="40" t="n"/>
      <c r="CZ605" s="40" t="n"/>
      <c r="DA605" s="40" t="n"/>
      <c r="DB605" s="40" t="n"/>
      <c r="DC605" s="40" t="n"/>
      <c r="DD605" s="40" t="n"/>
      <c r="DE605" s="40" t="n"/>
      <c r="DF605" s="40" t="n"/>
      <c r="DG605" s="40" t="n"/>
      <c r="DH605" s="40" t="n"/>
      <c r="DI605" s="40" t="n"/>
      <c r="DJ605" s="40" t="n"/>
      <c r="DK605" s="40" t="n"/>
      <c r="DL605" s="40" t="n"/>
      <c r="DM605" s="40" t="n"/>
      <c r="DN605" s="40" t="n"/>
      <c r="DO605" s="40" t="n"/>
      <c r="DP605" s="40" t="n"/>
      <c r="DQ605" s="40" t="n"/>
      <c r="DR605" s="40" t="n"/>
      <c r="DS605" s="40" t="n"/>
      <c r="DT605" s="40" t="n"/>
      <c r="DU605" s="40" t="n"/>
      <c r="DV605" s="40" t="n"/>
      <c r="DW605" s="40" t="n"/>
      <c r="DX605" s="40" t="n"/>
      <c r="DY605" s="40" t="n"/>
      <c r="DZ605" s="40" t="n"/>
      <c r="EA605" s="40" t="n"/>
      <c r="EB605" s="40" t="n"/>
      <c r="EC605" s="40" t="n"/>
      <c r="ED605" s="40" t="n"/>
      <c r="EE605" s="40" t="n"/>
      <c r="EF605" s="40" t="n"/>
      <c r="EG605" s="40" t="n"/>
      <c r="EH605" s="40" t="n"/>
      <c r="EI605" s="40" t="n"/>
      <c r="EJ605" s="40" t="n"/>
      <c r="EK605" s="40" t="n"/>
      <c r="EL605" s="40" t="n"/>
      <c r="EM605" s="40" t="n"/>
      <c r="EN605" s="40" t="n"/>
      <c r="EO605" s="40" t="n"/>
      <c r="EP605" s="40" t="n"/>
      <c r="EQ605" s="40" t="n"/>
      <c r="ER605" s="40" t="n"/>
      <c r="ES605" s="40" t="n"/>
      <c r="ET605" s="40" t="n"/>
      <c r="EU605" s="40" t="n"/>
      <c r="EV605" s="40" t="n"/>
      <c r="EW605" s="40" t="n"/>
      <c r="EX605" s="40" t="n"/>
      <c r="EY605" s="40" t="n"/>
      <c r="EZ605" s="40" t="n"/>
      <c r="FA605" s="40" t="n"/>
      <c r="FB605" s="40" t="n"/>
      <c r="FC605" s="40" t="n"/>
      <c r="FD605" s="40" t="n"/>
    </row>
    <row r="606" ht="60" customHeight="1">
      <c r="A606" s="58" t="n"/>
      <c r="B606" s="59" t="inlineStr">
        <is>
          <t>NOT YET MAPPED</t>
        </is>
      </c>
      <c r="C606" s="40" t="inlineStr">
        <is>
          <t>CARBON</t>
        </is>
      </c>
      <c r="D606" s="40" t="inlineStr">
        <is>
          <t>IRIS2373</t>
        </is>
      </c>
      <c r="E606" s="40" t="inlineStr">
        <is>
          <t>Rajlaxmi Bakshy</t>
        </is>
      </c>
      <c r="F606" s="40" t="n"/>
      <c r="G606" s="40" t="n"/>
      <c r="H606" s="40" t="n"/>
      <c r="I606" s="40" t="n"/>
      <c r="J606" s="40" t="n"/>
      <c r="K606" s="40" t="n"/>
      <c r="L606" s="40" t="n"/>
      <c r="M606" s="40" t="n"/>
      <c r="N606" s="40" t="n"/>
      <c r="O606" s="40" t="n"/>
      <c r="P606" s="40" t="n"/>
      <c r="Q606" s="40" t="n"/>
      <c r="R606" s="40" t="n"/>
      <c r="S606" s="40" t="n"/>
      <c r="T606" s="40" t="n"/>
      <c r="U606" s="40" t="n"/>
      <c r="V606" s="40" t="n"/>
      <c r="W606" s="40" t="n"/>
      <c r="X606" s="40" t="n"/>
      <c r="Y606" s="40" t="n"/>
      <c r="Z606" s="40" t="n"/>
      <c r="AA606" s="40" t="n"/>
      <c r="AB606" s="40" t="n"/>
      <c r="AC606" s="40" t="n"/>
      <c r="AD606" s="40" t="n"/>
      <c r="AE606" s="40" t="n"/>
      <c r="AF606" s="40" t="n"/>
      <c r="AG606" s="40" t="n"/>
      <c r="AH606" s="40" t="n"/>
      <c r="AI606" s="40" t="n"/>
      <c r="AJ606" s="40" t="n"/>
      <c r="AK606" s="40" t="n"/>
      <c r="AL606" s="40" t="n"/>
      <c r="AM606" s="40" t="n"/>
      <c r="AN606" s="40" t="n"/>
      <c r="AO606" s="40" t="n"/>
      <c r="AP606" s="40" t="n"/>
      <c r="AQ606" s="40" t="n"/>
      <c r="AR606" s="40" t="n"/>
      <c r="AS606" s="40" t="n"/>
      <c r="AT606" s="40" t="n"/>
      <c r="AU606" s="40" t="n"/>
      <c r="AV606" s="40" t="n"/>
      <c r="AW606" s="40" t="n"/>
      <c r="AX606" s="40" t="n"/>
      <c r="AY606" s="40" t="n"/>
      <c r="AZ606" s="40" t="n"/>
      <c r="BA606" s="40" t="n"/>
      <c r="BB606" s="40" t="n"/>
      <c r="BC606" s="40" t="n"/>
      <c r="BD606" s="40" t="n"/>
      <c r="BE606" s="40" t="n"/>
      <c r="BF606" s="40" t="n"/>
      <c r="BG606" s="40" t="n"/>
      <c r="BH606" s="40" t="n"/>
      <c r="BI606" s="40" t="n"/>
      <c r="BJ606" s="40" t="n"/>
      <c r="BK606" s="40" t="n"/>
      <c r="BL606" s="40" t="n"/>
      <c r="BM606" s="40" t="n"/>
      <c r="BN606" s="40" t="n"/>
      <c r="BO606" s="40" t="n"/>
      <c r="BP606" s="40" t="n"/>
      <c r="BQ606" s="40" t="n"/>
      <c r="BR606" s="40" t="n"/>
      <c r="BS606" s="40" t="n"/>
      <c r="BT606" s="40" t="n"/>
      <c r="BU606" s="40" t="n"/>
      <c r="BV606" s="40" t="n"/>
      <c r="BW606" s="40" t="n"/>
      <c r="BX606" s="40" t="n"/>
      <c r="BY606" s="40" t="n"/>
      <c r="BZ606" s="40" t="inlineStr">
        <is>
          <t>IRIS2373</t>
        </is>
      </c>
      <c r="CA606" s="40" t="inlineStr">
        <is>
          <t>Employee</t>
        </is>
      </c>
      <c r="CB606" s="40" t="inlineStr">
        <is>
          <t>Active</t>
        </is>
      </c>
      <c r="CC606" s="40" t="inlineStr">
        <is>
          <t>Rajlaxmi Bakshy</t>
        </is>
      </c>
      <c r="CD606" s="40" t="inlineStr">
        <is>
          <t>26 Sep 1999</t>
        </is>
      </c>
      <c r="CE606" s="40" t="inlineStr">
        <is>
          <t>Partner Program Specialist</t>
        </is>
      </c>
      <c r="CF606" s="40" t="inlineStr">
        <is>
          <t>Exited</t>
        </is>
      </c>
      <c r="CG606" s="40" t="inlineStr">
        <is>
          <t>Sales &amp; Business Development</t>
        </is>
      </c>
      <c r="CH606" s="40" t="inlineStr">
        <is>
          <t>Partnerships / Alliances</t>
        </is>
      </c>
      <c r="CI606" s="40" t="inlineStr">
        <is>
          <t>Partner Program Specialist</t>
        </is>
      </c>
      <c r="CJ606" s="40" t="inlineStr">
        <is>
          <t>L3 – Professional / Associate</t>
        </is>
      </c>
      <c r="CK606" s="40" t="inlineStr">
        <is>
          <t>Argha Biswas</t>
        </is>
      </c>
      <c r="CL606" s="40" t="inlineStr">
        <is>
          <t>N-4</t>
        </is>
      </c>
      <c r="CM606" s="40" t="n"/>
      <c r="CN606" s="40" t="inlineStr">
        <is>
          <t>Individual Contributor</t>
        </is>
      </c>
      <c r="CO606" s="40" t="inlineStr">
        <is>
          <t>Sales</t>
        </is>
      </c>
      <c r="CP606" s="40" t="inlineStr">
        <is>
          <t>2 years, 7 months, 0 days</t>
        </is>
      </c>
      <c r="CQ606" s="40" t="n"/>
      <c r="CR606" s="40" t="inlineStr">
        <is>
          <t>1 years, 1 months, 15 days</t>
        </is>
      </c>
      <c r="CS606" s="40" t="inlineStr">
        <is>
          <t>3 years, 8 months, 15 days</t>
        </is>
      </c>
      <c r="CT606" s="40" t="n"/>
      <c r="CU606" s="40" t="n"/>
      <c r="CV606" s="40" t="n"/>
      <c r="CW606" s="40" t="inlineStr">
        <is>
          <t>Regtech</t>
        </is>
      </c>
      <c r="CX606" s="40" t="inlineStr">
        <is>
          <t>CARBON</t>
        </is>
      </c>
      <c r="CY606" s="40" t="inlineStr">
        <is>
          <t>Sales</t>
        </is>
      </c>
      <c r="CZ606" s="40" t="inlineStr">
        <is>
          <t>Sales</t>
        </is>
      </c>
      <c r="DA606" s="40" t="inlineStr">
        <is>
          <t>No</t>
        </is>
      </c>
      <c r="DB606" s="40" t="inlineStr">
        <is>
          <t>Sales, Marketing &amp; Support</t>
        </is>
      </c>
      <c r="DC606" s="40" t="n"/>
      <c r="DD606" s="40" t="n"/>
      <c r="DE606" s="40" t="n"/>
      <c r="DF606" s="40" t="n"/>
      <c r="DG606" s="40" t="n"/>
      <c r="DH606" s="40" t="n"/>
      <c r="DI606" s="40" t="n"/>
      <c r="DJ606" s="40" t="n"/>
      <c r="DK606" s="40" t="n"/>
      <c r="DL606" s="40" t="n"/>
      <c r="DM606" s="40" t="n"/>
      <c r="DN606" s="40" t="n"/>
      <c r="DO606" s="40" t="n"/>
      <c r="DP606" s="40" t="n"/>
      <c r="DQ606" s="40" t="n"/>
      <c r="DR606" s="40" t="n"/>
      <c r="DS606" s="40" t="n"/>
      <c r="DT606" s="40" t="n"/>
      <c r="DU606" s="40" t="n"/>
      <c r="DV606" s="40" t="n"/>
      <c r="DW606" s="40" t="n"/>
      <c r="DX606" s="40" t="n"/>
      <c r="DY606" s="40" t="n"/>
      <c r="DZ606" s="40" t="n"/>
      <c r="EA606" s="40" t="n"/>
      <c r="EB606" s="40" t="n"/>
      <c r="EC606" s="40" t="n"/>
      <c r="ED606" s="40" t="n"/>
      <c r="EE606" s="40" t="n"/>
      <c r="EF606" s="40" t="n"/>
      <c r="EG606" s="40" t="n"/>
      <c r="EH606" s="40" t="n"/>
      <c r="EI606" s="40" t="n"/>
      <c r="EJ606" s="40" t="n"/>
      <c r="EK606" s="40" t="n"/>
      <c r="EL606" s="40" t="n"/>
      <c r="EM606" s="40" t="n"/>
      <c r="EN606" s="40" t="n"/>
      <c r="EO606" s="40" t="n"/>
      <c r="EP606" s="40" t="n"/>
      <c r="EQ606" s="40" t="n"/>
      <c r="ER606" s="40" t="n"/>
      <c r="ES606" s="40" t="n"/>
      <c r="ET606" s="40" t="n"/>
      <c r="EU606" s="40" t="n"/>
      <c r="EV606" s="40" t="n"/>
      <c r="EW606" s="40" t="n"/>
      <c r="EX606" s="40" t="n"/>
      <c r="EY606" s="40" t="n"/>
      <c r="EZ606" s="40" t="n"/>
      <c r="FA606" s="40" t="n"/>
      <c r="FB606" s="40" t="n"/>
      <c r="FC606" s="40" t="n"/>
      <c r="FD606" s="40" t="n"/>
    </row>
    <row r="607" ht="60" customHeight="1">
      <c r="A607" s="58" t="n"/>
      <c r="B607" s="59" t="inlineStr">
        <is>
          <t>NOT YET MAPPED</t>
        </is>
      </c>
      <c r="C607" s="40" t="inlineStr">
        <is>
          <t>CARBON</t>
        </is>
      </c>
      <c r="D607" s="40" t="inlineStr">
        <is>
          <t>IRIS2250</t>
        </is>
      </c>
      <c r="E607" s="40" t="inlineStr">
        <is>
          <t>Argha Biswas</t>
        </is>
      </c>
      <c r="F607" s="40" t="n"/>
      <c r="G607" s="40" t="n"/>
      <c r="H607" s="40" t="n"/>
      <c r="I607" s="40" t="n"/>
      <c r="J607" s="40" t="n"/>
      <c r="K607" s="40" t="n"/>
      <c r="L607" s="40" t="n"/>
      <c r="M607" s="40" t="n"/>
      <c r="N607" s="40" t="n"/>
      <c r="O607" s="40" t="n"/>
      <c r="P607" s="40" t="n"/>
      <c r="Q607" s="40" t="n"/>
      <c r="R607" s="40" t="n"/>
      <c r="S607" s="40" t="n"/>
      <c r="T607" s="40" t="n"/>
      <c r="U607" s="40" t="n"/>
      <c r="V607" s="40" t="n"/>
      <c r="W607" s="40" t="n"/>
      <c r="X607" s="40" t="n"/>
      <c r="Y607" s="40" t="n"/>
      <c r="Z607" s="40" t="n"/>
      <c r="AA607" s="40" t="n"/>
      <c r="AB607" s="40" t="n"/>
      <c r="AC607" s="40" t="n"/>
      <c r="AD607" s="40" t="n"/>
      <c r="AE607" s="40" t="n"/>
      <c r="AF607" s="40" t="n"/>
      <c r="AG607" s="40" t="n"/>
      <c r="AH607" s="40" t="n"/>
      <c r="AI607" s="40" t="n"/>
      <c r="AJ607" s="40" t="n"/>
      <c r="AK607" s="40" t="n"/>
      <c r="AL607" s="40" t="n"/>
      <c r="AM607" s="40" t="n"/>
      <c r="AN607" s="40" t="n"/>
      <c r="AO607" s="40" t="n"/>
      <c r="AP607" s="40" t="n"/>
      <c r="AQ607" s="40" t="n"/>
      <c r="AR607" s="40" t="n"/>
      <c r="AS607" s="40" t="n"/>
      <c r="AT607" s="40" t="n"/>
      <c r="AU607" s="40" t="n"/>
      <c r="AV607" s="40" t="n"/>
      <c r="AW607" s="40" t="n"/>
      <c r="AX607" s="40" t="n"/>
      <c r="AY607" s="40" t="n"/>
      <c r="AZ607" s="40" t="n"/>
      <c r="BA607" s="40" t="n"/>
      <c r="BB607" s="40" t="n"/>
      <c r="BC607" s="40" t="n"/>
      <c r="BD607" s="40" t="n"/>
      <c r="BE607" s="40" t="n"/>
      <c r="BF607" s="40" t="n"/>
      <c r="BG607" s="40" t="n"/>
      <c r="BH607" s="40" t="n"/>
      <c r="BI607" s="40" t="n"/>
      <c r="BJ607" s="40" t="n"/>
      <c r="BK607" s="40" t="n"/>
      <c r="BL607" s="40" t="n"/>
      <c r="BM607" s="40" t="n"/>
      <c r="BN607" s="40" t="n"/>
      <c r="BO607" s="40" t="n"/>
      <c r="BP607" s="40" t="n"/>
      <c r="BQ607" s="40" t="n"/>
      <c r="BR607" s="40" t="n"/>
      <c r="BS607" s="40" t="n"/>
      <c r="BT607" s="40" t="n"/>
      <c r="BU607" s="40" t="n"/>
      <c r="BV607" s="40" t="n"/>
      <c r="BW607" s="40" t="n"/>
      <c r="BX607" s="40" t="n"/>
      <c r="BY607" s="40" t="n"/>
      <c r="BZ607" s="40" t="inlineStr">
        <is>
          <t>IRIS2250</t>
        </is>
      </c>
      <c r="CA607" s="40" t="inlineStr">
        <is>
          <t>Employee</t>
        </is>
      </c>
      <c r="CB607" s="40" t="inlineStr">
        <is>
          <t>Active</t>
        </is>
      </c>
      <c r="CC607" s="40" t="inlineStr">
        <is>
          <t>Argha Biswas</t>
        </is>
      </c>
      <c r="CD607" s="40" t="inlineStr">
        <is>
          <t>28 Jul 1998</t>
        </is>
      </c>
      <c r="CE607" s="40" t="inlineStr">
        <is>
          <t>Partner Relationship Manager</t>
        </is>
      </c>
      <c r="CF607" s="40" t="inlineStr">
        <is>
          <t>Notice - 7th Aug is lwd</t>
        </is>
      </c>
      <c r="CG607" s="40" t="inlineStr">
        <is>
          <t>Sales &amp; Business Development</t>
        </is>
      </c>
      <c r="CH607" s="40" t="inlineStr">
        <is>
          <t>Partnerships / Alliances</t>
        </is>
      </c>
      <c r="CI607" s="40" t="inlineStr">
        <is>
          <t>Partner Relationship Manager</t>
        </is>
      </c>
      <c r="CJ607" s="40" t="inlineStr">
        <is>
          <t>L5 – Manager</t>
        </is>
      </c>
      <c r="CK607" s="40" t="inlineStr">
        <is>
          <t>Anuradha Rk</t>
        </is>
      </c>
      <c r="CL607" s="40" t="inlineStr">
        <is>
          <t>N-3</t>
        </is>
      </c>
      <c r="CM607" s="40" t="n"/>
      <c r="CN607" s="40" t="inlineStr">
        <is>
          <t>Manager</t>
        </is>
      </c>
      <c r="CO607" s="40" t="inlineStr">
        <is>
          <t>Sales</t>
        </is>
      </c>
      <c r="CP607" s="40" t="inlineStr">
        <is>
          <t>4 years, 8 months, 0 days</t>
        </is>
      </c>
      <c r="CQ607" s="40" t="n"/>
      <c r="CR607" s="40" t="inlineStr">
        <is>
          <t>2 years, 1 months, 4 days</t>
        </is>
      </c>
      <c r="CS607" s="40" t="inlineStr">
        <is>
          <t>6 years, 9 months, 4 days</t>
        </is>
      </c>
      <c r="CT607" s="40" t="inlineStr">
        <is>
          <t>2.094292237</t>
        </is>
      </c>
      <c r="CU607" s="40" t="n"/>
      <c r="CV607" s="40" t="n"/>
      <c r="CW607" s="40" t="inlineStr">
        <is>
          <t>Regtech</t>
        </is>
      </c>
      <c r="CX607" s="40" t="inlineStr">
        <is>
          <t>CARBON</t>
        </is>
      </c>
      <c r="CY607" s="40" t="inlineStr">
        <is>
          <t>Sales</t>
        </is>
      </c>
      <c r="CZ607" s="40" t="inlineStr">
        <is>
          <t>Sales</t>
        </is>
      </c>
      <c r="DA607" s="40" t="inlineStr">
        <is>
          <t>No</t>
        </is>
      </c>
      <c r="DB607" s="40" t="inlineStr">
        <is>
          <t>Sales, Marketing &amp; Support</t>
        </is>
      </c>
      <c r="DC607" s="40" t="n"/>
      <c r="DD607" s="40" t="n"/>
      <c r="DE607" s="40" t="n"/>
      <c r="DF607" s="40" t="n"/>
      <c r="DG607" s="40" t="n"/>
      <c r="DH607" s="40" t="n"/>
      <c r="DI607" s="40" t="n"/>
      <c r="DJ607" s="40" t="n"/>
      <c r="DK607" s="40" t="n"/>
      <c r="DL607" s="40" t="n"/>
      <c r="DM607" s="40" t="n"/>
      <c r="DN607" s="40" t="n"/>
      <c r="DO607" s="40" t="n"/>
      <c r="DP607" s="40" t="n"/>
      <c r="DQ607" s="40" t="n"/>
      <c r="DR607" s="40" t="n"/>
      <c r="DS607" s="40" t="n"/>
      <c r="DT607" s="40" t="n"/>
      <c r="DU607" s="40" t="n"/>
      <c r="DV607" s="40" t="n"/>
      <c r="DW607" s="40" t="n"/>
      <c r="DX607" s="40" t="n"/>
      <c r="DY607" s="40" t="n"/>
      <c r="DZ607" s="40" t="n"/>
      <c r="EA607" s="40" t="n"/>
      <c r="EB607" s="40" t="n"/>
      <c r="EC607" s="40" t="n"/>
      <c r="ED607" s="40" t="n"/>
      <c r="EE607" s="40" t="n"/>
      <c r="EF607" s="40" t="n"/>
      <c r="EG607" s="40" t="n"/>
      <c r="EH607" s="40" t="n"/>
      <c r="EI607" s="40" t="n"/>
      <c r="EJ607" s="40" t="n"/>
      <c r="EK607" s="40" t="n"/>
      <c r="EL607" s="40" t="n"/>
      <c r="EM607" s="40" t="n"/>
      <c r="EN607" s="40" t="n"/>
      <c r="EO607" s="40" t="n"/>
      <c r="EP607" s="40" t="n"/>
      <c r="EQ607" s="40" t="n"/>
      <c r="ER607" s="40" t="n"/>
      <c r="ES607" s="40" t="n"/>
      <c r="ET607" s="40" t="n"/>
      <c r="EU607" s="40" t="n"/>
      <c r="EV607" s="40" t="n"/>
      <c r="EW607" s="40" t="n"/>
      <c r="EX607" s="40" t="n"/>
      <c r="EY607" s="40" t="n"/>
      <c r="EZ607" s="40" t="n"/>
      <c r="FA607" s="40" t="n"/>
      <c r="FB607" s="40" t="n"/>
      <c r="FC607" s="40" t="n"/>
      <c r="FD607" s="40" t="n"/>
    </row>
    <row r="608" ht="60" customHeight="1">
      <c r="A608" s="58" t="n"/>
      <c r="B608" s="59" t="inlineStr">
        <is>
          <t>Removed by HR · 9 Oct 2026</t>
        </is>
      </c>
      <c r="C608" s="40" t="inlineStr">
        <is>
          <t>iFile collated</t>
        </is>
      </c>
      <c r="D608" s="40" t="inlineStr">
        <is>
          <t>IRIS2384</t>
        </is>
      </c>
      <c r="E608" s="40" t="inlineStr">
        <is>
          <t>Shreyash Pawar</t>
        </is>
      </c>
      <c r="F608" s="40" t="n"/>
      <c r="G608" s="40" t="n"/>
      <c r="H608" s="40" t="n"/>
      <c r="I608" s="40" t="n"/>
      <c r="J608" s="40" t="n"/>
      <c r="K608" s="40" t="n"/>
      <c r="L608" s="40" t="n"/>
      <c r="M608" s="40" t="n"/>
      <c r="N608" s="40" t="n"/>
      <c r="O608" s="40" t="n"/>
      <c r="P608" s="40" t="n"/>
      <c r="Q608" s="40" t="n"/>
      <c r="R608" s="40" t="n"/>
      <c r="S608" s="40" t="n"/>
      <c r="T608" s="40" t="n"/>
      <c r="U608" s="40" t="n"/>
      <c r="V608" s="40" t="n"/>
      <c r="W608" s="40" t="n"/>
      <c r="X608" s="40" t="n"/>
      <c r="Y608" s="40" t="n"/>
      <c r="Z608" s="40" t="n"/>
      <c r="AA608" s="40" t="n"/>
      <c r="AB608" s="40" t="n"/>
      <c r="AC608" s="40" t="n"/>
      <c r="AD608" s="40" t="n"/>
      <c r="AE608" s="40" t="n"/>
      <c r="AF608" s="40" t="n"/>
      <c r="AG608" s="40" t="n"/>
      <c r="AH608" s="40" t="n"/>
      <c r="AI608" s="40" t="n"/>
      <c r="AJ608" s="40" t="n"/>
      <c r="AK608" s="40" t="n"/>
      <c r="AL608" s="40" t="n"/>
      <c r="AM608" s="40" t="n"/>
      <c r="AN608" s="40" t="n"/>
      <c r="AO608" s="40" t="n"/>
      <c r="AP608" s="40" t="n"/>
      <c r="AQ608" s="40" t="n"/>
      <c r="AR608" s="40" t="n"/>
      <c r="AS608" s="40" t="n"/>
      <c r="AT608" s="40" t="n"/>
      <c r="AU608" s="40" t="n"/>
      <c r="AV608" s="40" t="n"/>
      <c r="AW608" s="40" t="n"/>
      <c r="AX608" s="40" t="n"/>
      <c r="AY608" s="40" t="n"/>
      <c r="AZ608" s="40" t="n"/>
      <c r="BA608" s="40" t="n"/>
      <c r="BB608" s="40" t="n"/>
      <c r="BC608" s="40" t="n"/>
      <c r="BD608" s="40" t="n"/>
      <c r="BE608" s="40" t="n"/>
      <c r="BF608" s="40" t="n"/>
      <c r="BG608" s="40" t="n"/>
      <c r="BH608" s="40" t="n"/>
      <c r="BI608" s="40" t="n"/>
      <c r="BJ608" s="40" t="n"/>
      <c r="BK608" s="40" t="n"/>
      <c r="BL608" s="40" t="n"/>
      <c r="BM608" s="40" t="n"/>
      <c r="BN608" s="40" t="n"/>
      <c r="BO608" s="40" t="n"/>
      <c r="BP608" s="40" t="n"/>
      <c r="BQ608" s="40" t="n"/>
      <c r="BR608" s="40" t="n"/>
      <c r="BS608" s="40" t="n"/>
      <c r="BT608" s="40" t="n"/>
      <c r="BU608" s="40" t="n"/>
      <c r="BV608" s="40" t="n"/>
      <c r="BW608" s="40" t="n"/>
      <c r="BX608" s="40" t="n"/>
      <c r="BY608" s="40" t="n"/>
      <c r="BZ608" s="40" t="n"/>
      <c r="CA608" s="40" t="n"/>
      <c r="CB608" s="40" t="n"/>
      <c r="CC608" s="40" t="n"/>
      <c r="CD608" s="40" t="n"/>
      <c r="CE608" s="40" t="n"/>
      <c r="CF608" s="40" t="n"/>
      <c r="CG608" s="40" t="n"/>
      <c r="CH608" s="40" t="n"/>
      <c r="CI608" s="40" t="n"/>
      <c r="CJ608" s="40" t="n"/>
      <c r="CK608" s="40" t="n"/>
      <c r="CL608" s="40" t="n"/>
      <c r="CM608" s="40" t="n"/>
      <c r="CN608" s="40" t="n"/>
      <c r="CO608" s="40" t="n"/>
      <c r="CP608" s="40" t="n"/>
      <c r="CQ608" s="40" t="n"/>
      <c r="CR608" s="40" t="n"/>
      <c r="CS608" s="40" t="n"/>
      <c r="CT608" s="40" t="n"/>
      <c r="CU608" s="40" t="n"/>
      <c r="CV608" s="40" t="n"/>
      <c r="CW608" s="40" t="n"/>
      <c r="CX608" s="40" t="n"/>
      <c r="CY608" s="40" t="n"/>
      <c r="CZ608" s="40" t="n"/>
      <c r="DA608" s="40" t="n"/>
      <c r="DB608" s="40" t="n"/>
      <c r="DC608" s="40" t="n"/>
      <c r="DD608" s="40" t="inlineStr">
        <is>
          <t>IRIS2384</t>
        </is>
      </c>
      <c r="DE608" s="40" t="inlineStr">
        <is>
          <t>Employee</t>
        </is>
      </c>
      <c r="DF608" s="40" t="inlineStr">
        <is>
          <t>Active</t>
        </is>
      </c>
      <c r="DG608" s="40" t="inlineStr">
        <is>
          <t>Shreyash Pawar</t>
        </is>
      </c>
      <c r="DH608" s="40" t="inlineStr">
        <is>
          <t>09 Jun 2025</t>
        </is>
      </c>
      <c r="DI608" s="40" t="inlineStr">
        <is>
          <t>Trainee Software Engineer</t>
        </is>
      </c>
      <c r="DJ608" s="40" t="inlineStr">
        <is>
          <t>Engineering &amp; Development</t>
        </is>
      </c>
      <c r="DK608" s="40" t="inlineStr">
        <is>
          <t>Backend Engineering · Java</t>
        </is>
      </c>
      <c r="DL608" s="40" t="inlineStr">
        <is>
          <t>Trainee Software Engineer</t>
        </is>
      </c>
      <c r="DM608" s="40" t="inlineStr">
        <is>
          <t>L2 – Trainee</t>
        </is>
      </c>
      <c r="DN608" s="40" t="inlineStr">
        <is>
          <t>B.E</t>
        </is>
      </c>
      <c r="DO608" s="40" t="inlineStr">
        <is>
          <t>Bhavana Thakare</t>
        </is>
      </c>
      <c r="DP608" s="40" t="inlineStr">
        <is>
          <t>N-5</t>
        </is>
      </c>
      <c r="DQ608" s="40" t="inlineStr">
        <is>
          <t>Individual Contributor</t>
        </is>
      </c>
      <c r="DR608" s="40" t="inlineStr">
        <is>
          <t>0 years, 0 months, 00 days</t>
        </is>
      </c>
      <c r="DS608" s="40" t="inlineStr">
        <is>
          <t>1 years, 0 months, 11 days</t>
        </is>
      </c>
      <c r="DT608" s="40" t="inlineStr">
        <is>
          <t>1 years, 0 months, 11 days</t>
        </is>
      </c>
      <c r="DU608" s="40" t="n"/>
      <c r="DV608" s="40" t="inlineStr">
        <is>
          <t>Suptech</t>
        </is>
      </c>
      <c r="DW608" s="40" t="inlineStr">
        <is>
          <t>iFile</t>
        </is>
      </c>
      <c r="DX608" s="40" t="inlineStr">
        <is>
          <t>Technology</t>
        </is>
      </c>
      <c r="DY608" s="40" t="inlineStr">
        <is>
          <t>Development</t>
        </is>
      </c>
      <c r="DZ608" s="40" t="inlineStr">
        <is>
          <t>Yes</t>
        </is>
      </c>
      <c r="EA608" s="40" t="inlineStr">
        <is>
          <t>Product/Project</t>
        </is>
      </c>
      <c r="EB608" s="40" t="inlineStr">
        <is>
          <t>Java</t>
        </is>
      </c>
      <c r="EC608" s="40" t="inlineStr">
        <is>
          <t>Technical - Developer</t>
        </is>
      </c>
      <c r="ED608" s="40" t="inlineStr">
        <is>
          <t>Client Side</t>
        </is>
      </c>
      <c r="EE608" s="40" t="n"/>
      <c r="EF608" s="40" t="inlineStr">
        <is>
          <t>1. Deliver committed sprint stories with &gt;=90% sprint commitment adherence across the year
2. Maintain code quality: defect leakage to QA/UAT &lt;=5% of delivered stories
3. Resolve assigned production/critical bugs within agreed SLA · &gt;=95% within SLA
4. Improve unit-test / automated coverage on owned modules by &gt;=15 percentage points
5. Contribute to &gt;=2 reusable components / technical improvements · reduction in tech debt
6. Complete peer code reviews within 24 hrs; &lt;=2 rework cycles per PR on average</t>
        </is>
      </c>
      <c r="EG608" s="40" t="inlineStr">
        <is>
          <t>Q1: Deliver committed sprint stories with &gt;=90% sprint commitment adherence this quarter
Q1: Maintain code quality: defect leakage to QA/UAT &lt;=5% of delivered stories
Q1: Resolve assigned production/critical bugs within agreed SLA · &gt;=95% within SLA
Q1: Improve unit-test / automated coverage on owned modules by &gt;=15 percentage points
Shreyash is very good in technical skill, he complete almost all his task on time. not much guidance needed for him</t>
        </is>
      </c>
      <c r="EH608" s="40" t="inlineStr">
        <is>
          <t>4</t>
        </is>
      </c>
      <c r="EI608" s="40" t="n"/>
      <c r="EJ608" s="40" t="inlineStr">
        <is>
          <t>Trainee Software Engineer</t>
        </is>
      </c>
      <c r="EK608" s="40" t="n"/>
      <c r="EL608" s="40" t="inlineStr">
        <is>
          <t>4</t>
        </is>
      </c>
      <c r="EM608" s="40" t="inlineStr">
        <is>
          <t>Medium</t>
        </is>
      </c>
      <c r="EN608" s="40" t="inlineStr">
        <is>
          <t>Emerging Talent</t>
        </is>
      </c>
      <c r="EO608" s="40" t="inlineStr">
        <is>
          <t>No</t>
        </is>
      </c>
      <c r="EP608" s="40" t="inlineStr">
        <is>
          <t>No</t>
        </is>
      </c>
      <c r="EQ608" s="40" t="inlineStr">
        <is>
          <t>No</t>
        </is>
      </c>
      <c r="ER608" s="40" t="n"/>
      <c r="ES608" s="40" t="inlineStr">
        <is>
          <t>Advanced Java; secure coding &amp; code-quality practices; unit/automated testing; system design fundamentals</t>
        </is>
      </c>
      <c r="ET608" s="40" t="inlineStr">
        <is>
          <t>Transition to leadership: people management &amp; delegation, mentoring/coaching, project ownership &amp; stakeholder management, prioritisation under ambiguity, presentation &amp; influence skills</t>
        </is>
      </c>
      <c r="EU608" s="40" t="n"/>
      <c r="EV608" s="40" t="n"/>
      <c r="EW608" s="40" t="n"/>
      <c r="EX608" s="40" t="n"/>
      <c r="EY608" s="40" t="n"/>
      <c r="EZ608" s="40" t="n"/>
      <c r="FA608" s="40" t="n"/>
      <c r="FB608" s="40" t="n"/>
      <c r="FC608" s="40" t="n"/>
      <c r="FD608" s="40" t="n"/>
    </row>
    <row r="609" ht="60" customHeight="1">
      <c r="A609" s="58" t="n"/>
      <c r="B609" s="59" t="inlineStr">
        <is>
          <t>NOT YET MAPPED</t>
        </is>
      </c>
      <c r="C609" s="40" t="inlineStr">
        <is>
          <t>iDEAL</t>
        </is>
      </c>
      <c r="D609" s="40" t="inlineStr">
        <is>
          <t>IRIS2175</t>
        </is>
      </c>
      <c r="E609" s="40" t="inlineStr">
        <is>
          <t>Khushboo Singh</t>
        </is>
      </c>
      <c r="F609" s="40" t="n"/>
      <c r="G609" s="40" t="n"/>
      <c r="H609" s="40" t="n"/>
      <c r="I609" s="40" t="n"/>
      <c r="J609" s="40" t="n"/>
      <c r="K609" s="40" t="n"/>
      <c r="L609" s="40" t="n"/>
      <c r="M609" s="40" t="n"/>
      <c r="N609" s="40" t="n"/>
      <c r="O609" s="40" t="n"/>
      <c r="P609" s="40" t="n"/>
      <c r="Q609" s="40" t="n"/>
      <c r="R609" s="40" t="n"/>
      <c r="S609" s="40" t="n"/>
      <c r="T609" s="40" t="n"/>
      <c r="U609" s="40" t="n"/>
      <c r="V609" s="40" t="n"/>
      <c r="W609" s="40" t="n"/>
      <c r="X609" s="40" t="n"/>
      <c r="Y609" s="40" t="n"/>
      <c r="Z609" s="40" t="n"/>
      <c r="AA609" s="40" t="n"/>
      <c r="AB609" s="40" t="n"/>
      <c r="AC609" s="40" t="n"/>
      <c r="AD609" s="40" t="n"/>
      <c r="AE609" s="40" t="n"/>
      <c r="AF609" s="40" t="n"/>
      <c r="AG609" s="40" t="n"/>
      <c r="AH609" s="40" t="n"/>
      <c r="AI609" s="40" t="n"/>
      <c r="AJ609" s="40" t="n"/>
      <c r="AK609" s="40" t="n"/>
      <c r="AL609" s="40" t="n"/>
      <c r="AM609" s="40" t="n"/>
      <c r="AN609" s="40" t="n"/>
      <c r="AO609" s="40" t="n"/>
      <c r="AP609" s="40" t="n"/>
      <c r="AQ609" s="40" t="n"/>
      <c r="AR609" s="40" t="n"/>
      <c r="AS609" s="40" t="n"/>
      <c r="AT609" s="40" t="n"/>
      <c r="AU609" s="40" t="n"/>
      <c r="AV609" s="40" t="n"/>
      <c r="AW609" s="40" t="n"/>
      <c r="AX609" s="40" t="n"/>
      <c r="AY609" s="40" t="n"/>
      <c r="AZ609" s="40" t="n"/>
      <c r="BA609" s="40" t="n"/>
      <c r="BB609" s="40" t="n"/>
      <c r="BC609" s="40" t="n"/>
      <c r="BD609" s="40" t="n"/>
      <c r="BE609" s="40" t="n"/>
      <c r="BF609" s="40" t="n"/>
      <c r="BG609" s="40" t="n"/>
      <c r="BH609" s="40" t="n"/>
      <c r="BI609" s="40" t="n"/>
      <c r="BJ609" s="40" t="n"/>
      <c r="BK609" s="40" t="n"/>
      <c r="BL609" s="40" t="n"/>
      <c r="BM609" s="40" t="n"/>
      <c r="BN609" s="40" t="n"/>
      <c r="BO609" s="40" t="n"/>
      <c r="BP609" s="40" t="n"/>
      <c r="BQ609" s="40" t="n"/>
      <c r="BR609" s="40" t="n"/>
      <c r="BS609" s="40" t="n"/>
      <c r="BT609" s="40" t="n"/>
      <c r="BU609" s="40" t="n"/>
      <c r="BV609" s="40" t="n"/>
      <c r="BW609" s="40" t="n"/>
      <c r="BX609" s="40" t="n"/>
      <c r="BY609" s="40" t="n"/>
      <c r="BZ609" s="40" t="n"/>
      <c r="CA609" s="40" t="n"/>
      <c r="CB609" s="40" t="n"/>
      <c r="CC609" s="40" t="n"/>
      <c r="CD609" s="40" t="n"/>
      <c r="CE609" s="40" t="n"/>
      <c r="CF609" s="40" t="n"/>
      <c r="CG609" s="40" t="n"/>
      <c r="CH609" s="40" t="n"/>
      <c r="CI609" s="40" t="n"/>
      <c r="CJ609" s="40" t="n"/>
      <c r="CK609" s="40" t="n"/>
      <c r="CL609" s="40" t="n"/>
      <c r="CM609" s="40" t="n"/>
      <c r="CN609" s="40" t="n"/>
      <c r="CO609" s="40" t="n"/>
      <c r="CP609" s="40" t="n"/>
      <c r="CQ609" s="40" t="n"/>
      <c r="CR609" s="40" t="n"/>
      <c r="CS609" s="40" t="n"/>
      <c r="CT609" s="40" t="n"/>
      <c r="CU609" s="40" t="n"/>
      <c r="CV609" s="40" t="n"/>
      <c r="CW609" s="40" t="n"/>
      <c r="CX609" s="40" t="n"/>
      <c r="CY609" s="40" t="n"/>
      <c r="CZ609" s="40" t="n"/>
      <c r="DA609" s="40" t="n"/>
      <c r="DB609" s="40" t="n"/>
      <c r="DC609" s="40" t="n"/>
      <c r="DD609" s="40" t="inlineStr">
        <is>
          <t>IRIS2175</t>
        </is>
      </c>
      <c r="DE609" s="40" t="inlineStr">
        <is>
          <t>Employee</t>
        </is>
      </c>
      <c r="DF609" s="40" t="inlineStr">
        <is>
          <t>Active</t>
        </is>
      </c>
      <c r="DG609" s="40" t="inlineStr">
        <is>
          <t>Khushboo Singh</t>
        </is>
      </c>
      <c r="DH609" s="40" t="inlineStr">
        <is>
          <t>24 Aug 2023</t>
        </is>
      </c>
      <c r="DI609" s="40" t="inlineStr">
        <is>
          <t>Business Analyst</t>
        </is>
      </c>
      <c r="DJ609" s="40" t="inlineStr">
        <is>
          <t>Business Analysis</t>
        </is>
      </c>
      <c r="DK609" s="40" t="inlineStr">
        <is>
          <t>Business / Functional Analysis</t>
        </is>
      </c>
      <c r="DL609" s="40" t="inlineStr">
        <is>
          <t>Business Analyst</t>
        </is>
      </c>
      <c r="DM609" s="40" t="inlineStr">
        <is>
          <t>L3 – Professional / Associate</t>
        </is>
      </c>
      <c r="DN609" s="40" t="inlineStr">
        <is>
          <t>MCA</t>
        </is>
      </c>
      <c r="DO609" s="40" t="inlineStr">
        <is>
          <t>Dnyaneshwar Daund</t>
        </is>
      </c>
      <c r="DP609" s="40" t="inlineStr">
        <is>
          <t>N-4</t>
        </is>
      </c>
      <c r="DQ609" s="40" t="inlineStr">
        <is>
          <t>Individual Contributor</t>
        </is>
      </c>
      <c r="DR609" s="40" t="inlineStr">
        <is>
          <t>6 years, 0 months, 0 days</t>
        </is>
      </c>
      <c r="DS609" s="40" t="inlineStr">
        <is>
          <t>2 years, 9 months, 27 days</t>
        </is>
      </c>
      <c r="DT609" s="40" t="inlineStr">
        <is>
          <t>8 years, 9 months, 27 days</t>
        </is>
      </c>
      <c r="DU609" s="40" t="n"/>
      <c r="DV609" s="40" t="inlineStr">
        <is>
          <t>Regtech</t>
        </is>
      </c>
      <c r="DW609" s="40" t="inlineStr">
        <is>
          <t>iDEAL</t>
        </is>
      </c>
      <c r="DX609" s="40" t="inlineStr">
        <is>
          <t>Technology</t>
        </is>
      </c>
      <c r="DY609" s="40" t="inlineStr">
        <is>
          <t>Business Analysis</t>
        </is>
      </c>
      <c r="DZ609" s="40" t="inlineStr">
        <is>
          <t>No</t>
        </is>
      </c>
      <c r="EA609" s="40" t="inlineStr">
        <is>
          <t>Product/Project</t>
        </is>
      </c>
      <c r="EB609" s="40" t="inlineStr">
        <is>
          <t>Business Analysis</t>
        </is>
      </c>
      <c r="EC609" s="40" t="inlineStr">
        <is>
          <t>Technical · BA, PM and QA</t>
        </is>
      </c>
      <c r="ED609" s="40" t="inlineStr">
        <is>
          <t>Hybrid</t>
        </is>
      </c>
      <c r="EE609" s="40" t="inlineStr">
        <is>
          <t>1. Ensure efficient client management and support activities: Develop hands-on expertise in managing RBR and EBR support issues raised by clients and progressively become independent in managing the allocated client portfolio. Provide timely and efficient support in line with agreed SLAs to enhance client satisfaction and ensure smooth issue resolution. Extend support to other team members whenever required to ensure effective collaboration and uninterrupted client service.
2. Strengthen contribution to EBR solution delivery and support: Actively participate in EBR activities by validating outputs, monitoring execution, and ensuring accurate report generation aligned with business requirements for my client portfolio. Investigate and resolve EBR-related issues to ensure timely report delivery and maintain high data accuracy.
3. Successfully manage the Bank of Mauritius client · Warwvyk Bank: Take ownership of the Bank of Mauritius client portfolio by conducting regular stakeholder meetings, analysing reports, and preparing all required project documentation. Provide technical database · DB support through issue troubleshooting, data validation, and ensuring smooth system operations. Perform end-to-end testing of return generation, report rendering, and data validation to ensure accurate and successful deliverables. Collaborate with internal teams and client stakeholders to resolve issues promptly and support timely project execution.
4. Enhance BRD preparation and documentation capabilities: Develop expertise in Business Requirements Document · BRD preparation by creating detailed functional and technical documentation. Improve documentation of business processes, technical workflows, and implementation details to support knowledge sharing and project transparency.
5. Deliver Quality Outcomes with Continuous Learning: Ensure timely delivery of assigned tasks with high quality standards while continuously improving problem-solving ability, analytical thinking, and domain knowledge.</t>
        </is>
      </c>
      <c r="EF609" s="40" t="inlineStr">
        <is>
          <t>1. By the end of July 2026, develop an in-depth understanding of the iDEAL product, business processes, and regulatory reporting framework to independently analyse client requirements, provide functional support, and contribute effectively to project delivery.
2. Gain expertise in independently handling client issues, support activities, and regulatory reporting domain knowledge with minimal supervision by September 2026.
3. Conduct knowledge-sharing sessions with bank users on interpreting and resolving common validation and business errors directly at the bank level, reducing dependency on the IRIS support team. This objective should be achieved by September 2026.
4. Develop expertise in onboarding and supporting Database and EBR clients, in addition to the Excel-based clients currently being managed, to expand domain knowledge and independently handle Database reports · clients by October 2026.</t>
        </is>
      </c>
      <c r="EG609" s="40" t="inlineStr">
        <is>
          <t>1. Acquire in-depth knowledge of EBR SDMX reports, validations, and implementation processes to independently provide effective client support for assigned clients by Sep 2026.
2. Put additional effort into understanding client issues for CIMS RBR reporting and demonstrate independent ownership of the assigned client portfolio by Sep 2026.
3.  Effectively manage the assigned portfolio of banks independently  while maintaining 100% customer satisfaction with zero critical escalations.</t>
        </is>
      </c>
      <c r="EH609" s="40" t="inlineStr">
        <is>
          <t>2</t>
        </is>
      </c>
      <c r="EI609" s="40" t="inlineStr">
        <is>
          <t>01 Oct 2025</t>
        </is>
      </c>
      <c r="EJ609" s="40" t="inlineStr">
        <is>
          <t>Same as current designation</t>
        </is>
      </c>
      <c r="EK609" s="40" t="inlineStr">
        <is>
          <t>No</t>
        </is>
      </c>
      <c r="EL609" s="40" t="inlineStr">
        <is>
          <t>2</t>
        </is>
      </c>
      <c r="EM609" s="40" t="inlineStr">
        <is>
          <t>Low</t>
        </is>
      </c>
      <c r="EN609" s="40" t="inlineStr">
        <is>
          <t>Performance Risk</t>
        </is>
      </c>
      <c r="EO609" s="40" t="inlineStr">
        <is>
          <t>Not Ready</t>
        </is>
      </c>
      <c r="EP609" s="40" t="inlineStr">
        <is>
          <t>No</t>
        </is>
      </c>
      <c r="EQ609" s="40" t="inlineStr">
        <is>
          <t>No</t>
        </is>
      </c>
      <c r="ER609" s="40" t="n"/>
      <c r="ES609" s="40" t="inlineStr">
        <is>
          <t>XBRL Training, Training on the effective utilization of AI tools.</t>
        </is>
      </c>
      <c r="ET609" s="40" t="n"/>
      <c r="EU609" s="40" t="n"/>
      <c r="EV609" s="40" t="n"/>
      <c r="EW609" s="40" t="n"/>
      <c r="EX609" s="40" t="n"/>
      <c r="EY609" s="40" t="n"/>
      <c r="EZ609" s="40" t="n"/>
      <c r="FA609" s="40" t="n"/>
      <c r="FB609" s="40" t="n"/>
      <c r="FC609" s="40" t="n"/>
      <c r="FD609" s="40" t="n"/>
    </row>
    <row r="610" ht="60" customHeight="1">
      <c r="A610" s="58" t="n"/>
      <c r="B610" s="59" t="inlineStr">
        <is>
          <t>NOT YET MAPPED</t>
        </is>
      </c>
      <c r="C610" s="40" t="inlineStr">
        <is>
          <t>iDEAL</t>
        </is>
      </c>
      <c r="D610" s="40" t="inlineStr">
        <is>
          <t>IRIS2462</t>
        </is>
      </c>
      <c r="E610" s="40" t="inlineStr">
        <is>
          <t>Ashwath Singh B Thakur</t>
        </is>
      </c>
      <c r="F610" s="40" t="n"/>
      <c r="G610" s="40" t="n"/>
      <c r="H610" s="40" t="n"/>
      <c r="I610" s="40" t="n"/>
      <c r="J610" s="40" t="n"/>
      <c r="K610" s="40" t="n"/>
      <c r="L610" s="40" t="n"/>
      <c r="M610" s="40" t="n"/>
      <c r="N610" s="40" t="n"/>
      <c r="O610" s="40" t="n"/>
      <c r="P610" s="40" t="n"/>
      <c r="Q610" s="40" t="n"/>
      <c r="R610" s="40" t="n"/>
      <c r="S610" s="40" t="n"/>
      <c r="T610" s="40" t="n"/>
      <c r="U610" s="40" t="n"/>
      <c r="V610" s="40" t="n"/>
      <c r="W610" s="40" t="n"/>
      <c r="X610" s="40" t="n"/>
      <c r="Y610" s="40" t="n"/>
      <c r="Z610" s="40" t="n"/>
      <c r="AA610" s="40" t="n"/>
      <c r="AB610" s="40" t="n"/>
      <c r="AC610" s="40" t="n"/>
      <c r="AD610" s="40" t="n"/>
      <c r="AE610" s="40" t="n"/>
      <c r="AF610" s="40" t="n"/>
      <c r="AG610" s="40" t="n"/>
      <c r="AH610" s="40" t="n"/>
      <c r="AI610" s="40" t="n"/>
      <c r="AJ610" s="40" t="n"/>
      <c r="AK610" s="40" t="n"/>
      <c r="AL610" s="40" t="n"/>
      <c r="AM610" s="40" t="n"/>
      <c r="AN610" s="40" t="n"/>
      <c r="AO610" s="40" t="n"/>
      <c r="AP610" s="40" t="n"/>
      <c r="AQ610" s="40" t="n"/>
      <c r="AR610" s="40" t="n"/>
      <c r="AS610" s="40" t="n"/>
      <c r="AT610" s="40" t="n"/>
      <c r="AU610" s="40" t="n"/>
      <c r="AV610" s="40" t="n"/>
      <c r="AW610" s="40" t="n"/>
      <c r="AX610" s="40" t="n"/>
      <c r="AY610" s="40" t="n"/>
      <c r="AZ610" s="40" t="n"/>
      <c r="BA610" s="40" t="n"/>
      <c r="BB610" s="40" t="n"/>
      <c r="BC610" s="40" t="n"/>
      <c r="BD610" s="40" t="n"/>
      <c r="BE610" s="40" t="n"/>
      <c r="BF610" s="40" t="n"/>
      <c r="BG610" s="40" t="n"/>
      <c r="BH610" s="40" t="n"/>
      <c r="BI610" s="40" t="n"/>
      <c r="BJ610" s="40" t="n"/>
      <c r="BK610" s="40" t="n"/>
      <c r="BL610" s="40" t="n"/>
      <c r="BM610" s="40" t="n"/>
      <c r="BN610" s="40" t="n"/>
      <c r="BO610" s="40" t="n"/>
      <c r="BP610" s="40" t="n"/>
      <c r="BQ610" s="40" t="n"/>
      <c r="BR610" s="40" t="n"/>
      <c r="BS610" s="40" t="n"/>
      <c r="BT610" s="40" t="n"/>
      <c r="BU610" s="40" t="n"/>
      <c r="BV610" s="40" t="n"/>
      <c r="BW610" s="40" t="n"/>
      <c r="BX610" s="40" t="n"/>
      <c r="BY610" s="40" t="n"/>
      <c r="BZ610" s="40" t="n"/>
      <c r="CA610" s="40" t="n"/>
      <c r="CB610" s="40" t="n"/>
      <c r="CC610" s="40" t="n"/>
      <c r="CD610" s="40" t="n"/>
      <c r="CE610" s="40" t="n"/>
      <c r="CF610" s="40" t="n"/>
      <c r="CG610" s="40" t="n"/>
      <c r="CH610" s="40" t="n"/>
      <c r="CI610" s="40" t="n"/>
      <c r="CJ610" s="40" t="n"/>
      <c r="CK610" s="40" t="n"/>
      <c r="CL610" s="40" t="n"/>
      <c r="CM610" s="40" t="n"/>
      <c r="CN610" s="40" t="n"/>
      <c r="CO610" s="40" t="n"/>
      <c r="CP610" s="40" t="n"/>
      <c r="CQ610" s="40" t="n"/>
      <c r="CR610" s="40" t="n"/>
      <c r="CS610" s="40" t="n"/>
      <c r="CT610" s="40" t="n"/>
      <c r="CU610" s="40" t="n"/>
      <c r="CV610" s="40" t="n"/>
      <c r="CW610" s="40" t="n"/>
      <c r="CX610" s="40" t="n"/>
      <c r="CY610" s="40" t="n"/>
      <c r="CZ610" s="40" t="n"/>
      <c r="DA610" s="40" t="n"/>
      <c r="DB610" s="40" t="n"/>
      <c r="DC610" s="40" t="n"/>
      <c r="DD610" s="40" t="inlineStr">
        <is>
          <t>IRIS2462</t>
        </is>
      </c>
      <c r="DE610" s="40" t="inlineStr">
        <is>
          <t>Employee</t>
        </is>
      </c>
      <c r="DF610" s="40" t="inlineStr">
        <is>
          <t>Active</t>
        </is>
      </c>
      <c r="DG610" s="40" t="inlineStr">
        <is>
          <t>Ashwath Singh B Thakur</t>
        </is>
      </c>
      <c r="DH610" s="40" t="inlineStr">
        <is>
          <t>05 Jan 2026</t>
        </is>
      </c>
      <c r="DI610" s="40" t="inlineStr">
        <is>
          <t>Manager Sales</t>
        </is>
      </c>
      <c r="DJ610" s="40" t="inlineStr">
        <is>
          <t>Sales &amp; Business Development</t>
        </is>
      </c>
      <c r="DK610" s="40" t="inlineStr">
        <is>
          <t>Sales / Account Management</t>
        </is>
      </c>
      <c r="DL610" s="40" t="inlineStr">
        <is>
          <t>Manager Sales</t>
        </is>
      </c>
      <c r="DM610" s="40" t="inlineStr">
        <is>
          <t>L5 – Manager</t>
        </is>
      </c>
      <c r="DN610" s="40" t="inlineStr">
        <is>
          <t>B.Com</t>
        </is>
      </c>
      <c r="DO610" s="40" t="inlineStr">
        <is>
          <t>Hemant Karale</t>
        </is>
      </c>
      <c r="DP610" s="40" t="inlineStr">
        <is>
          <t>N-3</t>
        </is>
      </c>
      <c r="DQ610" s="40" t="inlineStr">
        <is>
          <t>Individual Contributor</t>
        </is>
      </c>
      <c r="DR610" s="40" t="inlineStr">
        <is>
          <t>9 years, 8 months, 0 days</t>
        </is>
      </c>
      <c r="DS610" s="40" t="inlineStr">
        <is>
          <t>0 years, 5 months, 15 days</t>
        </is>
      </c>
      <c r="DT610" s="40" t="inlineStr">
        <is>
          <t>10 years, 1 months, 15 days</t>
        </is>
      </c>
      <c r="DU610" s="40" t="n"/>
      <c r="DV610" s="40" t="inlineStr">
        <is>
          <t>Regtech</t>
        </is>
      </c>
      <c r="DW610" s="40" t="inlineStr">
        <is>
          <t>iDEAL</t>
        </is>
      </c>
      <c r="DX610" s="40" t="inlineStr">
        <is>
          <t>Sales</t>
        </is>
      </c>
      <c r="DY610" s="40" t="inlineStr">
        <is>
          <t>Sales</t>
        </is>
      </c>
      <c r="DZ610" s="40" t="inlineStr">
        <is>
          <t>No</t>
        </is>
      </c>
      <c r="EA610" s="40" t="inlineStr">
        <is>
          <t>Sales, Marketing &amp; Support</t>
        </is>
      </c>
      <c r="EB610" s="40" t="inlineStr">
        <is>
          <t>Sales</t>
        </is>
      </c>
      <c r="EC610" s="40" t="inlineStr">
        <is>
          <t>Non-technical</t>
        </is>
      </c>
      <c r="ED610" s="40" t="inlineStr">
        <is>
          <t>Work From Office - Turbhe</t>
        </is>
      </c>
      <c r="EE610" s="40" t="n"/>
      <c r="EF610" s="40" t="inlineStr">
        <is>
          <t>1. Revenue Goal: Achieve ARR Revenue Target - 2 Cr &amp; One-Time Revenue Target - 4 Cr in the year
2. Strong Pipe Building: Generate Qualified Leads from Banks - 1 &amp; NBFCs - 2 Active Buy SALs &amp; 6 Discovery Meetings per month 
3. Log Meeting notes, Next steps etc. with clear descriptions · intent, stakeholders, objections, Accurate Sales Stages, Close dates  - 100% in all SALs
4. Learning &amp; Development: Participation in Team Learning Sessions - · Internal Trainings For Functional and Tech learning</t>
        </is>
      </c>
      <c r="EG610" s="40" t="inlineStr">
        <is>
          <t>1. Close &gt; 2 NBFCS &amp; 1 Banking  clients
2. Generate 6 NBFC &amp; 4 Banking qualified leads</t>
        </is>
      </c>
      <c r="EH610" s="40" t="inlineStr">
        <is>
          <t>1</t>
        </is>
      </c>
      <c r="EI610" s="40" t="n"/>
      <c r="EJ610" s="40" t="inlineStr">
        <is>
          <t>Same as per records</t>
        </is>
      </c>
      <c r="EK610" s="40" t="n"/>
      <c r="EL610" s="40" t="n"/>
      <c r="EM610" s="40" t="n"/>
      <c r="EN610" s="40" t="n"/>
      <c r="EO610" s="40" t="n"/>
      <c r="EP610" s="40" t="n"/>
      <c r="EQ610" s="40" t="n"/>
      <c r="ER610" s="40" t="n"/>
      <c r="ES610" s="40" t="inlineStr">
        <is>
          <t>Training on the effective utilization of AI tools.</t>
        </is>
      </c>
      <c r="ET610" s="40" t="n"/>
      <c r="EU610" s="40" t="n"/>
      <c r="EV610" s="40" t="n"/>
      <c r="EW610" s="40" t="n"/>
      <c r="EX610" s="40" t="n"/>
      <c r="EY610" s="40" t="n"/>
      <c r="EZ610" s="40" t="n"/>
      <c r="FA610" s="40" t="n"/>
      <c r="FB610" s="40" t="n"/>
      <c r="FC610" s="40" t="n"/>
      <c r="FD610" s="40" t="n"/>
    </row>
    <row r="611" ht="60" customHeight="1">
      <c r="A611" s="58" t="n"/>
      <c r="B611" s="59" t="inlineStr">
        <is>
          <t>NOT YET MAPPED</t>
        </is>
      </c>
      <c r="C611" s="40" t="inlineStr">
        <is>
          <t>Datatech</t>
        </is>
      </c>
      <c r="D611" s="40" t="inlineStr">
        <is>
          <t>IRIS2487</t>
        </is>
      </c>
      <c r="E611" s="40" t="inlineStr">
        <is>
          <t>Sayali Deshpande</t>
        </is>
      </c>
      <c r="F611" s="40" t="n"/>
      <c r="G611" s="40" t="n"/>
      <c r="H611" s="40" t="n"/>
      <c r="I611" s="40" t="n"/>
      <c r="J611" s="40" t="n"/>
      <c r="K611" s="40" t="n"/>
      <c r="L611" s="40" t="n"/>
      <c r="M611" s="40" t="n"/>
      <c r="N611" s="40" t="n"/>
      <c r="O611" s="40" t="n"/>
      <c r="P611" s="40" t="n"/>
      <c r="Q611" s="40" t="n"/>
      <c r="R611" s="40" t="n"/>
      <c r="S611" s="40" t="n"/>
      <c r="T611" s="40" t="n"/>
      <c r="U611" s="40" t="n"/>
      <c r="V611" s="40" t="n"/>
      <c r="W611" s="40" t="n"/>
      <c r="X611" s="40" t="n"/>
      <c r="Y611" s="40" t="n"/>
      <c r="Z611" s="40" t="n"/>
      <c r="AA611" s="40" t="n"/>
      <c r="AB611" s="40" t="n"/>
      <c r="AC611" s="40" t="n"/>
      <c r="AD611" s="40" t="n"/>
      <c r="AE611" s="40" t="n"/>
      <c r="AF611" s="40" t="n"/>
      <c r="AG611" s="40" t="n"/>
      <c r="AH611" s="40" t="n"/>
      <c r="AI611" s="40" t="n"/>
      <c r="AJ611" s="40" t="n"/>
      <c r="AK611" s="40" t="n"/>
      <c r="AL611" s="40" t="n"/>
      <c r="AM611" s="40" t="n"/>
      <c r="AN611" s="40" t="n"/>
      <c r="AO611" s="40" t="n"/>
      <c r="AP611" s="40" t="n"/>
      <c r="AQ611" s="40" t="n"/>
      <c r="AR611" s="40" t="n"/>
      <c r="AS611" s="40" t="n"/>
      <c r="AT611" s="40" t="n"/>
      <c r="AU611" s="40" t="n"/>
      <c r="AV611" s="40" t="n"/>
      <c r="AW611" s="40" t="n"/>
      <c r="AX611" s="40" t="n"/>
      <c r="AY611" s="40" t="n"/>
      <c r="AZ611" s="40" t="n"/>
      <c r="BA611" s="40" t="n"/>
      <c r="BB611" s="40" t="n"/>
      <c r="BC611" s="40" t="n"/>
      <c r="BD611" s="40" t="n"/>
      <c r="BE611" s="40" t="n"/>
      <c r="BF611" s="40" t="n"/>
      <c r="BG611" s="40" t="n"/>
      <c r="BH611" s="40" t="n"/>
      <c r="BI611" s="40" t="n"/>
      <c r="BJ611" s="40" t="n"/>
      <c r="BK611" s="40" t="n"/>
      <c r="BL611" s="40" t="n"/>
      <c r="BM611" s="40" t="n"/>
      <c r="BN611" s="40" t="n"/>
      <c r="BO611" s="40" t="n"/>
      <c r="BP611" s="40" t="n"/>
      <c r="BQ611" s="40" t="n"/>
      <c r="BR611" s="40" t="n"/>
      <c r="BS611" s="40" t="n"/>
      <c r="BT611" s="40" t="n"/>
      <c r="BU611" s="40" t="n"/>
      <c r="BV611" s="40" t="n"/>
      <c r="BW611" s="40" t="n"/>
      <c r="BX611" s="40" t="n"/>
      <c r="BY611" s="40" t="n"/>
      <c r="BZ611" s="40" t="n"/>
      <c r="CA611" s="40" t="n"/>
      <c r="CB611" s="40" t="n"/>
      <c r="CC611" s="40" t="n"/>
      <c r="CD611" s="40" t="n"/>
      <c r="CE611" s="40" t="n"/>
      <c r="CF611" s="40" t="n"/>
      <c r="CG611" s="40" t="n"/>
      <c r="CH611" s="40" t="n"/>
      <c r="CI611" s="40" t="n"/>
      <c r="CJ611" s="40" t="n"/>
      <c r="CK611" s="40" t="n"/>
      <c r="CL611" s="40" t="n"/>
      <c r="CM611" s="40" t="n"/>
      <c r="CN611" s="40" t="n"/>
      <c r="CO611" s="40" t="n"/>
      <c r="CP611" s="40" t="n"/>
      <c r="CQ611" s="40" t="n"/>
      <c r="CR611" s="40" t="n"/>
      <c r="CS611" s="40" t="n"/>
      <c r="CT611" s="40" t="n"/>
      <c r="CU611" s="40" t="n"/>
      <c r="CV611" s="40" t="n"/>
      <c r="CW611" s="40" t="n"/>
      <c r="CX611" s="40" t="n"/>
      <c r="CY611" s="40" t="n"/>
      <c r="CZ611" s="40" t="n"/>
      <c r="DA611" s="40" t="n"/>
      <c r="DB611" s="40" t="n"/>
      <c r="DC611" s="40" t="n"/>
      <c r="DD611" s="40" t="inlineStr">
        <is>
          <t>IRIS2487</t>
        </is>
      </c>
      <c r="DE611" s="40" t="inlineStr">
        <is>
          <t>Employee</t>
        </is>
      </c>
      <c r="DF611" s="40" t="inlineStr">
        <is>
          <t>Active</t>
        </is>
      </c>
      <c r="DG611" s="40" t="inlineStr">
        <is>
          <t>Sayali Deshpande</t>
        </is>
      </c>
      <c r="DH611" s="40" t="inlineStr">
        <is>
          <t>05 Mar 2026</t>
        </is>
      </c>
      <c r="DI611" s="40" t="inlineStr">
        <is>
          <t>UI / UX Designer</t>
        </is>
      </c>
      <c r="DJ611" s="40" t="inlineStr">
        <is>
          <t>Engineering &amp; Development</t>
        </is>
      </c>
      <c r="DK611" s="40" t="inlineStr">
        <is>
          <t>Frontend / UI Engineering</t>
        </is>
      </c>
      <c r="DL611" s="40" t="inlineStr">
        <is>
          <t>UI / UX Designer</t>
        </is>
      </c>
      <c r="DM611" s="40" t="inlineStr">
        <is>
          <t>L3 – Professional / Associate</t>
        </is>
      </c>
      <c r="DN611" s="40" t="inlineStr">
        <is>
          <t>Bachelor of Design</t>
        </is>
      </c>
      <c r="DO611" s="40" t="inlineStr">
        <is>
          <t>Nilesh Majumdar</t>
        </is>
      </c>
      <c r="DP611" s="40" t="inlineStr">
        <is>
          <t>N-3</t>
        </is>
      </c>
      <c r="DQ611" s="40" t="inlineStr">
        <is>
          <t>Individual Contributor</t>
        </is>
      </c>
      <c r="DR611" s="40" t="inlineStr">
        <is>
          <t>4 years, 2 months, 0 days</t>
        </is>
      </c>
      <c r="DS611" s="40" t="inlineStr">
        <is>
          <t>0 years, 3 months, 15 days</t>
        </is>
      </c>
      <c r="DT611" s="40" t="inlineStr">
        <is>
          <t>4 years, 5 months, 15 days</t>
        </is>
      </c>
      <c r="DU611" s="40" t="n"/>
      <c r="DV611" s="40" t="inlineStr">
        <is>
          <t>Datatech</t>
        </is>
      </c>
      <c r="DW611" s="40" t="inlineStr">
        <is>
          <t>Datatech</t>
        </is>
      </c>
      <c r="DX611" s="40" t="inlineStr">
        <is>
          <t>Technology</t>
        </is>
      </c>
      <c r="DY611" s="40" t="inlineStr">
        <is>
          <t>Development</t>
        </is>
      </c>
      <c r="DZ611" s="40" t="inlineStr">
        <is>
          <t>Yes</t>
        </is>
      </c>
      <c r="EA611" s="40" t="inlineStr">
        <is>
          <t>Product/Project</t>
        </is>
      </c>
      <c r="EB611" s="40" t="inlineStr">
        <is>
          <t>UI/UX Designer</t>
        </is>
      </c>
      <c r="EC611" s="40" t="inlineStr">
        <is>
          <t>Technical - Developer</t>
        </is>
      </c>
      <c r="ED611" s="40" t="n"/>
      <c r="EE611" s="40" t="n"/>
      <c r="EF611" s="40" t="n"/>
      <c r="EG611" s="40" t="n"/>
      <c r="EH611" s="40" t="n"/>
      <c r="EI611" s="40" t="n"/>
      <c r="EJ611" s="40" t="inlineStr">
        <is>
          <t>UI / UX Designer</t>
        </is>
      </c>
      <c r="EK611" s="40" t="n"/>
      <c r="EL611" s="40" t="n"/>
      <c r="EM611" s="40" t="n"/>
      <c r="EN611" s="40" t="n"/>
      <c r="EO611" s="40" t="n"/>
      <c r="EP611" s="40" t="inlineStr">
        <is>
          <t>No</t>
        </is>
      </c>
      <c r="EQ611" s="40" t="inlineStr">
        <is>
          <t>Yes</t>
        </is>
      </c>
      <c r="ER611" s="40" t="n"/>
      <c r="ES611" s="40" t="n"/>
      <c r="ET611" s="40" t="n"/>
      <c r="EU611" s="40" t="n"/>
      <c r="EV611" s="40" t="n"/>
      <c r="EW611" s="40" t="n"/>
      <c r="EX611" s="40" t="n"/>
      <c r="EY611" s="40" t="n"/>
      <c r="EZ611" s="40" t="n"/>
      <c r="FA611" s="40" t="n"/>
      <c r="FB611" s="40" t="n"/>
      <c r="FC611" s="40" t="n"/>
      <c r="FD611" s="40" t="n"/>
    </row>
    <row r="612" ht="60" customHeight="1">
      <c r="A612" s="58" t="n"/>
      <c r="B612" s="59" t="inlineStr">
        <is>
          <t>NOT YET MAPPED</t>
        </is>
      </c>
      <c r="C612" s="40" t="inlineStr">
        <is>
          <t>Datatech</t>
        </is>
      </c>
      <c r="D612" s="40" t="inlineStr">
        <is>
          <t>IRIS2371</t>
        </is>
      </c>
      <c r="E612" s="40" t="inlineStr">
        <is>
          <t>Andekar Vignesh</t>
        </is>
      </c>
      <c r="F612" s="40" t="n"/>
      <c r="G612" s="40" t="n"/>
      <c r="H612" s="40" t="n"/>
      <c r="I612" s="40" t="n"/>
      <c r="J612" s="40" t="n"/>
      <c r="K612" s="40" t="n"/>
      <c r="L612" s="40" t="n"/>
      <c r="M612" s="40" t="n"/>
      <c r="N612" s="40" t="n"/>
      <c r="O612" s="40" t="n"/>
      <c r="P612" s="40" t="n"/>
      <c r="Q612" s="40" t="n"/>
      <c r="R612" s="40" t="n"/>
      <c r="S612" s="40" t="n"/>
      <c r="T612" s="40" t="n"/>
      <c r="U612" s="40" t="n"/>
      <c r="V612" s="40" t="n"/>
      <c r="W612" s="40" t="n"/>
      <c r="X612" s="40" t="n"/>
      <c r="Y612" s="40" t="n"/>
      <c r="Z612" s="40" t="n"/>
      <c r="AA612" s="40" t="n"/>
      <c r="AB612" s="40" t="n"/>
      <c r="AC612" s="40" t="n"/>
      <c r="AD612" s="40" t="n"/>
      <c r="AE612" s="40" t="n"/>
      <c r="AF612" s="40" t="n"/>
      <c r="AG612" s="40" t="n"/>
      <c r="AH612" s="40" t="n"/>
      <c r="AI612" s="40" t="n"/>
      <c r="AJ612" s="40" t="n"/>
      <c r="AK612" s="40" t="n"/>
      <c r="AL612" s="40" t="n"/>
      <c r="AM612" s="40" t="n"/>
      <c r="AN612" s="40" t="n"/>
      <c r="AO612" s="40" t="n"/>
      <c r="AP612" s="40" t="n"/>
      <c r="AQ612" s="40" t="n"/>
      <c r="AR612" s="40" t="n"/>
      <c r="AS612" s="40" t="n"/>
      <c r="AT612" s="40" t="n"/>
      <c r="AU612" s="40" t="n"/>
      <c r="AV612" s="40" t="n"/>
      <c r="AW612" s="40" t="n"/>
      <c r="AX612" s="40" t="n"/>
      <c r="AY612" s="40" t="n"/>
      <c r="AZ612" s="40" t="n"/>
      <c r="BA612" s="40" t="n"/>
      <c r="BB612" s="40" t="n"/>
      <c r="BC612" s="40" t="n"/>
      <c r="BD612" s="40" t="n"/>
      <c r="BE612" s="40" t="n"/>
      <c r="BF612" s="40" t="n"/>
      <c r="BG612" s="40" t="n"/>
      <c r="BH612" s="40" t="n"/>
      <c r="BI612" s="40" t="n"/>
      <c r="BJ612" s="40" t="n"/>
      <c r="BK612" s="40" t="n"/>
      <c r="BL612" s="40" t="n"/>
      <c r="BM612" s="40" t="n"/>
      <c r="BN612" s="40" t="n"/>
      <c r="BO612" s="40" t="n"/>
      <c r="BP612" s="40" t="n"/>
      <c r="BQ612" s="40" t="n"/>
      <c r="BR612" s="40" t="n"/>
      <c r="BS612" s="40" t="n"/>
      <c r="BT612" s="40" t="n"/>
      <c r="BU612" s="40" t="n"/>
      <c r="BV612" s="40" t="n"/>
      <c r="BW612" s="40" t="n"/>
      <c r="BX612" s="40" t="n"/>
      <c r="BY612" s="40" t="n"/>
      <c r="BZ612" s="40" t="n"/>
      <c r="CA612" s="40" t="n"/>
      <c r="CB612" s="40" t="n"/>
      <c r="CC612" s="40" t="n"/>
      <c r="CD612" s="40" t="n"/>
      <c r="CE612" s="40" t="n"/>
      <c r="CF612" s="40" t="n"/>
      <c r="CG612" s="40" t="n"/>
      <c r="CH612" s="40" t="n"/>
      <c r="CI612" s="40" t="n"/>
      <c r="CJ612" s="40" t="n"/>
      <c r="CK612" s="40" t="n"/>
      <c r="CL612" s="40" t="n"/>
      <c r="CM612" s="40" t="n"/>
      <c r="CN612" s="40" t="n"/>
      <c r="CO612" s="40" t="n"/>
      <c r="CP612" s="40" t="n"/>
      <c r="CQ612" s="40" t="n"/>
      <c r="CR612" s="40" t="n"/>
      <c r="CS612" s="40" t="n"/>
      <c r="CT612" s="40" t="n"/>
      <c r="CU612" s="40" t="n"/>
      <c r="CV612" s="40" t="n"/>
      <c r="CW612" s="40" t="n"/>
      <c r="CX612" s="40" t="n"/>
      <c r="CY612" s="40" t="n"/>
      <c r="CZ612" s="40" t="n"/>
      <c r="DA612" s="40" t="n"/>
      <c r="DB612" s="40" t="n"/>
      <c r="DC612" s="40" t="n"/>
      <c r="DD612" s="40" t="inlineStr">
        <is>
          <t>IRIS2371</t>
        </is>
      </c>
      <c r="DE612" s="40" t="inlineStr">
        <is>
          <t>Employee</t>
        </is>
      </c>
      <c r="DF612" s="40" t="inlineStr">
        <is>
          <t>Active</t>
        </is>
      </c>
      <c r="DG612" s="40" t="inlineStr">
        <is>
          <t>Andekar Vignesh</t>
        </is>
      </c>
      <c r="DH612" s="40" t="inlineStr">
        <is>
          <t>02 May 2025</t>
        </is>
      </c>
      <c r="DI612" s="40" t="inlineStr">
        <is>
          <t>Program Executive - MSME</t>
        </is>
      </c>
      <c r="DJ612" s="40" t="inlineStr">
        <is>
          <t>Project &amp; Program Management</t>
        </is>
      </c>
      <c r="DK612" s="40" t="inlineStr">
        <is>
          <t>Program Management</t>
        </is>
      </c>
      <c r="DL612" s="40" t="inlineStr">
        <is>
          <t>Program Executive - MSME</t>
        </is>
      </c>
      <c r="DM612" s="40" t="inlineStr">
        <is>
          <t>L3 – Professional / Associate</t>
        </is>
      </c>
      <c r="DN612" s="40" t="inlineStr">
        <is>
          <t>B.Com</t>
        </is>
      </c>
      <c r="DO612" s="40" t="inlineStr">
        <is>
          <t>Nalini Niranjan Damisetti</t>
        </is>
      </c>
      <c r="DP612" s="40" t="inlineStr">
        <is>
          <t>N-4</t>
        </is>
      </c>
      <c r="DQ612" s="40" t="inlineStr">
        <is>
          <t>Individual Contributor</t>
        </is>
      </c>
      <c r="DR612" s="40" t="inlineStr">
        <is>
          <t>0 years, 6 months, 0 days</t>
        </is>
      </c>
      <c r="DS612" s="40" t="inlineStr">
        <is>
          <t>1 years, 1 months, 18 days</t>
        </is>
      </c>
      <c r="DT612" s="40" t="inlineStr">
        <is>
          <t>1 years, 7 months, 18 days</t>
        </is>
      </c>
      <c r="DU612" s="40" t="n"/>
      <c r="DV612" s="40" t="inlineStr">
        <is>
          <t>Datatech</t>
        </is>
      </c>
      <c r="DW612" s="40" t="inlineStr">
        <is>
          <t>Datatech</t>
        </is>
      </c>
      <c r="DX612" s="40" t="inlineStr">
        <is>
          <t>Datatech - Outreach</t>
        </is>
      </c>
      <c r="DY612" s="40" t="inlineStr">
        <is>
          <t>Sales</t>
        </is>
      </c>
      <c r="DZ612" s="40" t="inlineStr">
        <is>
          <t>No</t>
        </is>
      </c>
      <c r="EA612" s="40" t="inlineStr">
        <is>
          <t>Sales, Marketing &amp; Support</t>
        </is>
      </c>
      <c r="EB612" s="40" t="inlineStr">
        <is>
          <t>Sales</t>
        </is>
      </c>
      <c r="EC612" s="40" t="inlineStr">
        <is>
          <t>Non-technical</t>
        </is>
      </c>
      <c r="ED612" s="40" t="n"/>
      <c r="EE612" s="40" t="n"/>
      <c r="EF612" s="40" t="n"/>
      <c r="EG612" s="40" t="n"/>
      <c r="EH612" s="40" t="n"/>
      <c r="EI612" s="40" t="n"/>
      <c r="EJ612" s="40" t="inlineStr">
        <is>
          <t>Program Executive - MSME</t>
        </is>
      </c>
      <c r="EK612" s="40" t="n"/>
      <c r="EL612" s="40" t="n"/>
      <c r="EM612" s="40" t="n"/>
      <c r="EN612" s="40" t="n"/>
      <c r="EO612" s="40" t="n"/>
      <c r="EP612" s="40" t="inlineStr">
        <is>
          <t>No</t>
        </is>
      </c>
      <c r="EQ612" s="40" t="inlineStr">
        <is>
          <t>No</t>
        </is>
      </c>
      <c r="ER612" s="40" t="n"/>
      <c r="ES612" s="40" t="n"/>
      <c r="ET612" s="40" t="n"/>
      <c r="EU612" s="40" t="n"/>
      <c r="EV612" s="40" t="n"/>
      <c r="EW612" s="40" t="n"/>
      <c r="EX612" s="40" t="n"/>
      <c r="EY612" s="40" t="n"/>
      <c r="EZ612" s="40" t="n"/>
      <c r="FA612" s="40" t="n"/>
      <c r="FB612" s="40" t="n"/>
      <c r="FC612" s="40" t="n"/>
      <c r="FD612" s="40" t="n"/>
    </row>
  </sheetData>
  <autoFilter ref="A6:FU612"/>
  <mergeCells count="8">
    <mergeCell ref="P4:Q4"/>
    <mergeCell ref="E4:F4"/>
    <mergeCell ref="A4:D4"/>
    <mergeCell ref="M4:O4"/>
    <mergeCell ref="H4:I4"/>
    <mergeCell ref="K4:L4"/>
    <mergeCell ref="R4:S4"/>
    <mergeCell ref="A2:P2"/>
  </mergeCells>
  <hyperlinks>
    <hyperlink xmlns:r="http://schemas.openxmlformats.org/officeDocument/2006/relationships" ref="Q1" r:id="rId1"/>
    <hyperlink xmlns:r="http://schemas.openxmlformats.org/officeDocument/2006/relationships" ref="A7" r:id="rId2"/>
    <hyperlink xmlns:r="http://schemas.openxmlformats.org/officeDocument/2006/relationships" ref="A8" r:id="rId3"/>
    <hyperlink xmlns:r="http://schemas.openxmlformats.org/officeDocument/2006/relationships" ref="A9" r:id="rId4"/>
    <hyperlink xmlns:r="http://schemas.openxmlformats.org/officeDocument/2006/relationships" ref="A10" r:id="rId5"/>
    <hyperlink xmlns:r="http://schemas.openxmlformats.org/officeDocument/2006/relationships" ref="A11" r:id="rId6"/>
    <hyperlink xmlns:r="http://schemas.openxmlformats.org/officeDocument/2006/relationships" ref="A12" r:id="rId7"/>
    <hyperlink xmlns:r="http://schemas.openxmlformats.org/officeDocument/2006/relationships" ref="A13" r:id="rId8"/>
    <hyperlink xmlns:r="http://schemas.openxmlformats.org/officeDocument/2006/relationships" ref="A14" r:id="rId9"/>
    <hyperlink xmlns:r="http://schemas.openxmlformats.org/officeDocument/2006/relationships" ref="A15" r:id="rId10"/>
    <hyperlink xmlns:r="http://schemas.openxmlformats.org/officeDocument/2006/relationships" ref="A16" r:id="rId11"/>
    <hyperlink xmlns:r="http://schemas.openxmlformats.org/officeDocument/2006/relationships" ref="A17" r:id="rId12"/>
    <hyperlink xmlns:r="http://schemas.openxmlformats.org/officeDocument/2006/relationships" ref="A18" r:id="rId13"/>
    <hyperlink xmlns:r="http://schemas.openxmlformats.org/officeDocument/2006/relationships" ref="A19" r:id="rId14"/>
    <hyperlink xmlns:r="http://schemas.openxmlformats.org/officeDocument/2006/relationships" ref="A20" r:id="rId15"/>
    <hyperlink xmlns:r="http://schemas.openxmlformats.org/officeDocument/2006/relationships" ref="A21" r:id="rId16"/>
    <hyperlink xmlns:r="http://schemas.openxmlformats.org/officeDocument/2006/relationships" ref="A22" r:id="rId17"/>
    <hyperlink xmlns:r="http://schemas.openxmlformats.org/officeDocument/2006/relationships" ref="A23" r:id="rId18"/>
    <hyperlink xmlns:r="http://schemas.openxmlformats.org/officeDocument/2006/relationships" ref="A24" r:id="rId19"/>
    <hyperlink xmlns:r="http://schemas.openxmlformats.org/officeDocument/2006/relationships" ref="A25" r:id="rId20"/>
    <hyperlink xmlns:r="http://schemas.openxmlformats.org/officeDocument/2006/relationships" ref="A26" r:id="rId21"/>
    <hyperlink xmlns:r="http://schemas.openxmlformats.org/officeDocument/2006/relationships" ref="A27" r:id="rId22"/>
    <hyperlink xmlns:r="http://schemas.openxmlformats.org/officeDocument/2006/relationships" ref="A28" r:id="rId23"/>
    <hyperlink xmlns:r="http://schemas.openxmlformats.org/officeDocument/2006/relationships" ref="A29" r:id="rId24"/>
    <hyperlink xmlns:r="http://schemas.openxmlformats.org/officeDocument/2006/relationships" ref="A30" r:id="rId25"/>
    <hyperlink xmlns:r="http://schemas.openxmlformats.org/officeDocument/2006/relationships" ref="A31" r:id="rId26"/>
    <hyperlink xmlns:r="http://schemas.openxmlformats.org/officeDocument/2006/relationships" ref="A32" r:id="rId27"/>
    <hyperlink xmlns:r="http://schemas.openxmlformats.org/officeDocument/2006/relationships" ref="A33" r:id="rId28"/>
    <hyperlink xmlns:r="http://schemas.openxmlformats.org/officeDocument/2006/relationships" ref="A34" r:id="rId29"/>
    <hyperlink xmlns:r="http://schemas.openxmlformats.org/officeDocument/2006/relationships" ref="A35" r:id="rId30"/>
    <hyperlink xmlns:r="http://schemas.openxmlformats.org/officeDocument/2006/relationships" ref="A36" r:id="rId31"/>
    <hyperlink xmlns:r="http://schemas.openxmlformats.org/officeDocument/2006/relationships" ref="A37" r:id="rId32"/>
    <hyperlink xmlns:r="http://schemas.openxmlformats.org/officeDocument/2006/relationships" ref="A38" r:id="rId33"/>
    <hyperlink xmlns:r="http://schemas.openxmlformats.org/officeDocument/2006/relationships" ref="A39" r:id="rId34"/>
    <hyperlink xmlns:r="http://schemas.openxmlformats.org/officeDocument/2006/relationships" ref="A40" r:id="rId35"/>
    <hyperlink xmlns:r="http://schemas.openxmlformats.org/officeDocument/2006/relationships" ref="A41" r:id="rId36"/>
    <hyperlink xmlns:r="http://schemas.openxmlformats.org/officeDocument/2006/relationships" ref="A42" r:id="rId37"/>
    <hyperlink xmlns:r="http://schemas.openxmlformats.org/officeDocument/2006/relationships" ref="A43" r:id="rId38"/>
    <hyperlink xmlns:r="http://schemas.openxmlformats.org/officeDocument/2006/relationships" ref="A44" r:id="rId39"/>
    <hyperlink xmlns:r="http://schemas.openxmlformats.org/officeDocument/2006/relationships" ref="A45" r:id="rId40"/>
    <hyperlink xmlns:r="http://schemas.openxmlformats.org/officeDocument/2006/relationships" ref="A46" r:id="rId41"/>
    <hyperlink xmlns:r="http://schemas.openxmlformats.org/officeDocument/2006/relationships" ref="A47" r:id="rId42"/>
    <hyperlink xmlns:r="http://schemas.openxmlformats.org/officeDocument/2006/relationships" ref="A48" r:id="rId43"/>
    <hyperlink xmlns:r="http://schemas.openxmlformats.org/officeDocument/2006/relationships" ref="A49" r:id="rId44"/>
    <hyperlink xmlns:r="http://schemas.openxmlformats.org/officeDocument/2006/relationships" ref="A50" r:id="rId45"/>
    <hyperlink xmlns:r="http://schemas.openxmlformats.org/officeDocument/2006/relationships" ref="A51" r:id="rId46"/>
    <hyperlink xmlns:r="http://schemas.openxmlformats.org/officeDocument/2006/relationships" ref="A52" r:id="rId47"/>
    <hyperlink xmlns:r="http://schemas.openxmlformats.org/officeDocument/2006/relationships" ref="A53" r:id="rId48"/>
    <hyperlink xmlns:r="http://schemas.openxmlformats.org/officeDocument/2006/relationships" ref="A54" r:id="rId49"/>
    <hyperlink xmlns:r="http://schemas.openxmlformats.org/officeDocument/2006/relationships" ref="A55" r:id="rId50"/>
    <hyperlink xmlns:r="http://schemas.openxmlformats.org/officeDocument/2006/relationships" ref="A56" r:id="rId51"/>
    <hyperlink xmlns:r="http://schemas.openxmlformats.org/officeDocument/2006/relationships" ref="A57" r:id="rId52"/>
    <hyperlink xmlns:r="http://schemas.openxmlformats.org/officeDocument/2006/relationships" ref="A58" r:id="rId53"/>
    <hyperlink xmlns:r="http://schemas.openxmlformats.org/officeDocument/2006/relationships" ref="A59" r:id="rId54"/>
    <hyperlink xmlns:r="http://schemas.openxmlformats.org/officeDocument/2006/relationships" ref="A60" r:id="rId55"/>
    <hyperlink xmlns:r="http://schemas.openxmlformats.org/officeDocument/2006/relationships" ref="A61" r:id="rId56"/>
    <hyperlink xmlns:r="http://schemas.openxmlformats.org/officeDocument/2006/relationships" ref="A62" r:id="rId57"/>
    <hyperlink xmlns:r="http://schemas.openxmlformats.org/officeDocument/2006/relationships" ref="A63" r:id="rId58"/>
    <hyperlink xmlns:r="http://schemas.openxmlformats.org/officeDocument/2006/relationships" ref="A64" r:id="rId59"/>
    <hyperlink xmlns:r="http://schemas.openxmlformats.org/officeDocument/2006/relationships" ref="A65" r:id="rId60"/>
    <hyperlink xmlns:r="http://schemas.openxmlformats.org/officeDocument/2006/relationships" ref="A66" r:id="rId61"/>
    <hyperlink xmlns:r="http://schemas.openxmlformats.org/officeDocument/2006/relationships" ref="A67" r:id="rId62"/>
    <hyperlink xmlns:r="http://schemas.openxmlformats.org/officeDocument/2006/relationships" ref="A68" r:id="rId63"/>
    <hyperlink xmlns:r="http://schemas.openxmlformats.org/officeDocument/2006/relationships" ref="A69" r:id="rId64"/>
    <hyperlink xmlns:r="http://schemas.openxmlformats.org/officeDocument/2006/relationships" ref="A70" r:id="rId65"/>
    <hyperlink xmlns:r="http://schemas.openxmlformats.org/officeDocument/2006/relationships" ref="A71" r:id="rId66"/>
    <hyperlink xmlns:r="http://schemas.openxmlformats.org/officeDocument/2006/relationships" ref="A72" r:id="rId67"/>
    <hyperlink xmlns:r="http://schemas.openxmlformats.org/officeDocument/2006/relationships" ref="A73" r:id="rId68"/>
    <hyperlink xmlns:r="http://schemas.openxmlformats.org/officeDocument/2006/relationships" ref="A74" r:id="rId69"/>
    <hyperlink xmlns:r="http://schemas.openxmlformats.org/officeDocument/2006/relationships" ref="A75" r:id="rId70"/>
    <hyperlink xmlns:r="http://schemas.openxmlformats.org/officeDocument/2006/relationships" ref="A76" r:id="rId71"/>
    <hyperlink xmlns:r="http://schemas.openxmlformats.org/officeDocument/2006/relationships" ref="A77" r:id="rId72"/>
    <hyperlink xmlns:r="http://schemas.openxmlformats.org/officeDocument/2006/relationships" ref="A78" r:id="rId73"/>
    <hyperlink xmlns:r="http://schemas.openxmlformats.org/officeDocument/2006/relationships" ref="A79" r:id="rId74"/>
    <hyperlink xmlns:r="http://schemas.openxmlformats.org/officeDocument/2006/relationships" ref="A80" r:id="rId75"/>
    <hyperlink xmlns:r="http://schemas.openxmlformats.org/officeDocument/2006/relationships" ref="A81" r:id="rId76"/>
    <hyperlink xmlns:r="http://schemas.openxmlformats.org/officeDocument/2006/relationships" ref="A82" r:id="rId77"/>
    <hyperlink xmlns:r="http://schemas.openxmlformats.org/officeDocument/2006/relationships" ref="A83" r:id="rId78"/>
    <hyperlink xmlns:r="http://schemas.openxmlformats.org/officeDocument/2006/relationships" ref="A84" r:id="rId79"/>
    <hyperlink xmlns:r="http://schemas.openxmlformats.org/officeDocument/2006/relationships" ref="A85" r:id="rId80"/>
    <hyperlink xmlns:r="http://schemas.openxmlformats.org/officeDocument/2006/relationships" ref="A86" r:id="rId81"/>
    <hyperlink xmlns:r="http://schemas.openxmlformats.org/officeDocument/2006/relationships" ref="A87" r:id="rId82"/>
    <hyperlink xmlns:r="http://schemas.openxmlformats.org/officeDocument/2006/relationships" ref="A88" r:id="rId83"/>
    <hyperlink xmlns:r="http://schemas.openxmlformats.org/officeDocument/2006/relationships" ref="A89" r:id="rId84"/>
    <hyperlink xmlns:r="http://schemas.openxmlformats.org/officeDocument/2006/relationships" ref="A90" r:id="rId85"/>
    <hyperlink xmlns:r="http://schemas.openxmlformats.org/officeDocument/2006/relationships" ref="A91" r:id="rId86"/>
    <hyperlink xmlns:r="http://schemas.openxmlformats.org/officeDocument/2006/relationships" ref="A92" r:id="rId87"/>
    <hyperlink xmlns:r="http://schemas.openxmlformats.org/officeDocument/2006/relationships" ref="A93" r:id="rId88"/>
    <hyperlink xmlns:r="http://schemas.openxmlformats.org/officeDocument/2006/relationships" ref="A94" r:id="rId89"/>
    <hyperlink xmlns:r="http://schemas.openxmlformats.org/officeDocument/2006/relationships" ref="A95" r:id="rId90"/>
    <hyperlink xmlns:r="http://schemas.openxmlformats.org/officeDocument/2006/relationships" ref="A96" r:id="rId91"/>
    <hyperlink xmlns:r="http://schemas.openxmlformats.org/officeDocument/2006/relationships" ref="A97" r:id="rId92"/>
    <hyperlink xmlns:r="http://schemas.openxmlformats.org/officeDocument/2006/relationships" ref="A98" r:id="rId93"/>
    <hyperlink xmlns:r="http://schemas.openxmlformats.org/officeDocument/2006/relationships" ref="A99" r:id="rId94"/>
    <hyperlink xmlns:r="http://schemas.openxmlformats.org/officeDocument/2006/relationships" ref="A100" r:id="rId95"/>
    <hyperlink xmlns:r="http://schemas.openxmlformats.org/officeDocument/2006/relationships" ref="A101" r:id="rId96"/>
    <hyperlink xmlns:r="http://schemas.openxmlformats.org/officeDocument/2006/relationships" ref="A102" r:id="rId97"/>
    <hyperlink xmlns:r="http://schemas.openxmlformats.org/officeDocument/2006/relationships" ref="A103" r:id="rId98"/>
    <hyperlink xmlns:r="http://schemas.openxmlformats.org/officeDocument/2006/relationships" ref="A104" r:id="rId99"/>
    <hyperlink xmlns:r="http://schemas.openxmlformats.org/officeDocument/2006/relationships" ref="A105" r:id="rId100"/>
    <hyperlink xmlns:r="http://schemas.openxmlformats.org/officeDocument/2006/relationships" ref="A106" r:id="rId101"/>
    <hyperlink xmlns:r="http://schemas.openxmlformats.org/officeDocument/2006/relationships" ref="A107" r:id="rId102"/>
    <hyperlink xmlns:r="http://schemas.openxmlformats.org/officeDocument/2006/relationships" ref="A108" r:id="rId103"/>
    <hyperlink xmlns:r="http://schemas.openxmlformats.org/officeDocument/2006/relationships" ref="A109" r:id="rId104"/>
    <hyperlink xmlns:r="http://schemas.openxmlformats.org/officeDocument/2006/relationships" ref="A110" r:id="rId105"/>
    <hyperlink xmlns:r="http://schemas.openxmlformats.org/officeDocument/2006/relationships" ref="A111" r:id="rId106"/>
    <hyperlink xmlns:r="http://schemas.openxmlformats.org/officeDocument/2006/relationships" ref="A112" r:id="rId107"/>
    <hyperlink xmlns:r="http://schemas.openxmlformats.org/officeDocument/2006/relationships" ref="A113" r:id="rId108"/>
    <hyperlink xmlns:r="http://schemas.openxmlformats.org/officeDocument/2006/relationships" ref="A114" r:id="rId109"/>
    <hyperlink xmlns:r="http://schemas.openxmlformats.org/officeDocument/2006/relationships" ref="A115" r:id="rId110"/>
    <hyperlink xmlns:r="http://schemas.openxmlformats.org/officeDocument/2006/relationships" ref="A116" r:id="rId111"/>
    <hyperlink xmlns:r="http://schemas.openxmlformats.org/officeDocument/2006/relationships" ref="A117" r:id="rId112"/>
    <hyperlink xmlns:r="http://schemas.openxmlformats.org/officeDocument/2006/relationships" ref="A118" r:id="rId113"/>
    <hyperlink xmlns:r="http://schemas.openxmlformats.org/officeDocument/2006/relationships" ref="A119" r:id="rId114"/>
    <hyperlink xmlns:r="http://schemas.openxmlformats.org/officeDocument/2006/relationships" ref="A120" r:id="rId115"/>
    <hyperlink xmlns:r="http://schemas.openxmlformats.org/officeDocument/2006/relationships" ref="A121" r:id="rId116"/>
    <hyperlink xmlns:r="http://schemas.openxmlformats.org/officeDocument/2006/relationships" ref="A122" r:id="rId117"/>
    <hyperlink xmlns:r="http://schemas.openxmlformats.org/officeDocument/2006/relationships" ref="A123" r:id="rId118"/>
    <hyperlink xmlns:r="http://schemas.openxmlformats.org/officeDocument/2006/relationships" ref="A124" r:id="rId119"/>
    <hyperlink xmlns:r="http://schemas.openxmlformats.org/officeDocument/2006/relationships" ref="A125" r:id="rId120"/>
    <hyperlink xmlns:r="http://schemas.openxmlformats.org/officeDocument/2006/relationships" ref="A126" r:id="rId121"/>
    <hyperlink xmlns:r="http://schemas.openxmlformats.org/officeDocument/2006/relationships" ref="A127" r:id="rId122"/>
    <hyperlink xmlns:r="http://schemas.openxmlformats.org/officeDocument/2006/relationships" ref="A128" r:id="rId123"/>
    <hyperlink xmlns:r="http://schemas.openxmlformats.org/officeDocument/2006/relationships" ref="A129" r:id="rId124"/>
    <hyperlink xmlns:r="http://schemas.openxmlformats.org/officeDocument/2006/relationships" ref="A130" r:id="rId125"/>
    <hyperlink xmlns:r="http://schemas.openxmlformats.org/officeDocument/2006/relationships" ref="A131" r:id="rId126"/>
    <hyperlink xmlns:r="http://schemas.openxmlformats.org/officeDocument/2006/relationships" ref="A132" r:id="rId127"/>
    <hyperlink xmlns:r="http://schemas.openxmlformats.org/officeDocument/2006/relationships" ref="A133" r:id="rId128"/>
    <hyperlink xmlns:r="http://schemas.openxmlformats.org/officeDocument/2006/relationships" ref="A134" r:id="rId129"/>
    <hyperlink xmlns:r="http://schemas.openxmlformats.org/officeDocument/2006/relationships" ref="A135" r:id="rId130"/>
    <hyperlink xmlns:r="http://schemas.openxmlformats.org/officeDocument/2006/relationships" ref="A136" r:id="rId131"/>
    <hyperlink xmlns:r="http://schemas.openxmlformats.org/officeDocument/2006/relationships" ref="A137" r:id="rId132"/>
    <hyperlink xmlns:r="http://schemas.openxmlformats.org/officeDocument/2006/relationships" ref="A138" r:id="rId133"/>
    <hyperlink xmlns:r="http://schemas.openxmlformats.org/officeDocument/2006/relationships" ref="A139" r:id="rId134"/>
    <hyperlink xmlns:r="http://schemas.openxmlformats.org/officeDocument/2006/relationships" ref="A140" r:id="rId135"/>
    <hyperlink xmlns:r="http://schemas.openxmlformats.org/officeDocument/2006/relationships" ref="A141" r:id="rId136"/>
    <hyperlink xmlns:r="http://schemas.openxmlformats.org/officeDocument/2006/relationships" ref="A142" r:id="rId137"/>
    <hyperlink xmlns:r="http://schemas.openxmlformats.org/officeDocument/2006/relationships" ref="A143" r:id="rId138"/>
    <hyperlink xmlns:r="http://schemas.openxmlformats.org/officeDocument/2006/relationships" ref="A144" r:id="rId139"/>
    <hyperlink xmlns:r="http://schemas.openxmlformats.org/officeDocument/2006/relationships" ref="A145" r:id="rId140"/>
    <hyperlink xmlns:r="http://schemas.openxmlformats.org/officeDocument/2006/relationships" ref="A146" r:id="rId141"/>
    <hyperlink xmlns:r="http://schemas.openxmlformats.org/officeDocument/2006/relationships" ref="A147" r:id="rId142"/>
    <hyperlink xmlns:r="http://schemas.openxmlformats.org/officeDocument/2006/relationships" ref="A148" r:id="rId143"/>
    <hyperlink xmlns:r="http://schemas.openxmlformats.org/officeDocument/2006/relationships" ref="A149" r:id="rId144"/>
    <hyperlink xmlns:r="http://schemas.openxmlformats.org/officeDocument/2006/relationships" ref="A150" r:id="rId145"/>
    <hyperlink xmlns:r="http://schemas.openxmlformats.org/officeDocument/2006/relationships" ref="A151" r:id="rId146"/>
    <hyperlink xmlns:r="http://schemas.openxmlformats.org/officeDocument/2006/relationships" ref="A152" r:id="rId147"/>
    <hyperlink xmlns:r="http://schemas.openxmlformats.org/officeDocument/2006/relationships" ref="A153" r:id="rId148"/>
    <hyperlink xmlns:r="http://schemas.openxmlformats.org/officeDocument/2006/relationships" ref="A154" r:id="rId149"/>
    <hyperlink xmlns:r="http://schemas.openxmlformats.org/officeDocument/2006/relationships" ref="A155" r:id="rId150"/>
    <hyperlink xmlns:r="http://schemas.openxmlformats.org/officeDocument/2006/relationships" ref="A156" r:id="rId151"/>
    <hyperlink xmlns:r="http://schemas.openxmlformats.org/officeDocument/2006/relationships" ref="A157" r:id="rId152"/>
    <hyperlink xmlns:r="http://schemas.openxmlformats.org/officeDocument/2006/relationships" ref="A158" r:id="rId153"/>
    <hyperlink xmlns:r="http://schemas.openxmlformats.org/officeDocument/2006/relationships" ref="A159" r:id="rId154"/>
    <hyperlink xmlns:r="http://schemas.openxmlformats.org/officeDocument/2006/relationships" ref="A160" r:id="rId155"/>
    <hyperlink xmlns:r="http://schemas.openxmlformats.org/officeDocument/2006/relationships" ref="A161" r:id="rId156"/>
    <hyperlink xmlns:r="http://schemas.openxmlformats.org/officeDocument/2006/relationships" ref="A162" r:id="rId157"/>
    <hyperlink xmlns:r="http://schemas.openxmlformats.org/officeDocument/2006/relationships" ref="A163" r:id="rId158"/>
    <hyperlink xmlns:r="http://schemas.openxmlformats.org/officeDocument/2006/relationships" ref="A164" r:id="rId159"/>
    <hyperlink xmlns:r="http://schemas.openxmlformats.org/officeDocument/2006/relationships" ref="A165" r:id="rId160"/>
    <hyperlink xmlns:r="http://schemas.openxmlformats.org/officeDocument/2006/relationships" ref="A166" r:id="rId161"/>
    <hyperlink xmlns:r="http://schemas.openxmlformats.org/officeDocument/2006/relationships" ref="A167" r:id="rId162"/>
    <hyperlink xmlns:r="http://schemas.openxmlformats.org/officeDocument/2006/relationships" ref="A168" r:id="rId163"/>
    <hyperlink xmlns:r="http://schemas.openxmlformats.org/officeDocument/2006/relationships" ref="A169" r:id="rId164"/>
    <hyperlink xmlns:r="http://schemas.openxmlformats.org/officeDocument/2006/relationships" ref="A170" r:id="rId165"/>
    <hyperlink xmlns:r="http://schemas.openxmlformats.org/officeDocument/2006/relationships" ref="A171" r:id="rId166"/>
    <hyperlink xmlns:r="http://schemas.openxmlformats.org/officeDocument/2006/relationships" ref="A172" r:id="rId167"/>
    <hyperlink xmlns:r="http://schemas.openxmlformats.org/officeDocument/2006/relationships" ref="A173" r:id="rId168"/>
    <hyperlink xmlns:r="http://schemas.openxmlformats.org/officeDocument/2006/relationships" ref="A174" r:id="rId169"/>
    <hyperlink xmlns:r="http://schemas.openxmlformats.org/officeDocument/2006/relationships" ref="A175" r:id="rId170"/>
    <hyperlink xmlns:r="http://schemas.openxmlformats.org/officeDocument/2006/relationships" ref="A176" r:id="rId171"/>
    <hyperlink xmlns:r="http://schemas.openxmlformats.org/officeDocument/2006/relationships" ref="A177" r:id="rId172"/>
    <hyperlink xmlns:r="http://schemas.openxmlformats.org/officeDocument/2006/relationships" ref="A178" r:id="rId173"/>
    <hyperlink xmlns:r="http://schemas.openxmlformats.org/officeDocument/2006/relationships" ref="A179" r:id="rId174"/>
    <hyperlink xmlns:r="http://schemas.openxmlformats.org/officeDocument/2006/relationships" ref="A180" r:id="rId175"/>
    <hyperlink xmlns:r="http://schemas.openxmlformats.org/officeDocument/2006/relationships" ref="A181" r:id="rId176"/>
    <hyperlink xmlns:r="http://schemas.openxmlformats.org/officeDocument/2006/relationships" ref="A182" r:id="rId177"/>
    <hyperlink xmlns:r="http://schemas.openxmlformats.org/officeDocument/2006/relationships" ref="A183" r:id="rId178"/>
    <hyperlink xmlns:r="http://schemas.openxmlformats.org/officeDocument/2006/relationships" ref="A184" r:id="rId179"/>
    <hyperlink xmlns:r="http://schemas.openxmlformats.org/officeDocument/2006/relationships" ref="A185" r:id="rId180"/>
    <hyperlink xmlns:r="http://schemas.openxmlformats.org/officeDocument/2006/relationships" ref="A186" r:id="rId181"/>
    <hyperlink xmlns:r="http://schemas.openxmlformats.org/officeDocument/2006/relationships" ref="A187" r:id="rId182"/>
    <hyperlink xmlns:r="http://schemas.openxmlformats.org/officeDocument/2006/relationships" ref="A188" r:id="rId183"/>
    <hyperlink xmlns:r="http://schemas.openxmlformats.org/officeDocument/2006/relationships" ref="A189" r:id="rId184"/>
    <hyperlink xmlns:r="http://schemas.openxmlformats.org/officeDocument/2006/relationships" ref="A190" r:id="rId185"/>
    <hyperlink xmlns:r="http://schemas.openxmlformats.org/officeDocument/2006/relationships" ref="A191" r:id="rId186"/>
    <hyperlink xmlns:r="http://schemas.openxmlformats.org/officeDocument/2006/relationships" ref="A192" r:id="rId187"/>
    <hyperlink xmlns:r="http://schemas.openxmlformats.org/officeDocument/2006/relationships" ref="A193" r:id="rId188"/>
    <hyperlink xmlns:r="http://schemas.openxmlformats.org/officeDocument/2006/relationships" ref="A194" r:id="rId189"/>
    <hyperlink xmlns:r="http://schemas.openxmlformats.org/officeDocument/2006/relationships" ref="A195" r:id="rId190"/>
    <hyperlink xmlns:r="http://schemas.openxmlformats.org/officeDocument/2006/relationships" ref="A196" r:id="rId191"/>
    <hyperlink xmlns:r="http://schemas.openxmlformats.org/officeDocument/2006/relationships" ref="A197" r:id="rId192"/>
    <hyperlink xmlns:r="http://schemas.openxmlformats.org/officeDocument/2006/relationships" ref="A198" r:id="rId193"/>
    <hyperlink xmlns:r="http://schemas.openxmlformats.org/officeDocument/2006/relationships" ref="A199" r:id="rId194"/>
    <hyperlink xmlns:r="http://schemas.openxmlformats.org/officeDocument/2006/relationships" ref="A200" r:id="rId195"/>
    <hyperlink xmlns:r="http://schemas.openxmlformats.org/officeDocument/2006/relationships" ref="A201" r:id="rId196"/>
    <hyperlink xmlns:r="http://schemas.openxmlformats.org/officeDocument/2006/relationships" ref="A202" r:id="rId197"/>
    <hyperlink xmlns:r="http://schemas.openxmlformats.org/officeDocument/2006/relationships" ref="A203" r:id="rId198"/>
    <hyperlink xmlns:r="http://schemas.openxmlformats.org/officeDocument/2006/relationships" ref="A204" r:id="rId199"/>
    <hyperlink xmlns:r="http://schemas.openxmlformats.org/officeDocument/2006/relationships" ref="A205" r:id="rId200"/>
    <hyperlink xmlns:r="http://schemas.openxmlformats.org/officeDocument/2006/relationships" ref="A206" r:id="rId201"/>
    <hyperlink xmlns:r="http://schemas.openxmlformats.org/officeDocument/2006/relationships" ref="A207" r:id="rId202"/>
    <hyperlink xmlns:r="http://schemas.openxmlformats.org/officeDocument/2006/relationships" ref="A208" r:id="rId203"/>
    <hyperlink xmlns:r="http://schemas.openxmlformats.org/officeDocument/2006/relationships" ref="A209" r:id="rId204"/>
    <hyperlink xmlns:r="http://schemas.openxmlformats.org/officeDocument/2006/relationships" ref="A210" r:id="rId205"/>
    <hyperlink xmlns:r="http://schemas.openxmlformats.org/officeDocument/2006/relationships" ref="A211" r:id="rId206"/>
    <hyperlink xmlns:r="http://schemas.openxmlformats.org/officeDocument/2006/relationships" ref="A212" r:id="rId207"/>
    <hyperlink xmlns:r="http://schemas.openxmlformats.org/officeDocument/2006/relationships" ref="A213" r:id="rId208"/>
    <hyperlink xmlns:r="http://schemas.openxmlformats.org/officeDocument/2006/relationships" ref="A214" r:id="rId209"/>
    <hyperlink xmlns:r="http://schemas.openxmlformats.org/officeDocument/2006/relationships" ref="A215" r:id="rId210"/>
    <hyperlink xmlns:r="http://schemas.openxmlformats.org/officeDocument/2006/relationships" ref="A216" r:id="rId211"/>
    <hyperlink xmlns:r="http://schemas.openxmlformats.org/officeDocument/2006/relationships" ref="A217" r:id="rId212"/>
    <hyperlink xmlns:r="http://schemas.openxmlformats.org/officeDocument/2006/relationships" ref="A218" r:id="rId213"/>
    <hyperlink xmlns:r="http://schemas.openxmlformats.org/officeDocument/2006/relationships" ref="A219" r:id="rId214"/>
    <hyperlink xmlns:r="http://schemas.openxmlformats.org/officeDocument/2006/relationships" ref="A220" r:id="rId215"/>
    <hyperlink xmlns:r="http://schemas.openxmlformats.org/officeDocument/2006/relationships" ref="A221" r:id="rId216"/>
    <hyperlink xmlns:r="http://schemas.openxmlformats.org/officeDocument/2006/relationships" ref="A222" r:id="rId217"/>
    <hyperlink xmlns:r="http://schemas.openxmlformats.org/officeDocument/2006/relationships" ref="A223" r:id="rId218"/>
    <hyperlink xmlns:r="http://schemas.openxmlformats.org/officeDocument/2006/relationships" ref="A224" r:id="rId219"/>
    <hyperlink xmlns:r="http://schemas.openxmlformats.org/officeDocument/2006/relationships" ref="A225" r:id="rId220"/>
    <hyperlink xmlns:r="http://schemas.openxmlformats.org/officeDocument/2006/relationships" ref="A226" r:id="rId221"/>
    <hyperlink xmlns:r="http://schemas.openxmlformats.org/officeDocument/2006/relationships" ref="A227" r:id="rId222"/>
    <hyperlink xmlns:r="http://schemas.openxmlformats.org/officeDocument/2006/relationships" ref="A228" r:id="rId223"/>
    <hyperlink xmlns:r="http://schemas.openxmlformats.org/officeDocument/2006/relationships" ref="A229" r:id="rId224"/>
    <hyperlink xmlns:r="http://schemas.openxmlformats.org/officeDocument/2006/relationships" ref="A230" r:id="rId225"/>
    <hyperlink xmlns:r="http://schemas.openxmlformats.org/officeDocument/2006/relationships" ref="A231" r:id="rId226"/>
    <hyperlink xmlns:r="http://schemas.openxmlformats.org/officeDocument/2006/relationships" ref="A232" r:id="rId227"/>
    <hyperlink xmlns:r="http://schemas.openxmlformats.org/officeDocument/2006/relationships" ref="A233" r:id="rId228"/>
    <hyperlink xmlns:r="http://schemas.openxmlformats.org/officeDocument/2006/relationships" ref="A234" r:id="rId229"/>
    <hyperlink xmlns:r="http://schemas.openxmlformats.org/officeDocument/2006/relationships" ref="A235" r:id="rId230"/>
    <hyperlink xmlns:r="http://schemas.openxmlformats.org/officeDocument/2006/relationships" ref="A236" r:id="rId231"/>
    <hyperlink xmlns:r="http://schemas.openxmlformats.org/officeDocument/2006/relationships" ref="A237" r:id="rId232"/>
    <hyperlink xmlns:r="http://schemas.openxmlformats.org/officeDocument/2006/relationships" ref="A238" r:id="rId233"/>
    <hyperlink xmlns:r="http://schemas.openxmlformats.org/officeDocument/2006/relationships" ref="A239" r:id="rId234"/>
    <hyperlink xmlns:r="http://schemas.openxmlformats.org/officeDocument/2006/relationships" ref="A240" r:id="rId235"/>
    <hyperlink xmlns:r="http://schemas.openxmlformats.org/officeDocument/2006/relationships" ref="A241" r:id="rId236"/>
    <hyperlink xmlns:r="http://schemas.openxmlformats.org/officeDocument/2006/relationships" ref="A242" r:id="rId237"/>
    <hyperlink xmlns:r="http://schemas.openxmlformats.org/officeDocument/2006/relationships" ref="A243" r:id="rId238"/>
    <hyperlink xmlns:r="http://schemas.openxmlformats.org/officeDocument/2006/relationships" ref="A244" r:id="rId239"/>
    <hyperlink xmlns:r="http://schemas.openxmlformats.org/officeDocument/2006/relationships" ref="A245" r:id="rId240"/>
    <hyperlink xmlns:r="http://schemas.openxmlformats.org/officeDocument/2006/relationships" ref="A246" r:id="rId241"/>
    <hyperlink xmlns:r="http://schemas.openxmlformats.org/officeDocument/2006/relationships" ref="A247" r:id="rId242"/>
    <hyperlink xmlns:r="http://schemas.openxmlformats.org/officeDocument/2006/relationships" ref="A248" r:id="rId243"/>
    <hyperlink xmlns:r="http://schemas.openxmlformats.org/officeDocument/2006/relationships" ref="A249" r:id="rId244"/>
    <hyperlink xmlns:r="http://schemas.openxmlformats.org/officeDocument/2006/relationships" ref="A250" r:id="rId245"/>
    <hyperlink xmlns:r="http://schemas.openxmlformats.org/officeDocument/2006/relationships" ref="A251" r:id="rId246"/>
    <hyperlink xmlns:r="http://schemas.openxmlformats.org/officeDocument/2006/relationships" ref="A252" r:id="rId247"/>
    <hyperlink xmlns:r="http://schemas.openxmlformats.org/officeDocument/2006/relationships" ref="A253" r:id="rId248"/>
    <hyperlink xmlns:r="http://schemas.openxmlformats.org/officeDocument/2006/relationships" ref="A254" r:id="rId249"/>
    <hyperlink xmlns:r="http://schemas.openxmlformats.org/officeDocument/2006/relationships" ref="A255" r:id="rId250"/>
    <hyperlink xmlns:r="http://schemas.openxmlformats.org/officeDocument/2006/relationships" ref="A256" r:id="rId251"/>
    <hyperlink xmlns:r="http://schemas.openxmlformats.org/officeDocument/2006/relationships" ref="A257" r:id="rId252"/>
    <hyperlink xmlns:r="http://schemas.openxmlformats.org/officeDocument/2006/relationships" ref="A258" r:id="rId253"/>
    <hyperlink xmlns:r="http://schemas.openxmlformats.org/officeDocument/2006/relationships" ref="A259" r:id="rId254"/>
    <hyperlink xmlns:r="http://schemas.openxmlformats.org/officeDocument/2006/relationships" ref="A260" r:id="rId255"/>
    <hyperlink xmlns:r="http://schemas.openxmlformats.org/officeDocument/2006/relationships" ref="A261" r:id="rId256"/>
    <hyperlink xmlns:r="http://schemas.openxmlformats.org/officeDocument/2006/relationships" ref="A262" r:id="rId257"/>
    <hyperlink xmlns:r="http://schemas.openxmlformats.org/officeDocument/2006/relationships" ref="A263" r:id="rId258"/>
    <hyperlink xmlns:r="http://schemas.openxmlformats.org/officeDocument/2006/relationships" ref="A264" r:id="rId259"/>
    <hyperlink xmlns:r="http://schemas.openxmlformats.org/officeDocument/2006/relationships" ref="A265" r:id="rId260"/>
    <hyperlink xmlns:r="http://schemas.openxmlformats.org/officeDocument/2006/relationships" ref="A266" r:id="rId261"/>
    <hyperlink xmlns:r="http://schemas.openxmlformats.org/officeDocument/2006/relationships" ref="A267" r:id="rId262"/>
    <hyperlink xmlns:r="http://schemas.openxmlformats.org/officeDocument/2006/relationships" ref="A268" r:id="rId263"/>
    <hyperlink xmlns:r="http://schemas.openxmlformats.org/officeDocument/2006/relationships" ref="A269" r:id="rId264"/>
    <hyperlink xmlns:r="http://schemas.openxmlformats.org/officeDocument/2006/relationships" ref="A270" r:id="rId265"/>
    <hyperlink xmlns:r="http://schemas.openxmlformats.org/officeDocument/2006/relationships" ref="A271" r:id="rId266"/>
    <hyperlink xmlns:r="http://schemas.openxmlformats.org/officeDocument/2006/relationships" ref="A272" r:id="rId267"/>
    <hyperlink xmlns:r="http://schemas.openxmlformats.org/officeDocument/2006/relationships" ref="A273" r:id="rId268"/>
    <hyperlink xmlns:r="http://schemas.openxmlformats.org/officeDocument/2006/relationships" ref="A274" r:id="rId269"/>
    <hyperlink xmlns:r="http://schemas.openxmlformats.org/officeDocument/2006/relationships" ref="A275" r:id="rId270"/>
    <hyperlink xmlns:r="http://schemas.openxmlformats.org/officeDocument/2006/relationships" ref="A276" r:id="rId271"/>
    <hyperlink xmlns:r="http://schemas.openxmlformats.org/officeDocument/2006/relationships" ref="A277" r:id="rId272"/>
    <hyperlink xmlns:r="http://schemas.openxmlformats.org/officeDocument/2006/relationships" ref="A278" r:id="rId273"/>
    <hyperlink xmlns:r="http://schemas.openxmlformats.org/officeDocument/2006/relationships" ref="A279" r:id="rId274"/>
    <hyperlink xmlns:r="http://schemas.openxmlformats.org/officeDocument/2006/relationships" ref="A280" r:id="rId275"/>
    <hyperlink xmlns:r="http://schemas.openxmlformats.org/officeDocument/2006/relationships" ref="A281" r:id="rId276"/>
    <hyperlink xmlns:r="http://schemas.openxmlformats.org/officeDocument/2006/relationships" ref="A282" r:id="rId277"/>
    <hyperlink xmlns:r="http://schemas.openxmlformats.org/officeDocument/2006/relationships" ref="A283" r:id="rId278"/>
    <hyperlink xmlns:r="http://schemas.openxmlformats.org/officeDocument/2006/relationships" ref="A284" r:id="rId279"/>
    <hyperlink xmlns:r="http://schemas.openxmlformats.org/officeDocument/2006/relationships" ref="A285" r:id="rId280"/>
    <hyperlink xmlns:r="http://schemas.openxmlformats.org/officeDocument/2006/relationships" ref="A286" r:id="rId281"/>
    <hyperlink xmlns:r="http://schemas.openxmlformats.org/officeDocument/2006/relationships" ref="A287" r:id="rId282"/>
    <hyperlink xmlns:r="http://schemas.openxmlformats.org/officeDocument/2006/relationships" ref="A288" r:id="rId283"/>
    <hyperlink xmlns:r="http://schemas.openxmlformats.org/officeDocument/2006/relationships" ref="A289" r:id="rId284"/>
    <hyperlink xmlns:r="http://schemas.openxmlformats.org/officeDocument/2006/relationships" ref="A290" r:id="rId285"/>
    <hyperlink xmlns:r="http://schemas.openxmlformats.org/officeDocument/2006/relationships" ref="A291" r:id="rId286"/>
    <hyperlink xmlns:r="http://schemas.openxmlformats.org/officeDocument/2006/relationships" ref="A292" r:id="rId287"/>
    <hyperlink xmlns:r="http://schemas.openxmlformats.org/officeDocument/2006/relationships" ref="A293" r:id="rId288"/>
    <hyperlink xmlns:r="http://schemas.openxmlformats.org/officeDocument/2006/relationships" ref="A294" r:id="rId289"/>
    <hyperlink xmlns:r="http://schemas.openxmlformats.org/officeDocument/2006/relationships" ref="A295" r:id="rId290"/>
    <hyperlink xmlns:r="http://schemas.openxmlformats.org/officeDocument/2006/relationships" ref="A296" r:id="rId291"/>
    <hyperlink xmlns:r="http://schemas.openxmlformats.org/officeDocument/2006/relationships" ref="A297" r:id="rId292"/>
    <hyperlink xmlns:r="http://schemas.openxmlformats.org/officeDocument/2006/relationships" ref="A298" r:id="rId293"/>
    <hyperlink xmlns:r="http://schemas.openxmlformats.org/officeDocument/2006/relationships" ref="A299" r:id="rId294"/>
    <hyperlink xmlns:r="http://schemas.openxmlformats.org/officeDocument/2006/relationships" ref="A300" r:id="rId295"/>
    <hyperlink xmlns:r="http://schemas.openxmlformats.org/officeDocument/2006/relationships" ref="A301" r:id="rId296"/>
    <hyperlink xmlns:r="http://schemas.openxmlformats.org/officeDocument/2006/relationships" ref="A302" r:id="rId297"/>
    <hyperlink xmlns:r="http://schemas.openxmlformats.org/officeDocument/2006/relationships" ref="A303" r:id="rId298"/>
    <hyperlink xmlns:r="http://schemas.openxmlformats.org/officeDocument/2006/relationships" ref="A304" r:id="rId299"/>
    <hyperlink xmlns:r="http://schemas.openxmlformats.org/officeDocument/2006/relationships" ref="A305" r:id="rId300"/>
    <hyperlink xmlns:r="http://schemas.openxmlformats.org/officeDocument/2006/relationships" ref="A306" r:id="rId301"/>
    <hyperlink xmlns:r="http://schemas.openxmlformats.org/officeDocument/2006/relationships" ref="A307" r:id="rId302"/>
    <hyperlink xmlns:r="http://schemas.openxmlformats.org/officeDocument/2006/relationships" ref="A308" r:id="rId303"/>
    <hyperlink xmlns:r="http://schemas.openxmlformats.org/officeDocument/2006/relationships" ref="A309" r:id="rId304"/>
    <hyperlink xmlns:r="http://schemas.openxmlformats.org/officeDocument/2006/relationships" ref="A310" r:id="rId305"/>
    <hyperlink xmlns:r="http://schemas.openxmlformats.org/officeDocument/2006/relationships" ref="A311" r:id="rId306"/>
    <hyperlink xmlns:r="http://schemas.openxmlformats.org/officeDocument/2006/relationships" ref="A312" r:id="rId307"/>
    <hyperlink xmlns:r="http://schemas.openxmlformats.org/officeDocument/2006/relationships" ref="A313" r:id="rId308"/>
    <hyperlink xmlns:r="http://schemas.openxmlformats.org/officeDocument/2006/relationships" ref="A314" r:id="rId309"/>
    <hyperlink xmlns:r="http://schemas.openxmlformats.org/officeDocument/2006/relationships" ref="A315" r:id="rId310"/>
    <hyperlink xmlns:r="http://schemas.openxmlformats.org/officeDocument/2006/relationships" ref="A316" r:id="rId311"/>
    <hyperlink xmlns:r="http://schemas.openxmlformats.org/officeDocument/2006/relationships" ref="A317" r:id="rId312"/>
    <hyperlink xmlns:r="http://schemas.openxmlformats.org/officeDocument/2006/relationships" ref="A318" r:id="rId313"/>
    <hyperlink xmlns:r="http://schemas.openxmlformats.org/officeDocument/2006/relationships" ref="A319" r:id="rId314"/>
    <hyperlink xmlns:r="http://schemas.openxmlformats.org/officeDocument/2006/relationships" ref="A320" r:id="rId315"/>
    <hyperlink xmlns:r="http://schemas.openxmlformats.org/officeDocument/2006/relationships" ref="A321" r:id="rId316"/>
    <hyperlink xmlns:r="http://schemas.openxmlformats.org/officeDocument/2006/relationships" ref="A322" r:id="rId317"/>
    <hyperlink xmlns:r="http://schemas.openxmlformats.org/officeDocument/2006/relationships" ref="A323" r:id="rId318"/>
    <hyperlink xmlns:r="http://schemas.openxmlformats.org/officeDocument/2006/relationships" ref="A324" r:id="rId319"/>
    <hyperlink xmlns:r="http://schemas.openxmlformats.org/officeDocument/2006/relationships" ref="A325" r:id="rId320"/>
    <hyperlink xmlns:r="http://schemas.openxmlformats.org/officeDocument/2006/relationships" ref="A326" r:id="rId321"/>
    <hyperlink xmlns:r="http://schemas.openxmlformats.org/officeDocument/2006/relationships" ref="A327" r:id="rId322"/>
    <hyperlink xmlns:r="http://schemas.openxmlformats.org/officeDocument/2006/relationships" ref="A328" r:id="rId323"/>
    <hyperlink xmlns:r="http://schemas.openxmlformats.org/officeDocument/2006/relationships" ref="A329" r:id="rId324"/>
    <hyperlink xmlns:r="http://schemas.openxmlformats.org/officeDocument/2006/relationships" ref="A330" r:id="rId325"/>
    <hyperlink xmlns:r="http://schemas.openxmlformats.org/officeDocument/2006/relationships" ref="A331" r:id="rId326"/>
    <hyperlink xmlns:r="http://schemas.openxmlformats.org/officeDocument/2006/relationships" ref="A332" r:id="rId327"/>
    <hyperlink xmlns:r="http://schemas.openxmlformats.org/officeDocument/2006/relationships" ref="A333" r:id="rId328"/>
    <hyperlink xmlns:r="http://schemas.openxmlformats.org/officeDocument/2006/relationships" ref="A334" r:id="rId329"/>
    <hyperlink xmlns:r="http://schemas.openxmlformats.org/officeDocument/2006/relationships" ref="A335" r:id="rId330"/>
    <hyperlink xmlns:r="http://schemas.openxmlformats.org/officeDocument/2006/relationships" ref="A336" r:id="rId331"/>
    <hyperlink xmlns:r="http://schemas.openxmlformats.org/officeDocument/2006/relationships" ref="A337" r:id="rId332"/>
    <hyperlink xmlns:r="http://schemas.openxmlformats.org/officeDocument/2006/relationships" ref="A338" r:id="rId333"/>
    <hyperlink xmlns:r="http://schemas.openxmlformats.org/officeDocument/2006/relationships" ref="A339" r:id="rId334"/>
    <hyperlink xmlns:r="http://schemas.openxmlformats.org/officeDocument/2006/relationships" ref="A340" r:id="rId335"/>
    <hyperlink xmlns:r="http://schemas.openxmlformats.org/officeDocument/2006/relationships" ref="A341" r:id="rId336"/>
    <hyperlink xmlns:r="http://schemas.openxmlformats.org/officeDocument/2006/relationships" ref="A342" r:id="rId337"/>
    <hyperlink xmlns:r="http://schemas.openxmlformats.org/officeDocument/2006/relationships" ref="A343" r:id="rId338"/>
    <hyperlink xmlns:r="http://schemas.openxmlformats.org/officeDocument/2006/relationships" ref="A344" r:id="rId339"/>
    <hyperlink xmlns:r="http://schemas.openxmlformats.org/officeDocument/2006/relationships" ref="A345" r:id="rId340"/>
    <hyperlink xmlns:r="http://schemas.openxmlformats.org/officeDocument/2006/relationships" ref="A346" r:id="rId341"/>
    <hyperlink xmlns:r="http://schemas.openxmlformats.org/officeDocument/2006/relationships" ref="A347" r:id="rId342"/>
    <hyperlink xmlns:r="http://schemas.openxmlformats.org/officeDocument/2006/relationships" ref="A348" r:id="rId343"/>
    <hyperlink xmlns:r="http://schemas.openxmlformats.org/officeDocument/2006/relationships" ref="A349" r:id="rId344"/>
    <hyperlink xmlns:r="http://schemas.openxmlformats.org/officeDocument/2006/relationships" ref="A350" r:id="rId345"/>
    <hyperlink xmlns:r="http://schemas.openxmlformats.org/officeDocument/2006/relationships" ref="A351" r:id="rId346"/>
    <hyperlink xmlns:r="http://schemas.openxmlformats.org/officeDocument/2006/relationships" ref="A352" r:id="rId347"/>
    <hyperlink xmlns:r="http://schemas.openxmlformats.org/officeDocument/2006/relationships" ref="A353" r:id="rId348"/>
    <hyperlink xmlns:r="http://schemas.openxmlformats.org/officeDocument/2006/relationships" ref="A354" r:id="rId349"/>
    <hyperlink xmlns:r="http://schemas.openxmlformats.org/officeDocument/2006/relationships" ref="A355" r:id="rId350"/>
    <hyperlink xmlns:r="http://schemas.openxmlformats.org/officeDocument/2006/relationships" ref="A356" r:id="rId351"/>
    <hyperlink xmlns:r="http://schemas.openxmlformats.org/officeDocument/2006/relationships" ref="A357" r:id="rId352"/>
    <hyperlink xmlns:r="http://schemas.openxmlformats.org/officeDocument/2006/relationships" ref="A358" r:id="rId353"/>
    <hyperlink xmlns:r="http://schemas.openxmlformats.org/officeDocument/2006/relationships" ref="A359" r:id="rId354"/>
    <hyperlink xmlns:r="http://schemas.openxmlformats.org/officeDocument/2006/relationships" ref="A360" r:id="rId355"/>
    <hyperlink xmlns:r="http://schemas.openxmlformats.org/officeDocument/2006/relationships" ref="A361" r:id="rId356"/>
    <hyperlink xmlns:r="http://schemas.openxmlformats.org/officeDocument/2006/relationships" ref="A362" r:id="rId357"/>
    <hyperlink xmlns:r="http://schemas.openxmlformats.org/officeDocument/2006/relationships" ref="A363" r:id="rId358"/>
    <hyperlink xmlns:r="http://schemas.openxmlformats.org/officeDocument/2006/relationships" ref="A364" r:id="rId359"/>
    <hyperlink xmlns:r="http://schemas.openxmlformats.org/officeDocument/2006/relationships" ref="A365" r:id="rId360"/>
    <hyperlink xmlns:r="http://schemas.openxmlformats.org/officeDocument/2006/relationships" ref="A366" r:id="rId361"/>
    <hyperlink xmlns:r="http://schemas.openxmlformats.org/officeDocument/2006/relationships" ref="A367" r:id="rId362"/>
    <hyperlink xmlns:r="http://schemas.openxmlformats.org/officeDocument/2006/relationships" ref="A368" r:id="rId363"/>
    <hyperlink xmlns:r="http://schemas.openxmlformats.org/officeDocument/2006/relationships" ref="A369" r:id="rId364"/>
    <hyperlink xmlns:r="http://schemas.openxmlformats.org/officeDocument/2006/relationships" ref="A370" r:id="rId365"/>
    <hyperlink xmlns:r="http://schemas.openxmlformats.org/officeDocument/2006/relationships" ref="A371" r:id="rId366"/>
    <hyperlink xmlns:r="http://schemas.openxmlformats.org/officeDocument/2006/relationships" ref="A372" r:id="rId367"/>
    <hyperlink xmlns:r="http://schemas.openxmlformats.org/officeDocument/2006/relationships" ref="A373" r:id="rId368"/>
    <hyperlink xmlns:r="http://schemas.openxmlformats.org/officeDocument/2006/relationships" ref="A374" r:id="rId369"/>
    <hyperlink xmlns:r="http://schemas.openxmlformats.org/officeDocument/2006/relationships" ref="A375" r:id="rId370"/>
    <hyperlink xmlns:r="http://schemas.openxmlformats.org/officeDocument/2006/relationships" ref="A376" r:id="rId371"/>
    <hyperlink xmlns:r="http://schemas.openxmlformats.org/officeDocument/2006/relationships" ref="A377" r:id="rId372"/>
    <hyperlink xmlns:r="http://schemas.openxmlformats.org/officeDocument/2006/relationships" ref="A378" r:id="rId373"/>
    <hyperlink xmlns:r="http://schemas.openxmlformats.org/officeDocument/2006/relationships" ref="A379" r:id="rId374"/>
    <hyperlink xmlns:r="http://schemas.openxmlformats.org/officeDocument/2006/relationships" ref="A380" r:id="rId375"/>
    <hyperlink xmlns:r="http://schemas.openxmlformats.org/officeDocument/2006/relationships" ref="A381" r:id="rId376"/>
    <hyperlink xmlns:r="http://schemas.openxmlformats.org/officeDocument/2006/relationships" ref="A382" r:id="rId377"/>
    <hyperlink xmlns:r="http://schemas.openxmlformats.org/officeDocument/2006/relationships" ref="A383" r:id="rId378"/>
    <hyperlink xmlns:r="http://schemas.openxmlformats.org/officeDocument/2006/relationships" ref="A384" r:id="rId379"/>
    <hyperlink xmlns:r="http://schemas.openxmlformats.org/officeDocument/2006/relationships" ref="A385" r:id="rId380"/>
    <hyperlink xmlns:r="http://schemas.openxmlformats.org/officeDocument/2006/relationships" ref="A386" r:id="rId381"/>
    <hyperlink xmlns:r="http://schemas.openxmlformats.org/officeDocument/2006/relationships" ref="A387" r:id="rId382"/>
    <hyperlink xmlns:r="http://schemas.openxmlformats.org/officeDocument/2006/relationships" ref="A388" r:id="rId383"/>
    <hyperlink xmlns:r="http://schemas.openxmlformats.org/officeDocument/2006/relationships" ref="A389" r:id="rId384"/>
    <hyperlink xmlns:r="http://schemas.openxmlformats.org/officeDocument/2006/relationships" ref="A390" r:id="rId385"/>
    <hyperlink xmlns:r="http://schemas.openxmlformats.org/officeDocument/2006/relationships" ref="A391" r:id="rId386"/>
    <hyperlink xmlns:r="http://schemas.openxmlformats.org/officeDocument/2006/relationships" ref="A392" r:id="rId387"/>
    <hyperlink xmlns:r="http://schemas.openxmlformats.org/officeDocument/2006/relationships" ref="A393" r:id="rId388"/>
    <hyperlink xmlns:r="http://schemas.openxmlformats.org/officeDocument/2006/relationships" ref="A394" r:id="rId389"/>
    <hyperlink xmlns:r="http://schemas.openxmlformats.org/officeDocument/2006/relationships" ref="A395" r:id="rId390"/>
    <hyperlink xmlns:r="http://schemas.openxmlformats.org/officeDocument/2006/relationships" ref="A396" r:id="rId391"/>
    <hyperlink xmlns:r="http://schemas.openxmlformats.org/officeDocument/2006/relationships" ref="A397" r:id="rId392"/>
    <hyperlink xmlns:r="http://schemas.openxmlformats.org/officeDocument/2006/relationships" ref="A398" r:id="rId393"/>
    <hyperlink xmlns:r="http://schemas.openxmlformats.org/officeDocument/2006/relationships" ref="A399" r:id="rId394"/>
    <hyperlink xmlns:r="http://schemas.openxmlformats.org/officeDocument/2006/relationships" ref="A400" r:id="rId395"/>
    <hyperlink xmlns:r="http://schemas.openxmlformats.org/officeDocument/2006/relationships" ref="A401" r:id="rId396"/>
    <hyperlink xmlns:r="http://schemas.openxmlformats.org/officeDocument/2006/relationships" ref="A402" r:id="rId397"/>
    <hyperlink xmlns:r="http://schemas.openxmlformats.org/officeDocument/2006/relationships" ref="A403" r:id="rId398"/>
    <hyperlink xmlns:r="http://schemas.openxmlformats.org/officeDocument/2006/relationships" ref="A404" r:id="rId399"/>
    <hyperlink xmlns:r="http://schemas.openxmlformats.org/officeDocument/2006/relationships" ref="A405" r:id="rId400"/>
    <hyperlink xmlns:r="http://schemas.openxmlformats.org/officeDocument/2006/relationships" ref="A406" r:id="rId401"/>
    <hyperlink xmlns:r="http://schemas.openxmlformats.org/officeDocument/2006/relationships" ref="A407" r:id="rId402"/>
    <hyperlink xmlns:r="http://schemas.openxmlformats.org/officeDocument/2006/relationships" ref="A408" r:id="rId403"/>
    <hyperlink xmlns:r="http://schemas.openxmlformats.org/officeDocument/2006/relationships" ref="A409" r:id="rId404"/>
    <hyperlink xmlns:r="http://schemas.openxmlformats.org/officeDocument/2006/relationships" ref="A410" r:id="rId405"/>
    <hyperlink xmlns:r="http://schemas.openxmlformats.org/officeDocument/2006/relationships" ref="A411" r:id="rId406"/>
    <hyperlink xmlns:r="http://schemas.openxmlformats.org/officeDocument/2006/relationships" ref="A412" r:id="rId407"/>
    <hyperlink xmlns:r="http://schemas.openxmlformats.org/officeDocument/2006/relationships" ref="A413" r:id="rId408"/>
    <hyperlink xmlns:r="http://schemas.openxmlformats.org/officeDocument/2006/relationships" ref="A414" r:id="rId409"/>
    <hyperlink xmlns:r="http://schemas.openxmlformats.org/officeDocument/2006/relationships" ref="A415" r:id="rId410"/>
    <hyperlink xmlns:r="http://schemas.openxmlformats.org/officeDocument/2006/relationships" ref="A416" r:id="rId411"/>
    <hyperlink xmlns:r="http://schemas.openxmlformats.org/officeDocument/2006/relationships" ref="A417" r:id="rId412"/>
    <hyperlink xmlns:r="http://schemas.openxmlformats.org/officeDocument/2006/relationships" ref="A418" r:id="rId413"/>
    <hyperlink xmlns:r="http://schemas.openxmlformats.org/officeDocument/2006/relationships" ref="A419" r:id="rId414"/>
    <hyperlink xmlns:r="http://schemas.openxmlformats.org/officeDocument/2006/relationships" ref="A420" r:id="rId415"/>
    <hyperlink xmlns:r="http://schemas.openxmlformats.org/officeDocument/2006/relationships" ref="A421" r:id="rId416"/>
    <hyperlink xmlns:r="http://schemas.openxmlformats.org/officeDocument/2006/relationships" ref="A422" r:id="rId417"/>
    <hyperlink xmlns:r="http://schemas.openxmlformats.org/officeDocument/2006/relationships" ref="A423" r:id="rId418"/>
    <hyperlink xmlns:r="http://schemas.openxmlformats.org/officeDocument/2006/relationships" ref="A424" r:id="rId419"/>
    <hyperlink xmlns:r="http://schemas.openxmlformats.org/officeDocument/2006/relationships" ref="A425" r:id="rId420"/>
    <hyperlink xmlns:r="http://schemas.openxmlformats.org/officeDocument/2006/relationships" ref="A426" r:id="rId421"/>
    <hyperlink xmlns:r="http://schemas.openxmlformats.org/officeDocument/2006/relationships" ref="A427" r:id="rId422"/>
    <hyperlink xmlns:r="http://schemas.openxmlformats.org/officeDocument/2006/relationships" ref="A428" r:id="rId423"/>
    <hyperlink xmlns:r="http://schemas.openxmlformats.org/officeDocument/2006/relationships" ref="A429" r:id="rId424"/>
    <hyperlink xmlns:r="http://schemas.openxmlformats.org/officeDocument/2006/relationships" ref="A430" r:id="rId425"/>
    <hyperlink xmlns:r="http://schemas.openxmlformats.org/officeDocument/2006/relationships" ref="A431" r:id="rId426"/>
    <hyperlink xmlns:r="http://schemas.openxmlformats.org/officeDocument/2006/relationships" ref="A432" r:id="rId427"/>
    <hyperlink xmlns:r="http://schemas.openxmlformats.org/officeDocument/2006/relationships" ref="A433" r:id="rId428"/>
    <hyperlink xmlns:r="http://schemas.openxmlformats.org/officeDocument/2006/relationships" ref="A434" r:id="rId429"/>
    <hyperlink xmlns:r="http://schemas.openxmlformats.org/officeDocument/2006/relationships" ref="A435" r:id="rId430"/>
    <hyperlink xmlns:r="http://schemas.openxmlformats.org/officeDocument/2006/relationships" ref="A436" r:id="rId431"/>
    <hyperlink xmlns:r="http://schemas.openxmlformats.org/officeDocument/2006/relationships" ref="A437" r:id="rId432"/>
    <hyperlink xmlns:r="http://schemas.openxmlformats.org/officeDocument/2006/relationships" ref="A438" r:id="rId433"/>
    <hyperlink xmlns:r="http://schemas.openxmlformats.org/officeDocument/2006/relationships" ref="A439" r:id="rId434"/>
    <hyperlink xmlns:r="http://schemas.openxmlformats.org/officeDocument/2006/relationships" ref="A440" r:id="rId435"/>
    <hyperlink xmlns:r="http://schemas.openxmlformats.org/officeDocument/2006/relationships" ref="A441" r:id="rId436"/>
    <hyperlink xmlns:r="http://schemas.openxmlformats.org/officeDocument/2006/relationships" ref="A442" r:id="rId437"/>
    <hyperlink xmlns:r="http://schemas.openxmlformats.org/officeDocument/2006/relationships" ref="A443" r:id="rId438"/>
    <hyperlink xmlns:r="http://schemas.openxmlformats.org/officeDocument/2006/relationships" ref="A444" r:id="rId439"/>
    <hyperlink xmlns:r="http://schemas.openxmlformats.org/officeDocument/2006/relationships" ref="A445" r:id="rId440"/>
    <hyperlink xmlns:r="http://schemas.openxmlformats.org/officeDocument/2006/relationships" ref="A446" r:id="rId441"/>
    <hyperlink xmlns:r="http://schemas.openxmlformats.org/officeDocument/2006/relationships" ref="A447" r:id="rId442"/>
    <hyperlink xmlns:r="http://schemas.openxmlformats.org/officeDocument/2006/relationships" ref="A448" r:id="rId443"/>
    <hyperlink xmlns:r="http://schemas.openxmlformats.org/officeDocument/2006/relationships" ref="A449" r:id="rId444"/>
    <hyperlink xmlns:r="http://schemas.openxmlformats.org/officeDocument/2006/relationships" ref="A450" r:id="rId445"/>
    <hyperlink xmlns:r="http://schemas.openxmlformats.org/officeDocument/2006/relationships" ref="A451" r:id="rId446"/>
    <hyperlink xmlns:r="http://schemas.openxmlformats.org/officeDocument/2006/relationships" ref="A452" r:id="rId447"/>
    <hyperlink xmlns:r="http://schemas.openxmlformats.org/officeDocument/2006/relationships" ref="A453" r:id="rId448"/>
    <hyperlink xmlns:r="http://schemas.openxmlformats.org/officeDocument/2006/relationships" ref="A454" r:id="rId449"/>
    <hyperlink xmlns:r="http://schemas.openxmlformats.org/officeDocument/2006/relationships" ref="A455" r:id="rId450"/>
    <hyperlink xmlns:r="http://schemas.openxmlformats.org/officeDocument/2006/relationships" ref="A456" r:id="rId451"/>
    <hyperlink xmlns:r="http://schemas.openxmlformats.org/officeDocument/2006/relationships" ref="A457" r:id="rId452"/>
    <hyperlink xmlns:r="http://schemas.openxmlformats.org/officeDocument/2006/relationships" ref="A458" r:id="rId453"/>
    <hyperlink xmlns:r="http://schemas.openxmlformats.org/officeDocument/2006/relationships" ref="A459" r:id="rId454"/>
    <hyperlink xmlns:r="http://schemas.openxmlformats.org/officeDocument/2006/relationships" ref="A460" r:id="rId455"/>
    <hyperlink xmlns:r="http://schemas.openxmlformats.org/officeDocument/2006/relationships" ref="A461" r:id="rId456"/>
    <hyperlink xmlns:r="http://schemas.openxmlformats.org/officeDocument/2006/relationships" ref="A462" r:id="rId457"/>
    <hyperlink xmlns:r="http://schemas.openxmlformats.org/officeDocument/2006/relationships" ref="A463" r:id="rId458"/>
    <hyperlink xmlns:r="http://schemas.openxmlformats.org/officeDocument/2006/relationships" ref="A464" r:id="rId459"/>
    <hyperlink xmlns:r="http://schemas.openxmlformats.org/officeDocument/2006/relationships" ref="A465" r:id="rId460"/>
    <hyperlink xmlns:r="http://schemas.openxmlformats.org/officeDocument/2006/relationships" ref="A466" r:id="rId461"/>
    <hyperlink xmlns:r="http://schemas.openxmlformats.org/officeDocument/2006/relationships" ref="A467" r:id="rId462"/>
    <hyperlink xmlns:r="http://schemas.openxmlformats.org/officeDocument/2006/relationships" ref="A468" r:id="rId463"/>
    <hyperlink xmlns:r="http://schemas.openxmlformats.org/officeDocument/2006/relationships" ref="A469" r:id="rId464"/>
    <hyperlink xmlns:r="http://schemas.openxmlformats.org/officeDocument/2006/relationships" ref="A470" r:id="rId465"/>
    <hyperlink xmlns:r="http://schemas.openxmlformats.org/officeDocument/2006/relationships" ref="A471" r:id="rId466"/>
    <hyperlink xmlns:r="http://schemas.openxmlformats.org/officeDocument/2006/relationships" ref="A472" r:id="rId467"/>
    <hyperlink xmlns:r="http://schemas.openxmlformats.org/officeDocument/2006/relationships" ref="A473" r:id="rId468"/>
    <hyperlink xmlns:r="http://schemas.openxmlformats.org/officeDocument/2006/relationships" ref="A474" r:id="rId469"/>
    <hyperlink xmlns:r="http://schemas.openxmlformats.org/officeDocument/2006/relationships" ref="A475" r:id="rId470"/>
    <hyperlink xmlns:r="http://schemas.openxmlformats.org/officeDocument/2006/relationships" ref="A476" r:id="rId471"/>
    <hyperlink xmlns:r="http://schemas.openxmlformats.org/officeDocument/2006/relationships" ref="A477" r:id="rId472"/>
    <hyperlink xmlns:r="http://schemas.openxmlformats.org/officeDocument/2006/relationships" ref="A478" r:id="rId473"/>
    <hyperlink xmlns:r="http://schemas.openxmlformats.org/officeDocument/2006/relationships" ref="A479" r:id="rId474"/>
    <hyperlink xmlns:r="http://schemas.openxmlformats.org/officeDocument/2006/relationships" ref="A480" r:id="rId475"/>
    <hyperlink xmlns:r="http://schemas.openxmlformats.org/officeDocument/2006/relationships" ref="A481" r:id="rId476"/>
    <hyperlink xmlns:r="http://schemas.openxmlformats.org/officeDocument/2006/relationships" ref="A482" r:id="rId477"/>
    <hyperlink xmlns:r="http://schemas.openxmlformats.org/officeDocument/2006/relationships" ref="A483" r:id="rId478"/>
    <hyperlink xmlns:r="http://schemas.openxmlformats.org/officeDocument/2006/relationships" ref="A484" r:id="rId479"/>
    <hyperlink xmlns:r="http://schemas.openxmlformats.org/officeDocument/2006/relationships" ref="A485" r:id="rId480"/>
    <hyperlink xmlns:r="http://schemas.openxmlformats.org/officeDocument/2006/relationships" ref="A486" r:id="rId481"/>
    <hyperlink xmlns:r="http://schemas.openxmlformats.org/officeDocument/2006/relationships" ref="A487" r:id="rId482"/>
    <hyperlink xmlns:r="http://schemas.openxmlformats.org/officeDocument/2006/relationships" ref="A488" r:id="rId483"/>
    <hyperlink xmlns:r="http://schemas.openxmlformats.org/officeDocument/2006/relationships" ref="A489" r:id="rId484"/>
    <hyperlink xmlns:r="http://schemas.openxmlformats.org/officeDocument/2006/relationships" ref="A490" r:id="rId485"/>
    <hyperlink xmlns:r="http://schemas.openxmlformats.org/officeDocument/2006/relationships" ref="A491" r:id="rId486"/>
    <hyperlink xmlns:r="http://schemas.openxmlformats.org/officeDocument/2006/relationships" ref="A492" r:id="rId487"/>
    <hyperlink xmlns:r="http://schemas.openxmlformats.org/officeDocument/2006/relationships" ref="A493" r:id="rId488"/>
    <hyperlink xmlns:r="http://schemas.openxmlformats.org/officeDocument/2006/relationships" ref="A494" r:id="rId489"/>
    <hyperlink xmlns:r="http://schemas.openxmlformats.org/officeDocument/2006/relationships" ref="A495" r:id="rId490"/>
    <hyperlink xmlns:r="http://schemas.openxmlformats.org/officeDocument/2006/relationships" ref="A496" r:id="rId491"/>
    <hyperlink xmlns:r="http://schemas.openxmlformats.org/officeDocument/2006/relationships" ref="A497" r:id="rId492"/>
    <hyperlink xmlns:r="http://schemas.openxmlformats.org/officeDocument/2006/relationships" ref="A498" r:id="rId493"/>
    <hyperlink xmlns:r="http://schemas.openxmlformats.org/officeDocument/2006/relationships" ref="A499" r:id="rId494"/>
    <hyperlink xmlns:r="http://schemas.openxmlformats.org/officeDocument/2006/relationships" ref="A500" r:id="rId495"/>
    <hyperlink xmlns:r="http://schemas.openxmlformats.org/officeDocument/2006/relationships" ref="A501" r:id="rId496"/>
    <hyperlink xmlns:r="http://schemas.openxmlformats.org/officeDocument/2006/relationships" ref="A502" r:id="rId497"/>
    <hyperlink xmlns:r="http://schemas.openxmlformats.org/officeDocument/2006/relationships" ref="A503" r:id="rId498"/>
    <hyperlink xmlns:r="http://schemas.openxmlformats.org/officeDocument/2006/relationships" ref="A504" r:id="rId499"/>
    <hyperlink xmlns:r="http://schemas.openxmlformats.org/officeDocument/2006/relationships" ref="A505" r:id="rId500"/>
    <hyperlink xmlns:r="http://schemas.openxmlformats.org/officeDocument/2006/relationships" ref="A506" r:id="rId501"/>
    <hyperlink xmlns:r="http://schemas.openxmlformats.org/officeDocument/2006/relationships" ref="A507" r:id="rId502"/>
    <hyperlink xmlns:r="http://schemas.openxmlformats.org/officeDocument/2006/relationships" ref="A508" r:id="rId503"/>
    <hyperlink xmlns:r="http://schemas.openxmlformats.org/officeDocument/2006/relationships" ref="A509" r:id="rId504"/>
    <hyperlink xmlns:r="http://schemas.openxmlformats.org/officeDocument/2006/relationships" ref="A510" r:id="rId505"/>
    <hyperlink xmlns:r="http://schemas.openxmlformats.org/officeDocument/2006/relationships" ref="A511" r:id="rId506"/>
    <hyperlink xmlns:r="http://schemas.openxmlformats.org/officeDocument/2006/relationships" ref="A512" r:id="rId507"/>
    <hyperlink xmlns:r="http://schemas.openxmlformats.org/officeDocument/2006/relationships" ref="A513" r:id="rId508"/>
    <hyperlink xmlns:r="http://schemas.openxmlformats.org/officeDocument/2006/relationships" ref="A514" r:id="rId509"/>
    <hyperlink xmlns:r="http://schemas.openxmlformats.org/officeDocument/2006/relationships" ref="A515" r:id="rId510"/>
    <hyperlink xmlns:r="http://schemas.openxmlformats.org/officeDocument/2006/relationships" ref="A516" r:id="rId511"/>
    <hyperlink xmlns:r="http://schemas.openxmlformats.org/officeDocument/2006/relationships" ref="A517" r:id="rId512"/>
    <hyperlink xmlns:r="http://schemas.openxmlformats.org/officeDocument/2006/relationships" ref="A518" r:id="rId513"/>
    <hyperlink xmlns:r="http://schemas.openxmlformats.org/officeDocument/2006/relationships" ref="A519" r:id="rId514"/>
    <hyperlink xmlns:r="http://schemas.openxmlformats.org/officeDocument/2006/relationships" ref="A520" r:id="rId515"/>
    <hyperlink xmlns:r="http://schemas.openxmlformats.org/officeDocument/2006/relationships" ref="A521" r:id="rId516"/>
    <hyperlink xmlns:r="http://schemas.openxmlformats.org/officeDocument/2006/relationships" ref="A522" r:id="rId517"/>
    <hyperlink xmlns:r="http://schemas.openxmlformats.org/officeDocument/2006/relationships" ref="A523" r:id="rId518"/>
    <hyperlink xmlns:r="http://schemas.openxmlformats.org/officeDocument/2006/relationships" ref="A524" r:id="rId519"/>
    <hyperlink xmlns:r="http://schemas.openxmlformats.org/officeDocument/2006/relationships" ref="A525" r:id="rId520"/>
    <hyperlink xmlns:r="http://schemas.openxmlformats.org/officeDocument/2006/relationships" ref="A526" r:id="rId521"/>
    <hyperlink xmlns:r="http://schemas.openxmlformats.org/officeDocument/2006/relationships" ref="A527" r:id="rId522"/>
    <hyperlink xmlns:r="http://schemas.openxmlformats.org/officeDocument/2006/relationships" ref="A528" r:id="rId523"/>
    <hyperlink xmlns:r="http://schemas.openxmlformats.org/officeDocument/2006/relationships" ref="A529" r:id="rId524"/>
    <hyperlink xmlns:r="http://schemas.openxmlformats.org/officeDocument/2006/relationships" ref="A530" r:id="rId525"/>
    <hyperlink xmlns:r="http://schemas.openxmlformats.org/officeDocument/2006/relationships" ref="A531" r:id="rId526"/>
    <hyperlink xmlns:r="http://schemas.openxmlformats.org/officeDocument/2006/relationships" ref="A532" r:id="rId527"/>
    <hyperlink xmlns:r="http://schemas.openxmlformats.org/officeDocument/2006/relationships" ref="A533" r:id="rId528"/>
    <hyperlink xmlns:r="http://schemas.openxmlformats.org/officeDocument/2006/relationships" ref="A534" r:id="rId529"/>
    <hyperlink xmlns:r="http://schemas.openxmlformats.org/officeDocument/2006/relationships" ref="A535" r:id="rId530"/>
    <hyperlink xmlns:r="http://schemas.openxmlformats.org/officeDocument/2006/relationships" ref="A536" r:id="rId531"/>
    <hyperlink xmlns:r="http://schemas.openxmlformats.org/officeDocument/2006/relationships" ref="A537" r:id="rId532"/>
    <hyperlink xmlns:r="http://schemas.openxmlformats.org/officeDocument/2006/relationships" ref="A538" r:id="rId533"/>
    <hyperlink xmlns:r="http://schemas.openxmlformats.org/officeDocument/2006/relationships" ref="A539" r:id="rId534"/>
    <hyperlink xmlns:r="http://schemas.openxmlformats.org/officeDocument/2006/relationships" ref="A540" r:id="rId535"/>
    <hyperlink xmlns:r="http://schemas.openxmlformats.org/officeDocument/2006/relationships" ref="A541" r:id="rId536"/>
    <hyperlink xmlns:r="http://schemas.openxmlformats.org/officeDocument/2006/relationships" ref="A542" r:id="rId537"/>
    <hyperlink xmlns:r="http://schemas.openxmlformats.org/officeDocument/2006/relationships" ref="A543" r:id="rId538"/>
    <hyperlink xmlns:r="http://schemas.openxmlformats.org/officeDocument/2006/relationships" ref="A544" r:id="rId539"/>
    <hyperlink xmlns:r="http://schemas.openxmlformats.org/officeDocument/2006/relationships" ref="A545" r:id="rId540"/>
    <hyperlink xmlns:r="http://schemas.openxmlformats.org/officeDocument/2006/relationships" ref="A546" r:id="rId541"/>
    <hyperlink xmlns:r="http://schemas.openxmlformats.org/officeDocument/2006/relationships" ref="A547" r:id="rId542"/>
    <hyperlink xmlns:r="http://schemas.openxmlformats.org/officeDocument/2006/relationships" ref="A548" r:id="rId543"/>
    <hyperlink xmlns:r="http://schemas.openxmlformats.org/officeDocument/2006/relationships" ref="A549" r:id="rId544"/>
    <hyperlink xmlns:r="http://schemas.openxmlformats.org/officeDocument/2006/relationships" ref="A550" r:id="rId545"/>
    <hyperlink xmlns:r="http://schemas.openxmlformats.org/officeDocument/2006/relationships" ref="A551" r:id="rId546"/>
    <hyperlink xmlns:r="http://schemas.openxmlformats.org/officeDocument/2006/relationships" ref="A552" r:id="rId547"/>
    <hyperlink xmlns:r="http://schemas.openxmlformats.org/officeDocument/2006/relationships" ref="A553" r:id="rId548"/>
    <hyperlink xmlns:r="http://schemas.openxmlformats.org/officeDocument/2006/relationships" ref="A554" r:id="rId549"/>
    <hyperlink xmlns:r="http://schemas.openxmlformats.org/officeDocument/2006/relationships" ref="A555" r:id="rId550"/>
    <hyperlink xmlns:r="http://schemas.openxmlformats.org/officeDocument/2006/relationships" ref="A556" r:id="rId551"/>
    <hyperlink xmlns:r="http://schemas.openxmlformats.org/officeDocument/2006/relationships" ref="A557" r:id="rId552"/>
    <hyperlink xmlns:r="http://schemas.openxmlformats.org/officeDocument/2006/relationships" ref="A558" r:id="rId553"/>
    <hyperlink xmlns:r="http://schemas.openxmlformats.org/officeDocument/2006/relationships" ref="A559" r:id="rId554"/>
    <hyperlink xmlns:r="http://schemas.openxmlformats.org/officeDocument/2006/relationships" ref="A560" r:id="rId555"/>
    <hyperlink xmlns:r="http://schemas.openxmlformats.org/officeDocument/2006/relationships" ref="A561" r:id="rId556"/>
    <hyperlink xmlns:r="http://schemas.openxmlformats.org/officeDocument/2006/relationships" ref="A562" r:id="rId557"/>
    <hyperlink xmlns:r="http://schemas.openxmlformats.org/officeDocument/2006/relationships" ref="A563" r:id="rId558"/>
    <hyperlink xmlns:r="http://schemas.openxmlformats.org/officeDocument/2006/relationships" ref="A564" r:id="rId559"/>
    <hyperlink xmlns:r="http://schemas.openxmlformats.org/officeDocument/2006/relationships" ref="A565" r:id="rId560"/>
    <hyperlink xmlns:r="http://schemas.openxmlformats.org/officeDocument/2006/relationships" ref="A566" r:id="rId561"/>
    <hyperlink xmlns:r="http://schemas.openxmlformats.org/officeDocument/2006/relationships" ref="A567" r:id="rId562"/>
    <hyperlink xmlns:r="http://schemas.openxmlformats.org/officeDocument/2006/relationships" ref="A568" r:id="rId563"/>
    <hyperlink xmlns:r="http://schemas.openxmlformats.org/officeDocument/2006/relationships" ref="A569" r:id="rId564"/>
    <hyperlink xmlns:r="http://schemas.openxmlformats.org/officeDocument/2006/relationships" ref="A570" r:id="rId565"/>
    <hyperlink xmlns:r="http://schemas.openxmlformats.org/officeDocument/2006/relationships" ref="A571" r:id="rId566"/>
    <hyperlink xmlns:r="http://schemas.openxmlformats.org/officeDocument/2006/relationships" ref="A572" r:id="rId567"/>
    <hyperlink xmlns:r="http://schemas.openxmlformats.org/officeDocument/2006/relationships" ref="A573" r:id="rId568"/>
    <hyperlink xmlns:r="http://schemas.openxmlformats.org/officeDocument/2006/relationships" ref="A574" r:id="rId569"/>
    <hyperlink xmlns:r="http://schemas.openxmlformats.org/officeDocument/2006/relationships" ref="A575" r:id="rId570"/>
    <hyperlink xmlns:r="http://schemas.openxmlformats.org/officeDocument/2006/relationships" ref="A576" r:id="rId571"/>
    <hyperlink xmlns:r="http://schemas.openxmlformats.org/officeDocument/2006/relationships" ref="A577" r:id="rId572"/>
    <hyperlink xmlns:r="http://schemas.openxmlformats.org/officeDocument/2006/relationships" ref="A578" r:id="rId573"/>
    <hyperlink xmlns:r="http://schemas.openxmlformats.org/officeDocument/2006/relationships" ref="A579" r:id="rId574"/>
    <hyperlink xmlns:r="http://schemas.openxmlformats.org/officeDocument/2006/relationships" ref="A580" r:id="rId575"/>
    <hyperlink xmlns:r="http://schemas.openxmlformats.org/officeDocument/2006/relationships" ref="A581" r:id="rId576"/>
    <hyperlink xmlns:r="http://schemas.openxmlformats.org/officeDocument/2006/relationships" ref="A582" r:id="rId577"/>
    <hyperlink xmlns:r="http://schemas.openxmlformats.org/officeDocument/2006/relationships" ref="A583" r:id="rId578"/>
    <hyperlink xmlns:r="http://schemas.openxmlformats.org/officeDocument/2006/relationships" ref="A584" r:id="rId579"/>
    <hyperlink xmlns:r="http://schemas.openxmlformats.org/officeDocument/2006/relationships" ref="A585" r:id="rId580"/>
    <hyperlink xmlns:r="http://schemas.openxmlformats.org/officeDocument/2006/relationships" ref="A586" r:id="rId581"/>
    <hyperlink xmlns:r="http://schemas.openxmlformats.org/officeDocument/2006/relationships" ref="A587" r:id="rId582"/>
    <hyperlink xmlns:r="http://schemas.openxmlformats.org/officeDocument/2006/relationships" ref="A588" r:id="rId583"/>
    <hyperlink xmlns:r="http://schemas.openxmlformats.org/officeDocument/2006/relationships" ref="A589" r:id="rId584"/>
    <hyperlink xmlns:r="http://schemas.openxmlformats.org/officeDocument/2006/relationships" ref="A590" r:id="rId585"/>
    <hyperlink xmlns:r="http://schemas.openxmlformats.org/officeDocument/2006/relationships" ref="A591" r:id="rId586"/>
    <hyperlink xmlns:r="http://schemas.openxmlformats.org/officeDocument/2006/relationships" ref="A592" r:id="rId58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99"/>
  <sheetViews>
    <sheetView workbookViewId="0">
      <selection activeCell="A1" sqref="A1"/>
    </sheetView>
  </sheetViews>
  <sheetFormatPr baseColWidth="8" defaultRowHeight="15"/>
  <cols>
    <col width="26" customWidth="1" min="1" max="1"/>
    <col width="22" customWidth="1" min="2" max="2"/>
    <col width="12" customWidth="1" min="3" max="3"/>
    <col width="12" customWidth="1" min="4" max="4"/>
    <col width="12" customWidth="1" min="5" max="5"/>
    <col width="12" customWidth="1" min="6" max="6"/>
    <col width="12" customWidth="1" min="7" max="7"/>
    <col width="12" customWidth="1" min="8" max="8"/>
    <col width="14" customWidth="1" min="9" max="9"/>
    <col width="14" customWidth="1" min="10" max="10"/>
    <col width="28" customWidth="1" min="11" max="11"/>
    <col width="26" customWidth="1" min="12" max="12"/>
  </cols>
  <sheetData>
    <row r="1" ht="24" customHeight="1">
      <c r="A1" s="1" t="inlineStr">
        <is>
          <t>Market Benchmark — the numbers behind the weightage and the bands</t>
        </is>
      </c>
      <c r="O1" s="7" t="inlineStr">
        <is>
          <t>◂ Start</t>
        </is>
      </c>
    </row>
    <row r="2" ht="30" customHeight="1">
      <c r="A2" s="2" t="inlineStr">
        <is>
          <t>Sheet 4 · Published job-evaluation weights by role group (Korn Ferry Hay, Mercer IPE and five public point-factor plans), the Experience / Education split, how Low / Medium / High reproduce the market weights, and the level crosswalk with experience, education and span norms. Every number carries its source.</t>
        </is>
      </c>
    </row>
    <row r="3">
      <c r="A3" s="3" t="inlineStr">
        <is>
          <t>IRIS · Job Architecture &amp; Job Design · Final v1.15 · October 2026 · Internal — Confidential · HR only</t>
        </is>
      </c>
    </row>
    <row r="5">
      <c r="A5" s="60" t="inlineStr">
        <is>
          <t>1 · Market weights by role group — % of the score each parameter carries</t>
        </is>
      </c>
      <c r="B5" s="61" t="n"/>
      <c r="C5" s="61" t="n"/>
      <c r="D5" s="61" t="n"/>
      <c r="E5" s="61" t="n"/>
      <c r="F5" s="61" t="n"/>
      <c r="G5" s="61" t="n"/>
      <c r="H5" s="61" t="n"/>
      <c r="I5" s="61" t="n"/>
      <c r="J5" s="61" t="n"/>
      <c r="K5" s="61" t="n"/>
      <c r="L5" s="62" t="n"/>
    </row>
    <row r="6">
      <c r="A6" s="63" t="inlineStr">
        <is>
          <t>References: S46–S51 Korn Ferry Hay evaluations · S04, S52 Mercer IPE · S53–S57 NHS, UK NJC/PSC, GLPC, SJC, US OPM point-factor plans · S58 McKinsey skills-based hiring · S60 WEF skills-first · S61 EY India 2026 · the Experience / Education split is an IRIS rule</t>
        </is>
      </c>
    </row>
    <row r="7">
      <c r="A7" s="27" t="inlineStr">
        <is>
          <t>Role group</t>
        </is>
      </c>
      <c r="B7" s="27" t="inlineStr">
        <is>
          <t>Source</t>
        </is>
      </c>
      <c r="C7" s="27" t="inlineStr">
        <is>
          <t>Complexity &amp; Expertise</t>
        </is>
      </c>
      <c r="D7" s="27" t="inlineStr">
        <is>
          <t>Autonomy &amp; Decision</t>
        </is>
      </c>
      <c r="E7" s="27" t="inlineStr">
        <is>
          <t>Accountability &amp; Impact</t>
        </is>
      </c>
      <c r="F7" s="27" t="inlineStr">
        <is>
          <t>Leadership &amp; Strategy</t>
        </is>
      </c>
      <c r="G7" s="27" t="inlineStr">
        <is>
          <t>Business Impact</t>
        </is>
      </c>
      <c r="H7" s="27" t="inlineStr">
        <is>
          <t>Experience</t>
        </is>
      </c>
      <c r="I7" s="27" t="inlineStr">
        <is>
          <t>Education</t>
        </is>
      </c>
      <c r="J7" s="27" t="inlineStr">
        <is>
          <t>L/M/H at IRIS default</t>
        </is>
      </c>
    </row>
    <row r="8">
      <c r="A8" s="64" t="inlineStr">
        <is>
          <t>Band A · all tracks</t>
        </is>
      </c>
      <c r="B8" s="53" t="inlineStr">
        <is>
          <t>Korn Ferry Hay</t>
        </is>
      </c>
      <c r="C8" s="65" t="n">
        <v>0.71</v>
      </c>
      <c r="D8" s="65" t="n">
        <v>0.11</v>
      </c>
      <c r="E8" s="65" t="n">
        <v>0.04</v>
      </c>
      <c r="F8" s="65" t="n">
        <v>0</v>
      </c>
      <c r="G8" s="65" t="n">
        <v>0.04</v>
      </c>
      <c r="H8" s="65" t="n">
        <v>0.06</v>
      </c>
      <c r="I8" s="65" t="n">
        <v>0.04</v>
      </c>
      <c r="J8" s="53" t="n"/>
    </row>
    <row r="9">
      <c r="A9" s="64" t="inlineStr">
        <is>
          <t>Band A · all tracks</t>
        </is>
      </c>
      <c r="B9" s="53" t="inlineStr">
        <is>
          <t>Mercer IPE</t>
        </is>
      </c>
      <c r="C9" s="65" t="n">
        <v>0.51</v>
      </c>
      <c r="D9" s="65" t="n">
        <v>0.22</v>
      </c>
      <c r="E9" s="65" t="n">
        <v>0.08</v>
      </c>
      <c r="F9" s="65" t="n">
        <v>0</v>
      </c>
      <c r="G9" s="65" t="n">
        <v>0.08</v>
      </c>
      <c r="H9" s="65" t="n">
        <v>0.06</v>
      </c>
      <c r="I9" s="65" t="n">
        <v>0.04</v>
      </c>
      <c r="J9" s="53" t="n"/>
    </row>
    <row r="10">
      <c r="A10" s="64" t="inlineStr">
        <is>
          <t>Band A · all tracks</t>
        </is>
      </c>
      <c r="B10" s="53" t="inlineStr">
        <is>
          <t>Public plans</t>
        </is>
      </c>
      <c r="C10" s="65" t="n">
        <v>0.53</v>
      </c>
      <c r="D10" s="65" t="n">
        <v>0.15</v>
      </c>
      <c r="E10" s="65" t="n">
        <v>0.15</v>
      </c>
      <c r="F10" s="65" t="n">
        <v>0</v>
      </c>
      <c r="G10" s="65" t="n">
        <v>0.07000000000000001</v>
      </c>
      <c r="H10" s="65" t="n">
        <v>0.06</v>
      </c>
      <c r="I10" s="65" t="n">
        <v>0.04</v>
      </c>
      <c r="J10" s="53" t="n"/>
    </row>
    <row r="11">
      <c r="A11" s="66" t="inlineStr">
        <is>
          <t>Band A · all tracks</t>
        </is>
      </c>
      <c r="B11" s="43" t="inlineStr">
        <is>
          <t>Market average</t>
        </is>
      </c>
      <c r="C11" s="67" t="n">
        <v>0.583</v>
      </c>
      <c r="D11" s="67" t="n">
        <v>0.16</v>
      </c>
      <c r="E11" s="67" t="n">
        <v>0.09</v>
      </c>
      <c r="F11" s="67" t="n">
        <v>0</v>
      </c>
      <c r="G11" s="67" t="n">
        <v>0.063</v>
      </c>
      <c r="H11" s="67" t="n">
        <v>0.06</v>
      </c>
      <c r="I11" s="67" t="n">
        <v>0.04</v>
      </c>
      <c r="J11" s="43" t="inlineStr">
        <is>
          <t>C H · Au M · Ac M · L L · BI L · Exp L · Edu L</t>
        </is>
      </c>
    </row>
    <row r="12">
      <c r="A12" s="68" t="inlineStr">
        <is>
          <t>Band A · all tracks</t>
        </is>
      </c>
      <c r="B12" s="56" t="inlineStr">
        <is>
          <t>What L/M/H gives · L1 M3 H9</t>
        </is>
      </c>
      <c r="C12" s="69" t="n">
        <v>0.4736842105263158</v>
      </c>
      <c r="D12" s="69" t="n">
        <v>0.1578947368421053</v>
      </c>
      <c r="E12" s="69" t="n">
        <v>0.1578947368421053</v>
      </c>
      <c r="F12" s="69" t="n">
        <v>0.05263157894736842</v>
      </c>
      <c r="G12" s="69" t="n">
        <v>0.05263157894736842</v>
      </c>
      <c r="H12" s="69" t="n">
        <v>0.05263157894736842</v>
      </c>
      <c r="I12" s="69" t="n">
        <v>0.05263157894736842</v>
      </c>
      <c r="J12" s="56" t="n"/>
    </row>
    <row r="13">
      <c r="A13" s="64" t="inlineStr">
        <is>
          <t>Band B · Specialist / POD Lead</t>
        </is>
      </c>
      <c r="B13" s="53" t="inlineStr">
        <is>
          <t>Korn Ferry Hay</t>
        </is>
      </c>
      <c r="C13" s="65" t="n">
        <v>0.54</v>
      </c>
      <c r="D13" s="65" t="n">
        <v>0.19</v>
      </c>
      <c r="E13" s="65" t="n">
        <v>0.06</v>
      </c>
      <c r="F13" s="65" t="n">
        <v>0.05</v>
      </c>
      <c r="G13" s="65" t="n">
        <v>0.06</v>
      </c>
      <c r="H13" s="65" t="n">
        <v>0.06</v>
      </c>
      <c r="I13" s="65" t="n">
        <v>0.04</v>
      </c>
      <c r="J13" s="53" t="n"/>
    </row>
    <row r="14">
      <c r="A14" s="64" t="inlineStr">
        <is>
          <t>Band B · Specialist / POD Lead</t>
        </is>
      </c>
      <c r="B14" s="53" t="inlineStr">
        <is>
          <t>Mercer IPE</t>
        </is>
      </c>
      <c r="C14" s="65" t="n">
        <v>0.52</v>
      </c>
      <c r="D14" s="65" t="n">
        <v>0.18</v>
      </c>
      <c r="E14" s="65" t="n">
        <v>0.08</v>
      </c>
      <c r="F14" s="65" t="n">
        <v>0.05</v>
      </c>
      <c r="G14" s="65" t="n">
        <v>0.08</v>
      </c>
      <c r="H14" s="65" t="n">
        <v>0.06</v>
      </c>
      <c r="I14" s="65" t="n">
        <v>0.04</v>
      </c>
      <c r="J14" s="53" t="n"/>
    </row>
    <row r="15">
      <c r="A15" s="64" t="inlineStr">
        <is>
          <t>Band B · Specialist / POD Lead</t>
        </is>
      </c>
      <c r="B15" s="53" t="inlineStr">
        <is>
          <t>Public plans</t>
        </is>
      </c>
      <c r="C15" s="65" t="n">
        <v>0.48</v>
      </c>
      <c r="D15" s="65" t="n">
        <v>0.15</v>
      </c>
      <c r="E15" s="65" t="n">
        <v>0.15</v>
      </c>
      <c r="F15" s="65" t="n">
        <v>0.05</v>
      </c>
      <c r="G15" s="65" t="n">
        <v>0.07000000000000001</v>
      </c>
      <c r="H15" s="65" t="n">
        <v>0.06</v>
      </c>
      <c r="I15" s="65" t="n">
        <v>0.04</v>
      </c>
      <c r="J15" s="53" t="n"/>
    </row>
    <row r="16">
      <c r="A16" s="66" t="inlineStr">
        <is>
          <t>Band B · Specialist / POD Lead</t>
        </is>
      </c>
      <c r="B16" s="43" t="inlineStr">
        <is>
          <t>Market average</t>
        </is>
      </c>
      <c r="C16" s="67" t="n">
        <v>0.513</v>
      </c>
      <c r="D16" s="67" t="n">
        <v>0.173</v>
      </c>
      <c r="E16" s="67" t="n">
        <v>0.09699999999999999</v>
      </c>
      <c r="F16" s="67" t="n">
        <v>0.05</v>
      </c>
      <c r="G16" s="67" t="n">
        <v>0.07000000000000001</v>
      </c>
      <c r="H16" s="67" t="n">
        <v>0.06</v>
      </c>
      <c r="I16" s="67" t="n">
        <v>0.04</v>
      </c>
      <c r="J16" s="43" t="inlineStr">
        <is>
          <t>C H · Au M · Ac M · L L · BI L · Exp L · Edu L</t>
        </is>
      </c>
    </row>
    <row r="17">
      <c r="A17" s="68" t="inlineStr">
        <is>
          <t>Band B · Specialist / POD Lead</t>
        </is>
      </c>
      <c r="B17" s="56" t="inlineStr">
        <is>
          <t>What L/M/H gives · L1 M3 H9</t>
        </is>
      </c>
      <c r="C17" s="69" t="n">
        <v>0.4736842105263158</v>
      </c>
      <c r="D17" s="69" t="n">
        <v>0.1578947368421053</v>
      </c>
      <c r="E17" s="69" t="n">
        <v>0.1578947368421053</v>
      </c>
      <c r="F17" s="69" t="n">
        <v>0.05263157894736842</v>
      </c>
      <c r="G17" s="69" t="n">
        <v>0.05263157894736842</v>
      </c>
      <c r="H17" s="69" t="n">
        <v>0.05263157894736842</v>
      </c>
      <c r="I17" s="69" t="n">
        <v>0.05263157894736842</v>
      </c>
      <c r="J17" s="56" t="n"/>
    </row>
    <row r="18">
      <c r="A18" s="64" t="inlineStr">
        <is>
          <t>Band B · People Manager</t>
        </is>
      </c>
      <c r="B18" s="53" t="inlineStr">
        <is>
          <t>Korn Ferry Hay</t>
        </is>
      </c>
      <c r="C18" s="65" t="n">
        <v>0.35</v>
      </c>
      <c r="D18" s="65" t="n">
        <v>0.21</v>
      </c>
      <c r="E18" s="65" t="n">
        <v>0.1</v>
      </c>
      <c r="F18" s="65" t="n">
        <v>0.15</v>
      </c>
      <c r="G18" s="65" t="n">
        <v>0.1</v>
      </c>
      <c r="H18" s="65" t="n">
        <v>0.06</v>
      </c>
      <c r="I18" s="65" t="n">
        <v>0.04</v>
      </c>
      <c r="J18" s="53" t="n"/>
    </row>
    <row r="19">
      <c r="A19" s="64" t="inlineStr">
        <is>
          <t>Band B · People Manager</t>
        </is>
      </c>
      <c r="B19" s="53" t="inlineStr">
        <is>
          <t>Mercer IPE</t>
        </is>
      </c>
      <c r="C19" s="65" t="n">
        <v>0.38</v>
      </c>
      <c r="D19" s="65" t="n">
        <v>0.19</v>
      </c>
      <c r="E19" s="65" t="n">
        <v>0.09</v>
      </c>
      <c r="F19" s="65" t="n">
        <v>0.15</v>
      </c>
      <c r="G19" s="65" t="n">
        <v>0.09</v>
      </c>
      <c r="H19" s="65" t="n">
        <v>0.06</v>
      </c>
      <c r="I19" s="65" t="n">
        <v>0.04</v>
      </c>
      <c r="J19" s="53" t="n"/>
    </row>
    <row r="20">
      <c r="A20" s="64" t="inlineStr">
        <is>
          <t>Band B · People Manager</t>
        </is>
      </c>
      <c r="B20" s="53" t="inlineStr">
        <is>
          <t>Public plans</t>
        </is>
      </c>
      <c r="C20" s="65" t="n">
        <v>0.38</v>
      </c>
      <c r="D20" s="65" t="n">
        <v>0.15</v>
      </c>
      <c r="E20" s="65" t="n">
        <v>0.15</v>
      </c>
      <c r="F20" s="65" t="n">
        <v>0.15</v>
      </c>
      <c r="G20" s="65" t="n">
        <v>0.07000000000000001</v>
      </c>
      <c r="H20" s="65" t="n">
        <v>0.06</v>
      </c>
      <c r="I20" s="65" t="n">
        <v>0.04</v>
      </c>
      <c r="J20" s="53" t="n"/>
    </row>
    <row r="21">
      <c r="A21" s="66" t="inlineStr">
        <is>
          <t>Band B · People Manager</t>
        </is>
      </c>
      <c r="B21" s="43" t="inlineStr">
        <is>
          <t>Market average</t>
        </is>
      </c>
      <c r="C21" s="67" t="n">
        <v>0.37</v>
      </c>
      <c r="D21" s="67" t="n">
        <v>0.183</v>
      </c>
      <c r="E21" s="67" t="n">
        <v>0.113</v>
      </c>
      <c r="F21" s="67" t="n">
        <v>0.15</v>
      </c>
      <c r="G21" s="67" t="n">
        <v>0.08699999999999999</v>
      </c>
      <c r="H21" s="67" t="n">
        <v>0.06</v>
      </c>
      <c r="I21" s="67" t="n">
        <v>0.04</v>
      </c>
      <c r="J21" s="43" t="inlineStr">
        <is>
          <t>C H · Au M · Ac M · L M · BI L · Exp L · Edu L</t>
        </is>
      </c>
    </row>
    <row r="22">
      <c r="A22" s="68" t="inlineStr">
        <is>
          <t>Band B · People Manager</t>
        </is>
      </c>
      <c r="B22" s="56" t="inlineStr">
        <is>
          <t>What L/M/H gives · L1 M3 H9</t>
        </is>
      </c>
      <c r="C22" s="69" t="n">
        <v>0.4285714285714285</v>
      </c>
      <c r="D22" s="69" t="n">
        <v>0.1428571428571428</v>
      </c>
      <c r="E22" s="69" t="n">
        <v>0.1428571428571428</v>
      </c>
      <c r="F22" s="69" t="n">
        <v>0.1428571428571428</v>
      </c>
      <c r="G22" s="69" t="n">
        <v>0.04761904761904762</v>
      </c>
      <c r="H22" s="69" t="n">
        <v>0.04761904761904762</v>
      </c>
      <c r="I22" s="69" t="n">
        <v>0.04761904761904762</v>
      </c>
      <c r="J22" s="56" t="n"/>
    </row>
    <row r="23">
      <c r="A23" s="64" t="inlineStr">
        <is>
          <t>B+ · Player-Coach</t>
        </is>
      </c>
      <c r="B23" s="53" t="inlineStr">
        <is>
          <t>Korn Ferry Hay</t>
        </is>
      </c>
      <c r="C23" s="65" t="n">
        <v>0.44</v>
      </c>
      <c r="D23" s="65" t="n">
        <v>0.2</v>
      </c>
      <c r="E23" s="65" t="n">
        <v>0.08</v>
      </c>
      <c r="F23" s="65" t="n">
        <v>0.1</v>
      </c>
      <c r="G23" s="65" t="n">
        <v>0.08</v>
      </c>
      <c r="H23" s="65" t="n">
        <v>0.06</v>
      </c>
      <c r="I23" s="65" t="n">
        <v>0.04</v>
      </c>
      <c r="J23" s="53" t="n"/>
    </row>
    <row r="24">
      <c r="A24" s="64" t="inlineStr">
        <is>
          <t>B+ · Player-Coach</t>
        </is>
      </c>
      <c r="B24" s="53" t="inlineStr">
        <is>
          <t>Mercer IPE</t>
        </is>
      </c>
      <c r="C24" s="65" t="n">
        <v>0.45</v>
      </c>
      <c r="D24" s="65" t="n">
        <v>0.18</v>
      </c>
      <c r="E24" s="65" t="n">
        <v>0.08</v>
      </c>
      <c r="F24" s="65" t="n">
        <v>0.1</v>
      </c>
      <c r="G24" s="65" t="n">
        <v>0.08</v>
      </c>
      <c r="H24" s="65" t="n">
        <v>0.06</v>
      </c>
      <c r="I24" s="65" t="n">
        <v>0.04</v>
      </c>
      <c r="J24" s="53" t="n"/>
    </row>
    <row r="25">
      <c r="A25" s="64" t="inlineStr">
        <is>
          <t>B+ · Player-Coach</t>
        </is>
      </c>
      <c r="B25" s="53" t="inlineStr">
        <is>
          <t>Public plans</t>
        </is>
      </c>
      <c r="C25" s="65" t="n">
        <v>0.43</v>
      </c>
      <c r="D25" s="65" t="n">
        <v>0.15</v>
      </c>
      <c r="E25" s="65" t="n">
        <v>0.15</v>
      </c>
      <c r="F25" s="65" t="n">
        <v>0.1</v>
      </c>
      <c r="G25" s="65" t="n">
        <v>0.07000000000000001</v>
      </c>
      <c r="H25" s="65" t="n">
        <v>0.06</v>
      </c>
      <c r="I25" s="65" t="n">
        <v>0.04</v>
      </c>
      <c r="J25" s="53" t="n"/>
    </row>
    <row r="26">
      <c r="A26" s="66" t="inlineStr">
        <is>
          <t>B+ · Player-Coach</t>
        </is>
      </c>
      <c r="B26" s="43" t="inlineStr">
        <is>
          <t>Market average</t>
        </is>
      </c>
      <c r="C26" s="67" t="n">
        <v>0.44</v>
      </c>
      <c r="D26" s="67" t="n">
        <v>0.177</v>
      </c>
      <c r="E26" s="67" t="n">
        <v>0.103</v>
      </c>
      <c r="F26" s="67" t="n">
        <v>0.1</v>
      </c>
      <c r="G26" s="67" t="n">
        <v>0.077</v>
      </c>
      <c r="H26" s="67" t="n">
        <v>0.06</v>
      </c>
      <c r="I26" s="67" t="n">
        <v>0.04</v>
      </c>
      <c r="J26" s="43" t="inlineStr">
        <is>
          <t>C H · Au M · Ac M · L M · BI L · Exp L · Edu L</t>
        </is>
      </c>
    </row>
    <row r="27">
      <c r="A27" s="68" t="inlineStr">
        <is>
          <t>B+ · Player-Coach</t>
        </is>
      </c>
      <c r="B27" s="56" t="inlineStr">
        <is>
          <t>What L/M/H gives · L1 M3 H9</t>
        </is>
      </c>
      <c r="C27" s="69" t="n">
        <v>0.4285714285714285</v>
      </c>
      <c r="D27" s="69" t="n">
        <v>0.1428571428571428</v>
      </c>
      <c r="E27" s="69" t="n">
        <v>0.1428571428571428</v>
      </c>
      <c r="F27" s="69" t="n">
        <v>0.1428571428571428</v>
      </c>
      <c r="G27" s="69" t="n">
        <v>0.04761904761904762</v>
      </c>
      <c r="H27" s="69" t="n">
        <v>0.04761904761904762</v>
      </c>
      <c r="I27" s="69" t="n">
        <v>0.04761904761904762</v>
      </c>
      <c r="J27" s="56" t="n"/>
    </row>
    <row r="28">
      <c r="A28" s="64" t="inlineStr">
        <is>
          <t>Band C · Principal specialist</t>
        </is>
      </c>
      <c r="B28" s="53" t="inlineStr">
        <is>
          <t>Korn Ferry Hay</t>
        </is>
      </c>
      <c r="C28" s="65" t="n">
        <v>0.55</v>
      </c>
      <c r="D28" s="65" t="n">
        <v>0.2</v>
      </c>
      <c r="E28" s="65" t="n">
        <v>0.08</v>
      </c>
      <c r="F28" s="65" t="n">
        <v>0.05</v>
      </c>
      <c r="G28" s="65" t="n">
        <v>0.08</v>
      </c>
      <c r="H28" s="65" t="n">
        <v>0.04</v>
      </c>
      <c r="I28" s="65" t="n">
        <v>0.01</v>
      </c>
      <c r="J28" s="53" t="n"/>
    </row>
    <row r="29">
      <c r="A29" s="64" t="inlineStr">
        <is>
          <t>Band C · Principal specialist</t>
        </is>
      </c>
      <c r="B29" s="53" t="inlineStr">
        <is>
          <t>Mercer IPE</t>
        </is>
      </c>
      <c r="C29" s="65" t="n">
        <v>0.55</v>
      </c>
      <c r="D29" s="65" t="n">
        <v>0.18</v>
      </c>
      <c r="E29" s="65" t="n">
        <v>0.08</v>
      </c>
      <c r="F29" s="65" t="n">
        <v>0.05</v>
      </c>
      <c r="G29" s="65" t="n">
        <v>0.08</v>
      </c>
      <c r="H29" s="65" t="n">
        <v>0.04</v>
      </c>
      <c r="I29" s="65" t="n">
        <v>0.01</v>
      </c>
      <c r="J29" s="53" t="n"/>
    </row>
    <row r="30">
      <c r="A30" s="64" t="inlineStr">
        <is>
          <t>Band C · Principal specialist</t>
        </is>
      </c>
      <c r="B30" s="53" t="inlineStr">
        <is>
          <t>Public plans</t>
        </is>
      </c>
      <c r="C30" s="65" t="n">
        <v>0.53</v>
      </c>
      <c r="D30" s="65" t="n">
        <v>0.15</v>
      </c>
      <c r="E30" s="65" t="n">
        <v>0.15</v>
      </c>
      <c r="F30" s="65" t="n">
        <v>0.05</v>
      </c>
      <c r="G30" s="65" t="n">
        <v>0.07000000000000001</v>
      </c>
      <c r="H30" s="65" t="n">
        <v>0.04</v>
      </c>
      <c r="I30" s="65" t="n">
        <v>0.01</v>
      </c>
      <c r="J30" s="53" t="n"/>
    </row>
    <row r="31">
      <c r="A31" s="66" t="inlineStr">
        <is>
          <t>Band C · Principal specialist</t>
        </is>
      </c>
      <c r="B31" s="43" t="inlineStr">
        <is>
          <t>Market average</t>
        </is>
      </c>
      <c r="C31" s="67" t="n">
        <v>0.5429999999999999</v>
      </c>
      <c r="D31" s="67" t="n">
        <v>0.177</v>
      </c>
      <c r="E31" s="67" t="n">
        <v>0.103</v>
      </c>
      <c r="F31" s="67" t="n">
        <v>0.05</v>
      </c>
      <c r="G31" s="67" t="n">
        <v>0.077</v>
      </c>
      <c r="H31" s="67" t="n">
        <v>0.04</v>
      </c>
      <c r="I31" s="67" t="n">
        <v>0.01</v>
      </c>
      <c r="J31" s="43" t="inlineStr">
        <is>
          <t>C H · Au M · Ac M · L L · BI L · Exp L · Edu L</t>
        </is>
      </c>
    </row>
    <row r="32">
      <c r="A32" s="68" t="inlineStr">
        <is>
          <t>Band C · Principal specialist</t>
        </is>
      </c>
      <c r="B32" s="56" t="inlineStr">
        <is>
          <t>What L/M/H gives · L1 M3 H9</t>
        </is>
      </c>
      <c r="C32" s="69" t="n">
        <v>0.4736842105263158</v>
      </c>
      <c r="D32" s="69" t="n">
        <v>0.1578947368421053</v>
      </c>
      <c r="E32" s="69" t="n">
        <v>0.1578947368421053</v>
      </c>
      <c r="F32" s="69" t="n">
        <v>0.05263157894736842</v>
      </c>
      <c r="G32" s="69" t="n">
        <v>0.05263157894736842</v>
      </c>
      <c r="H32" s="69" t="n">
        <v>0.05263157894736842</v>
      </c>
      <c r="I32" s="69" t="n">
        <v>0.05263157894736842</v>
      </c>
      <c r="J32" s="56" t="n"/>
    </row>
    <row r="33">
      <c r="A33" s="64" t="inlineStr">
        <is>
          <t>Band C · Head / manager</t>
        </is>
      </c>
      <c r="B33" s="53" t="inlineStr">
        <is>
          <t>Korn Ferry Hay</t>
        </is>
      </c>
      <c r="C33" s="65" t="n">
        <v>0.44</v>
      </c>
      <c r="D33" s="65" t="n">
        <v>0.2</v>
      </c>
      <c r="E33" s="65" t="n">
        <v>0.08</v>
      </c>
      <c r="F33" s="65" t="n">
        <v>0.15</v>
      </c>
      <c r="G33" s="65" t="n">
        <v>0.08</v>
      </c>
      <c r="H33" s="65" t="n">
        <v>0.04</v>
      </c>
      <c r="I33" s="65" t="n">
        <v>0.01</v>
      </c>
      <c r="J33" s="53" t="n"/>
    </row>
    <row r="34">
      <c r="A34" s="64" t="inlineStr">
        <is>
          <t>Band C · Head / manager</t>
        </is>
      </c>
      <c r="B34" s="53" t="inlineStr">
        <is>
          <t>Mercer IPE</t>
        </is>
      </c>
      <c r="C34" s="65" t="n">
        <v>0.43</v>
      </c>
      <c r="D34" s="65" t="n">
        <v>0.19</v>
      </c>
      <c r="E34" s="65" t="n">
        <v>0.09</v>
      </c>
      <c r="F34" s="65" t="n">
        <v>0.15</v>
      </c>
      <c r="G34" s="65" t="n">
        <v>0.09</v>
      </c>
      <c r="H34" s="65" t="n">
        <v>0.04</v>
      </c>
      <c r="I34" s="65" t="n">
        <v>0.01</v>
      </c>
      <c r="J34" s="53" t="n"/>
    </row>
    <row r="35">
      <c r="A35" s="64" t="inlineStr">
        <is>
          <t>Band C · Head / manager</t>
        </is>
      </c>
      <c r="B35" s="53" t="inlineStr">
        <is>
          <t>Public plans</t>
        </is>
      </c>
      <c r="C35" s="65" t="n">
        <v>0.43</v>
      </c>
      <c r="D35" s="65" t="n">
        <v>0.15</v>
      </c>
      <c r="E35" s="65" t="n">
        <v>0.15</v>
      </c>
      <c r="F35" s="65" t="n">
        <v>0.15</v>
      </c>
      <c r="G35" s="65" t="n">
        <v>0.07000000000000001</v>
      </c>
      <c r="H35" s="65" t="n">
        <v>0.04</v>
      </c>
      <c r="I35" s="65" t="n">
        <v>0.01</v>
      </c>
      <c r="J35" s="53" t="n"/>
    </row>
    <row r="36">
      <c r="A36" s="66" t="inlineStr">
        <is>
          <t>Band C · Head / manager</t>
        </is>
      </c>
      <c r="B36" s="43" t="inlineStr">
        <is>
          <t>Market average</t>
        </is>
      </c>
      <c r="C36" s="67" t="n">
        <v>0.433</v>
      </c>
      <c r="D36" s="67" t="n">
        <v>0.18</v>
      </c>
      <c r="E36" s="67" t="n">
        <v>0.107</v>
      </c>
      <c r="F36" s="67" t="n">
        <v>0.15</v>
      </c>
      <c r="G36" s="67" t="n">
        <v>0.08</v>
      </c>
      <c r="H36" s="67" t="n">
        <v>0.04</v>
      </c>
      <c r="I36" s="67" t="n">
        <v>0.01</v>
      </c>
      <c r="J36" s="43" t="inlineStr">
        <is>
          <t>C H · Au M · Ac M · L M · BI L · Exp L · Edu L</t>
        </is>
      </c>
    </row>
    <row r="37">
      <c r="A37" s="68" t="inlineStr">
        <is>
          <t>Band C · Head / manager</t>
        </is>
      </c>
      <c r="B37" s="56" t="inlineStr">
        <is>
          <t>What L/M/H gives · L1 M3 H9</t>
        </is>
      </c>
      <c r="C37" s="69" t="n">
        <v>0.4285714285714285</v>
      </c>
      <c r="D37" s="69" t="n">
        <v>0.1428571428571428</v>
      </c>
      <c r="E37" s="69" t="n">
        <v>0.1428571428571428</v>
      </c>
      <c r="F37" s="69" t="n">
        <v>0.1428571428571428</v>
      </c>
      <c r="G37" s="69" t="n">
        <v>0.04761904761904762</v>
      </c>
      <c r="H37" s="69" t="n">
        <v>0.04761904761904762</v>
      </c>
      <c r="I37" s="69" t="n">
        <v>0.04761904761904762</v>
      </c>
      <c r="J37" s="56" t="n"/>
    </row>
    <row r="38">
      <c r="A38" s="64" t="inlineStr">
        <is>
          <t>C+ · Player-Coach</t>
        </is>
      </c>
      <c r="B38" s="53" t="inlineStr">
        <is>
          <t>Korn Ferry Hay</t>
        </is>
      </c>
      <c r="C38" s="65" t="n">
        <v>0.38</v>
      </c>
      <c r="D38" s="65" t="n">
        <v>0.21</v>
      </c>
      <c r="E38" s="65" t="n">
        <v>0.08</v>
      </c>
      <c r="F38" s="65" t="n">
        <v>0.2</v>
      </c>
      <c r="G38" s="65" t="n">
        <v>0.08</v>
      </c>
      <c r="H38" s="65" t="n">
        <v>0.04</v>
      </c>
      <c r="I38" s="65" t="n">
        <v>0.01</v>
      </c>
      <c r="J38" s="53" t="n"/>
    </row>
    <row r="39">
      <c r="A39" s="64" t="inlineStr">
        <is>
          <t>C+ · Player-Coach</t>
        </is>
      </c>
      <c r="B39" s="53" t="inlineStr">
        <is>
          <t>Mercer IPE</t>
        </is>
      </c>
      <c r="C39" s="65" t="n">
        <v>0.37</v>
      </c>
      <c r="D39" s="65" t="n">
        <v>0.19</v>
      </c>
      <c r="E39" s="65" t="n">
        <v>0.09</v>
      </c>
      <c r="F39" s="65" t="n">
        <v>0.2</v>
      </c>
      <c r="G39" s="65" t="n">
        <v>0.09</v>
      </c>
      <c r="H39" s="65" t="n">
        <v>0.04</v>
      </c>
      <c r="I39" s="65" t="n">
        <v>0.01</v>
      </c>
      <c r="J39" s="53" t="n"/>
    </row>
    <row r="40">
      <c r="A40" s="64" t="inlineStr">
        <is>
          <t>C+ · Player-Coach</t>
        </is>
      </c>
      <c r="B40" s="53" t="inlineStr">
        <is>
          <t>Public plans</t>
        </is>
      </c>
      <c r="C40" s="65" t="n">
        <v>0.38</v>
      </c>
      <c r="D40" s="65" t="n">
        <v>0.15</v>
      </c>
      <c r="E40" s="65" t="n">
        <v>0.15</v>
      </c>
      <c r="F40" s="65" t="n">
        <v>0.2</v>
      </c>
      <c r="G40" s="65" t="n">
        <v>0.07000000000000001</v>
      </c>
      <c r="H40" s="65" t="n">
        <v>0.04</v>
      </c>
      <c r="I40" s="65" t="n">
        <v>0.01</v>
      </c>
      <c r="J40" s="53" t="n"/>
    </row>
    <row r="41">
      <c r="A41" s="66" t="inlineStr">
        <is>
          <t>C+ · Player-Coach</t>
        </is>
      </c>
      <c r="B41" s="43" t="inlineStr">
        <is>
          <t>Market average</t>
        </is>
      </c>
      <c r="C41" s="67" t="n">
        <v>0.377</v>
      </c>
      <c r="D41" s="67" t="n">
        <v>0.183</v>
      </c>
      <c r="E41" s="67" t="n">
        <v>0.107</v>
      </c>
      <c r="F41" s="67" t="n">
        <v>0.2</v>
      </c>
      <c r="G41" s="67" t="n">
        <v>0.08</v>
      </c>
      <c r="H41" s="67" t="n">
        <v>0.04</v>
      </c>
      <c r="I41" s="67" t="n">
        <v>0.01</v>
      </c>
      <c r="J41" s="43" t="inlineStr">
        <is>
          <t>C H · Au M · Ac M · L M · BI L · Exp L · Edu L</t>
        </is>
      </c>
    </row>
    <row r="42">
      <c r="A42" s="68" t="inlineStr">
        <is>
          <t>C+ · Player-Coach</t>
        </is>
      </c>
      <c r="B42" s="56" t="inlineStr">
        <is>
          <t>What L/M/H gives · L1 M3 H9</t>
        </is>
      </c>
      <c r="C42" s="69" t="n">
        <v>0.4285714285714285</v>
      </c>
      <c r="D42" s="69" t="n">
        <v>0.1428571428571428</v>
      </c>
      <c r="E42" s="69" t="n">
        <v>0.1428571428571428</v>
      </c>
      <c r="F42" s="69" t="n">
        <v>0.1428571428571428</v>
      </c>
      <c r="G42" s="69" t="n">
        <v>0.04761904761904762</v>
      </c>
      <c r="H42" s="69" t="n">
        <v>0.04761904761904762</v>
      </c>
      <c r="I42" s="69" t="n">
        <v>0.04761904761904762</v>
      </c>
      <c r="J42" s="56" t="n"/>
    </row>
    <row r="43">
      <c r="A43" s="64" t="inlineStr">
        <is>
          <t>Bands D–E · Leadership</t>
        </is>
      </c>
      <c r="B43" s="53" t="inlineStr">
        <is>
          <t>Korn Ferry Hay</t>
        </is>
      </c>
      <c r="C43" s="65" t="n">
        <v>0.36</v>
      </c>
      <c r="D43" s="65" t="n">
        <v>0.22</v>
      </c>
      <c r="E43" s="65" t="n">
        <v>0.09</v>
      </c>
      <c r="F43" s="65" t="n">
        <v>0.2</v>
      </c>
      <c r="G43" s="65" t="n">
        <v>0.09</v>
      </c>
      <c r="H43" s="65" t="n">
        <v>0.04</v>
      </c>
      <c r="I43" s="65" t="n">
        <v>0.01</v>
      </c>
      <c r="J43" s="53" t="n"/>
    </row>
    <row r="44">
      <c r="A44" s="64" t="inlineStr">
        <is>
          <t>Bands D–E · Leadership</t>
        </is>
      </c>
      <c r="B44" s="53" t="inlineStr">
        <is>
          <t>Mercer IPE</t>
        </is>
      </c>
      <c r="C44" s="65" t="n">
        <v>0.35</v>
      </c>
      <c r="D44" s="65" t="n">
        <v>0.2</v>
      </c>
      <c r="E44" s="65" t="n">
        <v>0.1</v>
      </c>
      <c r="F44" s="65" t="n">
        <v>0.2</v>
      </c>
      <c r="G44" s="65" t="n">
        <v>0.1</v>
      </c>
      <c r="H44" s="65" t="n">
        <v>0.04</v>
      </c>
      <c r="I44" s="65" t="n">
        <v>0.01</v>
      </c>
      <c r="J44" s="53" t="n"/>
    </row>
    <row r="45">
      <c r="A45" s="64" t="inlineStr">
        <is>
          <t>Bands D–E · Leadership</t>
        </is>
      </c>
      <c r="B45" s="53" t="inlineStr">
        <is>
          <t>Public plans</t>
        </is>
      </c>
      <c r="C45" s="65" t="n">
        <v>0.38</v>
      </c>
      <c r="D45" s="65" t="n">
        <v>0.15</v>
      </c>
      <c r="E45" s="65" t="n">
        <v>0.15</v>
      </c>
      <c r="F45" s="65" t="n">
        <v>0.2</v>
      </c>
      <c r="G45" s="65" t="n">
        <v>0.07000000000000001</v>
      </c>
      <c r="H45" s="65" t="n">
        <v>0.04</v>
      </c>
      <c r="I45" s="65" t="n">
        <v>0.01</v>
      </c>
      <c r="J45" s="53" t="n"/>
    </row>
    <row r="46">
      <c r="A46" s="66" t="inlineStr">
        <is>
          <t>Bands D–E · Leadership</t>
        </is>
      </c>
      <c r="B46" s="43" t="inlineStr">
        <is>
          <t>Market average</t>
        </is>
      </c>
      <c r="C46" s="67" t="n">
        <v>0.363</v>
      </c>
      <c r="D46" s="67" t="n">
        <v>0.19</v>
      </c>
      <c r="E46" s="67" t="n">
        <v>0.113</v>
      </c>
      <c r="F46" s="67" t="n">
        <v>0.2</v>
      </c>
      <c r="G46" s="67" t="n">
        <v>0.08699999999999999</v>
      </c>
      <c r="H46" s="67" t="n">
        <v>0.04</v>
      </c>
      <c r="I46" s="67" t="n">
        <v>0.01</v>
      </c>
      <c r="J46" s="43" t="inlineStr">
        <is>
          <t>C H · Au M · Ac M · L M · BI L · Exp L · Edu L</t>
        </is>
      </c>
    </row>
    <row r="47">
      <c r="A47" s="68" t="inlineStr">
        <is>
          <t>Bands D–E · Leadership</t>
        </is>
      </c>
      <c r="B47" s="56" t="inlineStr">
        <is>
          <t>What L/M/H gives · L1 M3 H9</t>
        </is>
      </c>
      <c r="C47" s="69" t="n">
        <v>0.4285714285714285</v>
      </c>
      <c r="D47" s="69" t="n">
        <v>0.1428571428571428</v>
      </c>
      <c r="E47" s="69" t="n">
        <v>0.1428571428571428</v>
      </c>
      <c r="F47" s="69" t="n">
        <v>0.1428571428571428</v>
      </c>
      <c r="G47" s="69" t="n">
        <v>0.04761904761904762</v>
      </c>
      <c r="H47" s="69" t="n">
        <v>0.04761904761904762</v>
      </c>
      <c r="I47" s="69" t="n">
        <v>0.04761904761904762</v>
      </c>
      <c r="J47" s="56" t="n"/>
    </row>
    <row r="49">
      <c r="A49" s="60" t="inlineStr">
        <is>
          <t>2 · How Low / Medium / High were set</t>
        </is>
      </c>
      <c r="B49" s="61" t="n"/>
      <c r="C49" s="61" t="n"/>
      <c r="D49" s="61" t="n"/>
      <c r="E49" s="61" t="n"/>
      <c r="F49" s="61" t="n"/>
      <c r="G49" s="61" t="n"/>
      <c r="H49" s="61" t="n"/>
      <c r="I49" s="61" t="n"/>
      <c r="J49" s="61" t="n"/>
      <c r="K49" s="61" t="n"/>
      <c r="L49" s="62" t="n"/>
    </row>
    <row r="50">
      <c r="A50" s="63" t="inlineStr">
        <is>
          <t>References: S46–S51 Korn Ferry Hay evaluations · S04, S52 Mercer IPE · S53–S57 NHS, UK NJC/PSC, GLPC, SJC, US OPM point-factor plans</t>
        </is>
      </c>
    </row>
    <row r="51" ht="28" customHeight="1">
      <c r="A51" s="70" t="inlineStr">
        <is>
          <t>Weightage: a market weight of 30% or more is High, 9% to under 30% is Medium, under 9% is Low. Points L 1 · M 3 · H 9 turn the choices back into shares of the score.</t>
        </is>
      </c>
    </row>
    <row r="52" ht="40.5" customHeight="1">
      <c r="A52" s="70" t="inlineStr">
        <is>
          <t>Average gap between the L/M/H shares and the market average, per role group: Band A · all tracks 3.7 pts · Band B · Specialist / POD Lead 2.2 pts · Band B · People Manager 2.8 pts · B+ · Player-Coach 2.5 pts · Band C · Principal specialist 3.2 pts · Band C · Head / manager 2.3 pts · C+ · Player-Coach 3.7 pts · Bands D–E · Leadership 4.1 pts</t>
        </is>
      </c>
    </row>
    <row r="53" ht="40.5" customHeight="1">
      <c r="A53" s="70" t="inlineStr">
        <is>
          <t>Assessment: Low = −1, Medium = 0, High = +1 level against what the role &amp; band matrix describes. The weighted net of the seven moves the person one level from the HR proposed level when it reaches ±0.5, so a business head can move a person by one level through the parameters, or set any band with the override.</t>
        </is>
      </c>
    </row>
    <row r="54" ht="28" customHeight="1">
      <c r="A54" s="70" t="inlineStr">
        <is>
          <t>Experience and Education are split from the single Experience &amp; Qualification weight: Bands A–B and B+ 60 / 40, Bands C–E 80 / 20 — education counts less as proven work grows. This split is an IRIS rule, supported by the skills-first evidence in S58, S60 and S61.</t>
        </is>
      </c>
    </row>
    <row r="55" ht="40.5" customHeight="1">
      <c r="A55" s="70" t="inlineStr">
        <is>
          <t>Type of work shifts ±5 points in Bands A–C and B+, as in the HR Super Master: technology +Complexity −Accountability; product +Autonomy −Complexity; delivery +Accountability −Complexity; support +Business Impact −Complexity; sales +Business Impact +Autonomy −Complexity −Accountability; corporate +Education −Complexity.</t>
        </is>
      </c>
    </row>
    <row r="57">
      <c r="A57" s="60" t="inlineStr">
        <is>
          <t>3 · Level crosswalk — market codes, experience, education and span by level</t>
        </is>
      </c>
      <c r="B57" s="61" t="n"/>
      <c r="C57" s="61" t="n"/>
      <c r="D57" s="61" t="n"/>
      <c r="E57" s="61" t="n"/>
      <c r="F57" s="61" t="n"/>
      <c r="G57" s="61" t="n"/>
      <c r="H57" s="61" t="n"/>
      <c r="I57" s="61" t="n"/>
      <c r="J57" s="61" t="n"/>
      <c r="K57" s="61" t="n"/>
      <c r="L57" s="62" t="n"/>
    </row>
    <row r="58">
      <c r="A58" s="63" t="inlineStr">
        <is>
          <t>References: S01 Aon Radford · S02 Pave · S08 SFIA 9 · S03 Mercer career levels · S32 Google, Microsoft, Amazon · S33 Infosys · S35 Accenture India · IRIS experience guide · S09 McKinsey spans of control · S37 GitLab layers · S44 Google Tech Lead Manager</t>
        </is>
      </c>
    </row>
    <row r="59">
      <c r="A59" s="27" t="inlineStr">
        <is>
          <t>Level</t>
        </is>
      </c>
      <c r="B59" s="27" t="inlineStr">
        <is>
          <t>Radford / Mercer</t>
        </is>
      </c>
      <c r="C59" s="27" t="inlineStr">
        <is>
          <t>Pave</t>
        </is>
      </c>
      <c r="D59" s="27" t="inlineStr">
        <is>
          <t>SFIA 9</t>
        </is>
      </c>
      <c r="E59" s="27" t="inlineStr">
        <is>
          <t>Google</t>
        </is>
      </c>
      <c r="F59" s="27" t="inlineStr">
        <is>
          <t>Infosys</t>
        </is>
      </c>
      <c r="G59" s="27" t="inlineStr">
        <is>
          <t>Accenture India</t>
        </is>
      </c>
      <c r="H59" s="27" t="inlineStr">
        <is>
          <t>Big Four</t>
        </is>
      </c>
      <c r="I59" s="27" t="inlineStr">
        <is>
          <t>IRIS experience</t>
        </is>
      </c>
      <c r="J59" s="27" t="inlineStr">
        <is>
          <t>Market experience</t>
        </is>
      </c>
      <c r="K59" s="27" t="inlineStr">
        <is>
          <t>Education norm</t>
        </is>
      </c>
      <c r="L59" s="27" t="inlineStr">
        <is>
          <t>Span norm</t>
        </is>
      </c>
    </row>
    <row r="60">
      <c r="A60" s="64" t="inlineStr">
        <is>
          <t>E2</t>
        </is>
      </c>
      <c r="B60" s="53" t="inlineStr">
        <is>
          <t>E6</t>
        </is>
      </c>
      <c r="C60" s="53" t="inlineStr">
        <is>
          <t>C-Level · CEO</t>
        </is>
      </c>
      <c r="D60" s="53" t="inlineStr">
        <is>
          <t>7</t>
        </is>
      </c>
      <c r="E60" s="53" t="inlineStr">
        <is>
          <t>—</t>
        </is>
      </c>
      <c r="F60" s="53" t="inlineStr">
        <is>
          <t>—</t>
        </is>
      </c>
      <c r="G60" s="53" t="inlineStr">
        <is>
          <t>—</t>
        </is>
      </c>
      <c r="H60" s="53" t="inlineStr">
        <is>
          <t>—</t>
        </is>
      </c>
      <c r="I60" s="53" t="inlineStr">
        <is>
          <t>20+ yrs</t>
        </is>
      </c>
      <c r="J60" s="53" t="inlineStr">
        <is>
          <t>—</t>
        </is>
      </c>
      <c r="K60" s="53" t="inlineStr">
        <is>
          <t>Postgraduate / professional qualification; proven business leadership</t>
        </is>
      </c>
      <c r="L60" s="53" t="inlineStr">
        <is>
          <t>Executive team</t>
        </is>
      </c>
    </row>
    <row r="61">
      <c r="A61" s="64" t="inlineStr">
        <is>
          <t>E1</t>
        </is>
      </c>
      <c r="B61" s="53" t="inlineStr">
        <is>
          <t>E5</t>
        </is>
      </c>
      <c r="C61" s="53" t="inlineStr">
        <is>
          <t>C-Level</t>
        </is>
      </c>
      <c r="D61" s="53" t="inlineStr">
        <is>
          <t>7</t>
        </is>
      </c>
      <c r="E61" s="53" t="inlineStr">
        <is>
          <t>—</t>
        </is>
      </c>
      <c r="F61" s="53" t="inlineStr">
        <is>
          <t>—</t>
        </is>
      </c>
      <c r="G61" s="53" t="inlineStr">
        <is>
          <t>—</t>
        </is>
      </c>
      <c r="H61" s="53" t="inlineStr">
        <is>
          <t>—</t>
        </is>
      </c>
      <c r="I61" s="53" t="inlineStr">
        <is>
          <t>20+ yrs</t>
        </is>
      </c>
      <c r="J61" s="53" t="inlineStr">
        <is>
          <t>—</t>
        </is>
      </c>
      <c r="K61" s="53" t="inlineStr">
        <is>
          <t>Postgraduate / professional qualification; business leadership record</t>
        </is>
      </c>
      <c r="L61" s="53" t="inlineStr">
        <is>
          <t>5–8 function heads</t>
        </is>
      </c>
    </row>
    <row r="62">
      <c r="A62" s="64" t="inlineStr">
        <is>
          <t>D2</t>
        </is>
      </c>
      <c r="B62" s="53" t="inlineStr">
        <is>
          <t>E3–E4</t>
        </is>
      </c>
      <c r="C62" s="53" t="inlineStr">
        <is>
          <t>SVP</t>
        </is>
      </c>
      <c r="D62" s="53" t="inlineStr">
        <is>
          <t>7 Set strategy</t>
        </is>
      </c>
      <c r="E62" s="53" t="inlineStr">
        <is>
          <t>L8 · Director</t>
        </is>
      </c>
      <c r="F62" s="53" t="inlineStr">
        <is>
          <t>—</t>
        </is>
      </c>
      <c r="G62" s="53" t="inlineStr">
        <is>
          <t>—</t>
        </is>
      </c>
      <c r="H62" s="53" t="inlineStr">
        <is>
          <t>Partner</t>
        </is>
      </c>
      <c r="I62" s="53" t="inlineStr">
        <is>
          <t>18–24 yrs</t>
        </is>
      </c>
      <c r="J62" s="53" t="inlineStr">
        <is>
          <t>—</t>
        </is>
      </c>
      <c r="K62" s="53" t="inlineStr">
        <is>
          <t>Postgraduate / professional qualification preferred</t>
        </is>
      </c>
      <c r="L62" s="53" t="inlineStr">
        <is>
          <t>5–8 AVPs / heads</t>
        </is>
      </c>
    </row>
    <row r="63">
      <c r="A63" s="64" t="inlineStr">
        <is>
          <t>D1</t>
        </is>
      </c>
      <c r="B63" s="53" t="inlineStr">
        <is>
          <t>E1–E2</t>
        </is>
      </c>
      <c r="C63" s="53" t="inlineStr">
        <is>
          <t>VP</t>
        </is>
      </c>
      <c r="D63" s="53" t="inlineStr">
        <is>
          <t>6–7</t>
        </is>
      </c>
      <c r="E63" s="53" t="inlineStr">
        <is>
          <t>L7</t>
        </is>
      </c>
      <c r="F63" s="53" t="inlineStr">
        <is>
          <t>JL7</t>
        </is>
      </c>
      <c r="G63" s="53" t="inlineStr">
        <is>
          <t>L5 Associate Director</t>
        </is>
      </c>
      <c r="H63" s="53" t="inlineStr">
        <is>
          <t>Director</t>
        </is>
      </c>
      <c r="I63" s="53" t="inlineStr">
        <is>
          <t>15–20 yrs</t>
        </is>
      </c>
      <c r="J63" s="53" t="inlineStr">
        <is>
          <t>—</t>
        </is>
      </c>
      <c r="K63" s="53" t="inlineStr">
        <is>
          <t>Postgraduate / professional qualification preferred</t>
        </is>
      </c>
      <c r="L63" s="53" t="inlineStr">
        <is>
          <t>5–8 heads</t>
        </is>
      </c>
    </row>
    <row r="64">
      <c r="A64" s="64" t="inlineStr">
        <is>
          <t>C+</t>
        </is>
      </c>
      <c r="B64" s="53" t="inlineStr">
        <is>
          <t>M6 / E1</t>
        </is>
      </c>
      <c r="C64" s="53" t="inlineStr">
        <is>
          <t>Senior Director · player-coach</t>
        </is>
      </c>
      <c r="D64" s="53" t="inlineStr">
        <is>
          <t>6 Initiate, influence</t>
        </is>
      </c>
      <c r="E64" s="53" t="inlineStr">
        <is>
          <t>L7 · Senior Staff / Senior Manager</t>
        </is>
      </c>
      <c r="F64" s="53" t="inlineStr">
        <is>
          <t>JL6A</t>
        </is>
      </c>
      <c r="G64" s="53" t="inlineStr">
        <is>
          <t>L6 Senior Manager</t>
        </is>
      </c>
      <c r="H64" s="53" t="inlineStr">
        <is>
          <t>Director · billable</t>
        </is>
      </c>
      <c r="I64" s="53" t="inlineStr">
        <is>
          <t>13–18 yrs</t>
        </is>
      </c>
      <c r="J64" s="53" t="inlineStr">
        <is>
          <t>15–18</t>
        </is>
      </c>
      <c r="K64" s="53" t="inlineStr">
        <is>
          <t>Postgraduate / professional qualification preferred</t>
        </is>
      </c>
      <c r="L64" s="53" t="inlineStr">
        <is>
          <t>4–8 managers / leads with ≥ 25% of time on own principal delivery</t>
        </is>
      </c>
    </row>
    <row r="65">
      <c r="A65" s="64" t="inlineStr">
        <is>
          <t>C2</t>
        </is>
      </c>
      <c r="B65" s="53" t="inlineStr">
        <is>
          <t>P7 / M6</t>
        </is>
      </c>
      <c r="C65" s="53" t="inlineStr">
        <is>
          <t>— / Senior Director</t>
        </is>
      </c>
      <c r="D65" s="53" t="inlineStr">
        <is>
          <t>6 Initiate, influence</t>
        </is>
      </c>
      <c r="E65" s="53" t="inlineStr">
        <is>
          <t>L6–L7</t>
        </is>
      </c>
      <c r="F65" s="53" t="inlineStr">
        <is>
          <t>JL6A Senior Technology Architect</t>
        </is>
      </c>
      <c r="G65" s="53" t="inlineStr">
        <is>
          <t>L6 Senior Manager</t>
        </is>
      </c>
      <c r="H65" s="53" t="inlineStr">
        <is>
          <t>Associate Director – Director</t>
        </is>
      </c>
      <c r="I65" s="53" t="inlineStr">
        <is>
          <t>12–17 yrs</t>
        </is>
      </c>
      <c r="J65" s="53" t="inlineStr">
        <is>
          <t>—</t>
        </is>
      </c>
      <c r="K65" s="53" t="inlineStr">
        <is>
          <t>Postgraduate / professional qualification preferred</t>
        </is>
      </c>
      <c r="L65" s="53" t="inlineStr">
        <is>
          <t>5–8 managers / associate heads</t>
        </is>
      </c>
    </row>
    <row r="66">
      <c r="A66" s="64" t="inlineStr">
        <is>
          <t>C1</t>
        </is>
      </c>
      <c r="B66" s="53" t="inlineStr">
        <is>
          <t>P6 / M5</t>
        </is>
      </c>
      <c r="C66" s="53" t="inlineStr">
        <is>
          <t>Principal / Director</t>
        </is>
      </c>
      <c r="D66" s="53" t="inlineStr">
        <is>
          <t>5–6</t>
        </is>
      </c>
      <c r="E66" s="53" t="inlineStr">
        <is>
          <t>L6 · Staff</t>
        </is>
      </c>
      <c r="F66" s="53" t="inlineStr">
        <is>
          <t>JL6B</t>
        </is>
      </c>
      <c r="G66" s="53" t="inlineStr">
        <is>
          <t>L7 Manager</t>
        </is>
      </c>
      <c r="H66" s="53" t="inlineStr">
        <is>
          <t>Associate Director</t>
        </is>
      </c>
      <c r="I66" s="53" t="inlineStr">
        <is>
          <t>10–14 yrs</t>
        </is>
      </c>
      <c r="J66" s="53" t="inlineStr">
        <is>
          <t>12–17</t>
        </is>
      </c>
      <c r="K66" s="53" t="inlineStr">
        <is>
          <t>Postgraduate / professional qualification preferred</t>
        </is>
      </c>
      <c r="L66" s="53" t="inlineStr">
        <is>
          <t>5–8, mostly managers</t>
        </is>
      </c>
    </row>
    <row r="67">
      <c r="A67" s="64" t="inlineStr">
        <is>
          <t>B+</t>
        </is>
      </c>
      <c r="B67" s="53" t="inlineStr">
        <is>
          <t>P5–P6 / M4–M5</t>
        </is>
      </c>
      <c r="C67" s="53" t="inlineStr">
        <is>
          <t>Expert / Senior Manager · player-coach</t>
        </is>
      </c>
      <c r="D67" s="53" t="inlineStr">
        <is>
          <t>5 Ensure, advise</t>
        </is>
      </c>
      <c r="E67" s="53" t="inlineStr">
        <is>
          <t>L5–L6 · Tech Lead Manager</t>
        </is>
      </c>
      <c r="F67" s="53" t="inlineStr">
        <is>
          <t>JL6B Technology Architect / PM</t>
        </is>
      </c>
      <c r="G67" s="53" t="inlineStr">
        <is>
          <t>L7 Manager</t>
        </is>
      </c>
      <c r="H67" s="53" t="inlineStr">
        <is>
          <t>Senior Manager · billable</t>
        </is>
      </c>
      <c r="I67" s="53" t="inlineStr">
        <is>
          <t>9–14 yrs</t>
        </is>
      </c>
      <c r="J67" s="53" t="inlineStr">
        <is>
          <t>9–14</t>
        </is>
      </c>
      <c r="K67" s="53" t="inlineStr">
        <is>
          <t>Postgraduate or professional qualification preferred</t>
        </is>
      </c>
      <c r="L67" s="53" t="inlineStr">
        <is>
          <t>3–6 direct reports with ≥ 40% of time on own delivery · McKinsey player/coach 3–5; Google Tech Lead Manager</t>
        </is>
      </c>
    </row>
    <row r="68">
      <c r="A68" s="64" t="inlineStr">
        <is>
          <t>B3</t>
        </is>
      </c>
      <c r="B68" s="53" t="inlineStr">
        <is>
          <t>P5 / M4</t>
        </is>
      </c>
      <c r="C68" s="53" t="inlineStr">
        <is>
          <t>Expert / Senior Manager</t>
        </is>
      </c>
      <c r="D68" s="53" t="inlineStr">
        <is>
          <t>5 Ensure, advise</t>
        </is>
      </c>
      <c r="E68" s="53" t="inlineStr">
        <is>
          <t>L5 · Senior</t>
        </is>
      </c>
      <c r="F68" s="53" t="inlineStr">
        <is>
          <t>JL5–JL6B</t>
        </is>
      </c>
      <c r="G68" s="53" t="inlineStr">
        <is>
          <t>L7 Manager</t>
        </is>
      </c>
      <c r="H68" s="53" t="inlineStr">
        <is>
          <t>Senior Manager</t>
        </is>
      </c>
      <c r="I68" s="53" t="inlineStr">
        <is>
          <t>8–12 yrs</t>
        </is>
      </c>
      <c r="J68" s="53" t="inlineStr">
        <is>
          <t>8–13</t>
        </is>
      </c>
      <c r="K68" s="53" t="inlineStr">
        <is>
          <t>Postgraduate or professional qualification preferred</t>
        </is>
      </c>
      <c r="L68" s="53" t="inlineStr">
        <is>
          <t>IC: none · People: 5–8 incl. team leads</t>
        </is>
      </c>
    </row>
    <row r="69">
      <c r="A69" s="64" t="inlineStr">
        <is>
          <t>B2</t>
        </is>
      </c>
      <c r="B69" s="53" t="inlineStr">
        <is>
          <t>P4 / M3</t>
        </is>
      </c>
      <c r="C69" s="53" t="inlineStr">
        <is>
          <t>Senior / Manager</t>
        </is>
      </c>
      <c r="D69" s="53" t="inlineStr">
        <is>
          <t>4–5</t>
        </is>
      </c>
      <c r="E69" s="53" t="inlineStr">
        <is>
          <t>L5 · Senior</t>
        </is>
      </c>
      <c r="F69" s="53" t="inlineStr">
        <is>
          <t>JL5 Technology Lead</t>
        </is>
      </c>
      <c r="G69" s="53" t="inlineStr">
        <is>
          <t>L8 Associate Manager</t>
        </is>
      </c>
      <c r="H69" s="53" t="inlineStr">
        <is>
          <t>Manager</t>
        </is>
      </c>
      <c r="I69" s="53" t="inlineStr">
        <is>
          <t>6–9 yrs</t>
        </is>
      </c>
      <c r="J69" s="53" t="inlineStr">
        <is>
          <t>6–10</t>
        </is>
      </c>
      <c r="K69" s="53" t="inlineStr">
        <is>
          <t>Graduate or postgraduate; professional qualification preferred</t>
        </is>
      </c>
      <c r="L69" s="53" t="inlineStr">
        <is>
          <t>IC: none · People: 6–8 knowledge work, 8–12 standardised delivery</t>
        </is>
      </c>
    </row>
    <row r="70">
      <c r="A70" s="64" t="inlineStr">
        <is>
          <t>B1</t>
        </is>
      </c>
      <c r="B70" s="53" t="inlineStr">
        <is>
          <t>P3 / M2</t>
        </is>
      </c>
      <c r="C70" s="53" t="inlineStr">
        <is>
          <t>Career / · Team Lead</t>
        </is>
      </c>
      <c r="D70" s="53" t="inlineStr">
        <is>
          <t>4 Enable</t>
        </is>
      </c>
      <c r="E70" s="53" t="inlineStr">
        <is>
          <t>L4</t>
        </is>
      </c>
      <c r="F70" s="53" t="inlineStr">
        <is>
          <t>JL4 Technology Analyst</t>
        </is>
      </c>
      <c r="G70" s="53" t="inlineStr">
        <is>
          <t>L9 Team Lead / Consultant</t>
        </is>
      </c>
      <c r="H70" s="53" t="inlineStr">
        <is>
          <t>Senior Consultant / Assistant Manager</t>
        </is>
      </c>
      <c r="I70" s="53" t="inlineStr">
        <is>
          <t>4–7 yrs</t>
        </is>
      </c>
      <c r="J70" s="53" t="inlineStr">
        <is>
          <t>4–8</t>
        </is>
      </c>
      <c r="K70" s="53" t="inlineStr">
        <is>
          <t>Graduate + relevant qualification or certification preferred</t>
        </is>
      </c>
      <c r="L70" s="53" t="inlineStr">
        <is>
          <t>IC: none · Team Lead: 3–5</t>
        </is>
      </c>
    </row>
    <row r="71">
      <c r="A71" s="64" t="inlineStr">
        <is>
          <t>A3</t>
        </is>
      </c>
      <c r="B71" s="53" t="inlineStr">
        <is>
          <t>P2</t>
        </is>
      </c>
      <c r="C71" s="53" t="inlineStr">
        <is>
          <t>Developing</t>
        </is>
      </c>
      <c r="D71" s="53" t="inlineStr">
        <is>
          <t>3 Apply</t>
        </is>
      </c>
      <c r="E71" s="53" t="inlineStr">
        <is>
          <t>L3–L4</t>
        </is>
      </c>
      <c r="F71" s="53" t="inlineStr">
        <is>
          <t>JL3A Senior Systems Engineer</t>
        </is>
      </c>
      <c r="G71" s="53" t="inlineStr">
        <is>
          <t>L11–L10 · Senior Analyst</t>
        </is>
      </c>
      <c r="H71" s="53" t="inlineStr">
        <is>
          <t>Consultant</t>
        </is>
      </c>
      <c r="I71" s="53" t="inlineStr">
        <is>
          <t>2–4 yrs</t>
        </is>
      </c>
      <c r="J71" s="53" t="inlineStr">
        <is>
          <t>2–5</t>
        </is>
      </c>
      <c r="K71" s="53" t="inlineStr">
        <is>
          <t>Graduate; relevant certification preferred</t>
        </is>
      </c>
      <c r="L71" s="53" t="inlineStr">
        <is>
          <t>None · guides 1–3 juniors informally</t>
        </is>
      </c>
    </row>
    <row r="72">
      <c r="A72" s="64" t="inlineStr">
        <is>
          <t>A2</t>
        </is>
      </c>
      <c r="B72" s="53" t="inlineStr">
        <is>
          <t>P1–P2</t>
        </is>
      </c>
      <c r="C72" s="53" t="inlineStr">
        <is>
          <t>Entry / Developing</t>
        </is>
      </c>
      <c r="D72" s="53" t="inlineStr">
        <is>
          <t>2 Assist</t>
        </is>
      </c>
      <c r="E72" s="53" t="inlineStr">
        <is>
          <t>L3</t>
        </is>
      </c>
      <c r="F72" s="53" t="inlineStr">
        <is>
          <t>JL3B Systems Engineer</t>
        </is>
      </c>
      <c r="G72" s="53" t="inlineStr">
        <is>
          <t>L11 Analyst</t>
        </is>
      </c>
      <c r="H72" s="53" t="inlineStr">
        <is>
          <t>Analyst</t>
        </is>
      </c>
      <c r="I72" s="53" t="inlineStr">
        <is>
          <t>0–2 yrs</t>
        </is>
      </c>
      <c r="J72" s="53" t="inlineStr">
        <is>
          <t>0–3</t>
        </is>
      </c>
      <c r="K72" s="53" t="inlineStr">
        <is>
          <t>Graduate · or diploma with experience</t>
        </is>
      </c>
      <c r="L72" s="53" t="inlineStr">
        <is>
          <t>No direct reports</t>
        </is>
      </c>
    </row>
    <row r="73">
      <c r="A73" s="64" t="inlineStr">
        <is>
          <t>A1</t>
        </is>
      </c>
      <c r="B73" s="53" t="inlineStr">
        <is>
          <t>Entry / P1 · intern</t>
        </is>
      </c>
      <c r="C73" s="53" t="inlineStr">
        <is>
          <t>Entry</t>
        </is>
      </c>
      <c r="D73" s="53" t="inlineStr">
        <is>
          <t>1 Follow</t>
        </is>
      </c>
      <c r="E73" s="53" t="inlineStr">
        <is>
          <t>Intern</t>
        </is>
      </c>
      <c r="F73" s="53" t="inlineStr">
        <is>
          <t>Trainee</t>
        </is>
      </c>
      <c r="G73" s="53" t="inlineStr">
        <is>
          <t>L12 Associate</t>
        </is>
      </c>
      <c r="H73" s="53" t="inlineStr">
        <is>
          <t>Intern / Trainee</t>
        </is>
      </c>
      <c r="I73" s="53" t="inlineStr">
        <is>
          <t>0 yrs · fresher / intern</t>
        </is>
      </c>
      <c r="J73" s="53" t="inlineStr">
        <is>
          <t>—</t>
        </is>
      </c>
      <c r="K73" s="53" t="inlineStr">
        <is>
          <t>Pursuing or completed graduation / diploma</t>
        </is>
      </c>
      <c r="L73" s="53" t="inlineStr">
        <is>
          <t>No direct reports</t>
        </is>
      </c>
    </row>
    <row r="75">
      <c r="A75" s="60" t="inlineStr">
        <is>
          <t>4 · Spans of control</t>
        </is>
      </c>
      <c r="B75" s="61" t="n"/>
      <c r="C75" s="61" t="n"/>
      <c r="D75" s="61" t="n"/>
      <c r="E75" s="61" t="n"/>
      <c r="F75" s="61" t="n"/>
      <c r="G75" s="61" t="n"/>
      <c r="H75" s="61" t="n"/>
      <c r="I75" s="61" t="n"/>
      <c r="J75" s="61" t="n"/>
      <c r="K75" s="61" t="n"/>
      <c r="L75" s="62" t="n"/>
    </row>
    <row r="76">
      <c r="A76" s="63" t="inlineStr">
        <is>
          <t>References: S09 McKinsey spans of control · S37 GitLab layers · S44 Google Tech Lead Manager</t>
        </is>
      </c>
    </row>
    <row r="77">
      <c r="A77" s="27" t="inlineStr">
        <is>
          <t>Role</t>
        </is>
      </c>
      <c r="B77" s="27" t="inlineStr">
        <is>
          <t>McKinsey archetype</t>
        </is>
      </c>
      <c r="C77" s="27" t="inlineStr">
        <is>
          <t>Span norm</t>
        </is>
      </c>
      <c r="D77" s="27" t="inlineStr">
        <is>
          <t>When it applies</t>
        </is>
      </c>
      <c r="E77" s="27" t="inlineStr">
        <is>
          <t>Sources</t>
        </is>
      </c>
    </row>
    <row r="78">
      <c r="A78" s="64" t="inlineStr">
        <is>
          <t>B1 Team Lead / POD Lead</t>
        </is>
      </c>
      <c r="B78" s="53" t="inlineStr">
        <is>
          <t>Player / coach</t>
        </is>
      </c>
      <c r="C78" s="53" t="inlineStr">
        <is>
          <t>3–5 · POD Lead 1–3</t>
        </is>
      </c>
      <c r="D78" s="53" t="inlineStr">
        <is>
          <t>Does own work and leads a small team</t>
        </is>
      </c>
      <c r="E78" s="53" t="inlineStr">
        <is>
          <t>S09, S03</t>
        </is>
      </c>
    </row>
    <row r="79">
      <c r="A79" s="64" t="inlineStr">
        <is>
          <t>B2 Manager — knowledge work</t>
        </is>
      </c>
      <c r="B79" s="53" t="inlineStr">
        <is>
          <t>Coach</t>
        </is>
      </c>
      <c r="C79" s="53" t="inlineStr">
        <is>
          <t>6–7 · up to 8</t>
        </is>
      </c>
      <c r="D79" s="53" t="inlineStr">
        <is>
          <t>Non-standard work, varied team</t>
        </is>
      </c>
      <c r="E79" s="53" t="inlineStr">
        <is>
          <t>S09</t>
        </is>
      </c>
    </row>
    <row r="80">
      <c r="A80" s="64" t="inlineStr">
        <is>
          <t>B2 Manager — standardised delivery</t>
        </is>
      </c>
      <c r="B80" s="53" t="inlineStr">
        <is>
          <t>Supervisor</t>
        </is>
      </c>
      <c r="C80" s="53" t="inlineStr">
        <is>
          <t>8–10 · up to 12</t>
        </is>
      </c>
      <c r="D80" s="53" t="inlineStr">
        <is>
          <t>Standard, repeatable work · Services, Digitizing</t>
        </is>
      </c>
      <c r="E80" s="53" t="inlineStr">
        <is>
          <t>S09</t>
        </is>
      </c>
    </row>
    <row r="81">
      <c r="A81" s="64" t="inlineStr">
        <is>
          <t>B3 Senior Manager</t>
        </is>
      </c>
      <c r="B81" s="53" t="inlineStr">
        <is>
          <t>Coach / facilitator</t>
        </is>
      </c>
      <c r="C81" s="53" t="inlineStr">
        <is>
          <t>5–8 including team leads</t>
        </is>
      </c>
      <c r="D81" s="53" t="inlineStr">
        <is>
          <t>Manages through team leads</t>
        </is>
      </c>
      <c r="E81" s="53" t="inlineStr">
        <is>
          <t>S09</t>
        </is>
      </c>
    </row>
    <row r="82">
      <c r="A82" s="64" t="inlineStr">
        <is>
          <t>B+ Practice Lead · Player-Coach</t>
        </is>
      </c>
      <c r="B82" s="53" t="inlineStr">
        <is>
          <t>Player / coach</t>
        </is>
      </c>
      <c r="C82" s="53" t="inlineStr">
        <is>
          <t>3–6, with ≥ 40% own delivery</t>
        </is>
      </c>
      <c r="D82" s="53" t="inlineStr">
        <is>
          <t>Leads a practice or pod and still does the hardest work · Google Tech Lead Manager</t>
        </is>
      </c>
      <c r="E82" s="53" t="inlineStr">
        <is>
          <t>S09, S44</t>
        </is>
      </c>
    </row>
    <row r="83">
      <c r="A83" s="64" t="inlineStr">
        <is>
          <t>C+ Group Head · Player-Coach</t>
        </is>
      </c>
      <c r="B83" s="53" t="inlineStr">
        <is>
          <t>Player / coach at function level</t>
        </is>
      </c>
      <c r="C83" s="53" t="inlineStr">
        <is>
          <t>4–8 managers / leads, ≥ 25% own delivery</t>
        </is>
      </c>
      <c r="D83" s="53" t="inlineStr">
        <is>
          <t>Heads a function and personally carries critical clients or principal work</t>
        </is>
      </c>
      <c r="E83" s="53" t="inlineStr">
        <is>
          <t>S09, S45</t>
        </is>
      </c>
    </row>
    <row r="84">
      <c r="A84" s="64" t="inlineStr">
        <is>
          <t>High-volume operations heads</t>
        </is>
      </c>
      <c r="B84" s="53" t="inlineStr">
        <is>
          <t>Facilitator</t>
        </is>
      </c>
      <c r="C84" s="53" t="inlineStr">
        <is>
          <t>11–15</t>
        </is>
      </c>
      <c r="D84" s="53" t="inlineStr">
        <is>
          <t>Highly standard work with strong team leads</t>
        </is>
      </c>
      <c r="E84" s="53" t="inlineStr">
        <is>
          <t>S09</t>
        </is>
      </c>
    </row>
    <row r="85">
      <c r="A85" s="64" t="inlineStr">
        <is>
          <t>C1–E2 Heads and executives</t>
        </is>
      </c>
      <c r="B85" s="53" t="inlineStr">
        <is>
          <t>Coach</t>
        </is>
      </c>
      <c r="C85" s="53" t="inlineStr">
        <is>
          <t>5–8 heads / managers</t>
        </is>
      </c>
      <c r="D85" s="53" t="inlineStr">
        <is>
          <t>Strategic, varied direct reports</t>
        </is>
      </c>
      <c r="E85" s="53" t="inlineStr">
        <is>
          <t>S09, S37</t>
        </is>
      </c>
    </row>
    <row r="86">
      <c r="A86" s="64" t="inlineStr">
        <is>
          <t>Layers</t>
        </is>
      </c>
      <c r="B86" s="53" t="inlineStr">
        <is>
          <t>—</t>
        </is>
      </c>
      <c r="C86" s="53" t="inlineStr">
        <is>
          <t>≤ 8 layers CEO → A1</t>
        </is>
      </c>
      <c r="D86" s="53" t="inlineStr">
        <is>
          <t>GitLab runs at most eight layers; more layers slow decisions</t>
        </is>
      </c>
      <c r="E86" s="53" t="inlineStr">
        <is>
          <t>S37</t>
        </is>
      </c>
    </row>
    <row r="88">
      <c r="A88" s="60" t="inlineStr">
        <is>
          <t>5 · The public point-factor plans</t>
        </is>
      </c>
      <c r="B88" s="61" t="n"/>
      <c r="C88" s="61" t="n"/>
      <c r="D88" s="61" t="n"/>
      <c r="E88" s="61" t="n"/>
      <c r="F88" s="61" t="n"/>
      <c r="G88" s="61" t="n"/>
      <c r="H88" s="61" t="n"/>
      <c r="I88" s="61" t="n"/>
      <c r="J88" s="61" t="n"/>
      <c r="K88" s="61" t="n"/>
      <c r="L88" s="62" t="n"/>
    </row>
    <row r="89">
      <c r="A89" s="63" t="inlineStr">
        <is>
          <t>References: S46–S51 Korn Ferry Hay evaluations · S04, S52 Mercer IPE · S53–S57 NHS, UK NJC/PSC, GLPC, SJC, US OPM point-factor plans</t>
        </is>
      </c>
    </row>
    <row r="90">
      <c r="A90" s="27" t="inlineStr">
        <is>
          <t>Plan</t>
        </is>
      </c>
      <c r="B90" s="27" t="inlineStr">
        <is>
          <t>Complexity &amp; Expertise</t>
        </is>
      </c>
      <c r="C90" s="27" t="inlineStr">
        <is>
          <t>Autonomy &amp; Decision</t>
        </is>
      </c>
      <c r="D90" s="27" t="inlineStr">
        <is>
          <t>Accountability &amp; Impact</t>
        </is>
      </c>
      <c r="E90" s="27" t="inlineStr">
        <is>
          <t>Leadership &amp; Strategy</t>
        </is>
      </c>
      <c r="F90" s="27" t="inlineStr">
        <is>
          <t>Business Impact</t>
        </is>
      </c>
      <c r="G90" s="27" t="inlineStr">
        <is>
          <t>Effort and conditions removed</t>
        </is>
      </c>
      <c r="H90" s="27" t="inlineStr">
        <is>
          <t>Source</t>
        </is>
      </c>
    </row>
    <row r="91">
      <c r="A91" s="64" t="inlineStr">
        <is>
          <t>NHS Agenda for Change Job Evaluation Scheme · 16 factors, 1,000 points</t>
        </is>
      </c>
      <c r="B91" s="53" t="inlineStr">
        <is>
          <t>40.0%</t>
        </is>
      </c>
      <c r="C91" s="53" t="inlineStr">
        <is>
          <t>6.7%</t>
        </is>
      </c>
      <c r="D91" s="53" t="inlineStr">
        <is>
          <t>20.0%</t>
        </is>
      </c>
      <c r="E91" s="53" t="inlineStr">
        <is>
          <t>26.7%</t>
        </is>
      </c>
      <c r="F91" s="53" t="inlineStr">
        <is>
          <t>6.7%</t>
        </is>
      </c>
      <c r="G91" s="53" t="inlineStr">
        <is>
          <t>10.0%</t>
        </is>
      </c>
      <c r="H91" s="53" t="inlineStr">
        <is>
          <t>NHS Job Evaluation Handbook, ch. 6 para 1.5 — nhsemployers.org/sites/default/files/pdf/22/165.pdf</t>
        </is>
      </c>
    </row>
    <row r="92">
      <c r="A92" s="64" t="inlineStr">
        <is>
          <t>UK local government 13-factor scheme · Police Staff Council version of the NJC scheme, 1,000 points</t>
        </is>
      </c>
      <c r="B92" s="53" t="inlineStr">
        <is>
          <t>38.3%</t>
        </is>
      </c>
      <c r="C92" s="53" t="inlineStr">
        <is>
          <t>13.0%</t>
        </is>
      </c>
      <c r="D92" s="53" t="inlineStr">
        <is>
          <t>19.5%</t>
        </is>
      </c>
      <c r="E92" s="53" t="inlineStr">
        <is>
          <t>19.5%</t>
        </is>
      </c>
      <c r="F92" s="53" t="inlineStr">
        <is>
          <t>9.8%</t>
        </is>
      </c>
      <c r="G92" s="53" t="inlineStr">
        <is>
          <t>20.0%</t>
        </is>
      </c>
      <c r="H92" s="53" t="inlineStr">
        <is>
          <t>PSC Handbook pp. 47–48 — lb2.local.gov.uk/sites/default/files/documents/police-staff-council-13-f-342.pdf · NJC's own table sits behind the LGA log-in · Exact for PSC; NJC assumed equal</t>
        </is>
      </c>
    </row>
    <row r="93">
      <c r="A93" s="64" t="inlineStr">
        <is>
          <t>Greater London Provincial Council scheme · 11 factors, 948 points</t>
        </is>
      </c>
      <c r="B93" s="53" t="inlineStr">
        <is>
          <t>45.0%</t>
        </is>
      </c>
      <c r="C93" s="53" t="inlineStr">
        <is>
          <t>12.1%</t>
        </is>
      </c>
      <c r="D93" s="53" t="inlineStr">
        <is>
          <t>6.0%</t>
        </is>
      </c>
      <c r="E93" s="53" t="inlineStr">
        <is>
          <t>29.7%</t>
        </is>
      </c>
      <c r="F93" s="53" t="inlineStr">
        <is>
          <t>7.2%</t>
        </is>
      </c>
      <c r="G93" s="53" t="inlineStr">
        <is>
          <t>12.7%</t>
        </is>
      </c>
      <c r="H93" s="53" t="inlineStr">
        <is>
          <t>GLPC points weighting — sirddinbych.gov.uk/en/documents/jobs-and-employees/my-employment/reorganisation-and-change/glpc-points-weighting.pdf</t>
        </is>
      </c>
    </row>
    <row r="94">
      <c r="A94" s="64" t="inlineStr">
        <is>
          <t>Scottish Joint Council scheme · 13 factors, 1,000 points</t>
        </is>
      </c>
      <c r="B94" s="53" t="inlineStr">
        <is>
          <t>38.3%</t>
        </is>
      </c>
      <c r="C94" s="53" t="inlineStr">
        <is>
          <t>13.0%</t>
        </is>
      </c>
      <c r="D94" s="53" t="inlineStr">
        <is>
          <t>19.5%</t>
        </is>
      </c>
      <c r="E94" s="53" t="inlineStr">
        <is>
          <t>19.5%</t>
        </is>
      </c>
      <c r="F94" s="53" t="inlineStr">
        <is>
          <t>9.8%</t>
        </is>
      </c>
      <c r="G94" s="53" t="inlineStr">
        <is>
          <t>20.0%</t>
        </is>
      </c>
      <c r="H94" s="53" t="inlineStr">
        <is>
          <t>Highland Council SJC scoring matrix — highland.gov.uk/download/downloads/id/3889/scoring_matrix.pdf</t>
        </is>
      </c>
    </row>
    <row r="95">
      <c r="A95" s="64" t="inlineStr">
        <is>
          <t>US OPM Factor Evaluation System · 9 factors, 4,480 points</t>
        </is>
      </c>
      <c r="B95" s="53" t="inlineStr">
        <is>
          <t>52.5%</t>
        </is>
      </c>
      <c r="C95" s="53" t="inlineStr">
        <is>
          <t>29.7%</t>
        </is>
      </c>
      <c r="D95" s="53" t="inlineStr">
        <is>
          <t>10.3%</t>
        </is>
      </c>
      <c r="E95" s="53" t="inlineStr">
        <is>
          <t>7.5%</t>
        </is>
      </c>
      <c r="F95" s="53" t="inlineStr">
        <is>
          <t>0.0%</t>
        </is>
      </c>
      <c r="G95" s="53" t="inlineStr">
        <is>
          <t>2.2%</t>
        </is>
      </c>
      <c r="H95" s="53" t="inlineStr">
        <is>
          <t>OPM Introduction to the Position Classification Standards, Appendix 3 — opm.gov/…/positionclassificationintro.pdf</t>
        </is>
      </c>
    </row>
    <row r="96">
      <c r="A96" s="64" t="inlineStr">
        <is>
          <t>Average of the five plans</t>
        </is>
      </c>
      <c r="B96" s="53" t="inlineStr">
        <is>
          <t>42.8%</t>
        </is>
      </c>
      <c r="C96" s="53" t="inlineStr">
        <is>
          <t>14.9%</t>
        </is>
      </c>
      <c r="D96" s="53" t="inlineStr">
        <is>
          <t>15.1%</t>
        </is>
      </c>
      <c r="E96" s="53" t="inlineStr">
        <is>
          <t>20.6%</t>
        </is>
      </c>
      <c r="F96" s="53" t="inlineStr">
        <is>
          <t>6.7%</t>
        </is>
      </c>
      <c r="G96" s="53" t="inlineStr">
        <is>
          <t>Experience as a separate factor: none of the five</t>
        </is>
      </c>
    </row>
    <row r="97">
      <c r="A97" s="64" t="inlineStr">
        <is>
          <t>Range</t>
        </is>
      </c>
      <c r="B97" s="53" t="inlineStr">
        <is>
          <t>38–52%</t>
        </is>
      </c>
      <c r="C97" s="53" t="inlineStr">
        <is>
          <t>7–30%</t>
        </is>
      </c>
      <c r="D97" s="53" t="inlineStr">
        <is>
          <t>6–20%</t>
        </is>
      </c>
      <c r="E97" s="53" t="inlineStr">
        <is>
          <t>8–30%</t>
        </is>
      </c>
      <c r="F97" s="53" t="inlineStr">
        <is>
          <t>0–10%</t>
        </is>
      </c>
    </row>
    <row r="99">
      <c r="A99" s="64" t="inlineStr">
        <is>
          <t>Plan</t>
        </is>
      </c>
      <c r="B99" s="53" t="inlineStr">
        <is>
          <t>How its factors were mapped to the IRIS factors</t>
        </is>
      </c>
    </row>
  </sheetData>
  <mergeCells count="16">
    <mergeCell ref="A57:L57"/>
    <mergeCell ref="A54:L54"/>
    <mergeCell ref="A52:L52"/>
    <mergeCell ref="A76:L76"/>
    <mergeCell ref="A49:L49"/>
    <mergeCell ref="A51:L51"/>
    <mergeCell ref="A2:N2"/>
    <mergeCell ref="A5:L5"/>
    <mergeCell ref="A75:L75"/>
    <mergeCell ref="A89:L89"/>
    <mergeCell ref="A6:L6"/>
    <mergeCell ref="A58:L58"/>
    <mergeCell ref="A88:L88"/>
    <mergeCell ref="A53:L53"/>
    <mergeCell ref="A55:L55"/>
    <mergeCell ref="A50:L50"/>
  </mergeCells>
  <hyperlinks>
    <hyperlink xmlns:r="http://schemas.openxmlformats.org/officeDocument/2006/relationships" ref="O1" r:id="rId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297"/>
  <sheetViews>
    <sheetView zoomScale="90" workbookViewId="0">
      <pane xSplit="5" ySplit="6" topLeftCell="F7" activePane="bottomRight" state="frozen"/>
      <selection pane="topRight"/>
      <selection pane="bottomLeft"/>
      <selection pane="bottomRight" activeCell="A1" sqref="A1"/>
    </sheetView>
  </sheetViews>
  <sheetFormatPr baseColWidth="8" defaultRowHeight="15"/>
  <cols>
    <col width="10" customWidth="1" min="1" max="1"/>
    <col width="18" customWidth="1" min="2" max="2"/>
    <col width="9" customWidth="1" min="3" max="3"/>
    <col width="16" customWidth="1" min="4" max="4"/>
    <col width="30" customWidth="1" min="5" max="5"/>
    <col width="18" customWidth="1" min="6" max="6"/>
    <col width="22" customWidth="1" min="7" max="7"/>
    <col width="8" customWidth="1" min="8" max="8"/>
    <col width="34"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30" customWidth="1" min="24" max="24"/>
    <col width="30" customWidth="1" min="25" max="25"/>
  </cols>
  <sheetData>
    <row r="1" ht="24" customHeight="1">
      <c r="A1" s="1" t="inlineStr">
        <is>
          <t>Department Ladder — every role in every department, top down, with its weightage</t>
        </is>
      </c>
      <c r="O1" s="7" t="inlineStr">
        <is>
          <t>◂ Start</t>
        </is>
      </c>
    </row>
    <row r="2" ht="30" customHeight="1">
      <c r="A2" s="2" t="inlineStr">
        <is>
          <t>Sheet 5 · One row per role: business → department → designation at its HR proposed level, highest first. The seven weightage cells start from the family's role &amp; band matrix · RB sheets; overwrite any of them with L, M or H to set this role's own weightage. Talent Mapping reads it at once, so every holder's band recalculates.</t>
        </is>
      </c>
    </row>
    <row r="3">
      <c r="A3" s="3" t="inlineStr">
        <is>
          <t>IRIS · Job Architecture &amp; Job Design · Final v1.15 · October 2026 · Internal — Confidential · HR only</t>
        </is>
      </c>
    </row>
    <row r="4" ht="30" customHeight="1">
      <c r="A4" s="8" t="inlineStr">
        <is>
          <t>Section colours: each column group has its own header colour and a matching light tint</t>
        </is>
      </c>
      <c r="E4" s="9" t="inlineStr">
        <is>
          <t>Changed vs current</t>
        </is>
      </c>
      <c r="G4" s="10" t="inlineStr">
        <is>
          <t>Level up</t>
        </is>
      </c>
      <c r="H4" s="11" t="inlineStr">
        <is>
          <t>Level down · pay &amp; title protected</t>
        </is>
      </c>
      <c r="J4" s="12" t="inlineStr">
        <is>
          <t>Newly mapped</t>
        </is>
      </c>
      <c r="K4" s="13" t="inlineStr">
        <is>
          <t>Player-Coach · B+ · C+</t>
        </is>
      </c>
      <c r="M4" s="14" t="inlineStr">
        <is>
          <t>RED = critical input needed · says what and who</t>
        </is>
      </c>
      <c r="P4" s="15" t="inlineStr">
        <is>
          <t>YELLOW = to complete or edit</t>
        </is>
      </c>
      <c r="R4" s="16" t="inlineStr">
        <is>
          <t>GREY = pay · set later</t>
        </is>
      </c>
    </row>
    <row r="5" ht="30" customHeight="1">
      <c r="A5" s="6" t="inlineStr">
        <is>
          <t>ROLE</t>
        </is>
      </c>
      <c r="B5" s="6" t="n"/>
      <c r="C5" s="6" t="n"/>
      <c r="D5" s="6" t="n"/>
      <c r="E5" s="6" t="n"/>
      <c r="F5" s="6" t="n"/>
      <c r="G5" s="6" t="n"/>
      <c r="H5" s="6" t="n"/>
      <c r="I5" s="6" t="n"/>
      <c r="J5" s="18" t="inlineStr">
        <is>
          <t>WEIGHTAGE · L / M / H — edit to set this role's weightage</t>
        </is>
      </c>
      <c r="K5" s="18" t="n"/>
      <c r="L5" s="18" t="n"/>
      <c r="M5" s="18" t="n"/>
      <c r="N5" s="18" t="n"/>
      <c r="O5" s="18" t="n"/>
      <c r="P5" s="18" t="n"/>
      <c r="Q5" s="45" t="inlineStr">
        <is>
          <t>SHARE OF THE SCORE · %, live</t>
        </is>
      </c>
      <c r="R5" s="45" t="n"/>
      <c r="S5" s="45" t="n"/>
      <c r="T5" s="45" t="n"/>
      <c r="U5" s="45" t="n"/>
      <c r="V5" s="45" t="n"/>
      <c r="W5" s="45" t="n"/>
      <c r="X5" s="21" t="inlineStr">
        <is>
          <t>NOTES</t>
        </is>
      </c>
      <c r="Y5" s="21" t="n"/>
    </row>
    <row r="6" ht="60" customHeight="1">
      <c r="A6" s="22" t="inlineStr">
        <is>
          <t>Business</t>
        </is>
      </c>
      <c r="B6" s="22" t="inlineStr">
        <is>
          <t>Department</t>
        </is>
      </c>
      <c r="C6" s="22" t="inlineStr">
        <is>
          <t>Level · HR proposed</t>
        </is>
      </c>
      <c r="D6" s="22" t="inlineStr">
        <is>
          <t>Band</t>
        </is>
      </c>
      <c r="E6" s="22" t="inlineStr">
        <is>
          <t>Designation</t>
        </is>
      </c>
      <c r="F6" s="22" t="inlineStr">
        <is>
          <t>Role group</t>
        </is>
      </c>
      <c r="G6" s="22" t="inlineStr">
        <is>
          <t>Job family</t>
        </is>
      </c>
      <c r="H6" s="22" t="inlineStr">
        <is>
          <t>Holders</t>
        </is>
      </c>
      <c r="I6" s="22" t="inlineStr">
        <is>
          <t>Who</t>
        </is>
      </c>
      <c r="J6" s="24" t="inlineStr">
        <is>
          <t>Complexity &amp; Expertise</t>
        </is>
      </c>
      <c r="K6" s="24" t="inlineStr">
        <is>
          <t>Autonomy &amp; Decision</t>
        </is>
      </c>
      <c r="L6" s="24" t="inlineStr">
        <is>
          <t>Accountability &amp; Impact</t>
        </is>
      </c>
      <c r="M6" s="24" t="inlineStr">
        <is>
          <t>Leadership &amp; Strategy</t>
        </is>
      </c>
      <c r="N6" s="24" t="inlineStr">
        <is>
          <t>Business Impact</t>
        </is>
      </c>
      <c r="O6" s="24" t="inlineStr">
        <is>
          <t>Experience</t>
        </is>
      </c>
      <c r="P6" s="24" t="inlineStr">
        <is>
          <t>Education</t>
        </is>
      </c>
      <c r="Q6" s="48" t="inlineStr">
        <is>
          <t>Complexity &amp; Expertise %</t>
        </is>
      </c>
      <c r="R6" s="48" t="inlineStr">
        <is>
          <t>Autonomy &amp; Decision %</t>
        </is>
      </c>
      <c r="S6" s="48" t="inlineStr">
        <is>
          <t>Accountability &amp; Impact %</t>
        </is>
      </c>
      <c r="T6" s="48" t="inlineStr">
        <is>
          <t>Leadership &amp; Strategy %</t>
        </is>
      </c>
      <c r="U6" s="48" t="inlineStr">
        <is>
          <t>Business Impact %</t>
        </is>
      </c>
      <c r="V6" s="48" t="inlineStr">
        <is>
          <t>Experience %</t>
        </is>
      </c>
      <c r="W6" s="48" t="inlineStr">
        <is>
          <t>Education %</t>
        </is>
      </c>
      <c r="X6" s="27" t="inlineStr">
        <is>
          <t>Why changed · business head</t>
        </is>
      </c>
      <c r="Y6" s="27" t="inlineStr">
        <is>
          <t>Ladder key</t>
        </is>
      </c>
    </row>
    <row r="7" ht="18" customHeight="1">
      <c r="A7" s="28" t="inlineStr">
        <is>
          <t>Corporate</t>
        </is>
      </c>
      <c r="B7" s="71" t="inlineStr">
        <is>
          <t>Administration</t>
        </is>
      </c>
      <c r="C7" s="72" t="inlineStr">
        <is>
          <t>B2</t>
        </is>
      </c>
      <c r="D7" s="29" t="inlineStr">
        <is>
          <t>Band B · Specialist / Manager</t>
        </is>
      </c>
      <c r="E7" s="29" t="inlineStr">
        <is>
          <t>Manager – Administration</t>
        </is>
      </c>
      <c r="F7" s="29" t="inlineStr">
        <is>
          <t>Band B · People Manager</t>
        </is>
      </c>
      <c r="G7" s="29" t="inlineStr">
        <is>
          <t>Administration, Legal &amp; Secretarial</t>
        </is>
      </c>
      <c r="H7" s="29" t="n">
        <v>1</v>
      </c>
      <c r="I7" s="29" t="inlineStr">
        <is>
          <t>Sujit Acharya</t>
        </is>
      </c>
      <c r="J7" s="34" t="str">
        <f>IFERROR(INDEX(RBD_C,MATCH("Administration, Legal &amp; Secretarial|B2|B-M",RBD_KEY,0)),"M")</f>
        <v>H</v>
      </c>
      <c r="K7" s="35" t="str">
        <f>IFERROR(INDEX(RBD_Au,MATCH("Administration, Legal &amp; Secretarial|B2|B-M",RBD_KEY,0)),"M")</f>
        <v>M</v>
      </c>
      <c r="L7" s="35" t="str">
        <f>IFERROR(INDEX(RBD_Ac,MATCH("Administration, Legal &amp; Secretarial|B2|B-M",RBD_KEY,0)),"M")</f>
        <v>M</v>
      </c>
      <c r="M7" s="35" t="str">
        <f>IFERROR(INDEX(RBD_L,MATCH("Administration, Legal &amp; Secretarial|B2|B-M",RBD_KEY,0)),"M")</f>
        <v>M</v>
      </c>
      <c r="N7" s="35" t="str">
        <f>IFERROR(INDEX(RBD_BI,MATCH("Administration, Legal &amp; Secretarial|B2|B-M",RBD_KEY,0)),"M")</f>
        <v>L</v>
      </c>
      <c r="O7" s="35" t="str">
        <f>IFERROR(INDEX(RBD_Exp,MATCH("Administration, Legal &amp; Secretarial|B2|B-M",RBD_KEY,0)),"M")</f>
        <v>L</v>
      </c>
      <c r="P7" s="35" t="str">
        <f>IFERROR(INDEX(RBD_Edu,MATCH("Administration, Legal &amp; Secretarial|B2|B-M",RBD_KEY,0)),"M")</f>
        <v>L</v>
      </c>
      <c r="Q7" s="73">
        <f>IF(J7="","",IFERROR(INDEX(LMH_PTS,MATCH(J7,LMH_KEY,0))/SUM(IFERROR(INDEX(LMH_PTS,MATCH(J7,LMH_KEY,0)),0),IFERROR(INDEX(LMH_PTS,MATCH(K7,LMH_KEY,0)),0),IFERROR(INDEX(LMH_PTS,MATCH(L7,LMH_KEY,0)),0),IFERROR(INDEX(LMH_PTS,MATCH(M7,LMH_KEY,0)),0),IFERROR(INDEX(LMH_PTS,MATCH(N7,LMH_KEY,0)),0),IFERROR(INDEX(LMH_PTS,MATCH(O7,LMH_KEY,0)),0),IFERROR(INDEX(LMH_PTS,MATCH(P7,LMH_KEY,0)),0)),""))</f>
        <v>0.428571428571429</v>
      </c>
      <c r="R7" s="74">
        <f>IF(K7="","",IFERROR(INDEX(LMH_PTS,MATCH(K7,LMH_KEY,0))/SUM(IFERROR(INDEX(LMH_PTS,MATCH(J7,LMH_KEY,0)),0),IFERROR(INDEX(LMH_PTS,MATCH(K7,LMH_KEY,0)),0),IFERROR(INDEX(LMH_PTS,MATCH(L7,LMH_KEY,0)),0),IFERROR(INDEX(LMH_PTS,MATCH(M7,LMH_KEY,0)),0),IFERROR(INDEX(LMH_PTS,MATCH(N7,LMH_KEY,0)),0),IFERROR(INDEX(LMH_PTS,MATCH(O7,LMH_KEY,0)),0),IFERROR(INDEX(LMH_PTS,MATCH(P7,LMH_KEY,0)),0)),""))</f>
        <v>0.142857142857143</v>
      </c>
      <c r="S7" s="74">
        <f>IF(L7="","",IFERROR(INDEX(LMH_PTS,MATCH(L7,LMH_KEY,0))/SUM(IFERROR(INDEX(LMH_PTS,MATCH(J7,LMH_KEY,0)),0),IFERROR(INDEX(LMH_PTS,MATCH(K7,LMH_KEY,0)),0),IFERROR(INDEX(LMH_PTS,MATCH(L7,LMH_KEY,0)),0),IFERROR(INDEX(LMH_PTS,MATCH(M7,LMH_KEY,0)),0),IFERROR(INDEX(LMH_PTS,MATCH(N7,LMH_KEY,0)),0),IFERROR(INDEX(LMH_PTS,MATCH(O7,LMH_KEY,0)),0),IFERROR(INDEX(LMH_PTS,MATCH(P7,LMH_KEY,0)),0)),""))</f>
        <v>0.142857142857143</v>
      </c>
      <c r="T7" s="74">
        <f>IF(M7="","",IFERROR(INDEX(LMH_PTS,MATCH(M7,LMH_KEY,0))/SUM(IFERROR(INDEX(LMH_PTS,MATCH(J7,LMH_KEY,0)),0),IFERROR(INDEX(LMH_PTS,MATCH(K7,LMH_KEY,0)),0),IFERROR(INDEX(LMH_PTS,MATCH(L7,LMH_KEY,0)),0),IFERROR(INDEX(LMH_PTS,MATCH(M7,LMH_KEY,0)),0),IFERROR(INDEX(LMH_PTS,MATCH(N7,LMH_KEY,0)),0),IFERROR(INDEX(LMH_PTS,MATCH(O7,LMH_KEY,0)),0),IFERROR(INDEX(LMH_PTS,MATCH(P7,LMH_KEY,0)),0)),""))</f>
        <v>0.142857142857143</v>
      </c>
      <c r="U7" s="74">
        <f>IF(N7="","",IFERROR(INDEX(LMH_PTS,MATCH(N7,LMH_KEY,0))/SUM(IFERROR(INDEX(LMH_PTS,MATCH(J7,LMH_KEY,0)),0),IFERROR(INDEX(LMH_PTS,MATCH(K7,LMH_KEY,0)),0),IFERROR(INDEX(LMH_PTS,MATCH(L7,LMH_KEY,0)),0),IFERROR(INDEX(LMH_PTS,MATCH(M7,LMH_KEY,0)),0),IFERROR(INDEX(LMH_PTS,MATCH(N7,LMH_KEY,0)),0),IFERROR(INDEX(LMH_PTS,MATCH(O7,LMH_KEY,0)),0),IFERROR(INDEX(LMH_PTS,MATCH(P7,LMH_KEY,0)),0)),""))</f>
        <v>0.0476190476190476</v>
      </c>
      <c r="V7" s="74">
        <f>IF(O7="","",IFERROR(INDEX(LMH_PTS,MATCH(O7,LMH_KEY,0))/SUM(IFERROR(INDEX(LMH_PTS,MATCH(J7,LMH_KEY,0)),0),IFERROR(INDEX(LMH_PTS,MATCH(K7,LMH_KEY,0)),0),IFERROR(INDEX(LMH_PTS,MATCH(L7,LMH_KEY,0)),0),IFERROR(INDEX(LMH_PTS,MATCH(M7,LMH_KEY,0)),0),IFERROR(INDEX(LMH_PTS,MATCH(N7,LMH_KEY,0)),0),IFERROR(INDEX(LMH_PTS,MATCH(O7,LMH_KEY,0)),0),IFERROR(INDEX(LMH_PTS,MATCH(P7,LMH_KEY,0)),0)),""))</f>
        <v>0.0476190476190476</v>
      </c>
      <c r="W7" s="74">
        <f>IF(P7="","",IFERROR(INDEX(LMH_PTS,MATCH(P7,LMH_KEY,0))/SUM(IFERROR(INDEX(LMH_PTS,MATCH(J7,LMH_KEY,0)),0),IFERROR(INDEX(LMH_PTS,MATCH(K7,LMH_KEY,0)),0),IFERROR(INDEX(LMH_PTS,MATCH(L7,LMH_KEY,0)),0),IFERROR(INDEX(LMH_PTS,MATCH(M7,LMH_KEY,0)),0),IFERROR(INDEX(LMH_PTS,MATCH(N7,LMH_KEY,0)),0),IFERROR(INDEX(LMH_PTS,MATCH(O7,LMH_KEY,0)),0),IFERROR(INDEX(LMH_PTS,MATCH(P7,LMH_KEY,0)),0)),""))</f>
        <v>0.0476190476190476</v>
      </c>
      <c r="X7" s="44" t="n"/>
      <c r="Y7" s="38" t="inlineStr">
        <is>
          <t>Corporate|Administration|Manager – Administration|B2|B-M</t>
        </is>
      </c>
    </row>
    <row r="8" ht="28" customHeight="1">
      <c r="A8" s="28" t="inlineStr">
        <is>
          <t>Corporate</t>
        </is>
      </c>
      <c r="B8" s="29" t="inlineStr">
        <is>
          <t>Administration</t>
        </is>
      </c>
      <c r="C8" s="75" t="inlineStr">
        <is>
          <t>A3</t>
        </is>
      </c>
      <c r="D8" s="29" t="inlineStr">
        <is>
          <t>Band A · Practitioner</t>
        </is>
      </c>
      <c r="E8" s="29" t="inlineStr">
        <is>
          <t>Senior Administration Executive</t>
        </is>
      </c>
      <c r="F8" s="29" t="inlineStr">
        <is>
          <t>Band A · all tracks</t>
        </is>
      </c>
      <c r="G8" s="29" t="inlineStr">
        <is>
          <t>Administration, Legal &amp; Secretarial</t>
        </is>
      </c>
      <c r="H8" s="29" t="n">
        <v>4</v>
      </c>
      <c r="I8" s="29" t="inlineStr">
        <is>
          <t>Ashish Pawar, Mangesh Kosty, Rajesh Khurambe, Sunil Pawar</t>
        </is>
      </c>
      <c r="J8" s="34" t="str">
        <f>IFERROR(INDEX(RBD_C,MATCH("Administration, Legal &amp; Secretarial|A3|A",RBD_KEY,0)),"M")</f>
        <v>H</v>
      </c>
      <c r="K8" s="35" t="str">
        <f>IFERROR(INDEX(RBD_Au,MATCH("Administration, Legal &amp; Secretarial|A3|A",RBD_KEY,0)),"M")</f>
        <v>M</v>
      </c>
      <c r="L8" s="35" t="str">
        <f>IFERROR(INDEX(RBD_Ac,MATCH("Administration, Legal &amp; Secretarial|A3|A",RBD_KEY,0)),"M")</f>
        <v>M</v>
      </c>
      <c r="M8" s="35" t="str">
        <f>IFERROR(INDEX(RBD_L,MATCH("Administration, Legal &amp; Secretarial|A3|A",RBD_KEY,0)),"M")</f>
        <v>L</v>
      </c>
      <c r="N8" s="35" t="str">
        <f>IFERROR(INDEX(RBD_BI,MATCH("Administration, Legal &amp; Secretarial|A3|A",RBD_KEY,0)),"M")</f>
        <v>L</v>
      </c>
      <c r="O8" s="35" t="str">
        <f>IFERROR(INDEX(RBD_Exp,MATCH("Administration, Legal &amp; Secretarial|A3|A",RBD_KEY,0)),"M")</f>
        <v>L</v>
      </c>
      <c r="P8" s="35" t="str">
        <f>IFERROR(INDEX(RBD_Edu,MATCH("Administration, Legal &amp; Secretarial|A3|A",RBD_KEY,0)),"M")</f>
        <v>M</v>
      </c>
      <c r="Q8" s="73">
        <f>IF(J8="","",IFERROR(INDEX(LMH_PTS,MATCH(J8,LMH_KEY,0))/SUM(IFERROR(INDEX(LMH_PTS,MATCH(J8,LMH_KEY,0)),0),IFERROR(INDEX(LMH_PTS,MATCH(K8,LMH_KEY,0)),0),IFERROR(INDEX(LMH_PTS,MATCH(L8,LMH_KEY,0)),0),IFERROR(INDEX(LMH_PTS,MATCH(M8,LMH_KEY,0)),0),IFERROR(INDEX(LMH_PTS,MATCH(N8,LMH_KEY,0)),0),IFERROR(INDEX(LMH_PTS,MATCH(O8,LMH_KEY,0)),0),IFERROR(INDEX(LMH_PTS,MATCH(P8,LMH_KEY,0)),0)),""))</f>
        <v>0.428571428571429</v>
      </c>
      <c r="R8" s="74">
        <f>IF(K8="","",IFERROR(INDEX(LMH_PTS,MATCH(K8,LMH_KEY,0))/SUM(IFERROR(INDEX(LMH_PTS,MATCH(J8,LMH_KEY,0)),0),IFERROR(INDEX(LMH_PTS,MATCH(K8,LMH_KEY,0)),0),IFERROR(INDEX(LMH_PTS,MATCH(L8,LMH_KEY,0)),0),IFERROR(INDEX(LMH_PTS,MATCH(M8,LMH_KEY,0)),0),IFERROR(INDEX(LMH_PTS,MATCH(N8,LMH_KEY,0)),0),IFERROR(INDEX(LMH_PTS,MATCH(O8,LMH_KEY,0)),0),IFERROR(INDEX(LMH_PTS,MATCH(P8,LMH_KEY,0)),0)),""))</f>
        <v>0.142857142857143</v>
      </c>
      <c r="S8" s="74">
        <f>IF(L8="","",IFERROR(INDEX(LMH_PTS,MATCH(L8,LMH_KEY,0))/SUM(IFERROR(INDEX(LMH_PTS,MATCH(J8,LMH_KEY,0)),0),IFERROR(INDEX(LMH_PTS,MATCH(K8,LMH_KEY,0)),0),IFERROR(INDEX(LMH_PTS,MATCH(L8,LMH_KEY,0)),0),IFERROR(INDEX(LMH_PTS,MATCH(M8,LMH_KEY,0)),0),IFERROR(INDEX(LMH_PTS,MATCH(N8,LMH_KEY,0)),0),IFERROR(INDEX(LMH_PTS,MATCH(O8,LMH_KEY,0)),0),IFERROR(INDEX(LMH_PTS,MATCH(P8,LMH_KEY,0)),0)),""))</f>
        <v>0.142857142857143</v>
      </c>
      <c r="T8" s="74">
        <f>IF(M8="","",IFERROR(INDEX(LMH_PTS,MATCH(M8,LMH_KEY,0))/SUM(IFERROR(INDEX(LMH_PTS,MATCH(J8,LMH_KEY,0)),0),IFERROR(INDEX(LMH_PTS,MATCH(K8,LMH_KEY,0)),0),IFERROR(INDEX(LMH_PTS,MATCH(L8,LMH_KEY,0)),0),IFERROR(INDEX(LMH_PTS,MATCH(M8,LMH_KEY,0)),0),IFERROR(INDEX(LMH_PTS,MATCH(N8,LMH_KEY,0)),0),IFERROR(INDEX(LMH_PTS,MATCH(O8,LMH_KEY,0)),0),IFERROR(INDEX(LMH_PTS,MATCH(P8,LMH_KEY,0)),0)),""))</f>
        <v>0.0476190476190476</v>
      </c>
      <c r="U8" s="74">
        <f>IF(N8="","",IFERROR(INDEX(LMH_PTS,MATCH(N8,LMH_KEY,0))/SUM(IFERROR(INDEX(LMH_PTS,MATCH(J8,LMH_KEY,0)),0),IFERROR(INDEX(LMH_PTS,MATCH(K8,LMH_KEY,0)),0),IFERROR(INDEX(LMH_PTS,MATCH(L8,LMH_KEY,0)),0),IFERROR(INDEX(LMH_PTS,MATCH(M8,LMH_KEY,0)),0),IFERROR(INDEX(LMH_PTS,MATCH(N8,LMH_KEY,0)),0),IFERROR(INDEX(LMH_PTS,MATCH(O8,LMH_KEY,0)),0),IFERROR(INDEX(LMH_PTS,MATCH(P8,LMH_KEY,0)),0)),""))</f>
        <v>0.0476190476190476</v>
      </c>
      <c r="V8" s="74">
        <f>IF(O8="","",IFERROR(INDEX(LMH_PTS,MATCH(O8,LMH_KEY,0))/SUM(IFERROR(INDEX(LMH_PTS,MATCH(J8,LMH_KEY,0)),0),IFERROR(INDEX(LMH_PTS,MATCH(K8,LMH_KEY,0)),0),IFERROR(INDEX(LMH_PTS,MATCH(L8,LMH_KEY,0)),0),IFERROR(INDEX(LMH_PTS,MATCH(M8,LMH_KEY,0)),0),IFERROR(INDEX(LMH_PTS,MATCH(N8,LMH_KEY,0)),0),IFERROR(INDEX(LMH_PTS,MATCH(O8,LMH_KEY,0)),0),IFERROR(INDEX(LMH_PTS,MATCH(P8,LMH_KEY,0)),0)),""))</f>
        <v>0.0476190476190476</v>
      </c>
      <c r="W8" s="74">
        <f>IF(P8="","",IFERROR(INDEX(LMH_PTS,MATCH(P8,LMH_KEY,0))/SUM(IFERROR(INDEX(LMH_PTS,MATCH(J8,LMH_KEY,0)),0),IFERROR(INDEX(LMH_PTS,MATCH(K8,LMH_KEY,0)),0),IFERROR(INDEX(LMH_PTS,MATCH(L8,LMH_KEY,0)),0),IFERROR(INDEX(LMH_PTS,MATCH(M8,LMH_KEY,0)),0),IFERROR(INDEX(LMH_PTS,MATCH(N8,LMH_KEY,0)),0),IFERROR(INDEX(LMH_PTS,MATCH(O8,LMH_KEY,0)),0),IFERROR(INDEX(LMH_PTS,MATCH(P8,LMH_KEY,0)),0)),""))</f>
        <v>0.142857142857143</v>
      </c>
      <c r="X8" s="44" t="n"/>
      <c r="Y8" s="38" t="inlineStr">
        <is>
          <t>Corporate|Administration|Senior Administration Executive|A3|A</t>
        </is>
      </c>
    </row>
    <row r="9" ht="28" customHeight="1">
      <c r="A9" s="28" t="inlineStr">
        <is>
          <t>Corporate</t>
        </is>
      </c>
      <c r="B9" s="29" t="inlineStr">
        <is>
          <t>Administration</t>
        </is>
      </c>
      <c r="C9" s="76" t="inlineStr">
        <is>
          <t>X1</t>
        </is>
      </c>
      <c r="D9" s="29" t="inlineStr">
        <is>
          <t>Band X · Consultant</t>
        </is>
      </c>
      <c r="E9" s="29" t="inlineStr">
        <is>
          <t>Associate Consultant – Administration &amp; Facilities</t>
        </is>
      </c>
      <c r="F9" s="29" t="inlineStr">
        <is>
          <t>Consultant</t>
        </is>
      </c>
      <c r="G9" s="29" t="inlineStr">
        <is>
          <t>Administration, Legal &amp; Secretarial</t>
        </is>
      </c>
      <c r="H9" s="29" t="n">
        <v>1</v>
      </c>
      <c r="I9" s="29" t="inlineStr">
        <is>
          <t>Ganesh Prabhakar Amrutsagar</t>
        </is>
      </c>
      <c r="J9" s="34" t="n"/>
      <c r="K9" s="35" t="n"/>
      <c r="L9" s="35" t="n"/>
      <c r="M9" s="35" t="n"/>
      <c r="N9" s="35" t="n"/>
      <c r="O9" s="35" t="n"/>
      <c r="P9" s="35" t="n"/>
      <c r="Q9" s="73" t="str">
        <f>IF(J9="","",IFERROR(INDEX(LMH_PTS,MATCH(J9,LMH_KEY,0))/SUM(IFERROR(INDEX(LMH_PTS,MATCH(J9,LMH_KEY,0)),0),IFERROR(INDEX(LMH_PTS,MATCH(K9,LMH_KEY,0)),0),IFERROR(INDEX(LMH_PTS,MATCH(L9,LMH_KEY,0)),0),IFERROR(INDEX(LMH_PTS,MATCH(M9,LMH_KEY,0)),0),IFERROR(INDEX(LMH_PTS,MATCH(N9,LMH_KEY,0)),0),IFERROR(INDEX(LMH_PTS,MATCH(O9,LMH_KEY,0)),0),IFERROR(INDEX(LMH_PTS,MATCH(P9,LMH_KEY,0)),0)),""))</f>
        <v/>
      </c>
      <c r="R9" s="74" t="str">
        <f>IF(K9="","",IFERROR(INDEX(LMH_PTS,MATCH(K9,LMH_KEY,0))/SUM(IFERROR(INDEX(LMH_PTS,MATCH(J9,LMH_KEY,0)),0),IFERROR(INDEX(LMH_PTS,MATCH(K9,LMH_KEY,0)),0),IFERROR(INDEX(LMH_PTS,MATCH(L9,LMH_KEY,0)),0),IFERROR(INDEX(LMH_PTS,MATCH(M9,LMH_KEY,0)),0),IFERROR(INDEX(LMH_PTS,MATCH(N9,LMH_KEY,0)),0),IFERROR(INDEX(LMH_PTS,MATCH(O9,LMH_KEY,0)),0),IFERROR(INDEX(LMH_PTS,MATCH(P9,LMH_KEY,0)),0)),""))</f>
        <v/>
      </c>
      <c r="S9" s="74" t="str">
        <f>IF(L9="","",IFERROR(INDEX(LMH_PTS,MATCH(L9,LMH_KEY,0))/SUM(IFERROR(INDEX(LMH_PTS,MATCH(J9,LMH_KEY,0)),0),IFERROR(INDEX(LMH_PTS,MATCH(K9,LMH_KEY,0)),0),IFERROR(INDEX(LMH_PTS,MATCH(L9,LMH_KEY,0)),0),IFERROR(INDEX(LMH_PTS,MATCH(M9,LMH_KEY,0)),0),IFERROR(INDEX(LMH_PTS,MATCH(N9,LMH_KEY,0)),0),IFERROR(INDEX(LMH_PTS,MATCH(O9,LMH_KEY,0)),0),IFERROR(INDEX(LMH_PTS,MATCH(P9,LMH_KEY,0)),0)),""))</f>
        <v/>
      </c>
      <c r="T9" s="74" t="str">
        <f>IF(M9="","",IFERROR(INDEX(LMH_PTS,MATCH(M9,LMH_KEY,0))/SUM(IFERROR(INDEX(LMH_PTS,MATCH(J9,LMH_KEY,0)),0),IFERROR(INDEX(LMH_PTS,MATCH(K9,LMH_KEY,0)),0),IFERROR(INDEX(LMH_PTS,MATCH(L9,LMH_KEY,0)),0),IFERROR(INDEX(LMH_PTS,MATCH(M9,LMH_KEY,0)),0),IFERROR(INDEX(LMH_PTS,MATCH(N9,LMH_KEY,0)),0),IFERROR(INDEX(LMH_PTS,MATCH(O9,LMH_KEY,0)),0),IFERROR(INDEX(LMH_PTS,MATCH(P9,LMH_KEY,0)),0)),""))</f>
        <v/>
      </c>
      <c r="U9" s="74" t="str">
        <f>IF(N9="","",IFERROR(INDEX(LMH_PTS,MATCH(N9,LMH_KEY,0))/SUM(IFERROR(INDEX(LMH_PTS,MATCH(J9,LMH_KEY,0)),0),IFERROR(INDEX(LMH_PTS,MATCH(K9,LMH_KEY,0)),0),IFERROR(INDEX(LMH_PTS,MATCH(L9,LMH_KEY,0)),0),IFERROR(INDEX(LMH_PTS,MATCH(M9,LMH_KEY,0)),0),IFERROR(INDEX(LMH_PTS,MATCH(N9,LMH_KEY,0)),0),IFERROR(INDEX(LMH_PTS,MATCH(O9,LMH_KEY,0)),0),IFERROR(INDEX(LMH_PTS,MATCH(P9,LMH_KEY,0)),0)),""))</f>
        <v/>
      </c>
      <c r="V9" s="74" t="str">
        <f>IF(O9="","",IFERROR(INDEX(LMH_PTS,MATCH(O9,LMH_KEY,0))/SUM(IFERROR(INDEX(LMH_PTS,MATCH(J9,LMH_KEY,0)),0),IFERROR(INDEX(LMH_PTS,MATCH(K9,LMH_KEY,0)),0),IFERROR(INDEX(LMH_PTS,MATCH(L9,LMH_KEY,0)),0),IFERROR(INDEX(LMH_PTS,MATCH(M9,LMH_KEY,0)),0),IFERROR(INDEX(LMH_PTS,MATCH(N9,LMH_KEY,0)),0),IFERROR(INDEX(LMH_PTS,MATCH(O9,LMH_KEY,0)),0),IFERROR(INDEX(LMH_PTS,MATCH(P9,LMH_KEY,0)),0)),""))</f>
        <v/>
      </c>
      <c r="W9" s="74" t="str">
        <f>IF(P9="","",IFERROR(INDEX(LMH_PTS,MATCH(P9,LMH_KEY,0))/SUM(IFERROR(INDEX(LMH_PTS,MATCH(J9,LMH_KEY,0)),0),IFERROR(INDEX(LMH_PTS,MATCH(K9,LMH_KEY,0)),0),IFERROR(INDEX(LMH_PTS,MATCH(L9,LMH_KEY,0)),0),IFERROR(INDEX(LMH_PTS,MATCH(M9,LMH_KEY,0)),0),IFERROR(INDEX(LMH_PTS,MATCH(N9,LMH_KEY,0)),0),IFERROR(INDEX(LMH_PTS,MATCH(O9,LMH_KEY,0)),0),IFERROR(INDEX(LMH_PTS,MATCH(P9,LMH_KEY,0)),0)),""))</f>
        <v/>
      </c>
      <c r="X9" s="44" t="n"/>
      <c r="Y9" s="38" t="inlineStr">
        <is>
          <t>Corporate|Administration|Associate Consultant – Administration &amp; Facilities|X1|X</t>
        </is>
      </c>
    </row>
    <row r="10" ht="18" customHeight="1">
      <c r="A10" s="28" t="inlineStr">
        <is>
          <t>Corporate</t>
        </is>
      </c>
      <c r="B10" s="71" t="inlineStr">
        <is>
          <t>Finance</t>
        </is>
      </c>
      <c r="C10" s="77" t="inlineStr">
        <is>
          <t>E1</t>
        </is>
      </c>
      <c r="D10" s="29" t="inlineStr">
        <is>
          <t>Band E · Enterprise leadership</t>
        </is>
      </c>
      <c r="E10" s="29" t="inlineStr">
        <is>
          <t>Chief Financial Officer</t>
        </is>
      </c>
      <c r="F10" s="29" t="inlineStr">
        <is>
          <t>Bands D–E · Leadership</t>
        </is>
      </c>
      <c r="G10" s="29" t="inlineStr">
        <is>
          <t>Enterprise Leadership</t>
        </is>
      </c>
      <c r="H10" s="29" t="n">
        <v>1</v>
      </c>
      <c r="I10" s="29" t="inlineStr">
        <is>
          <t>Vineet Kandoi</t>
        </is>
      </c>
      <c r="J10" s="34" t="str">
        <f>IFERROR(INDEX(RBD_C,MATCH("Enterprise Leadership|E1|DE",RBD_KEY,0)),"M")</f>
        <v>H</v>
      </c>
      <c r="K10" s="35" t="str">
        <f>IFERROR(INDEX(RBD_Au,MATCH("Enterprise Leadership|E1|DE",RBD_KEY,0)),"M")</f>
        <v>M</v>
      </c>
      <c r="L10" s="35" t="str">
        <f>IFERROR(INDEX(RBD_Ac,MATCH("Enterprise Leadership|E1|DE",RBD_KEY,0)),"M")</f>
        <v>M</v>
      </c>
      <c r="M10" s="35" t="str">
        <f>IFERROR(INDEX(RBD_L,MATCH("Enterprise Leadership|E1|DE",RBD_KEY,0)),"M")</f>
        <v>M</v>
      </c>
      <c r="N10" s="35" t="str">
        <f>IFERROR(INDEX(RBD_BI,MATCH("Enterprise Leadership|E1|DE",RBD_KEY,0)),"M")</f>
        <v>L</v>
      </c>
      <c r="O10" s="35" t="str">
        <f>IFERROR(INDEX(RBD_Exp,MATCH("Enterprise Leadership|E1|DE",RBD_KEY,0)),"M")</f>
        <v>L</v>
      </c>
      <c r="P10" s="35" t="str">
        <f>IFERROR(INDEX(RBD_Edu,MATCH("Enterprise Leadership|E1|DE",RBD_KEY,0)),"M")</f>
        <v>L</v>
      </c>
      <c r="Q10" s="73">
        <f>IF(J10="","",IFERROR(INDEX(LMH_PTS,MATCH(J10,LMH_KEY,0))/SUM(IFERROR(INDEX(LMH_PTS,MATCH(J10,LMH_KEY,0)),0),IFERROR(INDEX(LMH_PTS,MATCH(K10,LMH_KEY,0)),0),IFERROR(INDEX(LMH_PTS,MATCH(L10,LMH_KEY,0)),0),IFERROR(INDEX(LMH_PTS,MATCH(M10,LMH_KEY,0)),0),IFERROR(INDEX(LMH_PTS,MATCH(N10,LMH_KEY,0)),0),IFERROR(INDEX(LMH_PTS,MATCH(O10,LMH_KEY,0)),0),IFERROR(INDEX(LMH_PTS,MATCH(P10,LMH_KEY,0)),0)),""))</f>
        <v>0.428571428571429</v>
      </c>
      <c r="R10" s="74">
        <f>IF(K10="","",IFERROR(INDEX(LMH_PTS,MATCH(K10,LMH_KEY,0))/SUM(IFERROR(INDEX(LMH_PTS,MATCH(J10,LMH_KEY,0)),0),IFERROR(INDEX(LMH_PTS,MATCH(K10,LMH_KEY,0)),0),IFERROR(INDEX(LMH_PTS,MATCH(L10,LMH_KEY,0)),0),IFERROR(INDEX(LMH_PTS,MATCH(M10,LMH_KEY,0)),0),IFERROR(INDEX(LMH_PTS,MATCH(N10,LMH_KEY,0)),0),IFERROR(INDEX(LMH_PTS,MATCH(O10,LMH_KEY,0)),0),IFERROR(INDEX(LMH_PTS,MATCH(P10,LMH_KEY,0)),0)),""))</f>
        <v>0.142857142857143</v>
      </c>
      <c r="S10" s="74">
        <f>IF(L10="","",IFERROR(INDEX(LMH_PTS,MATCH(L10,LMH_KEY,0))/SUM(IFERROR(INDEX(LMH_PTS,MATCH(J10,LMH_KEY,0)),0),IFERROR(INDEX(LMH_PTS,MATCH(K10,LMH_KEY,0)),0),IFERROR(INDEX(LMH_PTS,MATCH(L10,LMH_KEY,0)),0),IFERROR(INDEX(LMH_PTS,MATCH(M10,LMH_KEY,0)),0),IFERROR(INDEX(LMH_PTS,MATCH(N10,LMH_KEY,0)),0),IFERROR(INDEX(LMH_PTS,MATCH(O10,LMH_KEY,0)),0),IFERROR(INDEX(LMH_PTS,MATCH(P10,LMH_KEY,0)),0)),""))</f>
        <v>0.142857142857143</v>
      </c>
      <c r="T10" s="74">
        <f>IF(M10="","",IFERROR(INDEX(LMH_PTS,MATCH(M10,LMH_KEY,0))/SUM(IFERROR(INDEX(LMH_PTS,MATCH(J10,LMH_KEY,0)),0),IFERROR(INDEX(LMH_PTS,MATCH(K10,LMH_KEY,0)),0),IFERROR(INDEX(LMH_PTS,MATCH(L10,LMH_KEY,0)),0),IFERROR(INDEX(LMH_PTS,MATCH(M10,LMH_KEY,0)),0),IFERROR(INDEX(LMH_PTS,MATCH(N10,LMH_KEY,0)),0),IFERROR(INDEX(LMH_PTS,MATCH(O10,LMH_KEY,0)),0),IFERROR(INDEX(LMH_PTS,MATCH(P10,LMH_KEY,0)),0)),""))</f>
        <v>0.142857142857143</v>
      </c>
      <c r="U10" s="74">
        <f>IF(N10="","",IFERROR(INDEX(LMH_PTS,MATCH(N10,LMH_KEY,0))/SUM(IFERROR(INDEX(LMH_PTS,MATCH(J10,LMH_KEY,0)),0),IFERROR(INDEX(LMH_PTS,MATCH(K10,LMH_KEY,0)),0),IFERROR(INDEX(LMH_PTS,MATCH(L10,LMH_KEY,0)),0),IFERROR(INDEX(LMH_PTS,MATCH(M10,LMH_KEY,0)),0),IFERROR(INDEX(LMH_PTS,MATCH(N10,LMH_KEY,0)),0),IFERROR(INDEX(LMH_PTS,MATCH(O10,LMH_KEY,0)),0),IFERROR(INDEX(LMH_PTS,MATCH(P10,LMH_KEY,0)),0)),""))</f>
        <v>0.0476190476190476</v>
      </c>
      <c r="V10" s="74">
        <f>IF(O10="","",IFERROR(INDEX(LMH_PTS,MATCH(O10,LMH_KEY,0))/SUM(IFERROR(INDEX(LMH_PTS,MATCH(J10,LMH_KEY,0)),0),IFERROR(INDEX(LMH_PTS,MATCH(K10,LMH_KEY,0)),0),IFERROR(INDEX(LMH_PTS,MATCH(L10,LMH_KEY,0)),0),IFERROR(INDEX(LMH_PTS,MATCH(M10,LMH_KEY,0)),0),IFERROR(INDEX(LMH_PTS,MATCH(N10,LMH_KEY,0)),0),IFERROR(INDEX(LMH_PTS,MATCH(O10,LMH_KEY,0)),0),IFERROR(INDEX(LMH_PTS,MATCH(P10,LMH_KEY,0)),0)),""))</f>
        <v>0.0476190476190476</v>
      </c>
      <c r="W10" s="74">
        <f>IF(P10="","",IFERROR(INDEX(LMH_PTS,MATCH(P10,LMH_KEY,0))/SUM(IFERROR(INDEX(LMH_PTS,MATCH(J10,LMH_KEY,0)),0),IFERROR(INDEX(LMH_PTS,MATCH(K10,LMH_KEY,0)),0),IFERROR(INDEX(LMH_PTS,MATCH(L10,LMH_KEY,0)),0),IFERROR(INDEX(LMH_PTS,MATCH(M10,LMH_KEY,0)),0),IFERROR(INDEX(LMH_PTS,MATCH(N10,LMH_KEY,0)),0),IFERROR(INDEX(LMH_PTS,MATCH(O10,LMH_KEY,0)),0),IFERROR(INDEX(LMH_PTS,MATCH(P10,LMH_KEY,0)),0)),""))</f>
        <v>0.0476190476190476</v>
      </c>
      <c r="X10" s="44" t="n"/>
      <c r="Y10" s="38" t="inlineStr">
        <is>
          <t>Corporate|Finance|Chief Financial Officer|E1|DE</t>
        </is>
      </c>
    </row>
    <row r="11" ht="28" customHeight="1">
      <c r="A11" s="28" t="inlineStr">
        <is>
          <t>Corporate</t>
        </is>
      </c>
      <c r="B11" s="29" t="inlineStr">
        <is>
          <t>Finance</t>
        </is>
      </c>
      <c r="C11" s="78" t="inlineStr">
        <is>
          <t>C1</t>
        </is>
      </c>
      <c r="D11" s="29" t="inlineStr">
        <is>
          <t>Band C · Principal / Head</t>
        </is>
      </c>
      <c r="E11" s="29" t="inlineStr">
        <is>
          <t>Associate Head – Admin &amp; Internal Audit</t>
        </is>
      </c>
      <c r="F11" s="29" t="inlineStr">
        <is>
          <t>Band C · Head / manager</t>
        </is>
      </c>
      <c r="G11" s="29" t="inlineStr">
        <is>
          <t>Finance &amp; Accounts</t>
        </is>
      </c>
      <c r="H11" s="29" t="n">
        <v>1</v>
      </c>
      <c r="I11" s="29" t="inlineStr">
        <is>
          <t>Sudhakar Sawant</t>
        </is>
      </c>
      <c r="J11" s="34" t="str">
        <f>IFERROR(INDEX(RBD_C,MATCH("Finance &amp; Accounts|C1|C-M",RBD_KEY,0)),"M")</f>
        <v>H</v>
      </c>
      <c r="K11" s="35" t="str">
        <f>IFERROR(INDEX(RBD_Au,MATCH("Finance &amp; Accounts|C1|C-M",RBD_KEY,0)),"M")</f>
        <v>M</v>
      </c>
      <c r="L11" s="35" t="str">
        <f>IFERROR(INDEX(RBD_Ac,MATCH("Finance &amp; Accounts|C1|C-M",RBD_KEY,0)),"M")</f>
        <v>M</v>
      </c>
      <c r="M11" s="35" t="str">
        <f>IFERROR(INDEX(RBD_L,MATCH("Finance &amp; Accounts|C1|C-M",RBD_KEY,0)),"M")</f>
        <v>M</v>
      </c>
      <c r="N11" s="35" t="str">
        <f>IFERROR(INDEX(RBD_BI,MATCH("Finance &amp; Accounts|C1|C-M",RBD_KEY,0)),"M")</f>
        <v>L</v>
      </c>
      <c r="O11" s="35" t="str">
        <f>IFERROR(INDEX(RBD_Exp,MATCH("Finance &amp; Accounts|C1|C-M",RBD_KEY,0)),"M")</f>
        <v>L</v>
      </c>
      <c r="P11" s="35" t="str">
        <f>IFERROR(INDEX(RBD_Edu,MATCH("Finance &amp; Accounts|C1|C-M",RBD_KEY,0)),"M")</f>
        <v>L</v>
      </c>
      <c r="Q11" s="73">
        <f>IF(J11="","",IFERROR(INDEX(LMH_PTS,MATCH(J11,LMH_KEY,0))/SUM(IFERROR(INDEX(LMH_PTS,MATCH(J11,LMH_KEY,0)),0),IFERROR(INDEX(LMH_PTS,MATCH(K11,LMH_KEY,0)),0),IFERROR(INDEX(LMH_PTS,MATCH(L11,LMH_KEY,0)),0),IFERROR(INDEX(LMH_PTS,MATCH(M11,LMH_KEY,0)),0),IFERROR(INDEX(LMH_PTS,MATCH(N11,LMH_KEY,0)),0),IFERROR(INDEX(LMH_PTS,MATCH(O11,LMH_KEY,0)),0),IFERROR(INDEX(LMH_PTS,MATCH(P11,LMH_KEY,0)),0)),""))</f>
        <v>0.428571428571429</v>
      </c>
      <c r="R11" s="74">
        <f>IF(K11="","",IFERROR(INDEX(LMH_PTS,MATCH(K11,LMH_KEY,0))/SUM(IFERROR(INDEX(LMH_PTS,MATCH(J11,LMH_KEY,0)),0),IFERROR(INDEX(LMH_PTS,MATCH(K11,LMH_KEY,0)),0),IFERROR(INDEX(LMH_PTS,MATCH(L11,LMH_KEY,0)),0),IFERROR(INDEX(LMH_PTS,MATCH(M11,LMH_KEY,0)),0),IFERROR(INDEX(LMH_PTS,MATCH(N11,LMH_KEY,0)),0),IFERROR(INDEX(LMH_PTS,MATCH(O11,LMH_KEY,0)),0),IFERROR(INDEX(LMH_PTS,MATCH(P11,LMH_KEY,0)),0)),""))</f>
        <v>0.142857142857143</v>
      </c>
      <c r="S11" s="74">
        <f>IF(L11="","",IFERROR(INDEX(LMH_PTS,MATCH(L11,LMH_KEY,0))/SUM(IFERROR(INDEX(LMH_PTS,MATCH(J11,LMH_KEY,0)),0),IFERROR(INDEX(LMH_PTS,MATCH(K11,LMH_KEY,0)),0),IFERROR(INDEX(LMH_PTS,MATCH(L11,LMH_KEY,0)),0),IFERROR(INDEX(LMH_PTS,MATCH(M11,LMH_KEY,0)),0),IFERROR(INDEX(LMH_PTS,MATCH(N11,LMH_KEY,0)),0),IFERROR(INDEX(LMH_PTS,MATCH(O11,LMH_KEY,0)),0),IFERROR(INDEX(LMH_PTS,MATCH(P11,LMH_KEY,0)),0)),""))</f>
        <v>0.142857142857143</v>
      </c>
      <c r="T11" s="74">
        <f>IF(M11="","",IFERROR(INDEX(LMH_PTS,MATCH(M11,LMH_KEY,0))/SUM(IFERROR(INDEX(LMH_PTS,MATCH(J11,LMH_KEY,0)),0),IFERROR(INDEX(LMH_PTS,MATCH(K11,LMH_KEY,0)),0),IFERROR(INDEX(LMH_PTS,MATCH(L11,LMH_KEY,0)),0),IFERROR(INDEX(LMH_PTS,MATCH(M11,LMH_KEY,0)),0),IFERROR(INDEX(LMH_PTS,MATCH(N11,LMH_KEY,0)),0),IFERROR(INDEX(LMH_PTS,MATCH(O11,LMH_KEY,0)),0),IFERROR(INDEX(LMH_PTS,MATCH(P11,LMH_KEY,0)),0)),""))</f>
        <v>0.142857142857143</v>
      </c>
      <c r="U11" s="74">
        <f>IF(N11="","",IFERROR(INDEX(LMH_PTS,MATCH(N11,LMH_KEY,0))/SUM(IFERROR(INDEX(LMH_PTS,MATCH(J11,LMH_KEY,0)),0),IFERROR(INDEX(LMH_PTS,MATCH(K11,LMH_KEY,0)),0),IFERROR(INDEX(LMH_PTS,MATCH(L11,LMH_KEY,0)),0),IFERROR(INDEX(LMH_PTS,MATCH(M11,LMH_KEY,0)),0),IFERROR(INDEX(LMH_PTS,MATCH(N11,LMH_KEY,0)),0),IFERROR(INDEX(LMH_PTS,MATCH(O11,LMH_KEY,0)),0),IFERROR(INDEX(LMH_PTS,MATCH(P11,LMH_KEY,0)),0)),""))</f>
        <v>0.0476190476190476</v>
      </c>
      <c r="V11" s="74">
        <f>IF(O11="","",IFERROR(INDEX(LMH_PTS,MATCH(O11,LMH_KEY,0))/SUM(IFERROR(INDEX(LMH_PTS,MATCH(J11,LMH_KEY,0)),0),IFERROR(INDEX(LMH_PTS,MATCH(K11,LMH_KEY,0)),0),IFERROR(INDEX(LMH_PTS,MATCH(L11,LMH_KEY,0)),0),IFERROR(INDEX(LMH_PTS,MATCH(M11,LMH_KEY,0)),0),IFERROR(INDEX(LMH_PTS,MATCH(N11,LMH_KEY,0)),0),IFERROR(INDEX(LMH_PTS,MATCH(O11,LMH_KEY,0)),0),IFERROR(INDEX(LMH_PTS,MATCH(P11,LMH_KEY,0)),0)),""))</f>
        <v>0.0476190476190476</v>
      </c>
      <c r="W11" s="74">
        <f>IF(P11="","",IFERROR(INDEX(LMH_PTS,MATCH(P11,LMH_KEY,0))/SUM(IFERROR(INDEX(LMH_PTS,MATCH(J11,LMH_KEY,0)),0),IFERROR(INDEX(LMH_PTS,MATCH(K11,LMH_KEY,0)),0),IFERROR(INDEX(LMH_PTS,MATCH(L11,LMH_KEY,0)),0),IFERROR(INDEX(LMH_PTS,MATCH(M11,LMH_KEY,0)),0),IFERROR(INDEX(LMH_PTS,MATCH(N11,LMH_KEY,0)),0),IFERROR(INDEX(LMH_PTS,MATCH(O11,LMH_KEY,0)),0),IFERROR(INDEX(LMH_PTS,MATCH(P11,LMH_KEY,0)),0)),""))</f>
        <v>0.0476190476190476</v>
      </c>
      <c r="X11" s="44" t="n"/>
      <c r="Y11" s="38" t="inlineStr">
        <is>
          <t>Corporate|Finance|Associate Head – Admin &amp; Internal Audit|C1|C-M</t>
        </is>
      </c>
    </row>
    <row r="12" ht="28" customHeight="1">
      <c r="A12" s="28" t="inlineStr">
        <is>
          <t>Corporate</t>
        </is>
      </c>
      <c r="B12" s="29" t="inlineStr">
        <is>
          <t>Finance</t>
        </is>
      </c>
      <c r="C12" s="78" t="inlineStr">
        <is>
          <t>C1</t>
        </is>
      </c>
      <c r="D12" s="29" t="inlineStr">
        <is>
          <t>Band C · Principal / Head</t>
        </is>
      </c>
      <c r="E12" s="29" t="inlineStr">
        <is>
          <t>Associate Head – Finance &amp; Accounts</t>
        </is>
      </c>
      <c r="F12" s="29" t="inlineStr">
        <is>
          <t>Band C · Head / manager</t>
        </is>
      </c>
      <c r="G12" s="29" t="inlineStr">
        <is>
          <t>Finance &amp; Accounts</t>
        </is>
      </c>
      <c r="H12" s="29" t="n">
        <v>1</v>
      </c>
      <c r="I12" s="29" t="inlineStr">
        <is>
          <t>Nishant Gupta</t>
        </is>
      </c>
      <c r="J12" s="34" t="str">
        <f>IFERROR(INDEX(RBD_C,MATCH("Finance &amp; Accounts|C1|C-M",RBD_KEY,0)),"M")</f>
        <v>H</v>
      </c>
      <c r="K12" s="35" t="str">
        <f>IFERROR(INDEX(RBD_Au,MATCH("Finance &amp; Accounts|C1|C-M",RBD_KEY,0)),"M")</f>
        <v>M</v>
      </c>
      <c r="L12" s="35" t="str">
        <f>IFERROR(INDEX(RBD_Ac,MATCH("Finance &amp; Accounts|C1|C-M",RBD_KEY,0)),"M")</f>
        <v>M</v>
      </c>
      <c r="M12" s="35" t="str">
        <f>IFERROR(INDEX(RBD_L,MATCH("Finance &amp; Accounts|C1|C-M",RBD_KEY,0)),"M")</f>
        <v>M</v>
      </c>
      <c r="N12" s="35" t="str">
        <f>IFERROR(INDEX(RBD_BI,MATCH("Finance &amp; Accounts|C1|C-M",RBD_KEY,0)),"M")</f>
        <v>L</v>
      </c>
      <c r="O12" s="35" t="str">
        <f>IFERROR(INDEX(RBD_Exp,MATCH("Finance &amp; Accounts|C1|C-M",RBD_KEY,0)),"M")</f>
        <v>L</v>
      </c>
      <c r="P12" s="35" t="str">
        <f>IFERROR(INDEX(RBD_Edu,MATCH("Finance &amp; Accounts|C1|C-M",RBD_KEY,0)),"M")</f>
        <v>L</v>
      </c>
      <c r="Q12" s="73">
        <f>IF(J12="","",IFERROR(INDEX(LMH_PTS,MATCH(J12,LMH_KEY,0))/SUM(IFERROR(INDEX(LMH_PTS,MATCH(J12,LMH_KEY,0)),0),IFERROR(INDEX(LMH_PTS,MATCH(K12,LMH_KEY,0)),0),IFERROR(INDEX(LMH_PTS,MATCH(L12,LMH_KEY,0)),0),IFERROR(INDEX(LMH_PTS,MATCH(M12,LMH_KEY,0)),0),IFERROR(INDEX(LMH_PTS,MATCH(N12,LMH_KEY,0)),0),IFERROR(INDEX(LMH_PTS,MATCH(O12,LMH_KEY,0)),0),IFERROR(INDEX(LMH_PTS,MATCH(P12,LMH_KEY,0)),0)),""))</f>
        <v>0.428571428571429</v>
      </c>
      <c r="R12" s="74">
        <f>IF(K12="","",IFERROR(INDEX(LMH_PTS,MATCH(K12,LMH_KEY,0))/SUM(IFERROR(INDEX(LMH_PTS,MATCH(J12,LMH_KEY,0)),0),IFERROR(INDEX(LMH_PTS,MATCH(K12,LMH_KEY,0)),0),IFERROR(INDEX(LMH_PTS,MATCH(L12,LMH_KEY,0)),0),IFERROR(INDEX(LMH_PTS,MATCH(M12,LMH_KEY,0)),0),IFERROR(INDEX(LMH_PTS,MATCH(N12,LMH_KEY,0)),0),IFERROR(INDEX(LMH_PTS,MATCH(O12,LMH_KEY,0)),0),IFERROR(INDEX(LMH_PTS,MATCH(P12,LMH_KEY,0)),0)),""))</f>
        <v>0.142857142857143</v>
      </c>
      <c r="S12" s="74">
        <f>IF(L12="","",IFERROR(INDEX(LMH_PTS,MATCH(L12,LMH_KEY,0))/SUM(IFERROR(INDEX(LMH_PTS,MATCH(J12,LMH_KEY,0)),0),IFERROR(INDEX(LMH_PTS,MATCH(K12,LMH_KEY,0)),0),IFERROR(INDEX(LMH_PTS,MATCH(L12,LMH_KEY,0)),0),IFERROR(INDEX(LMH_PTS,MATCH(M12,LMH_KEY,0)),0),IFERROR(INDEX(LMH_PTS,MATCH(N12,LMH_KEY,0)),0),IFERROR(INDEX(LMH_PTS,MATCH(O12,LMH_KEY,0)),0),IFERROR(INDEX(LMH_PTS,MATCH(P12,LMH_KEY,0)),0)),""))</f>
        <v>0.142857142857143</v>
      </c>
      <c r="T12" s="74">
        <f>IF(M12="","",IFERROR(INDEX(LMH_PTS,MATCH(M12,LMH_KEY,0))/SUM(IFERROR(INDEX(LMH_PTS,MATCH(J12,LMH_KEY,0)),0),IFERROR(INDEX(LMH_PTS,MATCH(K12,LMH_KEY,0)),0),IFERROR(INDEX(LMH_PTS,MATCH(L12,LMH_KEY,0)),0),IFERROR(INDEX(LMH_PTS,MATCH(M12,LMH_KEY,0)),0),IFERROR(INDEX(LMH_PTS,MATCH(N12,LMH_KEY,0)),0),IFERROR(INDEX(LMH_PTS,MATCH(O12,LMH_KEY,0)),0),IFERROR(INDEX(LMH_PTS,MATCH(P12,LMH_KEY,0)),0)),""))</f>
        <v>0.142857142857143</v>
      </c>
      <c r="U12" s="74">
        <f>IF(N12="","",IFERROR(INDEX(LMH_PTS,MATCH(N12,LMH_KEY,0))/SUM(IFERROR(INDEX(LMH_PTS,MATCH(J12,LMH_KEY,0)),0),IFERROR(INDEX(LMH_PTS,MATCH(K12,LMH_KEY,0)),0),IFERROR(INDEX(LMH_PTS,MATCH(L12,LMH_KEY,0)),0),IFERROR(INDEX(LMH_PTS,MATCH(M12,LMH_KEY,0)),0),IFERROR(INDEX(LMH_PTS,MATCH(N12,LMH_KEY,0)),0),IFERROR(INDEX(LMH_PTS,MATCH(O12,LMH_KEY,0)),0),IFERROR(INDEX(LMH_PTS,MATCH(P12,LMH_KEY,0)),0)),""))</f>
        <v>0.0476190476190476</v>
      </c>
      <c r="V12" s="74">
        <f>IF(O12="","",IFERROR(INDEX(LMH_PTS,MATCH(O12,LMH_KEY,0))/SUM(IFERROR(INDEX(LMH_PTS,MATCH(J12,LMH_KEY,0)),0),IFERROR(INDEX(LMH_PTS,MATCH(K12,LMH_KEY,0)),0),IFERROR(INDEX(LMH_PTS,MATCH(L12,LMH_KEY,0)),0),IFERROR(INDEX(LMH_PTS,MATCH(M12,LMH_KEY,0)),0),IFERROR(INDEX(LMH_PTS,MATCH(N12,LMH_KEY,0)),0),IFERROR(INDEX(LMH_PTS,MATCH(O12,LMH_KEY,0)),0),IFERROR(INDEX(LMH_PTS,MATCH(P12,LMH_KEY,0)),0)),""))</f>
        <v>0.0476190476190476</v>
      </c>
      <c r="W12" s="74">
        <f>IF(P12="","",IFERROR(INDEX(LMH_PTS,MATCH(P12,LMH_KEY,0))/SUM(IFERROR(INDEX(LMH_PTS,MATCH(J12,LMH_KEY,0)),0),IFERROR(INDEX(LMH_PTS,MATCH(K12,LMH_KEY,0)),0),IFERROR(INDEX(LMH_PTS,MATCH(L12,LMH_KEY,0)),0),IFERROR(INDEX(LMH_PTS,MATCH(M12,LMH_KEY,0)),0),IFERROR(INDEX(LMH_PTS,MATCH(N12,LMH_KEY,0)),0),IFERROR(INDEX(LMH_PTS,MATCH(O12,LMH_KEY,0)),0),IFERROR(INDEX(LMH_PTS,MATCH(P12,LMH_KEY,0)),0)),""))</f>
        <v>0.0476190476190476</v>
      </c>
      <c r="X12" s="44" t="n"/>
      <c r="Y12" s="38" t="inlineStr">
        <is>
          <t>Corporate|Finance|Associate Head – Finance &amp; Accounts|C1|C-M</t>
        </is>
      </c>
    </row>
    <row r="13" ht="28" customHeight="1">
      <c r="A13" s="28" t="inlineStr">
        <is>
          <t>Corporate</t>
        </is>
      </c>
      <c r="B13" s="29" t="inlineStr">
        <is>
          <t>Finance</t>
        </is>
      </c>
      <c r="C13" s="72" t="inlineStr">
        <is>
          <t>B2</t>
        </is>
      </c>
      <c r="D13" s="29" t="inlineStr">
        <is>
          <t>Band B · Specialist / Manager</t>
        </is>
      </c>
      <c r="E13" s="29" t="inlineStr">
        <is>
          <t>Senior Finance Specialist – POD Lead</t>
        </is>
      </c>
      <c r="F13" s="29" t="inlineStr">
        <is>
          <t>Band B · Specialist / POD Lead</t>
        </is>
      </c>
      <c r="G13" s="29" t="inlineStr">
        <is>
          <t>Finance &amp; Accounts</t>
        </is>
      </c>
      <c r="H13" s="29" t="n">
        <v>1</v>
      </c>
      <c r="I13" s="29" t="inlineStr">
        <is>
          <t>Winny Nair</t>
        </is>
      </c>
      <c r="J13" s="34" t="str">
        <f>IFERROR(INDEX(RBD_C,MATCH("Finance &amp; Accounts|B2|B-IC",RBD_KEY,0)),"M")</f>
        <v>H</v>
      </c>
      <c r="K13" s="35" t="str">
        <f>IFERROR(INDEX(RBD_Au,MATCH("Finance &amp; Accounts|B2|B-IC",RBD_KEY,0)),"M")</f>
        <v>M</v>
      </c>
      <c r="L13" s="35" t="str">
        <f>IFERROR(INDEX(RBD_Ac,MATCH("Finance &amp; Accounts|B2|B-IC",RBD_KEY,0)),"M")</f>
        <v>M</v>
      </c>
      <c r="M13" s="35" t="str">
        <f>IFERROR(INDEX(RBD_L,MATCH("Finance &amp; Accounts|B2|B-IC",RBD_KEY,0)),"M")</f>
        <v>L</v>
      </c>
      <c r="N13" s="35" t="str">
        <f>IFERROR(INDEX(RBD_BI,MATCH("Finance &amp; Accounts|B2|B-IC",RBD_KEY,0)),"M")</f>
        <v>L</v>
      </c>
      <c r="O13" s="35" t="str">
        <f>IFERROR(INDEX(RBD_Exp,MATCH("Finance &amp; Accounts|B2|B-IC",RBD_KEY,0)),"M")</f>
        <v>L</v>
      </c>
      <c r="P13" s="35" t="str">
        <f>IFERROR(INDEX(RBD_Edu,MATCH("Finance &amp; Accounts|B2|B-IC",RBD_KEY,0)),"M")</f>
        <v>L</v>
      </c>
      <c r="Q13" s="73">
        <f>IF(J13="","",IFERROR(INDEX(LMH_PTS,MATCH(J13,LMH_KEY,0))/SUM(IFERROR(INDEX(LMH_PTS,MATCH(J13,LMH_KEY,0)),0),IFERROR(INDEX(LMH_PTS,MATCH(K13,LMH_KEY,0)),0),IFERROR(INDEX(LMH_PTS,MATCH(L13,LMH_KEY,0)),0),IFERROR(INDEX(LMH_PTS,MATCH(M13,LMH_KEY,0)),0),IFERROR(INDEX(LMH_PTS,MATCH(N13,LMH_KEY,0)),0),IFERROR(INDEX(LMH_PTS,MATCH(O13,LMH_KEY,0)),0),IFERROR(INDEX(LMH_PTS,MATCH(P13,LMH_KEY,0)),0)),""))</f>
        <v>0.473684210526316</v>
      </c>
      <c r="R13" s="74">
        <f>IF(K13="","",IFERROR(INDEX(LMH_PTS,MATCH(K13,LMH_KEY,0))/SUM(IFERROR(INDEX(LMH_PTS,MATCH(J13,LMH_KEY,0)),0),IFERROR(INDEX(LMH_PTS,MATCH(K13,LMH_KEY,0)),0),IFERROR(INDEX(LMH_PTS,MATCH(L13,LMH_KEY,0)),0),IFERROR(INDEX(LMH_PTS,MATCH(M13,LMH_KEY,0)),0),IFERROR(INDEX(LMH_PTS,MATCH(N13,LMH_KEY,0)),0),IFERROR(INDEX(LMH_PTS,MATCH(O13,LMH_KEY,0)),0),IFERROR(INDEX(LMH_PTS,MATCH(P13,LMH_KEY,0)),0)),""))</f>
        <v>0.157894736842105</v>
      </c>
      <c r="S13" s="74">
        <f>IF(L13="","",IFERROR(INDEX(LMH_PTS,MATCH(L13,LMH_KEY,0))/SUM(IFERROR(INDEX(LMH_PTS,MATCH(J13,LMH_KEY,0)),0),IFERROR(INDEX(LMH_PTS,MATCH(K13,LMH_KEY,0)),0),IFERROR(INDEX(LMH_PTS,MATCH(L13,LMH_KEY,0)),0),IFERROR(INDEX(LMH_PTS,MATCH(M13,LMH_KEY,0)),0),IFERROR(INDEX(LMH_PTS,MATCH(N13,LMH_KEY,0)),0),IFERROR(INDEX(LMH_PTS,MATCH(O13,LMH_KEY,0)),0),IFERROR(INDEX(LMH_PTS,MATCH(P13,LMH_KEY,0)),0)),""))</f>
        <v>0.157894736842105</v>
      </c>
      <c r="T13" s="74">
        <f>IF(M13="","",IFERROR(INDEX(LMH_PTS,MATCH(M13,LMH_KEY,0))/SUM(IFERROR(INDEX(LMH_PTS,MATCH(J13,LMH_KEY,0)),0),IFERROR(INDEX(LMH_PTS,MATCH(K13,LMH_KEY,0)),0),IFERROR(INDEX(LMH_PTS,MATCH(L13,LMH_KEY,0)),0),IFERROR(INDEX(LMH_PTS,MATCH(M13,LMH_KEY,0)),0),IFERROR(INDEX(LMH_PTS,MATCH(N13,LMH_KEY,0)),0),IFERROR(INDEX(LMH_PTS,MATCH(O13,LMH_KEY,0)),0),IFERROR(INDEX(LMH_PTS,MATCH(P13,LMH_KEY,0)),0)),""))</f>
        <v>0.0526315789473684</v>
      </c>
      <c r="U13" s="74">
        <f>IF(N13="","",IFERROR(INDEX(LMH_PTS,MATCH(N13,LMH_KEY,0))/SUM(IFERROR(INDEX(LMH_PTS,MATCH(J13,LMH_KEY,0)),0),IFERROR(INDEX(LMH_PTS,MATCH(K13,LMH_KEY,0)),0),IFERROR(INDEX(LMH_PTS,MATCH(L13,LMH_KEY,0)),0),IFERROR(INDEX(LMH_PTS,MATCH(M13,LMH_KEY,0)),0),IFERROR(INDEX(LMH_PTS,MATCH(N13,LMH_KEY,0)),0),IFERROR(INDEX(LMH_PTS,MATCH(O13,LMH_KEY,0)),0),IFERROR(INDEX(LMH_PTS,MATCH(P13,LMH_KEY,0)),0)),""))</f>
        <v>0.0526315789473684</v>
      </c>
      <c r="V13" s="74">
        <f>IF(O13="","",IFERROR(INDEX(LMH_PTS,MATCH(O13,LMH_KEY,0))/SUM(IFERROR(INDEX(LMH_PTS,MATCH(J13,LMH_KEY,0)),0),IFERROR(INDEX(LMH_PTS,MATCH(K13,LMH_KEY,0)),0),IFERROR(INDEX(LMH_PTS,MATCH(L13,LMH_KEY,0)),0),IFERROR(INDEX(LMH_PTS,MATCH(M13,LMH_KEY,0)),0),IFERROR(INDEX(LMH_PTS,MATCH(N13,LMH_KEY,0)),0),IFERROR(INDEX(LMH_PTS,MATCH(O13,LMH_KEY,0)),0),IFERROR(INDEX(LMH_PTS,MATCH(P13,LMH_KEY,0)),0)),""))</f>
        <v>0.0526315789473684</v>
      </c>
      <c r="W13" s="74">
        <f>IF(P13="","",IFERROR(INDEX(LMH_PTS,MATCH(P13,LMH_KEY,0))/SUM(IFERROR(INDEX(LMH_PTS,MATCH(J13,LMH_KEY,0)),0),IFERROR(INDEX(LMH_PTS,MATCH(K13,LMH_KEY,0)),0),IFERROR(INDEX(LMH_PTS,MATCH(L13,LMH_KEY,0)),0),IFERROR(INDEX(LMH_PTS,MATCH(M13,LMH_KEY,0)),0),IFERROR(INDEX(LMH_PTS,MATCH(N13,LMH_KEY,0)),0),IFERROR(INDEX(LMH_PTS,MATCH(O13,LMH_KEY,0)),0),IFERROR(INDEX(LMH_PTS,MATCH(P13,LMH_KEY,0)),0)),""))</f>
        <v>0.0526315789473684</v>
      </c>
      <c r="X13" s="44" t="n"/>
      <c r="Y13" s="38" t="inlineStr">
        <is>
          <t>Corporate|Finance|Senior Finance Specialist – POD Lead|B2|B-IC</t>
        </is>
      </c>
    </row>
    <row r="14" ht="28" customHeight="1">
      <c r="A14" s="28" t="inlineStr">
        <is>
          <t>Corporate</t>
        </is>
      </c>
      <c r="B14" s="29" t="inlineStr">
        <is>
          <t>Finance</t>
        </is>
      </c>
      <c r="C14" s="72" t="inlineStr">
        <is>
          <t>B1</t>
        </is>
      </c>
      <c r="D14" s="29" t="inlineStr">
        <is>
          <t>Band B · Specialist / Manager</t>
        </is>
      </c>
      <c r="E14" s="29" t="inlineStr">
        <is>
          <t>Finance Specialist</t>
        </is>
      </c>
      <c r="F14" s="29" t="inlineStr">
        <is>
          <t>Band B · Specialist / POD Lead</t>
        </is>
      </c>
      <c r="G14" s="29" t="inlineStr">
        <is>
          <t>Finance &amp; Accounts</t>
        </is>
      </c>
      <c r="H14" s="29" t="n">
        <v>2</v>
      </c>
      <c r="I14" s="29" t="inlineStr">
        <is>
          <t>Lalit Choudhary, Radhika Karnani</t>
        </is>
      </c>
      <c r="J14" s="34" t="str">
        <f>IFERROR(INDEX(RBD_C,MATCH("Finance &amp; Accounts|B1|B-IC",RBD_KEY,0)),"M")</f>
        <v>H</v>
      </c>
      <c r="K14" s="35" t="str">
        <f>IFERROR(INDEX(RBD_Au,MATCH("Finance &amp; Accounts|B1|B-IC",RBD_KEY,0)),"M")</f>
        <v>M</v>
      </c>
      <c r="L14" s="35" t="str">
        <f>IFERROR(INDEX(RBD_Ac,MATCH("Finance &amp; Accounts|B1|B-IC",RBD_KEY,0)),"M")</f>
        <v>M</v>
      </c>
      <c r="M14" s="35" t="str">
        <f>IFERROR(INDEX(RBD_L,MATCH("Finance &amp; Accounts|B1|B-IC",RBD_KEY,0)),"M")</f>
        <v>L</v>
      </c>
      <c r="N14" s="35" t="str">
        <f>IFERROR(INDEX(RBD_BI,MATCH("Finance &amp; Accounts|B1|B-IC",RBD_KEY,0)),"M")</f>
        <v>L</v>
      </c>
      <c r="O14" s="35" t="str">
        <f>IFERROR(INDEX(RBD_Exp,MATCH("Finance &amp; Accounts|B1|B-IC",RBD_KEY,0)),"M")</f>
        <v>L</v>
      </c>
      <c r="P14" s="35" t="str">
        <f>IFERROR(INDEX(RBD_Edu,MATCH("Finance &amp; Accounts|B1|B-IC",RBD_KEY,0)),"M")</f>
        <v>L</v>
      </c>
      <c r="Q14" s="73">
        <f>IF(J14="","",IFERROR(INDEX(LMH_PTS,MATCH(J14,LMH_KEY,0))/SUM(IFERROR(INDEX(LMH_PTS,MATCH(J14,LMH_KEY,0)),0),IFERROR(INDEX(LMH_PTS,MATCH(K14,LMH_KEY,0)),0),IFERROR(INDEX(LMH_PTS,MATCH(L14,LMH_KEY,0)),0),IFERROR(INDEX(LMH_PTS,MATCH(M14,LMH_KEY,0)),0),IFERROR(INDEX(LMH_PTS,MATCH(N14,LMH_KEY,0)),0),IFERROR(INDEX(LMH_PTS,MATCH(O14,LMH_KEY,0)),0),IFERROR(INDEX(LMH_PTS,MATCH(P14,LMH_KEY,0)),0)),""))</f>
        <v>0.473684210526316</v>
      </c>
      <c r="R14" s="74">
        <f>IF(K14="","",IFERROR(INDEX(LMH_PTS,MATCH(K14,LMH_KEY,0))/SUM(IFERROR(INDEX(LMH_PTS,MATCH(J14,LMH_KEY,0)),0),IFERROR(INDEX(LMH_PTS,MATCH(K14,LMH_KEY,0)),0),IFERROR(INDEX(LMH_PTS,MATCH(L14,LMH_KEY,0)),0),IFERROR(INDEX(LMH_PTS,MATCH(M14,LMH_KEY,0)),0),IFERROR(INDEX(LMH_PTS,MATCH(N14,LMH_KEY,0)),0),IFERROR(INDEX(LMH_PTS,MATCH(O14,LMH_KEY,0)),0),IFERROR(INDEX(LMH_PTS,MATCH(P14,LMH_KEY,0)),0)),""))</f>
        <v>0.157894736842105</v>
      </c>
      <c r="S14" s="74">
        <f>IF(L14="","",IFERROR(INDEX(LMH_PTS,MATCH(L14,LMH_KEY,0))/SUM(IFERROR(INDEX(LMH_PTS,MATCH(J14,LMH_KEY,0)),0),IFERROR(INDEX(LMH_PTS,MATCH(K14,LMH_KEY,0)),0),IFERROR(INDEX(LMH_PTS,MATCH(L14,LMH_KEY,0)),0),IFERROR(INDEX(LMH_PTS,MATCH(M14,LMH_KEY,0)),0),IFERROR(INDEX(LMH_PTS,MATCH(N14,LMH_KEY,0)),0),IFERROR(INDEX(LMH_PTS,MATCH(O14,LMH_KEY,0)),0),IFERROR(INDEX(LMH_PTS,MATCH(P14,LMH_KEY,0)),0)),""))</f>
        <v>0.157894736842105</v>
      </c>
      <c r="T14" s="74">
        <f>IF(M14="","",IFERROR(INDEX(LMH_PTS,MATCH(M14,LMH_KEY,0))/SUM(IFERROR(INDEX(LMH_PTS,MATCH(J14,LMH_KEY,0)),0),IFERROR(INDEX(LMH_PTS,MATCH(K14,LMH_KEY,0)),0),IFERROR(INDEX(LMH_PTS,MATCH(L14,LMH_KEY,0)),0),IFERROR(INDEX(LMH_PTS,MATCH(M14,LMH_KEY,0)),0),IFERROR(INDEX(LMH_PTS,MATCH(N14,LMH_KEY,0)),0),IFERROR(INDEX(LMH_PTS,MATCH(O14,LMH_KEY,0)),0),IFERROR(INDEX(LMH_PTS,MATCH(P14,LMH_KEY,0)),0)),""))</f>
        <v>0.0526315789473684</v>
      </c>
      <c r="U14" s="74">
        <f>IF(N14="","",IFERROR(INDEX(LMH_PTS,MATCH(N14,LMH_KEY,0))/SUM(IFERROR(INDEX(LMH_PTS,MATCH(J14,LMH_KEY,0)),0),IFERROR(INDEX(LMH_PTS,MATCH(K14,LMH_KEY,0)),0),IFERROR(INDEX(LMH_PTS,MATCH(L14,LMH_KEY,0)),0),IFERROR(INDEX(LMH_PTS,MATCH(M14,LMH_KEY,0)),0),IFERROR(INDEX(LMH_PTS,MATCH(N14,LMH_KEY,0)),0),IFERROR(INDEX(LMH_PTS,MATCH(O14,LMH_KEY,0)),0),IFERROR(INDEX(LMH_PTS,MATCH(P14,LMH_KEY,0)),0)),""))</f>
        <v>0.0526315789473684</v>
      </c>
      <c r="V14" s="74">
        <f>IF(O14="","",IFERROR(INDEX(LMH_PTS,MATCH(O14,LMH_KEY,0))/SUM(IFERROR(INDEX(LMH_PTS,MATCH(J14,LMH_KEY,0)),0),IFERROR(INDEX(LMH_PTS,MATCH(K14,LMH_KEY,0)),0),IFERROR(INDEX(LMH_PTS,MATCH(L14,LMH_KEY,0)),0),IFERROR(INDEX(LMH_PTS,MATCH(M14,LMH_KEY,0)),0),IFERROR(INDEX(LMH_PTS,MATCH(N14,LMH_KEY,0)),0),IFERROR(INDEX(LMH_PTS,MATCH(O14,LMH_KEY,0)),0),IFERROR(INDEX(LMH_PTS,MATCH(P14,LMH_KEY,0)),0)),""))</f>
        <v>0.0526315789473684</v>
      </c>
      <c r="W14" s="74">
        <f>IF(P14="","",IFERROR(INDEX(LMH_PTS,MATCH(P14,LMH_KEY,0))/SUM(IFERROR(INDEX(LMH_PTS,MATCH(J14,LMH_KEY,0)),0),IFERROR(INDEX(LMH_PTS,MATCH(K14,LMH_KEY,0)),0),IFERROR(INDEX(LMH_PTS,MATCH(L14,LMH_KEY,0)),0),IFERROR(INDEX(LMH_PTS,MATCH(M14,LMH_KEY,0)),0),IFERROR(INDEX(LMH_PTS,MATCH(N14,LMH_KEY,0)),0),IFERROR(INDEX(LMH_PTS,MATCH(O14,LMH_KEY,0)),0),IFERROR(INDEX(LMH_PTS,MATCH(P14,LMH_KEY,0)),0)),""))</f>
        <v>0.0526315789473684</v>
      </c>
      <c r="X14" s="44" t="n"/>
      <c r="Y14" s="38" t="inlineStr">
        <is>
          <t>Corporate|Finance|Finance Specialist|B1|B-IC</t>
        </is>
      </c>
    </row>
    <row r="15" ht="28" customHeight="1">
      <c r="A15" s="28" t="inlineStr">
        <is>
          <t>Corporate</t>
        </is>
      </c>
      <c r="B15" s="29" t="inlineStr">
        <is>
          <t>Finance</t>
        </is>
      </c>
      <c r="C15" s="72" t="inlineStr">
        <is>
          <t>B1</t>
        </is>
      </c>
      <c r="D15" s="29" t="inlineStr">
        <is>
          <t>Band B · Specialist / Manager</t>
        </is>
      </c>
      <c r="E15" s="29" t="inlineStr">
        <is>
          <t>Finance Specialist – POD Lead</t>
        </is>
      </c>
      <c r="F15" s="29" t="inlineStr">
        <is>
          <t>Band B · Specialist / POD Lead</t>
        </is>
      </c>
      <c r="G15" s="29" t="inlineStr">
        <is>
          <t>Finance &amp; Accounts</t>
        </is>
      </c>
      <c r="H15" s="29" t="n">
        <v>1</v>
      </c>
      <c r="I15" s="29" t="inlineStr">
        <is>
          <t>Shreya Singh</t>
        </is>
      </c>
      <c r="J15" s="34" t="str">
        <f>IFERROR(INDEX(RBD_C,MATCH("Finance &amp; Accounts|B1|B-IC",RBD_KEY,0)),"M")</f>
        <v>H</v>
      </c>
      <c r="K15" s="35" t="str">
        <f>IFERROR(INDEX(RBD_Au,MATCH("Finance &amp; Accounts|B1|B-IC",RBD_KEY,0)),"M")</f>
        <v>M</v>
      </c>
      <c r="L15" s="35" t="str">
        <f>IFERROR(INDEX(RBD_Ac,MATCH("Finance &amp; Accounts|B1|B-IC",RBD_KEY,0)),"M")</f>
        <v>M</v>
      </c>
      <c r="M15" s="35" t="str">
        <f>IFERROR(INDEX(RBD_L,MATCH("Finance &amp; Accounts|B1|B-IC",RBD_KEY,0)),"M")</f>
        <v>L</v>
      </c>
      <c r="N15" s="35" t="str">
        <f>IFERROR(INDEX(RBD_BI,MATCH("Finance &amp; Accounts|B1|B-IC",RBD_KEY,0)),"M")</f>
        <v>L</v>
      </c>
      <c r="O15" s="35" t="str">
        <f>IFERROR(INDEX(RBD_Exp,MATCH("Finance &amp; Accounts|B1|B-IC",RBD_KEY,0)),"M")</f>
        <v>L</v>
      </c>
      <c r="P15" s="35" t="str">
        <f>IFERROR(INDEX(RBD_Edu,MATCH("Finance &amp; Accounts|B1|B-IC",RBD_KEY,0)),"M")</f>
        <v>L</v>
      </c>
      <c r="Q15" s="73">
        <f>IF(J15="","",IFERROR(INDEX(LMH_PTS,MATCH(J15,LMH_KEY,0))/SUM(IFERROR(INDEX(LMH_PTS,MATCH(J15,LMH_KEY,0)),0),IFERROR(INDEX(LMH_PTS,MATCH(K15,LMH_KEY,0)),0),IFERROR(INDEX(LMH_PTS,MATCH(L15,LMH_KEY,0)),0),IFERROR(INDEX(LMH_PTS,MATCH(M15,LMH_KEY,0)),0),IFERROR(INDEX(LMH_PTS,MATCH(N15,LMH_KEY,0)),0),IFERROR(INDEX(LMH_PTS,MATCH(O15,LMH_KEY,0)),0),IFERROR(INDEX(LMH_PTS,MATCH(P15,LMH_KEY,0)),0)),""))</f>
        <v>0.473684210526316</v>
      </c>
      <c r="R15" s="74">
        <f>IF(K15="","",IFERROR(INDEX(LMH_PTS,MATCH(K15,LMH_KEY,0))/SUM(IFERROR(INDEX(LMH_PTS,MATCH(J15,LMH_KEY,0)),0),IFERROR(INDEX(LMH_PTS,MATCH(K15,LMH_KEY,0)),0),IFERROR(INDEX(LMH_PTS,MATCH(L15,LMH_KEY,0)),0),IFERROR(INDEX(LMH_PTS,MATCH(M15,LMH_KEY,0)),0),IFERROR(INDEX(LMH_PTS,MATCH(N15,LMH_KEY,0)),0),IFERROR(INDEX(LMH_PTS,MATCH(O15,LMH_KEY,0)),0),IFERROR(INDEX(LMH_PTS,MATCH(P15,LMH_KEY,0)),0)),""))</f>
        <v>0.157894736842105</v>
      </c>
      <c r="S15" s="74">
        <f>IF(L15="","",IFERROR(INDEX(LMH_PTS,MATCH(L15,LMH_KEY,0))/SUM(IFERROR(INDEX(LMH_PTS,MATCH(J15,LMH_KEY,0)),0),IFERROR(INDEX(LMH_PTS,MATCH(K15,LMH_KEY,0)),0),IFERROR(INDEX(LMH_PTS,MATCH(L15,LMH_KEY,0)),0),IFERROR(INDEX(LMH_PTS,MATCH(M15,LMH_KEY,0)),0),IFERROR(INDEX(LMH_PTS,MATCH(N15,LMH_KEY,0)),0),IFERROR(INDEX(LMH_PTS,MATCH(O15,LMH_KEY,0)),0),IFERROR(INDEX(LMH_PTS,MATCH(P15,LMH_KEY,0)),0)),""))</f>
        <v>0.157894736842105</v>
      </c>
      <c r="T15" s="74">
        <f>IF(M15="","",IFERROR(INDEX(LMH_PTS,MATCH(M15,LMH_KEY,0))/SUM(IFERROR(INDEX(LMH_PTS,MATCH(J15,LMH_KEY,0)),0),IFERROR(INDEX(LMH_PTS,MATCH(K15,LMH_KEY,0)),0),IFERROR(INDEX(LMH_PTS,MATCH(L15,LMH_KEY,0)),0),IFERROR(INDEX(LMH_PTS,MATCH(M15,LMH_KEY,0)),0),IFERROR(INDEX(LMH_PTS,MATCH(N15,LMH_KEY,0)),0),IFERROR(INDEX(LMH_PTS,MATCH(O15,LMH_KEY,0)),0),IFERROR(INDEX(LMH_PTS,MATCH(P15,LMH_KEY,0)),0)),""))</f>
        <v>0.0526315789473684</v>
      </c>
      <c r="U15" s="74">
        <f>IF(N15="","",IFERROR(INDEX(LMH_PTS,MATCH(N15,LMH_KEY,0))/SUM(IFERROR(INDEX(LMH_PTS,MATCH(J15,LMH_KEY,0)),0),IFERROR(INDEX(LMH_PTS,MATCH(K15,LMH_KEY,0)),0),IFERROR(INDEX(LMH_PTS,MATCH(L15,LMH_KEY,0)),0),IFERROR(INDEX(LMH_PTS,MATCH(M15,LMH_KEY,0)),0),IFERROR(INDEX(LMH_PTS,MATCH(N15,LMH_KEY,0)),0),IFERROR(INDEX(LMH_PTS,MATCH(O15,LMH_KEY,0)),0),IFERROR(INDEX(LMH_PTS,MATCH(P15,LMH_KEY,0)),0)),""))</f>
        <v>0.0526315789473684</v>
      </c>
      <c r="V15" s="74">
        <f>IF(O15="","",IFERROR(INDEX(LMH_PTS,MATCH(O15,LMH_KEY,0))/SUM(IFERROR(INDEX(LMH_PTS,MATCH(J15,LMH_KEY,0)),0),IFERROR(INDEX(LMH_PTS,MATCH(K15,LMH_KEY,0)),0),IFERROR(INDEX(LMH_PTS,MATCH(L15,LMH_KEY,0)),0),IFERROR(INDEX(LMH_PTS,MATCH(M15,LMH_KEY,0)),0),IFERROR(INDEX(LMH_PTS,MATCH(N15,LMH_KEY,0)),0),IFERROR(INDEX(LMH_PTS,MATCH(O15,LMH_KEY,0)),0),IFERROR(INDEX(LMH_PTS,MATCH(P15,LMH_KEY,0)),0)),""))</f>
        <v>0.0526315789473684</v>
      </c>
      <c r="W15" s="74">
        <f>IF(P15="","",IFERROR(INDEX(LMH_PTS,MATCH(P15,LMH_KEY,0))/SUM(IFERROR(INDEX(LMH_PTS,MATCH(J15,LMH_KEY,0)),0),IFERROR(INDEX(LMH_PTS,MATCH(K15,LMH_KEY,0)),0),IFERROR(INDEX(LMH_PTS,MATCH(L15,LMH_KEY,0)),0),IFERROR(INDEX(LMH_PTS,MATCH(M15,LMH_KEY,0)),0),IFERROR(INDEX(LMH_PTS,MATCH(N15,LMH_KEY,0)),0),IFERROR(INDEX(LMH_PTS,MATCH(O15,LMH_KEY,0)),0),IFERROR(INDEX(LMH_PTS,MATCH(P15,LMH_KEY,0)),0)),""))</f>
        <v>0.0526315789473684</v>
      </c>
      <c r="X15" s="44" t="n"/>
      <c r="Y15" s="38" t="inlineStr">
        <is>
          <t>Corporate|Finance|Finance Specialist – POD Lead|B1|B-IC</t>
        </is>
      </c>
    </row>
    <row r="16" ht="28" customHeight="1">
      <c r="A16" s="28" t="inlineStr">
        <is>
          <t>Corporate</t>
        </is>
      </c>
      <c r="B16" s="29" t="inlineStr">
        <is>
          <t>Finance</t>
        </is>
      </c>
      <c r="C16" s="75" t="inlineStr">
        <is>
          <t>A3</t>
        </is>
      </c>
      <c r="D16" s="29" t="inlineStr">
        <is>
          <t>Band A · Practitioner</t>
        </is>
      </c>
      <c r="E16" s="29" t="inlineStr">
        <is>
          <t>Accounts Specialist – POD Lead</t>
        </is>
      </c>
      <c r="F16" s="29" t="inlineStr">
        <is>
          <t>Band A · all tracks</t>
        </is>
      </c>
      <c r="G16" s="29" t="inlineStr">
        <is>
          <t>Finance &amp; Accounts</t>
        </is>
      </c>
      <c r="H16" s="29" t="n">
        <v>2</v>
      </c>
      <c r="I16" s="29" t="inlineStr">
        <is>
          <t>Anita Chavan, Gaurangee Gaurav Tawde</t>
        </is>
      </c>
      <c r="J16" s="34" t="str">
        <f>IFERROR(INDEX(RBD_C,MATCH("Finance &amp; Accounts|A3|A",RBD_KEY,0)),"M")</f>
        <v>H</v>
      </c>
      <c r="K16" s="35" t="str">
        <f>IFERROR(INDEX(RBD_Au,MATCH("Finance &amp; Accounts|A3|A",RBD_KEY,0)),"M")</f>
        <v>M</v>
      </c>
      <c r="L16" s="35" t="str">
        <f>IFERROR(INDEX(RBD_Ac,MATCH("Finance &amp; Accounts|A3|A",RBD_KEY,0)),"M")</f>
        <v>M</v>
      </c>
      <c r="M16" s="35" t="str">
        <f>IFERROR(INDEX(RBD_L,MATCH("Finance &amp; Accounts|A3|A",RBD_KEY,0)),"M")</f>
        <v>L</v>
      </c>
      <c r="N16" s="35" t="str">
        <f>IFERROR(INDEX(RBD_BI,MATCH("Finance &amp; Accounts|A3|A",RBD_KEY,0)),"M")</f>
        <v>L</v>
      </c>
      <c r="O16" s="35" t="str">
        <f>IFERROR(INDEX(RBD_Exp,MATCH("Finance &amp; Accounts|A3|A",RBD_KEY,0)),"M")</f>
        <v>L</v>
      </c>
      <c r="P16" s="35" t="str">
        <f>IFERROR(INDEX(RBD_Edu,MATCH("Finance &amp; Accounts|A3|A",RBD_KEY,0)),"M")</f>
        <v>M</v>
      </c>
      <c r="Q16" s="73">
        <f>IF(J16="","",IFERROR(INDEX(LMH_PTS,MATCH(J16,LMH_KEY,0))/SUM(IFERROR(INDEX(LMH_PTS,MATCH(J16,LMH_KEY,0)),0),IFERROR(INDEX(LMH_PTS,MATCH(K16,LMH_KEY,0)),0),IFERROR(INDEX(LMH_PTS,MATCH(L16,LMH_KEY,0)),0),IFERROR(INDEX(LMH_PTS,MATCH(M16,LMH_KEY,0)),0),IFERROR(INDEX(LMH_PTS,MATCH(N16,LMH_KEY,0)),0),IFERROR(INDEX(LMH_PTS,MATCH(O16,LMH_KEY,0)),0),IFERROR(INDEX(LMH_PTS,MATCH(P16,LMH_KEY,0)),0)),""))</f>
        <v>0.428571428571429</v>
      </c>
      <c r="R16" s="74">
        <f>IF(K16="","",IFERROR(INDEX(LMH_PTS,MATCH(K16,LMH_KEY,0))/SUM(IFERROR(INDEX(LMH_PTS,MATCH(J16,LMH_KEY,0)),0),IFERROR(INDEX(LMH_PTS,MATCH(K16,LMH_KEY,0)),0),IFERROR(INDEX(LMH_PTS,MATCH(L16,LMH_KEY,0)),0),IFERROR(INDEX(LMH_PTS,MATCH(M16,LMH_KEY,0)),0),IFERROR(INDEX(LMH_PTS,MATCH(N16,LMH_KEY,0)),0),IFERROR(INDEX(LMH_PTS,MATCH(O16,LMH_KEY,0)),0),IFERROR(INDEX(LMH_PTS,MATCH(P16,LMH_KEY,0)),0)),""))</f>
        <v>0.142857142857143</v>
      </c>
      <c r="S16" s="74">
        <f>IF(L16="","",IFERROR(INDEX(LMH_PTS,MATCH(L16,LMH_KEY,0))/SUM(IFERROR(INDEX(LMH_PTS,MATCH(J16,LMH_KEY,0)),0),IFERROR(INDEX(LMH_PTS,MATCH(K16,LMH_KEY,0)),0),IFERROR(INDEX(LMH_PTS,MATCH(L16,LMH_KEY,0)),0),IFERROR(INDEX(LMH_PTS,MATCH(M16,LMH_KEY,0)),0),IFERROR(INDEX(LMH_PTS,MATCH(N16,LMH_KEY,0)),0),IFERROR(INDEX(LMH_PTS,MATCH(O16,LMH_KEY,0)),0),IFERROR(INDEX(LMH_PTS,MATCH(P16,LMH_KEY,0)),0)),""))</f>
        <v>0.142857142857143</v>
      </c>
      <c r="T16" s="74">
        <f>IF(M16="","",IFERROR(INDEX(LMH_PTS,MATCH(M16,LMH_KEY,0))/SUM(IFERROR(INDEX(LMH_PTS,MATCH(J16,LMH_KEY,0)),0),IFERROR(INDEX(LMH_PTS,MATCH(K16,LMH_KEY,0)),0),IFERROR(INDEX(LMH_PTS,MATCH(L16,LMH_KEY,0)),0),IFERROR(INDEX(LMH_PTS,MATCH(M16,LMH_KEY,0)),0),IFERROR(INDEX(LMH_PTS,MATCH(N16,LMH_KEY,0)),0),IFERROR(INDEX(LMH_PTS,MATCH(O16,LMH_KEY,0)),0),IFERROR(INDEX(LMH_PTS,MATCH(P16,LMH_KEY,0)),0)),""))</f>
        <v>0.0476190476190476</v>
      </c>
      <c r="U16" s="74">
        <f>IF(N16="","",IFERROR(INDEX(LMH_PTS,MATCH(N16,LMH_KEY,0))/SUM(IFERROR(INDEX(LMH_PTS,MATCH(J16,LMH_KEY,0)),0),IFERROR(INDEX(LMH_PTS,MATCH(K16,LMH_KEY,0)),0),IFERROR(INDEX(LMH_PTS,MATCH(L16,LMH_KEY,0)),0),IFERROR(INDEX(LMH_PTS,MATCH(M16,LMH_KEY,0)),0),IFERROR(INDEX(LMH_PTS,MATCH(N16,LMH_KEY,0)),0),IFERROR(INDEX(LMH_PTS,MATCH(O16,LMH_KEY,0)),0),IFERROR(INDEX(LMH_PTS,MATCH(P16,LMH_KEY,0)),0)),""))</f>
        <v>0.0476190476190476</v>
      </c>
      <c r="V16" s="74">
        <f>IF(O16="","",IFERROR(INDEX(LMH_PTS,MATCH(O16,LMH_KEY,0))/SUM(IFERROR(INDEX(LMH_PTS,MATCH(J16,LMH_KEY,0)),0),IFERROR(INDEX(LMH_PTS,MATCH(K16,LMH_KEY,0)),0),IFERROR(INDEX(LMH_PTS,MATCH(L16,LMH_KEY,0)),0),IFERROR(INDEX(LMH_PTS,MATCH(M16,LMH_KEY,0)),0),IFERROR(INDEX(LMH_PTS,MATCH(N16,LMH_KEY,0)),0),IFERROR(INDEX(LMH_PTS,MATCH(O16,LMH_KEY,0)),0),IFERROR(INDEX(LMH_PTS,MATCH(P16,LMH_KEY,0)),0)),""))</f>
        <v>0.0476190476190476</v>
      </c>
      <c r="W16" s="74">
        <f>IF(P16="","",IFERROR(INDEX(LMH_PTS,MATCH(P16,LMH_KEY,0))/SUM(IFERROR(INDEX(LMH_PTS,MATCH(J16,LMH_KEY,0)),0),IFERROR(INDEX(LMH_PTS,MATCH(K16,LMH_KEY,0)),0),IFERROR(INDEX(LMH_PTS,MATCH(L16,LMH_KEY,0)),0),IFERROR(INDEX(LMH_PTS,MATCH(M16,LMH_KEY,0)),0),IFERROR(INDEX(LMH_PTS,MATCH(N16,LMH_KEY,0)),0),IFERROR(INDEX(LMH_PTS,MATCH(O16,LMH_KEY,0)),0),IFERROR(INDEX(LMH_PTS,MATCH(P16,LMH_KEY,0)),0)),""))</f>
        <v>0.142857142857143</v>
      </c>
      <c r="X16" s="44" t="n"/>
      <c r="Y16" s="38" t="inlineStr">
        <is>
          <t>Corporate|Finance|Accounts Specialist – POD Lead|A3|A</t>
        </is>
      </c>
    </row>
    <row r="17" ht="18" customHeight="1">
      <c r="A17" s="28" t="inlineStr">
        <is>
          <t>Corporate</t>
        </is>
      </c>
      <c r="B17" s="29" t="inlineStr">
        <is>
          <t>Finance</t>
        </is>
      </c>
      <c r="C17" s="75" t="inlineStr">
        <is>
          <t>A2</t>
        </is>
      </c>
      <c r="D17" s="29" t="inlineStr">
        <is>
          <t>Band A · Practitioner</t>
        </is>
      </c>
      <c r="E17" s="29" t="inlineStr">
        <is>
          <t>Senior Accounts Executive</t>
        </is>
      </c>
      <c r="F17" s="29" t="inlineStr">
        <is>
          <t>Band A · all tracks</t>
        </is>
      </c>
      <c r="G17" s="29" t="inlineStr">
        <is>
          <t>Finance &amp; Accounts</t>
        </is>
      </c>
      <c r="H17" s="29" t="n">
        <v>2</v>
      </c>
      <c r="I17" s="29" t="inlineStr">
        <is>
          <t>Bhushan Kashid, Riddhi Narkar</t>
        </is>
      </c>
      <c r="J17" s="34" t="str">
        <f>IFERROR(INDEX(RBD_C,MATCH("Finance &amp; Accounts|A2|A",RBD_KEY,0)),"M")</f>
        <v>H</v>
      </c>
      <c r="K17" s="35" t="str">
        <f>IFERROR(INDEX(RBD_Au,MATCH("Finance &amp; Accounts|A2|A",RBD_KEY,0)),"M")</f>
        <v>M</v>
      </c>
      <c r="L17" s="35" t="str">
        <f>IFERROR(INDEX(RBD_Ac,MATCH("Finance &amp; Accounts|A2|A",RBD_KEY,0)),"M")</f>
        <v>M</v>
      </c>
      <c r="M17" s="35" t="str">
        <f>IFERROR(INDEX(RBD_L,MATCH("Finance &amp; Accounts|A2|A",RBD_KEY,0)),"M")</f>
        <v>L</v>
      </c>
      <c r="N17" s="35" t="str">
        <f>IFERROR(INDEX(RBD_BI,MATCH("Finance &amp; Accounts|A2|A",RBD_KEY,0)),"M")</f>
        <v>L</v>
      </c>
      <c r="O17" s="35" t="str">
        <f>IFERROR(INDEX(RBD_Exp,MATCH("Finance &amp; Accounts|A2|A",RBD_KEY,0)),"M")</f>
        <v>L</v>
      </c>
      <c r="P17" s="35" t="str">
        <f>IFERROR(INDEX(RBD_Edu,MATCH("Finance &amp; Accounts|A2|A",RBD_KEY,0)),"M")</f>
        <v>M</v>
      </c>
      <c r="Q17" s="73">
        <f>IF(J17="","",IFERROR(INDEX(LMH_PTS,MATCH(J17,LMH_KEY,0))/SUM(IFERROR(INDEX(LMH_PTS,MATCH(J17,LMH_KEY,0)),0),IFERROR(INDEX(LMH_PTS,MATCH(K17,LMH_KEY,0)),0),IFERROR(INDEX(LMH_PTS,MATCH(L17,LMH_KEY,0)),0),IFERROR(INDEX(LMH_PTS,MATCH(M17,LMH_KEY,0)),0),IFERROR(INDEX(LMH_PTS,MATCH(N17,LMH_KEY,0)),0),IFERROR(INDEX(LMH_PTS,MATCH(O17,LMH_KEY,0)),0),IFERROR(INDEX(LMH_PTS,MATCH(P17,LMH_KEY,0)),0)),""))</f>
        <v>0.428571428571429</v>
      </c>
      <c r="R17" s="74">
        <f>IF(K17="","",IFERROR(INDEX(LMH_PTS,MATCH(K17,LMH_KEY,0))/SUM(IFERROR(INDEX(LMH_PTS,MATCH(J17,LMH_KEY,0)),0),IFERROR(INDEX(LMH_PTS,MATCH(K17,LMH_KEY,0)),0),IFERROR(INDEX(LMH_PTS,MATCH(L17,LMH_KEY,0)),0),IFERROR(INDEX(LMH_PTS,MATCH(M17,LMH_KEY,0)),0),IFERROR(INDEX(LMH_PTS,MATCH(N17,LMH_KEY,0)),0),IFERROR(INDEX(LMH_PTS,MATCH(O17,LMH_KEY,0)),0),IFERROR(INDEX(LMH_PTS,MATCH(P17,LMH_KEY,0)),0)),""))</f>
        <v>0.142857142857143</v>
      </c>
      <c r="S17" s="74">
        <f>IF(L17="","",IFERROR(INDEX(LMH_PTS,MATCH(L17,LMH_KEY,0))/SUM(IFERROR(INDEX(LMH_PTS,MATCH(J17,LMH_KEY,0)),0),IFERROR(INDEX(LMH_PTS,MATCH(K17,LMH_KEY,0)),0),IFERROR(INDEX(LMH_PTS,MATCH(L17,LMH_KEY,0)),0),IFERROR(INDEX(LMH_PTS,MATCH(M17,LMH_KEY,0)),0),IFERROR(INDEX(LMH_PTS,MATCH(N17,LMH_KEY,0)),0),IFERROR(INDEX(LMH_PTS,MATCH(O17,LMH_KEY,0)),0),IFERROR(INDEX(LMH_PTS,MATCH(P17,LMH_KEY,0)),0)),""))</f>
        <v>0.142857142857143</v>
      </c>
      <c r="T17" s="74">
        <f>IF(M17="","",IFERROR(INDEX(LMH_PTS,MATCH(M17,LMH_KEY,0))/SUM(IFERROR(INDEX(LMH_PTS,MATCH(J17,LMH_KEY,0)),0),IFERROR(INDEX(LMH_PTS,MATCH(K17,LMH_KEY,0)),0),IFERROR(INDEX(LMH_PTS,MATCH(L17,LMH_KEY,0)),0),IFERROR(INDEX(LMH_PTS,MATCH(M17,LMH_KEY,0)),0),IFERROR(INDEX(LMH_PTS,MATCH(N17,LMH_KEY,0)),0),IFERROR(INDEX(LMH_PTS,MATCH(O17,LMH_KEY,0)),0),IFERROR(INDEX(LMH_PTS,MATCH(P17,LMH_KEY,0)),0)),""))</f>
        <v>0.0476190476190476</v>
      </c>
      <c r="U17" s="74">
        <f>IF(N17="","",IFERROR(INDEX(LMH_PTS,MATCH(N17,LMH_KEY,0))/SUM(IFERROR(INDEX(LMH_PTS,MATCH(J17,LMH_KEY,0)),0),IFERROR(INDEX(LMH_PTS,MATCH(K17,LMH_KEY,0)),0),IFERROR(INDEX(LMH_PTS,MATCH(L17,LMH_KEY,0)),0),IFERROR(INDEX(LMH_PTS,MATCH(M17,LMH_KEY,0)),0),IFERROR(INDEX(LMH_PTS,MATCH(N17,LMH_KEY,0)),0),IFERROR(INDEX(LMH_PTS,MATCH(O17,LMH_KEY,0)),0),IFERROR(INDEX(LMH_PTS,MATCH(P17,LMH_KEY,0)),0)),""))</f>
        <v>0.0476190476190476</v>
      </c>
      <c r="V17" s="74">
        <f>IF(O17="","",IFERROR(INDEX(LMH_PTS,MATCH(O17,LMH_KEY,0))/SUM(IFERROR(INDEX(LMH_PTS,MATCH(J17,LMH_KEY,0)),0),IFERROR(INDEX(LMH_PTS,MATCH(K17,LMH_KEY,0)),0),IFERROR(INDEX(LMH_PTS,MATCH(L17,LMH_KEY,0)),0),IFERROR(INDEX(LMH_PTS,MATCH(M17,LMH_KEY,0)),0),IFERROR(INDEX(LMH_PTS,MATCH(N17,LMH_KEY,0)),0),IFERROR(INDEX(LMH_PTS,MATCH(O17,LMH_KEY,0)),0),IFERROR(INDEX(LMH_PTS,MATCH(P17,LMH_KEY,0)),0)),""))</f>
        <v>0.0476190476190476</v>
      </c>
      <c r="W17" s="74">
        <f>IF(P17="","",IFERROR(INDEX(LMH_PTS,MATCH(P17,LMH_KEY,0))/SUM(IFERROR(INDEX(LMH_PTS,MATCH(J17,LMH_KEY,0)),0),IFERROR(INDEX(LMH_PTS,MATCH(K17,LMH_KEY,0)),0),IFERROR(INDEX(LMH_PTS,MATCH(L17,LMH_KEY,0)),0),IFERROR(INDEX(LMH_PTS,MATCH(M17,LMH_KEY,0)),0),IFERROR(INDEX(LMH_PTS,MATCH(N17,LMH_KEY,0)),0),IFERROR(INDEX(LMH_PTS,MATCH(O17,LMH_KEY,0)),0),IFERROR(INDEX(LMH_PTS,MATCH(P17,LMH_KEY,0)),0)),""))</f>
        <v>0.142857142857143</v>
      </c>
      <c r="X17" s="44" t="n"/>
      <c r="Y17" s="38" t="inlineStr">
        <is>
          <t>Corporate|Finance|Senior Accounts Executive|A2|A</t>
        </is>
      </c>
    </row>
    <row r="18" ht="28" customHeight="1">
      <c r="A18" s="28" t="inlineStr">
        <is>
          <t>Corporate</t>
        </is>
      </c>
      <c r="B18" s="71" t="inlineStr">
        <is>
          <t>HR</t>
        </is>
      </c>
      <c r="C18" s="79" t="inlineStr">
        <is>
          <t>D2</t>
        </is>
      </c>
      <c r="D18" s="29" t="inlineStr">
        <is>
          <t>Band D · Business leadership</t>
        </is>
      </c>
      <c r="E18" s="29" t="inlineStr">
        <is>
          <t>Vice President – Human Resources</t>
        </is>
      </c>
      <c r="F18" s="29" t="inlineStr">
        <is>
          <t>Bands D–E · Leadership</t>
        </is>
      </c>
      <c r="G18" s="29" t="inlineStr">
        <is>
          <t>Executive Leadership</t>
        </is>
      </c>
      <c r="H18" s="29" t="n">
        <v>1</v>
      </c>
      <c r="I18" s="29" t="inlineStr">
        <is>
          <t>Shweta Jha</t>
        </is>
      </c>
      <c r="J18" s="34" t="str">
        <f>IFERROR(INDEX(RBD_C,MATCH("Executive Leadership|D2|DE",RBD_KEY,0)),"M")</f>
        <v>H</v>
      </c>
      <c r="K18" s="35" t="str">
        <f>IFERROR(INDEX(RBD_Au,MATCH("Executive Leadership|D2|DE",RBD_KEY,0)),"M")</f>
        <v>M</v>
      </c>
      <c r="L18" s="35" t="str">
        <f>IFERROR(INDEX(RBD_Ac,MATCH("Executive Leadership|D2|DE",RBD_KEY,0)),"M")</f>
        <v>M</v>
      </c>
      <c r="M18" s="35" t="str">
        <f>IFERROR(INDEX(RBD_L,MATCH("Executive Leadership|D2|DE",RBD_KEY,0)),"M")</f>
        <v>M</v>
      </c>
      <c r="N18" s="35" t="str">
        <f>IFERROR(INDEX(RBD_BI,MATCH("Executive Leadership|D2|DE",RBD_KEY,0)),"M")</f>
        <v>L</v>
      </c>
      <c r="O18" s="35" t="str">
        <f>IFERROR(INDEX(RBD_Exp,MATCH("Executive Leadership|D2|DE",RBD_KEY,0)),"M")</f>
        <v>L</v>
      </c>
      <c r="P18" s="35" t="str">
        <f>IFERROR(INDEX(RBD_Edu,MATCH("Executive Leadership|D2|DE",RBD_KEY,0)),"M")</f>
        <v>L</v>
      </c>
      <c r="Q18" s="73">
        <f>IF(J18="","",IFERROR(INDEX(LMH_PTS,MATCH(J18,LMH_KEY,0))/SUM(IFERROR(INDEX(LMH_PTS,MATCH(J18,LMH_KEY,0)),0),IFERROR(INDEX(LMH_PTS,MATCH(K18,LMH_KEY,0)),0),IFERROR(INDEX(LMH_PTS,MATCH(L18,LMH_KEY,0)),0),IFERROR(INDEX(LMH_PTS,MATCH(M18,LMH_KEY,0)),0),IFERROR(INDEX(LMH_PTS,MATCH(N18,LMH_KEY,0)),0),IFERROR(INDEX(LMH_PTS,MATCH(O18,LMH_KEY,0)),0),IFERROR(INDEX(LMH_PTS,MATCH(P18,LMH_KEY,0)),0)),""))</f>
        <v>0.428571428571429</v>
      </c>
      <c r="R18" s="74">
        <f>IF(K18="","",IFERROR(INDEX(LMH_PTS,MATCH(K18,LMH_KEY,0))/SUM(IFERROR(INDEX(LMH_PTS,MATCH(J18,LMH_KEY,0)),0),IFERROR(INDEX(LMH_PTS,MATCH(K18,LMH_KEY,0)),0),IFERROR(INDEX(LMH_PTS,MATCH(L18,LMH_KEY,0)),0),IFERROR(INDEX(LMH_PTS,MATCH(M18,LMH_KEY,0)),0),IFERROR(INDEX(LMH_PTS,MATCH(N18,LMH_KEY,0)),0),IFERROR(INDEX(LMH_PTS,MATCH(O18,LMH_KEY,0)),0),IFERROR(INDEX(LMH_PTS,MATCH(P18,LMH_KEY,0)),0)),""))</f>
        <v>0.142857142857143</v>
      </c>
      <c r="S18" s="74">
        <f>IF(L18="","",IFERROR(INDEX(LMH_PTS,MATCH(L18,LMH_KEY,0))/SUM(IFERROR(INDEX(LMH_PTS,MATCH(J18,LMH_KEY,0)),0),IFERROR(INDEX(LMH_PTS,MATCH(K18,LMH_KEY,0)),0),IFERROR(INDEX(LMH_PTS,MATCH(L18,LMH_KEY,0)),0),IFERROR(INDEX(LMH_PTS,MATCH(M18,LMH_KEY,0)),0),IFERROR(INDEX(LMH_PTS,MATCH(N18,LMH_KEY,0)),0),IFERROR(INDEX(LMH_PTS,MATCH(O18,LMH_KEY,0)),0),IFERROR(INDEX(LMH_PTS,MATCH(P18,LMH_KEY,0)),0)),""))</f>
        <v>0.142857142857143</v>
      </c>
      <c r="T18" s="74">
        <f>IF(M18="","",IFERROR(INDEX(LMH_PTS,MATCH(M18,LMH_KEY,0))/SUM(IFERROR(INDEX(LMH_PTS,MATCH(J18,LMH_KEY,0)),0),IFERROR(INDEX(LMH_PTS,MATCH(K18,LMH_KEY,0)),0),IFERROR(INDEX(LMH_PTS,MATCH(L18,LMH_KEY,0)),0),IFERROR(INDEX(LMH_PTS,MATCH(M18,LMH_KEY,0)),0),IFERROR(INDEX(LMH_PTS,MATCH(N18,LMH_KEY,0)),0),IFERROR(INDEX(LMH_PTS,MATCH(O18,LMH_KEY,0)),0),IFERROR(INDEX(LMH_PTS,MATCH(P18,LMH_KEY,0)),0)),""))</f>
        <v>0.142857142857143</v>
      </c>
      <c r="U18" s="74">
        <f>IF(N18="","",IFERROR(INDEX(LMH_PTS,MATCH(N18,LMH_KEY,0))/SUM(IFERROR(INDEX(LMH_PTS,MATCH(J18,LMH_KEY,0)),0),IFERROR(INDEX(LMH_PTS,MATCH(K18,LMH_KEY,0)),0),IFERROR(INDEX(LMH_PTS,MATCH(L18,LMH_KEY,0)),0),IFERROR(INDEX(LMH_PTS,MATCH(M18,LMH_KEY,0)),0),IFERROR(INDEX(LMH_PTS,MATCH(N18,LMH_KEY,0)),0),IFERROR(INDEX(LMH_PTS,MATCH(O18,LMH_KEY,0)),0),IFERROR(INDEX(LMH_PTS,MATCH(P18,LMH_KEY,0)),0)),""))</f>
        <v>0.0476190476190476</v>
      </c>
      <c r="V18" s="74">
        <f>IF(O18="","",IFERROR(INDEX(LMH_PTS,MATCH(O18,LMH_KEY,0))/SUM(IFERROR(INDEX(LMH_PTS,MATCH(J18,LMH_KEY,0)),0),IFERROR(INDEX(LMH_PTS,MATCH(K18,LMH_KEY,0)),0),IFERROR(INDEX(LMH_PTS,MATCH(L18,LMH_KEY,0)),0),IFERROR(INDEX(LMH_PTS,MATCH(M18,LMH_KEY,0)),0),IFERROR(INDEX(LMH_PTS,MATCH(N18,LMH_KEY,0)),0),IFERROR(INDEX(LMH_PTS,MATCH(O18,LMH_KEY,0)),0),IFERROR(INDEX(LMH_PTS,MATCH(P18,LMH_KEY,0)),0)),""))</f>
        <v>0.0476190476190476</v>
      </c>
      <c r="W18" s="74">
        <f>IF(P18="","",IFERROR(INDEX(LMH_PTS,MATCH(P18,LMH_KEY,0))/SUM(IFERROR(INDEX(LMH_PTS,MATCH(J18,LMH_KEY,0)),0),IFERROR(INDEX(LMH_PTS,MATCH(K18,LMH_KEY,0)),0),IFERROR(INDEX(LMH_PTS,MATCH(L18,LMH_KEY,0)),0),IFERROR(INDEX(LMH_PTS,MATCH(M18,LMH_KEY,0)),0),IFERROR(INDEX(LMH_PTS,MATCH(N18,LMH_KEY,0)),0),IFERROR(INDEX(LMH_PTS,MATCH(O18,LMH_KEY,0)),0),IFERROR(INDEX(LMH_PTS,MATCH(P18,LMH_KEY,0)),0)),""))</f>
        <v>0.0476190476190476</v>
      </c>
      <c r="X18" s="44" t="n"/>
      <c r="Y18" s="38" t="inlineStr">
        <is>
          <t>Corporate|HR|Vice President – Human Resources|D2|DE</t>
        </is>
      </c>
    </row>
    <row r="19" ht="28" customHeight="1">
      <c r="A19" s="28" t="inlineStr">
        <is>
          <t>Corporate</t>
        </is>
      </c>
      <c r="B19" s="29" t="inlineStr">
        <is>
          <t>HR</t>
        </is>
      </c>
      <c r="C19" s="72" t="inlineStr">
        <is>
          <t>B3</t>
        </is>
      </c>
      <c r="D19" s="29" t="inlineStr">
        <is>
          <t>Band B · Specialist / Manager</t>
        </is>
      </c>
      <c r="E19" s="29" t="inlineStr">
        <is>
          <t>Lead HR Specialist – Transformation &amp; OD</t>
        </is>
      </c>
      <c r="F19" s="29" t="inlineStr">
        <is>
          <t>Band B · Specialist / POD Lead</t>
        </is>
      </c>
      <c r="G19" s="29" t="inlineStr">
        <is>
          <t>Human Resources</t>
        </is>
      </c>
      <c r="H19" s="29" t="n">
        <v>1</v>
      </c>
      <c r="I19" s="29" t="inlineStr">
        <is>
          <t>Mohammed Hanzala Shaikh</t>
        </is>
      </c>
      <c r="J19" s="34" t="str">
        <f>IFERROR(INDEX(RBD_C,MATCH("Human Resources|B3|B-IC",RBD_KEY,0)),"M")</f>
        <v>H</v>
      </c>
      <c r="K19" s="35" t="str">
        <f>IFERROR(INDEX(RBD_Au,MATCH("Human Resources|B3|B-IC",RBD_KEY,0)),"M")</f>
        <v>M</v>
      </c>
      <c r="L19" s="35" t="str">
        <f>IFERROR(INDEX(RBD_Ac,MATCH("Human Resources|B3|B-IC",RBD_KEY,0)),"M")</f>
        <v>M</v>
      </c>
      <c r="M19" s="35" t="str">
        <f>IFERROR(INDEX(RBD_L,MATCH("Human Resources|B3|B-IC",RBD_KEY,0)),"M")</f>
        <v>L</v>
      </c>
      <c r="N19" s="35" t="str">
        <f>IFERROR(INDEX(RBD_BI,MATCH("Human Resources|B3|B-IC",RBD_KEY,0)),"M")</f>
        <v>L</v>
      </c>
      <c r="O19" s="35" t="str">
        <f>IFERROR(INDEX(RBD_Exp,MATCH("Human Resources|B3|B-IC",RBD_KEY,0)),"M")</f>
        <v>L</v>
      </c>
      <c r="P19" s="35" t="str">
        <f>IFERROR(INDEX(RBD_Edu,MATCH("Human Resources|B3|B-IC",RBD_KEY,0)),"M")</f>
        <v>L</v>
      </c>
      <c r="Q19" s="73">
        <f>IF(J19="","",IFERROR(INDEX(LMH_PTS,MATCH(J19,LMH_KEY,0))/SUM(IFERROR(INDEX(LMH_PTS,MATCH(J19,LMH_KEY,0)),0),IFERROR(INDEX(LMH_PTS,MATCH(K19,LMH_KEY,0)),0),IFERROR(INDEX(LMH_PTS,MATCH(L19,LMH_KEY,0)),0),IFERROR(INDEX(LMH_PTS,MATCH(M19,LMH_KEY,0)),0),IFERROR(INDEX(LMH_PTS,MATCH(N19,LMH_KEY,0)),0),IFERROR(INDEX(LMH_PTS,MATCH(O19,LMH_KEY,0)),0),IFERROR(INDEX(LMH_PTS,MATCH(P19,LMH_KEY,0)),0)),""))</f>
        <v>0.473684210526316</v>
      </c>
      <c r="R19" s="74">
        <f>IF(K19="","",IFERROR(INDEX(LMH_PTS,MATCH(K19,LMH_KEY,0))/SUM(IFERROR(INDEX(LMH_PTS,MATCH(J19,LMH_KEY,0)),0),IFERROR(INDEX(LMH_PTS,MATCH(K19,LMH_KEY,0)),0),IFERROR(INDEX(LMH_PTS,MATCH(L19,LMH_KEY,0)),0),IFERROR(INDEX(LMH_PTS,MATCH(M19,LMH_KEY,0)),0),IFERROR(INDEX(LMH_PTS,MATCH(N19,LMH_KEY,0)),0),IFERROR(INDEX(LMH_PTS,MATCH(O19,LMH_KEY,0)),0),IFERROR(INDEX(LMH_PTS,MATCH(P19,LMH_KEY,0)),0)),""))</f>
        <v>0.157894736842105</v>
      </c>
      <c r="S19" s="74">
        <f>IF(L19="","",IFERROR(INDEX(LMH_PTS,MATCH(L19,LMH_KEY,0))/SUM(IFERROR(INDEX(LMH_PTS,MATCH(J19,LMH_KEY,0)),0),IFERROR(INDEX(LMH_PTS,MATCH(K19,LMH_KEY,0)),0),IFERROR(INDEX(LMH_PTS,MATCH(L19,LMH_KEY,0)),0),IFERROR(INDEX(LMH_PTS,MATCH(M19,LMH_KEY,0)),0),IFERROR(INDEX(LMH_PTS,MATCH(N19,LMH_KEY,0)),0),IFERROR(INDEX(LMH_PTS,MATCH(O19,LMH_KEY,0)),0),IFERROR(INDEX(LMH_PTS,MATCH(P19,LMH_KEY,0)),0)),""))</f>
        <v>0.157894736842105</v>
      </c>
      <c r="T19" s="74">
        <f>IF(M19="","",IFERROR(INDEX(LMH_PTS,MATCH(M19,LMH_KEY,0))/SUM(IFERROR(INDEX(LMH_PTS,MATCH(J19,LMH_KEY,0)),0),IFERROR(INDEX(LMH_PTS,MATCH(K19,LMH_KEY,0)),0),IFERROR(INDEX(LMH_PTS,MATCH(L19,LMH_KEY,0)),0),IFERROR(INDEX(LMH_PTS,MATCH(M19,LMH_KEY,0)),0),IFERROR(INDEX(LMH_PTS,MATCH(N19,LMH_KEY,0)),0),IFERROR(INDEX(LMH_PTS,MATCH(O19,LMH_KEY,0)),0),IFERROR(INDEX(LMH_PTS,MATCH(P19,LMH_KEY,0)),0)),""))</f>
        <v>0.0526315789473684</v>
      </c>
      <c r="U19" s="74">
        <f>IF(N19="","",IFERROR(INDEX(LMH_PTS,MATCH(N19,LMH_KEY,0))/SUM(IFERROR(INDEX(LMH_PTS,MATCH(J19,LMH_KEY,0)),0),IFERROR(INDEX(LMH_PTS,MATCH(K19,LMH_KEY,0)),0),IFERROR(INDEX(LMH_PTS,MATCH(L19,LMH_KEY,0)),0),IFERROR(INDEX(LMH_PTS,MATCH(M19,LMH_KEY,0)),0),IFERROR(INDEX(LMH_PTS,MATCH(N19,LMH_KEY,0)),0),IFERROR(INDEX(LMH_PTS,MATCH(O19,LMH_KEY,0)),0),IFERROR(INDEX(LMH_PTS,MATCH(P19,LMH_KEY,0)),0)),""))</f>
        <v>0.0526315789473684</v>
      </c>
      <c r="V19" s="74">
        <f>IF(O19="","",IFERROR(INDEX(LMH_PTS,MATCH(O19,LMH_KEY,0))/SUM(IFERROR(INDEX(LMH_PTS,MATCH(J19,LMH_KEY,0)),0),IFERROR(INDEX(LMH_PTS,MATCH(K19,LMH_KEY,0)),0),IFERROR(INDEX(LMH_PTS,MATCH(L19,LMH_KEY,0)),0),IFERROR(INDEX(LMH_PTS,MATCH(M19,LMH_KEY,0)),0),IFERROR(INDEX(LMH_PTS,MATCH(N19,LMH_KEY,0)),0),IFERROR(INDEX(LMH_PTS,MATCH(O19,LMH_KEY,0)),0),IFERROR(INDEX(LMH_PTS,MATCH(P19,LMH_KEY,0)),0)),""))</f>
        <v>0.0526315789473684</v>
      </c>
      <c r="W19" s="74">
        <f>IF(P19="","",IFERROR(INDEX(LMH_PTS,MATCH(P19,LMH_KEY,0))/SUM(IFERROR(INDEX(LMH_PTS,MATCH(J19,LMH_KEY,0)),0),IFERROR(INDEX(LMH_PTS,MATCH(K19,LMH_KEY,0)),0),IFERROR(INDEX(LMH_PTS,MATCH(L19,LMH_KEY,0)),0),IFERROR(INDEX(LMH_PTS,MATCH(M19,LMH_KEY,0)),0),IFERROR(INDEX(LMH_PTS,MATCH(N19,LMH_KEY,0)),0),IFERROR(INDEX(LMH_PTS,MATCH(O19,LMH_KEY,0)),0),IFERROR(INDEX(LMH_PTS,MATCH(P19,LMH_KEY,0)),0)),""))</f>
        <v>0.0526315789473684</v>
      </c>
      <c r="X19" s="44" t="n"/>
      <c r="Y19" s="38" t="inlineStr">
        <is>
          <t>Corporate|HR|Lead HR Specialist – Transformation &amp; OD|B3|B-IC</t>
        </is>
      </c>
    </row>
    <row r="20" ht="28" customHeight="1">
      <c r="A20" s="28" t="inlineStr">
        <is>
          <t>Corporate</t>
        </is>
      </c>
      <c r="B20" s="29" t="inlineStr">
        <is>
          <t>HR</t>
        </is>
      </c>
      <c r="C20" s="72" t="inlineStr">
        <is>
          <t>B2</t>
        </is>
      </c>
      <c r="D20" s="29" t="inlineStr">
        <is>
          <t>Band B · Specialist / Manager</t>
        </is>
      </c>
      <c r="E20" s="29" t="inlineStr">
        <is>
          <t>Senior Talent Acquisition Specialist</t>
        </is>
      </c>
      <c r="F20" s="29" t="inlineStr">
        <is>
          <t>Band B · Specialist / POD Lead</t>
        </is>
      </c>
      <c r="G20" s="29" t="inlineStr">
        <is>
          <t>Human Resources</t>
        </is>
      </c>
      <c r="H20" s="29" t="n">
        <v>1</v>
      </c>
      <c r="I20" s="29" t="inlineStr">
        <is>
          <t>Simran Kaur Raina</t>
        </is>
      </c>
      <c r="J20" s="34" t="str">
        <f>IFERROR(INDEX(RBD_C,MATCH("Human Resources|B2|B-IC",RBD_KEY,0)),"M")</f>
        <v>H</v>
      </c>
      <c r="K20" s="35" t="str">
        <f>IFERROR(INDEX(RBD_Au,MATCH("Human Resources|B2|B-IC",RBD_KEY,0)),"M")</f>
        <v>M</v>
      </c>
      <c r="L20" s="35" t="str">
        <f>IFERROR(INDEX(RBD_Ac,MATCH("Human Resources|B2|B-IC",RBD_KEY,0)),"M")</f>
        <v>M</v>
      </c>
      <c r="M20" s="35" t="str">
        <f>IFERROR(INDEX(RBD_L,MATCH("Human Resources|B2|B-IC",RBD_KEY,0)),"M")</f>
        <v>L</v>
      </c>
      <c r="N20" s="35" t="str">
        <f>IFERROR(INDEX(RBD_BI,MATCH("Human Resources|B2|B-IC",RBD_KEY,0)),"M")</f>
        <v>L</v>
      </c>
      <c r="O20" s="35" t="str">
        <f>IFERROR(INDEX(RBD_Exp,MATCH("Human Resources|B2|B-IC",RBD_KEY,0)),"M")</f>
        <v>L</v>
      </c>
      <c r="P20" s="35" t="str">
        <f>IFERROR(INDEX(RBD_Edu,MATCH("Human Resources|B2|B-IC",RBD_KEY,0)),"M")</f>
        <v>L</v>
      </c>
      <c r="Q20" s="73">
        <f>IF(J20="","",IFERROR(INDEX(LMH_PTS,MATCH(J20,LMH_KEY,0))/SUM(IFERROR(INDEX(LMH_PTS,MATCH(J20,LMH_KEY,0)),0),IFERROR(INDEX(LMH_PTS,MATCH(K20,LMH_KEY,0)),0),IFERROR(INDEX(LMH_PTS,MATCH(L20,LMH_KEY,0)),0),IFERROR(INDEX(LMH_PTS,MATCH(M20,LMH_KEY,0)),0),IFERROR(INDEX(LMH_PTS,MATCH(N20,LMH_KEY,0)),0),IFERROR(INDEX(LMH_PTS,MATCH(O20,LMH_KEY,0)),0),IFERROR(INDEX(LMH_PTS,MATCH(P20,LMH_KEY,0)),0)),""))</f>
        <v>0.473684210526316</v>
      </c>
      <c r="R20" s="74">
        <f>IF(K20="","",IFERROR(INDEX(LMH_PTS,MATCH(K20,LMH_KEY,0))/SUM(IFERROR(INDEX(LMH_PTS,MATCH(J20,LMH_KEY,0)),0),IFERROR(INDEX(LMH_PTS,MATCH(K20,LMH_KEY,0)),0),IFERROR(INDEX(LMH_PTS,MATCH(L20,LMH_KEY,0)),0),IFERROR(INDEX(LMH_PTS,MATCH(M20,LMH_KEY,0)),0),IFERROR(INDEX(LMH_PTS,MATCH(N20,LMH_KEY,0)),0),IFERROR(INDEX(LMH_PTS,MATCH(O20,LMH_KEY,0)),0),IFERROR(INDEX(LMH_PTS,MATCH(P20,LMH_KEY,0)),0)),""))</f>
        <v>0.157894736842105</v>
      </c>
      <c r="S20" s="74">
        <f>IF(L20="","",IFERROR(INDEX(LMH_PTS,MATCH(L20,LMH_KEY,0))/SUM(IFERROR(INDEX(LMH_PTS,MATCH(J20,LMH_KEY,0)),0),IFERROR(INDEX(LMH_PTS,MATCH(K20,LMH_KEY,0)),0),IFERROR(INDEX(LMH_PTS,MATCH(L20,LMH_KEY,0)),0),IFERROR(INDEX(LMH_PTS,MATCH(M20,LMH_KEY,0)),0),IFERROR(INDEX(LMH_PTS,MATCH(N20,LMH_KEY,0)),0),IFERROR(INDEX(LMH_PTS,MATCH(O20,LMH_KEY,0)),0),IFERROR(INDEX(LMH_PTS,MATCH(P20,LMH_KEY,0)),0)),""))</f>
        <v>0.157894736842105</v>
      </c>
      <c r="T20" s="74">
        <f>IF(M20="","",IFERROR(INDEX(LMH_PTS,MATCH(M20,LMH_KEY,0))/SUM(IFERROR(INDEX(LMH_PTS,MATCH(J20,LMH_KEY,0)),0),IFERROR(INDEX(LMH_PTS,MATCH(K20,LMH_KEY,0)),0),IFERROR(INDEX(LMH_PTS,MATCH(L20,LMH_KEY,0)),0),IFERROR(INDEX(LMH_PTS,MATCH(M20,LMH_KEY,0)),0),IFERROR(INDEX(LMH_PTS,MATCH(N20,LMH_KEY,0)),0),IFERROR(INDEX(LMH_PTS,MATCH(O20,LMH_KEY,0)),0),IFERROR(INDEX(LMH_PTS,MATCH(P20,LMH_KEY,0)),0)),""))</f>
        <v>0.0526315789473684</v>
      </c>
      <c r="U20" s="74">
        <f>IF(N20="","",IFERROR(INDEX(LMH_PTS,MATCH(N20,LMH_KEY,0))/SUM(IFERROR(INDEX(LMH_PTS,MATCH(J20,LMH_KEY,0)),0),IFERROR(INDEX(LMH_PTS,MATCH(K20,LMH_KEY,0)),0),IFERROR(INDEX(LMH_PTS,MATCH(L20,LMH_KEY,0)),0),IFERROR(INDEX(LMH_PTS,MATCH(M20,LMH_KEY,0)),0),IFERROR(INDEX(LMH_PTS,MATCH(N20,LMH_KEY,0)),0),IFERROR(INDEX(LMH_PTS,MATCH(O20,LMH_KEY,0)),0),IFERROR(INDEX(LMH_PTS,MATCH(P20,LMH_KEY,0)),0)),""))</f>
        <v>0.0526315789473684</v>
      </c>
      <c r="V20" s="74">
        <f>IF(O20="","",IFERROR(INDEX(LMH_PTS,MATCH(O20,LMH_KEY,0))/SUM(IFERROR(INDEX(LMH_PTS,MATCH(J20,LMH_KEY,0)),0),IFERROR(INDEX(LMH_PTS,MATCH(K20,LMH_KEY,0)),0),IFERROR(INDEX(LMH_PTS,MATCH(L20,LMH_KEY,0)),0),IFERROR(INDEX(LMH_PTS,MATCH(M20,LMH_KEY,0)),0),IFERROR(INDEX(LMH_PTS,MATCH(N20,LMH_KEY,0)),0),IFERROR(INDEX(LMH_PTS,MATCH(O20,LMH_KEY,0)),0),IFERROR(INDEX(LMH_PTS,MATCH(P20,LMH_KEY,0)),0)),""))</f>
        <v>0.0526315789473684</v>
      </c>
      <c r="W20" s="74">
        <f>IF(P20="","",IFERROR(INDEX(LMH_PTS,MATCH(P20,LMH_KEY,0))/SUM(IFERROR(INDEX(LMH_PTS,MATCH(J20,LMH_KEY,0)),0),IFERROR(INDEX(LMH_PTS,MATCH(K20,LMH_KEY,0)),0),IFERROR(INDEX(LMH_PTS,MATCH(L20,LMH_KEY,0)),0),IFERROR(INDEX(LMH_PTS,MATCH(M20,LMH_KEY,0)),0),IFERROR(INDEX(LMH_PTS,MATCH(N20,LMH_KEY,0)),0),IFERROR(INDEX(LMH_PTS,MATCH(O20,LMH_KEY,0)),0),IFERROR(INDEX(LMH_PTS,MATCH(P20,LMH_KEY,0)),0)),""))</f>
        <v>0.0526315789473684</v>
      </c>
      <c r="X20" s="44" t="n"/>
      <c r="Y20" s="38" t="inlineStr">
        <is>
          <t>Corporate|HR|Senior Talent Acquisition Specialist|B2|B-IC</t>
        </is>
      </c>
    </row>
    <row r="21" ht="18" customHeight="1">
      <c r="A21" s="28" t="inlineStr">
        <is>
          <t>Corporate</t>
        </is>
      </c>
      <c r="B21" s="29" t="inlineStr">
        <is>
          <t>HR</t>
        </is>
      </c>
      <c r="C21" s="72" t="inlineStr">
        <is>
          <t>B1</t>
        </is>
      </c>
      <c r="D21" s="29" t="inlineStr">
        <is>
          <t>Band B · Specialist / Manager</t>
        </is>
      </c>
      <c r="E21" s="29" t="inlineStr">
        <is>
          <t>HR Specialist</t>
        </is>
      </c>
      <c r="F21" s="29" t="inlineStr">
        <is>
          <t>Band B · Specialist / POD Lead</t>
        </is>
      </c>
      <c r="G21" s="29" t="inlineStr">
        <is>
          <t>Human Resources</t>
        </is>
      </c>
      <c r="H21" s="29" t="n">
        <v>1</v>
      </c>
      <c r="I21" s="29" t="inlineStr">
        <is>
          <t>Chandrakumar Moopanar</t>
        </is>
      </c>
      <c r="J21" s="34" t="str">
        <f>IFERROR(INDEX(RBD_C,MATCH("Human Resources|B1|B-IC",RBD_KEY,0)),"M")</f>
        <v>H</v>
      </c>
      <c r="K21" s="35" t="str">
        <f>IFERROR(INDEX(RBD_Au,MATCH("Human Resources|B1|B-IC",RBD_KEY,0)),"M")</f>
        <v>M</v>
      </c>
      <c r="L21" s="35" t="str">
        <f>IFERROR(INDEX(RBD_Ac,MATCH("Human Resources|B1|B-IC",RBD_KEY,0)),"M")</f>
        <v>M</v>
      </c>
      <c r="M21" s="35" t="str">
        <f>IFERROR(INDEX(RBD_L,MATCH("Human Resources|B1|B-IC",RBD_KEY,0)),"M")</f>
        <v>L</v>
      </c>
      <c r="N21" s="35" t="str">
        <f>IFERROR(INDEX(RBD_BI,MATCH("Human Resources|B1|B-IC",RBD_KEY,0)),"M")</f>
        <v>L</v>
      </c>
      <c r="O21" s="35" t="str">
        <f>IFERROR(INDEX(RBD_Exp,MATCH("Human Resources|B1|B-IC",RBD_KEY,0)),"M")</f>
        <v>L</v>
      </c>
      <c r="P21" s="35" t="str">
        <f>IFERROR(INDEX(RBD_Edu,MATCH("Human Resources|B1|B-IC",RBD_KEY,0)),"M")</f>
        <v>L</v>
      </c>
      <c r="Q21" s="73">
        <f>IF(J21="","",IFERROR(INDEX(LMH_PTS,MATCH(J21,LMH_KEY,0))/SUM(IFERROR(INDEX(LMH_PTS,MATCH(J21,LMH_KEY,0)),0),IFERROR(INDEX(LMH_PTS,MATCH(K21,LMH_KEY,0)),0),IFERROR(INDEX(LMH_PTS,MATCH(L21,LMH_KEY,0)),0),IFERROR(INDEX(LMH_PTS,MATCH(M21,LMH_KEY,0)),0),IFERROR(INDEX(LMH_PTS,MATCH(N21,LMH_KEY,0)),0),IFERROR(INDEX(LMH_PTS,MATCH(O21,LMH_KEY,0)),0),IFERROR(INDEX(LMH_PTS,MATCH(P21,LMH_KEY,0)),0)),""))</f>
        <v>0.473684210526316</v>
      </c>
      <c r="R21" s="74">
        <f>IF(K21="","",IFERROR(INDEX(LMH_PTS,MATCH(K21,LMH_KEY,0))/SUM(IFERROR(INDEX(LMH_PTS,MATCH(J21,LMH_KEY,0)),0),IFERROR(INDEX(LMH_PTS,MATCH(K21,LMH_KEY,0)),0),IFERROR(INDEX(LMH_PTS,MATCH(L21,LMH_KEY,0)),0),IFERROR(INDEX(LMH_PTS,MATCH(M21,LMH_KEY,0)),0),IFERROR(INDEX(LMH_PTS,MATCH(N21,LMH_KEY,0)),0),IFERROR(INDEX(LMH_PTS,MATCH(O21,LMH_KEY,0)),0),IFERROR(INDEX(LMH_PTS,MATCH(P21,LMH_KEY,0)),0)),""))</f>
        <v>0.157894736842105</v>
      </c>
      <c r="S21" s="74">
        <f>IF(L21="","",IFERROR(INDEX(LMH_PTS,MATCH(L21,LMH_KEY,0))/SUM(IFERROR(INDEX(LMH_PTS,MATCH(J21,LMH_KEY,0)),0),IFERROR(INDEX(LMH_PTS,MATCH(K21,LMH_KEY,0)),0),IFERROR(INDEX(LMH_PTS,MATCH(L21,LMH_KEY,0)),0),IFERROR(INDEX(LMH_PTS,MATCH(M21,LMH_KEY,0)),0),IFERROR(INDEX(LMH_PTS,MATCH(N21,LMH_KEY,0)),0),IFERROR(INDEX(LMH_PTS,MATCH(O21,LMH_KEY,0)),0),IFERROR(INDEX(LMH_PTS,MATCH(P21,LMH_KEY,0)),0)),""))</f>
        <v>0.157894736842105</v>
      </c>
      <c r="T21" s="74">
        <f>IF(M21="","",IFERROR(INDEX(LMH_PTS,MATCH(M21,LMH_KEY,0))/SUM(IFERROR(INDEX(LMH_PTS,MATCH(J21,LMH_KEY,0)),0),IFERROR(INDEX(LMH_PTS,MATCH(K21,LMH_KEY,0)),0),IFERROR(INDEX(LMH_PTS,MATCH(L21,LMH_KEY,0)),0),IFERROR(INDEX(LMH_PTS,MATCH(M21,LMH_KEY,0)),0),IFERROR(INDEX(LMH_PTS,MATCH(N21,LMH_KEY,0)),0),IFERROR(INDEX(LMH_PTS,MATCH(O21,LMH_KEY,0)),0),IFERROR(INDEX(LMH_PTS,MATCH(P21,LMH_KEY,0)),0)),""))</f>
        <v>0.0526315789473684</v>
      </c>
      <c r="U21" s="74">
        <f>IF(N21="","",IFERROR(INDEX(LMH_PTS,MATCH(N21,LMH_KEY,0))/SUM(IFERROR(INDEX(LMH_PTS,MATCH(J21,LMH_KEY,0)),0),IFERROR(INDEX(LMH_PTS,MATCH(K21,LMH_KEY,0)),0),IFERROR(INDEX(LMH_PTS,MATCH(L21,LMH_KEY,0)),0),IFERROR(INDEX(LMH_PTS,MATCH(M21,LMH_KEY,0)),0),IFERROR(INDEX(LMH_PTS,MATCH(N21,LMH_KEY,0)),0),IFERROR(INDEX(LMH_PTS,MATCH(O21,LMH_KEY,0)),0),IFERROR(INDEX(LMH_PTS,MATCH(P21,LMH_KEY,0)),0)),""))</f>
        <v>0.0526315789473684</v>
      </c>
      <c r="V21" s="74">
        <f>IF(O21="","",IFERROR(INDEX(LMH_PTS,MATCH(O21,LMH_KEY,0))/SUM(IFERROR(INDEX(LMH_PTS,MATCH(J21,LMH_KEY,0)),0),IFERROR(INDEX(LMH_PTS,MATCH(K21,LMH_KEY,0)),0),IFERROR(INDEX(LMH_PTS,MATCH(L21,LMH_KEY,0)),0),IFERROR(INDEX(LMH_PTS,MATCH(M21,LMH_KEY,0)),0),IFERROR(INDEX(LMH_PTS,MATCH(N21,LMH_KEY,0)),0),IFERROR(INDEX(LMH_PTS,MATCH(O21,LMH_KEY,0)),0),IFERROR(INDEX(LMH_PTS,MATCH(P21,LMH_KEY,0)),0)),""))</f>
        <v>0.0526315789473684</v>
      </c>
      <c r="W21" s="74">
        <f>IF(P21="","",IFERROR(INDEX(LMH_PTS,MATCH(P21,LMH_KEY,0))/SUM(IFERROR(INDEX(LMH_PTS,MATCH(J21,LMH_KEY,0)),0),IFERROR(INDEX(LMH_PTS,MATCH(K21,LMH_KEY,0)),0),IFERROR(INDEX(LMH_PTS,MATCH(L21,LMH_KEY,0)),0),IFERROR(INDEX(LMH_PTS,MATCH(M21,LMH_KEY,0)),0),IFERROR(INDEX(LMH_PTS,MATCH(N21,LMH_KEY,0)),0),IFERROR(INDEX(LMH_PTS,MATCH(O21,LMH_KEY,0)),0),IFERROR(INDEX(LMH_PTS,MATCH(P21,LMH_KEY,0)),0)),""))</f>
        <v>0.0526315789473684</v>
      </c>
      <c r="X21" s="44" t="n"/>
      <c r="Y21" s="38" t="inlineStr">
        <is>
          <t>Corporate|HR|HR Specialist|B1|B-IC</t>
        </is>
      </c>
    </row>
    <row r="22" ht="18" customHeight="1">
      <c r="A22" s="28" t="inlineStr">
        <is>
          <t>Corporate</t>
        </is>
      </c>
      <c r="B22" s="29" t="inlineStr">
        <is>
          <t>HR</t>
        </is>
      </c>
      <c r="C22" s="72" t="inlineStr">
        <is>
          <t>B1</t>
        </is>
      </c>
      <c r="D22" s="29" t="inlineStr">
        <is>
          <t>Band B · Specialist / Manager</t>
        </is>
      </c>
      <c r="E22" s="29" t="inlineStr">
        <is>
          <t>HR Specialist – POD Lead</t>
        </is>
      </c>
      <c r="F22" s="29" t="inlineStr">
        <is>
          <t>Band B · Specialist / POD Lead</t>
        </is>
      </c>
      <c r="G22" s="29" t="inlineStr">
        <is>
          <t>Human Resources</t>
        </is>
      </c>
      <c r="H22" s="29" t="n">
        <v>1</v>
      </c>
      <c r="I22" s="29" t="inlineStr">
        <is>
          <t>Nikitha Nair</t>
        </is>
      </c>
      <c r="J22" s="34" t="str">
        <f>IFERROR(INDEX(RBD_C,MATCH("Human Resources|B1|B-IC",RBD_KEY,0)),"M")</f>
        <v>H</v>
      </c>
      <c r="K22" s="35" t="str">
        <f>IFERROR(INDEX(RBD_Au,MATCH("Human Resources|B1|B-IC",RBD_KEY,0)),"M")</f>
        <v>M</v>
      </c>
      <c r="L22" s="35" t="str">
        <f>IFERROR(INDEX(RBD_Ac,MATCH("Human Resources|B1|B-IC",RBD_KEY,0)),"M")</f>
        <v>M</v>
      </c>
      <c r="M22" s="35" t="str">
        <f>IFERROR(INDEX(RBD_L,MATCH("Human Resources|B1|B-IC",RBD_KEY,0)),"M")</f>
        <v>L</v>
      </c>
      <c r="N22" s="35" t="str">
        <f>IFERROR(INDEX(RBD_BI,MATCH("Human Resources|B1|B-IC",RBD_KEY,0)),"M")</f>
        <v>L</v>
      </c>
      <c r="O22" s="35" t="str">
        <f>IFERROR(INDEX(RBD_Exp,MATCH("Human Resources|B1|B-IC",RBD_KEY,0)),"M")</f>
        <v>L</v>
      </c>
      <c r="P22" s="35" t="str">
        <f>IFERROR(INDEX(RBD_Edu,MATCH("Human Resources|B1|B-IC",RBD_KEY,0)),"M")</f>
        <v>L</v>
      </c>
      <c r="Q22" s="73">
        <f>IF(J22="","",IFERROR(INDEX(LMH_PTS,MATCH(J22,LMH_KEY,0))/SUM(IFERROR(INDEX(LMH_PTS,MATCH(J22,LMH_KEY,0)),0),IFERROR(INDEX(LMH_PTS,MATCH(K22,LMH_KEY,0)),0),IFERROR(INDEX(LMH_PTS,MATCH(L22,LMH_KEY,0)),0),IFERROR(INDEX(LMH_PTS,MATCH(M22,LMH_KEY,0)),0),IFERROR(INDEX(LMH_PTS,MATCH(N22,LMH_KEY,0)),0),IFERROR(INDEX(LMH_PTS,MATCH(O22,LMH_KEY,0)),0),IFERROR(INDEX(LMH_PTS,MATCH(P22,LMH_KEY,0)),0)),""))</f>
        <v>0.473684210526316</v>
      </c>
      <c r="R22" s="74">
        <f>IF(K22="","",IFERROR(INDEX(LMH_PTS,MATCH(K22,LMH_KEY,0))/SUM(IFERROR(INDEX(LMH_PTS,MATCH(J22,LMH_KEY,0)),0),IFERROR(INDEX(LMH_PTS,MATCH(K22,LMH_KEY,0)),0),IFERROR(INDEX(LMH_PTS,MATCH(L22,LMH_KEY,0)),0),IFERROR(INDEX(LMH_PTS,MATCH(M22,LMH_KEY,0)),0),IFERROR(INDEX(LMH_PTS,MATCH(N22,LMH_KEY,0)),0),IFERROR(INDEX(LMH_PTS,MATCH(O22,LMH_KEY,0)),0),IFERROR(INDEX(LMH_PTS,MATCH(P22,LMH_KEY,0)),0)),""))</f>
        <v>0.157894736842105</v>
      </c>
      <c r="S22" s="74">
        <f>IF(L22="","",IFERROR(INDEX(LMH_PTS,MATCH(L22,LMH_KEY,0))/SUM(IFERROR(INDEX(LMH_PTS,MATCH(J22,LMH_KEY,0)),0),IFERROR(INDEX(LMH_PTS,MATCH(K22,LMH_KEY,0)),0),IFERROR(INDEX(LMH_PTS,MATCH(L22,LMH_KEY,0)),0),IFERROR(INDEX(LMH_PTS,MATCH(M22,LMH_KEY,0)),0),IFERROR(INDEX(LMH_PTS,MATCH(N22,LMH_KEY,0)),0),IFERROR(INDEX(LMH_PTS,MATCH(O22,LMH_KEY,0)),0),IFERROR(INDEX(LMH_PTS,MATCH(P22,LMH_KEY,0)),0)),""))</f>
        <v>0.157894736842105</v>
      </c>
      <c r="T22" s="74">
        <f>IF(M22="","",IFERROR(INDEX(LMH_PTS,MATCH(M22,LMH_KEY,0))/SUM(IFERROR(INDEX(LMH_PTS,MATCH(J22,LMH_KEY,0)),0),IFERROR(INDEX(LMH_PTS,MATCH(K22,LMH_KEY,0)),0),IFERROR(INDEX(LMH_PTS,MATCH(L22,LMH_KEY,0)),0),IFERROR(INDEX(LMH_PTS,MATCH(M22,LMH_KEY,0)),0),IFERROR(INDEX(LMH_PTS,MATCH(N22,LMH_KEY,0)),0),IFERROR(INDEX(LMH_PTS,MATCH(O22,LMH_KEY,0)),0),IFERROR(INDEX(LMH_PTS,MATCH(P22,LMH_KEY,0)),0)),""))</f>
        <v>0.0526315789473684</v>
      </c>
      <c r="U22" s="74">
        <f>IF(N22="","",IFERROR(INDEX(LMH_PTS,MATCH(N22,LMH_KEY,0))/SUM(IFERROR(INDEX(LMH_PTS,MATCH(J22,LMH_KEY,0)),0),IFERROR(INDEX(LMH_PTS,MATCH(K22,LMH_KEY,0)),0),IFERROR(INDEX(LMH_PTS,MATCH(L22,LMH_KEY,0)),0),IFERROR(INDEX(LMH_PTS,MATCH(M22,LMH_KEY,0)),0),IFERROR(INDEX(LMH_PTS,MATCH(N22,LMH_KEY,0)),0),IFERROR(INDEX(LMH_PTS,MATCH(O22,LMH_KEY,0)),0),IFERROR(INDEX(LMH_PTS,MATCH(P22,LMH_KEY,0)),0)),""))</f>
        <v>0.0526315789473684</v>
      </c>
      <c r="V22" s="74">
        <f>IF(O22="","",IFERROR(INDEX(LMH_PTS,MATCH(O22,LMH_KEY,0))/SUM(IFERROR(INDEX(LMH_PTS,MATCH(J22,LMH_KEY,0)),0),IFERROR(INDEX(LMH_PTS,MATCH(K22,LMH_KEY,0)),0),IFERROR(INDEX(LMH_PTS,MATCH(L22,LMH_KEY,0)),0),IFERROR(INDEX(LMH_PTS,MATCH(M22,LMH_KEY,0)),0),IFERROR(INDEX(LMH_PTS,MATCH(N22,LMH_KEY,0)),0),IFERROR(INDEX(LMH_PTS,MATCH(O22,LMH_KEY,0)),0),IFERROR(INDEX(LMH_PTS,MATCH(P22,LMH_KEY,0)),0)),""))</f>
        <v>0.0526315789473684</v>
      </c>
      <c r="W22" s="74">
        <f>IF(P22="","",IFERROR(INDEX(LMH_PTS,MATCH(P22,LMH_KEY,0))/SUM(IFERROR(INDEX(LMH_PTS,MATCH(J22,LMH_KEY,0)),0),IFERROR(INDEX(LMH_PTS,MATCH(K22,LMH_KEY,0)),0),IFERROR(INDEX(LMH_PTS,MATCH(L22,LMH_KEY,0)),0),IFERROR(INDEX(LMH_PTS,MATCH(M22,LMH_KEY,0)),0),IFERROR(INDEX(LMH_PTS,MATCH(N22,LMH_KEY,0)),0),IFERROR(INDEX(LMH_PTS,MATCH(O22,LMH_KEY,0)),0),IFERROR(INDEX(LMH_PTS,MATCH(P22,LMH_KEY,0)),0)),""))</f>
        <v>0.0526315789473684</v>
      </c>
      <c r="X22" s="44" t="n"/>
      <c r="Y22" s="38" t="inlineStr">
        <is>
          <t>Corporate|HR|HR Specialist – POD Lead|B1|B-IC</t>
        </is>
      </c>
    </row>
    <row r="23" ht="28" customHeight="1">
      <c r="A23" s="28" t="inlineStr">
        <is>
          <t>Corporate</t>
        </is>
      </c>
      <c r="B23" s="29" t="inlineStr">
        <is>
          <t>HR</t>
        </is>
      </c>
      <c r="C23" s="75" t="inlineStr">
        <is>
          <t>A3</t>
        </is>
      </c>
      <c r="D23" s="29" t="inlineStr">
        <is>
          <t>Band A · Practitioner</t>
        </is>
      </c>
      <c r="E23" s="29" t="inlineStr">
        <is>
          <t>Senior Talent Acquisition Executive</t>
        </is>
      </c>
      <c r="F23" s="29" t="inlineStr">
        <is>
          <t>Band A · all tracks</t>
        </is>
      </c>
      <c r="G23" s="29" t="inlineStr">
        <is>
          <t>Human Resources</t>
        </is>
      </c>
      <c r="H23" s="29" t="n">
        <v>2</v>
      </c>
      <c r="I23" s="29" t="inlineStr">
        <is>
          <t>Renuka Badhoria, Shruti Gawas</t>
        </is>
      </c>
      <c r="J23" s="34" t="str">
        <f>IFERROR(INDEX(RBD_C,MATCH("Human Resources|A3|A",RBD_KEY,0)),"M")</f>
        <v>H</v>
      </c>
      <c r="K23" s="35" t="str">
        <f>IFERROR(INDEX(RBD_Au,MATCH("Human Resources|A3|A",RBD_KEY,0)),"M")</f>
        <v>M</v>
      </c>
      <c r="L23" s="35" t="str">
        <f>IFERROR(INDEX(RBD_Ac,MATCH("Human Resources|A3|A",RBD_KEY,0)),"M")</f>
        <v>M</v>
      </c>
      <c r="M23" s="35" t="str">
        <f>IFERROR(INDEX(RBD_L,MATCH("Human Resources|A3|A",RBD_KEY,0)),"M")</f>
        <v>L</v>
      </c>
      <c r="N23" s="35" t="str">
        <f>IFERROR(INDEX(RBD_BI,MATCH("Human Resources|A3|A",RBD_KEY,0)),"M")</f>
        <v>L</v>
      </c>
      <c r="O23" s="35" t="str">
        <f>IFERROR(INDEX(RBD_Exp,MATCH("Human Resources|A3|A",RBD_KEY,0)),"M")</f>
        <v>L</v>
      </c>
      <c r="P23" s="35" t="str">
        <f>IFERROR(INDEX(RBD_Edu,MATCH("Human Resources|A3|A",RBD_KEY,0)),"M")</f>
        <v>M</v>
      </c>
      <c r="Q23" s="73">
        <f>IF(J23="","",IFERROR(INDEX(LMH_PTS,MATCH(J23,LMH_KEY,0))/SUM(IFERROR(INDEX(LMH_PTS,MATCH(J23,LMH_KEY,0)),0),IFERROR(INDEX(LMH_PTS,MATCH(K23,LMH_KEY,0)),0),IFERROR(INDEX(LMH_PTS,MATCH(L23,LMH_KEY,0)),0),IFERROR(INDEX(LMH_PTS,MATCH(M23,LMH_KEY,0)),0),IFERROR(INDEX(LMH_PTS,MATCH(N23,LMH_KEY,0)),0),IFERROR(INDEX(LMH_PTS,MATCH(O23,LMH_KEY,0)),0),IFERROR(INDEX(LMH_PTS,MATCH(P23,LMH_KEY,0)),0)),""))</f>
        <v>0.428571428571429</v>
      </c>
      <c r="R23" s="74">
        <f>IF(K23="","",IFERROR(INDEX(LMH_PTS,MATCH(K23,LMH_KEY,0))/SUM(IFERROR(INDEX(LMH_PTS,MATCH(J23,LMH_KEY,0)),0),IFERROR(INDEX(LMH_PTS,MATCH(K23,LMH_KEY,0)),0),IFERROR(INDEX(LMH_PTS,MATCH(L23,LMH_KEY,0)),0),IFERROR(INDEX(LMH_PTS,MATCH(M23,LMH_KEY,0)),0),IFERROR(INDEX(LMH_PTS,MATCH(N23,LMH_KEY,0)),0),IFERROR(INDEX(LMH_PTS,MATCH(O23,LMH_KEY,0)),0),IFERROR(INDEX(LMH_PTS,MATCH(P23,LMH_KEY,0)),0)),""))</f>
        <v>0.142857142857143</v>
      </c>
      <c r="S23" s="74">
        <f>IF(L23="","",IFERROR(INDEX(LMH_PTS,MATCH(L23,LMH_KEY,0))/SUM(IFERROR(INDEX(LMH_PTS,MATCH(J23,LMH_KEY,0)),0),IFERROR(INDEX(LMH_PTS,MATCH(K23,LMH_KEY,0)),0),IFERROR(INDEX(LMH_PTS,MATCH(L23,LMH_KEY,0)),0),IFERROR(INDEX(LMH_PTS,MATCH(M23,LMH_KEY,0)),0),IFERROR(INDEX(LMH_PTS,MATCH(N23,LMH_KEY,0)),0),IFERROR(INDEX(LMH_PTS,MATCH(O23,LMH_KEY,0)),0),IFERROR(INDEX(LMH_PTS,MATCH(P23,LMH_KEY,0)),0)),""))</f>
        <v>0.142857142857143</v>
      </c>
      <c r="T23" s="74">
        <f>IF(M23="","",IFERROR(INDEX(LMH_PTS,MATCH(M23,LMH_KEY,0))/SUM(IFERROR(INDEX(LMH_PTS,MATCH(J23,LMH_KEY,0)),0),IFERROR(INDEX(LMH_PTS,MATCH(K23,LMH_KEY,0)),0),IFERROR(INDEX(LMH_PTS,MATCH(L23,LMH_KEY,0)),0),IFERROR(INDEX(LMH_PTS,MATCH(M23,LMH_KEY,0)),0),IFERROR(INDEX(LMH_PTS,MATCH(N23,LMH_KEY,0)),0),IFERROR(INDEX(LMH_PTS,MATCH(O23,LMH_KEY,0)),0),IFERROR(INDEX(LMH_PTS,MATCH(P23,LMH_KEY,0)),0)),""))</f>
        <v>0.0476190476190476</v>
      </c>
      <c r="U23" s="74">
        <f>IF(N23="","",IFERROR(INDEX(LMH_PTS,MATCH(N23,LMH_KEY,0))/SUM(IFERROR(INDEX(LMH_PTS,MATCH(J23,LMH_KEY,0)),0),IFERROR(INDEX(LMH_PTS,MATCH(K23,LMH_KEY,0)),0),IFERROR(INDEX(LMH_PTS,MATCH(L23,LMH_KEY,0)),0),IFERROR(INDEX(LMH_PTS,MATCH(M23,LMH_KEY,0)),0),IFERROR(INDEX(LMH_PTS,MATCH(N23,LMH_KEY,0)),0),IFERROR(INDEX(LMH_PTS,MATCH(O23,LMH_KEY,0)),0),IFERROR(INDEX(LMH_PTS,MATCH(P23,LMH_KEY,0)),0)),""))</f>
        <v>0.0476190476190476</v>
      </c>
      <c r="V23" s="74">
        <f>IF(O23="","",IFERROR(INDEX(LMH_PTS,MATCH(O23,LMH_KEY,0))/SUM(IFERROR(INDEX(LMH_PTS,MATCH(J23,LMH_KEY,0)),0),IFERROR(INDEX(LMH_PTS,MATCH(K23,LMH_KEY,0)),0),IFERROR(INDEX(LMH_PTS,MATCH(L23,LMH_KEY,0)),0),IFERROR(INDEX(LMH_PTS,MATCH(M23,LMH_KEY,0)),0),IFERROR(INDEX(LMH_PTS,MATCH(N23,LMH_KEY,0)),0),IFERROR(INDEX(LMH_PTS,MATCH(O23,LMH_KEY,0)),0),IFERROR(INDEX(LMH_PTS,MATCH(P23,LMH_KEY,0)),0)),""))</f>
        <v>0.0476190476190476</v>
      </c>
      <c r="W23" s="74">
        <f>IF(P23="","",IFERROR(INDEX(LMH_PTS,MATCH(P23,LMH_KEY,0))/SUM(IFERROR(INDEX(LMH_PTS,MATCH(J23,LMH_KEY,0)),0),IFERROR(INDEX(LMH_PTS,MATCH(K23,LMH_KEY,0)),0),IFERROR(INDEX(LMH_PTS,MATCH(L23,LMH_KEY,0)),0),IFERROR(INDEX(LMH_PTS,MATCH(M23,LMH_KEY,0)),0),IFERROR(INDEX(LMH_PTS,MATCH(N23,LMH_KEY,0)),0),IFERROR(INDEX(LMH_PTS,MATCH(O23,LMH_KEY,0)),0),IFERROR(INDEX(LMH_PTS,MATCH(P23,LMH_KEY,0)),0)),""))</f>
        <v>0.142857142857143</v>
      </c>
      <c r="X23" s="44" t="n"/>
      <c r="Y23" s="38" t="inlineStr">
        <is>
          <t>Corporate|HR|Senior Talent Acquisition Executive|A3|A</t>
        </is>
      </c>
    </row>
    <row r="24" ht="18" customHeight="1">
      <c r="A24" s="28" t="inlineStr">
        <is>
          <t>Corporate</t>
        </is>
      </c>
      <c r="B24" s="29" t="inlineStr">
        <is>
          <t>HR</t>
        </is>
      </c>
      <c r="C24" s="75" t="inlineStr">
        <is>
          <t>A2</t>
        </is>
      </c>
      <c r="D24" s="29" t="inlineStr">
        <is>
          <t>Band A · Practitioner</t>
        </is>
      </c>
      <c r="E24" s="29" t="inlineStr">
        <is>
          <t>HR Executive</t>
        </is>
      </c>
      <c r="F24" s="29" t="inlineStr">
        <is>
          <t>Band A · all tracks</t>
        </is>
      </c>
      <c r="G24" s="29" t="inlineStr">
        <is>
          <t>Human Resources</t>
        </is>
      </c>
      <c r="H24" s="29" t="n">
        <v>1</v>
      </c>
      <c r="I24" s="29" t="inlineStr">
        <is>
          <t>Blossom Dsouza</t>
        </is>
      </c>
      <c r="J24" s="34" t="str">
        <f>IFERROR(INDEX(RBD_C,MATCH("Human Resources|A2|A",RBD_KEY,0)),"M")</f>
        <v>H</v>
      </c>
      <c r="K24" s="35" t="str">
        <f>IFERROR(INDEX(RBD_Au,MATCH("Human Resources|A2|A",RBD_KEY,0)),"M")</f>
        <v>M</v>
      </c>
      <c r="L24" s="35" t="str">
        <f>IFERROR(INDEX(RBD_Ac,MATCH("Human Resources|A2|A",RBD_KEY,0)),"M")</f>
        <v>M</v>
      </c>
      <c r="M24" s="35" t="str">
        <f>IFERROR(INDEX(RBD_L,MATCH("Human Resources|A2|A",RBD_KEY,0)),"M")</f>
        <v>L</v>
      </c>
      <c r="N24" s="35" t="str">
        <f>IFERROR(INDEX(RBD_BI,MATCH("Human Resources|A2|A",RBD_KEY,0)),"M")</f>
        <v>L</v>
      </c>
      <c r="O24" s="35" t="str">
        <f>IFERROR(INDEX(RBD_Exp,MATCH("Human Resources|A2|A",RBD_KEY,0)),"M")</f>
        <v>L</v>
      </c>
      <c r="P24" s="35" t="str">
        <f>IFERROR(INDEX(RBD_Edu,MATCH("Human Resources|A2|A",RBD_KEY,0)),"M")</f>
        <v>M</v>
      </c>
      <c r="Q24" s="73">
        <f>IF(J24="","",IFERROR(INDEX(LMH_PTS,MATCH(J24,LMH_KEY,0))/SUM(IFERROR(INDEX(LMH_PTS,MATCH(J24,LMH_KEY,0)),0),IFERROR(INDEX(LMH_PTS,MATCH(K24,LMH_KEY,0)),0),IFERROR(INDEX(LMH_PTS,MATCH(L24,LMH_KEY,0)),0),IFERROR(INDEX(LMH_PTS,MATCH(M24,LMH_KEY,0)),0),IFERROR(INDEX(LMH_PTS,MATCH(N24,LMH_KEY,0)),0),IFERROR(INDEX(LMH_PTS,MATCH(O24,LMH_KEY,0)),0),IFERROR(INDEX(LMH_PTS,MATCH(P24,LMH_KEY,0)),0)),""))</f>
        <v>0.428571428571429</v>
      </c>
      <c r="R24" s="74">
        <f>IF(K24="","",IFERROR(INDEX(LMH_PTS,MATCH(K24,LMH_KEY,0))/SUM(IFERROR(INDEX(LMH_PTS,MATCH(J24,LMH_KEY,0)),0),IFERROR(INDEX(LMH_PTS,MATCH(K24,LMH_KEY,0)),0),IFERROR(INDEX(LMH_PTS,MATCH(L24,LMH_KEY,0)),0),IFERROR(INDEX(LMH_PTS,MATCH(M24,LMH_KEY,0)),0),IFERROR(INDEX(LMH_PTS,MATCH(N24,LMH_KEY,0)),0),IFERROR(INDEX(LMH_PTS,MATCH(O24,LMH_KEY,0)),0),IFERROR(INDEX(LMH_PTS,MATCH(P24,LMH_KEY,0)),0)),""))</f>
        <v>0.142857142857143</v>
      </c>
      <c r="S24" s="74">
        <f>IF(L24="","",IFERROR(INDEX(LMH_PTS,MATCH(L24,LMH_KEY,0))/SUM(IFERROR(INDEX(LMH_PTS,MATCH(J24,LMH_KEY,0)),0),IFERROR(INDEX(LMH_PTS,MATCH(K24,LMH_KEY,0)),0),IFERROR(INDEX(LMH_PTS,MATCH(L24,LMH_KEY,0)),0),IFERROR(INDEX(LMH_PTS,MATCH(M24,LMH_KEY,0)),0),IFERROR(INDEX(LMH_PTS,MATCH(N24,LMH_KEY,0)),0),IFERROR(INDEX(LMH_PTS,MATCH(O24,LMH_KEY,0)),0),IFERROR(INDEX(LMH_PTS,MATCH(P24,LMH_KEY,0)),0)),""))</f>
        <v>0.142857142857143</v>
      </c>
      <c r="T24" s="74">
        <f>IF(M24="","",IFERROR(INDEX(LMH_PTS,MATCH(M24,LMH_KEY,0))/SUM(IFERROR(INDEX(LMH_PTS,MATCH(J24,LMH_KEY,0)),0),IFERROR(INDEX(LMH_PTS,MATCH(K24,LMH_KEY,0)),0),IFERROR(INDEX(LMH_PTS,MATCH(L24,LMH_KEY,0)),0),IFERROR(INDEX(LMH_PTS,MATCH(M24,LMH_KEY,0)),0),IFERROR(INDEX(LMH_PTS,MATCH(N24,LMH_KEY,0)),0),IFERROR(INDEX(LMH_PTS,MATCH(O24,LMH_KEY,0)),0),IFERROR(INDEX(LMH_PTS,MATCH(P24,LMH_KEY,0)),0)),""))</f>
        <v>0.0476190476190476</v>
      </c>
      <c r="U24" s="74">
        <f>IF(N24="","",IFERROR(INDEX(LMH_PTS,MATCH(N24,LMH_KEY,0))/SUM(IFERROR(INDEX(LMH_PTS,MATCH(J24,LMH_KEY,0)),0),IFERROR(INDEX(LMH_PTS,MATCH(K24,LMH_KEY,0)),0),IFERROR(INDEX(LMH_PTS,MATCH(L24,LMH_KEY,0)),0),IFERROR(INDEX(LMH_PTS,MATCH(M24,LMH_KEY,0)),0),IFERROR(INDEX(LMH_PTS,MATCH(N24,LMH_KEY,0)),0),IFERROR(INDEX(LMH_PTS,MATCH(O24,LMH_KEY,0)),0),IFERROR(INDEX(LMH_PTS,MATCH(P24,LMH_KEY,0)),0)),""))</f>
        <v>0.0476190476190476</v>
      </c>
      <c r="V24" s="74">
        <f>IF(O24="","",IFERROR(INDEX(LMH_PTS,MATCH(O24,LMH_KEY,0))/SUM(IFERROR(INDEX(LMH_PTS,MATCH(J24,LMH_KEY,0)),0),IFERROR(INDEX(LMH_PTS,MATCH(K24,LMH_KEY,0)),0),IFERROR(INDEX(LMH_PTS,MATCH(L24,LMH_KEY,0)),0),IFERROR(INDEX(LMH_PTS,MATCH(M24,LMH_KEY,0)),0),IFERROR(INDEX(LMH_PTS,MATCH(N24,LMH_KEY,0)),0),IFERROR(INDEX(LMH_PTS,MATCH(O24,LMH_KEY,0)),0),IFERROR(INDEX(LMH_PTS,MATCH(P24,LMH_KEY,0)),0)),""))</f>
        <v>0.0476190476190476</v>
      </c>
      <c r="W24" s="74">
        <f>IF(P24="","",IFERROR(INDEX(LMH_PTS,MATCH(P24,LMH_KEY,0))/SUM(IFERROR(INDEX(LMH_PTS,MATCH(J24,LMH_KEY,0)),0),IFERROR(INDEX(LMH_PTS,MATCH(K24,LMH_KEY,0)),0),IFERROR(INDEX(LMH_PTS,MATCH(L24,LMH_KEY,0)),0),IFERROR(INDEX(LMH_PTS,MATCH(M24,LMH_KEY,0)),0),IFERROR(INDEX(LMH_PTS,MATCH(N24,LMH_KEY,0)),0),IFERROR(INDEX(LMH_PTS,MATCH(O24,LMH_KEY,0)),0),IFERROR(INDEX(LMH_PTS,MATCH(P24,LMH_KEY,0)),0)),""))</f>
        <v>0.142857142857143</v>
      </c>
      <c r="X24" s="44" t="n"/>
      <c r="Y24" s="38" t="inlineStr">
        <is>
          <t>Corporate|HR|HR Executive|A2|A</t>
        </is>
      </c>
    </row>
    <row r="25" ht="18" customHeight="1">
      <c r="A25" s="28" t="inlineStr">
        <is>
          <t>Corporate</t>
        </is>
      </c>
      <c r="B25" s="71" t="inlineStr">
        <is>
          <t>IT &amp; Infrastructure</t>
        </is>
      </c>
      <c r="C25" s="72" t="inlineStr">
        <is>
          <t>B2</t>
        </is>
      </c>
      <c r="D25" s="29" t="inlineStr">
        <is>
          <t>Band B · Specialist / Manager</t>
        </is>
      </c>
      <c r="E25" s="29" t="inlineStr">
        <is>
          <t>Senior IT Manager</t>
        </is>
      </c>
      <c r="F25" s="29" t="inlineStr">
        <is>
          <t>Band B · People Manager</t>
        </is>
      </c>
      <c r="G25" s="29" t="inlineStr">
        <is>
          <t>IT &amp; Infrastructure</t>
        </is>
      </c>
      <c r="H25" s="29" t="n">
        <v>1</v>
      </c>
      <c r="I25" s="29" t="inlineStr">
        <is>
          <t>Mahesh Tilave</t>
        </is>
      </c>
      <c r="J25" s="34" t="str">
        <f>IFERROR(INDEX(RBD_C,MATCH("IT &amp; Infrastructure|B2|B-M",RBD_KEY,0)),"M")</f>
        <v>H</v>
      </c>
      <c r="K25" s="35" t="str">
        <f>IFERROR(INDEX(RBD_Au,MATCH("IT &amp; Infrastructure|B2|B-M",RBD_KEY,0)),"M")</f>
        <v>M</v>
      </c>
      <c r="L25" s="35" t="str">
        <f>IFERROR(INDEX(RBD_Ac,MATCH("IT &amp; Infrastructure|B2|B-M",RBD_KEY,0)),"M")</f>
        <v>L</v>
      </c>
      <c r="M25" s="35" t="str">
        <f>IFERROR(INDEX(RBD_L,MATCH("IT &amp; Infrastructure|B2|B-M",RBD_KEY,0)),"M")</f>
        <v>M</v>
      </c>
      <c r="N25" s="35" t="str">
        <f>IFERROR(INDEX(RBD_BI,MATCH("IT &amp; Infrastructure|B2|B-M",RBD_KEY,0)),"M")</f>
        <v>L</v>
      </c>
      <c r="O25" s="35" t="str">
        <f>IFERROR(INDEX(RBD_Exp,MATCH("IT &amp; Infrastructure|B2|B-M",RBD_KEY,0)),"M")</f>
        <v>L</v>
      </c>
      <c r="P25" s="35" t="str">
        <f>IFERROR(INDEX(RBD_Edu,MATCH("IT &amp; Infrastructure|B2|B-M",RBD_KEY,0)),"M")</f>
        <v>L</v>
      </c>
      <c r="Q25" s="73">
        <f>IF(J25="","",IFERROR(INDEX(LMH_PTS,MATCH(J25,LMH_KEY,0))/SUM(IFERROR(INDEX(LMH_PTS,MATCH(J25,LMH_KEY,0)),0),IFERROR(INDEX(LMH_PTS,MATCH(K25,LMH_KEY,0)),0),IFERROR(INDEX(LMH_PTS,MATCH(L25,LMH_KEY,0)),0),IFERROR(INDEX(LMH_PTS,MATCH(M25,LMH_KEY,0)),0),IFERROR(INDEX(LMH_PTS,MATCH(N25,LMH_KEY,0)),0),IFERROR(INDEX(LMH_PTS,MATCH(O25,LMH_KEY,0)),0),IFERROR(INDEX(LMH_PTS,MATCH(P25,LMH_KEY,0)),0)),""))</f>
        <v>0.473684210526316</v>
      </c>
      <c r="R25" s="74">
        <f>IF(K25="","",IFERROR(INDEX(LMH_PTS,MATCH(K25,LMH_KEY,0))/SUM(IFERROR(INDEX(LMH_PTS,MATCH(J25,LMH_KEY,0)),0),IFERROR(INDEX(LMH_PTS,MATCH(K25,LMH_KEY,0)),0),IFERROR(INDEX(LMH_PTS,MATCH(L25,LMH_KEY,0)),0),IFERROR(INDEX(LMH_PTS,MATCH(M25,LMH_KEY,0)),0),IFERROR(INDEX(LMH_PTS,MATCH(N25,LMH_KEY,0)),0),IFERROR(INDEX(LMH_PTS,MATCH(O25,LMH_KEY,0)),0),IFERROR(INDEX(LMH_PTS,MATCH(P25,LMH_KEY,0)),0)),""))</f>
        <v>0.157894736842105</v>
      </c>
      <c r="S25" s="74">
        <f>IF(L25="","",IFERROR(INDEX(LMH_PTS,MATCH(L25,LMH_KEY,0))/SUM(IFERROR(INDEX(LMH_PTS,MATCH(J25,LMH_KEY,0)),0),IFERROR(INDEX(LMH_PTS,MATCH(K25,LMH_KEY,0)),0),IFERROR(INDEX(LMH_PTS,MATCH(L25,LMH_KEY,0)),0),IFERROR(INDEX(LMH_PTS,MATCH(M25,LMH_KEY,0)),0),IFERROR(INDEX(LMH_PTS,MATCH(N25,LMH_KEY,0)),0),IFERROR(INDEX(LMH_PTS,MATCH(O25,LMH_KEY,0)),0),IFERROR(INDEX(LMH_PTS,MATCH(P25,LMH_KEY,0)),0)),""))</f>
        <v>0.0526315789473684</v>
      </c>
      <c r="T25" s="74">
        <f>IF(M25="","",IFERROR(INDEX(LMH_PTS,MATCH(M25,LMH_KEY,0))/SUM(IFERROR(INDEX(LMH_PTS,MATCH(J25,LMH_KEY,0)),0),IFERROR(INDEX(LMH_PTS,MATCH(K25,LMH_KEY,0)),0),IFERROR(INDEX(LMH_PTS,MATCH(L25,LMH_KEY,0)),0),IFERROR(INDEX(LMH_PTS,MATCH(M25,LMH_KEY,0)),0),IFERROR(INDEX(LMH_PTS,MATCH(N25,LMH_KEY,0)),0),IFERROR(INDEX(LMH_PTS,MATCH(O25,LMH_KEY,0)),0),IFERROR(INDEX(LMH_PTS,MATCH(P25,LMH_KEY,0)),0)),""))</f>
        <v>0.157894736842105</v>
      </c>
      <c r="U25" s="74">
        <f>IF(N25="","",IFERROR(INDEX(LMH_PTS,MATCH(N25,LMH_KEY,0))/SUM(IFERROR(INDEX(LMH_PTS,MATCH(J25,LMH_KEY,0)),0),IFERROR(INDEX(LMH_PTS,MATCH(K25,LMH_KEY,0)),0),IFERROR(INDEX(LMH_PTS,MATCH(L25,LMH_KEY,0)),0),IFERROR(INDEX(LMH_PTS,MATCH(M25,LMH_KEY,0)),0),IFERROR(INDEX(LMH_PTS,MATCH(N25,LMH_KEY,0)),0),IFERROR(INDEX(LMH_PTS,MATCH(O25,LMH_KEY,0)),0),IFERROR(INDEX(LMH_PTS,MATCH(P25,LMH_KEY,0)),0)),""))</f>
        <v>0.0526315789473684</v>
      </c>
      <c r="V25" s="74">
        <f>IF(O25="","",IFERROR(INDEX(LMH_PTS,MATCH(O25,LMH_KEY,0))/SUM(IFERROR(INDEX(LMH_PTS,MATCH(J25,LMH_KEY,0)),0),IFERROR(INDEX(LMH_PTS,MATCH(K25,LMH_KEY,0)),0),IFERROR(INDEX(LMH_PTS,MATCH(L25,LMH_KEY,0)),0),IFERROR(INDEX(LMH_PTS,MATCH(M25,LMH_KEY,0)),0),IFERROR(INDEX(LMH_PTS,MATCH(N25,LMH_KEY,0)),0),IFERROR(INDEX(LMH_PTS,MATCH(O25,LMH_KEY,0)),0),IFERROR(INDEX(LMH_PTS,MATCH(P25,LMH_KEY,0)),0)),""))</f>
        <v>0.0526315789473684</v>
      </c>
      <c r="W25" s="74">
        <f>IF(P25="","",IFERROR(INDEX(LMH_PTS,MATCH(P25,LMH_KEY,0))/SUM(IFERROR(INDEX(LMH_PTS,MATCH(J25,LMH_KEY,0)),0),IFERROR(INDEX(LMH_PTS,MATCH(K25,LMH_KEY,0)),0),IFERROR(INDEX(LMH_PTS,MATCH(L25,LMH_KEY,0)),0),IFERROR(INDEX(LMH_PTS,MATCH(M25,LMH_KEY,0)),0),IFERROR(INDEX(LMH_PTS,MATCH(N25,LMH_KEY,0)),0),IFERROR(INDEX(LMH_PTS,MATCH(O25,LMH_KEY,0)),0),IFERROR(INDEX(LMH_PTS,MATCH(P25,LMH_KEY,0)),0)),""))</f>
        <v>0.0526315789473684</v>
      </c>
      <c r="X25" s="44" t="n"/>
      <c r="Y25" s="38" t="inlineStr">
        <is>
          <t>Corporate|IT &amp; Infrastructure|Senior IT Manager|B2|B-M</t>
        </is>
      </c>
    </row>
    <row r="26" ht="18" customHeight="1">
      <c r="A26" s="28" t="inlineStr">
        <is>
          <t>Corporate</t>
        </is>
      </c>
      <c r="B26" s="29" t="inlineStr">
        <is>
          <t>IT &amp; Infrastructure</t>
        </is>
      </c>
      <c r="C26" s="72" t="inlineStr">
        <is>
          <t>B1</t>
        </is>
      </c>
      <c r="D26" s="29" t="inlineStr">
        <is>
          <t>Band B · Specialist / Manager</t>
        </is>
      </c>
      <c r="E26" s="29" t="inlineStr">
        <is>
          <t>IT Infrastructure Manager</t>
        </is>
      </c>
      <c r="F26" s="29" t="inlineStr">
        <is>
          <t>Band B · People Manager</t>
        </is>
      </c>
      <c r="G26" s="29" t="inlineStr">
        <is>
          <t>IT &amp; Infrastructure</t>
        </is>
      </c>
      <c r="H26" s="29" t="n">
        <v>1</v>
      </c>
      <c r="I26" s="29" t="inlineStr">
        <is>
          <t>Vikas Mithbawkar</t>
        </is>
      </c>
      <c r="J26" s="34" t="str">
        <f>IFERROR(INDEX(RBD_C,MATCH("IT &amp; Infrastructure|B1|B-M",RBD_KEY,0)),"M")</f>
        <v>H</v>
      </c>
      <c r="K26" s="35" t="str">
        <f>IFERROR(INDEX(RBD_Au,MATCH("IT &amp; Infrastructure|B1|B-M",RBD_KEY,0)),"M")</f>
        <v>M</v>
      </c>
      <c r="L26" s="35" t="str">
        <f>IFERROR(INDEX(RBD_Ac,MATCH("IT &amp; Infrastructure|B1|B-M",RBD_KEY,0)),"M")</f>
        <v>L</v>
      </c>
      <c r="M26" s="35" t="str">
        <f>IFERROR(INDEX(RBD_L,MATCH("IT &amp; Infrastructure|B1|B-M",RBD_KEY,0)),"M")</f>
        <v>M</v>
      </c>
      <c r="N26" s="35" t="str">
        <f>IFERROR(INDEX(RBD_BI,MATCH("IT &amp; Infrastructure|B1|B-M",RBD_KEY,0)),"M")</f>
        <v>L</v>
      </c>
      <c r="O26" s="35" t="str">
        <f>IFERROR(INDEX(RBD_Exp,MATCH("IT &amp; Infrastructure|B1|B-M",RBD_KEY,0)),"M")</f>
        <v>L</v>
      </c>
      <c r="P26" s="35" t="str">
        <f>IFERROR(INDEX(RBD_Edu,MATCH("IT &amp; Infrastructure|B1|B-M",RBD_KEY,0)),"M")</f>
        <v>L</v>
      </c>
      <c r="Q26" s="73">
        <f>IF(J26="","",IFERROR(INDEX(LMH_PTS,MATCH(J26,LMH_KEY,0))/SUM(IFERROR(INDEX(LMH_PTS,MATCH(J26,LMH_KEY,0)),0),IFERROR(INDEX(LMH_PTS,MATCH(K26,LMH_KEY,0)),0),IFERROR(INDEX(LMH_PTS,MATCH(L26,LMH_KEY,0)),0),IFERROR(INDEX(LMH_PTS,MATCH(M26,LMH_KEY,0)),0),IFERROR(INDEX(LMH_PTS,MATCH(N26,LMH_KEY,0)),0),IFERROR(INDEX(LMH_PTS,MATCH(O26,LMH_KEY,0)),0),IFERROR(INDEX(LMH_PTS,MATCH(P26,LMH_KEY,0)),0)),""))</f>
        <v>0.473684210526316</v>
      </c>
      <c r="R26" s="74">
        <f>IF(K26="","",IFERROR(INDEX(LMH_PTS,MATCH(K26,LMH_KEY,0))/SUM(IFERROR(INDEX(LMH_PTS,MATCH(J26,LMH_KEY,0)),0),IFERROR(INDEX(LMH_PTS,MATCH(K26,LMH_KEY,0)),0),IFERROR(INDEX(LMH_PTS,MATCH(L26,LMH_KEY,0)),0),IFERROR(INDEX(LMH_PTS,MATCH(M26,LMH_KEY,0)),0),IFERROR(INDEX(LMH_PTS,MATCH(N26,LMH_KEY,0)),0),IFERROR(INDEX(LMH_PTS,MATCH(O26,LMH_KEY,0)),0),IFERROR(INDEX(LMH_PTS,MATCH(P26,LMH_KEY,0)),0)),""))</f>
        <v>0.157894736842105</v>
      </c>
      <c r="S26" s="74">
        <f>IF(L26="","",IFERROR(INDEX(LMH_PTS,MATCH(L26,LMH_KEY,0))/SUM(IFERROR(INDEX(LMH_PTS,MATCH(J26,LMH_KEY,0)),0),IFERROR(INDEX(LMH_PTS,MATCH(K26,LMH_KEY,0)),0),IFERROR(INDEX(LMH_PTS,MATCH(L26,LMH_KEY,0)),0),IFERROR(INDEX(LMH_PTS,MATCH(M26,LMH_KEY,0)),0),IFERROR(INDEX(LMH_PTS,MATCH(N26,LMH_KEY,0)),0),IFERROR(INDEX(LMH_PTS,MATCH(O26,LMH_KEY,0)),0),IFERROR(INDEX(LMH_PTS,MATCH(P26,LMH_KEY,0)),0)),""))</f>
        <v>0.0526315789473684</v>
      </c>
      <c r="T26" s="74">
        <f>IF(M26="","",IFERROR(INDEX(LMH_PTS,MATCH(M26,LMH_KEY,0))/SUM(IFERROR(INDEX(LMH_PTS,MATCH(J26,LMH_KEY,0)),0),IFERROR(INDEX(LMH_PTS,MATCH(K26,LMH_KEY,0)),0),IFERROR(INDEX(LMH_PTS,MATCH(L26,LMH_KEY,0)),0),IFERROR(INDEX(LMH_PTS,MATCH(M26,LMH_KEY,0)),0),IFERROR(INDEX(LMH_PTS,MATCH(N26,LMH_KEY,0)),0),IFERROR(INDEX(LMH_PTS,MATCH(O26,LMH_KEY,0)),0),IFERROR(INDEX(LMH_PTS,MATCH(P26,LMH_KEY,0)),0)),""))</f>
        <v>0.157894736842105</v>
      </c>
      <c r="U26" s="74">
        <f>IF(N26="","",IFERROR(INDEX(LMH_PTS,MATCH(N26,LMH_KEY,0))/SUM(IFERROR(INDEX(LMH_PTS,MATCH(J26,LMH_KEY,0)),0),IFERROR(INDEX(LMH_PTS,MATCH(K26,LMH_KEY,0)),0),IFERROR(INDEX(LMH_PTS,MATCH(L26,LMH_KEY,0)),0),IFERROR(INDEX(LMH_PTS,MATCH(M26,LMH_KEY,0)),0),IFERROR(INDEX(LMH_PTS,MATCH(N26,LMH_KEY,0)),0),IFERROR(INDEX(LMH_PTS,MATCH(O26,LMH_KEY,0)),0),IFERROR(INDEX(LMH_PTS,MATCH(P26,LMH_KEY,0)),0)),""))</f>
        <v>0.0526315789473684</v>
      </c>
      <c r="V26" s="74">
        <f>IF(O26="","",IFERROR(INDEX(LMH_PTS,MATCH(O26,LMH_KEY,0))/SUM(IFERROR(INDEX(LMH_PTS,MATCH(J26,LMH_KEY,0)),0),IFERROR(INDEX(LMH_PTS,MATCH(K26,LMH_KEY,0)),0),IFERROR(INDEX(LMH_PTS,MATCH(L26,LMH_KEY,0)),0),IFERROR(INDEX(LMH_PTS,MATCH(M26,LMH_KEY,0)),0),IFERROR(INDEX(LMH_PTS,MATCH(N26,LMH_KEY,0)),0),IFERROR(INDEX(LMH_PTS,MATCH(O26,LMH_KEY,0)),0),IFERROR(INDEX(LMH_PTS,MATCH(P26,LMH_KEY,0)),0)),""))</f>
        <v>0.0526315789473684</v>
      </c>
      <c r="W26" s="74">
        <f>IF(P26="","",IFERROR(INDEX(LMH_PTS,MATCH(P26,LMH_KEY,0))/SUM(IFERROR(INDEX(LMH_PTS,MATCH(J26,LMH_KEY,0)),0),IFERROR(INDEX(LMH_PTS,MATCH(K26,LMH_KEY,0)),0),IFERROR(INDEX(LMH_PTS,MATCH(L26,LMH_KEY,0)),0),IFERROR(INDEX(LMH_PTS,MATCH(M26,LMH_KEY,0)),0),IFERROR(INDEX(LMH_PTS,MATCH(N26,LMH_KEY,0)),0),IFERROR(INDEX(LMH_PTS,MATCH(O26,LMH_KEY,0)),0),IFERROR(INDEX(LMH_PTS,MATCH(P26,LMH_KEY,0)),0)),""))</f>
        <v>0.0526315789473684</v>
      </c>
      <c r="X26" s="44" t="n"/>
      <c r="Y26" s="38" t="inlineStr">
        <is>
          <t>Corporate|IT &amp; Infrastructure|IT Infrastructure Manager|B1|B-M</t>
        </is>
      </c>
    </row>
    <row r="27" ht="18" customHeight="1">
      <c r="A27" s="28" t="inlineStr">
        <is>
          <t>Corporate</t>
        </is>
      </c>
      <c r="B27" s="29" t="inlineStr">
        <is>
          <t>IT &amp; Infrastructure</t>
        </is>
      </c>
      <c r="C27" s="72" t="inlineStr">
        <is>
          <t>B1</t>
        </is>
      </c>
      <c r="D27" s="29" t="inlineStr">
        <is>
          <t>Band B · Specialist / Manager</t>
        </is>
      </c>
      <c r="E27" s="29" t="inlineStr">
        <is>
          <t>Infrastructure Specialist</t>
        </is>
      </c>
      <c r="F27" s="29" t="inlineStr">
        <is>
          <t>Band B · Specialist / POD Lead</t>
        </is>
      </c>
      <c r="G27" s="29" t="inlineStr">
        <is>
          <t>IT &amp; Infrastructure</t>
        </is>
      </c>
      <c r="H27" s="29" t="n">
        <v>1</v>
      </c>
      <c r="I27" s="29" t="inlineStr">
        <is>
          <t>Rajit Kumar Sahu</t>
        </is>
      </c>
      <c r="J27" s="34" t="str">
        <f>IFERROR(INDEX(RBD_C,MATCH("IT &amp; Infrastructure|B1|B-IC",RBD_KEY,0)),"M")</f>
        <v>H</v>
      </c>
      <c r="K27" s="35" t="str">
        <f>IFERROR(INDEX(RBD_Au,MATCH("IT &amp; Infrastructure|B1|B-IC",RBD_KEY,0)),"M")</f>
        <v>M</v>
      </c>
      <c r="L27" s="35" t="str">
        <f>IFERROR(INDEX(RBD_Ac,MATCH("IT &amp; Infrastructure|B1|B-IC",RBD_KEY,0)),"M")</f>
        <v>L</v>
      </c>
      <c r="M27" s="35" t="str">
        <f>IFERROR(INDEX(RBD_L,MATCH("IT &amp; Infrastructure|B1|B-IC",RBD_KEY,0)),"M")</f>
        <v>L</v>
      </c>
      <c r="N27" s="35" t="str">
        <f>IFERROR(INDEX(RBD_BI,MATCH("IT &amp; Infrastructure|B1|B-IC",RBD_KEY,0)),"M")</f>
        <v>L</v>
      </c>
      <c r="O27" s="35" t="str">
        <f>IFERROR(INDEX(RBD_Exp,MATCH("IT &amp; Infrastructure|B1|B-IC",RBD_KEY,0)),"M")</f>
        <v>L</v>
      </c>
      <c r="P27" s="35" t="str">
        <f>IFERROR(INDEX(RBD_Edu,MATCH("IT &amp; Infrastructure|B1|B-IC",RBD_KEY,0)),"M")</f>
        <v>L</v>
      </c>
      <c r="Q27" s="73">
        <f>IF(J27="","",IFERROR(INDEX(LMH_PTS,MATCH(J27,LMH_KEY,0))/SUM(IFERROR(INDEX(LMH_PTS,MATCH(J27,LMH_KEY,0)),0),IFERROR(INDEX(LMH_PTS,MATCH(K27,LMH_KEY,0)),0),IFERROR(INDEX(LMH_PTS,MATCH(L27,LMH_KEY,0)),0),IFERROR(INDEX(LMH_PTS,MATCH(M27,LMH_KEY,0)),0),IFERROR(INDEX(LMH_PTS,MATCH(N27,LMH_KEY,0)),0),IFERROR(INDEX(LMH_PTS,MATCH(O27,LMH_KEY,0)),0),IFERROR(INDEX(LMH_PTS,MATCH(P27,LMH_KEY,0)),0)),""))</f>
        <v>0.529411764705882</v>
      </c>
      <c r="R27" s="74">
        <f>IF(K27="","",IFERROR(INDEX(LMH_PTS,MATCH(K27,LMH_KEY,0))/SUM(IFERROR(INDEX(LMH_PTS,MATCH(J27,LMH_KEY,0)),0),IFERROR(INDEX(LMH_PTS,MATCH(K27,LMH_KEY,0)),0),IFERROR(INDEX(LMH_PTS,MATCH(L27,LMH_KEY,0)),0),IFERROR(INDEX(LMH_PTS,MATCH(M27,LMH_KEY,0)),0),IFERROR(INDEX(LMH_PTS,MATCH(N27,LMH_KEY,0)),0),IFERROR(INDEX(LMH_PTS,MATCH(O27,LMH_KEY,0)),0),IFERROR(INDEX(LMH_PTS,MATCH(P27,LMH_KEY,0)),0)),""))</f>
        <v>0.176470588235294</v>
      </c>
      <c r="S27" s="74">
        <f>IF(L27="","",IFERROR(INDEX(LMH_PTS,MATCH(L27,LMH_KEY,0))/SUM(IFERROR(INDEX(LMH_PTS,MATCH(J27,LMH_KEY,0)),0),IFERROR(INDEX(LMH_PTS,MATCH(K27,LMH_KEY,0)),0),IFERROR(INDEX(LMH_PTS,MATCH(L27,LMH_KEY,0)),0),IFERROR(INDEX(LMH_PTS,MATCH(M27,LMH_KEY,0)),0),IFERROR(INDEX(LMH_PTS,MATCH(N27,LMH_KEY,0)),0),IFERROR(INDEX(LMH_PTS,MATCH(O27,LMH_KEY,0)),0),IFERROR(INDEX(LMH_PTS,MATCH(P27,LMH_KEY,0)),0)),""))</f>
        <v>0.0588235294117647</v>
      </c>
      <c r="T27" s="74">
        <f>IF(M27="","",IFERROR(INDEX(LMH_PTS,MATCH(M27,LMH_KEY,0))/SUM(IFERROR(INDEX(LMH_PTS,MATCH(J27,LMH_KEY,0)),0),IFERROR(INDEX(LMH_PTS,MATCH(K27,LMH_KEY,0)),0),IFERROR(INDEX(LMH_PTS,MATCH(L27,LMH_KEY,0)),0),IFERROR(INDEX(LMH_PTS,MATCH(M27,LMH_KEY,0)),0),IFERROR(INDEX(LMH_PTS,MATCH(N27,LMH_KEY,0)),0),IFERROR(INDEX(LMH_PTS,MATCH(O27,LMH_KEY,0)),0),IFERROR(INDEX(LMH_PTS,MATCH(P27,LMH_KEY,0)),0)),""))</f>
        <v>0.0588235294117647</v>
      </c>
      <c r="U27" s="74">
        <f>IF(N27="","",IFERROR(INDEX(LMH_PTS,MATCH(N27,LMH_KEY,0))/SUM(IFERROR(INDEX(LMH_PTS,MATCH(J27,LMH_KEY,0)),0),IFERROR(INDEX(LMH_PTS,MATCH(K27,LMH_KEY,0)),0),IFERROR(INDEX(LMH_PTS,MATCH(L27,LMH_KEY,0)),0),IFERROR(INDEX(LMH_PTS,MATCH(M27,LMH_KEY,0)),0),IFERROR(INDEX(LMH_PTS,MATCH(N27,LMH_KEY,0)),0),IFERROR(INDEX(LMH_PTS,MATCH(O27,LMH_KEY,0)),0),IFERROR(INDEX(LMH_PTS,MATCH(P27,LMH_KEY,0)),0)),""))</f>
        <v>0.0588235294117647</v>
      </c>
      <c r="V27" s="74">
        <f>IF(O27="","",IFERROR(INDEX(LMH_PTS,MATCH(O27,LMH_KEY,0))/SUM(IFERROR(INDEX(LMH_PTS,MATCH(J27,LMH_KEY,0)),0),IFERROR(INDEX(LMH_PTS,MATCH(K27,LMH_KEY,0)),0),IFERROR(INDEX(LMH_PTS,MATCH(L27,LMH_KEY,0)),0),IFERROR(INDEX(LMH_PTS,MATCH(M27,LMH_KEY,0)),0),IFERROR(INDEX(LMH_PTS,MATCH(N27,LMH_KEY,0)),0),IFERROR(INDEX(LMH_PTS,MATCH(O27,LMH_KEY,0)),0),IFERROR(INDEX(LMH_PTS,MATCH(P27,LMH_KEY,0)),0)),""))</f>
        <v>0.0588235294117647</v>
      </c>
      <c r="W27" s="74">
        <f>IF(P27="","",IFERROR(INDEX(LMH_PTS,MATCH(P27,LMH_KEY,0))/SUM(IFERROR(INDEX(LMH_PTS,MATCH(J27,LMH_KEY,0)),0),IFERROR(INDEX(LMH_PTS,MATCH(K27,LMH_KEY,0)),0),IFERROR(INDEX(LMH_PTS,MATCH(L27,LMH_KEY,0)),0),IFERROR(INDEX(LMH_PTS,MATCH(M27,LMH_KEY,0)),0),IFERROR(INDEX(LMH_PTS,MATCH(N27,LMH_KEY,0)),0),IFERROR(INDEX(LMH_PTS,MATCH(O27,LMH_KEY,0)),0),IFERROR(INDEX(LMH_PTS,MATCH(P27,LMH_KEY,0)),0)),""))</f>
        <v>0.0588235294117647</v>
      </c>
      <c r="X27" s="44" t="n"/>
      <c r="Y27" s="38" t="inlineStr">
        <is>
          <t>Corporate|IT &amp; Infrastructure|Infrastructure Specialist|B1|B-IC</t>
        </is>
      </c>
    </row>
    <row r="28" ht="28" customHeight="1">
      <c r="A28" s="28" t="inlineStr">
        <is>
          <t>Corporate</t>
        </is>
      </c>
      <c r="B28" s="29" t="inlineStr">
        <is>
          <t>IT &amp; Infrastructure</t>
        </is>
      </c>
      <c r="C28" s="72" t="inlineStr">
        <is>
          <t>B1</t>
        </is>
      </c>
      <c r="D28" s="29" t="inlineStr">
        <is>
          <t>Band B · Specialist / Manager</t>
        </is>
      </c>
      <c r="E28" s="29" t="inlineStr">
        <is>
          <t>Infrastructure Specialist – POD Lead</t>
        </is>
      </c>
      <c r="F28" s="29" t="inlineStr">
        <is>
          <t>Band B · Specialist / POD Lead</t>
        </is>
      </c>
      <c r="G28" s="29" t="inlineStr">
        <is>
          <t>IT &amp; Infrastructure</t>
        </is>
      </c>
      <c r="H28" s="29" t="n">
        <v>1</v>
      </c>
      <c r="I28" s="29" t="inlineStr">
        <is>
          <t>Ramesh Kone</t>
        </is>
      </c>
      <c r="J28" s="34" t="str">
        <f>IFERROR(INDEX(RBD_C,MATCH("IT &amp; Infrastructure|B1|B-IC",RBD_KEY,0)),"M")</f>
        <v>H</v>
      </c>
      <c r="K28" s="35" t="str">
        <f>IFERROR(INDEX(RBD_Au,MATCH("IT &amp; Infrastructure|B1|B-IC",RBD_KEY,0)),"M")</f>
        <v>M</v>
      </c>
      <c r="L28" s="35" t="str">
        <f>IFERROR(INDEX(RBD_Ac,MATCH("IT &amp; Infrastructure|B1|B-IC",RBD_KEY,0)),"M")</f>
        <v>L</v>
      </c>
      <c r="M28" s="35" t="str">
        <f>IFERROR(INDEX(RBD_L,MATCH("IT &amp; Infrastructure|B1|B-IC",RBD_KEY,0)),"M")</f>
        <v>L</v>
      </c>
      <c r="N28" s="35" t="str">
        <f>IFERROR(INDEX(RBD_BI,MATCH("IT &amp; Infrastructure|B1|B-IC",RBD_KEY,0)),"M")</f>
        <v>L</v>
      </c>
      <c r="O28" s="35" t="str">
        <f>IFERROR(INDEX(RBD_Exp,MATCH("IT &amp; Infrastructure|B1|B-IC",RBD_KEY,0)),"M")</f>
        <v>L</v>
      </c>
      <c r="P28" s="35" t="str">
        <f>IFERROR(INDEX(RBD_Edu,MATCH("IT &amp; Infrastructure|B1|B-IC",RBD_KEY,0)),"M")</f>
        <v>L</v>
      </c>
      <c r="Q28" s="73">
        <f>IF(J28="","",IFERROR(INDEX(LMH_PTS,MATCH(J28,LMH_KEY,0))/SUM(IFERROR(INDEX(LMH_PTS,MATCH(J28,LMH_KEY,0)),0),IFERROR(INDEX(LMH_PTS,MATCH(K28,LMH_KEY,0)),0),IFERROR(INDEX(LMH_PTS,MATCH(L28,LMH_KEY,0)),0),IFERROR(INDEX(LMH_PTS,MATCH(M28,LMH_KEY,0)),0),IFERROR(INDEX(LMH_PTS,MATCH(N28,LMH_KEY,0)),0),IFERROR(INDEX(LMH_PTS,MATCH(O28,LMH_KEY,0)),0),IFERROR(INDEX(LMH_PTS,MATCH(P28,LMH_KEY,0)),0)),""))</f>
        <v>0.529411764705882</v>
      </c>
      <c r="R28" s="74">
        <f>IF(K28="","",IFERROR(INDEX(LMH_PTS,MATCH(K28,LMH_KEY,0))/SUM(IFERROR(INDEX(LMH_PTS,MATCH(J28,LMH_KEY,0)),0),IFERROR(INDEX(LMH_PTS,MATCH(K28,LMH_KEY,0)),0),IFERROR(INDEX(LMH_PTS,MATCH(L28,LMH_KEY,0)),0),IFERROR(INDEX(LMH_PTS,MATCH(M28,LMH_KEY,0)),0),IFERROR(INDEX(LMH_PTS,MATCH(N28,LMH_KEY,0)),0),IFERROR(INDEX(LMH_PTS,MATCH(O28,LMH_KEY,0)),0),IFERROR(INDEX(LMH_PTS,MATCH(P28,LMH_KEY,0)),0)),""))</f>
        <v>0.176470588235294</v>
      </c>
      <c r="S28" s="74">
        <f>IF(L28="","",IFERROR(INDEX(LMH_PTS,MATCH(L28,LMH_KEY,0))/SUM(IFERROR(INDEX(LMH_PTS,MATCH(J28,LMH_KEY,0)),0),IFERROR(INDEX(LMH_PTS,MATCH(K28,LMH_KEY,0)),0),IFERROR(INDEX(LMH_PTS,MATCH(L28,LMH_KEY,0)),0),IFERROR(INDEX(LMH_PTS,MATCH(M28,LMH_KEY,0)),0),IFERROR(INDEX(LMH_PTS,MATCH(N28,LMH_KEY,0)),0),IFERROR(INDEX(LMH_PTS,MATCH(O28,LMH_KEY,0)),0),IFERROR(INDEX(LMH_PTS,MATCH(P28,LMH_KEY,0)),0)),""))</f>
        <v>0.0588235294117647</v>
      </c>
      <c r="T28" s="74">
        <f>IF(M28="","",IFERROR(INDEX(LMH_PTS,MATCH(M28,LMH_KEY,0))/SUM(IFERROR(INDEX(LMH_PTS,MATCH(J28,LMH_KEY,0)),0),IFERROR(INDEX(LMH_PTS,MATCH(K28,LMH_KEY,0)),0),IFERROR(INDEX(LMH_PTS,MATCH(L28,LMH_KEY,0)),0),IFERROR(INDEX(LMH_PTS,MATCH(M28,LMH_KEY,0)),0),IFERROR(INDEX(LMH_PTS,MATCH(N28,LMH_KEY,0)),0),IFERROR(INDEX(LMH_PTS,MATCH(O28,LMH_KEY,0)),0),IFERROR(INDEX(LMH_PTS,MATCH(P28,LMH_KEY,0)),0)),""))</f>
        <v>0.0588235294117647</v>
      </c>
      <c r="U28" s="74">
        <f>IF(N28="","",IFERROR(INDEX(LMH_PTS,MATCH(N28,LMH_KEY,0))/SUM(IFERROR(INDEX(LMH_PTS,MATCH(J28,LMH_KEY,0)),0),IFERROR(INDEX(LMH_PTS,MATCH(K28,LMH_KEY,0)),0),IFERROR(INDEX(LMH_PTS,MATCH(L28,LMH_KEY,0)),0),IFERROR(INDEX(LMH_PTS,MATCH(M28,LMH_KEY,0)),0),IFERROR(INDEX(LMH_PTS,MATCH(N28,LMH_KEY,0)),0),IFERROR(INDEX(LMH_PTS,MATCH(O28,LMH_KEY,0)),0),IFERROR(INDEX(LMH_PTS,MATCH(P28,LMH_KEY,0)),0)),""))</f>
        <v>0.0588235294117647</v>
      </c>
      <c r="V28" s="74">
        <f>IF(O28="","",IFERROR(INDEX(LMH_PTS,MATCH(O28,LMH_KEY,0))/SUM(IFERROR(INDEX(LMH_PTS,MATCH(J28,LMH_KEY,0)),0),IFERROR(INDEX(LMH_PTS,MATCH(K28,LMH_KEY,0)),0),IFERROR(INDEX(LMH_PTS,MATCH(L28,LMH_KEY,0)),0),IFERROR(INDEX(LMH_PTS,MATCH(M28,LMH_KEY,0)),0),IFERROR(INDEX(LMH_PTS,MATCH(N28,LMH_KEY,0)),0),IFERROR(INDEX(LMH_PTS,MATCH(O28,LMH_KEY,0)),0),IFERROR(INDEX(LMH_PTS,MATCH(P28,LMH_KEY,0)),0)),""))</f>
        <v>0.0588235294117647</v>
      </c>
      <c r="W28" s="74">
        <f>IF(P28="","",IFERROR(INDEX(LMH_PTS,MATCH(P28,LMH_KEY,0))/SUM(IFERROR(INDEX(LMH_PTS,MATCH(J28,LMH_KEY,0)),0),IFERROR(INDEX(LMH_PTS,MATCH(K28,LMH_KEY,0)),0),IFERROR(INDEX(LMH_PTS,MATCH(L28,LMH_KEY,0)),0),IFERROR(INDEX(LMH_PTS,MATCH(M28,LMH_KEY,0)),0),IFERROR(INDEX(LMH_PTS,MATCH(N28,LMH_KEY,0)),0),IFERROR(INDEX(LMH_PTS,MATCH(O28,LMH_KEY,0)),0),IFERROR(INDEX(LMH_PTS,MATCH(P28,LMH_KEY,0)),0)),""))</f>
        <v>0.0588235294117647</v>
      </c>
      <c r="X28" s="44" t="n"/>
      <c r="Y28" s="38" t="inlineStr">
        <is>
          <t>Corporate|IT &amp; Infrastructure|Infrastructure Specialist – POD Lead|B1|B-IC</t>
        </is>
      </c>
    </row>
    <row r="29" ht="18" customHeight="1">
      <c r="A29" s="28" t="inlineStr">
        <is>
          <t>Corporate</t>
        </is>
      </c>
      <c r="B29" s="29" t="inlineStr">
        <is>
          <t>IT &amp; Infrastructure</t>
        </is>
      </c>
      <c r="C29" s="75" t="inlineStr">
        <is>
          <t>A3</t>
        </is>
      </c>
      <c r="D29" s="29" t="inlineStr">
        <is>
          <t>Band A · Practitioner</t>
        </is>
      </c>
      <c r="E29" s="29" t="inlineStr">
        <is>
          <t>Infrastructure Specialist</t>
        </is>
      </c>
      <c r="F29" s="29" t="inlineStr">
        <is>
          <t>Band A · all tracks</t>
        </is>
      </c>
      <c r="G29" s="29" t="inlineStr">
        <is>
          <t>IT &amp; Infrastructure</t>
        </is>
      </c>
      <c r="H29" s="29" t="n">
        <v>1</v>
      </c>
      <c r="I29" s="29" t="inlineStr">
        <is>
          <t>Hemant Chordekar</t>
        </is>
      </c>
      <c r="J29" s="34" t="str">
        <f>IFERROR(INDEX(RBD_C,MATCH("IT &amp; Infrastructure|A3|A",RBD_KEY,0)),"M")</f>
        <v>H</v>
      </c>
      <c r="K29" s="35" t="str">
        <f>IFERROR(INDEX(RBD_Au,MATCH("IT &amp; Infrastructure|A3|A",RBD_KEY,0)),"M")</f>
        <v>M</v>
      </c>
      <c r="L29" s="35" t="str">
        <f>IFERROR(INDEX(RBD_Ac,MATCH("IT &amp; Infrastructure|A3|A",RBD_KEY,0)),"M")</f>
        <v>L</v>
      </c>
      <c r="M29" s="35" t="str">
        <f>IFERROR(INDEX(RBD_L,MATCH("IT &amp; Infrastructure|A3|A",RBD_KEY,0)),"M")</f>
        <v>L</v>
      </c>
      <c r="N29" s="35" t="str">
        <f>IFERROR(INDEX(RBD_BI,MATCH("IT &amp; Infrastructure|A3|A",RBD_KEY,0)),"M")</f>
        <v>L</v>
      </c>
      <c r="O29" s="35" t="str">
        <f>IFERROR(INDEX(RBD_Exp,MATCH("IT &amp; Infrastructure|A3|A",RBD_KEY,0)),"M")</f>
        <v>L</v>
      </c>
      <c r="P29" s="35" t="str">
        <f>IFERROR(INDEX(RBD_Edu,MATCH("IT &amp; Infrastructure|A3|A",RBD_KEY,0)),"M")</f>
        <v>L</v>
      </c>
      <c r="Q29" s="73">
        <f>IF(J29="","",IFERROR(INDEX(LMH_PTS,MATCH(J29,LMH_KEY,0))/SUM(IFERROR(INDEX(LMH_PTS,MATCH(J29,LMH_KEY,0)),0),IFERROR(INDEX(LMH_PTS,MATCH(K29,LMH_KEY,0)),0),IFERROR(INDEX(LMH_PTS,MATCH(L29,LMH_KEY,0)),0),IFERROR(INDEX(LMH_PTS,MATCH(M29,LMH_KEY,0)),0),IFERROR(INDEX(LMH_PTS,MATCH(N29,LMH_KEY,0)),0),IFERROR(INDEX(LMH_PTS,MATCH(O29,LMH_KEY,0)),0),IFERROR(INDEX(LMH_PTS,MATCH(P29,LMH_KEY,0)),0)),""))</f>
        <v>0.529411764705882</v>
      </c>
      <c r="R29" s="74">
        <f>IF(K29="","",IFERROR(INDEX(LMH_PTS,MATCH(K29,LMH_KEY,0))/SUM(IFERROR(INDEX(LMH_PTS,MATCH(J29,LMH_KEY,0)),0),IFERROR(INDEX(LMH_PTS,MATCH(K29,LMH_KEY,0)),0),IFERROR(INDEX(LMH_PTS,MATCH(L29,LMH_KEY,0)),0),IFERROR(INDEX(LMH_PTS,MATCH(M29,LMH_KEY,0)),0),IFERROR(INDEX(LMH_PTS,MATCH(N29,LMH_KEY,0)),0),IFERROR(INDEX(LMH_PTS,MATCH(O29,LMH_KEY,0)),0),IFERROR(INDEX(LMH_PTS,MATCH(P29,LMH_KEY,0)),0)),""))</f>
        <v>0.176470588235294</v>
      </c>
      <c r="S29" s="74">
        <f>IF(L29="","",IFERROR(INDEX(LMH_PTS,MATCH(L29,LMH_KEY,0))/SUM(IFERROR(INDEX(LMH_PTS,MATCH(J29,LMH_KEY,0)),0),IFERROR(INDEX(LMH_PTS,MATCH(K29,LMH_KEY,0)),0),IFERROR(INDEX(LMH_PTS,MATCH(L29,LMH_KEY,0)),0),IFERROR(INDEX(LMH_PTS,MATCH(M29,LMH_KEY,0)),0),IFERROR(INDEX(LMH_PTS,MATCH(N29,LMH_KEY,0)),0),IFERROR(INDEX(LMH_PTS,MATCH(O29,LMH_KEY,0)),0),IFERROR(INDEX(LMH_PTS,MATCH(P29,LMH_KEY,0)),0)),""))</f>
        <v>0.0588235294117647</v>
      </c>
      <c r="T29" s="74">
        <f>IF(M29="","",IFERROR(INDEX(LMH_PTS,MATCH(M29,LMH_KEY,0))/SUM(IFERROR(INDEX(LMH_PTS,MATCH(J29,LMH_KEY,0)),0),IFERROR(INDEX(LMH_PTS,MATCH(K29,LMH_KEY,0)),0),IFERROR(INDEX(LMH_PTS,MATCH(L29,LMH_KEY,0)),0),IFERROR(INDEX(LMH_PTS,MATCH(M29,LMH_KEY,0)),0),IFERROR(INDEX(LMH_PTS,MATCH(N29,LMH_KEY,0)),0),IFERROR(INDEX(LMH_PTS,MATCH(O29,LMH_KEY,0)),0),IFERROR(INDEX(LMH_PTS,MATCH(P29,LMH_KEY,0)),0)),""))</f>
        <v>0.0588235294117647</v>
      </c>
      <c r="U29" s="74">
        <f>IF(N29="","",IFERROR(INDEX(LMH_PTS,MATCH(N29,LMH_KEY,0))/SUM(IFERROR(INDEX(LMH_PTS,MATCH(J29,LMH_KEY,0)),0),IFERROR(INDEX(LMH_PTS,MATCH(K29,LMH_KEY,0)),0),IFERROR(INDEX(LMH_PTS,MATCH(L29,LMH_KEY,0)),0),IFERROR(INDEX(LMH_PTS,MATCH(M29,LMH_KEY,0)),0),IFERROR(INDEX(LMH_PTS,MATCH(N29,LMH_KEY,0)),0),IFERROR(INDEX(LMH_PTS,MATCH(O29,LMH_KEY,0)),0),IFERROR(INDEX(LMH_PTS,MATCH(P29,LMH_KEY,0)),0)),""))</f>
        <v>0.0588235294117647</v>
      </c>
      <c r="V29" s="74">
        <f>IF(O29="","",IFERROR(INDEX(LMH_PTS,MATCH(O29,LMH_KEY,0))/SUM(IFERROR(INDEX(LMH_PTS,MATCH(J29,LMH_KEY,0)),0),IFERROR(INDEX(LMH_PTS,MATCH(K29,LMH_KEY,0)),0),IFERROR(INDEX(LMH_PTS,MATCH(L29,LMH_KEY,0)),0),IFERROR(INDEX(LMH_PTS,MATCH(M29,LMH_KEY,0)),0),IFERROR(INDEX(LMH_PTS,MATCH(N29,LMH_KEY,0)),0),IFERROR(INDEX(LMH_PTS,MATCH(O29,LMH_KEY,0)),0),IFERROR(INDEX(LMH_PTS,MATCH(P29,LMH_KEY,0)),0)),""))</f>
        <v>0.0588235294117647</v>
      </c>
      <c r="W29" s="74">
        <f>IF(P29="","",IFERROR(INDEX(LMH_PTS,MATCH(P29,LMH_KEY,0))/SUM(IFERROR(INDEX(LMH_PTS,MATCH(J29,LMH_KEY,0)),0),IFERROR(INDEX(LMH_PTS,MATCH(K29,LMH_KEY,0)),0),IFERROR(INDEX(LMH_PTS,MATCH(L29,LMH_KEY,0)),0),IFERROR(INDEX(LMH_PTS,MATCH(M29,LMH_KEY,0)),0),IFERROR(INDEX(LMH_PTS,MATCH(N29,LMH_KEY,0)),0),IFERROR(INDEX(LMH_PTS,MATCH(O29,LMH_KEY,0)),0),IFERROR(INDEX(LMH_PTS,MATCH(P29,LMH_KEY,0)),0)),""))</f>
        <v>0.0588235294117647</v>
      </c>
      <c r="X29" s="44" t="n"/>
      <c r="Y29" s="38" t="inlineStr">
        <is>
          <t>Corporate|IT &amp; Infrastructure|Infrastructure Specialist|A3|A</t>
        </is>
      </c>
    </row>
    <row r="30" ht="28" customHeight="1">
      <c r="A30" s="28" t="inlineStr">
        <is>
          <t>Corporate</t>
        </is>
      </c>
      <c r="B30" s="29" t="inlineStr">
        <is>
          <t>IT &amp; Infrastructure</t>
        </is>
      </c>
      <c r="C30" s="75" t="inlineStr">
        <is>
          <t>A3</t>
        </is>
      </c>
      <c r="D30" s="29" t="inlineStr">
        <is>
          <t>Band A · Practitioner</t>
        </is>
      </c>
      <c r="E30" s="29" t="inlineStr">
        <is>
          <t>Senior Desktop Support Engineer</t>
        </is>
      </c>
      <c r="F30" s="29" t="inlineStr">
        <is>
          <t>Band A · all tracks</t>
        </is>
      </c>
      <c r="G30" s="29" t="inlineStr">
        <is>
          <t>IT &amp; Infrastructure</t>
        </is>
      </c>
      <c r="H30" s="29" t="n">
        <v>1</v>
      </c>
      <c r="I30" s="29" t="inlineStr">
        <is>
          <t>Sagar Jamadar</t>
        </is>
      </c>
      <c r="J30" s="34" t="str">
        <f>IFERROR(INDEX(RBD_C,MATCH("IT &amp; Infrastructure|A3|A",RBD_KEY,0)),"M")</f>
        <v>H</v>
      </c>
      <c r="K30" s="35" t="str">
        <f>IFERROR(INDEX(RBD_Au,MATCH("IT &amp; Infrastructure|A3|A",RBD_KEY,0)),"M")</f>
        <v>M</v>
      </c>
      <c r="L30" s="35" t="str">
        <f>IFERROR(INDEX(RBD_Ac,MATCH("IT &amp; Infrastructure|A3|A",RBD_KEY,0)),"M")</f>
        <v>L</v>
      </c>
      <c r="M30" s="35" t="str">
        <f>IFERROR(INDEX(RBD_L,MATCH("IT &amp; Infrastructure|A3|A",RBD_KEY,0)),"M")</f>
        <v>L</v>
      </c>
      <c r="N30" s="35" t="str">
        <f>IFERROR(INDEX(RBD_BI,MATCH("IT &amp; Infrastructure|A3|A",RBD_KEY,0)),"M")</f>
        <v>L</v>
      </c>
      <c r="O30" s="35" t="str">
        <f>IFERROR(INDEX(RBD_Exp,MATCH("IT &amp; Infrastructure|A3|A",RBD_KEY,0)),"M")</f>
        <v>L</v>
      </c>
      <c r="P30" s="35" t="str">
        <f>IFERROR(INDEX(RBD_Edu,MATCH("IT &amp; Infrastructure|A3|A",RBD_KEY,0)),"M")</f>
        <v>L</v>
      </c>
      <c r="Q30" s="73">
        <f>IF(J30="","",IFERROR(INDEX(LMH_PTS,MATCH(J30,LMH_KEY,0))/SUM(IFERROR(INDEX(LMH_PTS,MATCH(J30,LMH_KEY,0)),0),IFERROR(INDEX(LMH_PTS,MATCH(K30,LMH_KEY,0)),0),IFERROR(INDEX(LMH_PTS,MATCH(L30,LMH_KEY,0)),0),IFERROR(INDEX(LMH_PTS,MATCH(M30,LMH_KEY,0)),0),IFERROR(INDEX(LMH_PTS,MATCH(N30,LMH_KEY,0)),0),IFERROR(INDEX(LMH_PTS,MATCH(O30,LMH_KEY,0)),0),IFERROR(INDEX(LMH_PTS,MATCH(P30,LMH_KEY,0)),0)),""))</f>
        <v>0.529411764705882</v>
      </c>
      <c r="R30" s="74">
        <f>IF(K30="","",IFERROR(INDEX(LMH_PTS,MATCH(K30,LMH_KEY,0))/SUM(IFERROR(INDEX(LMH_PTS,MATCH(J30,LMH_KEY,0)),0),IFERROR(INDEX(LMH_PTS,MATCH(K30,LMH_KEY,0)),0),IFERROR(INDEX(LMH_PTS,MATCH(L30,LMH_KEY,0)),0),IFERROR(INDEX(LMH_PTS,MATCH(M30,LMH_KEY,0)),0),IFERROR(INDEX(LMH_PTS,MATCH(N30,LMH_KEY,0)),0),IFERROR(INDEX(LMH_PTS,MATCH(O30,LMH_KEY,0)),0),IFERROR(INDEX(LMH_PTS,MATCH(P30,LMH_KEY,0)),0)),""))</f>
        <v>0.176470588235294</v>
      </c>
      <c r="S30" s="74">
        <f>IF(L30="","",IFERROR(INDEX(LMH_PTS,MATCH(L30,LMH_KEY,0))/SUM(IFERROR(INDEX(LMH_PTS,MATCH(J30,LMH_KEY,0)),0),IFERROR(INDEX(LMH_PTS,MATCH(K30,LMH_KEY,0)),0),IFERROR(INDEX(LMH_PTS,MATCH(L30,LMH_KEY,0)),0),IFERROR(INDEX(LMH_PTS,MATCH(M30,LMH_KEY,0)),0),IFERROR(INDEX(LMH_PTS,MATCH(N30,LMH_KEY,0)),0),IFERROR(INDEX(LMH_PTS,MATCH(O30,LMH_KEY,0)),0),IFERROR(INDEX(LMH_PTS,MATCH(P30,LMH_KEY,0)),0)),""))</f>
        <v>0.0588235294117647</v>
      </c>
      <c r="T30" s="74">
        <f>IF(M30="","",IFERROR(INDEX(LMH_PTS,MATCH(M30,LMH_KEY,0))/SUM(IFERROR(INDEX(LMH_PTS,MATCH(J30,LMH_KEY,0)),0),IFERROR(INDEX(LMH_PTS,MATCH(K30,LMH_KEY,0)),0),IFERROR(INDEX(LMH_PTS,MATCH(L30,LMH_KEY,0)),0),IFERROR(INDEX(LMH_PTS,MATCH(M30,LMH_KEY,0)),0),IFERROR(INDEX(LMH_PTS,MATCH(N30,LMH_KEY,0)),0),IFERROR(INDEX(LMH_PTS,MATCH(O30,LMH_KEY,0)),0),IFERROR(INDEX(LMH_PTS,MATCH(P30,LMH_KEY,0)),0)),""))</f>
        <v>0.0588235294117647</v>
      </c>
      <c r="U30" s="74">
        <f>IF(N30="","",IFERROR(INDEX(LMH_PTS,MATCH(N30,LMH_KEY,0))/SUM(IFERROR(INDEX(LMH_PTS,MATCH(J30,LMH_KEY,0)),0),IFERROR(INDEX(LMH_PTS,MATCH(K30,LMH_KEY,0)),0),IFERROR(INDEX(LMH_PTS,MATCH(L30,LMH_KEY,0)),0),IFERROR(INDEX(LMH_PTS,MATCH(M30,LMH_KEY,0)),0),IFERROR(INDEX(LMH_PTS,MATCH(N30,LMH_KEY,0)),0),IFERROR(INDEX(LMH_PTS,MATCH(O30,LMH_KEY,0)),0),IFERROR(INDEX(LMH_PTS,MATCH(P30,LMH_KEY,0)),0)),""))</f>
        <v>0.0588235294117647</v>
      </c>
      <c r="V30" s="74">
        <f>IF(O30="","",IFERROR(INDEX(LMH_PTS,MATCH(O30,LMH_KEY,0))/SUM(IFERROR(INDEX(LMH_PTS,MATCH(J30,LMH_KEY,0)),0),IFERROR(INDEX(LMH_PTS,MATCH(K30,LMH_KEY,0)),0),IFERROR(INDEX(LMH_PTS,MATCH(L30,LMH_KEY,0)),0),IFERROR(INDEX(LMH_PTS,MATCH(M30,LMH_KEY,0)),0),IFERROR(INDEX(LMH_PTS,MATCH(N30,LMH_KEY,0)),0),IFERROR(INDEX(LMH_PTS,MATCH(O30,LMH_KEY,0)),0),IFERROR(INDEX(LMH_PTS,MATCH(P30,LMH_KEY,0)),0)),""))</f>
        <v>0.0588235294117647</v>
      </c>
      <c r="W30" s="74">
        <f>IF(P30="","",IFERROR(INDEX(LMH_PTS,MATCH(P30,LMH_KEY,0))/SUM(IFERROR(INDEX(LMH_PTS,MATCH(J30,LMH_KEY,0)),0),IFERROR(INDEX(LMH_PTS,MATCH(K30,LMH_KEY,0)),0),IFERROR(INDEX(LMH_PTS,MATCH(L30,LMH_KEY,0)),0),IFERROR(INDEX(LMH_PTS,MATCH(M30,LMH_KEY,0)),0),IFERROR(INDEX(LMH_PTS,MATCH(N30,LMH_KEY,0)),0),IFERROR(INDEX(LMH_PTS,MATCH(O30,LMH_KEY,0)),0),IFERROR(INDEX(LMH_PTS,MATCH(P30,LMH_KEY,0)),0)),""))</f>
        <v>0.0588235294117647</v>
      </c>
      <c r="X30" s="44" t="n"/>
      <c r="Y30" s="38" t="inlineStr">
        <is>
          <t>Corporate|IT &amp; Infrastructure|Senior Desktop Support Engineer|A3|A</t>
        </is>
      </c>
    </row>
    <row r="31" ht="18" customHeight="1">
      <c r="A31" s="28" t="inlineStr">
        <is>
          <t>Corporate</t>
        </is>
      </c>
      <c r="B31" s="29" t="inlineStr">
        <is>
          <t>IT &amp; Infrastructure</t>
        </is>
      </c>
      <c r="C31" s="75" t="inlineStr">
        <is>
          <t>A3</t>
        </is>
      </c>
      <c r="D31" s="29" t="inlineStr">
        <is>
          <t>Band A · Practitioner</t>
        </is>
      </c>
      <c r="E31" s="29" t="inlineStr">
        <is>
          <t>Senior DevOps Engineer</t>
        </is>
      </c>
      <c r="F31" s="29" t="inlineStr">
        <is>
          <t>Band A · all tracks</t>
        </is>
      </c>
      <c r="G31" s="29" t="inlineStr">
        <is>
          <t>Engineering &amp; Development</t>
        </is>
      </c>
      <c r="H31" s="29" t="n">
        <v>1</v>
      </c>
      <c r="I31" s="29" t="inlineStr">
        <is>
          <t>Parthiban Thangaraj</t>
        </is>
      </c>
      <c r="J31" s="34" t="str">
        <f>IFERROR(INDEX(RBD_C,MATCH("Engineering &amp; Development|A3|A",RBD_KEY,0)),"M")</f>
        <v>H</v>
      </c>
      <c r="K31" s="35" t="str">
        <f>IFERROR(INDEX(RBD_Au,MATCH("Engineering &amp; Development|A3|A",RBD_KEY,0)),"M")</f>
        <v>M</v>
      </c>
      <c r="L31" s="35" t="str">
        <f>IFERROR(INDEX(RBD_Ac,MATCH("Engineering &amp; Development|A3|A",RBD_KEY,0)),"M")</f>
        <v>L</v>
      </c>
      <c r="M31" s="35" t="str">
        <f>IFERROR(INDEX(RBD_L,MATCH("Engineering &amp; Development|A3|A",RBD_KEY,0)),"M")</f>
        <v>L</v>
      </c>
      <c r="N31" s="35" t="str">
        <f>IFERROR(INDEX(RBD_BI,MATCH("Engineering &amp; Development|A3|A",RBD_KEY,0)),"M")</f>
        <v>L</v>
      </c>
      <c r="O31" s="35" t="str">
        <f>IFERROR(INDEX(RBD_Exp,MATCH("Engineering &amp; Development|A3|A",RBD_KEY,0)),"M")</f>
        <v>L</v>
      </c>
      <c r="P31" s="35" t="str">
        <f>IFERROR(INDEX(RBD_Edu,MATCH("Engineering &amp; Development|A3|A",RBD_KEY,0)),"M")</f>
        <v>L</v>
      </c>
      <c r="Q31" s="73">
        <f>IF(J31="","",IFERROR(INDEX(LMH_PTS,MATCH(J31,LMH_KEY,0))/SUM(IFERROR(INDEX(LMH_PTS,MATCH(J31,LMH_KEY,0)),0),IFERROR(INDEX(LMH_PTS,MATCH(K31,LMH_KEY,0)),0),IFERROR(INDEX(LMH_PTS,MATCH(L31,LMH_KEY,0)),0),IFERROR(INDEX(LMH_PTS,MATCH(M31,LMH_KEY,0)),0),IFERROR(INDEX(LMH_PTS,MATCH(N31,LMH_KEY,0)),0),IFERROR(INDEX(LMH_PTS,MATCH(O31,LMH_KEY,0)),0),IFERROR(INDEX(LMH_PTS,MATCH(P31,LMH_KEY,0)),0)),""))</f>
        <v>0.529411764705882</v>
      </c>
      <c r="R31" s="74">
        <f>IF(K31="","",IFERROR(INDEX(LMH_PTS,MATCH(K31,LMH_KEY,0))/SUM(IFERROR(INDEX(LMH_PTS,MATCH(J31,LMH_KEY,0)),0),IFERROR(INDEX(LMH_PTS,MATCH(K31,LMH_KEY,0)),0),IFERROR(INDEX(LMH_PTS,MATCH(L31,LMH_KEY,0)),0),IFERROR(INDEX(LMH_PTS,MATCH(M31,LMH_KEY,0)),0),IFERROR(INDEX(LMH_PTS,MATCH(N31,LMH_KEY,0)),0),IFERROR(INDEX(LMH_PTS,MATCH(O31,LMH_KEY,0)),0),IFERROR(INDEX(LMH_PTS,MATCH(P31,LMH_KEY,0)),0)),""))</f>
        <v>0.176470588235294</v>
      </c>
      <c r="S31" s="74">
        <f>IF(L31="","",IFERROR(INDEX(LMH_PTS,MATCH(L31,LMH_KEY,0))/SUM(IFERROR(INDEX(LMH_PTS,MATCH(J31,LMH_KEY,0)),0),IFERROR(INDEX(LMH_PTS,MATCH(K31,LMH_KEY,0)),0),IFERROR(INDEX(LMH_PTS,MATCH(L31,LMH_KEY,0)),0),IFERROR(INDEX(LMH_PTS,MATCH(M31,LMH_KEY,0)),0),IFERROR(INDEX(LMH_PTS,MATCH(N31,LMH_KEY,0)),0),IFERROR(INDEX(LMH_PTS,MATCH(O31,LMH_KEY,0)),0),IFERROR(INDEX(LMH_PTS,MATCH(P31,LMH_KEY,0)),0)),""))</f>
        <v>0.0588235294117647</v>
      </c>
      <c r="T31" s="74">
        <f>IF(M31="","",IFERROR(INDEX(LMH_PTS,MATCH(M31,LMH_KEY,0))/SUM(IFERROR(INDEX(LMH_PTS,MATCH(J31,LMH_KEY,0)),0),IFERROR(INDEX(LMH_PTS,MATCH(K31,LMH_KEY,0)),0),IFERROR(INDEX(LMH_PTS,MATCH(L31,LMH_KEY,0)),0),IFERROR(INDEX(LMH_PTS,MATCH(M31,LMH_KEY,0)),0),IFERROR(INDEX(LMH_PTS,MATCH(N31,LMH_KEY,0)),0),IFERROR(INDEX(LMH_PTS,MATCH(O31,LMH_KEY,0)),0),IFERROR(INDEX(LMH_PTS,MATCH(P31,LMH_KEY,0)),0)),""))</f>
        <v>0.0588235294117647</v>
      </c>
      <c r="U31" s="74">
        <f>IF(N31="","",IFERROR(INDEX(LMH_PTS,MATCH(N31,LMH_KEY,0))/SUM(IFERROR(INDEX(LMH_PTS,MATCH(J31,LMH_KEY,0)),0),IFERROR(INDEX(LMH_PTS,MATCH(K31,LMH_KEY,0)),0),IFERROR(INDEX(LMH_PTS,MATCH(L31,LMH_KEY,0)),0),IFERROR(INDEX(LMH_PTS,MATCH(M31,LMH_KEY,0)),0),IFERROR(INDEX(LMH_PTS,MATCH(N31,LMH_KEY,0)),0),IFERROR(INDEX(LMH_PTS,MATCH(O31,LMH_KEY,0)),0),IFERROR(INDEX(LMH_PTS,MATCH(P31,LMH_KEY,0)),0)),""))</f>
        <v>0.0588235294117647</v>
      </c>
      <c r="V31" s="74">
        <f>IF(O31="","",IFERROR(INDEX(LMH_PTS,MATCH(O31,LMH_KEY,0))/SUM(IFERROR(INDEX(LMH_PTS,MATCH(J31,LMH_KEY,0)),0),IFERROR(INDEX(LMH_PTS,MATCH(K31,LMH_KEY,0)),0),IFERROR(INDEX(LMH_PTS,MATCH(L31,LMH_KEY,0)),0),IFERROR(INDEX(LMH_PTS,MATCH(M31,LMH_KEY,0)),0),IFERROR(INDEX(LMH_PTS,MATCH(N31,LMH_KEY,0)),0),IFERROR(INDEX(LMH_PTS,MATCH(O31,LMH_KEY,0)),0),IFERROR(INDEX(LMH_PTS,MATCH(P31,LMH_KEY,0)),0)),""))</f>
        <v>0.0588235294117647</v>
      </c>
      <c r="W31" s="74">
        <f>IF(P31="","",IFERROR(INDEX(LMH_PTS,MATCH(P31,LMH_KEY,0))/SUM(IFERROR(INDEX(LMH_PTS,MATCH(J31,LMH_KEY,0)),0),IFERROR(INDEX(LMH_PTS,MATCH(K31,LMH_KEY,0)),0),IFERROR(INDEX(LMH_PTS,MATCH(L31,LMH_KEY,0)),0),IFERROR(INDEX(LMH_PTS,MATCH(M31,LMH_KEY,0)),0),IFERROR(INDEX(LMH_PTS,MATCH(N31,LMH_KEY,0)),0),IFERROR(INDEX(LMH_PTS,MATCH(O31,LMH_KEY,0)),0),IFERROR(INDEX(LMH_PTS,MATCH(P31,LMH_KEY,0)),0)),""))</f>
        <v>0.0588235294117647</v>
      </c>
      <c r="X31" s="44" t="n"/>
      <c r="Y31" s="38" t="inlineStr">
        <is>
          <t>Corporate|IT &amp; Infrastructure|Senior DevOps Engineer|A3|A</t>
        </is>
      </c>
    </row>
    <row r="32" ht="53" customHeight="1">
      <c r="A32" s="28" t="inlineStr">
        <is>
          <t>Corporate</t>
        </is>
      </c>
      <c r="B32" s="29" t="inlineStr">
        <is>
          <t>IT &amp; Infrastructure</t>
        </is>
      </c>
      <c r="C32" s="75" t="inlineStr">
        <is>
          <t>A3</t>
        </is>
      </c>
      <c r="D32" s="29" t="inlineStr">
        <is>
          <t>Band A · Practitioner</t>
        </is>
      </c>
      <c r="E32" s="29" t="inlineStr">
        <is>
          <t>Senior System Administrator</t>
        </is>
      </c>
      <c r="F32" s="29" t="inlineStr">
        <is>
          <t>Band A · all tracks</t>
        </is>
      </c>
      <c r="G32" s="29" t="inlineStr">
        <is>
          <t>IT &amp; Infrastructure</t>
        </is>
      </c>
      <c r="H32" s="29" t="n">
        <v>7</v>
      </c>
      <c r="I32" s="29" t="inlineStr">
        <is>
          <t>Amit Gangaram Kamble, Gouri Kohale, Ketan Balbhadra Yadav, Nimit Sadafal, Rajyalakshmi Koyagura, Sandip Mane, Vishal Vare</t>
        </is>
      </c>
      <c r="J32" s="34" t="str">
        <f>IFERROR(INDEX(RBD_C,MATCH("IT &amp; Infrastructure|A3|A",RBD_KEY,0)),"M")</f>
        <v>H</v>
      </c>
      <c r="K32" s="35" t="str">
        <f>IFERROR(INDEX(RBD_Au,MATCH("IT &amp; Infrastructure|A3|A",RBD_KEY,0)),"M")</f>
        <v>M</v>
      </c>
      <c r="L32" s="35" t="str">
        <f>IFERROR(INDEX(RBD_Ac,MATCH("IT &amp; Infrastructure|A3|A",RBD_KEY,0)),"M")</f>
        <v>L</v>
      </c>
      <c r="M32" s="35" t="str">
        <f>IFERROR(INDEX(RBD_L,MATCH("IT &amp; Infrastructure|A3|A",RBD_KEY,0)),"M")</f>
        <v>L</v>
      </c>
      <c r="N32" s="35" t="str">
        <f>IFERROR(INDEX(RBD_BI,MATCH("IT &amp; Infrastructure|A3|A",RBD_KEY,0)),"M")</f>
        <v>L</v>
      </c>
      <c r="O32" s="35" t="str">
        <f>IFERROR(INDEX(RBD_Exp,MATCH("IT &amp; Infrastructure|A3|A",RBD_KEY,0)),"M")</f>
        <v>L</v>
      </c>
      <c r="P32" s="35" t="str">
        <f>IFERROR(INDEX(RBD_Edu,MATCH("IT &amp; Infrastructure|A3|A",RBD_KEY,0)),"M")</f>
        <v>L</v>
      </c>
      <c r="Q32" s="73">
        <f>IF(J32="","",IFERROR(INDEX(LMH_PTS,MATCH(J32,LMH_KEY,0))/SUM(IFERROR(INDEX(LMH_PTS,MATCH(J32,LMH_KEY,0)),0),IFERROR(INDEX(LMH_PTS,MATCH(K32,LMH_KEY,0)),0),IFERROR(INDEX(LMH_PTS,MATCH(L32,LMH_KEY,0)),0),IFERROR(INDEX(LMH_PTS,MATCH(M32,LMH_KEY,0)),0),IFERROR(INDEX(LMH_PTS,MATCH(N32,LMH_KEY,0)),0),IFERROR(INDEX(LMH_PTS,MATCH(O32,LMH_KEY,0)),0),IFERROR(INDEX(LMH_PTS,MATCH(P32,LMH_KEY,0)),0)),""))</f>
        <v>0.529411764705882</v>
      </c>
      <c r="R32" s="74">
        <f>IF(K32="","",IFERROR(INDEX(LMH_PTS,MATCH(K32,LMH_KEY,0))/SUM(IFERROR(INDEX(LMH_PTS,MATCH(J32,LMH_KEY,0)),0),IFERROR(INDEX(LMH_PTS,MATCH(K32,LMH_KEY,0)),0),IFERROR(INDEX(LMH_PTS,MATCH(L32,LMH_KEY,0)),0),IFERROR(INDEX(LMH_PTS,MATCH(M32,LMH_KEY,0)),0),IFERROR(INDEX(LMH_PTS,MATCH(N32,LMH_KEY,0)),0),IFERROR(INDEX(LMH_PTS,MATCH(O32,LMH_KEY,0)),0),IFERROR(INDEX(LMH_PTS,MATCH(P32,LMH_KEY,0)),0)),""))</f>
        <v>0.176470588235294</v>
      </c>
      <c r="S32" s="74">
        <f>IF(L32="","",IFERROR(INDEX(LMH_PTS,MATCH(L32,LMH_KEY,0))/SUM(IFERROR(INDEX(LMH_PTS,MATCH(J32,LMH_KEY,0)),0),IFERROR(INDEX(LMH_PTS,MATCH(K32,LMH_KEY,0)),0),IFERROR(INDEX(LMH_PTS,MATCH(L32,LMH_KEY,0)),0),IFERROR(INDEX(LMH_PTS,MATCH(M32,LMH_KEY,0)),0),IFERROR(INDEX(LMH_PTS,MATCH(N32,LMH_KEY,0)),0),IFERROR(INDEX(LMH_PTS,MATCH(O32,LMH_KEY,0)),0),IFERROR(INDEX(LMH_PTS,MATCH(P32,LMH_KEY,0)),0)),""))</f>
        <v>0.0588235294117647</v>
      </c>
      <c r="T32" s="74">
        <f>IF(M32="","",IFERROR(INDEX(LMH_PTS,MATCH(M32,LMH_KEY,0))/SUM(IFERROR(INDEX(LMH_PTS,MATCH(J32,LMH_KEY,0)),0),IFERROR(INDEX(LMH_PTS,MATCH(K32,LMH_KEY,0)),0),IFERROR(INDEX(LMH_PTS,MATCH(L32,LMH_KEY,0)),0),IFERROR(INDEX(LMH_PTS,MATCH(M32,LMH_KEY,0)),0),IFERROR(INDEX(LMH_PTS,MATCH(N32,LMH_KEY,0)),0),IFERROR(INDEX(LMH_PTS,MATCH(O32,LMH_KEY,0)),0),IFERROR(INDEX(LMH_PTS,MATCH(P32,LMH_KEY,0)),0)),""))</f>
        <v>0.0588235294117647</v>
      </c>
      <c r="U32" s="74">
        <f>IF(N32="","",IFERROR(INDEX(LMH_PTS,MATCH(N32,LMH_KEY,0))/SUM(IFERROR(INDEX(LMH_PTS,MATCH(J32,LMH_KEY,0)),0),IFERROR(INDEX(LMH_PTS,MATCH(K32,LMH_KEY,0)),0),IFERROR(INDEX(LMH_PTS,MATCH(L32,LMH_KEY,0)),0),IFERROR(INDEX(LMH_PTS,MATCH(M32,LMH_KEY,0)),0),IFERROR(INDEX(LMH_PTS,MATCH(N32,LMH_KEY,0)),0),IFERROR(INDEX(LMH_PTS,MATCH(O32,LMH_KEY,0)),0),IFERROR(INDEX(LMH_PTS,MATCH(P32,LMH_KEY,0)),0)),""))</f>
        <v>0.0588235294117647</v>
      </c>
      <c r="V32" s="74">
        <f>IF(O32="","",IFERROR(INDEX(LMH_PTS,MATCH(O32,LMH_KEY,0))/SUM(IFERROR(INDEX(LMH_PTS,MATCH(J32,LMH_KEY,0)),0),IFERROR(INDEX(LMH_PTS,MATCH(K32,LMH_KEY,0)),0),IFERROR(INDEX(LMH_PTS,MATCH(L32,LMH_KEY,0)),0),IFERROR(INDEX(LMH_PTS,MATCH(M32,LMH_KEY,0)),0),IFERROR(INDEX(LMH_PTS,MATCH(N32,LMH_KEY,0)),0),IFERROR(INDEX(LMH_PTS,MATCH(O32,LMH_KEY,0)),0),IFERROR(INDEX(LMH_PTS,MATCH(P32,LMH_KEY,0)),0)),""))</f>
        <v>0.0588235294117647</v>
      </c>
      <c r="W32" s="74">
        <f>IF(P32="","",IFERROR(INDEX(LMH_PTS,MATCH(P32,LMH_KEY,0))/SUM(IFERROR(INDEX(LMH_PTS,MATCH(J32,LMH_KEY,0)),0),IFERROR(INDEX(LMH_PTS,MATCH(K32,LMH_KEY,0)),0),IFERROR(INDEX(LMH_PTS,MATCH(L32,LMH_KEY,0)),0),IFERROR(INDEX(LMH_PTS,MATCH(M32,LMH_KEY,0)),0),IFERROR(INDEX(LMH_PTS,MATCH(N32,LMH_KEY,0)),0),IFERROR(INDEX(LMH_PTS,MATCH(O32,LMH_KEY,0)),0),IFERROR(INDEX(LMH_PTS,MATCH(P32,LMH_KEY,0)),0)),""))</f>
        <v>0.0588235294117647</v>
      </c>
      <c r="X32" s="44" t="n"/>
      <c r="Y32" s="38" t="inlineStr">
        <is>
          <t>Corporate|IT &amp; Infrastructure|Senior System Administrator|A3|A</t>
        </is>
      </c>
    </row>
    <row r="33" ht="18" customHeight="1">
      <c r="A33" s="28" t="inlineStr">
        <is>
          <t>Corporate</t>
        </is>
      </c>
      <c r="B33" s="71" t="inlineStr">
        <is>
          <t>Management</t>
        </is>
      </c>
      <c r="C33" s="77" t="inlineStr">
        <is>
          <t>E2</t>
        </is>
      </c>
      <c r="D33" s="29" t="inlineStr">
        <is>
          <t>Band E · Enterprise leadership</t>
        </is>
      </c>
      <c r="E33" s="29" t="inlineStr">
        <is>
          <t>Chief Executive Officer</t>
        </is>
      </c>
      <c r="F33" s="29" t="inlineStr">
        <is>
          <t>Bands D–E · Leadership</t>
        </is>
      </c>
      <c r="G33" s="29" t="inlineStr">
        <is>
          <t>Enterprise Leadership</t>
        </is>
      </c>
      <c r="H33" s="29" t="n">
        <v>1</v>
      </c>
      <c r="I33" s="29" t="inlineStr">
        <is>
          <t>Balachandran K</t>
        </is>
      </c>
      <c r="J33" s="34" t="str">
        <f>IFERROR(INDEX(RBD_C,MATCH("Enterprise Leadership|E2|DE",RBD_KEY,0)),"M")</f>
        <v>H</v>
      </c>
      <c r="K33" s="35" t="str">
        <f>IFERROR(INDEX(RBD_Au,MATCH("Enterprise Leadership|E2|DE",RBD_KEY,0)),"M")</f>
        <v>M</v>
      </c>
      <c r="L33" s="35" t="str">
        <f>IFERROR(INDEX(RBD_Ac,MATCH("Enterprise Leadership|E2|DE",RBD_KEY,0)),"M")</f>
        <v>M</v>
      </c>
      <c r="M33" s="35" t="str">
        <f>IFERROR(INDEX(RBD_L,MATCH("Enterprise Leadership|E2|DE",RBD_KEY,0)),"M")</f>
        <v>M</v>
      </c>
      <c r="N33" s="35" t="str">
        <f>IFERROR(INDEX(RBD_BI,MATCH("Enterprise Leadership|E2|DE",RBD_KEY,0)),"M")</f>
        <v>L</v>
      </c>
      <c r="O33" s="35" t="str">
        <f>IFERROR(INDEX(RBD_Exp,MATCH("Enterprise Leadership|E2|DE",RBD_KEY,0)),"M")</f>
        <v>L</v>
      </c>
      <c r="P33" s="35" t="str">
        <f>IFERROR(INDEX(RBD_Edu,MATCH("Enterprise Leadership|E2|DE",RBD_KEY,0)),"M")</f>
        <v>L</v>
      </c>
      <c r="Q33" s="73">
        <f>IF(J33="","",IFERROR(INDEX(LMH_PTS,MATCH(J33,LMH_KEY,0))/SUM(IFERROR(INDEX(LMH_PTS,MATCH(J33,LMH_KEY,0)),0),IFERROR(INDEX(LMH_PTS,MATCH(K33,LMH_KEY,0)),0),IFERROR(INDEX(LMH_PTS,MATCH(L33,LMH_KEY,0)),0),IFERROR(INDEX(LMH_PTS,MATCH(M33,LMH_KEY,0)),0),IFERROR(INDEX(LMH_PTS,MATCH(N33,LMH_KEY,0)),0),IFERROR(INDEX(LMH_PTS,MATCH(O33,LMH_KEY,0)),0),IFERROR(INDEX(LMH_PTS,MATCH(P33,LMH_KEY,0)),0)),""))</f>
        <v>0.428571428571429</v>
      </c>
      <c r="R33" s="74">
        <f>IF(K33="","",IFERROR(INDEX(LMH_PTS,MATCH(K33,LMH_KEY,0))/SUM(IFERROR(INDEX(LMH_PTS,MATCH(J33,LMH_KEY,0)),0),IFERROR(INDEX(LMH_PTS,MATCH(K33,LMH_KEY,0)),0),IFERROR(INDEX(LMH_PTS,MATCH(L33,LMH_KEY,0)),0),IFERROR(INDEX(LMH_PTS,MATCH(M33,LMH_KEY,0)),0),IFERROR(INDEX(LMH_PTS,MATCH(N33,LMH_KEY,0)),0),IFERROR(INDEX(LMH_PTS,MATCH(O33,LMH_KEY,0)),0),IFERROR(INDEX(LMH_PTS,MATCH(P33,LMH_KEY,0)),0)),""))</f>
        <v>0.142857142857143</v>
      </c>
      <c r="S33" s="74">
        <f>IF(L33="","",IFERROR(INDEX(LMH_PTS,MATCH(L33,LMH_KEY,0))/SUM(IFERROR(INDEX(LMH_PTS,MATCH(J33,LMH_KEY,0)),0),IFERROR(INDEX(LMH_PTS,MATCH(K33,LMH_KEY,0)),0),IFERROR(INDEX(LMH_PTS,MATCH(L33,LMH_KEY,0)),0),IFERROR(INDEX(LMH_PTS,MATCH(M33,LMH_KEY,0)),0),IFERROR(INDEX(LMH_PTS,MATCH(N33,LMH_KEY,0)),0),IFERROR(INDEX(LMH_PTS,MATCH(O33,LMH_KEY,0)),0),IFERROR(INDEX(LMH_PTS,MATCH(P33,LMH_KEY,0)),0)),""))</f>
        <v>0.142857142857143</v>
      </c>
      <c r="T33" s="74">
        <f>IF(M33="","",IFERROR(INDEX(LMH_PTS,MATCH(M33,LMH_KEY,0))/SUM(IFERROR(INDEX(LMH_PTS,MATCH(J33,LMH_KEY,0)),0),IFERROR(INDEX(LMH_PTS,MATCH(K33,LMH_KEY,0)),0),IFERROR(INDEX(LMH_PTS,MATCH(L33,LMH_KEY,0)),0),IFERROR(INDEX(LMH_PTS,MATCH(M33,LMH_KEY,0)),0),IFERROR(INDEX(LMH_PTS,MATCH(N33,LMH_KEY,0)),0),IFERROR(INDEX(LMH_PTS,MATCH(O33,LMH_KEY,0)),0),IFERROR(INDEX(LMH_PTS,MATCH(P33,LMH_KEY,0)),0)),""))</f>
        <v>0.142857142857143</v>
      </c>
      <c r="U33" s="74">
        <f>IF(N33="","",IFERROR(INDEX(LMH_PTS,MATCH(N33,LMH_KEY,0))/SUM(IFERROR(INDEX(LMH_PTS,MATCH(J33,LMH_KEY,0)),0),IFERROR(INDEX(LMH_PTS,MATCH(K33,LMH_KEY,0)),0),IFERROR(INDEX(LMH_PTS,MATCH(L33,LMH_KEY,0)),0),IFERROR(INDEX(LMH_PTS,MATCH(M33,LMH_KEY,0)),0),IFERROR(INDEX(LMH_PTS,MATCH(N33,LMH_KEY,0)),0),IFERROR(INDEX(LMH_PTS,MATCH(O33,LMH_KEY,0)),0),IFERROR(INDEX(LMH_PTS,MATCH(P33,LMH_KEY,0)),0)),""))</f>
        <v>0.0476190476190476</v>
      </c>
      <c r="V33" s="74">
        <f>IF(O33="","",IFERROR(INDEX(LMH_PTS,MATCH(O33,LMH_KEY,0))/SUM(IFERROR(INDEX(LMH_PTS,MATCH(J33,LMH_KEY,0)),0),IFERROR(INDEX(LMH_PTS,MATCH(K33,LMH_KEY,0)),0),IFERROR(INDEX(LMH_PTS,MATCH(L33,LMH_KEY,0)),0),IFERROR(INDEX(LMH_PTS,MATCH(M33,LMH_KEY,0)),0),IFERROR(INDEX(LMH_PTS,MATCH(N33,LMH_KEY,0)),0),IFERROR(INDEX(LMH_PTS,MATCH(O33,LMH_KEY,0)),0),IFERROR(INDEX(LMH_PTS,MATCH(P33,LMH_KEY,0)),0)),""))</f>
        <v>0.0476190476190476</v>
      </c>
      <c r="W33" s="74">
        <f>IF(P33="","",IFERROR(INDEX(LMH_PTS,MATCH(P33,LMH_KEY,0))/SUM(IFERROR(INDEX(LMH_PTS,MATCH(J33,LMH_KEY,0)),0),IFERROR(INDEX(LMH_PTS,MATCH(K33,LMH_KEY,0)),0),IFERROR(INDEX(LMH_PTS,MATCH(L33,LMH_KEY,0)),0),IFERROR(INDEX(LMH_PTS,MATCH(M33,LMH_KEY,0)),0),IFERROR(INDEX(LMH_PTS,MATCH(N33,LMH_KEY,0)),0),IFERROR(INDEX(LMH_PTS,MATCH(O33,LMH_KEY,0)),0),IFERROR(INDEX(LMH_PTS,MATCH(P33,LMH_KEY,0)),0)),""))</f>
        <v>0.0476190476190476</v>
      </c>
      <c r="X33" s="44" t="n"/>
      <c r="Y33" s="38" t="inlineStr">
        <is>
          <t>Corporate|Management|Chief Executive Officer|E2|DE</t>
        </is>
      </c>
    </row>
    <row r="34" ht="18" customHeight="1">
      <c r="A34" s="28" t="inlineStr">
        <is>
          <t>Corporate</t>
        </is>
      </c>
      <c r="B34" s="29" t="inlineStr">
        <is>
          <t>Management</t>
        </is>
      </c>
      <c r="C34" s="77" t="inlineStr">
        <is>
          <t>E1</t>
        </is>
      </c>
      <c r="D34" s="29" t="inlineStr">
        <is>
          <t>Band E · Enterprise leadership</t>
        </is>
      </c>
      <c r="E34" s="29" t="inlineStr">
        <is>
          <t>Chief Operating Officer</t>
        </is>
      </c>
      <c r="F34" s="29" t="inlineStr">
        <is>
          <t>Bands D–E · Leadership</t>
        </is>
      </c>
      <c r="G34" s="29" t="inlineStr">
        <is>
          <t>Enterprise Leadership</t>
        </is>
      </c>
      <c r="H34" s="29" t="n">
        <v>1</v>
      </c>
      <c r="I34" s="29" t="inlineStr">
        <is>
          <t>Deepta Rangarajan</t>
        </is>
      </c>
      <c r="J34" s="34" t="str">
        <f>IFERROR(INDEX(RBD_C,MATCH("Enterprise Leadership|E1|DE",RBD_KEY,0)),"M")</f>
        <v>H</v>
      </c>
      <c r="K34" s="35" t="str">
        <f>IFERROR(INDEX(RBD_Au,MATCH("Enterprise Leadership|E1|DE",RBD_KEY,0)),"M")</f>
        <v>M</v>
      </c>
      <c r="L34" s="35" t="str">
        <f>IFERROR(INDEX(RBD_Ac,MATCH("Enterprise Leadership|E1|DE",RBD_KEY,0)),"M")</f>
        <v>M</v>
      </c>
      <c r="M34" s="35" t="str">
        <f>IFERROR(INDEX(RBD_L,MATCH("Enterprise Leadership|E1|DE",RBD_KEY,0)),"M")</f>
        <v>M</v>
      </c>
      <c r="N34" s="35" t="str">
        <f>IFERROR(INDEX(RBD_BI,MATCH("Enterprise Leadership|E1|DE",RBD_KEY,0)),"M")</f>
        <v>L</v>
      </c>
      <c r="O34" s="35" t="str">
        <f>IFERROR(INDEX(RBD_Exp,MATCH("Enterprise Leadership|E1|DE",RBD_KEY,0)),"M")</f>
        <v>L</v>
      </c>
      <c r="P34" s="35" t="str">
        <f>IFERROR(INDEX(RBD_Edu,MATCH("Enterprise Leadership|E1|DE",RBD_KEY,0)),"M")</f>
        <v>L</v>
      </c>
      <c r="Q34" s="73">
        <f>IF(J34="","",IFERROR(INDEX(LMH_PTS,MATCH(J34,LMH_KEY,0))/SUM(IFERROR(INDEX(LMH_PTS,MATCH(J34,LMH_KEY,0)),0),IFERROR(INDEX(LMH_PTS,MATCH(K34,LMH_KEY,0)),0),IFERROR(INDEX(LMH_PTS,MATCH(L34,LMH_KEY,0)),0),IFERROR(INDEX(LMH_PTS,MATCH(M34,LMH_KEY,0)),0),IFERROR(INDEX(LMH_PTS,MATCH(N34,LMH_KEY,0)),0),IFERROR(INDEX(LMH_PTS,MATCH(O34,LMH_KEY,0)),0),IFERROR(INDEX(LMH_PTS,MATCH(P34,LMH_KEY,0)),0)),""))</f>
        <v>0.428571428571429</v>
      </c>
      <c r="R34" s="74">
        <f>IF(K34="","",IFERROR(INDEX(LMH_PTS,MATCH(K34,LMH_KEY,0))/SUM(IFERROR(INDEX(LMH_PTS,MATCH(J34,LMH_KEY,0)),0),IFERROR(INDEX(LMH_PTS,MATCH(K34,LMH_KEY,0)),0),IFERROR(INDEX(LMH_PTS,MATCH(L34,LMH_KEY,0)),0),IFERROR(INDEX(LMH_PTS,MATCH(M34,LMH_KEY,0)),0),IFERROR(INDEX(LMH_PTS,MATCH(N34,LMH_KEY,0)),0),IFERROR(INDEX(LMH_PTS,MATCH(O34,LMH_KEY,0)),0),IFERROR(INDEX(LMH_PTS,MATCH(P34,LMH_KEY,0)),0)),""))</f>
        <v>0.142857142857143</v>
      </c>
      <c r="S34" s="74">
        <f>IF(L34="","",IFERROR(INDEX(LMH_PTS,MATCH(L34,LMH_KEY,0))/SUM(IFERROR(INDEX(LMH_PTS,MATCH(J34,LMH_KEY,0)),0),IFERROR(INDEX(LMH_PTS,MATCH(K34,LMH_KEY,0)),0),IFERROR(INDEX(LMH_PTS,MATCH(L34,LMH_KEY,0)),0),IFERROR(INDEX(LMH_PTS,MATCH(M34,LMH_KEY,0)),0),IFERROR(INDEX(LMH_PTS,MATCH(N34,LMH_KEY,0)),0),IFERROR(INDEX(LMH_PTS,MATCH(O34,LMH_KEY,0)),0),IFERROR(INDEX(LMH_PTS,MATCH(P34,LMH_KEY,0)),0)),""))</f>
        <v>0.142857142857143</v>
      </c>
      <c r="T34" s="74">
        <f>IF(M34="","",IFERROR(INDEX(LMH_PTS,MATCH(M34,LMH_KEY,0))/SUM(IFERROR(INDEX(LMH_PTS,MATCH(J34,LMH_KEY,0)),0),IFERROR(INDEX(LMH_PTS,MATCH(K34,LMH_KEY,0)),0),IFERROR(INDEX(LMH_PTS,MATCH(L34,LMH_KEY,0)),0),IFERROR(INDEX(LMH_PTS,MATCH(M34,LMH_KEY,0)),0),IFERROR(INDEX(LMH_PTS,MATCH(N34,LMH_KEY,0)),0),IFERROR(INDEX(LMH_PTS,MATCH(O34,LMH_KEY,0)),0),IFERROR(INDEX(LMH_PTS,MATCH(P34,LMH_KEY,0)),0)),""))</f>
        <v>0.142857142857143</v>
      </c>
      <c r="U34" s="74">
        <f>IF(N34="","",IFERROR(INDEX(LMH_PTS,MATCH(N34,LMH_KEY,0))/SUM(IFERROR(INDEX(LMH_PTS,MATCH(J34,LMH_KEY,0)),0),IFERROR(INDEX(LMH_PTS,MATCH(K34,LMH_KEY,0)),0),IFERROR(INDEX(LMH_PTS,MATCH(L34,LMH_KEY,0)),0),IFERROR(INDEX(LMH_PTS,MATCH(M34,LMH_KEY,0)),0),IFERROR(INDEX(LMH_PTS,MATCH(N34,LMH_KEY,0)),0),IFERROR(INDEX(LMH_PTS,MATCH(O34,LMH_KEY,0)),0),IFERROR(INDEX(LMH_PTS,MATCH(P34,LMH_KEY,0)),0)),""))</f>
        <v>0.0476190476190476</v>
      </c>
      <c r="V34" s="74">
        <f>IF(O34="","",IFERROR(INDEX(LMH_PTS,MATCH(O34,LMH_KEY,0))/SUM(IFERROR(INDEX(LMH_PTS,MATCH(J34,LMH_KEY,0)),0),IFERROR(INDEX(LMH_PTS,MATCH(K34,LMH_KEY,0)),0),IFERROR(INDEX(LMH_PTS,MATCH(L34,LMH_KEY,0)),0),IFERROR(INDEX(LMH_PTS,MATCH(M34,LMH_KEY,0)),0),IFERROR(INDEX(LMH_PTS,MATCH(N34,LMH_KEY,0)),0),IFERROR(INDEX(LMH_PTS,MATCH(O34,LMH_KEY,0)),0),IFERROR(INDEX(LMH_PTS,MATCH(P34,LMH_KEY,0)),0)),""))</f>
        <v>0.0476190476190476</v>
      </c>
      <c r="W34" s="74">
        <f>IF(P34="","",IFERROR(INDEX(LMH_PTS,MATCH(P34,LMH_KEY,0))/SUM(IFERROR(INDEX(LMH_PTS,MATCH(J34,LMH_KEY,0)),0),IFERROR(INDEX(LMH_PTS,MATCH(K34,LMH_KEY,0)),0),IFERROR(INDEX(LMH_PTS,MATCH(L34,LMH_KEY,0)),0),IFERROR(INDEX(LMH_PTS,MATCH(M34,LMH_KEY,0)),0),IFERROR(INDEX(LMH_PTS,MATCH(N34,LMH_KEY,0)),0),IFERROR(INDEX(LMH_PTS,MATCH(O34,LMH_KEY,0)),0),IFERROR(INDEX(LMH_PTS,MATCH(P34,LMH_KEY,0)),0)),""))</f>
        <v>0.0476190476190476</v>
      </c>
      <c r="X34" s="44" t="n"/>
      <c r="Y34" s="38" t="inlineStr">
        <is>
          <t>Corporate|Management|Chief Operating Officer|E1|DE</t>
        </is>
      </c>
    </row>
    <row r="35" ht="28" customHeight="1">
      <c r="A35" s="28" t="inlineStr">
        <is>
          <t>Corporate</t>
        </is>
      </c>
      <c r="B35" s="71" t="inlineStr">
        <is>
          <t>Marketing</t>
        </is>
      </c>
      <c r="C35" s="75" t="inlineStr">
        <is>
          <t>A3</t>
        </is>
      </c>
      <c r="D35" s="29" t="inlineStr">
        <is>
          <t>Band A · Practitioner</t>
        </is>
      </c>
      <c r="E35" s="29" t="inlineStr">
        <is>
          <t>Senior Content Marketing Specialist</t>
        </is>
      </c>
      <c r="F35" s="29" t="inlineStr">
        <is>
          <t>Band A · all tracks</t>
        </is>
      </c>
      <c r="G35" s="29" t="inlineStr">
        <is>
          <t>Marketing &amp; Communications</t>
        </is>
      </c>
      <c r="H35" s="29" t="n">
        <v>1</v>
      </c>
      <c r="I35" s="29" t="inlineStr">
        <is>
          <t>Barsha Gloria Gomes</t>
        </is>
      </c>
      <c r="J35" s="34" t="str">
        <f>IFERROR(INDEX(RBD_C,MATCH("Marketing &amp; Communications|A3|A",RBD_KEY,0)),"M")</f>
        <v>H</v>
      </c>
      <c r="K35" s="35" t="str">
        <f>IFERROR(INDEX(RBD_Au,MATCH("Marketing &amp; Communications|A3|A",RBD_KEY,0)),"M")</f>
        <v>M</v>
      </c>
      <c r="L35" s="35" t="str">
        <f>IFERROR(INDEX(RBD_Ac,MATCH("Marketing &amp; Communications|A3|A",RBD_KEY,0)),"M")</f>
        <v>L</v>
      </c>
      <c r="M35" s="35" t="str">
        <f>IFERROR(INDEX(RBD_L,MATCH("Marketing &amp; Communications|A3|A",RBD_KEY,0)),"M")</f>
        <v>L</v>
      </c>
      <c r="N35" s="35" t="str">
        <f>IFERROR(INDEX(RBD_BI,MATCH("Marketing &amp; Communications|A3|A",RBD_KEY,0)),"M")</f>
        <v>M</v>
      </c>
      <c r="O35" s="35" t="str">
        <f>IFERROR(INDEX(RBD_Exp,MATCH("Marketing &amp; Communications|A3|A",RBD_KEY,0)),"M")</f>
        <v>L</v>
      </c>
      <c r="P35" s="35" t="str">
        <f>IFERROR(INDEX(RBD_Edu,MATCH("Marketing &amp; Communications|A3|A",RBD_KEY,0)),"M")</f>
        <v>L</v>
      </c>
      <c r="Q35" s="73">
        <f>IF(J35="","",IFERROR(INDEX(LMH_PTS,MATCH(J35,LMH_KEY,0))/SUM(IFERROR(INDEX(LMH_PTS,MATCH(J35,LMH_KEY,0)),0),IFERROR(INDEX(LMH_PTS,MATCH(K35,LMH_KEY,0)),0),IFERROR(INDEX(LMH_PTS,MATCH(L35,LMH_KEY,0)),0),IFERROR(INDEX(LMH_PTS,MATCH(M35,LMH_KEY,0)),0),IFERROR(INDEX(LMH_PTS,MATCH(N35,LMH_KEY,0)),0),IFERROR(INDEX(LMH_PTS,MATCH(O35,LMH_KEY,0)),0),IFERROR(INDEX(LMH_PTS,MATCH(P35,LMH_KEY,0)),0)),""))</f>
        <v>0.473684210526316</v>
      </c>
      <c r="R35" s="74">
        <f>IF(K35="","",IFERROR(INDEX(LMH_PTS,MATCH(K35,LMH_KEY,0))/SUM(IFERROR(INDEX(LMH_PTS,MATCH(J35,LMH_KEY,0)),0),IFERROR(INDEX(LMH_PTS,MATCH(K35,LMH_KEY,0)),0),IFERROR(INDEX(LMH_PTS,MATCH(L35,LMH_KEY,0)),0),IFERROR(INDEX(LMH_PTS,MATCH(M35,LMH_KEY,0)),0),IFERROR(INDEX(LMH_PTS,MATCH(N35,LMH_KEY,0)),0),IFERROR(INDEX(LMH_PTS,MATCH(O35,LMH_KEY,0)),0),IFERROR(INDEX(LMH_PTS,MATCH(P35,LMH_KEY,0)),0)),""))</f>
        <v>0.157894736842105</v>
      </c>
      <c r="S35" s="74">
        <f>IF(L35="","",IFERROR(INDEX(LMH_PTS,MATCH(L35,LMH_KEY,0))/SUM(IFERROR(INDEX(LMH_PTS,MATCH(J35,LMH_KEY,0)),0),IFERROR(INDEX(LMH_PTS,MATCH(K35,LMH_KEY,0)),0),IFERROR(INDEX(LMH_PTS,MATCH(L35,LMH_KEY,0)),0),IFERROR(INDEX(LMH_PTS,MATCH(M35,LMH_KEY,0)),0),IFERROR(INDEX(LMH_PTS,MATCH(N35,LMH_KEY,0)),0),IFERROR(INDEX(LMH_PTS,MATCH(O35,LMH_KEY,0)),0),IFERROR(INDEX(LMH_PTS,MATCH(P35,LMH_KEY,0)),0)),""))</f>
        <v>0.0526315789473684</v>
      </c>
      <c r="T35" s="74">
        <f>IF(M35="","",IFERROR(INDEX(LMH_PTS,MATCH(M35,LMH_KEY,0))/SUM(IFERROR(INDEX(LMH_PTS,MATCH(J35,LMH_KEY,0)),0),IFERROR(INDEX(LMH_PTS,MATCH(K35,LMH_KEY,0)),0),IFERROR(INDEX(LMH_PTS,MATCH(L35,LMH_KEY,0)),0),IFERROR(INDEX(LMH_PTS,MATCH(M35,LMH_KEY,0)),0),IFERROR(INDEX(LMH_PTS,MATCH(N35,LMH_KEY,0)),0),IFERROR(INDEX(LMH_PTS,MATCH(O35,LMH_KEY,0)),0),IFERROR(INDEX(LMH_PTS,MATCH(P35,LMH_KEY,0)),0)),""))</f>
        <v>0.0526315789473684</v>
      </c>
      <c r="U35" s="74">
        <f>IF(N35="","",IFERROR(INDEX(LMH_PTS,MATCH(N35,LMH_KEY,0))/SUM(IFERROR(INDEX(LMH_PTS,MATCH(J35,LMH_KEY,0)),0),IFERROR(INDEX(LMH_PTS,MATCH(K35,LMH_KEY,0)),0),IFERROR(INDEX(LMH_PTS,MATCH(L35,LMH_KEY,0)),0),IFERROR(INDEX(LMH_PTS,MATCH(M35,LMH_KEY,0)),0),IFERROR(INDEX(LMH_PTS,MATCH(N35,LMH_KEY,0)),0),IFERROR(INDEX(LMH_PTS,MATCH(O35,LMH_KEY,0)),0),IFERROR(INDEX(LMH_PTS,MATCH(P35,LMH_KEY,0)),0)),""))</f>
        <v>0.157894736842105</v>
      </c>
      <c r="V35" s="74">
        <f>IF(O35="","",IFERROR(INDEX(LMH_PTS,MATCH(O35,LMH_KEY,0))/SUM(IFERROR(INDEX(LMH_PTS,MATCH(J35,LMH_KEY,0)),0),IFERROR(INDEX(LMH_PTS,MATCH(K35,LMH_KEY,0)),0),IFERROR(INDEX(LMH_PTS,MATCH(L35,LMH_KEY,0)),0),IFERROR(INDEX(LMH_PTS,MATCH(M35,LMH_KEY,0)),0),IFERROR(INDEX(LMH_PTS,MATCH(N35,LMH_KEY,0)),0),IFERROR(INDEX(LMH_PTS,MATCH(O35,LMH_KEY,0)),0),IFERROR(INDEX(LMH_PTS,MATCH(P35,LMH_KEY,0)),0)),""))</f>
        <v>0.0526315789473684</v>
      </c>
      <c r="W35" s="74">
        <f>IF(P35="","",IFERROR(INDEX(LMH_PTS,MATCH(P35,LMH_KEY,0))/SUM(IFERROR(INDEX(LMH_PTS,MATCH(J35,LMH_KEY,0)),0),IFERROR(INDEX(LMH_PTS,MATCH(K35,LMH_KEY,0)),0),IFERROR(INDEX(LMH_PTS,MATCH(L35,LMH_KEY,0)),0),IFERROR(INDEX(LMH_PTS,MATCH(M35,LMH_KEY,0)),0),IFERROR(INDEX(LMH_PTS,MATCH(N35,LMH_KEY,0)),0),IFERROR(INDEX(LMH_PTS,MATCH(O35,LMH_KEY,0)),0),IFERROR(INDEX(LMH_PTS,MATCH(P35,LMH_KEY,0)),0)),""))</f>
        <v>0.0526315789473684</v>
      </c>
      <c r="X35" s="44" t="n"/>
      <c r="Y35" s="38" t="inlineStr">
        <is>
          <t>Corporate|Marketing|Senior Content Marketing Specialist|A3|A</t>
        </is>
      </c>
    </row>
    <row r="36" ht="18" customHeight="1">
      <c r="A36" s="28" t="inlineStr">
        <is>
          <t>Corporate</t>
        </is>
      </c>
      <c r="B36" s="29" t="inlineStr">
        <is>
          <t>Marketing</t>
        </is>
      </c>
      <c r="C36" s="75" t="inlineStr">
        <is>
          <t>A3</t>
        </is>
      </c>
      <c r="D36" s="29" t="inlineStr">
        <is>
          <t>Band A · Practitioner</t>
        </is>
      </c>
      <c r="E36" s="29" t="inlineStr">
        <is>
          <t>Senior Designer</t>
        </is>
      </c>
      <c r="F36" s="29" t="inlineStr">
        <is>
          <t>Band A · all tracks</t>
        </is>
      </c>
      <c r="G36" s="29" t="inlineStr">
        <is>
          <t>Design &amp; Creative</t>
        </is>
      </c>
      <c r="H36" s="29" t="n">
        <v>1</v>
      </c>
      <c r="I36" s="29" t="inlineStr">
        <is>
          <t>Abhishek Sharma</t>
        </is>
      </c>
      <c r="J36" s="34" t="str">
        <f>IFERROR(INDEX(RBD_C,MATCH("Design &amp; Creative|A3|A",RBD_KEY,0)),"M")</f>
        <v>H</v>
      </c>
      <c r="K36" s="35" t="str">
        <f>IFERROR(INDEX(RBD_Au,MATCH("Design &amp; Creative|A3|A",RBD_KEY,0)),"M")</f>
        <v>M</v>
      </c>
      <c r="L36" s="35" t="str">
        <f>IFERROR(INDEX(RBD_Ac,MATCH("Design &amp; Creative|A3|A",RBD_KEY,0)),"M")</f>
        <v>L</v>
      </c>
      <c r="M36" s="35" t="str">
        <f>IFERROR(INDEX(RBD_L,MATCH("Design &amp; Creative|A3|A",RBD_KEY,0)),"M")</f>
        <v>L</v>
      </c>
      <c r="N36" s="35" t="str">
        <f>IFERROR(INDEX(RBD_BI,MATCH("Design &amp; Creative|A3|A",RBD_KEY,0)),"M")</f>
        <v>M</v>
      </c>
      <c r="O36" s="35" t="str">
        <f>IFERROR(INDEX(RBD_Exp,MATCH("Design &amp; Creative|A3|A",RBD_KEY,0)),"M")</f>
        <v>L</v>
      </c>
      <c r="P36" s="35" t="str">
        <f>IFERROR(INDEX(RBD_Edu,MATCH("Design &amp; Creative|A3|A",RBD_KEY,0)),"M")</f>
        <v>L</v>
      </c>
      <c r="Q36" s="73">
        <f>IF(J36="","",IFERROR(INDEX(LMH_PTS,MATCH(J36,LMH_KEY,0))/SUM(IFERROR(INDEX(LMH_PTS,MATCH(J36,LMH_KEY,0)),0),IFERROR(INDEX(LMH_PTS,MATCH(K36,LMH_KEY,0)),0),IFERROR(INDEX(LMH_PTS,MATCH(L36,LMH_KEY,0)),0),IFERROR(INDEX(LMH_PTS,MATCH(M36,LMH_KEY,0)),0),IFERROR(INDEX(LMH_PTS,MATCH(N36,LMH_KEY,0)),0),IFERROR(INDEX(LMH_PTS,MATCH(O36,LMH_KEY,0)),0),IFERROR(INDEX(LMH_PTS,MATCH(P36,LMH_KEY,0)),0)),""))</f>
        <v>0.473684210526316</v>
      </c>
      <c r="R36" s="74">
        <f>IF(K36="","",IFERROR(INDEX(LMH_PTS,MATCH(K36,LMH_KEY,0))/SUM(IFERROR(INDEX(LMH_PTS,MATCH(J36,LMH_KEY,0)),0),IFERROR(INDEX(LMH_PTS,MATCH(K36,LMH_KEY,0)),0),IFERROR(INDEX(LMH_PTS,MATCH(L36,LMH_KEY,0)),0),IFERROR(INDEX(LMH_PTS,MATCH(M36,LMH_KEY,0)),0),IFERROR(INDEX(LMH_PTS,MATCH(N36,LMH_KEY,0)),0),IFERROR(INDEX(LMH_PTS,MATCH(O36,LMH_KEY,0)),0),IFERROR(INDEX(LMH_PTS,MATCH(P36,LMH_KEY,0)),0)),""))</f>
        <v>0.157894736842105</v>
      </c>
      <c r="S36" s="74">
        <f>IF(L36="","",IFERROR(INDEX(LMH_PTS,MATCH(L36,LMH_KEY,0))/SUM(IFERROR(INDEX(LMH_PTS,MATCH(J36,LMH_KEY,0)),0),IFERROR(INDEX(LMH_PTS,MATCH(K36,LMH_KEY,0)),0),IFERROR(INDEX(LMH_PTS,MATCH(L36,LMH_KEY,0)),0),IFERROR(INDEX(LMH_PTS,MATCH(M36,LMH_KEY,0)),0),IFERROR(INDEX(LMH_PTS,MATCH(N36,LMH_KEY,0)),0),IFERROR(INDEX(LMH_PTS,MATCH(O36,LMH_KEY,0)),0),IFERROR(INDEX(LMH_PTS,MATCH(P36,LMH_KEY,0)),0)),""))</f>
        <v>0.0526315789473684</v>
      </c>
      <c r="T36" s="74">
        <f>IF(M36="","",IFERROR(INDEX(LMH_PTS,MATCH(M36,LMH_KEY,0))/SUM(IFERROR(INDEX(LMH_PTS,MATCH(J36,LMH_KEY,0)),0),IFERROR(INDEX(LMH_PTS,MATCH(K36,LMH_KEY,0)),0),IFERROR(INDEX(LMH_PTS,MATCH(L36,LMH_KEY,0)),0),IFERROR(INDEX(LMH_PTS,MATCH(M36,LMH_KEY,0)),0),IFERROR(INDEX(LMH_PTS,MATCH(N36,LMH_KEY,0)),0),IFERROR(INDEX(LMH_PTS,MATCH(O36,LMH_KEY,0)),0),IFERROR(INDEX(LMH_PTS,MATCH(P36,LMH_KEY,0)),0)),""))</f>
        <v>0.0526315789473684</v>
      </c>
      <c r="U36" s="74">
        <f>IF(N36="","",IFERROR(INDEX(LMH_PTS,MATCH(N36,LMH_KEY,0))/SUM(IFERROR(INDEX(LMH_PTS,MATCH(J36,LMH_KEY,0)),0),IFERROR(INDEX(LMH_PTS,MATCH(K36,LMH_KEY,0)),0),IFERROR(INDEX(LMH_PTS,MATCH(L36,LMH_KEY,0)),0),IFERROR(INDEX(LMH_PTS,MATCH(M36,LMH_KEY,0)),0),IFERROR(INDEX(LMH_PTS,MATCH(N36,LMH_KEY,0)),0),IFERROR(INDEX(LMH_PTS,MATCH(O36,LMH_KEY,0)),0),IFERROR(INDEX(LMH_PTS,MATCH(P36,LMH_KEY,0)),0)),""))</f>
        <v>0.157894736842105</v>
      </c>
      <c r="V36" s="74">
        <f>IF(O36="","",IFERROR(INDEX(LMH_PTS,MATCH(O36,LMH_KEY,0))/SUM(IFERROR(INDEX(LMH_PTS,MATCH(J36,LMH_KEY,0)),0),IFERROR(INDEX(LMH_PTS,MATCH(K36,LMH_KEY,0)),0),IFERROR(INDEX(LMH_PTS,MATCH(L36,LMH_KEY,0)),0),IFERROR(INDEX(LMH_PTS,MATCH(M36,LMH_KEY,0)),0),IFERROR(INDEX(LMH_PTS,MATCH(N36,LMH_KEY,0)),0),IFERROR(INDEX(LMH_PTS,MATCH(O36,LMH_KEY,0)),0),IFERROR(INDEX(LMH_PTS,MATCH(P36,LMH_KEY,0)),0)),""))</f>
        <v>0.0526315789473684</v>
      </c>
      <c r="W36" s="74">
        <f>IF(P36="","",IFERROR(INDEX(LMH_PTS,MATCH(P36,LMH_KEY,0))/SUM(IFERROR(INDEX(LMH_PTS,MATCH(J36,LMH_KEY,0)),0),IFERROR(INDEX(LMH_PTS,MATCH(K36,LMH_KEY,0)),0),IFERROR(INDEX(LMH_PTS,MATCH(L36,LMH_KEY,0)),0),IFERROR(INDEX(LMH_PTS,MATCH(M36,LMH_KEY,0)),0),IFERROR(INDEX(LMH_PTS,MATCH(N36,LMH_KEY,0)),0),IFERROR(INDEX(LMH_PTS,MATCH(O36,LMH_KEY,0)),0),IFERROR(INDEX(LMH_PTS,MATCH(P36,LMH_KEY,0)),0)),""))</f>
        <v>0.0526315789473684</v>
      </c>
      <c r="X36" s="44" t="n"/>
      <c r="Y36" s="38" t="inlineStr">
        <is>
          <t>Corporate|Marketing|Senior Designer|A3|A</t>
        </is>
      </c>
    </row>
    <row r="37" ht="28" customHeight="1">
      <c r="A37" s="28" t="inlineStr">
        <is>
          <t>Corporate</t>
        </is>
      </c>
      <c r="B37" s="29" t="inlineStr">
        <is>
          <t>Marketing</t>
        </is>
      </c>
      <c r="C37" s="75" t="inlineStr">
        <is>
          <t>A3</t>
        </is>
      </c>
      <c r="D37" s="29" t="inlineStr">
        <is>
          <t>Band A · Practitioner</t>
        </is>
      </c>
      <c r="E37" s="29" t="inlineStr">
        <is>
          <t>Senior Marketing Operations Associate</t>
        </is>
      </c>
      <c r="F37" s="29" t="inlineStr">
        <is>
          <t>Band A · all tracks</t>
        </is>
      </c>
      <c r="G37" s="29" t="inlineStr">
        <is>
          <t>Marketing &amp; Communications</t>
        </is>
      </c>
      <c r="H37" s="29" t="n">
        <v>1</v>
      </c>
      <c r="I37" s="29" t="inlineStr">
        <is>
          <t>Esther Kanagaselvam D</t>
        </is>
      </c>
      <c r="J37" s="34" t="str">
        <f>IFERROR(INDEX(RBD_C,MATCH("Marketing &amp; Communications|A3|A",RBD_KEY,0)),"M")</f>
        <v>H</v>
      </c>
      <c r="K37" s="35" t="str">
        <f>IFERROR(INDEX(RBD_Au,MATCH("Marketing &amp; Communications|A3|A",RBD_KEY,0)),"M")</f>
        <v>M</v>
      </c>
      <c r="L37" s="35" t="str">
        <f>IFERROR(INDEX(RBD_Ac,MATCH("Marketing &amp; Communications|A3|A",RBD_KEY,0)),"M")</f>
        <v>L</v>
      </c>
      <c r="M37" s="35" t="str">
        <f>IFERROR(INDEX(RBD_L,MATCH("Marketing &amp; Communications|A3|A",RBD_KEY,0)),"M")</f>
        <v>L</v>
      </c>
      <c r="N37" s="35" t="str">
        <f>IFERROR(INDEX(RBD_BI,MATCH("Marketing &amp; Communications|A3|A",RBD_KEY,0)),"M")</f>
        <v>M</v>
      </c>
      <c r="O37" s="35" t="str">
        <f>IFERROR(INDEX(RBD_Exp,MATCH("Marketing &amp; Communications|A3|A",RBD_KEY,0)),"M")</f>
        <v>L</v>
      </c>
      <c r="P37" s="35" t="str">
        <f>IFERROR(INDEX(RBD_Edu,MATCH("Marketing &amp; Communications|A3|A",RBD_KEY,0)),"M")</f>
        <v>L</v>
      </c>
      <c r="Q37" s="73">
        <f>IF(J37="","",IFERROR(INDEX(LMH_PTS,MATCH(J37,LMH_KEY,0))/SUM(IFERROR(INDEX(LMH_PTS,MATCH(J37,LMH_KEY,0)),0),IFERROR(INDEX(LMH_PTS,MATCH(K37,LMH_KEY,0)),0),IFERROR(INDEX(LMH_PTS,MATCH(L37,LMH_KEY,0)),0),IFERROR(INDEX(LMH_PTS,MATCH(M37,LMH_KEY,0)),0),IFERROR(INDEX(LMH_PTS,MATCH(N37,LMH_KEY,0)),0),IFERROR(INDEX(LMH_PTS,MATCH(O37,LMH_KEY,0)),0),IFERROR(INDEX(LMH_PTS,MATCH(P37,LMH_KEY,0)),0)),""))</f>
        <v>0.473684210526316</v>
      </c>
      <c r="R37" s="74">
        <f>IF(K37="","",IFERROR(INDEX(LMH_PTS,MATCH(K37,LMH_KEY,0))/SUM(IFERROR(INDEX(LMH_PTS,MATCH(J37,LMH_KEY,0)),0),IFERROR(INDEX(LMH_PTS,MATCH(K37,LMH_KEY,0)),0),IFERROR(INDEX(LMH_PTS,MATCH(L37,LMH_KEY,0)),0),IFERROR(INDEX(LMH_PTS,MATCH(M37,LMH_KEY,0)),0),IFERROR(INDEX(LMH_PTS,MATCH(N37,LMH_KEY,0)),0),IFERROR(INDEX(LMH_PTS,MATCH(O37,LMH_KEY,0)),0),IFERROR(INDEX(LMH_PTS,MATCH(P37,LMH_KEY,0)),0)),""))</f>
        <v>0.157894736842105</v>
      </c>
      <c r="S37" s="74">
        <f>IF(L37="","",IFERROR(INDEX(LMH_PTS,MATCH(L37,LMH_KEY,0))/SUM(IFERROR(INDEX(LMH_PTS,MATCH(J37,LMH_KEY,0)),0),IFERROR(INDEX(LMH_PTS,MATCH(K37,LMH_KEY,0)),0),IFERROR(INDEX(LMH_PTS,MATCH(L37,LMH_KEY,0)),0),IFERROR(INDEX(LMH_PTS,MATCH(M37,LMH_KEY,0)),0),IFERROR(INDEX(LMH_PTS,MATCH(N37,LMH_KEY,0)),0),IFERROR(INDEX(LMH_PTS,MATCH(O37,LMH_KEY,0)),0),IFERROR(INDEX(LMH_PTS,MATCH(P37,LMH_KEY,0)),0)),""))</f>
        <v>0.0526315789473684</v>
      </c>
      <c r="T37" s="74">
        <f>IF(M37="","",IFERROR(INDEX(LMH_PTS,MATCH(M37,LMH_KEY,0))/SUM(IFERROR(INDEX(LMH_PTS,MATCH(J37,LMH_KEY,0)),0),IFERROR(INDEX(LMH_PTS,MATCH(K37,LMH_KEY,0)),0),IFERROR(INDEX(LMH_PTS,MATCH(L37,LMH_KEY,0)),0),IFERROR(INDEX(LMH_PTS,MATCH(M37,LMH_KEY,0)),0),IFERROR(INDEX(LMH_PTS,MATCH(N37,LMH_KEY,0)),0),IFERROR(INDEX(LMH_PTS,MATCH(O37,LMH_KEY,0)),0),IFERROR(INDEX(LMH_PTS,MATCH(P37,LMH_KEY,0)),0)),""))</f>
        <v>0.0526315789473684</v>
      </c>
      <c r="U37" s="74">
        <f>IF(N37="","",IFERROR(INDEX(LMH_PTS,MATCH(N37,LMH_KEY,0))/SUM(IFERROR(INDEX(LMH_PTS,MATCH(J37,LMH_KEY,0)),0),IFERROR(INDEX(LMH_PTS,MATCH(K37,LMH_KEY,0)),0),IFERROR(INDEX(LMH_PTS,MATCH(L37,LMH_KEY,0)),0),IFERROR(INDEX(LMH_PTS,MATCH(M37,LMH_KEY,0)),0),IFERROR(INDEX(LMH_PTS,MATCH(N37,LMH_KEY,0)),0),IFERROR(INDEX(LMH_PTS,MATCH(O37,LMH_KEY,0)),0),IFERROR(INDEX(LMH_PTS,MATCH(P37,LMH_KEY,0)),0)),""))</f>
        <v>0.157894736842105</v>
      </c>
      <c r="V37" s="74">
        <f>IF(O37="","",IFERROR(INDEX(LMH_PTS,MATCH(O37,LMH_KEY,0))/SUM(IFERROR(INDEX(LMH_PTS,MATCH(J37,LMH_KEY,0)),0),IFERROR(INDEX(LMH_PTS,MATCH(K37,LMH_KEY,0)),0),IFERROR(INDEX(LMH_PTS,MATCH(L37,LMH_KEY,0)),0),IFERROR(INDEX(LMH_PTS,MATCH(M37,LMH_KEY,0)),0),IFERROR(INDEX(LMH_PTS,MATCH(N37,LMH_KEY,0)),0),IFERROR(INDEX(LMH_PTS,MATCH(O37,LMH_KEY,0)),0),IFERROR(INDEX(LMH_PTS,MATCH(P37,LMH_KEY,0)),0)),""))</f>
        <v>0.0526315789473684</v>
      </c>
      <c r="W37" s="74">
        <f>IF(P37="","",IFERROR(INDEX(LMH_PTS,MATCH(P37,LMH_KEY,0))/SUM(IFERROR(INDEX(LMH_PTS,MATCH(J37,LMH_KEY,0)),0),IFERROR(INDEX(LMH_PTS,MATCH(K37,LMH_KEY,0)),0),IFERROR(INDEX(LMH_PTS,MATCH(L37,LMH_KEY,0)),0),IFERROR(INDEX(LMH_PTS,MATCH(M37,LMH_KEY,0)),0),IFERROR(INDEX(LMH_PTS,MATCH(N37,LMH_KEY,0)),0),IFERROR(INDEX(LMH_PTS,MATCH(O37,LMH_KEY,0)),0),IFERROR(INDEX(LMH_PTS,MATCH(P37,LMH_KEY,0)),0)),""))</f>
        <v>0.0526315789473684</v>
      </c>
      <c r="X37" s="44" t="n"/>
      <c r="Y37" s="38" t="inlineStr">
        <is>
          <t>Corporate|Marketing|Senior Marketing Operations Associate|A3|A</t>
        </is>
      </c>
    </row>
    <row r="38" ht="28" customHeight="1">
      <c r="A38" s="28" t="inlineStr">
        <is>
          <t>Corporate</t>
        </is>
      </c>
      <c r="B38" s="71" t="inlineStr">
        <is>
          <t>Secretarial &amp; Legal</t>
        </is>
      </c>
      <c r="C38" s="78" t="inlineStr">
        <is>
          <t>C1</t>
        </is>
      </c>
      <c r="D38" s="29" t="inlineStr">
        <is>
          <t>Band C · Principal / Head</t>
        </is>
      </c>
      <c r="E38" s="29" t="inlineStr">
        <is>
          <t>Company Secretary – POD Lead</t>
        </is>
      </c>
      <c r="F38" s="29" t="inlineStr">
        <is>
          <t>Band C · Principal specialist</t>
        </is>
      </c>
      <c r="G38" s="29" t="inlineStr">
        <is>
          <t>Executive Leadership</t>
        </is>
      </c>
      <c r="H38" s="29" t="n">
        <v>1</v>
      </c>
      <c r="I38" s="29" t="inlineStr">
        <is>
          <t>Santosh Sharma</t>
        </is>
      </c>
      <c r="J38" s="34" t="str">
        <f>IFERROR(INDEX(RBD_C,MATCH("Executive Leadership|C1|C-IC",RBD_KEY,0)),"M")</f>
        <v>H</v>
      </c>
      <c r="K38" s="35" t="str">
        <f>IFERROR(INDEX(RBD_Au,MATCH("Executive Leadership|C1|C-IC",RBD_KEY,0)),"M")</f>
        <v>M</v>
      </c>
      <c r="L38" s="35" t="str">
        <f>IFERROR(INDEX(RBD_Ac,MATCH("Executive Leadership|C1|C-IC",RBD_KEY,0)),"M")</f>
        <v>M</v>
      </c>
      <c r="M38" s="35" t="str">
        <f>IFERROR(INDEX(RBD_L,MATCH("Executive Leadership|C1|C-IC",RBD_KEY,0)),"M")</f>
        <v>L</v>
      </c>
      <c r="N38" s="35" t="str">
        <f>IFERROR(INDEX(RBD_BI,MATCH("Executive Leadership|C1|C-IC",RBD_KEY,0)),"M")</f>
        <v>L</v>
      </c>
      <c r="O38" s="35" t="str">
        <f>IFERROR(INDEX(RBD_Exp,MATCH("Executive Leadership|C1|C-IC",RBD_KEY,0)),"M")</f>
        <v>L</v>
      </c>
      <c r="P38" s="35" t="str">
        <f>IFERROR(INDEX(RBD_Edu,MATCH("Executive Leadership|C1|C-IC",RBD_KEY,0)),"M")</f>
        <v>L</v>
      </c>
      <c r="Q38" s="73">
        <f>IF(J38="","",IFERROR(INDEX(LMH_PTS,MATCH(J38,LMH_KEY,0))/SUM(IFERROR(INDEX(LMH_PTS,MATCH(J38,LMH_KEY,0)),0),IFERROR(INDEX(LMH_PTS,MATCH(K38,LMH_KEY,0)),0),IFERROR(INDEX(LMH_PTS,MATCH(L38,LMH_KEY,0)),0),IFERROR(INDEX(LMH_PTS,MATCH(M38,LMH_KEY,0)),0),IFERROR(INDEX(LMH_PTS,MATCH(N38,LMH_KEY,0)),0),IFERROR(INDEX(LMH_PTS,MATCH(O38,LMH_KEY,0)),0),IFERROR(INDEX(LMH_PTS,MATCH(P38,LMH_KEY,0)),0)),""))</f>
        <v>0.473684210526316</v>
      </c>
      <c r="R38" s="74">
        <f>IF(K38="","",IFERROR(INDEX(LMH_PTS,MATCH(K38,LMH_KEY,0))/SUM(IFERROR(INDEX(LMH_PTS,MATCH(J38,LMH_KEY,0)),0),IFERROR(INDEX(LMH_PTS,MATCH(K38,LMH_KEY,0)),0),IFERROR(INDEX(LMH_PTS,MATCH(L38,LMH_KEY,0)),0),IFERROR(INDEX(LMH_PTS,MATCH(M38,LMH_KEY,0)),0),IFERROR(INDEX(LMH_PTS,MATCH(N38,LMH_KEY,0)),0),IFERROR(INDEX(LMH_PTS,MATCH(O38,LMH_KEY,0)),0),IFERROR(INDEX(LMH_PTS,MATCH(P38,LMH_KEY,0)),0)),""))</f>
        <v>0.157894736842105</v>
      </c>
      <c r="S38" s="74">
        <f>IF(L38="","",IFERROR(INDEX(LMH_PTS,MATCH(L38,LMH_KEY,0))/SUM(IFERROR(INDEX(LMH_PTS,MATCH(J38,LMH_KEY,0)),0),IFERROR(INDEX(LMH_PTS,MATCH(K38,LMH_KEY,0)),0),IFERROR(INDEX(LMH_PTS,MATCH(L38,LMH_KEY,0)),0),IFERROR(INDEX(LMH_PTS,MATCH(M38,LMH_KEY,0)),0),IFERROR(INDEX(LMH_PTS,MATCH(N38,LMH_KEY,0)),0),IFERROR(INDEX(LMH_PTS,MATCH(O38,LMH_KEY,0)),0),IFERROR(INDEX(LMH_PTS,MATCH(P38,LMH_KEY,0)),0)),""))</f>
        <v>0.157894736842105</v>
      </c>
      <c r="T38" s="74">
        <f>IF(M38="","",IFERROR(INDEX(LMH_PTS,MATCH(M38,LMH_KEY,0))/SUM(IFERROR(INDEX(LMH_PTS,MATCH(J38,LMH_KEY,0)),0),IFERROR(INDEX(LMH_PTS,MATCH(K38,LMH_KEY,0)),0),IFERROR(INDEX(LMH_PTS,MATCH(L38,LMH_KEY,0)),0),IFERROR(INDEX(LMH_PTS,MATCH(M38,LMH_KEY,0)),0),IFERROR(INDEX(LMH_PTS,MATCH(N38,LMH_KEY,0)),0),IFERROR(INDEX(LMH_PTS,MATCH(O38,LMH_KEY,0)),0),IFERROR(INDEX(LMH_PTS,MATCH(P38,LMH_KEY,0)),0)),""))</f>
        <v>0.0526315789473684</v>
      </c>
      <c r="U38" s="74">
        <f>IF(N38="","",IFERROR(INDEX(LMH_PTS,MATCH(N38,LMH_KEY,0))/SUM(IFERROR(INDEX(LMH_PTS,MATCH(J38,LMH_KEY,0)),0),IFERROR(INDEX(LMH_PTS,MATCH(K38,LMH_KEY,0)),0),IFERROR(INDEX(LMH_PTS,MATCH(L38,LMH_KEY,0)),0),IFERROR(INDEX(LMH_PTS,MATCH(M38,LMH_KEY,0)),0),IFERROR(INDEX(LMH_PTS,MATCH(N38,LMH_KEY,0)),0),IFERROR(INDEX(LMH_PTS,MATCH(O38,LMH_KEY,0)),0),IFERROR(INDEX(LMH_PTS,MATCH(P38,LMH_KEY,0)),0)),""))</f>
        <v>0.0526315789473684</v>
      </c>
      <c r="V38" s="74">
        <f>IF(O38="","",IFERROR(INDEX(LMH_PTS,MATCH(O38,LMH_KEY,0))/SUM(IFERROR(INDEX(LMH_PTS,MATCH(J38,LMH_KEY,0)),0),IFERROR(INDEX(LMH_PTS,MATCH(K38,LMH_KEY,0)),0),IFERROR(INDEX(LMH_PTS,MATCH(L38,LMH_KEY,0)),0),IFERROR(INDEX(LMH_PTS,MATCH(M38,LMH_KEY,0)),0),IFERROR(INDEX(LMH_PTS,MATCH(N38,LMH_KEY,0)),0),IFERROR(INDEX(LMH_PTS,MATCH(O38,LMH_KEY,0)),0),IFERROR(INDEX(LMH_PTS,MATCH(P38,LMH_KEY,0)),0)),""))</f>
        <v>0.0526315789473684</v>
      </c>
      <c r="W38" s="74">
        <f>IF(P38="","",IFERROR(INDEX(LMH_PTS,MATCH(P38,LMH_KEY,0))/SUM(IFERROR(INDEX(LMH_PTS,MATCH(J38,LMH_KEY,0)),0),IFERROR(INDEX(LMH_PTS,MATCH(K38,LMH_KEY,0)),0),IFERROR(INDEX(LMH_PTS,MATCH(L38,LMH_KEY,0)),0),IFERROR(INDEX(LMH_PTS,MATCH(M38,LMH_KEY,0)),0),IFERROR(INDEX(LMH_PTS,MATCH(N38,LMH_KEY,0)),0),IFERROR(INDEX(LMH_PTS,MATCH(O38,LMH_KEY,0)),0),IFERROR(INDEX(LMH_PTS,MATCH(P38,LMH_KEY,0)),0)),""))</f>
        <v>0.0526315789473684</v>
      </c>
      <c r="X38" s="44" t="n"/>
      <c r="Y38" s="38" t="inlineStr">
        <is>
          <t>Corporate|Secretarial &amp; Legal|Company Secretary – POD Lead|C1|C-IC</t>
        </is>
      </c>
    </row>
    <row r="39" ht="28" customHeight="1">
      <c r="A39" s="28" t="inlineStr">
        <is>
          <t>Corporate</t>
        </is>
      </c>
      <c r="B39" s="29" t="inlineStr">
        <is>
          <t>Secretarial &amp; Legal</t>
        </is>
      </c>
      <c r="C39" s="75" t="inlineStr">
        <is>
          <t>A3</t>
        </is>
      </c>
      <c r="D39" s="29" t="inlineStr">
        <is>
          <t>Band A · Practitioner</t>
        </is>
      </c>
      <c r="E39" s="29" t="inlineStr">
        <is>
          <t>Senior Secretarial Executive</t>
        </is>
      </c>
      <c r="F39" s="29" t="inlineStr">
        <is>
          <t>Band A · all tracks</t>
        </is>
      </c>
      <c r="G39" s="29" t="inlineStr">
        <is>
          <t>Administration, Legal &amp; Secretarial</t>
        </is>
      </c>
      <c r="H39" s="29" t="n">
        <v>1</v>
      </c>
      <c r="I39" s="29" t="inlineStr">
        <is>
          <t>Melita Suares</t>
        </is>
      </c>
      <c r="J39" s="34" t="str">
        <f>IFERROR(INDEX(RBD_C,MATCH("Administration, Legal &amp; Secretarial|A3|A",RBD_KEY,0)),"M")</f>
        <v>H</v>
      </c>
      <c r="K39" s="35" t="str">
        <f>IFERROR(INDEX(RBD_Au,MATCH("Administration, Legal &amp; Secretarial|A3|A",RBD_KEY,0)),"M")</f>
        <v>M</v>
      </c>
      <c r="L39" s="35" t="str">
        <f>IFERROR(INDEX(RBD_Ac,MATCH("Administration, Legal &amp; Secretarial|A3|A",RBD_KEY,0)),"M")</f>
        <v>M</v>
      </c>
      <c r="M39" s="35" t="str">
        <f>IFERROR(INDEX(RBD_L,MATCH("Administration, Legal &amp; Secretarial|A3|A",RBD_KEY,0)),"M")</f>
        <v>L</v>
      </c>
      <c r="N39" s="35" t="str">
        <f>IFERROR(INDEX(RBD_BI,MATCH("Administration, Legal &amp; Secretarial|A3|A",RBD_KEY,0)),"M")</f>
        <v>L</v>
      </c>
      <c r="O39" s="35" t="str">
        <f>IFERROR(INDEX(RBD_Exp,MATCH("Administration, Legal &amp; Secretarial|A3|A",RBD_KEY,0)),"M")</f>
        <v>L</v>
      </c>
      <c r="P39" s="35" t="str">
        <f>IFERROR(INDEX(RBD_Edu,MATCH("Administration, Legal &amp; Secretarial|A3|A",RBD_KEY,0)),"M")</f>
        <v>M</v>
      </c>
      <c r="Q39" s="73">
        <f>IF(J39="","",IFERROR(INDEX(LMH_PTS,MATCH(J39,LMH_KEY,0))/SUM(IFERROR(INDEX(LMH_PTS,MATCH(J39,LMH_KEY,0)),0),IFERROR(INDEX(LMH_PTS,MATCH(K39,LMH_KEY,0)),0),IFERROR(INDEX(LMH_PTS,MATCH(L39,LMH_KEY,0)),0),IFERROR(INDEX(LMH_PTS,MATCH(M39,LMH_KEY,0)),0),IFERROR(INDEX(LMH_PTS,MATCH(N39,LMH_KEY,0)),0),IFERROR(INDEX(LMH_PTS,MATCH(O39,LMH_KEY,0)),0),IFERROR(INDEX(LMH_PTS,MATCH(P39,LMH_KEY,0)),0)),""))</f>
        <v>0.428571428571429</v>
      </c>
      <c r="R39" s="74">
        <f>IF(K39="","",IFERROR(INDEX(LMH_PTS,MATCH(K39,LMH_KEY,0))/SUM(IFERROR(INDEX(LMH_PTS,MATCH(J39,LMH_KEY,0)),0),IFERROR(INDEX(LMH_PTS,MATCH(K39,LMH_KEY,0)),0),IFERROR(INDEX(LMH_PTS,MATCH(L39,LMH_KEY,0)),0),IFERROR(INDEX(LMH_PTS,MATCH(M39,LMH_KEY,0)),0),IFERROR(INDEX(LMH_PTS,MATCH(N39,LMH_KEY,0)),0),IFERROR(INDEX(LMH_PTS,MATCH(O39,LMH_KEY,0)),0),IFERROR(INDEX(LMH_PTS,MATCH(P39,LMH_KEY,0)),0)),""))</f>
        <v>0.142857142857143</v>
      </c>
      <c r="S39" s="74">
        <f>IF(L39="","",IFERROR(INDEX(LMH_PTS,MATCH(L39,LMH_KEY,0))/SUM(IFERROR(INDEX(LMH_PTS,MATCH(J39,LMH_KEY,0)),0),IFERROR(INDEX(LMH_PTS,MATCH(K39,LMH_KEY,0)),0),IFERROR(INDEX(LMH_PTS,MATCH(L39,LMH_KEY,0)),0),IFERROR(INDEX(LMH_PTS,MATCH(M39,LMH_KEY,0)),0),IFERROR(INDEX(LMH_PTS,MATCH(N39,LMH_KEY,0)),0),IFERROR(INDEX(LMH_PTS,MATCH(O39,LMH_KEY,0)),0),IFERROR(INDEX(LMH_PTS,MATCH(P39,LMH_KEY,0)),0)),""))</f>
        <v>0.142857142857143</v>
      </c>
      <c r="T39" s="74">
        <f>IF(M39="","",IFERROR(INDEX(LMH_PTS,MATCH(M39,LMH_KEY,0))/SUM(IFERROR(INDEX(LMH_PTS,MATCH(J39,LMH_KEY,0)),0),IFERROR(INDEX(LMH_PTS,MATCH(K39,LMH_KEY,0)),0),IFERROR(INDEX(LMH_PTS,MATCH(L39,LMH_KEY,0)),0),IFERROR(INDEX(LMH_PTS,MATCH(M39,LMH_KEY,0)),0),IFERROR(INDEX(LMH_PTS,MATCH(N39,LMH_KEY,0)),0),IFERROR(INDEX(LMH_PTS,MATCH(O39,LMH_KEY,0)),0),IFERROR(INDEX(LMH_PTS,MATCH(P39,LMH_KEY,0)),0)),""))</f>
        <v>0.0476190476190476</v>
      </c>
      <c r="U39" s="74">
        <f>IF(N39="","",IFERROR(INDEX(LMH_PTS,MATCH(N39,LMH_KEY,0))/SUM(IFERROR(INDEX(LMH_PTS,MATCH(J39,LMH_KEY,0)),0),IFERROR(INDEX(LMH_PTS,MATCH(K39,LMH_KEY,0)),0),IFERROR(INDEX(LMH_PTS,MATCH(L39,LMH_KEY,0)),0),IFERROR(INDEX(LMH_PTS,MATCH(M39,LMH_KEY,0)),0),IFERROR(INDEX(LMH_PTS,MATCH(N39,LMH_KEY,0)),0),IFERROR(INDEX(LMH_PTS,MATCH(O39,LMH_KEY,0)),0),IFERROR(INDEX(LMH_PTS,MATCH(P39,LMH_KEY,0)),0)),""))</f>
        <v>0.0476190476190476</v>
      </c>
      <c r="V39" s="74">
        <f>IF(O39="","",IFERROR(INDEX(LMH_PTS,MATCH(O39,LMH_KEY,0))/SUM(IFERROR(INDEX(LMH_PTS,MATCH(J39,LMH_KEY,0)),0),IFERROR(INDEX(LMH_PTS,MATCH(K39,LMH_KEY,0)),0),IFERROR(INDEX(LMH_PTS,MATCH(L39,LMH_KEY,0)),0),IFERROR(INDEX(LMH_PTS,MATCH(M39,LMH_KEY,0)),0),IFERROR(INDEX(LMH_PTS,MATCH(N39,LMH_KEY,0)),0),IFERROR(INDEX(LMH_PTS,MATCH(O39,LMH_KEY,0)),0),IFERROR(INDEX(LMH_PTS,MATCH(P39,LMH_KEY,0)),0)),""))</f>
        <v>0.0476190476190476</v>
      </c>
      <c r="W39" s="74">
        <f>IF(P39="","",IFERROR(INDEX(LMH_PTS,MATCH(P39,LMH_KEY,0))/SUM(IFERROR(INDEX(LMH_PTS,MATCH(J39,LMH_KEY,0)),0),IFERROR(INDEX(LMH_PTS,MATCH(K39,LMH_KEY,0)),0),IFERROR(INDEX(LMH_PTS,MATCH(L39,LMH_KEY,0)),0),IFERROR(INDEX(LMH_PTS,MATCH(M39,LMH_KEY,0)),0),IFERROR(INDEX(LMH_PTS,MATCH(N39,LMH_KEY,0)),0),IFERROR(INDEX(LMH_PTS,MATCH(O39,LMH_KEY,0)),0),IFERROR(INDEX(LMH_PTS,MATCH(P39,LMH_KEY,0)),0)),""))</f>
        <v>0.142857142857143</v>
      </c>
      <c r="X39" s="44" t="n"/>
      <c r="Y39" s="38" t="inlineStr">
        <is>
          <t>Corporate|Secretarial &amp; Legal|Senior Secretarial Executive|A3|A</t>
        </is>
      </c>
    </row>
    <row r="40" ht="28" customHeight="1">
      <c r="A40" s="28" t="inlineStr">
        <is>
          <t>Corporate</t>
        </is>
      </c>
      <c r="B40" s="29" t="inlineStr">
        <is>
          <t>Secretarial &amp; Legal</t>
        </is>
      </c>
      <c r="C40" s="75" t="inlineStr">
        <is>
          <t>A1</t>
        </is>
      </c>
      <c r="D40" s="29" t="inlineStr">
        <is>
          <t>Band A · Practitioner</t>
        </is>
      </c>
      <c r="E40" s="29" t="inlineStr">
        <is>
          <t>Intern – Company Secretarial &amp; Legal</t>
        </is>
      </c>
      <c r="F40" s="29" t="inlineStr">
        <is>
          <t>Band A · all tracks</t>
        </is>
      </c>
      <c r="G40" s="29" t="inlineStr">
        <is>
          <t>Administration, Legal &amp; Secretarial</t>
        </is>
      </c>
      <c r="H40" s="29" t="n">
        <v>1</v>
      </c>
      <c r="I40" s="29" t="inlineStr">
        <is>
          <t>Sneha Pillai</t>
        </is>
      </c>
      <c r="J40" s="34" t="str">
        <f>IFERROR(INDEX(RBD_C,MATCH("Administration, Legal &amp; Secretarial|A1|A",RBD_KEY,0)),"M")</f>
        <v>H</v>
      </c>
      <c r="K40" s="35" t="str">
        <f>IFERROR(INDEX(RBD_Au,MATCH("Administration, Legal &amp; Secretarial|A1|A",RBD_KEY,0)),"M")</f>
        <v>M</v>
      </c>
      <c r="L40" s="35" t="str">
        <f>IFERROR(INDEX(RBD_Ac,MATCH("Administration, Legal &amp; Secretarial|A1|A",RBD_KEY,0)),"M")</f>
        <v>M</v>
      </c>
      <c r="M40" s="35" t="str">
        <f>IFERROR(INDEX(RBD_L,MATCH("Administration, Legal &amp; Secretarial|A1|A",RBD_KEY,0)),"M")</f>
        <v>L</v>
      </c>
      <c r="N40" s="35" t="str">
        <f>IFERROR(INDEX(RBD_BI,MATCH("Administration, Legal &amp; Secretarial|A1|A",RBD_KEY,0)),"M")</f>
        <v>L</v>
      </c>
      <c r="O40" s="35" t="str">
        <f>IFERROR(INDEX(RBD_Exp,MATCH("Administration, Legal &amp; Secretarial|A1|A",RBD_KEY,0)),"M")</f>
        <v>L</v>
      </c>
      <c r="P40" s="35" t="str">
        <f>IFERROR(INDEX(RBD_Edu,MATCH("Administration, Legal &amp; Secretarial|A1|A",RBD_KEY,0)),"M")</f>
        <v>M</v>
      </c>
      <c r="Q40" s="73">
        <f>IF(J40="","",IFERROR(INDEX(LMH_PTS,MATCH(J40,LMH_KEY,0))/SUM(IFERROR(INDEX(LMH_PTS,MATCH(J40,LMH_KEY,0)),0),IFERROR(INDEX(LMH_PTS,MATCH(K40,LMH_KEY,0)),0),IFERROR(INDEX(LMH_PTS,MATCH(L40,LMH_KEY,0)),0),IFERROR(INDEX(LMH_PTS,MATCH(M40,LMH_KEY,0)),0),IFERROR(INDEX(LMH_PTS,MATCH(N40,LMH_KEY,0)),0),IFERROR(INDEX(LMH_PTS,MATCH(O40,LMH_KEY,0)),0),IFERROR(INDEX(LMH_PTS,MATCH(P40,LMH_KEY,0)),0)),""))</f>
        <v>0.428571428571429</v>
      </c>
      <c r="R40" s="74">
        <f>IF(K40="","",IFERROR(INDEX(LMH_PTS,MATCH(K40,LMH_KEY,0))/SUM(IFERROR(INDEX(LMH_PTS,MATCH(J40,LMH_KEY,0)),0),IFERROR(INDEX(LMH_PTS,MATCH(K40,LMH_KEY,0)),0),IFERROR(INDEX(LMH_PTS,MATCH(L40,LMH_KEY,0)),0),IFERROR(INDEX(LMH_PTS,MATCH(M40,LMH_KEY,0)),0),IFERROR(INDEX(LMH_PTS,MATCH(N40,LMH_KEY,0)),0),IFERROR(INDEX(LMH_PTS,MATCH(O40,LMH_KEY,0)),0),IFERROR(INDEX(LMH_PTS,MATCH(P40,LMH_KEY,0)),0)),""))</f>
        <v>0.142857142857143</v>
      </c>
      <c r="S40" s="74">
        <f>IF(L40="","",IFERROR(INDEX(LMH_PTS,MATCH(L40,LMH_KEY,0))/SUM(IFERROR(INDEX(LMH_PTS,MATCH(J40,LMH_KEY,0)),0),IFERROR(INDEX(LMH_PTS,MATCH(K40,LMH_KEY,0)),0),IFERROR(INDEX(LMH_PTS,MATCH(L40,LMH_KEY,0)),0),IFERROR(INDEX(LMH_PTS,MATCH(M40,LMH_KEY,0)),0),IFERROR(INDEX(LMH_PTS,MATCH(N40,LMH_KEY,0)),0),IFERROR(INDEX(LMH_PTS,MATCH(O40,LMH_KEY,0)),0),IFERROR(INDEX(LMH_PTS,MATCH(P40,LMH_KEY,0)),0)),""))</f>
        <v>0.142857142857143</v>
      </c>
      <c r="T40" s="74">
        <f>IF(M40="","",IFERROR(INDEX(LMH_PTS,MATCH(M40,LMH_KEY,0))/SUM(IFERROR(INDEX(LMH_PTS,MATCH(J40,LMH_KEY,0)),0),IFERROR(INDEX(LMH_PTS,MATCH(K40,LMH_KEY,0)),0),IFERROR(INDEX(LMH_PTS,MATCH(L40,LMH_KEY,0)),0),IFERROR(INDEX(LMH_PTS,MATCH(M40,LMH_KEY,0)),0),IFERROR(INDEX(LMH_PTS,MATCH(N40,LMH_KEY,0)),0),IFERROR(INDEX(LMH_PTS,MATCH(O40,LMH_KEY,0)),0),IFERROR(INDEX(LMH_PTS,MATCH(P40,LMH_KEY,0)),0)),""))</f>
        <v>0.0476190476190476</v>
      </c>
      <c r="U40" s="74">
        <f>IF(N40="","",IFERROR(INDEX(LMH_PTS,MATCH(N40,LMH_KEY,0))/SUM(IFERROR(INDEX(LMH_PTS,MATCH(J40,LMH_KEY,0)),0),IFERROR(INDEX(LMH_PTS,MATCH(K40,LMH_KEY,0)),0),IFERROR(INDEX(LMH_PTS,MATCH(L40,LMH_KEY,0)),0),IFERROR(INDEX(LMH_PTS,MATCH(M40,LMH_KEY,0)),0),IFERROR(INDEX(LMH_PTS,MATCH(N40,LMH_KEY,0)),0),IFERROR(INDEX(LMH_PTS,MATCH(O40,LMH_KEY,0)),0),IFERROR(INDEX(LMH_PTS,MATCH(P40,LMH_KEY,0)),0)),""))</f>
        <v>0.0476190476190476</v>
      </c>
      <c r="V40" s="74">
        <f>IF(O40="","",IFERROR(INDEX(LMH_PTS,MATCH(O40,LMH_KEY,0))/SUM(IFERROR(INDEX(LMH_PTS,MATCH(J40,LMH_KEY,0)),0),IFERROR(INDEX(LMH_PTS,MATCH(K40,LMH_KEY,0)),0),IFERROR(INDEX(LMH_PTS,MATCH(L40,LMH_KEY,0)),0),IFERROR(INDEX(LMH_PTS,MATCH(M40,LMH_KEY,0)),0),IFERROR(INDEX(LMH_PTS,MATCH(N40,LMH_KEY,0)),0),IFERROR(INDEX(LMH_PTS,MATCH(O40,LMH_KEY,0)),0),IFERROR(INDEX(LMH_PTS,MATCH(P40,LMH_KEY,0)),0)),""))</f>
        <v>0.0476190476190476</v>
      </c>
      <c r="W40" s="74">
        <f>IF(P40="","",IFERROR(INDEX(LMH_PTS,MATCH(P40,LMH_KEY,0))/SUM(IFERROR(INDEX(LMH_PTS,MATCH(J40,LMH_KEY,0)),0),IFERROR(INDEX(LMH_PTS,MATCH(K40,LMH_KEY,0)),0),IFERROR(INDEX(LMH_PTS,MATCH(L40,LMH_KEY,0)),0),IFERROR(INDEX(LMH_PTS,MATCH(M40,LMH_KEY,0)),0),IFERROR(INDEX(LMH_PTS,MATCH(N40,LMH_KEY,0)),0),IFERROR(INDEX(LMH_PTS,MATCH(O40,LMH_KEY,0)),0),IFERROR(INDEX(LMH_PTS,MATCH(P40,LMH_KEY,0)),0)),""))</f>
        <v>0.142857142857143</v>
      </c>
      <c r="X40" s="44" t="n"/>
      <c r="Y40" s="38" t="inlineStr">
        <is>
          <t>Corporate|Secretarial &amp; Legal|Intern – Company Secretarial &amp; Legal|A1|A</t>
        </is>
      </c>
    </row>
    <row r="41" ht="18" customHeight="1">
      <c r="A41" s="28" t="inlineStr">
        <is>
          <t>Corporate</t>
        </is>
      </c>
      <c r="B41" s="71" t="inlineStr">
        <is>
          <t>Technology</t>
        </is>
      </c>
      <c r="C41" s="77" t="inlineStr">
        <is>
          <t>E1</t>
        </is>
      </c>
      <c r="D41" s="29" t="inlineStr">
        <is>
          <t>Band E · Enterprise leadership</t>
        </is>
      </c>
      <c r="E41" s="29" t="inlineStr">
        <is>
          <t>Chief Technology Officer</t>
        </is>
      </c>
      <c r="F41" s="29" t="inlineStr">
        <is>
          <t>Bands D–E · Leadership</t>
        </is>
      </c>
      <c r="G41" s="29" t="inlineStr">
        <is>
          <t>Enterprise Leadership</t>
        </is>
      </c>
      <c r="H41" s="29" t="n">
        <v>1</v>
      </c>
      <c r="I41" s="29" t="inlineStr">
        <is>
          <t>P K X Thomas</t>
        </is>
      </c>
      <c r="J41" s="34" t="str">
        <f>IFERROR(INDEX(RBD_C,MATCH("Enterprise Leadership|E1|DE",RBD_KEY,0)),"M")</f>
        <v>H</v>
      </c>
      <c r="K41" s="35" t="str">
        <f>IFERROR(INDEX(RBD_Au,MATCH("Enterprise Leadership|E1|DE",RBD_KEY,0)),"M")</f>
        <v>M</v>
      </c>
      <c r="L41" s="35" t="str">
        <f>IFERROR(INDEX(RBD_Ac,MATCH("Enterprise Leadership|E1|DE",RBD_KEY,0)),"M")</f>
        <v>M</v>
      </c>
      <c r="M41" s="35" t="str">
        <f>IFERROR(INDEX(RBD_L,MATCH("Enterprise Leadership|E1|DE",RBD_KEY,0)),"M")</f>
        <v>M</v>
      </c>
      <c r="N41" s="35" t="str">
        <f>IFERROR(INDEX(RBD_BI,MATCH("Enterprise Leadership|E1|DE",RBD_KEY,0)),"M")</f>
        <v>L</v>
      </c>
      <c r="O41" s="35" t="str">
        <f>IFERROR(INDEX(RBD_Exp,MATCH("Enterprise Leadership|E1|DE",RBD_KEY,0)),"M")</f>
        <v>L</v>
      </c>
      <c r="P41" s="35" t="str">
        <f>IFERROR(INDEX(RBD_Edu,MATCH("Enterprise Leadership|E1|DE",RBD_KEY,0)),"M")</f>
        <v>L</v>
      </c>
      <c r="Q41" s="73">
        <f>IF(J41="","",IFERROR(INDEX(LMH_PTS,MATCH(J41,LMH_KEY,0))/SUM(IFERROR(INDEX(LMH_PTS,MATCH(J41,LMH_KEY,0)),0),IFERROR(INDEX(LMH_PTS,MATCH(K41,LMH_KEY,0)),0),IFERROR(INDEX(LMH_PTS,MATCH(L41,LMH_KEY,0)),0),IFERROR(INDEX(LMH_PTS,MATCH(M41,LMH_KEY,0)),0),IFERROR(INDEX(LMH_PTS,MATCH(N41,LMH_KEY,0)),0),IFERROR(INDEX(LMH_PTS,MATCH(O41,LMH_KEY,0)),0),IFERROR(INDEX(LMH_PTS,MATCH(P41,LMH_KEY,0)),0)),""))</f>
        <v>0.428571428571429</v>
      </c>
      <c r="R41" s="74">
        <f>IF(K41="","",IFERROR(INDEX(LMH_PTS,MATCH(K41,LMH_KEY,0))/SUM(IFERROR(INDEX(LMH_PTS,MATCH(J41,LMH_KEY,0)),0),IFERROR(INDEX(LMH_PTS,MATCH(K41,LMH_KEY,0)),0),IFERROR(INDEX(LMH_PTS,MATCH(L41,LMH_KEY,0)),0),IFERROR(INDEX(LMH_PTS,MATCH(M41,LMH_KEY,0)),0),IFERROR(INDEX(LMH_PTS,MATCH(N41,LMH_KEY,0)),0),IFERROR(INDEX(LMH_PTS,MATCH(O41,LMH_KEY,0)),0),IFERROR(INDEX(LMH_PTS,MATCH(P41,LMH_KEY,0)),0)),""))</f>
        <v>0.142857142857143</v>
      </c>
      <c r="S41" s="74">
        <f>IF(L41="","",IFERROR(INDEX(LMH_PTS,MATCH(L41,LMH_KEY,0))/SUM(IFERROR(INDEX(LMH_PTS,MATCH(J41,LMH_KEY,0)),0),IFERROR(INDEX(LMH_PTS,MATCH(K41,LMH_KEY,0)),0),IFERROR(INDEX(LMH_PTS,MATCH(L41,LMH_KEY,0)),0),IFERROR(INDEX(LMH_PTS,MATCH(M41,LMH_KEY,0)),0),IFERROR(INDEX(LMH_PTS,MATCH(N41,LMH_KEY,0)),0),IFERROR(INDEX(LMH_PTS,MATCH(O41,LMH_KEY,0)),0),IFERROR(INDEX(LMH_PTS,MATCH(P41,LMH_KEY,0)),0)),""))</f>
        <v>0.142857142857143</v>
      </c>
      <c r="T41" s="74">
        <f>IF(M41="","",IFERROR(INDEX(LMH_PTS,MATCH(M41,LMH_KEY,0))/SUM(IFERROR(INDEX(LMH_PTS,MATCH(J41,LMH_KEY,0)),0),IFERROR(INDEX(LMH_PTS,MATCH(K41,LMH_KEY,0)),0),IFERROR(INDEX(LMH_PTS,MATCH(L41,LMH_KEY,0)),0),IFERROR(INDEX(LMH_PTS,MATCH(M41,LMH_KEY,0)),0),IFERROR(INDEX(LMH_PTS,MATCH(N41,LMH_KEY,0)),0),IFERROR(INDEX(LMH_PTS,MATCH(O41,LMH_KEY,0)),0),IFERROR(INDEX(LMH_PTS,MATCH(P41,LMH_KEY,0)),0)),""))</f>
        <v>0.142857142857143</v>
      </c>
      <c r="U41" s="74">
        <f>IF(N41="","",IFERROR(INDEX(LMH_PTS,MATCH(N41,LMH_KEY,0))/SUM(IFERROR(INDEX(LMH_PTS,MATCH(J41,LMH_KEY,0)),0),IFERROR(INDEX(LMH_PTS,MATCH(K41,LMH_KEY,0)),0),IFERROR(INDEX(LMH_PTS,MATCH(L41,LMH_KEY,0)),0),IFERROR(INDEX(LMH_PTS,MATCH(M41,LMH_KEY,0)),0),IFERROR(INDEX(LMH_PTS,MATCH(N41,LMH_KEY,0)),0),IFERROR(INDEX(LMH_PTS,MATCH(O41,LMH_KEY,0)),0),IFERROR(INDEX(LMH_PTS,MATCH(P41,LMH_KEY,0)),0)),""))</f>
        <v>0.0476190476190476</v>
      </c>
      <c r="V41" s="74">
        <f>IF(O41="","",IFERROR(INDEX(LMH_PTS,MATCH(O41,LMH_KEY,0))/SUM(IFERROR(INDEX(LMH_PTS,MATCH(J41,LMH_KEY,0)),0),IFERROR(INDEX(LMH_PTS,MATCH(K41,LMH_KEY,0)),0),IFERROR(INDEX(LMH_PTS,MATCH(L41,LMH_KEY,0)),0),IFERROR(INDEX(LMH_PTS,MATCH(M41,LMH_KEY,0)),0),IFERROR(INDEX(LMH_PTS,MATCH(N41,LMH_KEY,0)),0),IFERROR(INDEX(LMH_PTS,MATCH(O41,LMH_KEY,0)),0),IFERROR(INDEX(LMH_PTS,MATCH(P41,LMH_KEY,0)),0)),""))</f>
        <v>0.0476190476190476</v>
      </c>
      <c r="W41" s="74">
        <f>IF(P41="","",IFERROR(INDEX(LMH_PTS,MATCH(P41,LMH_KEY,0))/SUM(IFERROR(INDEX(LMH_PTS,MATCH(J41,LMH_KEY,0)),0),IFERROR(INDEX(LMH_PTS,MATCH(K41,LMH_KEY,0)),0),IFERROR(INDEX(LMH_PTS,MATCH(L41,LMH_KEY,0)),0),IFERROR(INDEX(LMH_PTS,MATCH(M41,LMH_KEY,0)),0),IFERROR(INDEX(LMH_PTS,MATCH(N41,LMH_KEY,0)),0),IFERROR(INDEX(LMH_PTS,MATCH(O41,LMH_KEY,0)),0),IFERROR(INDEX(LMH_PTS,MATCH(P41,LMH_KEY,0)),0)),""))</f>
        <v>0.0476190476190476</v>
      </c>
      <c r="X41" s="44" t="n"/>
      <c r="Y41" s="38" t="inlineStr">
        <is>
          <t>Corporate|Technology|Chief Technology Officer|E1|DE</t>
        </is>
      </c>
    </row>
    <row r="42" ht="18" customHeight="1">
      <c r="A42" s="28" t="inlineStr">
        <is>
          <t>Corporate</t>
        </is>
      </c>
      <c r="B42" s="29" t="inlineStr">
        <is>
          <t>Technology</t>
        </is>
      </c>
      <c r="C42" s="72" t="inlineStr">
        <is>
          <t>B3</t>
        </is>
      </c>
      <c r="D42" s="29" t="inlineStr">
        <is>
          <t>Band B · Specialist / Manager</t>
        </is>
      </c>
      <c r="E42" s="29" t="inlineStr">
        <is>
          <t>Agile Coach</t>
        </is>
      </c>
      <c r="F42" s="29" t="inlineStr">
        <is>
          <t>Band B · Specialist / POD Lead</t>
        </is>
      </c>
      <c r="G42" s="29" t="inlineStr">
        <is>
          <t>Project &amp; Program Management</t>
        </is>
      </c>
      <c r="H42" s="29" t="n">
        <v>1</v>
      </c>
      <c r="I42" s="29" t="inlineStr">
        <is>
          <t>Vikas Thakur</t>
        </is>
      </c>
      <c r="J42" s="34" t="str">
        <f>IFERROR(INDEX(RBD_C,MATCH("Project &amp; Program Management|B3|B-IC",RBD_KEY,0)),"M")</f>
        <v>H</v>
      </c>
      <c r="K42" s="35" t="str">
        <f>IFERROR(INDEX(RBD_Au,MATCH("Project &amp; Program Management|B3|B-IC",RBD_KEY,0)),"M")</f>
        <v>M</v>
      </c>
      <c r="L42" s="35" t="str">
        <f>IFERROR(INDEX(RBD_Ac,MATCH("Project &amp; Program Management|B3|B-IC",RBD_KEY,0)),"M")</f>
        <v>L</v>
      </c>
      <c r="M42" s="35" t="str">
        <f>IFERROR(INDEX(RBD_L,MATCH("Project &amp; Program Management|B3|B-IC",RBD_KEY,0)),"M")</f>
        <v>L</v>
      </c>
      <c r="N42" s="35" t="str">
        <f>IFERROR(INDEX(RBD_BI,MATCH("Project &amp; Program Management|B3|B-IC",RBD_KEY,0)),"M")</f>
        <v>L</v>
      </c>
      <c r="O42" s="35" t="str">
        <f>IFERROR(INDEX(RBD_Exp,MATCH("Project &amp; Program Management|B3|B-IC",RBD_KEY,0)),"M")</f>
        <v>L</v>
      </c>
      <c r="P42" s="35" t="str">
        <f>IFERROR(INDEX(RBD_Edu,MATCH("Project &amp; Program Management|B3|B-IC",RBD_KEY,0)),"M")</f>
        <v>L</v>
      </c>
      <c r="Q42" s="73">
        <f>IF(J42="","",IFERROR(INDEX(LMH_PTS,MATCH(J42,LMH_KEY,0))/SUM(IFERROR(INDEX(LMH_PTS,MATCH(J42,LMH_KEY,0)),0),IFERROR(INDEX(LMH_PTS,MATCH(K42,LMH_KEY,0)),0),IFERROR(INDEX(LMH_PTS,MATCH(L42,LMH_KEY,0)),0),IFERROR(INDEX(LMH_PTS,MATCH(M42,LMH_KEY,0)),0),IFERROR(INDEX(LMH_PTS,MATCH(N42,LMH_KEY,0)),0),IFERROR(INDEX(LMH_PTS,MATCH(O42,LMH_KEY,0)),0),IFERROR(INDEX(LMH_PTS,MATCH(P42,LMH_KEY,0)),0)),""))</f>
        <v>0.529411764705882</v>
      </c>
      <c r="R42" s="74">
        <f>IF(K42="","",IFERROR(INDEX(LMH_PTS,MATCH(K42,LMH_KEY,0))/SUM(IFERROR(INDEX(LMH_PTS,MATCH(J42,LMH_KEY,0)),0),IFERROR(INDEX(LMH_PTS,MATCH(K42,LMH_KEY,0)),0),IFERROR(INDEX(LMH_PTS,MATCH(L42,LMH_KEY,0)),0),IFERROR(INDEX(LMH_PTS,MATCH(M42,LMH_KEY,0)),0),IFERROR(INDEX(LMH_PTS,MATCH(N42,LMH_KEY,0)),0),IFERROR(INDEX(LMH_PTS,MATCH(O42,LMH_KEY,0)),0),IFERROR(INDEX(LMH_PTS,MATCH(P42,LMH_KEY,0)),0)),""))</f>
        <v>0.176470588235294</v>
      </c>
      <c r="S42" s="74">
        <f>IF(L42="","",IFERROR(INDEX(LMH_PTS,MATCH(L42,LMH_KEY,0))/SUM(IFERROR(INDEX(LMH_PTS,MATCH(J42,LMH_KEY,0)),0),IFERROR(INDEX(LMH_PTS,MATCH(K42,LMH_KEY,0)),0),IFERROR(INDEX(LMH_PTS,MATCH(L42,LMH_KEY,0)),0),IFERROR(INDEX(LMH_PTS,MATCH(M42,LMH_KEY,0)),0),IFERROR(INDEX(LMH_PTS,MATCH(N42,LMH_KEY,0)),0),IFERROR(INDEX(LMH_PTS,MATCH(O42,LMH_KEY,0)),0),IFERROR(INDEX(LMH_PTS,MATCH(P42,LMH_KEY,0)),0)),""))</f>
        <v>0.0588235294117647</v>
      </c>
      <c r="T42" s="74">
        <f>IF(M42="","",IFERROR(INDEX(LMH_PTS,MATCH(M42,LMH_KEY,0))/SUM(IFERROR(INDEX(LMH_PTS,MATCH(J42,LMH_KEY,0)),0),IFERROR(INDEX(LMH_PTS,MATCH(K42,LMH_KEY,0)),0),IFERROR(INDEX(LMH_PTS,MATCH(L42,LMH_KEY,0)),0),IFERROR(INDEX(LMH_PTS,MATCH(M42,LMH_KEY,0)),0),IFERROR(INDEX(LMH_PTS,MATCH(N42,LMH_KEY,0)),0),IFERROR(INDEX(LMH_PTS,MATCH(O42,LMH_KEY,0)),0),IFERROR(INDEX(LMH_PTS,MATCH(P42,LMH_KEY,0)),0)),""))</f>
        <v>0.0588235294117647</v>
      </c>
      <c r="U42" s="74">
        <f>IF(N42="","",IFERROR(INDEX(LMH_PTS,MATCH(N42,LMH_KEY,0))/SUM(IFERROR(INDEX(LMH_PTS,MATCH(J42,LMH_KEY,0)),0),IFERROR(INDEX(LMH_PTS,MATCH(K42,LMH_KEY,0)),0),IFERROR(INDEX(LMH_PTS,MATCH(L42,LMH_KEY,0)),0),IFERROR(INDEX(LMH_PTS,MATCH(M42,LMH_KEY,0)),0),IFERROR(INDEX(LMH_PTS,MATCH(N42,LMH_KEY,0)),0),IFERROR(INDEX(LMH_PTS,MATCH(O42,LMH_KEY,0)),0),IFERROR(INDEX(LMH_PTS,MATCH(P42,LMH_KEY,0)),0)),""))</f>
        <v>0.0588235294117647</v>
      </c>
      <c r="V42" s="74">
        <f>IF(O42="","",IFERROR(INDEX(LMH_PTS,MATCH(O42,LMH_KEY,0))/SUM(IFERROR(INDEX(LMH_PTS,MATCH(J42,LMH_KEY,0)),0),IFERROR(INDEX(LMH_PTS,MATCH(K42,LMH_KEY,0)),0),IFERROR(INDEX(LMH_PTS,MATCH(L42,LMH_KEY,0)),0),IFERROR(INDEX(LMH_PTS,MATCH(M42,LMH_KEY,0)),0),IFERROR(INDEX(LMH_PTS,MATCH(N42,LMH_KEY,0)),0),IFERROR(INDEX(LMH_PTS,MATCH(O42,LMH_KEY,0)),0),IFERROR(INDEX(LMH_PTS,MATCH(P42,LMH_KEY,0)),0)),""))</f>
        <v>0.0588235294117647</v>
      </c>
      <c r="W42" s="74">
        <f>IF(P42="","",IFERROR(INDEX(LMH_PTS,MATCH(P42,LMH_KEY,0))/SUM(IFERROR(INDEX(LMH_PTS,MATCH(J42,LMH_KEY,0)),0),IFERROR(INDEX(LMH_PTS,MATCH(K42,LMH_KEY,0)),0),IFERROR(INDEX(LMH_PTS,MATCH(L42,LMH_KEY,0)),0),IFERROR(INDEX(LMH_PTS,MATCH(M42,LMH_KEY,0)),0),IFERROR(INDEX(LMH_PTS,MATCH(N42,LMH_KEY,0)),0),IFERROR(INDEX(LMH_PTS,MATCH(O42,LMH_KEY,0)),0),IFERROR(INDEX(LMH_PTS,MATCH(P42,LMH_KEY,0)),0)),""))</f>
        <v>0.0588235294117647</v>
      </c>
      <c r="X42" s="44" t="n"/>
      <c r="Y42" s="38" t="inlineStr">
        <is>
          <t>Corporate|Technology|Agile Coach|B3|B-IC</t>
        </is>
      </c>
    </row>
    <row r="43" ht="18" customHeight="1">
      <c r="A43" s="28" t="inlineStr">
        <is>
          <t>CARBON</t>
        </is>
      </c>
      <c r="B43" s="71" t="inlineStr">
        <is>
          <t>CARBON Business Head</t>
        </is>
      </c>
      <c r="C43" s="79" t="inlineStr">
        <is>
          <t>D2</t>
        </is>
      </c>
      <c r="D43" s="29" t="inlineStr">
        <is>
          <t>Band D · Business leadership</t>
        </is>
      </c>
      <c r="E43" s="29" t="inlineStr">
        <is>
          <t>Business Head</t>
        </is>
      </c>
      <c r="F43" s="29" t="inlineStr">
        <is>
          <t>Bands D–E · Leadership</t>
        </is>
      </c>
      <c r="G43" s="29" t="inlineStr">
        <is>
          <t>Executive Leadership</t>
        </is>
      </c>
      <c r="H43" s="29" t="n">
        <v>1</v>
      </c>
      <c r="I43" s="29" t="inlineStr">
        <is>
          <t>Anuradha RK</t>
        </is>
      </c>
      <c r="J43" s="34" t="str">
        <f>IFERROR(INDEX(RBD_C,MATCH("Executive Leadership|D2|DE",RBD_KEY,0)),"M")</f>
        <v>H</v>
      </c>
      <c r="K43" s="35" t="str">
        <f>IFERROR(INDEX(RBD_Au,MATCH("Executive Leadership|D2|DE",RBD_KEY,0)),"M")</f>
        <v>M</v>
      </c>
      <c r="L43" s="35" t="str">
        <f>IFERROR(INDEX(RBD_Ac,MATCH("Executive Leadership|D2|DE",RBD_KEY,0)),"M")</f>
        <v>M</v>
      </c>
      <c r="M43" s="35" t="str">
        <f>IFERROR(INDEX(RBD_L,MATCH("Executive Leadership|D2|DE",RBD_KEY,0)),"M")</f>
        <v>M</v>
      </c>
      <c r="N43" s="35" t="str">
        <f>IFERROR(INDEX(RBD_BI,MATCH("Executive Leadership|D2|DE",RBD_KEY,0)),"M")</f>
        <v>L</v>
      </c>
      <c r="O43" s="35" t="str">
        <f>IFERROR(INDEX(RBD_Exp,MATCH("Executive Leadership|D2|DE",RBD_KEY,0)),"M")</f>
        <v>L</v>
      </c>
      <c r="P43" s="35" t="str">
        <f>IFERROR(INDEX(RBD_Edu,MATCH("Executive Leadership|D2|DE",RBD_KEY,0)),"M")</f>
        <v>L</v>
      </c>
      <c r="Q43" s="73">
        <f>IF(J43="","",IFERROR(INDEX(LMH_PTS,MATCH(J43,LMH_KEY,0))/SUM(IFERROR(INDEX(LMH_PTS,MATCH(J43,LMH_KEY,0)),0),IFERROR(INDEX(LMH_PTS,MATCH(K43,LMH_KEY,0)),0),IFERROR(INDEX(LMH_PTS,MATCH(L43,LMH_KEY,0)),0),IFERROR(INDEX(LMH_PTS,MATCH(M43,LMH_KEY,0)),0),IFERROR(INDEX(LMH_PTS,MATCH(N43,LMH_KEY,0)),0),IFERROR(INDEX(LMH_PTS,MATCH(O43,LMH_KEY,0)),0),IFERROR(INDEX(LMH_PTS,MATCH(P43,LMH_KEY,0)),0)),""))</f>
        <v>0.428571428571429</v>
      </c>
      <c r="R43" s="74">
        <f>IF(K43="","",IFERROR(INDEX(LMH_PTS,MATCH(K43,LMH_KEY,0))/SUM(IFERROR(INDEX(LMH_PTS,MATCH(J43,LMH_KEY,0)),0),IFERROR(INDEX(LMH_PTS,MATCH(K43,LMH_KEY,0)),0),IFERROR(INDEX(LMH_PTS,MATCH(L43,LMH_KEY,0)),0),IFERROR(INDEX(LMH_PTS,MATCH(M43,LMH_KEY,0)),0),IFERROR(INDEX(LMH_PTS,MATCH(N43,LMH_KEY,0)),0),IFERROR(INDEX(LMH_PTS,MATCH(O43,LMH_KEY,0)),0),IFERROR(INDEX(LMH_PTS,MATCH(P43,LMH_KEY,0)),0)),""))</f>
        <v>0.142857142857143</v>
      </c>
      <c r="S43" s="74">
        <f>IF(L43="","",IFERROR(INDEX(LMH_PTS,MATCH(L43,LMH_KEY,0))/SUM(IFERROR(INDEX(LMH_PTS,MATCH(J43,LMH_KEY,0)),0),IFERROR(INDEX(LMH_PTS,MATCH(K43,LMH_KEY,0)),0),IFERROR(INDEX(LMH_PTS,MATCH(L43,LMH_KEY,0)),0),IFERROR(INDEX(LMH_PTS,MATCH(M43,LMH_KEY,0)),0),IFERROR(INDEX(LMH_PTS,MATCH(N43,LMH_KEY,0)),0),IFERROR(INDEX(LMH_PTS,MATCH(O43,LMH_KEY,0)),0),IFERROR(INDEX(LMH_PTS,MATCH(P43,LMH_KEY,0)),0)),""))</f>
        <v>0.142857142857143</v>
      </c>
      <c r="T43" s="74">
        <f>IF(M43="","",IFERROR(INDEX(LMH_PTS,MATCH(M43,LMH_KEY,0))/SUM(IFERROR(INDEX(LMH_PTS,MATCH(J43,LMH_KEY,0)),0),IFERROR(INDEX(LMH_PTS,MATCH(K43,LMH_KEY,0)),0),IFERROR(INDEX(LMH_PTS,MATCH(L43,LMH_KEY,0)),0),IFERROR(INDEX(LMH_PTS,MATCH(M43,LMH_KEY,0)),0),IFERROR(INDEX(LMH_PTS,MATCH(N43,LMH_KEY,0)),0),IFERROR(INDEX(LMH_PTS,MATCH(O43,LMH_KEY,0)),0),IFERROR(INDEX(LMH_PTS,MATCH(P43,LMH_KEY,0)),0)),""))</f>
        <v>0.142857142857143</v>
      </c>
      <c r="U43" s="74">
        <f>IF(N43="","",IFERROR(INDEX(LMH_PTS,MATCH(N43,LMH_KEY,0))/SUM(IFERROR(INDEX(LMH_PTS,MATCH(J43,LMH_KEY,0)),0),IFERROR(INDEX(LMH_PTS,MATCH(K43,LMH_KEY,0)),0),IFERROR(INDEX(LMH_PTS,MATCH(L43,LMH_KEY,0)),0),IFERROR(INDEX(LMH_PTS,MATCH(M43,LMH_KEY,0)),0),IFERROR(INDEX(LMH_PTS,MATCH(N43,LMH_KEY,0)),0),IFERROR(INDEX(LMH_PTS,MATCH(O43,LMH_KEY,0)),0),IFERROR(INDEX(LMH_PTS,MATCH(P43,LMH_KEY,0)),0)),""))</f>
        <v>0.0476190476190476</v>
      </c>
      <c r="V43" s="74">
        <f>IF(O43="","",IFERROR(INDEX(LMH_PTS,MATCH(O43,LMH_KEY,0))/SUM(IFERROR(INDEX(LMH_PTS,MATCH(J43,LMH_KEY,0)),0),IFERROR(INDEX(LMH_PTS,MATCH(K43,LMH_KEY,0)),0),IFERROR(INDEX(LMH_PTS,MATCH(L43,LMH_KEY,0)),0),IFERROR(INDEX(LMH_PTS,MATCH(M43,LMH_KEY,0)),0),IFERROR(INDEX(LMH_PTS,MATCH(N43,LMH_KEY,0)),0),IFERROR(INDEX(LMH_PTS,MATCH(O43,LMH_KEY,0)),0),IFERROR(INDEX(LMH_PTS,MATCH(P43,LMH_KEY,0)),0)),""))</f>
        <v>0.0476190476190476</v>
      </c>
      <c r="W43" s="74">
        <f>IF(P43="","",IFERROR(INDEX(LMH_PTS,MATCH(P43,LMH_KEY,0))/SUM(IFERROR(INDEX(LMH_PTS,MATCH(J43,LMH_KEY,0)),0),IFERROR(INDEX(LMH_PTS,MATCH(K43,LMH_KEY,0)),0),IFERROR(INDEX(LMH_PTS,MATCH(L43,LMH_KEY,0)),0),IFERROR(INDEX(LMH_PTS,MATCH(M43,LMH_KEY,0)),0),IFERROR(INDEX(LMH_PTS,MATCH(N43,LMH_KEY,0)),0),IFERROR(INDEX(LMH_PTS,MATCH(O43,LMH_KEY,0)),0),IFERROR(INDEX(LMH_PTS,MATCH(P43,LMH_KEY,0)),0)),""))</f>
        <v>0.0476190476190476</v>
      </c>
      <c r="X43" s="44" t="n"/>
      <c r="Y43" s="38" t="inlineStr">
        <is>
          <t>CARBON|CARBON Business Head|Business Head|D2|DE</t>
        </is>
      </c>
    </row>
    <row r="44" ht="18" customHeight="1">
      <c r="A44" s="28" t="inlineStr">
        <is>
          <t>CARBON</t>
        </is>
      </c>
      <c r="B44" s="71" t="inlineStr">
        <is>
          <t>CRO - Carbon</t>
        </is>
      </c>
      <c r="C44" s="77" t="inlineStr">
        <is>
          <t>E1</t>
        </is>
      </c>
      <c r="D44" s="29" t="inlineStr">
        <is>
          <t>Band E · Enterprise leadership</t>
        </is>
      </c>
      <c r="E44" s="29" t="inlineStr">
        <is>
          <t>Chief Revenue Officer</t>
        </is>
      </c>
      <c r="F44" s="29" t="inlineStr">
        <is>
          <t>Bands D–E · Leadership</t>
        </is>
      </c>
      <c r="G44" s="29" t="inlineStr">
        <is>
          <t>Enterprise Leadership</t>
        </is>
      </c>
      <c r="H44" s="29" t="n">
        <v>1</v>
      </c>
      <c r="I44" s="29" t="inlineStr">
        <is>
          <t>Dixit Jasani</t>
        </is>
      </c>
      <c r="J44" s="34" t="str">
        <f>IFERROR(INDEX(RBD_C,MATCH("Enterprise Leadership|E1|DE",RBD_KEY,0)),"M")</f>
        <v>H</v>
      </c>
      <c r="K44" s="35" t="str">
        <f>IFERROR(INDEX(RBD_Au,MATCH("Enterprise Leadership|E1|DE",RBD_KEY,0)),"M")</f>
        <v>M</v>
      </c>
      <c r="L44" s="35" t="str">
        <f>IFERROR(INDEX(RBD_Ac,MATCH("Enterprise Leadership|E1|DE",RBD_KEY,0)),"M")</f>
        <v>M</v>
      </c>
      <c r="M44" s="35" t="str">
        <f>IFERROR(INDEX(RBD_L,MATCH("Enterprise Leadership|E1|DE",RBD_KEY,0)),"M")</f>
        <v>M</v>
      </c>
      <c r="N44" s="35" t="str">
        <f>IFERROR(INDEX(RBD_BI,MATCH("Enterprise Leadership|E1|DE",RBD_KEY,0)),"M")</f>
        <v>L</v>
      </c>
      <c r="O44" s="35" t="str">
        <f>IFERROR(INDEX(RBD_Exp,MATCH("Enterprise Leadership|E1|DE",RBD_KEY,0)),"M")</f>
        <v>L</v>
      </c>
      <c r="P44" s="35" t="str">
        <f>IFERROR(INDEX(RBD_Edu,MATCH("Enterprise Leadership|E1|DE",RBD_KEY,0)),"M")</f>
        <v>L</v>
      </c>
      <c r="Q44" s="73">
        <f>IF(J44="","",IFERROR(INDEX(LMH_PTS,MATCH(J44,LMH_KEY,0))/SUM(IFERROR(INDEX(LMH_PTS,MATCH(J44,LMH_KEY,0)),0),IFERROR(INDEX(LMH_PTS,MATCH(K44,LMH_KEY,0)),0),IFERROR(INDEX(LMH_PTS,MATCH(L44,LMH_KEY,0)),0),IFERROR(INDEX(LMH_PTS,MATCH(M44,LMH_KEY,0)),0),IFERROR(INDEX(LMH_PTS,MATCH(N44,LMH_KEY,0)),0),IFERROR(INDEX(LMH_PTS,MATCH(O44,LMH_KEY,0)),0),IFERROR(INDEX(LMH_PTS,MATCH(P44,LMH_KEY,0)),0)),""))</f>
        <v>0.428571428571429</v>
      </c>
      <c r="R44" s="74">
        <f>IF(K44="","",IFERROR(INDEX(LMH_PTS,MATCH(K44,LMH_KEY,0))/SUM(IFERROR(INDEX(LMH_PTS,MATCH(J44,LMH_KEY,0)),0),IFERROR(INDEX(LMH_PTS,MATCH(K44,LMH_KEY,0)),0),IFERROR(INDEX(LMH_PTS,MATCH(L44,LMH_KEY,0)),0),IFERROR(INDEX(LMH_PTS,MATCH(M44,LMH_KEY,0)),0),IFERROR(INDEX(LMH_PTS,MATCH(N44,LMH_KEY,0)),0),IFERROR(INDEX(LMH_PTS,MATCH(O44,LMH_KEY,0)),0),IFERROR(INDEX(LMH_PTS,MATCH(P44,LMH_KEY,0)),0)),""))</f>
        <v>0.142857142857143</v>
      </c>
      <c r="S44" s="74">
        <f>IF(L44="","",IFERROR(INDEX(LMH_PTS,MATCH(L44,LMH_KEY,0))/SUM(IFERROR(INDEX(LMH_PTS,MATCH(J44,LMH_KEY,0)),0),IFERROR(INDEX(LMH_PTS,MATCH(K44,LMH_KEY,0)),0),IFERROR(INDEX(LMH_PTS,MATCH(L44,LMH_KEY,0)),0),IFERROR(INDEX(LMH_PTS,MATCH(M44,LMH_KEY,0)),0),IFERROR(INDEX(LMH_PTS,MATCH(N44,LMH_KEY,0)),0),IFERROR(INDEX(LMH_PTS,MATCH(O44,LMH_KEY,0)),0),IFERROR(INDEX(LMH_PTS,MATCH(P44,LMH_KEY,0)),0)),""))</f>
        <v>0.142857142857143</v>
      </c>
      <c r="T44" s="74">
        <f>IF(M44="","",IFERROR(INDEX(LMH_PTS,MATCH(M44,LMH_KEY,0))/SUM(IFERROR(INDEX(LMH_PTS,MATCH(J44,LMH_KEY,0)),0),IFERROR(INDEX(LMH_PTS,MATCH(K44,LMH_KEY,0)),0),IFERROR(INDEX(LMH_PTS,MATCH(L44,LMH_KEY,0)),0),IFERROR(INDEX(LMH_PTS,MATCH(M44,LMH_KEY,0)),0),IFERROR(INDEX(LMH_PTS,MATCH(N44,LMH_KEY,0)),0),IFERROR(INDEX(LMH_PTS,MATCH(O44,LMH_KEY,0)),0),IFERROR(INDEX(LMH_PTS,MATCH(P44,LMH_KEY,0)),0)),""))</f>
        <v>0.142857142857143</v>
      </c>
      <c r="U44" s="74">
        <f>IF(N44="","",IFERROR(INDEX(LMH_PTS,MATCH(N44,LMH_KEY,0))/SUM(IFERROR(INDEX(LMH_PTS,MATCH(J44,LMH_KEY,0)),0),IFERROR(INDEX(LMH_PTS,MATCH(K44,LMH_KEY,0)),0),IFERROR(INDEX(LMH_PTS,MATCH(L44,LMH_KEY,0)),0),IFERROR(INDEX(LMH_PTS,MATCH(M44,LMH_KEY,0)),0),IFERROR(INDEX(LMH_PTS,MATCH(N44,LMH_KEY,0)),0),IFERROR(INDEX(LMH_PTS,MATCH(O44,LMH_KEY,0)),0),IFERROR(INDEX(LMH_PTS,MATCH(P44,LMH_KEY,0)),0)),""))</f>
        <v>0.0476190476190476</v>
      </c>
      <c r="V44" s="74">
        <f>IF(O44="","",IFERROR(INDEX(LMH_PTS,MATCH(O44,LMH_KEY,0))/SUM(IFERROR(INDEX(LMH_PTS,MATCH(J44,LMH_KEY,0)),0),IFERROR(INDEX(LMH_PTS,MATCH(K44,LMH_KEY,0)),0),IFERROR(INDEX(LMH_PTS,MATCH(L44,LMH_KEY,0)),0),IFERROR(INDEX(LMH_PTS,MATCH(M44,LMH_KEY,0)),0),IFERROR(INDEX(LMH_PTS,MATCH(N44,LMH_KEY,0)),0),IFERROR(INDEX(LMH_PTS,MATCH(O44,LMH_KEY,0)),0),IFERROR(INDEX(LMH_PTS,MATCH(P44,LMH_KEY,0)),0)),""))</f>
        <v>0.0476190476190476</v>
      </c>
      <c r="W44" s="74">
        <f>IF(P44="","",IFERROR(INDEX(LMH_PTS,MATCH(P44,LMH_KEY,0))/SUM(IFERROR(INDEX(LMH_PTS,MATCH(J44,LMH_KEY,0)),0),IFERROR(INDEX(LMH_PTS,MATCH(K44,LMH_KEY,0)),0),IFERROR(INDEX(LMH_PTS,MATCH(L44,LMH_KEY,0)),0),IFERROR(INDEX(LMH_PTS,MATCH(M44,LMH_KEY,0)),0),IFERROR(INDEX(LMH_PTS,MATCH(N44,LMH_KEY,0)),0),IFERROR(INDEX(LMH_PTS,MATCH(O44,LMH_KEY,0)),0),IFERROR(INDEX(LMH_PTS,MATCH(P44,LMH_KEY,0)),0)),""))</f>
        <v>0.0476190476190476</v>
      </c>
      <c r="X44" s="44" t="n"/>
      <c r="Y44" s="38" t="inlineStr">
        <is>
          <t>CARBON|CRO - Carbon|Chief Revenue Officer|E1|DE</t>
        </is>
      </c>
    </row>
    <row r="45" ht="28" customHeight="1">
      <c r="A45" s="28" t="inlineStr">
        <is>
          <t>CARBON</t>
        </is>
      </c>
      <c r="B45" s="71" t="inlineStr">
        <is>
          <t>Customer Experience</t>
        </is>
      </c>
      <c r="C45" s="78" t="inlineStr">
        <is>
          <t>C2</t>
        </is>
      </c>
      <c r="D45" s="29" t="inlineStr">
        <is>
          <t>Band C · Principal / Head</t>
        </is>
      </c>
      <c r="E45" s="29" t="inlineStr">
        <is>
          <t>Senior Vice President – Customer Experience</t>
        </is>
      </c>
      <c r="F45" s="29" t="inlineStr">
        <is>
          <t>Band C · Head / manager</t>
        </is>
      </c>
      <c r="G45" s="29" t="inlineStr">
        <is>
          <t>Executive Leadership</t>
        </is>
      </c>
      <c r="H45" s="29" t="n">
        <v>1</v>
      </c>
      <c r="I45" s="29" t="inlineStr">
        <is>
          <t>Suman Adhikary</t>
        </is>
      </c>
      <c r="J45" s="34" t="str">
        <f>IFERROR(INDEX(RBD_C,MATCH("Executive Leadership|C2|C-M",RBD_KEY,0)),"M")</f>
        <v>H</v>
      </c>
      <c r="K45" s="35" t="str">
        <f>IFERROR(INDEX(RBD_Au,MATCH("Executive Leadership|C2|C-M",RBD_KEY,0)),"M")</f>
        <v>M</v>
      </c>
      <c r="L45" s="35" t="str">
        <f>IFERROR(INDEX(RBD_Ac,MATCH("Executive Leadership|C2|C-M",RBD_KEY,0)),"M")</f>
        <v>M</v>
      </c>
      <c r="M45" s="35" t="str">
        <f>IFERROR(INDEX(RBD_L,MATCH("Executive Leadership|C2|C-M",RBD_KEY,0)),"M")</f>
        <v>M</v>
      </c>
      <c r="N45" s="35" t="str">
        <f>IFERROR(INDEX(RBD_BI,MATCH("Executive Leadership|C2|C-M",RBD_KEY,0)),"M")</f>
        <v>L</v>
      </c>
      <c r="O45" s="35" t="str">
        <f>IFERROR(INDEX(RBD_Exp,MATCH("Executive Leadership|C2|C-M",RBD_KEY,0)),"M")</f>
        <v>L</v>
      </c>
      <c r="P45" s="35" t="str">
        <f>IFERROR(INDEX(RBD_Edu,MATCH("Executive Leadership|C2|C-M",RBD_KEY,0)),"M")</f>
        <v>L</v>
      </c>
      <c r="Q45" s="73">
        <f>IF(J45="","",IFERROR(INDEX(LMH_PTS,MATCH(J45,LMH_KEY,0))/SUM(IFERROR(INDEX(LMH_PTS,MATCH(J45,LMH_KEY,0)),0),IFERROR(INDEX(LMH_PTS,MATCH(K45,LMH_KEY,0)),0),IFERROR(INDEX(LMH_PTS,MATCH(L45,LMH_KEY,0)),0),IFERROR(INDEX(LMH_PTS,MATCH(M45,LMH_KEY,0)),0),IFERROR(INDEX(LMH_PTS,MATCH(N45,LMH_KEY,0)),0),IFERROR(INDEX(LMH_PTS,MATCH(O45,LMH_KEY,0)),0),IFERROR(INDEX(LMH_PTS,MATCH(P45,LMH_KEY,0)),0)),""))</f>
        <v>0.428571428571429</v>
      </c>
      <c r="R45" s="74">
        <f>IF(K45="","",IFERROR(INDEX(LMH_PTS,MATCH(K45,LMH_KEY,0))/SUM(IFERROR(INDEX(LMH_PTS,MATCH(J45,LMH_KEY,0)),0),IFERROR(INDEX(LMH_PTS,MATCH(K45,LMH_KEY,0)),0),IFERROR(INDEX(LMH_PTS,MATCH(L45,LMH_KEY,0)),0),IFERROR(INDEX(LMH_PTS,MATCH(M45,LMH_KEY,0)),0),IFERROR(INDEX(LMH_PTS,MATCH(N45,LMH_KEY,0)),0),IFERROR(INDEX(LMH_PTS,MATCH(O45,LMH_KEY,0)),0),IFERROR(INDEX(LMH_PTS,MATCH(P45,LMH_KEY,0)),0)),""))</f>
        <v>0.142857142857143</v>
      </c>
      <c r="S45" s="74">
        <f>IF(L45="","",IFERROR(INDEX(LMH_PTS,MATCH(L45,LMH_KEY,0))/SUM(IFERROR(INDEX(LMH_PTS,MATCH(J45,LMH_KEY,0)),0),IFERROR(INDEX(LMH_PTS,MATCH(K45,LMH_KEY,0)),0),IFERROR(INDEX(LMH_PTS,MATCH(L45,LMH_KEY,0)),0),IFERROR(INDEX(LMH_PTS,MATCH(M45,LMH_KEY,0)),0),IFERROR(INDEX(LMH_PTS,MATCH(N45,LMH_KEY,0)),0),IFERROR(INDEX(LMH_PTS,MATCH(O45,LMH_KEY,0)),0),IFERROR(INDEX(LMH_PTS,MATCH(P45,LMH_KEY,0)),0)),""))</f>
        <v>0.142857142857143</v>
      </c>
      <c r="T45" s="74">
        <f>IF(M45="","",IFERROR(INDEX(LMH_PTS,MATCH(M45,LMH_KEY,0))/SUM(IFERROR(INDEX(LMH_PTS,MATCH(J45,LMH_KEY,0)),0),IFERROR(INDEX(LMH_PTS,MATCH(K45,LMH_KEY,0)),0),IFERROR(INDEX(LMH_PTS,MATCH(L45,LMH_KEY,0)),0),IFERROR(INDEX(LMH_PTS,MATCH(M45,LMH_KEY,0)),0),IFERROR(INDEX(LMH_PTS,MATCH(N45,LMH_KEY,0)),0),IFERROR(INDEX(LMH_PTS,MATCH(O45,LMH_KEY,0)),0),IFERROR(INDEX(LMH_PTS,MATCH(P45,LMH_KEY,0)),0)),""))</f>
        <v>0.142857142857143</v>
      </c>
      <c r="U45" s="74">
        <f>IF(N45="","",IFERROR(INDEX(LMH_PTS,MATCH(N45,LMH_KEY,0))/SUM(IFERROR(INDEX(LMH_PTS,MATCH(J45,LMH_KEY,0)),0),IFERROR(INDEX(LMH_PTS,MATCH(K45,LMH_KEY,0)),0),IFERROR(INDEX(LMH_PTS,MATCH(L45,LMH_KEY,0)),0),IFERROR(INDEX(LMH_PTS,MATCH(M45,LMH_KEY,0)),0),IFERROR(INDEX(LMH_PTS,MATCH(N45,LMH_KEY,0)),0),IFERROR(INDEX(LMH_PTS,MATCH(O45,LMH_KEY,0)),0),IFERROR(INDEX(LMH_PTS,MATCH(P45,LMH_KEY,0)),0)),""))</f>
        <v>0.0476190476190476</v>
      </c>
      <c r="V45" s="74">
        <f>IF(O45="","",IFERROR(INDEX(LMH_PTS,MATCH(O45,LMH_KEY,0))/SUM(IFERROR(INDEX(LMH_PTS,MATCH(J45,LMH_KEY,0)),0),IFERROR(INDEX(LMH_PTS,MATCH(K45,LMH_KEY,0)),0),IFERROR(INDEX(LMH_PTS,MATCH(L45,LMH_KEY,0)),0),IFERROR(INDEX(LMH_PTS,MATCH(M45,LMH_KEY,0)),0),IFERROR(INDEX(LMH_PTS,MATCH(N45,LMH_KEY,0)),0),IFERROR(INDEX(LMH_PTS,MATCH(O45,LMH_KEY,0)),0),IFERROR(INDEX(LMH_PTS,MATCH(P45,LMH_KEY,0)),0)),""))</f>
        <v>0.0476190476190476</v>
      </c>
      <c r="W45" s="74">
        <f>IF(P45="","",IFERROR(INDEX(LMH_PTS,MATCH(P45,LMH_KEY,0))/SUM(IFERROR(INDEX(LMH_PTS,MATCH(J45,LMH_KEY,0)),0),IFERROR(INDEX(LMH_PTS,MATCH(K45,LMH_KEY,0)),0),IFERROR(INDEX(LMH_PTS,MATCH(L45,LMH_KEY,0)),0),IFERROR(INDEX(LMH_PTS,MATCH(M45,LMH_KEY,0)),0),IFERROR(INDEX(LMH_PTS,MATCH(N45,LMH_KEY,0)),0),IFERROR(INDEX(LMH_PTS,MATCH(O45,LMH_KEY,0)),0),IFERROR(INDEX(LMH_PTS,MATCH(P45,LMH_KEY,0)),0)),""))</f>
        <v>0.0476190476190476</v>
      </c>
      <c r="X45" s="44" t="n"/>
      <c r="Y45" s="38" t="inlineStr">
        <is>
          <t>CARBON|Customer Experience|Senior Vice President – Customer Experience|C2|C-M</t>
        </is>
      </c>
    </row>
    <row r="46" ht="28" customHeight="1">
      <c r="A46" s="28" t="inlineStr">
        <is>
          <t>CARBON</t>
        </is>
      </c>
      <c r="B46" s="71" t="inlineStr">
        <is>
          <t>Digitizing</t>
        </is>
      </c>
      <c r="C46" s="72" t="inlineStr">
        <is>
          <t>B2</t>
        </is>
      </c>
      <c r="D46" s="29" t="inlineStr">
        <is>
          <t>Band B · Specialist / Manager</t>
        </is>
      </c>
      <c r="E46" s="29" t="inlineStr">
        <is>
          <t>Associate Head – Digitization</t>
        </is>
      </c>
      <c r="F46" s="29" t="inlineStr">
        <is>
          <t>Band B · People Manager</t>
        </is>
      </c>
      <c r="G46" s="29" t="inlineStr">
        <is>
          <t>Executive Leadership</t>
        </is>
      </c>
      <c r="H46" s="29" t="n">
        <v>1</v>
      </c>
      <c r="I46" s="29" t="inlineStr">
        <is>
          <t>Vijay Parulekar</t>
        </is>
      </c>
      <c r="J46" s="34" t="str">
        <f>IFERROR(INDEX(RBD_C,MATCH("Executive Leadership|B2|B-M",RBD_KEY,0)),"M")</f>
        <v>H</v>
      </c>
      <c r="K46" s="35" t="str">
        <f>IFERROR(INDEX(RBD_Au,MATCH("Executive Leadership|B2|B-M",RBD_KEY,0)),"M")</f>
        <v>M</v>
      </c>
      <c r="L46" s="35" t="str">
        <f>IFERROR(INDEX(RBD_Ac,MATCH("Executive Leadership|B2|B-M",RBD_KEY,0)),"M")</f>
        <v>M</v>
      </c>
      <c r="M46" s="35" t="str">
        <f>IFERROR(INDEX(RBD_L,MATCH("Executive Leadership|B2|B-M",RBD_KEY,0)),"M")</f>
        <v>M</v>
      </c>
      <c r="N46" s="35" t="str">
        <f>IFERROR(INDEX(RBD_BI,MATCH("Executive Leadership|B2|B-M",RBD_KEY,0)),"M")</f>
        <v>L</v>
      </c>
      <c r="O46" s="35" t="str">
        <f>IFERROR(INDEX(RBD_Exp,MATCH("Executive Leadership|B2|B-M",RBD_KEY,0)),"M")</f>
        <v>L</v>
      </c>
      <c r="P46" s="35" t="str">
        <f>IFERROR(INDEX(RBD_Edu,MATCH("Executive Leadership|B2|B-M",RBD_KEY,0)),"M")</f>
        <v>L</v>
      </c>
      <c r="Q46" s="73">
        <f>IF(J46="","",IFERROR(INDEX(LMH_PTS,MATCH(J46,LMH_KEY,0))/SUM(IFERROR(INDEX(LMH_PTS,MATCH(J46,LMH_KEY,0)),0),IFERROR(INDEX(LMH_PTS,MATCH(K46,LMH_KEY,0)),0),IFERROR(INDEX(LMH_PTS,MATCH(L46,LMH_KEY,0)),0),IFERROR(INDEX(LMH_PTS,MATCH(M46,LMH_KEY,0)),0),IFERROR(INDEX(LMH_PTS,MATCH(N46,LMH_KEY,0)),0),IFERROR(INDEX(LMH_PTS,MATCH(O46,LMH_KEY,0)),0),IFERROR(INDEX(LMH_PTS,MATCH(P46,LMH_KEY,0)),0)),""))</f>
        <v>0.428571428571429</v>
      </c>
      <c r="R46" s="74">
        <f>IF(K46="","",IFERROR(INDEX(LMH_PTS,MATCH(K46,LMH_KEY,0))/SUM(IFERROR(INDEX(LMH_PTS,MATCH(J46,LMH_KEY,0)),0),IFERROR(INDEX(LMH_PTS,MATCH(K46,LMH_KEY,0)),0),IFERROR(INDEX(LMH_PTS,MATCH(L46,LMH_KEY,0)),0),IFERROR(INDEX(LMH_PTS,MATCH(M46,LMH_KEY,0)),0),IFERROR(INDEX(LMH_PTS,MATCH(N46,LMH_KEY,0)),0),IFERROR(INDEX(LMH_PTS,MATCH(O46,LMH_KEY,0)),0),IFERROR(INDEX(LMH_PTS,MATCH(P46,LMH_KEY,0)),0)),""))</f>
        <v>0.142857142857143</v>
      </c>
      <c r="S46" s="74">
        <f>IF(L46="","",IFERROR(INDEX(LMH_PTS,MATCH(L46,LMH_KEY,0))/SUM(IFERROR(INDEX(LMH_PTS,MATCH(J46,LMH_KEY,0)),0),IFERROR(INDEX(LMH_PTS,MATCH(K46,LMH_KEY,0)),0),IFERROR(INDEX(LMH_PTS,MATCH(L46,LMH_KEY,0)),0),IFERROR(INDEX(LMH_PTS,MATCH(M46,LMH_KEY,0)),0),IFERROR(INDEX(LMH_PTS,MATCH(N46,LMH_KEY,0)),0),IFERROR(INDEX(LMH_PTS,MATCH(O46,LMH_KEY,0)),0),IFERROR(INDEX(LMH_PTS,MATCH(P46,LMH_KEY,0)),0)),""))</f>
        <v>0.142857142857143</v>
      </c>
      <c r="T46" s="74">
        <f>IF(M46="","",IFERROR(INDEX(LMH_PTS,MATCH(M46,LMH_KEY,0))/SUM(IFERROR(INDEX(LMH_PTS,MATCH(J46,LMH_KEY,0)),0),IFERROR(INDEX(LMH_PTS,MATCH(K46,LMH_KEY,0)),0),IFERROR(INDEX(LMH_PTS,MATCH(L46,LMH_KEY,0)),0),IFERROR(INDEX(LMH_PTS,MATCH(M46,LMH_KEY,0)),0),IFERROR(INDEX(LMH_PTS,MATCH(N46,LMH_KEY,0)),0),IFERROR(INDEX(LMH_PTS,MATCH(O46,LMH_KEY,0)),0),IFERROR(INDEX(LMH_PTS,MATCH(P46,LMH_KEY,0)),0)),""))</f>
        <v>0.142857142857143</v>
      </c>
      <c r="U46" s="74">
        <f>IF(N46="","",IFERROR(INDEX(LMH_PTS,MATCH(N46,LMH_KEY,0))/SUM(IFERROR(INDEX(LMH_PTS,MATCH(J46,LMH_KEY,0)),0),IFERROR(INDEX(LMH_PTS,MATCH(K46,LMH_KEY,0)),0),IFERROR(INDEX(LMH_PTS,MATCH(L46,LMH_KEY,0)),0),IFERROR(INDEX(LMH_PTS,MATCH(M46,LMH_KEY,0)),0),IFERROR(INDEX(LMH_PTS,MATCH(N46,LMH_KEY,0)),0),IFERROR(INDEX(LMH_PTS,MATCH(O46,LMH_KEY,0)),0),IFERROR(INDEX(LMH_PTS,MATCH(P46,LMH_KEY,0)),0)),""))</f>
        <v>0.0476190476190476</v>
      </c>
      <c r="V46" s="74">
        <f>IF(O46="","",IFERROR(INDEX(LMH_PTS,MATCH(O46,LMH_KEY,0))/SUM(IFERROR(INDEX(LMH_PTS,MATCH(J46,LMH_KEY,0)),0),IFERROR(INDEX(LMH_PTS,MATCH(K46,LMH_KEY,0)),0),IFERROR(INDEX(LMH_PTS,MATCH(L46,LMH_KEY,0)),0),IFERROR(INDEX(LMH_PTS,MATCH(M46,LMH_KEY,0)),0),IFERROR(INDEX(LMH_PTS,MATCH(N46,LMH_KEY,0)),0),IFERROR(INDEX(LMH_PTS,MATCH(O46,LMH_KEY,0)),0),IFERROR(INDEX(LMH_PTS,MATCH(P46,LMH_KEY,0)),0)),""))</f>
        <v>0.0476190476190476</v>
      </c>
      <c r="W46" s="74">
        <f>IF(P46="","",IFERROR(INDEX(LMH_PTS,MATCH(P46,LMH_KEY,0))/SUM(IFERROR(INDEX(LMH_PTS,MATCH(J46,LMH_KEY,0)),0),IFERROR(INDEX(LMH_PTS,MATCH(K46,LMH_KEY,0)),0),IFERROR(INDEX(LMH_PTS,MATCH(L46,LMH_KEY,0)),0),IFERROR(INDEX(LMH_PTS,MATCH(M46,LMH_KEY,0)),0),IFERROR(INDEX(LMH_PTS,MATCH(N46,LMH_KEY,0)),0),IFERROR(INDEX(LMH_PTS,MATCH(O46,LMH_KEY,0)),0),IFERROR(INDEX(LMH_PTS,MATCH(P46,LMH_KEY,0)),0)),""))</f>
        <v>0.0476190476190476</v>
      </c>
      <c r="X46" s="44" t="n"/>
      <c r="Y46" s="38" t="inlineStr">
        <is>
          <t>CARBON|Digitizing|Associate Head – Digitization|B2|B-M</t>
        </is>
      </c>
    </row>
    <row r="47" ht="28" customHeight="1">
      <c r="A47" s="28" t="inlineStr">
        <is>
          <t>CARBON</t>
        </is>
      </c>
      <c r="B47" s="29" t="inlineStr">
        <is>
          <t>Digitizing</t>
        </is>
      </c>
      <c r="C47" s="72" t="inlineStr">
        <is>
          <t>B1</t>
        </is>
      </c>
      <c r="D47" s="29" t="inlineStr">
        <is>
          <t>Band B · Specialist / Manager</t>
        </is>
      </c>
      <c r="E47" s="29" t="inlineStr">
        <is>
          <t>Customer Enablement Specialist – POD Lead</t>
        </is>
      </c>
      <c r="F47" s="29" t="inlineStr">
        <is>
          <t>Band B · Specialist / POD Lead</t>
        </is>
      </c>
      <c r="G47" s="29" t="inlineStr">
        <is>
          <t>Customer Success &amp; Support</t>
        </is>
      </c>
      <c r="H47" s="29" t="n">
        <v>1</v>
      </c>
      <c r="I47" s="29" t="inlineStr">
        <is>
          <t>Datta Hatagale</t>
        </is>
      </c>
      <c r="J47" s="34" t="str">
        <f>IFERROR(INDEX(RBD_C,MATCH("Customer Success &amp; Support|B1|B-IC",RBD_KEY,0)),"M")</f>
        <v>H</v>
      </c>
      <c r="K47" s="35" t="str">
        <f>IFERROR(INDEX(RBD_Au,MATCH("Customer Success &amp; Support|B1|B-IC",RBD_KEY,0)),"M")</f>
        <v>M</v>
      </c>
      <c r="L47" s="35" t="str">
        <f>IFERROR(INDEX(RBD_Ac,MATCH("Customer Success &amp; Support|B1|B-IC",RBD_KEY,0)),"M")</f>
        <v>M</v>
      </c>
      <c r="M47" s="35" t="str">
        <f>IFERROR(INDEX(RBD_L,MATCH("Customer Success &amp; Support|B1|B-IC",RBD_KEY,0)),"M")</f>
        <v>L</v>
      </c>
      <c r="N47" s="35" t="str">
        <f>IFERROR(INDEX(RBD_BI,MATCH("Customer Success &amp; Support|B1|B-IC",RBD_KEY,0)),"M")</f>
        <v>M</v>
      </c>
      <c r="O47" s="35" t="str">
        <f>IFERROR(INDEX(RBD_Exp,MATCH("Customer Success &amp; Support|B1|B-IC",RBD_KEY,0)),"M")</f>
        <v>L</v>
      </c>
      <c r="P47" s="35" t="str">
        <f>IFERROR(INDEX(RBD_Edu,MATCH("Customer Success &amp; Support|B1|B-IC",RBD_KEY,0)),"M")</f>
        <v>L</v>
      </c>
      <c r="Q47" s="73">
        <f>IF(J47="","",IFERROR(INDEX(LMH_PTS,MATCH(J47,LMH_KEY,0))/SUM(IFERROR(INDEX(LMH_PTS,MATCH(J47,LMH_KEY,0)),0),IFERROR(INDEX(LMH_PTS,MATCH(K47,LMH_KEY,0)),0),IFERROR(INDEX(LMH_PTS,MATCH(L47,LMH_KEY,0)),0),IFERROR(INDEX(LMH_PTS,MATCH(M47,LMH_KEY,0)),0),IFERROR(INDEX(LMH_PTS,MATCH(N47,LMH_KEY,0)),0),IFERROR(INDEX(LMH_PTS,MATCH(O47,LMH_KEY,0)),0),IFERROR(INDEX(LMH_PTS,MATCH(P47,LMH_KEY,0)),0)),""))</f>
        <v>0.428571428571429</v>
      </c>
      <c r="R47" s="74">
        <f>IF(K47="","",IFERROR(INDEX(LMH_PTS,MATCH(K47,LMH_KEY,0))/SUM(IFERROR(INDEX(LMH_PTS,MATCH(J47,LMH_KEY,0)),0),IFERROR(INDEX(LMH_PTS,MATCH(K47,LMH_KEY,0)),0),IFERROR(INDEX(LMH_PTS,MATCH(L47,LMH_KEY,0)),0),IFERROR(INDEX(LMH_PTS,MATCH(M47,LMH_KEY,0)),0),IFERROR(INDEX(LMH_PTS,MATCH(N47,LMH_KEY,0)),0),IFERROR(INDEX(LMH_PTS,MATCH(O47,LMH_KEY,0)),0),IFERROR(INDEX(LMH_PTS,MATCH(P47,LMH_KEY,0)),0)),""))</f>
        <v>0.142857142857143</v>
      </c>
      <c r="S47" s="74">
        <f>IF(L47="","",IFERROR(INDEX(LMH_PTS,MATCH(L47,LMH_KEY,0))/SUM(IFERROR(INDEX(LMH_PTS,MATCH(J47,LMH_KEY,0)),0),IFERROR(INDEX(LMH_PTS,MATCH(K47,LMH_KEY,0)),0),IFERROR(INDEX(LMH_PTS,MATCH(L47,LMH_KEY,0)),0),IFERROR(INDEX(LMH_PTS,MATCH(M47,LMH_KEY,0)),0),IFERROR(INDEX(LMH_PTS,MATCH(N47,LMH_KEY,0)),0),IFERROR(INDEX(LMH_PTS,MATCH(O47,LMH_KEY,0)),0),IFERROR(INDEX(LMH_PTS,MATCH(P47,LMH_KEY,0)),0)),""))</f>
        <v>0.142857142857143</v>
      </c>
      <c r="T47" s="74">
        <f>IF(M47="","",IFERROR(INDEX(LMH_PTS,MATCH(M47,LMH_KEY,0))/SUM(IFERROR(INDEX(LMH_PTS,MATCH(J47,LMH_KEY,0)),0),IFERROR(INDEX(LMH_PTS,MATCH(K47,LMH_KEY,0)),0),IFERROR(INDEX(LMH_PTS,MATCH(L47,LMH_KEY,0)),0),IFERROR(INDEX(LMH_PTS,MATCH(M47,LMH_KEY,0)),0),IFERROR(INDEX(LMH_PTS,MATCH(N47,LMH_KEY,0)),0),IFERROR(INDEX(LMH_PTS,MATCH(O47,LMH_KEY,0)),0),IFERROR(INDEX(LMH_PTS,MATCH(P47,LMH_KEY,0)),0)),""))</f>
        <v>0.0476190476190476</v>
      </c>
      <c r="U47" s="74">
        <f>IF(N47="","",IFERROR(INDEX(LMH_PTS,MATCH(N47,LMH_KEY,0))/SUM(IFERROR(INDEX(LMH_PTS,MATCH(J47,LMH_KEY,0)),0),IFERROR(INDEX(LMH_PTS,MATCH(K47,LMH_KEY,0)),0),IFERROR(INDEX(LMH_PTS,MATCH(L47,LMH_KEY,0)),0),IFERROR(INDEX(LMH_PTS,MATCH(M47,LMH_KEY,0)),0),IFERROR(INDEX(LMH_PTS,MATCH(N47,LMH_KEY,0)),0),IFERROR(INDEX(LMH_PTS,MATCH(O47,LMH_KEY,0)),0),IFERROR(INDEX(LMH_PTS,MATCH(P47,LMH_KEY,0)),0)),""))</f>
        <v>0.142857142857143</v>
      </c>
      <c r="V47" s="74">
        <f>IF(O47="","",IFERROR(INDEX(LMH_PTS,MATCH(O47,LMH_KEY,0))/SUM(IFERROR(INDEX(LMH_PTS,MATCH(J47,LMH_KEY,0)),0),IFERROR(INDEX(LMH_PTS,MATCH(K47,LMH_KEY,0)),0),IFERROR(INDEX(LMH_PTS,MATCH(L47,LMH_KEY,0)),0),IFERROR(INDEX(LMH_PTS,MATCH(M47,LMH_KEY,0)),0),IFERROR(INDEX(LMH_PTS,MATCH(N47,LMH_KEY,0)),0),IFERROR(INDEX(LMH_PTS,MATCH(O47,LMH_KEY,0)),0),IFERROR(INDEX(LMH_PTS,MATCH(P47,LMH_KEY,0)),0)),""))</f>
        <v>0.0476190476190476</v>
      </c>
      <c r="W47" s="74">
        <f>IF(P47="","",IFERROR(INDEX(LMH_PTS,MATCH(P47,LMH_KEY,0))/SUM(IFERROR(INDEX(LMH_PTS,MATCH(J47,LMH_KEY,0)),0),IFERROR(INDEX(LMH_PTS,MATCH(K47,LMH_KEY,0)),0),IFERROR(INDEX(LMH_PTS,MATCH(L47,LMH_KEY,0)),0),IFERROR(INDEX(LMH_PTS,MATCH(M47,LMH_KEY,0)),0),IFERROR(INDEX(LMH_PTS,MATCH(N47,LMH_KEY,0)),0),IFERROR(INDEX(LMH_PTS,MATCH(O47,LMH_KEY,0)),0),IFERROR(INDEX(LMH_PTS,MATCH(P47,LMH_KEY,0)),0)),""))</f>
        <v>0.0476190476190476</v>
      </c>
      <c r="X47" s="44" t="n"/>
      <c r="Y47" s="38" t="inlineStr">
        <is>
          <t>CARBON|Digitizing|Customer Enablement Specialist – POD Lead|B1|B-IC</t>
        </is>
      </c>
    </row>
    <row r="48" ht="18" customHeight="1">
      <c r="A48" s="28" t="inlineStr">
        <is>
          <t>CARBON</t>
        </is>
      </c>
      <c r="B48" s="29" t="inlineStr">
        <is>
          <t>Digitizing</t>
        </is>
      </c>
      <c r="C48" s="72" t="inlineStr">
        <is>
          <t>B1</t>
        </is>
      </c>
      <c r="D48" s="29" t="inlineStr">
        <is>
          <t>Band B · Specialist / Manager</t>
        </is>
      </c>
      <c r="E48" s="29" t="inlineStr">
        <is>
          <t>Digitization Manager</t>
        </is>
      </c>
      <c r="F48" s="29" t="inlineStr">
        <is>
          <t>Band B · People Manager</t>
        </is>
      </c>
      <c r="G48" s="29" t="inlineStr">
        <is>
          <t>Data Operations &amp; Digitization</t>
        </is>
      </c>
      <c r="H48" s="29" t="n">
        <v>1</v>
      </c>
      <c r="I48" s="29" t="inlineStr">
        <is>
          <t>Janardan Bale</t>
        </is>
      </c>
      <c r="J48" s="34" t="str">
        <f>IFERROR(INDEX(RBD_C,MATCH("Data Operations &amp; Digitization|B1|B-M",RBD_KEY,0)),"M")</f>
        <v>H</v>
      </c>
      <c r="K48" s="35" t="str">
        <f>IFERROR(INDEX(RBD_Au,MATCH("Data Operations &amp; Digitization|B1|B-M",RBD_KEY,0)),"M")</f>
        <v>M</v>
      </c>
      <c r="L48" s="35" t="str">
        <f>IFERROR(INDEX(RBD_Ac,MATCH("Data Operations &amp; Digitization|B1|B-M",RBD_KEY,0)),"M")</f>
        <v>M</v>
      </c>
      <c r="M48" s="35" t="str">
        <f>IFERROR(INDEX(RBD_L,MATCH("Data Operations &amp; Digitization|B1|B-M",RBD_KEY,0)),"M")</f>
        <v>M</v>
      </c>
      <c r="N48" s="35" t="str">
        <f>IFERROR(INDEX(RBD_BI,MATCH("Data Operations &amp; Digitization|B1|B-M",RBD_KEY,0)),"M")</f>
        <v>L</v>
      </c>
      <c r="O48" s="35" t="str">
        <f>IFERROR(INDEX(RBD_Exp,MATCH("Data Operations &amp; Digitization|B1|B-M",RBD_KEY,0)),"M")</f>
        <v>L</v>
      </c>
      <c r="P48" s="35" t="str">
        <f>IFERROR(INDEX(RBD_Edu,MATCH("Data Operations &amp; Digitization|B1|B-M",RBD_KEY,0)),"M")</f>
        <v>L</v>
      </c>
      <c r="Q48" s="73">
        <f>IF(J48="","",IFERROR(INDEX(LMH_PTS,MATCH(J48,LMH_KEY,0))/SUM(IFERROR(INDEX(LMH_PTS,MATCH(J48,LMH_KEY,0)),0),IFERROR(INDEX(LMH_PTS,MATCH(K48,LMH_KEY,0)),0),IFERROR(INDEX(LMH_PTS,MATCH(L48,LMH_KEY,0)),0),IFERROR(INDEX(LMH_PTS,MATCH(M48,LMH_KEY,0)),0),IFERROR(INDEX(LMH_PTS,MATCH(N48,LMH_KEY,0)),0),IFERROR(INDEX(LMH_PTS,MATCH(O48,LMH_KEY,0)),0),IFERROR(INDEX(LMH_PTS,MATCH(P48,LMH_KEY,0)),0)),""))</f>
        <v>0.428571428571429</v>
      </c>
      <c r="R48" s="74">
        <f>IF(K48="","",IFERROR(INDEX(LMH_PTS,MATCH(K48,LMH_KEY,0))/SUM(IFERROR(INDEX(LMH_PTS,MATCH(J48,LMH_KEY,0)),0),IFERROR(INDEX(LMH_PTS,MATCH(K48,LMH_KEY,0)),0),IFERROR(INDEX(LMH_PTS,MATCH(L48,LMH_KEY,0)),0),IFERROR(INDEX(LMH_PTS,MATCH(M48,LMH_KEY,0)),0),IFERROR(INDEX(LMH_PTS,MATCH(N48,LMH_KEY,0)),0),IFERROR(INDEX(LMH_PTS,MATCH(O48,LMH_KEY,0)),0),IFERROR(INDEX(LMH_PTS,MATCH(P48,LMH_KEY,0)),0)),""))</f>
        <v>0.142857142857143</v>
      </c>
      <c r="S48" s="74">
        <f>IF(L48="","",IFERROR(INDEX(LMH_PTS,MATCH(L48,LMH_KEY,0))/SUM(IFERROR(INDEX(LMH_PTS,MATCH(J48,LMH_KEY,0)),0),IFERROR(INDEX(LMH_PTS,MATCH(K48,LMH_KEY,0)),0),IFERROR(INDEX(LMH_PTS,MATCH(L48,LMH_KEY,0)),0),IFERROR(INDEX(LMH_PTS,MATCH(M48,LMH_KEY,0)),0),IFERROR(INDEX(LMH_PTS,MATCH(N48,LMH_KEY,0)),0),IFERROR(INDEX(LMH_PTS,MATCH(O48,LMH_KEY,0)),0),IFERROR(INDEX(LMH_PTS,MATCH(P48,LMH_KEY,0)),0)),""))</f>
        <v>0.142857142857143</v>
      </c>
      <c r="T48" s="74">
        <f>IF(M48="","",IFERROR(INDEX(LMH_PTS,MATCH(M48,LMH_KEY,0))/SUM(IFERROR(INDEX(LMH_PTS,MATCH(J48,LMH_KEY,0)),0),IFERROR(INDEX(LMH_PTS,MATCH(K48,LMH_KEY,0)),0),IFERROR(INDEX(LMH_PTS,MATCH(L48,LMH_KEY,0)),0),IFERROR(INDEX(LMH_PTS,MATCH(M48,LMH_KEY,0)),0),IFERROR(INDEX(LMH_PTS,MATCH(N48,LMH_KEY,0)),0),IFERROR(INDEX(LMH_PTS,MATCH(O48,LMH_KEY,0)),0),IFERROR(INDEX(LMH_PTS,MATCH(P48,LMH_KEY,0)),0)),""))</f>
        <v>0.142857142857143</v>
      </c>
      <c r="U48" s="74">
        <f>IF(N48="","",IFERROR(INDEX(LMH_PTS,MATCH(N48,LMH_KEY,0))/SUM(IFERROR(INDEX(LMH_PTS,MATCH(J48,LMH_KEY,0)),0),IFERROR(INDEX(LMH_PTS,MATCH(K48,LMH_KEY,0)),0),IFERROR(INDEX(LMH_PTS,MATCH(L48,LMH_KEY,0)),0),IFERROR(INDEX(LMH_PTS,MATCH(M48,LMH_KEY,0)),0),IFERROR(INDEX(LMH_PTS,MATCH(N48,LMH_KEY,0)),0),IFERROR(INDEX(LMH_PTS,MATCH(O48,LMH_KEY,0)),0),IFERROR(INDEX(LMH_PTS,MATCH(P48,LMH_KEY,0)),0)),""))</f>
        <v>0.0476190476190476</v>
      </c>
      <c r="V48" s="74">
        <f>IF(O48="","",IFERROR(INDEX(LMH_PTS,MATCH(O48,LMH_KEY,0))/SUM(IFERROR(INDEX(LMH_PTS,MATCH(J48,LMH_KEY,0)),0),IFERROR(INDEX(LMH_PTS,MATCH(K48,LMH_KEY,0)),0),IFERROR(INDEX(LMH_PTS,MATCH(L48,LMH_KEY,0)),0),IFERROR(INDEX(LMH_PTS,MATCH(M48,LMH_KEY,0)),0),IFERROR(INDEX(LMH_PTS,MATCH(N48,LMH_KEY,0)),0),IFERROR(INDEX(LMH_PTS,MATCH(O48,LMH_KEY,0)),0),IFERROR(INDEX(LMH_PTS,MATCH(P48,LMH_KEY,0)),0)),""))</f>
        <v>0.0476190476190476</v>
      </c>
      <c r="W48" s="74">
        <f>IF(P48="","",IFERROR(INDEX(LMH_PTS,MATCH(P48,LMH_KEY,0))/SUM(IFERROR(INDEX(LMH_PTS,MATCH(J48,LMH_KEY,0)),0),IFERROR(INDEX(LMH_PTS,MATCH(K48,LMH_KEY,0)),0),IFERROR(INDEX(LMH_PTS,MATCH(L48,LMH_KEY,0)),0),IFERROR(INDEX(LMH_PTS,MATCH(M48,LMH_KEY,0)),0),IFERROR(INDEX(LMH_PTS,MATCH(N48,LMH_KEY,0)),0),IFERROR(INDEX(LMH_PTS,MATCH(O48,LMH_KEY,0)),0),IFERROR(INDEX(LMH_PTS,MATCH(P48,LMH_KEY,0)),0)),""))</f>
        <v>0.0476190476190476</v>
      </c>
      <c r="X48" s="44" t="n"/>
      <c r="Y48" s="38" t="inlineStr">
        <is>
          <t>CARBON|Digitizing|Digitization Manager|B1|B-M</t>
        </is>
      </c>
    </row>
    <row r="49" ht="28" customHeight="1">
      <c r="A49" s="28" t="inlineStr">
        <is>
          <t>CARBON</t>
        </is>
      </c>
      <c r="B49" s="29" t="inlineStr">
        <is>
          <t>Digitizing</t>
        </is>
      </c>
      <c r="C49" s="72" t="inlineStr">
        <is>
          <t>B1</t>
        </is>
      </c>
      <c r="D49" s="29" t="inlineStr">
        <is>
          <t>Band B · Specialist / Manager</t>
        </is>
      </c>
      <c r="E49" s="29" t="inlineStr">
        <is>
          <t>Digitization Specialist – POD Lead</t>
        </is>
      </c>
      <c r="F49" s="29" t="inlineStr">
        <is>
          <t>Band B · Specialist / POD Lead</t>
        </is>
      </c>
      <c r="G49" s="29" t="inlineStr">
        <is>
          <t>Data Operations &amp; Digitization</t>
        </is>
      </c>
      <c r="H49" s="29" t="n">
        <v>1</v>
      </c>
      <c r="I49" s="29" t="inlineStr">
        <is>
          <t>Prajakta Mokal</t>
        </is>
      </c>
      <c r="J49" s="34" t="str">
        <f>IFERROR(INDEX(RBD_C,MATCH("Data Operations &amp; Digitization|B1|B-IC",RBD_KEY,0)),"M")</f>
        <v>H</v>
      </c>
      <c r="K49" s="35" t="str">
        <f>IFERROR(INDEX(RBD_Au,MATCH("Data Operations &amp; Digitization|B1|B-IC",RBD_KEY,0)),"M")</f>
        <v>M</v>
      </c>
      <c r="L49" s="35" t="str">
        <f>IFERROR(INDEX(RBD_Ac,MATCH("Data Operations &amp; Digitization|B1|B-IC",RBD_KEY,0)),"M")</f>
        <v>M</v>
      </c>
      <c r="M49" s="35" t="str">
        <f>IFERROR(INDEX(RBD_L,MATCH("Data Operations &amp; Digitization|B1|B-IC",RBD_KEY,0)),"M")</f>
        <v>L</v>
      </c>
      <c r="N49" s="35" t="str">
        <f>IFERROR(INDEX(RBD_BI,MATCH("Data Operations &amp; Digitization|B1|B-IC",RBD_KEY,0)),"M")</f>
        <v>L</v>
      </c>
      <c r="O49" s="35" t="str">
        <f>IFERROR(INDEX(RBD_Exp,MATCH("Data Operations &amp; Digitization|B1|B-IC",RBD_KEY,0)),"M")</f>
        <v>L</v>
      </c>
      <c r="P49" s="35" t="str">
        <f>IFERROR(INDEX(RBD_Edu,MATCH("Data Operations &amp; Digitization|B1|B-IC",RBD_KEY,0)),"M")</f>
        <v>L</v>
      </c>
      <c r="Q49" s="73">
        <f>IF(J49="","",IFERROR(INDEX(LMH_PTS,MATCH(J49,LMH_KEY,0))/SUM(IFERROR(INDEX(LMH_PTS,MATCH(J49,LMH_KEY,0)),0),IFERROR(INDEX(LMH_PTS,MATCH(K49,LMH_KEY,0)),0),IFERROR(INDEX(LMH_PTS,MATCH(L49,LMH_KEY,0)),0),IFERROR(INDEX(LMH_PTS,MATCH(M49,LMH_KEY,0)),0),IFERROR(INDEX(LMH_PTS,MATCH(N49,LMH_KEY,0)),0),IFERROR(INDEX(LMH_PTS,MATCH(O49,LMH_KEY,0)),0),IFERROR(INDEX(LMH_PTS,MATCH(P49,LMH_KEY,0)),0)),""))</f>
        <v>0.473684210526316</v>
      </c>
      <c r="R49" s="74">
        <f>IF(K49="","",IFERROR(INDEX(LMH_PTS,MATCH(K49,LMH_KEY,0))/SUM(IFERROR(INDEX(LMH_PTS,MATCH(J49,LMH_KEY,0)),0),IFERROR(INDEX(LMH_PTS,MATCH(K49,LMH_KEY,0)),0),IFERROR(INDEX(LMH_PTS,MATCH(L49,LMH_KEY,0)),0),IFERROR(INDEX(LMH_PTS,MATCH(M49,LMH_KEY,0)),0),IFERROR(INDEX(LMH_PTS,MATCH(N49,LMH_KEY,0)),0),IFERROR(INDEX(LMH_PTS,MATCH(O49,LMH_KEY,0)),0),IFERROR(INDEX(LMH_PTS,MATCH(P49,LMH_KEY,0)),0)),""))</f>
        <v>0.157894736842105</v>
      </c>
      <c r="S49" s="74">
        <f>IF(L49="","",IFERROR(INDEX(LMH_PTS,MATCH(L49,LMH_KEY,0))/SUM(IFERROR(INDEX(LMH_PTS,MATCH(J49,LMH_KEY,0)),0),IFERROR(INDEX(LMH_PTS,MATCH(K49,LMH_KEY,0)),0),IFERROR(INDEX(LMH_PTS,MATCH(L49,LMH_KEY,0)),0),IFERROR(INDEX(LMH_PTS,MATCH(M49,LMH_KEY,0)),0),IFERROR(INDEX(LMH_PTS,MATCH(N49,LMH_KEY,0)),0),IFERROR(INDEX(LMH_PTS,MATCH(O49,LMH_KEY,0)),0),IFERROR(INDEX(LMH_PTS,MATCH(P49,LMH_KEY,0)),0)),""))</f>
        <v>0.157894736842105</v>
      </c>
      <c r="T49" s="74">
        <f>IF(M49="","",IFERROR(INDEX(LMH_PTS,MATCH(M49,LMH_KEY,0))/SUM(IFERROR(INDEX(LMH_PTS,MATCH(J49,LMH_KEY,0)),0),IFERROR(INDEX(LMH_PTS,MATCH(K49,LMH_KEY,0)),0),IFERROR(INDEX(LMH_PTS,MATCH(L49,LMH_KEY,0)),0),IFERROR(INDEX(LMH_PTS,MATCH(M49,LMH_KEY,0)),0),IFERROR(INDEX(LMH_PTS,MATCH(N49,LMH_KEY,0)),0),IFERROR(INDEX(LMH_PTS,MATCH(O49,LMH_KEY,0)),0),IFERROR(INDEX(LMH_PTS,MATCH(P49,LMH_KEY,0)),0)),""))</f>
        <v>0.0526315789473684</v>
      </c>
      <c r="U49" s="74">
        <f>IF(N49="","",IFERROR(INDEX(LMH_PTS,MATCH(N49,LMH_KEY,0))/SUM(IFERROR(INDEX(LMH_PTS,MATCH(J49,LMH_KEY,0)),0),IFERROR(INDEX(LMH_PTS,MATCH(K49,LMH_KEY,0)),0),IFERROR(INDEX(LMH_PTS,MATCH(L49,LMH_KEY,0)),0),IFERROR(INDEX(LMH_PTS,MATCH(M49,LMH_KEY,0)),0),IFERROR(INDEX(LMH_PTS,MATCH(N49,LMH_KEY,0)),0),IFERROR(INDEX(LMH_PTS,MATCH(O49,LMH_KEY,0)),0),IFERROR(INDEX(LMH_PTS,MATCH(P49,LMH_KEY,0)),0)),""))</f>
        <v>0.0526315789473684</v>
      </c>
      <c r="V49" s="74">
        <f>IF(O49="","",IFERROR(INDEX(LMH_PTS,MATCH(O49,LMH_KEY,0))/SUM(IFERROR(INDEX(LMH_PTS,MATCH(J49,LMH_KEY,0)),0),IFERROR(INDEX(LMH_PTS,MATCH(K49,LMH_KEY,0)),0),IFERROR(INDEX(LMH_PTS,MATCH(L49,LMH_KEY,0)),0),IFERROR(INDEX(LMH_PTS,MATCH(M49,LMH_KEY,0)),0),IFERROR(INDEX(LMH_PTS,MATCH(N49,LMH_KEY,0)),0),IFERROR(INDEX(LMH_PTS,MATCH(O49,LMH_KEY,0)),0),IFERROR(INDEX(LMH_PTS,MATCH(P49,LMH_KEY,0)),0)),""))</f>
        <v>0.0526315789473684</v>
      </c>
      <c r="W49" s="74">
        <f>IF(P49="","",IFERROR(INDEX(LMH_PTS,MATCH(P49,LMH_KEY,0))/SUM(IFERROR(INDEX(LMH_PTS,MATCH(J49,LMH_KEY,0)),0),IFERROR(INDEX(LMH_PTS,MATCH(K49,LMH_KEY,0)),0),IFERROR(INDEX(LMH_PTS,MATCH(L49,LMH_KEY,0)),0),IFERROR(INDEX(LMH_PTS,MATCH(M49,LMH_KEY,0)),0),IFERROR(INDEX(LMH_PTS,MATCH(N49,LMH_KEY,0)),0),IFERROR(INDEX(LMH_PTS,MATCH(O49,LMH_KEY,0)),0),IFERROR(INDEX(LMH_PTS,MATCH(P49,LMH_KEY,0)),0)),""))</f>
        <v>0.0526315789473684</v>
      </c>
      <c r="X49" s="44" t="n"/>
      <c r="Y49" s="38" t="inlineStr">
        <is>
          <t>CARBON|Digitizing|Digitization Specialist – POD Lead|B1|B-IC</t>
        </is>
      </c>
    </row>
    <row r="50" ht="18" customHeight="1">
      <c r="A50" s="28" t="inlineStr">
        <is>
          <t>CARBON</t>
        </is>
      </c>
      <c r="B50" s="29" t="inlineStr">
        <is>
          <t>Digitizing</t>
        </is>
      </c>
      <c r="C50" s="72" t="inlineStr">
        <is>
          <t>B1</t>
        </is>
      </c>
      <c r="D50" s="29" t="inlineStr">
        <is>
          <t>Band B · Specialist / Manager</t>
        </is>
      </c>
      <c r="E50" s="29" t="inlineStr">
        <is>
          <t>Team Lead – Digitization</t>
        </is>
      </c>
      <c r="F50" s="29" t="inlineStr">
        <is>
          <t>Band B · People Manager</t>
        </is>
      </c>
      <c r="G50" s="29" t="inlineStr">
        <is>
          <t>Data Operations &amp; Digitization</t>
        </is>
      </c>
      <c r="H50" s="29" t="n">
        <v>1</v>
      </c>
      <c r="I50" s="29" t="inlineStr">
        <is>
          <t>Dinesh Sharma</t>
        </is>
      </c>
      <c r="J50" s="34" t="str">
        <f>IFERROR(INDEX(RBD_C,MATCH("Data Operations &amp; Digitization|B1|B-M",RBD_KEY,0)),"M")</f>
        <v>H</v>
      </c>
      <c r="K50" s="35" t="str">
        <f>IFERROR(INDEX(RBD_Au,MATCH("Data Operations &amp; Digitization|B1|B-M",RBD_KEY,0)),"M")</f>
        <v>M</v>
      </c>
      <c r="L50" s="35" t="str">
        <f>IFERROR(INDEX(RBD_Ac,MATCH("Data Operations &amp; Digitization|B1|B-M",RBD_KEY,0)),"M")</f>
        <v>M</v>
      </c>
      <c r="M50" s="35" t="str">
        <f>IFERROR(INDEX(RBD_L,MATCH("Data Operations &amp; Digitization|B1|B-M",RBD_KEY,0)),"M")</f>
        <v>M</v>
      </c>
      <c r="N50" s="35" t="str">
        <f>IFERROR(INDEX(RBD_BI,MATCH("Data Operations &amp; Digitization|B1|B-M",RBD_KEY,0)),"M")</f>
        <v>L</v>
      </c>
      <c r="O50" s="35" t="str">
        <f>IFERROR(INDEX(RBD_Exp,MATCH("Data Operations &amp; Digitization|B1|B-M",RBD_KEY,0)),"M")</f>
        <v>L</v>
      </c>
      <c r="P50" s="35" t="str">
        <f>IFERROR(INDEX(RBD_Edu,MATCH("Data Operations &amp; Digitization|B1|B-M",RBD_KEY,0)),"M")</f>
        <v>L</v>
      </c>
      <c r="Q50" s="73">
        <f>IF(J50="","",IFERROR(INDEX(LMH_PTS,MATCH(J50,LMH_KEY,0))/SUM(IFERROR(INDEX(LMH_PTS,MATCH(J50,LMH_KEY,0)),0),IFERROR(INDEX(LMH_PTS,MATCH(K50,LMH_KEY,0)),0),IFERROR(INDEX(LMH_PTS,MATCH(L50,LMH_KEY,0)),0),IFERROR(INDEX(LMH_PTS,MATCH(M50,LMH_KEY,0)),0),IFERROR(INDEX(LMH_PTS,MATCH(N50,LMH_KEY,0)),0),IFERROR(INDEX(LMH_PTS,MATCH(O50,LMH_KEY,0)),0),IFERROR(INDEX(LMH_PTS,MATCH(P50,LMH_KEY,0)),0)),""))</f>
        <v>0.428571428571429</v>
      </c>
      <c r="R50" s="74">
        <f>IF(K50="","",IFERROR(INDEX(LMH_PTS,MATCH(K50,LMH_KEY,0))/SUM(IFERROR(INDEX(LMH_PTS,MATCH(J50,LMH_KEY,0)),0),IFERROR(INDEX(LMH_PTS,MATCH(K50,LMH_KEY,0)),0),IFERROR(INDEX(LMH_PTS,MATCH(L50,LMH_KEY,0)),0),IFERROR(INDEX(LMH_PTS,MATCH(M50,LMH_KEY,0)),0),IFERROR(INDEX(LMH_PTS,MATCH(N50,LMH_KEY,0)),0),IFERROR(INDEX(LMH_PTS,MATCH(O50,LMH_KEY,0)),0),IFERROR(INDEX(LMH_PTS,MATCH(P50,LMH_KEY,0)),0)),""))</f>
        <v>0.142857142857143</v>
      </c>
      <c r="S50" s="74">
        <f>IF(L50="","",IFERROR(INDEX(LMH_PTS,MATCH(L50,LMH_KEY,0))/SUM(IFERROR(INDEX(LMH_PTS,MATCH(J50,LMH_KEY,0)),0),IFERROR(INDEX(LMH_PTS,MATCH(K50,LMH_KEY,0)),0),IFERROR(INDEX(LMH_PTS,MATCH(L50,LMH_KEY,0)),0),IFERROR(INDEX(LMH_PTS,MATCH(M50,LMH_KEY,0)),0),IFERROR(INDEX(LMH_PTS,MATCH(N50,LMH_KEY,0)),0),IFERROR(INDEX(LMH_PTS,MATCH(O50,LMH_KEY,0)),0),IFERROR(INDEX(LMH_PTS,MATCH(P50,LMH_KEY,0)),0)),""))</f>
        <v>0.142857142857143</v>
      </c>
      <c r="T50" s="74">
        <f>IF(M50="","",IFERROR(INDEX(LMH_PTS,MATCH(M50,LMH_KEY,0))/SUM(IFERROR(INDEX(LMH_PTS,MATCH(J50,LMH_KEY,0)),0),IFERROR(INDEX(LMH_PTS,MATCH(K50,LMH_KEY,0)),0),IFERROR(INDEX(LMH_PTS,MATCH(L50,LMH_KEY,0)),0),IFERROR(INDEX(LMH_PTS,MATCH(M50,LMH_KEY,0)),0),IFERROR(INDEX(LMH_PTS,MATCH(N50,LMH_KEY,0)),0),IFERROR(INDEX(LMH_PTS,MATCH(O50,LMH_KEY,0)),0),IFERROR(INDEX(LMH_PTS,MATCH(P50,LMH_KEY,0)),0)),""))</f>
        <v>0.142857142857143</v>
      </c>
      <c r="U50" s="74">
        <f>IF(N50="","",IFERROR(INDEX(LMH_PTS,MATCH(N50,LMH_KEY,0))/SUM(IFERROR(INDEX(LMH_PTS,MATCH(J50,LMH_KEY,0)),0),IFERROR(INDEX(LMH_PTS,MATCH(K50,LMH_KEY,0)),0),IFERROR(INDEX(LMH_PTS,MATCH(L50,LMH_KEY,0)),0),IFERROR(INDEX(LMH_PTS,MATCH(M50,LMH_KEY,0)),0),IFERROR(INDEX(LMH_PTS,MATCH(N50,LMH_KEY,0)),0),IFERROR(INDEX(LMH_PTS,MATCH(O50,LMH_KEY,0)),0),IFERROR(INDEX(LMH_PTS,MATCH(P50,LMH_KEY,0)),0)),""))</f>
        <v>0.0476190476190476</v>
      </c>
      <c r="V50" s="74">
        <f>IF(O50="","",IFERROR(INDEX(LMH_PTS,MATCH(O50,LMH_KEY,0))/SUM(IFERROR(INDEX(LMH_PTS,MATCH(J50,LMH_KEY,0)),0),IFERROR(INDEX(LMH_PTS,MATCH(K50,LMH_KEY,0)),0),IFERROR(INDEX(LMH_PTS,MATCH(L50,LMH_KEY,0)),0),IFERROR(INDEX(LMH_PTS,MATCH(M50,LMH_KEY,0)),0),IFERROR(INDEX(LMH_PTS,MATCH(N50,LMH_KEY,0)),0),IFERROR(INDEX(LMH_PTS,MATCH(O50,LMH_KEY,0)),0),IFERROR(INDEX(LMH_PTS,MATCH(P50,LMH_KEY,0)),0)),""))</f>
        <v>0.0476190476190476</v>
      </c>
      <c r="W50" s="74">
        <f>IF(P50="","",IFERROR(INDEX(LMH_PTS,MATCH(P50,LMH_KEY,0))/SUM(IFERROR(INDEX(LMH_PTS,MATCH(J50,LMH_KEY,0)),0),IFERROR(INDEX(LMH_PTS,MATCH(K50,LMH_KEY,0)),0),IFERROR(INDEX(LMH_PTS,MATCH(L50,LMH_KEY,0)),0),IFERROR(INDEX(LMH_PTS,MATCH(M50,LMH_KEY,0)),0),IFERROR(INDEX(LMH_PTS,MATCH(N50,LMH_KEY,0)),0),IFERROR(INDEX(LMH_PTS,MATCH(O50,LMH_KEY,0)),0),IFERROR(INDEX(LMH_PTS,MATCH(P50,LMH_KEY,0)),0)),""))</f>
        <v>0.0476190476190476</v>
      </c>
      <c r="X50" s="44" t="n"/>
      <c r="Y50" s="38" t="inlineStr">
        <is>
          <t>CARBON|Digitizing|Team Lead – Digitization|B1|B-M</t>
        </is>
      </c>
    </row>
    <row r="51" ht="28" customHeight="1">
      <c r="A51" s="28" t="inlineStr">
        <is>
          <t>CARBON</t>
        </is>
      </c>
      <c r="B51" s="29" t="inlineStr">
        <is>
          <t>Digitizing</t>
        </is>
      </c>
      <c r="C51" s="75" t="inlineStr">
        <is>
          <t>A3</t>
        </is>
      </c>
      <c r="D51" s="29" t="inlineStr">
        <is>
          <t>Band A · Practitioner</t>
        </is>
      </c>
      <c r="E51" s="29" t="inlineStr">
        <is>
          <t>Digitization Specialist – POD Lead</t>
        </is>
      </c>
      <c r="F51" s="29" t="inlineStr">
        <is>
          <t>Band A · all tracks</t>
        </is>
      </c>
      <c r="G51" s="29" t="inlineStr">
        <is>
          <t>Data Operations &amp; Digitization</t>
        </is>
      </c>
      <c r="H51" s="29" t="n">
        <v>2</v>
      </c>
      <c r="I51" s="29" t="inlineStr">
        <is>
          <t>Tejas Kat, Ritesh Yeram</t>
        </is>
      </c>
      <c r="J51" s="34" t="str">
        <f>IFERROR(INDEX(RBD_C,MATCH("Data Operations &amp; Digitization|A3|A",RBD_KEY,0)),"M")</f>
        <v>H</v>
      </c>
      <c r="K51" s="35" t="str">
        <f>IFERROR(INDEX(RBD_Au,MATCH("Data Operations &amp; Digitization|A3|A",RBD_KEY,0)),"M")</f>
        <v>M</v>
      </c>
      <c r="L51" s="35" t="str">
        <f>IFERROR(INDEX(RBD_Ac,MATCH("Data Operations &amp; Digitization|A3|A",RBD_KEY,0)),"M")</f>
        <v>M</v>
      </c>
      <c r="M51" s="35" t="str">
        <f>IFERROR(INDEX(RBD_L,MATCH("Data Operations &amp; Digitization|A3|A",RBD_KEY,0)),"M")</f>
        <v>L</v>
      </c>
      <c r="N51" s="35" t="str">
        <f>IFERROR(INDEX(RBD_BI,MATCH("Data Operations &amp; Digitization|A3|A",RBD_KEY,0)),"M")</f>
        <v>L</v>
      </c>
      <c r="O51" s="35" t="str">
        <f>IFERROR(INDEX(RBD_Exp,MATCH("Data Operations &amp; Digitization|A3|A",RBD_KEY,0)),"M")</f>
        <v>L</v>
      </c>
      <c r="P51" s="35" t="str">
        <f>IFERROR(INDEX(RBD_Edu,MATCH("Data Operations &amp; Digitization|A3|A",RBD_KEY,0)),"M")</f>
        <v>L</v>
      </c>
      <c r="Q51" s="73">
        <f>IF(J51="","",IFERROR(INDEX(LMH_PTS,MATCH(J51,LMH_KEY,0))/SUM(IFERROR(INDEX(LMH_PTS,MATCH(J51,LMH_KEY,0)),0),IFERROR(INDEX(LMH_PTS,MATCH(K51,LMH_KEY,0)),0),IFERROR(INDEX(LMH_PTS,MATCH(L51,LMH_KEY,0)),0),IFERROR(INDEX(LMH_PTS,MATCH(M51,LMH_KEY,0)),0),IFERROR(INDEX(LMH_PTS,MATCH(N51,LMH_KEY,0)),0),IFERROR(INDEX(LMH_PTS,MATCH(O51,LMH_KEY,0)),0),IFERROR(INDEX(LMH_PTS,MATCH(P51,LMH_KEY,0)),0)),""))</f>
        <v>0.473684210526316</v>
      </c>
      <c r="R51" s="74">
        <f>IF(K51="","",IFERROR(INDEX(LMH_PTS,MATCH(K51,LMH_KEY,0))/SUM(IFERROR(INDEX(LMH_PTS,MATCH(J51,LMH_KEY,0)),0),IFERROR(INDEX(LMH_PTS,MATCH(K51,LMH_KEY,0)),0),IFERROR(INDEX(LMH_PTS,MATCH(L51,LMH_KEY,0)),0),IFERROR(INDEX(LMH_PTS,MATCH(M51,LMH_KEY,0)),0),IFERROR(INDEX(LMH_PTS,MATCH(N51,LMH_KEY,0)),0),IFERROR(INDEX(LMH_PTS,MATCH(O51,LMH_KEY,0)),0),IFERROR(INDEX(LMH_PTS,MATCH(P51,LMH_KEY,0)),0)),""))</f>
        <v>0.157894736842105</v>
      </c>
      <c r="S51" s="74">
        <f>IF(L51="","",IFERROR(INDEX(LMH_PTS,MATCH(L51,LMH_KEY,0))/SUM(IFERROR(INDEX(LMH_PTS,MATCH(J51,LMH_KEY,0)),0),IFERROR(INDEX(LMH_PTS,MATCH(K51,LMH_KEY,0)),0),IFERROR(INDEX(LMH_PTS,MATCH(L51,LMH_KEY,0)),0),IFERROR(INDEX(LMH_PTS,MATCH(M51,LMH_KEY,0)),0),IFERROR(INDEX(LMH_PTS,MATCH(N51,LMH_KEY,0)),0),IFERROR(INDEX(LMH_PTS,MATCH(O51,LMH_KEY,0)),0),IFERROR(INDEX(LMH_PTS,MATCH(P51,LMH_KEY,0)),0)),""))</f>
        <v>0.157894736842105</v>
      </c>
      <c r="T51" s="74">
        <f>IF(M51="","",IFERROR(INDEX(LMH_PTS,MATCH(M51,LMH_KEY,0))/SUM(IFERROR(INDEX(LMH_PTS,MATCH(J51,LMH_KEY,0)),0),IFERROR(INDEX(LMH_PTS,MATCH(K51,LMH_KEY,0)),0),IFERROR(INDEX(LMH_PTS,MATCH(L51,LMH_KEY,0)),0),IFERROR(INDEX(LMH_PTS,MATCH(M51,LMH_KEY,0)),0),IFERROR(INDEX(LMH_PTS,MATCH(N51,LMH_KEY,0)),0),IFERROR(INDEX(LMH_PTS,MATCH(O51,LMH_KEY,0)),0),IFERROR(INDEX(LMH_PTS,MATCH(P51,LMH_KEY,0)),0)),""))</f>
        <v>0.0526315789473684</v>
      </c>
      <c r="U51" s="74">
        <f>IF(N51="","",IFERROR(INDEX(LMH_PTS,MATCH(N51,LMH_KEY,0))/SUM(IFERROR(INDEX(LMH_PTS,MATCH(J51,LMH_KEY,0)),0),IFERROR(INDEX(LMH_PTS,MATCH(K51,LMH_KEY,0)),0),IFERROR(INDEX(LMH_PTS,MATCH(L51,LMH_KEY,0)),0),IFERROR(INDEX(LMH_PTS,MATCH(M51,LMH_KEY,0)),0),IFERROR(INDEX(LMH_PTS,MATCH(N51,LMH_KEY,0)),0),IFERROR(INDEX(LMH_PTS,MATCH(O51,LMH_KEY,0)),0),IFERROR(INDEX(LMH_PTS,MATCH(P51,LMH_KEY,0)),0)),""))</f>
        <v>0.0526315789473684</v>
      </c>
      <c r="V51" s="74">
        <f>IF(O51="","",IFERROR(INDEX(LMH_PTS,MATCH(O51,LMH_KEY,0))/SUM(IFERROR(INDEX(LMH_PTS,MATCH(J51,LMH_KEY,0)),0),IFERROR(INDEX(LMH_PTS,MATCH(K51,LMH_KEY,0)),0),IFERROR(INDEX(LMH_PTS,MATCH(L51,LMH_KEY,0)),0),IFERROR(INDEX(LMH_PTS,MATCH(M51,LMH_KEY,0)),0),IFERROR(INDEX(LMH_PTS,MATCH(N51,LMH_KEY,0)),0),IFERROR(INDEX(LMH_PTS,MATCH(O51,LMH_KEY,0)),0),IFERROR(INDEX(LMH_PTS,MATCH(P51,LMH_KEY,0)),0)),""))</f>
        <v>0.0526315789473684</v>
      </c>
      <c r="W51" s="74">
        <f>IF(P51="","",IFERROR(INDEX(LMH_PTS,MATCH(P51,LMH_KEY,0))/SUM(IFERROR(INDEX(LMH_PTS,MATCH(J51,LMH_KEY,0)),0),IFERROR(INDEX(LMH_PTS,MATCH(K51,LMH_KEY,0)),0),IFERROR(INDEX(LMH_PTS,MATCH(L51,LMH_KEY,0)),0),IFERROR(INDEX(LMH_PTS,MATCH(M51,LMH_KEY,0)),0),IFERROR(INDEX(LMH_PTS,MATCH(N51,LMH_KEY,0)),0),IFERROR(INDEX(LMH_PTS,MATCH(O51,LMH_KEY,0)),0),IFERROR(INDEX(LMH_PTS,MATCH(P51,LMH_KEY,0)),0)),""))</f>
        <v>0.0526315789473684</v>
      </c>
      <c r="X51" s="44" t="n"/>
      <c r="Y51" s="38" t="inlineStr">
        <is>
          <t>CARBON|Digitizing|Digitization Specialist – POD Lead|A3|A</t>
        </is>
      </c>
    </row>
    <row r="52" ht="78" customHeight="1">
      <c r="A52" s="28" t="inlineStr">
        <is>
          <t>CARBON</t>
        </is>
      </c>
      <c r="B52" s="29" t="inlineStr">
        <is>
          <t>Digitizing</t>
        </is>
      </c>
      <c r="C52" s="75" t="inlineStr">
        <is>
          <t>A3</t>
        </is>
      </c>
      <c r="D52" s="29" t="inlineStr">
        <is>
          <t>Band A · Practitioner</t>
        </is>
      </c>
      <c r="E52" s="29" t="inlineStr">
        <is>
          <t>Senior Digitization Associate</t>
        </is>
      </c>
      <c r="F52" s="29" t="inlineStr">
        <is>
          <t>Band A · all tracks</t>
        </is>
      </c>
      <c r="G52" s="29" t="inlineStr">
        <is>
          <t>Data Operations &amp; Digitization</t>
        </is>
      </c>
      <c r="H52" s="29" t="n">
        <v>10</v>
      </c>
      <c r="I52" s="29" t="inlineStr">
        <is>
          <t>Bhavesh Gusain, Deepak Nirmal, Gaurav Yashwant Chaulkar, Samiksha Ramdas Bhabal, Aishwarya Chaulkar, Shravan Ghadi, Siddhesh Manjrekar, Farina Pathan, Vanita Gaikwad, Saurav Nirmal</t>
        </is>
      </c>
      <c r="J52" s="34" t="str">
        <f>IFERROR(INDEX(RBD_C,MATCH("Data Operations &amp; Digitization|A3|A",RBD_KEY,0)),"M")</f>
        <v>H</v>
      </c>
      <c r="K52" s="35" t="str">
        <f>IFERROR(INDEX(RBD_Au,MATCH("Data Operations &amp; Digitization|A3|A",RBD_KEY,0)),"M")</f>
        <v>M</v>
      </c>
      <c r="L52" s="35" t="str">
        <f>IFERROR(INDEX(RBD_Ac,MATCH("Data Operations &amp; Digitization|A3|A",RBD_KEY,0)),"M")</f>
        <v>M</v>
      </c>
      <c r="M52" s="35" t="str">
        <f>IFERROR(INDEX(RBD_L,MATCH("Data Operations &amp; Digitization|A3|A",RBD_KEY,0)),"M")</f>
        <v>L</v>
      </c>
      <c r="N52" s="35" t="str">
        <f>IFERROR(INDEX(RBD_BI,MATCH("Data Operations &amp; Digitization|A3|A",RBD_KEY,0)),"M")</f>
        <v>L</v>
      </c>
      <c r="O52" s="35" t="str">
        <f>IFERROR(INDEX(RBD_Exp,MATCH("Data Operations &amp; Digitization|A3|A",RBD_KEY,0)),"M")</f>
        <v>L</v>
      </c>
      <c r="P52" s="35" t="str">
        <f>IFERROR(INDEX(RBD_Edu,MATCH("Data Operations &amp; Digitization|A3|A",RBD_KEY,0)),"M")</f>
        <v>L</v>
      </c>
      <c r="Q52" s="73">
        <f>IF(J52="","",IFERROR(INDEX(LMH_PTS,MATCH(J52,LMH_KEY,0))/SUM(IFERROR(INDEX(LMH_PTS,MATCH(J52,LMH_KEY,0)),0),IFERROR(INDEX(LMH_PTS,MATCH(K52,LMH_KEY,0)),0),IFERROR(INDEX(LMH_PTS,MATCH(L52,LMH_KEY,0)),0),IFERROR(INDEX(LMH_PTS,MATCH(M52,LMH_KEY,0)),0),IFERROR(INDEX(LMH_PTS,MATCH(N52,LMH_KEY,0)),0),IFERROR(INDEX(LMH_PTS,MATCH(O52,LMH_KEY,0)),0),IFERROR(INDEX(LMH_PTS,MATCH(P52,LMH_KEY,0)),0)),""))</f>
        <v>0.473684210526316</v>
      </c>
      <c r="R52" s="74">
        <f>IF(K52="","",IFERROR(INDEX(LMH_PTS,MATCH(K52,LMH_KEY,0))/SUM(IFERROR(INDEX(LMH_PTS,MATCH(J52,LMH_KEY,0)),0),IFERROR(INDEX(LMH_PTS,MATCH(K52,LMH_KEY,0)),0),IFERROR(INDEX(LMH_PTS,MATCH(L52,LMH_KEY,0)),0),IFERROR(INDEX(LMH_PTS,MATCH(M52,LMH_KEY,0)),0),IFERROR(INDEX(LMH_PTS,MATCH(N52,LMH_KEY,0)),0),IFERROR(INDEX(LMH_PTS,MATCH(O52,LMH_KEY,0)),0),IFERROR(INDEX(LMH_PTS,MATCH(P52,LMH_KEY,0)),0)),""))</f>
        <v>0.157894736842105</v>
      </c>
      <c r="S52" s="74">
        <f>IF(L52="","",IFERROR(INDEX(LMH_PTS,MATCH(L52,LMH_KEY,0))/SUM(IFERROR(INDEX(LMH_PTS,MATCH(J52,LMH_KEY,0)),0),IFERROR(INDEX(LMH_PTS,MATCH(K52,LMH_KEY,0)),0),IFERROR(INDEX(LMH_PTS,MATCH(L52,LMH_KEY,0)),0),IFERROR(INDEX(LMH_PTS,MATCH(M52,LMH_KEY,0)),0),IFERROR(INDEX(LMH_PTS,MATCH(N52,LMH_KEY,0)),0),IFERROR(INDEX(LMH_PTS,MATCH(O52,LMH_KEY,0)),0),IFERROR(INDEX(LMH_PTS,MATCH(P52,LMH_KEY,0)),0)),""))</f>
        <v>0.157894736842105</v>
      </c>
      <c r="T52" s="74">
        <f>IF(M52="","",IFERROR(INDEX(LMH_PTS,MATCH(M52,LMH_KEY,0))/SUM(IFERROR(INDEX(LMH_PTS,MATCH(J52,LMH_KEY,0)),0),IFERROR(INDEX(LMH_PTS,MATCH(K52,LMH_KEY,0)),0),IFERROR(INDEX(LMH_PTS,MATCH(L52,LMH_KEY,0)),0),IFERROR(INDEX(LMH_PTS,MATCH(M52,LMH_KEY,0)),0),IFERROR(INDEX(LMH_PTS,MATCH(N52,LMH_KEY,0)),0),IFERROR(INDEX(LMH_PTS,MATCH(O52,LMH_KEY,0)),0),IFERROR(INDEX(LMH_PTS,MATCH(P52,LMH_KEY,0)),0)),""))</f>
        <v>0.0526315789473684</v>
      </c>
      <c r="U52" s="74">
        <f>IF(N52="","",IFERROR(INDEX(LMH_PTS,MATCH(N52,LMH_KEY,0))/SUM(IFERROR(INDEX(LMH_PTS,MATCH(J52,LMH_KEY,0)),0),IFERROR(INDEX(LMH_PTS,MATCH(K52,LMH_KEY,0)),0),IFERROR(INDEX(LMH_PTS,MATCH(L52,LMH_KEY,0)),0),IFERROR(INDEX(LMH_PTS,MATCH(M52,LMH_KEY,0)),0),IFERROR(INDEX(LMH_PTS,MATCH(N52,LMH_KEY,0)),0),IFERROR(INDEX(LMH_PTS,MATCH(O52,LMH_KEY,0)),0),IFERROR(INDEX(LMH_PTS,MATCH(P52,LMH_KEY,0)),0)),""))</f>
        <v>0.0526315789473684</v>
      </c>
      <c r="V52" s="74">
        <f>IF(O52="","",IFERROR(INDEX(LMH_PTS,MATCH(O52,LMH_KEY,0))/SUM(IFERROR(INDEX(LMH_PTS,MATCH(J52,LMH_KEY,0)),0),IFERROR(INDEX(LMH_PTS,MATCH(K52,LMH_KEY,0)),0),IFERROR(INDEX(LMH_PTS,MATCH(L52,LMH_KEY,0)),0),IFERROR(INDEX(LMH_PTS,MATCH(M52,LMH_KEY,0)),0),IFERROR(INDEX(LMH_PTS,MATCH(N52,LMH_KEY,0)),0),IFERROR(INDEX(LMH_PTS,MATCH(O52,LMH_KEY,0)),0),IFERROR(INDEX(LMH_PTS,MATCH(P52,LMH_KEY,0)),0)),""))</f>
        <v>0.0526315789473684</v>
      </c>
      <c r="W52" s="74">
        <f>IF(P52="","",IFERROR(INDEX(LMH_PTS,MATCH(P52,LMH_KEY,0))/SUM(IFERROR(INDEX(LMH_PTS,MATCH(J52,LMH_KEY,0)),0),IFERROR(INDEX(LMH_PTS,MATCH(K52,LMH_KEY,0)),0),IFERROR(INDEX(LMH_PTS,MATCH(L52,LMH_KEY,0)),0),IFERROR(INDEX(LMH_PTS,MATCH(M52,LMH_KEY,0)),0),IFERROR(INDEX(LMH_PTS,MATCH(N52,LMH_KEY,0)),0),IFERROR(INDEX(LMH_PTS,MATCH(O52,LMH_KEY,0)),0),IFERROR(INDEX(LMH_PTS,MATCH(P52,LMH_KEY,0)),0)),""))</f>
        <v>0.0526315789473684</v>
      </c>
      <c r="X52" s="44" t="n"/>
      <c r="Y52" s="38" t="inlineStr">
        <is>
          <t>CARBON|Digitizing|Senior Digitization Associate|A3|A</t>
        </is>
      </c>
    </row>
    <row r="53" ht="28" customHeight="1">
      <c r="A53" s="28" t="inlineStr">
        <is>
          <t>CARBON</t>
        </is>
      </c>
      <c r="B53" s="29" t="inlineStr">
        <is>
          <t>Digitizing</t>
        </is>
      </c>
      <c r="C53" s="75" t="inlineStr">
        <is>
          <t>A2</t>
        </is>
      </c>
      <c r="D53" s="29" t="inlineStr">
        <is>
          <t>Band A · Practitioner</t>
        </is>
      </c>
      <c r="E53" s="29" t="inlineStr">
        <is>
          <t>Digitization Associate</t>
        </is>
      </c>
      <c r="F53" s="29" t="inlineStr">
        <is>
          <t>Band A · all tracks</t>
        </is>
      </c>
      <c r="G53" s="29" t="inlineStr">
        <is>
          <t>Data Operations &amp; Digitization</t>
        </is>
      </c>
      <c r="H53" s="29" t="n">
        <v>3</v>
      </c>
      <c r="I53" s="29" t="inlineStr">
        <is>
          <t>Satyajeet Patil, Aditya Kumar Diwakar, Kajal Srivastava</t>
        </is>
      </c>
      <c r="J53" s="34" t="str">
        <f>IFERROR(INDEX(RBD_C,MATCH("Data Operations &amp; Digitization|A2|A",RBD_KEY,0)),"M")</f>
        <v>H</v>
      </c>
      <c r="K53" s="35" t="str">
        <f>IFERROR(INDEX(RBD_Au,MATCH("Data Operations &amp; Digitization|A2|A",RBD_KEY,0)),"M")</f>
        <v>M</v>
      </c>
      <c r="L53" s="35" t="str">
        <f>IFERROR(INDEX(RBD_Ac,MATCH("Data Operations &amp; Digitization|A2|A",RBD_KEY,0)),"M")</f>
        <v>M</v>
      </c>
      <c r="M53" s="35" t="str">
        <f>IFERROR(INDEX(RBD_L,MATCH("Data Operations &amp; Digitization|A2|A",RBD_KEY,0)),"M")</f>
        <v>L</v>
      </c>
      <c r="N53" s="35" t="str">
        <f>IFERROR(INDEX(RBD_BI,MATCH("Data Operations &amp; Digitization|A2|A",RBD_KEY,0)),"M")</f>
        <v>L</v>
      </c>
      <c r="O53" s="35" t="str">
        <f>IFERROR(INDEX(RBD_Exp,MATCH("Data Operations &amp; Digitization|A2|A",RBD_KEY,0)),"M")</f>
        <v>L</v>
      </c>
      <c r="P53" s="35" t="str">
        <f>IFERROR(INDEX(RBD_Edu,MATCH("Data Operations &amp; Digitization|A2|A",RBD_KEY,0)),"M")</f>
        <v>L</v>
      </c>
      <c r="Q53" s="73">
        <f>IF(J53="","",IFERROR(INDEX(LMH_PTS,MATCH(J53,LMH_KEY,0))/SUM(IFERROR(INDEX(LMH_PTS,MATCH(J53,LMH_KEY,0)),0),IFERROR(INDEX(LMH_PTS,MATCH(K53,LMH_KEY,0)),0),IFERROR(INDEX(LMH_PTS,MATCH(L53,LMH_KEY,0)),0),IFERROR(INDEX(LMH_PTS,MATCH(M53,LMH_KEY,0)),0),IFERROR(INDEX(LMH_PTS,MATCH(N53,LMH_KEY,0)),0),IFERROR(INDEX(LMH_PTS,MATCH(O53,LMH_KEY,0)),0),IFERROR(INDEX(LMH_PTS,MATCH(P53,LMH_KEY,0)),0)),""))</f>
        <v>0.473684210526316</v>
      </c>
      <c r="R53" s="74">
        <f>IF(K53="","",IFERROR(INDEX(LMH_PTS,MATCH(K53,LMH_KEY,0))/SUM(IFERROR(INDEX(LMH_PTS,MATCH(J53,LMH_KEY,0)),0),IFERROR(INDEX(LMH_PTS,MATCH(K53,LMH_KEY,0)),0),IFERROR(INDEX(LMH_PTS,MATCH(L53,LMH_KEY,0)),0),IFERROR(INDEX(LMH_PTS,MATCH(M53,LMH_KEY,0)),0),IFERROR(INDEX(LMH_PTS,MATCH(N53,LMH_KEY,0)),0),IFERROR(INDEX(LMH_PTS,MATCH(O53,LMH_KEY,0)),0),IFERROR(INDEX(LMH_PTS,MATCH(P53,LMH_KEY,0)),0)),""))</f>
        <v>0.157894736842105</v>
      </c>
      <c r="S53" s="74">
        <f>IF(L53="","",IFERROR(INDEX(LMH_PTS,MATCH(L53,LMH_KEY,0))/SUM(IFERROR(INDEX(LMH_PTS,MATCH(J53,LMH_KEY,0)),0),IFERROR(INDEX(LMH_PTS,MATCH(K53,LMH_KEY,0)),0),IFERROR(INDEX(LMH_PTS,MATCH(L53,LMH_KEY,0)),0),IFERROR(INDEX(LMH_PTS,MATCH(M53,LMH_KEY,0)),0),IFERROR(INDEX(LMH_PTS,MATCH(N53,LMH_KEY,0)),0),IFERROR(INDEX(LMH_PTS,MATCH(O53,LMH_KEY,0)),0),IFERROR(INDEX(LMH_PTS,MATCH(P53,LMH_KEY,0)),0)),""))</f>
        <v>0.157894736842105</v>
      </c>
      <c r="T53" s="74">
        <f>IF(M53="","",IFERROR(INDEX(LMH_PTS,MATCH(M53,LMH_KEY,0))/SUM(IFERROR(INDEX(LMH_PTS,MATCH(J53,LMH_KEY,0)),0),IFERROR(INDEX(LMH_PTS,MATCH(K53,LMH_KEY,0)),0),IFERROR(INDEX(LMH_PTS,MATCH(L53,LMH_KEY,0)),0),IFERROR(INDEX(LMH_PTS,MATCH(M53,LMH_KEY,0)),0),IFERROR(INDEX(LMH_PTS,MATCH(N53,LMH_KEY,0)),0),IFERROR(INDEX(LMH_PTS,MATCH(O53,LMH_KEY,0)),0),IFERROR(INDEX(LMH_PTS,MATCH(P53,LMH_KEY,0)),0)),""))</f>
        <v>0.0526315789473684</v>
      </c>
      <c r="U53" s="74">
        <f>IF(N53="","",IFERROR(INDEX(LMH_PTS,MATCH(N53,LMH_KEY,0))/SUM(IFERROR(INDEX(LMH_PTS,MATCH(J53,LMH_KEY,0)),0),IFERROR(INDEX(LMH_PTS,MATCH(K53,LMH_KEY,0)),0),IFERROR(INDEX(LMH_PTS,MATCH(L53,LMH_KEY,0)),0),IFERROR(INDEX(LMH_PTS,MATCH(M53,LMH_KEY,0)),0),IFERROR(INDEX(LMH_PTS,MATCH(N53,LMH_KEY,0)),0),IFERROR(INDEX(LMH_PTS,MATCH(O53,LMH_KEY,0)),0),IFERROR(INDEX(LMH_PTS,MATCH(P53,LMH_KEY,0)),0)),""))</f>
        <v>0.0526315789473684</v>
      </c>
      <c r="V53" s="74">
        <f>IF(O53="","",IFERROR(INDEX(LMH_PTS,MATCH(O53,LMH_KEY,0))/SUM(IFERROR(INDEX(LMH_PTS,MATCH(J53,LMH_KEY,0)),0),IFERROR(INDEX(LMH_PTS,MATCH(K53,LMH_KEY,0)),0),IFERROR(INDEX(LMH_PTS,MATCH(L53,LMH_KEY,0)),0),IFERROR(INDEX(LMH_PTS,MATCH(M53,LMH_KEY,0)),0),IFERROR(INDEX(LMH_PTS,MATCH(N53,LMH_KEY,0)),0),IFERROR(INDEX(LMH_PTS,MATCH(O53,LMH_KEY,0)),0),IFERROR(INDEX(LMH_PTS,MATCH(P53,LMH_KEY,0)),0)),""))</f>
        <v>0.0526315789473684</v>
      </c>
      <c r="W53" s="74">
        <f>IF(P53="","",IFERROR(INDEX(LMH_PTS,MATCH(P53,LMH_KEY,0))/SUM(IFERROR(INDEX(LMH_PTS,MATCH(J53,LMH_KEY,0)),0),IFERROR(INDEX(LMH_PTS,MATCH(K53,LMH_KEY,0)),0),IFERROR(INDEX(LMH_PTS,MATCH(L53,LMH_KEY,0)),0),IFERROR(INDEX(LMH_PTS,MATCH(M53,LMH_KEY,0)),0),IFERROR(INDEX(LMH_PTS,MATCH(N53,LMH_KEY,0)),0),IFERROR(INDEX(LMH_PTS,MATCH(O53,LMH_KEY,0)),0),IFERROR(INDEX(LMH_PTS,MATCH(P53,LMH_KEY,0)),0)),""))</f>
        <v>0.0526315789473684</v>
      </c>
      <c r="X53" s="44" t="n"/>
      <c r="Y53" s="38" t="inlineStr">
        <is>
          <t>CARBON|Digitizing|Digitization Associate|A2|A</t>
        </is>
      </c>
    </row>
    <row r="54" ht="28" customHeight="1">
      <c r="A54" s="28" t="inlineStr">
        <is>
          <t>CARBON</t>
        </is>
      </c>
      <c r="B54" s="29" t="inlineStr">
        <is>
          <t>Digitizing</t>
        </is>
      </c>
      <c r="C54" s="75" t="inlineStr">
        <is>
          <t>A2</t>
        </is>
      </c>
      <c r="D54" s="29" t="inlineStr">
        <is>
          <t>Band A · Practitioner</t>
        </is>
      </c>
      <c r="E54" s="29" t="inlineStr">
        <is>
          <t>Senior Digitization Associate</t>
        </is>
      </c>
      <c r="F54" s="29" t="inlineStr">
        <is>
          <t>Band A · all tracks</t>
        </is>
      </c>
      <c r="G54" s="29" t="inlineStr">
        <is>
          <t>Data Operations &amp; Digitization</t>
        </is>
      </c>
      <c r="H54" s="29" t="n">
        <v>4</v>
      </c>
      <c r="I54" s="29" t="inlineStr">
        <is>
          <t>Dhanraj Patil, Snehal Kardekar, Justeen Koola, Tabassum Ali</t>
        </is>
      </c>
      <c r="J54" s="34" t="str">
        <f>IFERROR(INDEX(RBD_C,MATCH("Data Operations &amp; Digitization|A2|A",RBD_KEY,0)),"M")</f>
        <v>H</v>
      </c>
      <c r="K54" s="35" t="str">
        <f>IFERROR(INDEX(RBD_Au,MATCH("Data Operations &amp; Digitization|A2|A",RBD_KEY,0)),"M")</f>
        <v>M</v>
      </c>
      <c r="L54" s="35" t="str">
        <f>IFERROR(INDEX(RBD_Ac,MATCH("Data Operations &amp; Digitization|A2|A",RBD_KEY,0)),"M")</f>
        <v>M</v>
      </c>
      <c r="M54" s="35" t="str">
        <f>IFERROR(INDEX(RBD_L,MATCH("Data Operations &amp; Digitization|A2|A",RBD_KEY,0)),"M")</f>
        <v>L</v>
      </c>
      <c r="N54" s="35" t="str">
        <f>IFERROR(INDEX(RBD_BI,MATCH("Data Operations &amp; Digitization|A2|A",RBD_KEY,0)),"M")</f>
        <v>L</v>
      </c>
      <c r="O54" s="35" t="str">
        <f>IFERROR(INDEX(RBD_Exp,MATCH("Data Operations &amp; Digitization|A2|A",RBD_KEY,0)),"M")</f>
        <v>L</v>
      </c>
      <c r="P54" s="35" t="str">
        <f>IFERROR(INDEX(RBD_Edu,MATCH("Data Operations &amp; Digitization|A2|A",RBD_KEY,0)),"M")</f>
        <v>L</v>
      </c>
      <c r="Q54" s="73">
        <f>IF(J54="","",IFERROR(INDEX(LMH_PTS,MATCH(J54,LMH_KEY,0))/SUM(IFERROR(INDEX(LMH_PTS,MATCH(J54,LMH_KEY,0)),0),IFERROR(INDEX(LMH_PTS,MATCH(K54,LMH_KEY,0)),0),IFERROR(INDEX(LMH_PTS,MATCH(L54,LMH_KEY,0)),0),IFERROR(INDEX(LMH_PTS,MATCH(M54,LMH_KEY,0)),0),IFERROR(INDEX(LMH_PTS,MATCH(N54,LMH_KEY,0)),0),IFERROR(INDEX(LMH_PTS,MATCH(O54,LMH_KEY,0)),0),IFERROR(INDEX(LMH_PTS,MATCH(P54,LMH_KEY,0)),0)),""))</f>
        <v>0.473684210526316</v>
      </c>
      <c r="R54" s="74">
        <f>IF(K54="","",IFERROR(INDEX(LMH_PTS,MATCH(K54,LMH_KEY,0))/SUM(IFERROR(INDEX(LMH_PTS,MATCH(J54,LMH_KEY,0)),0),IFERROR(INDEX(LMH_PTS,MATCH(K54,LMH_KEY,0)),0),IFERROR(INDEX(LMH_PTS,MATCH(L54,LMH_KEY,0)),0),IFERROR(INDEX(LMH_PTS,MATCH(M54,LMH_KEY,0)),0),IFERROR(INDEX(LMH_PTS,MATCH(N54,LMH_KEY,0)),0),IFERROR(INDEX(LMH_PTS,MATCH(O54,LMH_KEY,0)),0),IFERROR(INDEX(LMH_PTS,MATCH(P54,LMH_KEY,0)),0)),""))</f>
        <v>0.157894736842105</v>
      </c>
      <c r="S54" s="74">
        <f>IF(L54="","",IFERROR(INDEX(LMH_PTS,MATCH(L54,LMH_KEY,0))/SUM(IFERROR(INDEX(LMH_PTS,MATCH(J54,LMH_KEY,0)),0),IFERROR(INDEX(LMH_PTS,MATCH(K54,LMH_KEY,0)),0),IFERROR(INDEX(LMH_PTS,MATCH(L54,LMH_KEY,0)),0),IFERROR(INDEX(LMH_PTS,MATCH(M54,LMH_KEY,0)),0),IFERROR(INDEX(LMH_PTS,MATCH(N54,LMH_KEY,0)),0),IFERROR(INDEX(LMH_PTS,MATCH(O54,LMH_KEY,0)),0),IFERROR(INDEX(LMH_PTS,MATCH(P54,LMH_KEY,0)),0)),""))</f>
        <v>0.157894736842105</v>
      </c>
      <c r="T54" s="74">
        <f>IF(M54="","",IFERROR(INDEX(LMH_PTS,MATCH(M54,LMH_KEY,0))/SUM(IFERROR(INDEX(LMH_PTS,MATCH(J54,LMH_KEY,0)),0),IFERROR(INDEX(LMH_PTS,MATCH(K54,LMH_KEY,0)),0),IFERROR(INDEX(LMH_PTS,MATCH(L54,LMH_KEY,0)),0),IFERROR(INDEX(LMH_PTS,MATCH(M54,LMH_KEY,0)),0),IFERROR(INDEX(LMH_PTS,MATCH(N54,LMH_KEY,0)),0),IFERROR(INDEX(LMH_PTS,MATCH(O54,LMH_KEY,0)),0),IFERROR(INDEX(LMH_PTS,MATCH(P54,LMH_KEY,0)),0)),""))</f>
        <v>0.0526315789473684</v>
      </c>
      <c r="U54" s="74">
        <f>IF(N54="","",IFERROR(INDEX(LMH_PTS,MATCH(N54,LMH_KEY,0))/SUM(IFERROR(INDEX(LMH_PTS,MATCH(J54,LMH_KEY,0)),0),IFERROR(INDEX(LMH_PTS,MATCH(K54,LMH_KEY,0)),0),IFERROR(INDEX(LMH_PTS,MATCH(L54,LMH_KEY,0)),0),IFERROR(INDEX(LMH_PTS,MATCH(M54,LMH_KEY,0)),0),IFERROR(INDEX(LMH_PTS,MATCH(N54,LMH_KEY,0)),0),IFERROR(INDEX(LMH_PTS,MATCH(O54,LMH_KEY,0)),0),IFERROR(INDEX(LMH_PTS,MATCH(P54,LMH_KEY,0)),0)),""))</f>
        <v>0.0526315789473684</v>
      </c>
      <c r="V54" s="74">
        <f>IF(O54="","",IFERROR(INDEX(LMH_PTS,MATCH(O54,LMH_KEY,0))/SUM(IFERROR(INDEX(LMH_PTS,MATCH(J54,LMH_KEY,0)),0),IFERROR(INDEX(LMH_PTS,MATCH(K54,LMH_KEY,0)),0),IFERROR(INDEX(LMH_PTS,MATCH(L54,LMH_KEY,0)),0),IFERROR(INDEX(LMH_PTS,MATCH(M54,LMH_KEY,0)),0),IFERROR(INDEX(LMH_PTS,MATCH(N54,LMH_KEY,0)),0),IFERROR(INDEX(LMH_PTS,MATCH(O54,LMH_KEY,0)),0),IFERROR(INDEX(LMH_PTS,MATCH(P54,LMH_KEY,0)),0)),""))</f>
        <v>0.0526315789473684</v>
      </c>
      <c r="W54" s="74">
        <f>IF(P54="","",IFERROR(INDEX(LMH_PTS,MATCH(P54,LMH_KEY,0))/SUM(IFERROR(INDEX(LMH_PTS,MATCH(J54,LMH_KEY,0)),0),IFERROR(INDEX(LMH_PTS,MATCH(K54,LMH_KEY,0)),0),IFERROR(INDEX(LMH_PTS,MATCH(L54,LMH_KEY,0)),0),IFERROR(INDEX(LMH_PTS,MATCH(M54,LMH_KEY,0)),0),IFERROR(INDEX(LMH_PTS,MATCH(N54,LMH_KEY,0)),0),IFERROR(INDEX(LMH_PTS,MATCH(O54,LMH_KEY,0)),0),IFERROR(INDEX(LMH_PTS,MATCH(P54,LMH_KEY,0)),0)),""))</f>
        <v>0.0526315789473684</v>
      </c>
      <c r="X54" s="44" t="n"/>
      <c r="Y54" s="38" t="inlineStr">
        <is>
          <t>CARBON|Digitizing|Senior Digitization Associate|A2|A</t>
        </is>
      </c>
    </row>
    <row r="55" ht="18" customHeight="1">
      <c r="A55" s="28" t="inlineStr">
        <is>
          <t>CARBON</t>
        </is>
      </c>
      <c r="B55" s="71" t="inlineStr">
        <is>
          <t>Functional</t>
        </is>
      </c>
      <c r="C55" s="72" t="inlineStr">
        <is>
          <t>B2</t>
        </is>
      </c>
      <c r="D55" s="29" t="inlineStr">
        <is>
          <t>Band B · Specialist / Manager</t>
        </is>
      </c>
      <c r="E55" s="29" t="inlineStr">
        <is>
          <t>Product Manager</t>
        </is>
      </c>
      <c r="F55" s="29" t="inlineStr">
        <is>
          <t>Band B · People Manager</t>
        </is>
      </c>
      <c r="G55" s="29" t="inlineStr">
        <is>
          <t>Product Management</t>
        </is>
      </c>
      <c r="H55" s="29" t="n">
        <v>1</v>
      </c>
      <c r="I55" s="29" t="inlineStr">
        <is>
          <t>Farzad Wadia</t>
        </is>
      </c>
      <c r="J55" s="34" t="str">
        <f>IFERROR(INDEX(RBD_C,MATCH("Product Management|B2|B-M",RBD_KEY,0)),"M")</f>
        <v>H</v>
      </c>
      <c r="K55" s="35" t="str">
        <f>IFERROR(INDEX(RBD_Au,MATCH("Product Management|B2|B-M",RBD_KEY,0)),"M")</f>
        <v>M</v>
      </c>
      <c r="L55" s="35" t="str">
        <f>IFERROR(INDEX(RBD_Ac,MATCH("Product Management|B2|B-M",RBD_KEY,0)),"M")</f>
        <v>M</v>
      </c>
      <c r="M55" s="35" t="str">
        <f>IFERROR(INDEX(RBD_L,MATCH("Product Management|B2|B-M",RBD_KEY,0)),"M")</f>
        <v>M</v>
      </c>
      <c r="N55" s="35" t="str">
        <f>IFERROR(INDEX(RBD_BI,MATCH("Product Management|B2|B-M",RBD_KEY,0)),"M")</f>
        <v>L</v>
      </c>
      <c r="O55" s="35" t="str">
        <f>IFERROR(INDEX(RBD_Exp,MATCH("Product Management|B2|B-M",RBD_KEY,0)),"M")</f>
        <v>L</v>
      </c>
      <c r="P55" s="35" t="str">
        <f>IFERROR(INDEX(RBD_Edu,MATCH("Product Management|B2|B-M",RBD_KEY,0)),"M")</f>
        <v>L</v>
      </c>
      <c r="Q55" s="73">
        <f>IF(J55="","",IFERROR(INDEX(LMH_PTS,MATCH(J55,LMH_KEY,0))/SUM(IFERROR(INDEX(LMH_PTS,MATCH(J55,LMH_KEY,0)),0),IFERROR(INDEX(LMH_PTS,MATCH(K55,LMH_KEY,0)),0),IFERROR(INDEX(LMH_PTS,MATCH(L55,LMH_KEY,0)),0),IFERROR(INDEX(LMH_PTS,MATCH(M55,LMH_KEY,0)),0),IFERROR(INDEX(LMH_PTS,MATCH(N55,LMH_KEY,0)),0),IFERROR(INDEX(LMH_PTS,MATCH(O55,LMH_KEY,0)),0),IFERROR(INDEX(LMH_PTS,MATCH(P55,LMH_KEY,0)),0)),""))</f>
        <v>0.428571428571429</v>
      </c>
      <c r="R55" s="74">
        <f>IF(K55="","",IFERROR(INDEX(LMH_PTS,MATCH(K55,LMH_KEY,0))/SUM(IFERROR(INDEX(LMH_PTS,MATCH(J55,LMH_KEY,0)),0),IFERROR(INDEX(LMH_PTS,MATCH(K55,LMH_KEY,0)),0),IFERROR(INDEX(LMH_PTS,MATCH(L55,LMH_KEY,0)),0),IFERROR(INDEX(LMH_PTS,MATCH(M55,LMH_KEY,0)),0),IFERROR(INDEX(LMH_PTS,MATCH(N55,LMH_KEY,0)),0),IFERROR(INDEX(LMH_PTS,MATCH(O55,LMH_KEY,0)),0),IFERROR(INDEX(LMH_PTS,MATCH(P55,LMH_KEY,0)),0)),""))</f>
        <v>0.142857142857143</v>
      </c>
      <c r="S55" s="74">
        <f>IF(L55="","",IFERROR(INDEX(LMH_PTS,MATCH(L55,LMH_KEY,0))/SUM(IFERROR(INDEX(LMH_PTS,MATCH(J55,LMH_KEY,0)),0),IFERROR(INDEX(LMH_PTS,MATCH(K55,LMH_KEY,0)),0),IFERROR(INDEX(LMH_PTS,MATCH(L55,LMH_KEY,0)),0),IFERROR(INDEX(LMH_PTS,MATCH(M55,LMH_KEY,0)),0),IFERROR(INDEX(LMH_PTS,MATCH(N55,LMH_KEY,0)),0),IFERROR(INDEX(LMH_PTS,MATCH(O55,LMH_KEY,0)),0),IFERROR(INDEX(LMH_PTS,MATCH(P55,LMH_KEY,0)),0)),""))</f>
        <v>0.142857142857143</v>
      </c>
      <c r="T55" s="74">
        <f>IF(M55="","",IFERROR(INDEX(LMH_PTS,MATCH(M55,LMH_KEY,0))/SUM(IFERROR(INDEX(LMH_PTS,MATCH(J55,LMH_KEY,0)),0),IFERROR(INDEX(LMH_PTS,MATCH(K55,LMH_KEY,0)),0),IFERROR(INDEX(LMH_PTS,MATCH(L55,LMH_KEY,0)),0),IFERROR(INDEX(LMH_PTS,MATCH(M55,LMH_KEY,0)),0),IFERROR(INDEX(LMH_PTS,MATCH(N55,LMH_KEY,0)),0),IFERROR(INDEX(LMH_PTS,MATCH(O55,LMH_KEY,0)),0),IFERROR(INDEX(LMH_PTS,MATCH(P55,LMH_KEY,0)),0)),""))</f>
        <v>0.142857142857143</v>
      </c>
      <c r="U55" s="74">
        <f>IF(N55="","",IFERROR(INDEX(LMH_PTS,MATCH(N55,LMH_KEY,0))/SUM(IFERROR(INDEX(LMH_PTS,MATCH(J55,LMH_KEY,0)),0),IFERROR(INDEX(LMH_PTS,MATCH(K55,LMH_KEY,0)),0),IFERROR(INDEX(LMH_PTS,MATCH(L55,LMH_KEY,0)),0),IFERROR(INDEX(LMH_PTS,MATCH(M55,LMH_KEY,0)),0),IFERROR(INDEX(LMH_PTS,MATCH(N55,LMH_KEY,0)),0),IFERROR(INDEX(LMH_PTS,MATCH(O55,LMH_KEY,0)),0),IFERROR(INDEX(LMH_PTS,MATCH(P55,LMH_KEY,0)),0)),""))</f>
        <v>0.0476190476190476</v>
      </c>
      <c r="V55" s="74">
        <f>IF(O55="","",IFERROR(INDEX(LMH_PTS,MATCH(O55,LMH_KEY,0))/SUM(IFERROR(INDEX(LMH_PTS,MATCH(J55,LMH_KEY,0)),0),IFERROR(INDEX(LMH_PTS,MATCH(K55,LMH_KEY,0)),0),IFERROR(INDEX(LMH_PTS,MATCH(L55,LMH_KEY,0)),0),IFERROR(INDEX(LMH_PTS,MATCH(M55,LMH_KEY,0)),0),IFERROR(INDEX(LMH_PTS,MATCH(N55,LMH_KEY,0)),0),IFERROR(INDEX(LMH_PTS,MATCH(O55,LMH_KEY,0)),0),IFERROR(INDEX(LMH_PTS,MATCH(P55,LMH_KEY,0)),0)),""))</f>
        <v>0.0476190476190476</v>
      </c>
      <c r="W55" s="74">
        <f>IF(P55="","",IFERROR(INDEX(LMH_PTS,MATCH(P55,LMH_KEY,0))/SUM(IFERROR(INDEX(LMH_PTS,MATCH(J55,LMH_KEY,0)),0),IFERROR(INDEX(LMH_PTS,MATCH(K55,LMH_KEY,0)),0),IFERROR(INDEX(LMH_PTS,MATCH(L55,LMH_KEY,0)),0),IFERROR(INDEX(LMH_PTS,MATCH(M55,LMH_KEY,0)),0),IFERROR(INDEX(LMH_PTS,MATCH(N55,LMH_KEY,0)),0),IFERROR(INDEX(LMH_PTS,MATCH(O55,LMH_KEY,0)),0),IFERROR(INDEX(LMH_PTS,MATCH(P55,LMH_KEY,0)),0)),""))</f>
        <v>0.0476190476190476</v>
      </c>
      <c r="X55" s="44" t="n"/>
      <c r="Y55" s="38" t="inlineStr">
        <is>
          <t>CARBON|Functional|Product Manager|B2|B-M</t>
        </is>
      </c>
    </row>
    <row r="56" ht="28" customHeight="1">
      <c r="A56" s="28" t="inlineStr">
        <is>
          <t>CARBON</t>
        </is>
      </c>
      <c r="B56" s="29" t="inlineStr">
        <is>
          <t>Functional</t>
        </is>
      </c>
      <c r="C56" s="72" t="inlineStr">
        <is>
          <t>B1</t>
        </is>
      </c>
      <c r="D56" s="29" t="inlineStr">
        <is>
          <t>Band B · Specialist / Manager</t>
        </is>
      </c>
      <c r="E56" s="29" t="inlineStr">
        <is>
          <t>Associate Product Manager – POD Lead</t>
        </is>
      </c>
      <c r="F56" s="29" t="inlineStr">
        <is>
          <t>Band B · Specialist / POD Lead</t>
        </is>
      </c>
      <c r="G56" s="29" t="inlineStr">
        <is>
          <t>Product Management</t>
        </is>
      </c>
      <c r="H56" s="29" t="n">
        <v>3</v>
      </c>
      <c r="I56" s="29" t="inlineStr">
        <is>
          <t>Medha Ganti, Priyadarsini Kairali, Biswajit Biswal</t>
        </is>
      </c>
      <c r="J56" s="34" t="str">
        <f>IFERROR(INDEX(RBD_C,MATCH("Product Management|B1|B-IC",RBD_KEY,0)),"M")</f>
        <v>H</v>
      </c>
      <c r="K56" s="35" t="str">
        <f>IFERROR(INDEX(RBD_Au,MATCH("Product Management|B1|B-IC",RBD_KEY,0)),"M")</f>
        <v>M</v>
      </c>
      <c r="L56" s="35" t="str">
        <f>IFERROR(INDEX(RBD_Ac,MATCH("Product Management|B1|B-IC",RBD_KEY,0)),"M")</f>
        <v>M</v>
      </c>
      <c r="M56" s="35" t="str">
        <f>IFERROR(INDEX(RBD_L,MATCH("Product Management|B1|B-IC",RBD_KEY,0)),"M")</f>
        <v>L</v>
      </c>
      <c r="N56" s="35" t="str">
        <f>IFERROR(INDEX(RBD_BI,MATCH("Product Management|B1|B-IC",RBD_KEY,0)),"M")</f>
        <v>L</v>
      </c>
      <c r="O56" s="35" t="str">
        <f>IFERROR(INDEX(RBD_Exp,MATCH("Product Management|B1|B-IC",RBD_KEY,0)),"M")</f>
        <v>L</v>
      </c>
      <c r="P56" s="35" t="str">
        <f>IFERROR(INDEX(RBD_Edu,MATCH("Product Management|B1|B-IC",RBD_KEY,0)),"M")</f>
        <v>L</v>
      </c>
      <c r="Q56" s="73">
        <f>IF(J56="","",IFERROR(INDEX(LMH_PTS,MATCH(J56,LMH_KEY,0))/SUM(IFERROR(INDEX(LMH_PTS,MATCH(J56,LMH_KEY,0)),0),IFERROR(INDEX(LMH_PTS,MATCH(K56,LMH_KEY,0)),0),IFERROR(INDEX(LMH_PTS,MATCH(L56,LMH_KEY,0)),0),IFERROR(INDEX(LMH_PTS,MATCH(M56,LMH_KEY,0)),0),IFERROR(INDEX(LMH_PTS,MATCH(N56,LMH_KEY,0)),0),IFERROR(INDEX(LMH_PTS,MATCH(O56,LMH_KEY,0)),0),IFERROR(INDEX(LMH_PTS,MATCH(P56,LMH_KEY,0)),0)),""))</f>
        <v>0.473684210526316</v>
      </c>
      <c r="R56" s="74">
        <f>IF(K56="","",IFERROR(INDEX(LMH_PTS,MATCH(K56,LMH_KEY,0))/SUM(IFERROR(INDEX(LMH_PTS,MATCH(J56,LMH_KEY,0)),0),IFERROR(INDEX(LMH_PTS,MATCH(K56,LMH_KEY,0)),0),IFERROR(INDEX(LMH_PTS,MATCH(L56,LMH_KEY,0)),0),IFERROR(INDEX(LMH_PTS,MATCH(M56,LMH_KEY,0)),0),IFERROR(INDEX(LMH_PTS,MATCH(N56,LMH_KEY,0)),0),IFERROR(INDEX(LMH_PTS,MATCH(O56,LMH_KEY,0)),0),IFERROR(INDEX(LMH_PTS,MATCH(P56,LMH_KEY,0)),0)),""))</f>
        <v>0.157894736842105</v>
      </c>
      <c r="S56" s="74">
        <f>IF(L56="","",IFERROR(INDEX(LMH_PTS,MATCH(L56,LMH_KEY,0))/SUM(IFERROR(INDEX(LMH_PTS,MATCH(J56,LMH_KEY,0)),0),IFERROR(INDEX(LMH_PTS,MATCH(K56,LMH_KEY,0)),0),IFERROR(INDEX(LMH_PTS,MATCH(L56,LMH_KEY,0)),0),IFERROR(INDEX(LMH_PTS,MATCH(M56,LMH_KEY,0)),0),IFERROR(INDEX(LMH_PTS,MATCH(N56,LMH_KEY,0)),0),IFERROR(INDEX(LMH_PTS,MATCH(O56,LMH_KEY,0)),0),IFERROR(INDEX(LMH_PTS,MATCH(P56,LMH_KEY,0)),0)),""))</f>
        <v>0.157894736842105</v>
      </c>
      <c r="T56" s="74">
        <f>IF(M56="","",IFERROR(INDEX(LMH_PTS,MATCH(M56,LMH_KEY,0))/SUM(IFERROR(INDEX(LMH_PTS,MATCH(J56,LMH_KEY,0)),0),IFERROR(INDEX(LMH_PTS,MATCH(K56,LMH_KEY,0)),0),IFERROR(INDEX(LMH_PTS,MATCH(L56,LMH_KEY,0)),0),IFERROR(INDEX(LMH_PTS,MATCH(M56,LMH_KEY,0)),0),IFERROR(INDEX(LMH_PTS,MATCH(N56,LMH_KEY,0)),0),IFERROR(INDEX(LMH_PTS,MATCH(O56,LMH_KEY,0)),0),IFERROR(INDEX(LMH_PTS,MATCH(P56,LMH_KEY,0)),0)),""))</f>
        <v>0.0526315789473684</v>
      </c>
      <c r="U56" s="74">
        <f>IF(N56="","",IFERROR(INDEX(LMH_PTS,MATCH(N56,LMH_KEY,0))/SUM(IFERROR(INDEX(LMH_PTS,MATCH(J56,LMH_KEY,0)),0),IFERROR(INDEX(LMH_PTS,MATCH(K56,LMH_KEY,0)),0),IFERROR(INDEX(LMH_PTS,MATCH(L56,LMH_KEY,0)),0),IFERROR(INDEX(LMH_PTS,MATCH(M56,LMH_KEY,0)),0),IFERROR(INDEX(LMH_PTS,MATCH(N56,LMH_KEY,0)),0),IFERROR(INDEX(LMH_PTS,MATCH(O56,LMH_KEY,0)),0),IFERROR(INDEX(LMH_PTS,MATCH(P56,LMH_KEY,0)),0)),""))</f>
        <v>0.0526315789473684</v>
      </c>
      <c r="V56" s="74">
        <f>IF(O56="","",IFERROR(INDEX(LMH_PTS,MATCH(O56,LMH_KEY,0))/SUM(IFERROR(INDEX(LMH_PTS,MATCH(J56,LMH_KEY,0)),0),IFERROR(INDEX(LMH_PTS,MATCH(K56,LMH_KEY,0)),0),IFERROR(INDEX(LMH_PTS,MATCH(L56,LMH_KEY,0)),0),IFERROR(INDEX(LMH_PTS,MATCH(M56,LMH_KEY,0)),0),IFERROR(INDEX(LMH_PTS,MATCH(N56,LMH_KEY,0)),0),IFERROR(INDEX(LMH_PTS,MATCH(O56,LMH_KEY,0)),0),IFERROR(INDEX(LMH_PTS,MATCH(P56,LMH_KEY,0)),0)),""))</f>
        <v>0.0526315789473684</v>
      </c>
      <c r="W56" s="74">
        <f>IF(P56="","",IFERROR(INDEX(LMH_PTS,MATCH(P56,LMH_KEY,0))/SUM(IFERROR(INDEX(LMH_PTS,MATCH(J56,LMH_KEY,0)),0),IFERROR(INDEX(LMH_PTS,MATCH(K56,LMH_KEY,0)),0),IFERROR(INDEX(LMH_PTS,MATCH(L56,LMH_KEY,0)),0),IFERROR(INDEX(LMH_PTS,MATCH(M56,LMH_KEY,0)),0),IFERROR(INDEX(LMH_PTS,MATCH(N56,LMH_KEY,0)),0),IFERROR(INDEX(LMH_PTS,MATCH(O56,LMH_KEY,0)),0),IFERROR(INDEX(LMH_PTS,MATCH(P56,LMH_KEY,0)),0)),""))</f>
        <v>0.0526315789473684</v>
      </c>
      <c r="X56" s="44" t="n"/>
      <c r="Y56" s="38" t="inlineStr">
        <is>
          <t>CARBON|Functional|Associate Product Manager – POD Lead|B1|B-IC</t>
        </is>
      </c>
    </row>
    <row r="57" ht="18" customHeight="1">
      <c r="A57" s="28" t="inlineStr">
        <is>
          <t>CARBON</t>
        </is>
      </c>
      <c r="B57" s="29" t="inlineStr">
        <is>
          <t>Functional</t>
        </is>
      </c>
      <c r="C57" s="72" t="inlineStr">
        <is>
          <t>B1</t>
        </is>
      </c>
      <c r="D57" s="29" t="inlineStr">
        <is>
          <t>Band B · Specialist / Manager</t>
        </is>
      </c>
      <c r="E57" s="29" t="inlineStr">
        <is>
          <t>Functional Specialist</t>
        </is>
      </c>
      <c r="F57" s="29" t="inlineStr">
        <is>
          <t>Band B · Specialist / POD Lead</t>
        </is>
      </c>
      <c r="G57" s="29" t="inlineStr">
        <is>
          <t>Solution Consulting &amp; Implementation</t>
        </is>
      </c>
      <c r="H57" s="29" t="n">
        <v>2</v>
      </c>
      <c r="I57" s="29" t="inlineStr">
        <is>
          <t>Alizah Noorani, Karthik Menon</t>
        </is>
      </c>
      <c r="J57" s="34" t="str">
        <f>IFERROR(INDEX(RBD_C,MATCH("Solution Consulting &amp; Implementation|B1|B-IC",RBD_KEY,0)),"M")</f>
        <v>H</v>
      </c>
      <c r="K57" s="35" t="str">
        <f>IFERROR(INDEX(RBD_Au,MATCH("Solution Consulting &amp; Implementation|B1|B-IC",RBD_KEY,0)),"M")</f>
        <v>M</v>
      </c>
      <c r="L57" s="35" t="str">
        <f>IFERROR(INDEX(RBD_Ac,MATCH("Solution Consulting &amp; Implementation|B1|B-IC",RBD_KEY,0)),"M")</f>
        <v>M</v>
      </c>
      <c r="M57" s="35" t="str">
        <f>IFERROR(INDEX(RBD_L,MATCH("Solution Consulting &amp; Implementation|B1|B-IC",RBD_KEY,0)),"M")</f>
        <v>L</v>
      </c>
      <c r="N57" s="35" t="str">
        <f>IFERROR(INDEX(RBD_BI,MATCH("Solution Consulting &amp; Implementation|B1|B-IC",RBD_KEY,0)),"M")</f>
        <v>L</v>
      </c>
      <c r="O57" s="35" t="str">
        <f>IFERROR(INDEX(RBD_Exp,MATCH("Solution Consulting &amp; Implementation|B1|B-IC",RBD_KEY,0)),"M")</f>
        <v>L</v>
      </c>
      <c r="P57" s="35" t="str">
        <f>IFERROR(INDEX(RBD_Edu,MATCH("Solution Consulting &amp; Implementation|B1|B-IC",RBD_KEY,0)),"M")</f>
        <v>L</v>
      </c>
      <c r="Q57" s="73">
        <f>IF(J57="","",IFERROR(INDEX(LMH_PTS,MATCH(J57,LMH_KEY,0))/SUM(IFERROR(INDEX(LMH_PTS,MATCH(J57,LMH_KEY,0)),0),IFERROR(INDEX(LMH_PTS,MATCH(K57,LMH_KEY,0)),0),IFERROR(INDEX(LMH_PTS,MATCH(L57,LMH_KEY,0)),0),IFERROR(INDEX(LMH_PTS,MATCH(M57,LMH_KEY,0)),0),IFERROR(INDEX(LMH_PTS,MATCH(N57,LMH_KEY,0)),0),IFERROR(INDEX(LMH_PTS,MATCH(O57,LMH_KEY,0)),0),IFERROR(INDEX(LMH_PTS,MATCH(P57,LMH_KEY,0)),0)),""))</f>
        <v>0.473684210526316</v>
      </c>
      <c r="R57" s="74">
        <f>IF(K57="","",IFERROR(INDEX(LMH_PTS,MATCH(K57,LMH_KEY,0))/SUM(IFERROR(INDEX(LMH_PTS,MATCH(J57,LMH_KEY,0)),0),IFERROR(INDEX(LMH_PTS,MATCH(K57,LMH_KEY,0)),0),IFERROR(INDEX(LMH_PTS,MATCH(L57,LMH_KEY,0)),0),IFERROR(INDEX(LMH_PTS,MATCH(M57,LMH_KEY,0)),0),IFERROR(INDEX(LMH_PTS,MATCH(N57,LMH_KEY,0)),0),IFERROR(INDEX(LMH_PTS,MATCH(O57,LMH_KEY,0)),0),IFERROR(INDEX(LMH_PTS,MATCH(P57,LMH_KEY,0)),0)),""))</f>
        <v>0.157894736842105</v>
      </c>
      <c r="S57" s="74">
        <f>IF(L57="","",IFERROR(INDEX(LMH_PTS,MATCH(L57,LMH_KEY,0))/SUM(IFERROR(INDEX(LMH_PTS,MATCH(J57,LMH_KEY,0)),0),IFERROR(INDEX(LMH_PTS,MATCH(K57,LMH_KEY,0)),0),IFERROR(INDEX(LMH_PTS,MATCH(L57,LMH_KEY,0)),0),IFERROR(INDEX(LMH_PTS,MATCH(M57,LMH_KEY,0)),0),IFERROR(INDEX(LMH_PTS,MATCH(N57,LMH_KEY,0)),0),IFERROR(INDEX(LMH_PTS,MATCH(O57,LMH_KEY,0)),0),IFERROR(INDEX(LMH_PTS,MATCH(P57,LMH_KEY,0)),0)),""))</f>
        <v>0.157894736842105</v>
      </c>
      <c r="T57" s="74">
        <f>IF(M57="","",IFERROR(INDEX(LMH_PTS,MATCH(M57,LMH_KEY,0))/SUM(IFERROR(INDEX(LMH_PTS,MATCH(J57,LMH_KEY,0)),0),IFERROR(INDEX(LMH_PTS,MATCH(K57,LMH_KEY,0)),0),IFERROR(INDEX(LMH_PTS,MATCH(L57,LMH_KEY,0)),0),IFERROR(INDEX(LMH_PTS,MATCH(M57,LMH_KEY,0)),0),IFERROR(INDEX(LMH_PTS,MATCH(N57,LMH_KEY,0)),0),IFERROR(INDEX(LMH_PTS,MATCH(O57,LMH_KEY,0)),0),IFERROR(INDEX(LMH_PTS,MATCH(P57,LMH_KEY,0)),0)),""))</f>
        <v>0.0526315789473684</v>
      </c>
      <c r="U57" s="74">
        <f>IF(N57="","",IFERROR(INDEX(LMH_PTS,MATCH(N57,LMH_KEY,0))/SUM(IFERROR(INDEX(LMH_PTS,MATCH(J57,LMH_KEY,0)),0),IFERROR(INDEX(LMH_PTS,MATCH(K57,LMH_KEY,0)),0),IFERROR(INDEX(LMH_PTS,MATCH(L57,LMH_KEY,0)),0),IFERROR(INDEX(LMH_PTS,MATCH(M57,LMH_KEY,0)),0),IFERROR(INDEX(LMH_PTS,MATCH(N57,LMH_KEY,0)),0),IFERROR(INDEX(LMH_PTS,MATCH(O57,LMH_KEY,0)),0),IFERROR(INDEX(LMH_PTS,MATCH(P57,LMH_KEY,0)),0)),""))</f>
        <v>0.0526315789473684</v>
      </c>
      <c r="V57" s="74">
        <f>IF(O57="","",IFERROR(INDEX(LMH_PTS,MATCH(O57,LMH_KEY,0))/SUM(IFERROR(INDEX(LMH_PTS,MATCH(J57,LMH_KEY,0)),0),IFERROR(INDEX(LMH_PTS,MATCH(K57,LMH_KEY,0)),0),IFERROR(INDEX(LMH_PTS,MATCH(L57,LMH_KEY,0)),0),IFERROR(INDEX(LMH_PTS,MATCH(M57,LMH_KEY,0)),0),IFERROR(INDEX(LMH_PTS,MATCH(N57,LMH_KEY,0)),0),IFERROR(INDEX(LMH_PTS,MATCH(O57,LMH_KEY,0)),0),IFERROR(INDEX(LMH_PTS,MATCH(P57,LMH_KEY,0)),0)),""))</f>
        <v>0.0526315789473684</v>
      </c>
      <c r="W57" s="74">
        <f>IF(P57="","",IFERROR(INDEX(LMH_PTS,MATCH(P57,LMH_KEY,0))/SUM(IFERROR(INDEX(LMH_PTS,MATCH(J57,LMH_KEY,0)),0),IFERROR(INDEX(LMH_PTS,MATCH(K57,LMH_KEY,0)),0),IFERROR(INDEX(LMH_PTS,MATCH(L57,LMH_KEY,0)),0),IFERROR(INDEX(LMH_PTS,MATCH(M57,LMH_KEY,0)),0),IFERROR(INDEX(LMH_PTS,MATCH(N57,LMH_KEY,0)),0),IFERROR(INDEX(LMH_PTS,MATCH(O57,LMH_KEY,0)),0),IFERROR(INDEX(LMH_PTS,MATCH(P57,LMH_KEY,0)),0)),""))</f>
        <v>0.0526315789473684</v>
      </c>
      <c r="X57" s="44" t="n"/>
      <c r="Y57" s="38" t="inlineStr">
        <is>
          <t>CARBON|Functional|Functional Specialist|B1|B-IC</t>
        </is>
      </c>
    </row>
    <row r="58" ht="28" customHeight="1">
      <c r="A58" s="28" t="inlineStr">
        <is>
          <t>CARBON</t>
        </is>
      </c>
      <c r="B58" s="29" t="inlineStr">
        <is>
          <t>Functional</t>
        </is>
      </c>
      <c r="C58" s="72" t="inlineStr">
        <is>
          <t>B1</t>
        </is>
      </c>
      <c r="D58" s="29" t="inlineStr">
        <is>
          <t>Band B · Specialist / Manager</t>
        </is>
      </c>
      <c r="E58" s="29" t="inlineStr">
        <is>
          <t>Functional Specialist – POD Lead</t>
        </is>
      </c>
      <c r="F58" s="29" t="inlineStr">
        <is>
          <t>Band B · Specialist / POD Lead</t>
        </is>
      </c>
      <c r="G58" s="29" t="inlineStr">
        <is>
          <t>Solution Consulting &amp; Implementation</t>
        </is>
      </c>
      <c r="H58" s="29" t="n">
        <v>1</v>
      </c>
      <c r="I58" s="29" t="inlineStr">
        <is>
          <t>Sharanya Balachandran</t>
        </is>
      </c>
      <c r="J58" s="34" t="str">
        <f>IFERROR(INDEX(RBD_C,MATCH("Solution Consulting &amp; Implementation|B1|B-IC",RBD_KEY,0)),"M")</f>
        <v>H</v>
      </c>
      <c r="K58" s="35" t="str">
        <f>IFERROR(INDEX(RBD_Au,MATCH("Solution Consulting &amp; Implementation|B1|B-IC",RBD_KEY,0)),"M")</f>
        <v>M</v>
      </c>
      <c r="L58" s="35" t="str">
        <f>IFERROR(INDEX(RBD_Ac,MATCH("Solution Consulting &amp; Implementation|B1|B-IC",RBD_KEY,0)),"M")</f>
        <v>M</v>
      </c>
      <c r="M58" s="35" t="str">
        <f>IFERROR(INDEX(RBD_L,MATCH("Solution Consulting &amp; Implementation|B1|B-IC",RBD_KEY,0)),"M")</f>
        <v>L</v>
      </c>
      <c r="N58" s="35" t="str">
        <f>IFERROR(INDEX(RBD_BI,MATCH("Solution Consulting &amp; Implementation|B1|B-IC",RBD_KEY,0)),"M")</f>
        <v>L</v>
      </c>
      <c r="O58" s="35" t="str">
        <f>IFERROR(INDEX(RBD_Exp,MATCH("Solution Consulting &amp; Implementation|B1|B-IC",RBD_KEY,0)),"M")</f>
        <v>L</v>
      </c>
      <c r="P58" s="35" t="str">
        <f>IFERROR(INDEX(RBD_Edu,MATCH("Solution Consulting &amp; Implementation|B1|B-IC",RBD_KEY,0)),"M")</f>
        <v>L</v>
      </c>
      <c r="Q58" s="73">
        <f>IF(J58="","",IFERROR(INDEX(LMH_PTS,MATCH(J58,LMH_KEY,0))/SUM(IFERROR(INDEX(LMH_PTS,MATCH(J58,LMH_KEY,0)),0),IFERROR(INDEX(LMH_PTS,MATCH(K58,LMH_KEY,0)),0),IFERROR(INDEX(LMH_PTS,MATCH(L58,LMH_KEY,0)),0),IFERROR(INDEX(LMH_PTS,MATCH(M58,LMH_KEY,0)),0),IFERROR(INDEX(LMH_PTS,MATCH(N58,LMH_KEY,0)),0),IFERROR(INDEX(LMH_PTS,MATCH(O58,LMH_KEY,0)),0),IFERROR(INDEX(LMH_PTS,MATCH(P58,LMH_KEY,0)),0)),""))</f>
        <v>0.473684210526316</v>
      </c>
      <c r="R58" s="74">
        <f>IF(K58="","",IFERROR(INDEX(LMH_PTS,MATCH(K58,LMH_KEY,0))/SUM(IFERROR(INDEX(LMH_PTS,MATCH(J58,LMH_KEY,0)),0),IFERROR(INDEX(LMH_PTS,MATCH(K58,LMH_KEY,0)),0),IFERROR(INDEX(LMH_PTS,MATCH(L58,LMH_KEY,0)),0),IFERROR(INDEX(LMH_PTS,MATCH(M58,LMH_KEY,0)),0),IFERROR(INDEX(LMH_PTS,MATCH(N58,LMH_KEY,0)),0),IFERROR(INDEX(LMH_PTS,MATCH(O58,LMH_KEY,0)),0),IFERROR(INDEX(LMH_PTS,MATCH(P58,LMH_KEY,0)),0)),""))</f>
        <v>0.157894736842105</v>
      </c>
      <c r="S58" s="74">
        <f>IF(L58="","",IFERROR(INDEX(LMH_PTS,MATCH(L58,LMH_KEY,0))/SUM(IFERROR(INDEX(LMH_PTS,MATCH(J58,LMH_KEY,0)),0),IFERROR(INDEX(LMH_PTS,MATCH(K58,LMH_KEY,0)),0),IFERROR(INDEX(LMH_PTS,MATCH(L58,LMH_KEY,0)),0),IFERROR(INDEX(LMH_PTS,MATCH(M58,LMH_KEY,0)),0),IFERROR(INDEX(LMH_PTS,MATCH(N58,LMH_KEY,0)),0),IFERROR(INDEX(LMH_PTS,MATCH(O58,LMH_KEY,0)),0),IFERROR(INDEX(LMH_PTS,MATCH(P58,LMH_KEY,0)),0)),""))</f>
        <v>0.157894736842105</v>
      </c>
      <c r="T58" s="74">
        <f>IF(M58="","",IFERROR(INDEX(LMH_PTS,MATCH(M58,LMH_KEY,0))/SUM(IFERROR(INDEX(LMH_PTS,MATCH(J58,LMH_KEY,0)),0),IFERROR(INDEX(LMH_PTS,MATCH(K58,LMH_KEY,0)),0),IFERROR(INDEX(LMH_PTS,MATCH(L58,LMH_KEY,0)),0),IFERROR(INDEX(LMH_PTS,MATCH(M58,LMH_KEY,0)),0),IFERROR(INDEX(LMH_PTS,MATCH(N58,LMH_KEY,0)),0),IFERROR(INDEX(LMH_PTS,MATCH(O58,LMH_KEY,0)),0),IFERROR(INDEX(LMH_PTS,MATCH(P58,LMH_KEY,0)),0)),""))</f>
        <v>0.0526315789473684</v>
      </c>
      <c r="U58" s="74">
        <f>IF(N58="","",IFERROR(INDEX(LMH_PTS,MATCH(N58,LMH_KEY,0))/SUM(IFERROR(INDEX(LMH_PTS,MATCH(J58,LMH_KEY,0)),0),IFERROR(INDEX(LMH_PTS,MATCH(K58,LMH_KEY,0)),0),IFERROR(INDEX(LMH_PTS,MATCH(L58,LMH_KEY,0)),0),IFERROR(INDEX(LMH_PTS,MATCH(M58,LMH_KEY,0)),0),IFERROR(INDEX(LMH_PTS,MATCH(N58,LMH_KEY,0)),0),IFERROR(INDEX(LMH_PTS,MATCH(O58,LMH_KEY,0)),0),IFERROR(INDEX(LMH_PTS,MATCH(P58,LMH_KEY,0)),0)),""))</f>
        <v>0.0526315789473684</v>
      </c>
      <c r="V58" s="74">
        <f>IF(O58="","",IFERROR(INDEX(LMH_PTS,MATCH(O58,LMH_KEY,0))/SUM(IFERROR(INDEX(LMH_PTS,MATCH(J58,LMH_KEY,0)),0),IFERROR(INDEX(LMH_PTS,MATCH(K58,LMH_KEY,0)),0),IFERROR(INDEX(LMH_PTS,MATCH(L58,LMH_KEY,0)),0),IFERROR(INDEX(LMH_PTS,MATCH(M58,LMH_KEY,0)),0),IFERROR(INDEX(LMH_PTS,MATCH(N58,LMH_KEY,0)),0),IFERROR(INDEX(LMH_PTS,MATCH(O58,LMH_KEY,0)),0),IFERROR(INDEX(LMH_PTS,MATCH(P58,LMH_KEY,0)),0)),""))</f>
        <v>0.0526315789473684</v>
      </c>
      <c r="W58" s="74">
        <f>IF(P58="","",IFERROR(INDEX(LMH_PTS,MATCH(P58,LMH_KEY,0))/SUM(IFERROR(INDEX(LMH_PTS,MATCH(J58,LMH_KEY,0)),0),IFERROR(INDEX(LMH_PTS,MATCH(K58,LMH_KEY,0)),0),IFERROR(INDEX(LMH_PTS,MATCH(L58,LMH_KEY,0)),0),IFERROR(INDEX(LMH_PTS,MATCH(M58,LMH_KEY,0)),0),IFERROR(INDEX(LMH_PTS,MATCH(N58,LMH_KEY,0)),0),IFERROR(INDEX(LMH_PTS,MATCH(O58,LMH_KEY,0)),0),IFERROR(INDEX(LMH_PTS,MATCH(P58,LMH_KEY,0)),0)),""))</f>
        <v>0.0526315789473684</v>
      </c>
      <c r="X58" s="44" t="n"/>
      <c r="Y58" s="38" t="inlineStr">
        <is>
          <t>CARBON|Functional|Functional Specialist – POD Lead|B1|B-IC</t>
        </is>
      </c>
    </row>
    <row r="59" ht="28" customHeight="1">
      <c r="A59" s="28" t="inlineStr">
        <is>
          <t>CARBON</t>
        </is>
      </c>
      <c r="B59" s="29" t="inlineStr">
        <is>
          <t>Functional</t>
        </is>
      </c>
      <c r="C59" s="72" t="inlineStr">
        <is>
          <t>B1</t>
        </is>
      </c>
      <c r="D59" s="29" t="inlineStr">
        <is>
          <t>Band B · Specialist / Manager</t>
        </is>
      </c>
      <c r="E59" s="29" t="inlineStr">
        <is>
          <t>Senior Customer Success Specialist – POD Lead</t>
        </is>
      </c>
      <c r="F59" s="29" t="inlineStr">
        <is>
          <t>Band B · Specialist / POD Lead</t>
        </is>
      </c>
      <c r="G59" s="29" t="inlineStr">
        <is>
          <t>Customer Success &amp; Support</t>
        </is>
      </c>
      <c r="H59" s="29" t="n">
        <v>1</v>
      </c>
      <c r="I59" s="29" t="inlineStr">
        <is>
          <t>Aakanksha Swaminathan</t>
        </is>
      </c>
      <c r="J59" s="34" t="str">
        <f>IFERROR(INDEX(RBD_C,MATCH("Customer Success &amp; Support|B1|B-IC",RBD_KEY,0)),"M")</f>
        <v>H</v>
      </c>
      <c r="K59" s="35" t="str">
        <f>IFERROR(INDEX(RBD_Au,MATCH("Customer Success &amp; Support|B1|B-IC",RBD_KEY,0)),"M")</f>
        <v>M</v>
      </c>
      <c r="L59" s="35" t="str">
        <f>IFERROR(INDEX(RBD_Ac,MATCH("Customer Success &amp; Support|B1|B-IC",RBD_KEY,0)),"M")</f>
        <v>M</v>
      </c>
      <c r="M59" s="35" t="str">
        <f>IFERROR(INDEX(RBD_L,MATCH("Customer Success &amp; Support|B1|B-IC",RBD_KEY,0)),"M")</f>
        <v>L</v>
      </c>
      <c r="N59" s="35" t="str">
        <f>IFERROR(INDEX(RBD_BI,MATCH("Customer Success &amp; Support|B1|B-IC",RBD_KEY,0)),"M")</f>
        <v>M</v>
      </c>
      <c r="O59" s="35" t="str">
        <f>IFERROR(INDEX(RBD_Exp,MATCH("Customer Success &amp; Support|B1|B-IC",RBD_KEY,0)),"M")</f>
        <v>L</v>
      </c>
      <c r="P59" s="35" t="str">
        <f>IFERROR(INDEX(RBD_Edu,MATCH("Customer Success &amp; Support|B1|B-IC",RBD_KEY,0)),"M")</f>
        <v>L</v>
      </c>
      <c r="Q59" s="73">
        <f>IF(J59="","",IFERROR(INDEX(LMH_PTS,MATCH(J59,LMH_KEY,0))/SUM(IFERROR(INDEX(LMH_PTS,MATCH(J59,LMH_KEY,0)),0),IFERROR(INDEX(LMH_PTS,MATCH(K59,LMH_KEY,0)),0),IFERROR(INDEX(LMH_PTS,MATCH(L59,LMH_KEY,0)),0),IFERROR(INDEX(LMH_PTS,MATCH(M59,LMH_KEY,0)),0),IFERROR(INDEX(LMH_PTS,MATCH(N59,LMH_KEY,0)),0),IFERROR(INDEX(LMH_PTS,MATCH(O59,LMH_KEY,0)),0),IFERROR(INDEX(LMH_PTS,MATCH(P59,LMH_KEY,0)),0)),""))</f>
        <v>0.428571428571429</v>
      </c>
      <c r="R59" s="74">
        <f>IF(K59="","",IFERROR(INDEX(LMH_PTS,MATCH(K59,LMH_KEY,0))/SUM(IFERROR(INDEX(LMH_PTS,MATCH(J59,LMH_KEY,0)),0),IFERROR(INDEX(LMH_PTS,MATCH(K59,LMH_KEY,0)),0),IFERROR(INDEX(LMH_PTS,MATCH(L59,LMH_KEY,0)),0),IFERROR(INDEX(LMH_PTS,MATCH(M59,LMH_KEY,0)),0),IFERROR(INDEX(LMH_PTS,MATCH(N59,LMH_KEY,0)),0),IFERROR(INDEX(LMH_PTS,MATCH(O59,LMH_KEY,0)),0),IFERROR(INDEX(LMH_PTS,MATCH(P59,LMH_KEY,0)),0)),""))</f>
        <v>0.142857142857143</v>
      </c>
      <c r="S59" s="74">
        <f>IF(L59="","",IFERROR(INDEX(LMH_PTS,MATCH(L59,LMH_KEY,0))/SUM(IFERROR(INDEX(LMH_PTS,MATCH(J59,LMH_KEY,0)),0),IFERROR(INDEX(LMH_PTS,MATCH(K59,LMH_KEY,0)),0),IFERROR(INDEX(LMH_PTS,MATCH(L59,LMH_KEY,0)),0),IFERROR(INDEX(LMH_PTS,MATCH(M59,LMH_KEY,0)),0),IFERROR(INDEX(LMH_PTS,MATCH(N59,LMH_KEY,0)),0),IFERROR(INDEX(LMH_PTS,MATCH(O59,LMH_KEY,0)),0),IFERROR(INDEX(LMH_PTS,MATCH(P59,LMH_KEY,0)),0)),""))</f>
        <v>0.142857142857143</v>
      </c>
      <c r="T59" s="74">
        <f>IF(M59="","",IFERROR(INDEX(LMH_PTS,MATCH(M59,LMH_KEY,0))/SUM(IFERROR(INDEX(LMH_PTS,MATCH(J59,LMH_KEY,0)),0),IFERROR(INDEX(LMH_PTS,MATCH(K59,LMH_KEY,0)),0),IFERROR(INDEX(LMH_PTS,MATCH(L59,LMH_KEY,0)),0),IFERROR(INDEX(LMH_PTS,MATCH(M59,LMH_KEY,0)),0),IFERROR(INDEX(LMH_PTS,MATCH(N59,LMH_KEY,0)),0),IFERROR(INDEX(LMH_PTS,MATCH(O59,LMH_KEY,0)),0),IFERROR(INDEX(LMH_PTS,MATCH(P59,LMH_KEY,0)),0)),""))</f>
        <v>0.0476190476190476</v>
      </c>
      <c r="U59" s="74">
        <f>IF(N59="","",IFERROR(INDEX(LMH_PTS,MATCH(N59,LMH_KEY,0))/SUM(IFERROR(INDEX(LMH_PTS,MATCH(J59,LMH_KEY,0)),0),IFERROR(INDEX(LMH_PTS,MATCH(K59,LMH_KEY,0)),0),IFERROR(INDEX(LMH_PTS,MATCH(L59,LMH_KEY,0)),0),IFERROR(INDEX(LMH_PTS,MATCH(M59,LMH_KEY,0)),0),IFERROR(INDEX(LMH_PTS,MATCH(N59,LMH_KEY,0)),0),IFERROR(INDEX(LMH_PTS,MATCH(O59,LMH_KEY,0)),0),IFERROR(INDEX(LMH_PTS,MATCH(P59,LMH_KEY,0)),0)),""))</f>
        <v>0.142857142857143</v>
      </c>
      <c r="V59" s="74">
        <f>IF(O59="","",IFERROR(INDEX(LMH_PTS,MATCH(O59,LMH_KEY,0))/SUM(IFERROR(INDEX(LMH_PTS,MATCH(J59,LMH_KEY,0)),0),IFERROR(INDEX(LMH_PTS,MATCH(K59,LMH_KEY,0)),0),IFERROR(INDEX(LMH_PTS,MATCH(L59,LMH_KEY,0)),0),IFERROR(INDEX(LMH_PTS,MATCH(M59,LMH_KEY,0)),0),IFERROR(INDEX(LMH_PTS,MATCH(N59,LMH_KEY,0)),0),IFERROR(INDEX(LMH_PTS,MATCH(O59,LMH_KEY,0)),0),IFERROR(INDEX(LMH_PTS,MATCH(P59,LMH_KEY,0)),0)),""))</f>
        <v>0.0476190476190476</v>
      </c>
      <c r="W59" s="74">
        <f>IF(P59="","",IFERROR(INDEX(LMH_PTS,MATCH(P59,LMH_KEY,0))/SUM(IFERROR(INDEX(LMH_PTS,MATCH(J59,LMH_KEY,0)),0),IFERROR(INDEX(LMH_PTS,MATCH(K59,LMH_KEY,0)),0),IFERROR(INDEX(LMH_PTS,MATCH(L59,LMH_KEY,0)),0),IFERROR(INDEX(LMH_PTS,MATCH(M59,LMH_KEY,0)),0),IFERROR(INDEX(LMH_PTS,MATCH(N59,LMH_KEY,0)),0),IFERROR(INDEX(LMH_PTS,MATCH(O59,LMH_KEY,0)),0),IFERROR(INDEX(LMH_PTS,MATCH(P59,LMH_KEY,0)),0)),""))</f>
        <v>0.0476190476190476</v>
      </c>
      <c r="X59" s="44" t="n"/>
      <c r="Y59" s="38" t="inlineStr">
        <is>
          <t>CARBON|Functional|Senior Customer Success Specialist – POD Lead|B1|B-IC</t>
        </is>
      </c>
    </row>
    <row r="60" ht="28" customHeight="1">
      <c r="A60" s="28" t="inlineStr">
        <is>
          <t>CARBON</t>
        </is>
      </c>
      <c r="B60" s="29" t="inlineStr">
        <is>
          <t>Functional</t>
        </is>
      </c>
      <c r="C60" s="72" t="inlineStr">
        <is>
          <t>B1</t>
        </is>
      </c>
      <c r="D60" s="29" t="inlineStr">
        <is>
          <t>Band B · Specialist / Manager</t>
        </is>
      </c>
      <c r="E60" s="29" t="inlineStr">
        <is>
          <t>Senior Functional Specialist</t>
        </is>
      </c>
      <c r="F60" s="29" t="inlineStr">
        <is>
          <t>Band B · Specialist / POD Lead</t>
        </is>
      </c>
      <c r="G60" s="29" t="inlineStr">
        <is>
          <t>Solution Consulting &amp; Implementation</t>
        </is>
      </c>
      <c r="H60" s="29" t="n">
        <v>1</v>
      </c>
      <c r="I60" s="29" t="inlineStr">
        <is>
          <t>Shambo Mitra</t>
        </is>
      </c>
      <c r="J60" s="34" t="str">
        <f>IFERROR(INDEX(RBD_C,MATCH("Solution Consulting &amp; Implementation|B1|B-IC",RBD_KEY,0)),"M")</f>
        <v>H</v>
      </c>
      <c r="K60" s="35" t="str">
        <f>IFERROR(INDEX(RBD_Au,MATCH("Solution Consulting &amp; Implementation|B1|B-IC",RBD_KEY,0)),"M")</f>
        <v>M</v>
      </c>
      <c r="L60" s="35" t="str">
        <f>IFERROR(INDEX(RBD_Ac,MATCH("Solution Consulting &amp; Implementation|B1|B-IC",RBD_KEY,0)),"M")</f>
        <v>M</v>
      </c>
      <c r="M60" s="35" t="str">
        <f>IFERROR(INDEX(RBD_L,MATCH("Solution Consulting &amp; Implementation|B1|B-IC",RBD_KEY,0)),"M")</f>
        <v>L</v>
      </c>
      <c r="N60" s="35" t="str">
        <f>IFERROR(INDEX(RBD_BI,MATCH("Solution Consulting &amp; Implementation|B1|B-IC",RBD_KEY,0)),"M")</f>
        <v>L</v>
      </c>
      <c r="O60" s="35" t="str">
        <f>IFERROR(INDEX(RBD_Exp,MATCH("Solution Consulting &amp; Implementation|B1|B-IC",RBD_KEY,0)),"M")</f>
        <v>L</v>
      </c>
      <c r="P60" s="35" t="str">
        <f>IFERROR(INDEX(RBD_Edu,MATCH("Solution Consulting &amp; Implementation|B1|B-IC",RBD_KEY,0)),"M")</f>
        <v>L</v>
      </c>
      <c r="Q60" s="73">
        <f>IF(J60="","",IFERROR(INDEX(LMH_PTS,MATCH(J60,LMH_KEY,0))/SUM(IFERROR(INDEX(LMH_PTS,MATCH(J60,LMH_KEY,0)),0),IFERROR(INDEX(LMH_PTS,MATCH(K60,LMH_KEY,0)),0),IFERROR(INDEX(LMH_PTS,MATCH(L60,LMH_KEY,0)),0),IFERROR(INDEX(LMH_PTS,MATCH(M60,LMH_KEY,0)),0),IFERROR(INDEX(LMH_PTS,MATCH(N60,LMH_KEY,0)),0),IFERROR(INDEX(LMH_PTS,MATCH(O60,LMH_KEY,0)),0),IFERROR(INDEX(LMH_PTS,MATCH(P60,LMH_KEY,0)),0)),""))</f>
        <v>0.473684210526316</v>
      </c>
      <c r="R60" s="74">
        <f>IF(K60="","",IFERROR(INDEX(LMH_PTS,MATCH(K60,LMH_KEY,0))/SUM(IFERROR(INDEX(LMH_PTS,MATCH(J60,LMH_KEY,0)),0),IFERROR(INDEX(LMH_PTS,MATCH(K60,LMH_KEY,0)),0),IFERROR(INDEX(LMH_PTS,MATCH(L60,LMH_KEY,0)),0),IFERROR(INDEX(LMH_PTS,MATCH(M60,LMH_KEY,0)),0),IFERROR(INDEX(LMH_PTS,MATCH(N60,LMH_KEY,0)),0),IFERROR(INDEX(LMH_PTS,MATCH(O60,LMH_KEY,0)),0),IFERROR(INDEX(LMH_PTS,MATCH(P60,LMH_KEY,0)),0)),""))</f>
        <v>0.157894736842105</v>
      </c>
      <c r="S60" s="74">
        <f>IF(L60="","",IFERROR(INDEX(LMH_PTS,MATCH(L60,LMH_KEY,0))/SUM(IFERROR(INDEX(LMH_PTS,MATCH(J60,LMH_KEY,0)),0),IFERROR(INDEX(LMH_PTS,MATCH(K60,LMH_KEY,0)),0),IFERROR(INDEX(LMH_PTS,MATCH(L60,LMH_KEY,0)),0),IFERROR(INDEX(LMH_PTS,MATCH(M60,LMH_KEY,0)),0),IFERROR(INDEX(LMH_PTS,MATCH(N60,LMH_KEY,0)),0),IFERROR(INDEX(LMH_PTS,MATCH(O60,LMH_KEY,0)),0),IFERROR(INDEX(LMH_PTS,MATCH(P60,LMH_KEY,0)),0)),""))</f>
        <v>0.157894736842105</v>
      </c>
      <c r="T60" s="74">
        <f>IF(M60="","",IFERROR(INDEX(LMH_PTS,MATCH(M60,LMH_KEY,0))/SUM(IFERROR(INDEX(LMH_PTS,MATCH(J60,LMH_KEY,0)),0),IFERROR(INDEX(LMH_PTS,MATCH(K60,LMH_KEY,0)),0),IFERROR(INDEX(LMH_PTS,MATCH(L60,LMH_KEY,0)),0),IFERROR(INDEX(LMH_PTS,MATCH(M60,LMH_KEY,0)),0),IFERROR(INDEX(LMH_PTS,MATCH(N60,LMH_KEY,0)),0),IFERROR(INDEX(LMH_PTS,MATCH(O60,LMH_KEY,0)),0),IFERROR(INDEX(LMH_PTS,MATCH(P60,LMH_KEY,0)),0)),""))</f>
        <v>0.0526315789473684</v>
      </c>
      <c r="U60" s="74">
        <f>IF(N60="","",IFERROR(INDEX(LMH_PTS,MATCH(N60,LMH_KEY,0))/SUM(IFERROR(INDEX(LMH_PTS,MATCH(J60,LMH_KEY,0)),0),IFERROR(INDEX(LMH_PTS,MATCH(K60,LMH_KEY,0)),0),IFERROR(INDEX(LMH_PTS,MATCH(L60,LMH_KEY,0)),0),IFERROR(INDEX(LMH_PTS,MATCH(M60,LMH_KEY,0)),0),IFERROR(INDEX(LMH_PTS,MATCH(N60,LMH_KEY,0)),0),IFERROR(INDEX(LMH_PTS,MATCH(O60,LMH_KEY,0)),0),IFERROR(INDEX(LMH_PTS,MATCH(P60,LMH_KEY,0)),0)),""))</f>
        <v>0.0526315789473684</v>
      </c>
      <c r="V60" s="74">
        <f>IF(O60="","",IFERROR(INDEX(LMH_PTS,MATCH(O60,LMH_KEY,0))/SUM(IFERROR(INDEX(LMH_PTS,MATCH(J60,LMH_KEY,0)),0),IFERROR(INDEX(LMH_PTS,MATCH(K60,LMH_KEY,0)),0),IFERROR(INDEX(LMH_PTS,MATCH(L60,LMH_KEY,0)),0),IFERROR(INDEX(LMH_PTS,MATCH(M60,LMH_KEY,0)),0),IFERROR(INDEX(LMH_PTS,MATCH(N60,LMH_KEY,0)),0),IFERROR(INDEX(LMH_PTS,MATCH(O60,LMH_KEY,0)),0),IFERROR(INDEX(LMH_PTS,MATCH(P60,LMH_KEY,0)),0)),""))</f>
        <v>0.0526315789473684</v>
      </c>
      <c r="W60" s="74">
        <f>IF(P60="","",IFERROR(INDEX(LMH_PTS,MATCH(P60,LMH_KEY,0))/SUM(IFERROR(INDEX(LMH_PTS,MATCH(J60,LMH_KEY,0)),0),IFERROR(INDEX(LMH_PTS,MATCH(K60,LMH_KEY,0)),0),IFERROR(INDEX(LMH_PTS,MATCH(L60,LMH_KEY,0)),0),IFERROR(INDEX(LMH_PTS,MATCH(M60,LMH_KEY,0)),0),IFERROR(INDEX(LMH_PTS,MATCH(N60,LMH_KEY,0)),0),IFERROR(INDEX(LMH_PTS,MATCH(O60,LMH_KEY,0)),0),IFERROR(INDEX(LMH_PTS,MATCH(P60,LMH_KEY,0)),0)),""))</f>
        <v>0.0526315789473684</v>
      </c>
      <c r="X60" s="44" t="n"/>
      <c r="Y60" s="38" t="inlineStr">
        <is>
          <t>CARBON|Functional|Senior Functional Specialist|B1|B-IC</t>
        </is>
      </c>
    </row>
    <row r="61" ht="28" customHeight="1">
      <c r="A61" s="28" t="inlineStr">
        <is>
          <t>CARBON</t>
        </is>
      </c>
      <c r="B61" s="29" t="inlineStr">
        <is>
          <t>Functional</t>
        </is>
      </c>
      <c r="C61" s="75" t="inlineStr">
        <is>
          <t>A3</t>
        </is>
      </c>
      <c r="D61" s="29" t="inlineStr">
        <is>
          <t>Band A · Practitioner</t>
        </is>
      </c>
      <c r="E61" s="29" t="inlineStr">
        <is>
          <t>Functional Specialist</t>
        </is>
      </c>
      <c r="F61" s="29" t="inlineStr">
        <is>
          <t>Band A · all tracks</t>
        </is>
      </c>
      <c r="G61" s="29" t="inlineStr">
        <is>
          <t>Solution Consulting &amp; Implementation</t>
        </is>
      </c>
      <c r="H61" s="29" t="n">
        <v>3</v>
      </c>
      <c r="I61" s="29" t="inlineStr">
        <is>
          <t>Chirag Shah, Nandit Verma, Vishal Gujar</t>
        </is>
      </c>
      <c r="J61" s="34" t="str">
        <f>IFERROR(INDEX(RBD_C,MATCH("Solution Consulting &amp; Implementation|A3|A",RBD_KEY,0)),"M")</f>
        <v>H</v>
      </c>
      <c r="K61" s="35" t="str">
        <f>IFERROR(INDEX(RBD_Au,MATCH("Solution Consulting &amp; Implementation|A3|A",RBD_KEY,0)),"M")</f>
        <v>M</v>
      </c>
      <c r="L61" s="35" t="str">
        <f>IFERROR(INDEX(RBD_Ac,MATCH("Solution Consulting &amp; Implementation|A3|A",RBD_KEY,0)),"M")</f>
        <v>M</v>
      </c>
      <c r="M61" s="35" t="str">
        <f>IFERROR(INDEX(RBD_L,MATCH("Solution Consulting &amp; Implementation|A3|A",RBD_KEY,0)),"M")</f>
        <v>L</v>
      </c>
      <c r="N61" s="35" t="str">
        <f>IFERROR(INDEX(RBD_BI,MATCH("Solution Consulting &amp; Implementation|A3|A",RBD_KEY,0)),"M")</f>
        <v>L</v>
      </c>
      <c r="O61" s="35" t="str">
        <f>IFERROR(INDEX(RBD_Exp,MATCH("Solution Consulting &amp; Implementation|A3|A",RBD_KEY,0)),"M")</f>
        <v>L</v>
      </c>
      <c r="P61" s="35" t="str">
        <f>IFERROR(INDEX(RBD_Edu,MATCH("Solution Consulting &amp; Implementation|A3|A",RBD_KEY,0)),"M")</f>
        <v>L</v>
      </c>
      <c r="Q61" s="73">
        <f>IF(J61="","",IFERROR(INDEX(LMH_PTS,MATCH(J61,LMH_KEY,0))/SUM(IFERROR(INDEX(LMH_PTS,MATCH(J61,LMH_KEY,0)),0),IFERROR(INDEX(LMH_PTS,MATCH(K61,LMH_KEY,0)),0),IFERROR(INDEX(LMH_PTS,MATCH(L61,LMH_KEY,0)),0),IFERROR(INDEX(LMH_PTS,MATCH(M61,LMH_KEY,0)),0),IFERROR(INDEX(LMH_PTS,MATCH(N61,LMH_KEY,0)),0),IFERROR(INDEX(LMH_PTS,MATCH(O61,LMH_KEY,0)),0),IFERROR(INDEX(LMH_PTS,MATCH(P61,LMH_KEY,0)),0)),""))</f>
        <v>0.473684210526316</v>
      </c>
      <c r="R61" s="74">
        <f>IF(K61="","",IFERROR(INDEX(LMH_PTS,MATCH(K61,LMH_KEY,0))/SUM(IFERROR(INDEX(LMH_PTS,MATCH(J61,LMH_KEY,0)),0),IFERROR(INDEX(LMH_PTS,MATCH(K61,LMH_KEY,0)),0),IFERROR(INDEX(LMH_PTS,MATCH(L61,LMH_KEY,0)),0),IFERROR(INDEX(LMH_PTS,MATCH(M61,LMH_KEY,0)),0),IFERROR(INDEX(LMH_PTS,MATCH(N61,LMH_KEY,0)),0),IFERROR(INDEX(LMH_PTS,MATCH(O61,LMH_KEY,0)),0),IFERROR(INDEX(LMH_PTS,MATCH(P61,LMH_KEY,0)),0)),""))</f>
        <v>0.157894736842105</v>
      </c>
      <c r="S61" s="74">
        <f>IF(L61="","",IFERROR(INDEX(LMH_PTS,MATCH(L61,LMH_KEY,0))/SUM(IFERROR(INDEX(LMH_PTS,MATCH(J61,LMH_KEY,0)),0),IFERROR(INDEX(LMH_PTS,MATCH(K61,LMH_KEY,0)),0),IFERROR(INDEX(LMH_PTS,MATCH(L61,LMH_KEY,0)),0),IFERROR(INDEX(LMH_PTS,MATCH(M61,LMH_KEY,0)),0),IFERROR(INDEX(LMH_PTS,MATCH(N61,LMH_KEY,0)),0),IFERROR(INDEX(LMH_PTS,MATCH(O61,LMH_KEY,0)),0),IFERROR(INDEX(LMH_PTS,MATCH(P61,LMH_KEY,0)),0)),""))</f>
        <v>0.157894736842105</v>
      </c>
      <c r="T61" s="74">
        <f>IF(M61="","",IFERROR(INDEX(LMH_PTS,MATCH(M61,LMH_KEY,0))/SUM(IFERROR(INDEX(LMH_PTS,MATCH(J61,LMH_KEY,0)),0),IFERROR(INDEX(LMH_PTS,MATCH(K61,LMH_KEY,0)),0),IFERROR(INDEX(LMH_PTS,MATCH(L61,LMH_KEY,0)),0),IFERROR(INDEX(LMH_PTS,MATCH(M61,LMH_KEY,0)),0),IFERROR(INDEX(LMH_PTS,MATCH(N61,LMH_KEY,0)),0),IFERROR(INDEX(LMH_PTS,MATCH(O61,LMH_KEY,0)),0),IFERROR(INDEX(LMH_PTS,MATCH(P61,LMH_KEY,0)),0)),""))</f>
        <v>0.0526315789473684</v>
      </c>
      <c r="U61" s="74">
        <f>IF(N61="","",IFERROR(INDEX(LMH_PTS,MATCH(N61,LMH_KEY,0))/SUM(IFERROR(INDEX(LMH_PTS,MATCH(J61,LMH_KEY,0)),0),IFERROR(INDEX(LMH_PTS,MATCH(K61,LMH_KEY,0)),0),IFERROR(INDEX(LMH_PTS,MATCH(L61,LMH_KEY,0)),0),IFERROR(INDEX(LMH_PTS,MATCH(M61,LMH_KEY,0)),0),IFERROR(INDEX(LMH_PTS,MATCH(N61,LMH_KEY,0)),0),IFERROR(INDEX(LMH_PTS,MATCH(O61,LMH_KEY,0)),0),IFERROR(INDEX(LMH_PTS,MATCH(P61,LMH_KEY,0)),0)),""))</f>
        <v>0.0526315789473684</v>
      </c>
      <c r="V61" s="74">
        <f>IF(O61="","",IFERROR(INDEX(LMH_PTS,MATCH(O61,LMH_KEY,0))/SUM(IFERROR(INDEX(LMH_PTS,MATCH(J61,LMH_KEY,0)),0),IFERROR(INDEX(LMH_PTS,MATCH(K61,LMH_KEY,0)),0),IFERROR(INDEX(LMH_PTS,MATCH(L61,LMH_KEY,0)),0),IFERROR(INDEX(LMH_PTS,MATCH(M61,LMH_KEY,0)),0),IFERROR(INDEX(LMH_PTS,MATCH(N61,LMH_KEY,0)),0),IFERROR(INDEX(LMH_PTS,MATCH(O61,LMH_KEY,0)),0),IFERROR(INDEX(LMH_PTS,MATCH(P61,LMH_KEY,0)),0)),""))</f>
        <v>0.0526315789473684</v>
      </c>
      <c r="W61" s="74">
        <f>IF(P61="","",IFERROR(INDEX(LMH_PTS,MATCH(P61,LMH_KEY,0))/SUM(IFERROR(INDEX(LMH_PTS,MATCH(J61,LMH_KEY,0)),0),IFERROR(INDEX(LMH_PTS,MATCH(K61,LMH_KEY,0)),0),IFERROR(INDEX(LMH_PTS,MATCH(L61,LMH_KEY,0)),0),IFERROR(INDEX(LMH_PTS,MATCH(M61,LMH_KEY,0)),0),IFERROR(INDEX(LMH_PTS,MATCH(N61,LMH_KEY,0)),0),IFERROR(INDEX(LMH_PTS,MATCH(O61,LMH_KEY,0)),0),IFERROR(INDEX(LMH_PTS,MATCH(P61,LMH_KEY,0)),0)),""))</f>
        <v>0.0526315789473684</v>
      </c>
      <c r="X61" s="44" t="n"/>
      <c r="Y61" s="38" t="inlineStr">
        <is>
          <t>CARBON|Functional|Functional Specialist|A3|A</t>
        </is>
      </c>
    </row>
    <row r="62" ht="18" customHeight="1">
      <c r="A62" s="28" t="inlineStr">
        <is>
          <t>CARBON</t>
        </is>
      </c>
      <c r="B62" s="29" t="inlineStr">
        <is>
          <t>Functional</t>
        </is>
      </c>
      <c r="C62" s="75" t="inlineStr">
        <is>
          <t>A3</t>
        </is>
      </c>
      <c r="D62" s="29" t="inlineStr">
        <is>
          <t>Band A · Practitioner</t>
        </is>
      </c>
      <c r="E62" s="29" t="inlineStr">
        <is>
          <t>Senior Functional Analyst</t>
        </is>
      </c>
      <c r="F62" s="29" t="inlineStr">
        <is>
          <t>Band A · all tracks</t>
        </is>
      </c>
      <c r="G62" s="29" t="inlineStr">
        <is>
          <t>Solution Consulting &amp; Implementation</t>
        </is>
      </c>
      <c r="H62" s="29" t="n">
        <v>1</v>
      </c>
      <c r="I62" s="29" t="inlineStr">
        <is>
          <t>Prathamesh Patil</t>
        </is>
      </c>
      <c r="J62" s="34" t="str">
        <f>IFERROR(INDEX(RBD_C,MATCH("Solution Consulting &amp; Implementation|A3|A",RBD_KEY,0)),"M")</f>
        <v>H</v>
      </c>
      <c r="K62" s="35" t="str">
        <f>IFERROR(INDEX(RBD_Au,MATCH("Solution Consulting &amp; Implementation|A3|A",RBD_KEY,0)),"M")</f>
        <v>M</v>
      </c>
      <c r="L62" s="35" t="str">
        <f>IFERROR(INDEX(RBD_Ac,MATCH("Solution Consulting &amp; Implementation|A3|A",RBD_KEY,0)),"M")</f>
        <v>M</v>
      </c>
      <c r="M62" s="35" t="str">
        <f>IFERROR(INDEX(RBD_L,MATCH("Solution Consulting &amp; Implementation|A3|A",RBD_KEY,0)),"M")</f>
        <v>L</v>
      </c>
      <c r="N62" s="35" t="str">
        <f>IFERROR(INDEX(RBD_BI,MATCH("Solution Consulting &amp; Implementation|A3|A",RBD_KEY,0)),"M")</f>
        <v>L</v>
      </c>
      <c r="O62" s="35" t="str">
        <f>IFERROR(INDEX(RBD_Exp,MATCH("Solution Consulting &amp; Implementation|A3|A",RBD_KEY,0)),"M")</f>
        <v>L</v>
      </c>
      <c r="P62" s="35" t="str">
        <f>IFERROR(INDEX(RBD_Edu,MATCH("Solution Consulting &amp; Implementation|A3|A",RBD_KEY,0)),"M")</f>
        <v>L</v>
      </c>
      <c r="Q62" s="73">
        <f>IF(J62="","",IFERROR(INDEX(LMH_PTS,MATCH(J62,LMH_KEY,0))/SUM(IFERROR(INDEX(LMH_PTS,MATCH(J62,LMH_KEY,0)),0),IFERROR(INDEX(LMH_PTS,MATCH(K62,LMH_KEY,0)),0),IFERROR(INDEX(LMH_PTS,MATCH(L62,LMH_KEY,0)),0),IFERROR(INDEX(LMH_PTS,MATCH(M62,LMH_KEY,0)),0),IFERROR(INDEX(LMH_PTS,MATCH(N62,LMH_KEY,0)),0),IFERROR(INDEX(LMH_PTS,MATCH(O62,LMH_KEY,0)),0),IFERROR(INDEX(LMH_PTS,MATCH(P62,LMH_KEY,0)),0)),""))</f>
        <v>0.473684210526316</v>
      </c>
      <c r="R62" s="74">
        <f>IF(K62="","",IFERROR(INDEX(LMH_PTS,MATCH(K62,LMH_KEY,0))/SUM(IFERROR(INDEX(LMH_PTS,MATCH(J62,LMH_KEY,0)),0),IFERROR(INDEX(LMH_PTS,MATCH(K62,LMH_KEY,0)),0),IFERROR(INDEX(LMH_PTS,MATCH(L62,LMH_KEY,0)),0),IFERROR(INDEX(LMH_PTS,MATCH(M62,LMH_KEY,0)),0),IFERROR(INDEX(LMH_PTS,MATCH(N62,LMH_KEY,0)),0),IFERROR(INDEX(LMH_PTS,MATCH(O62,LMH_KEY,0)),0),IFERROR(INDEX(LMH_PTS,MATCH(P62,LMH_KEY,0)),0)),""))</f>
        <v>0.157894736842105</v>
      </c>
      <c r="S62" s="74">
        <f>IF(L62="","",IFERROR(INDEX(LMH_PTS,MATCH(L62,LMH_KEY,0))/SUM(IFERROR(INDEX(LMH_PTS,MATCH(J62,LMH_KEY,0)),0),IFERROR(INDEX(LMH_PTS,MATCH(K62,LMH_KEY,0)),0),IFERROR(INDEX(LMH_PTS,MATCH(L62,LMH_KEY,0)),0),IFERROR(INDEX(LMH_PTS,MATCH(M62,LMH_KEY,0)),0),IFERROR(INDEX(LMH_PTS,MATCH(N62,LMH_KEY,0)),0),IFERROR(INDEX(LMH_PTS,MATCH(O62,LMH_KEY,0)),0),IFERROR(INDEX(LMH_PTS,MATCH(P62,LMH_KEY,0)),0)),""))</f>
        <v>0.157894736842105</v>
      </c>
      <c r="T62" s="74">
        <f>IF(M62="","",IFERROR(INDEX(LMH_PTS,MATCH(M62,LMH_KEY,0))/SUM(IFERROR(INDEX(LMH_PTS,MATCH(J62,LMH_KEY,0)),0),IFERROR(INDEX(LMH_PTS,MATCH(K62,LMH_KEY,0)),0),IFERROR(INDEX(LMH_PTS,MATCH(L62,LMH_KEY,0)),0),IFERROR(INDEX(LMH_PTS,MATCH(M62,LMH_KEY,0)),0),IFERROR(INDEX(LMH_PTS,MATCH(N62,LMH_KEY,0)),0),IFERROR(INDEX(LMH_PTS,MATCH(O62,LMH_KEY,0)),0),IFERROR(INDEX(LMH_PTS,MATCH(P62,LMH_KEY,0)),0)),""))</f>
        <v>0.0526315789473684</v>
      </c>
      <c r="U62" s="74">
        <f>IF(N62="","",IFERROR(INDEX(LMH_PTS,MATCH(N62,LMH_KEY,0))/SUM(IFERROR(INDEX(LMH_PTS,MATCH(J62,LMH_KEY,0)),0),IFERROR(INDEX(LMH_PTS,MATCH(K62,LMH_KEY,0)),0),IFERROR(INDEX(LMH_PTS,MATCH(L62,LMH_KEY,0)),0),IFERROR(INDEX(LMH_PTS,MATCH(M62,LMH_KEY,0)),0),IFERROR(INDEX(LMH_PTS,MATCH(N62,LMH_KEY,0)),0),IFERROR(INDEX(LMH_PTS,MATCH(O62,LMH_KEY,0)),0),IFERROR(INDEX(LMH_PTS,MATCH(P62,LMH_KEY,0)),0)),""))</f>
        <v>0.0526315789473684</v>
      </c>
      <c r="V62" s="74">
        <f>IF(O62="","",IFERROR(INDEX(LMH_PTS,MATCH(O62,LMH_KEY,0))/SUM(IFERROR(INDEX(LMH_PTS,MATCH(J62,LMH_KEY,0)),0),IFERROR(INDEX(LMH_PTS,MATCH(K62,LMH_KEY,0)),0),IFERROR(INDEX(LMH_PTS,MATCH(L62,LMH_KEY,0)),0),IFERROR(INDEX(LMH_PTS,MATCH(M62,LMH_KEY,0)),0),IFERROR(INDEX(LMH_PTS,MATCH(N62,LMH_KEY,0)),0),IFERROR(INDEX(LMH_PTS,MATCH(O62,LMH_KEY,0)),0),IFERROR(INDEX(LMH_PTS,MATCH(P62,LMH_KEY,0)),0)),""))</f>
        <v>0.0526315789473684</v>
      </c>
      <c r="W62" s="74">
        <f>IF(P62="","",IFERROR(INDEX(LMH_PTS,MATCH(P62,LMH_KEY,0))/SUM(IFERROR(INDEX(LMH_PTS,MATCH(J62,LMH_KEY,0)),0),IFERROR(INDEX(LMH_PTS,MATCH(K62,LMH_KEY,0)),0),IFERROR(INDEX(LMH_PTS,MATCH(L62,LMH_KEY,0)),0),IFERROR(INDEX(LMH_PTS,MATCH(M62,LMH_KEY,0)),0),IFERROR(INDEX(LMH_PTS,MATCH(N62,LMH_KEY,0)),0),IFERROR(INDEX(LMH_PTS,MATCH(O62,LMH_KEY,0)),0),IFERROR(INDEX(LMH_PTS,MATCH(P62,LMH_KEY,0)),0)),""))</f>
        <v>0.0526315789473684</v>
      </c>
      <c r="X62" s="44" t="n"/>
      <c r="Y62" s="38" t="inlineStr">
        <is>
          <t>CARBON|Functional|Senior Functional Analyst|A3|A</t>
        </is>
      </c>
    </row>
    <row r="63" ht="18" customHeight="1">
      <c r="A63" s="28" t="inlineStr">
        <is>
          <t>CARBON</t>
        </is>
      </c>
      <c r="B63" s="29" t="inlineStr">
        <is>
          <t>Functional</t>
        </is>
      </c>
      <c r="C63" s="75" t="inlineStr">
        <is>
          <t>A3</t>
        </is>
      </c>
      <c r="D63" s="29" t="inlineStr">
        <is>
          <t>Band A · Practitioner</t>
        </is>
      </c>
      <c r="E63" s="29" t="inlineStr">
        <is>
          <t>Senior Product Associate</t>
        </is>
      </c>
      <c r="F63" s="29" t="inlineStr">
        <is>
          <t>Band A · all tracks</t>
        </is>
      </c>
      <c r="G63" s="29" t="inlineStr">
        <is>
          <t>Product Management</t>
        </is>
      </c>
      <c r="H63" s="29" t="n">
        <v>1</v>
      </c>
      <c r="I63" s="29" t="inlineStr">
        <is>
          <t>Watan Kumar Meena</t>
        </is>
      </c>
      <c r="J63" s="34" t="str">
        <f>IFERROR(INDEX(RBD_C,MATCH("Product Management|A3|A",RBD_KEY,0)),"M")</f>
        <v>H</v>
      </c>
      <c r="K63" s="35" t="str">
        <f>IFERROR(INDEX(RBD_Au,MATCH("Product Management|A3|A",RBD_KEY,0)),"M")</f>
        <v>M</v>
      </c>
      <c r="L63" s="35" t="str">
        <f>IFERROR(INDEX(RBD_Ac,MATCH("Product Management|A3|A",RBD_KEY,0)),"M")</f>
        <v>M</v>
      </c>
      <c r="M63" s="35" t="str">
        <f>IFERROR(INDEX(RBD_L,MATCH("Product Management|A3|A",RBD_KEY,0)),"M")</f>
        <v>L</v>
      </c>
      <c r="N63" s="35" t="str">
        <f>IFERROR(INDEX(RBD_BI,MATCH("Product Management|A3|A",RBD_KEY,0)),"M")</f>
        <v>L</v>
      </c>
      <c r="O63" s="35" t="str">
        <f>IFERROR(INDEX(RBD_Exp,MATCH("Product Management|A3|A",RBD_KEY,0)),"M")</f>
        <v>L</v>
      </c>
      <c r="P63" s="35" t="str">
        <f>IFERROR(INDEX(RBD_Edu,MATCH("Product Management|A3|A",RBD_KEY,0)),"M")</f>
        <v>L</v>
      </c>
      <c r="Q63" s="73">
        <f>IF(J63="","",IFERROR(INDEX(LMH_PTS,MATCH(J63,LMH_KEY,0))/SUM(IFERROR(INDEX(LMH_PTS,MATCH(J63,LMH_KEY,0)),0),IFERROR(INDEX(LMH_PTS,MATCH(K63,LMH_KEY,0)),0),IFERROR(INDEX(LMH_PTS,MATCH(L63,LMH_KEY,0)),0),IFERROR(INDEX(LMH_PTS,MATCH(M63,LMH_KEY,0)),0),IFERROR(INDEX(LMH_PTS,MATCH(N63,LMH_KEY,0)),0),IFERROR(INDEX(LMH_PTS,MATCH(O63,LMH_KEY,0)),0),IFERROR(INDEX(LMH_PTS,MATCH(P63,LMH_KEY,0)),0)),""))</f>
        <v>0.473684210526316</v>
      </c>
      <c r="R63" s="74">
        <f>IF(K63="","",IFERROR(INDEX(LMH_PTS,MATCH(K63,LMH_KEY,0))/SUM(IFERROR(INDEX(LMH_PTS,MATCH(J63,LMH_KEY,0)),0),IFERROR(INDEX(LMH_PTS,MATCH(K63,LMH_KEY,0)),0),IFERROR(INDEX(LMH_PTS,MATCH(L63,LMH_KEY,0)),0),IFERROR(INDEX(LMH_PTS,MATCH(M63,LMH_KEY,0)),0),IFERROR(INDEX(LMH_PTS,MATCH(N63,LMH_KEY,0)),0),IFERROR(INDEX(LMH_PTS,MATCH(O63,LMH_KEY,0)),0),IFERROR(INDEX(LMH_PTS,MATCH(P63,LMH_KEY,0)),0)),""))</f>
        <v>0.157894736842105</v>
      </c>
      <c r="S63" s="74">
        <f>IF(L63="","",IFERROR(INDEX(LMH_PTS,MATCH(L63,LMH_KEY,0))/SUM(IFERROR(INDEX(LMH_PTS,MATCH(J63,LMH_KEY,0)),0),IFERROR(INDEX(LMH_PTS,MATCH(K63,LMH_KEY,0)),0),IFERROR(INDEX(LMH_PTS,MATCH(L63,LMH_KEY,0)),0),IFERROR(INDEX(LMH_PTS,MATCH(M63,LMH_KEY,0)),0),IFERROR(INDEX(LMH_PTS,MATCH(N63,LMH_KEY,0)),0),IFERROR(INDEX(LMH_PTS,MATCH(O63,LMH_KEY,0)),0),IFERROR(INDEX(LMH_PTS,MATCH(P63,LMH_KEY,0)),0)),""))</f>
        <v>0.157894736842105</v>
      </c>
      <c r="T63" s="74">
        <f>IF(M63="","",IFERROR(INDEX(LMH_PTS,MATCH(M63,LMH_KEY,0))/SUM(IFERROR(INDEX(LMH_PTS,MATCH(J63,LMH_KEY,0)),0),IFERROR(INDEX(LMH_PTS,MATCH(K63,LMH_KEY,0)),0),IFERROR(INDEX(LMH_PTS,MATCH(L63,LMH_KEY,0)),0),IFERROR(INDEX(LMH_PTS,MATCH(M63,LMH_KEY,0)),0),IFERROR(INDEX(LMH_PTS,MATCH(N63,LMH_KEY,0)),0),IFERROR(INDEX(LMH_PTS,MATCH(O63,LMH_KEY,0)),0),IFERROR(INDEX(LMH_PTS,MATCH(P63,LMH_KEY,0)),0)),""))</f>
        <v>0.0526315789473684</v>
      </c>
      <c r="U63" s="74">
        <f>IF(N63="","",IFERROR(INDEX(LMH_PTS,MATCH(N63,LMH_KEY,0))/SUM(IFERROR(INDEX(LMH_PTS,MATCH(J63,LMH_KEY,0)),0),IFERROR(INDEX(LMH_PTS,MATCH(K63,LMH_KEY,0)),0),IFERROR(INDEX(LMH_PTS,MATCH(L63,LMH_KEY,0)),0),IFERROR(INDEX(LMH_PTS,MATCH(M63,LMH_KEY,0)),0),IFERROR(INDEX(LMH_PTS,MATCH(N63,LMH_KEY,0)),0),IFERROR(INDEX(LMH_PTS,MATCH(O63,LMH_KEY,0)),0),IFERROR(INDEX(LMH_PTS,MATCH(P63,LMH_KEY,0)),0)),""))</f>
        <v>0.0526315789473684</v>
      </c>
      <c r="V63" s="74">
        <f>IF(O63="","",IFERROR(INDEX(LMH_PTS,MATCH(O63,LMH_KEY,0))/SUM(IFERROR(INDEX(LMH_PTS,MATCH(J63,LMH_KEY,0)),0),IFERROR(INDEX(LMH_PTS,MATCH(K63,LMH_KEY,0)),0),IFERROR(INDEX(LMH_PTS,MATCH(L63,LMH_KEY,0)),0),IFERROR(INDEX(LMH_PTS,MATCH(M63,LMH_KEY,0)),0),IFERROR(INDEX(LMH_PTS,MATCH(N63,LMH_KEY,0)),0),IFERROR(INDEX(LMH_PTS,MATCH(O63,LMH_KEY,0)),0),IFERROR(INDEX(LMH_PTS,MATCH(P63,LMH_KEY,0)),0)),""))</f>
        <v>0.0526315789473684</v>
      </c>
      <c r="W63" s="74">
        <f>IF(P63="","",IFERROR(INDEX(LMH_PTS,MATCH(P63,LMH_KEY,0))/SUM(IFERROR(INDEX(LMH_PTS,MATCH(J63,LMH_KEY,0)),0),IFERROR(INDEX(LMH_PTS,MATCH(K63,LMH_KEY,0)),0),IFERROR(INDEX(LMH_PTS,MATCH(L63,LMH_KEY,0)),0),IFERROR(INDEX(LMH_PTS,MATCH(M63,LMH_KEY,0)),0),IFERROR(INDEX(LMH_PTS,MATCH(N63,LMH_KEY,0)),0),IFERROR(INDEX(LMH_PTS,MATCH(O63,LMH_KEY,0)),0),IFERROR(INDEX(LMH_PTS,MATCH(P63,LMH_KEY,0)),0)),""))</f>
        <v>0.0526315789473684</v>
      </c>
      <c r="X63" s="44" t="n"/>
      <c r="Y63" s="38" t="inlineStr">
        <is>
          <t>CARBON|Functional|Senior Product Associate|A3|A</t>
        </is>
      </c>
    </row>
    <row r="64" ht="18" customHeight="1">
      <c r="A64" s="28" t="inlineStr">
        <is>
          <t>CARBON</t>
        </is>
      </c>
      <c r="B64" s="71" t="inlineStr">
        <is>
          <t>Marketing</t>
        </is>
      </c>
      <c r="C64" s="72" t="inlineStr">
        <is>
          <t>B3</t>
        </is>
      </c>
      <c r="D64" s="29" t="inlineStr">
        <is>
          <t>Band B · Specialist / Manager</t>
        </is>
      </c>
      <c r="E64" s="29" t="inlineStr">
        <is>
          <t>Senior Marketing Manager</t>
        </is>
      </c>
      <c r="F64" s="29" t="inlineStr">
        <is>
          <t>Band B · People Manager</t>
        </is>
      </c>
      <c r="G64" s="29" t="inlineStr">
        <is>
          <t>Marketing &amp; Communications</t>
        </is>
      </c>
      <c r="H64" s="29" t="n">
        <v>1</v>
      </c>
      <c r="I64" s="29" t="inlineStr">
        <is>
          <t>Saahit Togaru</t>
        </is>
      </c>
      <c r="J64" s="34" t="str">
        <f>IFERROR(INDEX(RBD_C,MATCH("Marketing &amp; Communications|B3|B-M",RBD_KEY,0)),"M")</f>
        <v>H</v>
      </c>
      <c r="K64" s="35" t="str">
        <f>IFERROR(INDEX(RBD_Au,MATCH("Marketing &amp; Communications|B3|B-M",RBD_KEY,0)),"M")</f>
        <v>M</v>
      </c>
      <c r="L64" s="35" t="str">
        <f>IFERROR(INDEX(RBD_Ac,MATCH("Marketing &amp; Communications|B3|B-M",RBD_KEY,0)),"M")</f>
        <v>L</v>
      </c>
      <c r="M64" s="35" t="str">
        <f>IFERROR(INDEX(RBD_L,MATCH("Marketing &amp; Communications|B3|B-M",RBD_KEY,0)),"M")</f>
        <v>M</v>
      </c>
      <c r="N64" s="35" t="str">
        <f>IFERROR(INDEX(RBD_BI,MATCH("Marketing &amp; Communications|B3|B-M",RBD_KEY,0)),"M")</f>
        <v>M</v>
      </c>
      <c r="O64" s="35" t="str">
        <f>IFERROR(INDEX(RBD_Exp,MATCH("Marketing &amp; Communications|B3|B-M",RBD_KEY,0)),"M")</f>
        <v>L</v>
      </c>
      <c r="P64" s="35" t="str">
        <f>IFERROR(INDEX(RBD_Edu,MATCH("Marketing &amp; Communications|B3|B-M",RBD_KEY,0)),"M")</f>
        <v>L</v>
      </c>
      <c r="Q64" s="73">
        <f>IF(J64="","",IFERROR(INDEX(LMH_PTS,MATCH(J64,LMH_KEY,0))/SUM(IFERROR(INDEX(LMH_PTS,MATCH(J64,LMH_KEY,0)),0),IFERROR(INDEX(LMH_PTS,MATCH(K64,LMH_KEY,0)),0),IFERROR(INDEX(LMH_PTS,MATCH(L64,LMH_KEY,0)),0),IFERROR(INDEX(LMH_PTS,MATCH(M64,LMH_KEY,0)),0),IFERROR(INDEX(LMH_PTS,MATCH(N64,LMH_KEY,0)),0),IFERROR(INDEX(LMH_PTS,MATCH(O64,LMH_KEY,0)),0),IFERROR(INDEX(LMH_PTS,MATCH(P64,LMH_KEY,0)),0)),""))</f>
        <v>0.428571428571429</v>
      </c>
      <c r="R64" s="74">
        <f>IF(K64="","",IFERROR(INDEX(LMH_PTS,MATCH(K64,LMH_KEY,0))/SUM(IFERROR(INDEX(LMH_PTS,MATCH(J64,LMH_KEY,0)),0),IFERROR(INDEX(LMH_PTS,MATCH(K64,LMH_KEY,0)),0),IFERROR(INDEX(LMH_PTS,MATCH(L64,LMH_KEY,0)),0),IFERROR(INDEX(LMH_PTS,MATCH(M64,LMH_KEY,0)),0),IFERROR(INDEX(LMH_PTS,MATCH(N64,LMH_KEY,0)),0),IFERROR(INDEX(LMH_PTS,MATCH(O64,LMH_KEY,0)),0),IFERROR(INDEX(LMH_PTS,MATCH(P64,LMH_KEY,0)),0)),""))</f>
        <v>0.142857142857143</v>
      </c>
      <c r="S64" s="74">
        <f>IF(L64="","",IFERROR(INDEX(LMH_PTS,MATCH(L64,LMH_KEY,0))/SUM(IFERROR(INDEX(LMH_PTS,MATCH(J64,LMH_KEY,0)),0),IFERROR(INDEX(LMH_PTS,MATCH(K64,LMH_KEY,0)),0),IFERROR(INDEX(LMH_PTS,MATCH(L64,LMH_KEY,0)),0),IFERROR(INDEX(LMH_PTS,MATCH(M64,LMH_KEY,0)),0),IFERROR(INDEX(LMH_PTS,MATCH(N64,LMH_KEY,0)),0),IFERROR(INDEX(LMH_PTS,MATCH(O64,LMH_KEY,0)),0),IFERROR(INDEX(LMH_PTS,MATCH(P64,LMH_KEY,0)),0)),""))</f>
        <v>0.0476190476190476</v>
      </c>
      <c r="T64" s="74">
        <f>IF(M64="","",IFERROR(INDEX(LMH_PTS,MATCH(M64,LMH_KEY,0))/SUM(IFERROR(INDEX(LMH_PTS,MATCH(J64,LMH_KEY,0)),0),IFERROR(INDEX(LMH_PTS,MATCH(K64,LMH_KEY,0)),0),IFERROR(INDEX(LMH_PTS,MATCH(L64,LMH_KEY,0)),0),IFERROR(INDEX(LMH_PTS,MATCH(M64,LMH_KEY,0)),0),IFERROR(INDEX(LMH_PTS,MATCH(N64,LMH_KEY,0)),0),IFERROR(INDEX(LMH_PTS,MATCH(O64,LMH_KEY,0)),0),IFERROR(INDEX(LMH_PTS,MATCH(P64,LMH_KEY,0)),0)),""))</f>
        <v>0.142857142857143</v>
      </c>
      <c r="U64" s="74">
        <f>IF(N64="","",IFERROR(INDEX(LMH_PTS,MATCH(N64,LMH_KEY,0))/SUM(IFERROR(INDEX(LMH_PTS,MATCH(J64,LMH_KEY,0)),0),IFERROR(INDEX(LMH_PTS,MATCH(K64,LMH_KEY,0)),0),IFERROR(INDEX(LMH_PTS,MATCH(L64,LMH_KEY,0)),0),IFERROR(INDEX(LMH_PTS,MATCH(M64,LMH_KEY,0)),0),IFERROR(INDEX(LMH_PTS,MATCH(N64,LMH_KEY,0)),0),IFERROR(INDEX(LMH_PTS,MATCH(O64,LMH_KEY,0)),0),IFERROR(INDEX(LMH_PTS,MATCH(P64,LMH_KEY,0)),0)),""))</f>
        <v>0.142857142857143</v>
      </c>
      <c r="V64" s="74">
        <f>IF(O64="","",IFERROR(INDEX(LMH_PTS,MATCH(O64,LMH_KEY,0))/SUM(IFERROR(INDEX(LMH_PTS,MATCH(J64,LMH_KEY,0)),0),IFERROR(INDEX(LMH_PTS,MATCH(K64,LMH_KEY,0)),0),IFERROR(INDEX(LMH_PTS,MATCH(L64,LMH_KEY,0)),0),IFERROR(INDEX(LMH_PTS,MATCH(M64,LMH_KEY,0)),0),IFERROR(INDEX(LMH_PTS,MATCH(N64,LMH_KEY,0)),0),IFERROR(INDEX(LMH_PTS,MATCH(O64,LMH_KEY,0)),0),IFERROR(INDEX(LMH_PTS,MATCH(P64,LMH_KEY,0)),0)),""))</f>
        <v>0.0476190476190476</v>
      </c>
      <c r="W64" s="74">
        <f>IF(P64="","",IFERROR(INDEX(LMH_PTS,MATCH(P64,LMH_KEY,0))/SUM(IFERROR(INDEX(LMH_PTS,MATCH(J64,LMH_KEY,0)),0),IFERROR(INDEX(LMH_PTS,MATCH(K64,LMH_KEY,0)),0),IFERROR(INDEX(LMH_PTS,MATCH(L64,LMH_KEY,0)),0),IFERROR(INDEX(LMH_PTS,MATCH(M64,LMH_KEY,0)),0),IFERROR(INDEX(LMH_PTS,MATCH(N64,LMH_KEY,0)),0),IFERROR(INDEX(LMH_PTS,MATCH(O64,LMH_KEY,0)),0),IFERROR(INDEX(LMH_PTS,MATCH(P64,LMH_KEY,0)),0)),""))</f>
        <v>0.0476190476190476</v>
      </c>
      <c r="X64" s="44" t="n"/>
      <c r="Y64" s="38" t="inlineStr">
        <is>
          <t>CARBON|Marketing|Senior Marketing Manager|B3|B-M</t>
        </is>
      </c>
    </row>
    <row r="65" ht="18" customHeight="1">
      <c r="A65" s="28" t="inlineStr">
        <is>
          <t>CARBON</t>
        </is>
      </c>
      <c r="B65" s="29" t="inlineStr">
        <is>
          <t>Marketing</t>
        </is>
      </c>
      <c r="C65" s="72" t="inlineStr">
        <is>
          <t>B2</t>
        </is>
      </c>
      <c r="D65" s="29" t="inlineStr">
        <is>
          <t>Band B · Specialist / Manager</t>
        </is>
      </c>
      <c r="E65" s="29" t="inlineStr">
        <is>
          <t>Marketing Manager</t>
        </is>
      </c>
      <c r="F65" s="29" t="inlineStr">
        <is>
          <t>Band B · People Manager</t>
        </is>
      </c>
      <c r="G65" s="29" t="inlineStr">
        <is>
          <t>Marketing &amp; Communications</t>
        </is>
      </c>
      <c r="H65" s="29" t="n">
        <v>1</v>
      </c>
      <c r="I65" s="29" t="inlineStr">
        <is>
          <t>Sobhan Pramanik</t>
        </is>
      </c>
      <c r="J65" s="34" t="str">
        <f>IFERROR(INDEX(RBD_C,MATCH("Marketing &amp; Communications|B2|B-M",RBD_KEY,0)),"M")</f>
        <v>H</v>
      </c>
      <c r="K65" s="35" t="str">
        <f>IFERROR(INDEX(RBD_Au,MATCH("Marketing &amp; Communications|B2|B-M",RBD_KEY,0)),"M")</f>
        <v>M</v>
      </c>
      <c r="L65" s="35" t="str">
        <f>IFERROR(INDEX(RBD_Ac,MATCH("Marketing &amp; Communications|B2|B-M",RBD_KEY,0)),"M")</f>
        <v>L</v>
      </c>
      <c r="M65" s="35" t="str">
        <f>IFERROR(INDEX(RBD_L,MATCH("Marketing &amp; Communications|B2|B-M",RBD_KEY,0)),"M")</f>
        <v>M</v>
      </c>
      <c r="N65" s="35" t="str">
        <f>IFERROR(INDEX(RBD_BI,MATCH("Marketing &amp; Communications|B2|B-M",RBD_KEY,0)),"M")</f>
        <v>M</v>
      </c>
      <c r="O65" s="35" t="str">
        <f>IFERROR(INDEX(RBD_Exp,MATCH("Marketing &amp; Communications|B2|B-M",RBD_KEY,0)),"M")</f>
        <v>L</v>
      </c>
      <c r="P65" s="35" t="str">
        <f>IFERROR(INDEX(RBD_Edu,MATCH("Marketing &amp; Communications|B2|B-M",RBD_KEY,0)),"M")</f>
        <v>L</v>
      </c>
      <c r="Q65" s="73">
        <f>IF(J65="","",IFERROR(INDEX(LMH_PTS,MATCH(J65,LMH_KEY,0))/SUM(IFERROR(INDEX(LMH_PTS,MATCH(J65,LMH_KEY,0)),0),IFERROR(INDEX(LMH_PTS,MATCH(K65,LMH_KEY,0)),0),IFERROR(INDEX(LMH_PTS,MATCH(L65,LMH_KEY,0)),0),IFERROR(INDEX(LMH_PTS,MATCH(M65,LMH_KEY,0)),0),IFERROR(INDEX(LMH_PTS,MATCH(N65,LMH_KEY,0)),0),IFERROR(INDEX(LMH_PTS,MATCH(O65,LMH_KEY,0)),0),IFERROR(INDEX(LMH_PTS,MATCH(P65,LMH_KEY,0)),0)),""))</f>
        <v>0.428571428571429</v>
      </c>
      <c r="R65" s="74">
        <f>IF(K65="","",IFERROR(INDEX(LMH_PTS,MATCH(K65,LMH_KEY,0))/SUM(IFERROR(INDEX(LMH_PTS,MATCH(J65,LMH_KEY,0)),0),IFERROR(INDEX(LMH_PTS,MATCH(K65,LMH_KEY,0)),0),IFERROR(INDEX(LMH_PTS,MATCH(L65,LMH_KEY,0)),0),IFERROR(INDEX(LMH_PTS,MATCH(M65,LMH_KEY,0)),0),IFERROR(INDEX(LMH_PTS,MATCH(N65,LMH_KEY,0)),0),IFERROR(INDEX(LMH_PTS,MATCH(O65,LMH_KEY,0)),0),IFERROR(INDEX(LMH_PTS,MATCH(P65,LMH_KEY,0)),0)),""))</f>
        <v>0.142857142857143</v>
      </c>
      <c r="S65" s="74">
        <f>IF(L65="","",IFERROR(INDEX(LMH_PTS,MATCH(L65,LMH_KEY,0))/SUM(IFERROR(INDEX(LMH_PTS,MATCH(J65,LMH_KEY,0)),0),IFERROR(INDEX(LMH_PTS,MATCH(K65,LMH_KEY,0)),0),IFERROR(INDEX(LMH_PTS,MATCH(L65,LMH_KEY,0)),0),IFERROR(INDEX(LMH_PTS,MATCH(M65,LMH_KEY,0)),0),IFERROR(INDEX(LMH_PTS,MATCH(N65,LMH_KEY,0)),0),IFERROR(INDEX(LMH_PTS,MATCH(O65,LMH_KEY,0)),0),IFERROR(INDEX(LMH_PTS,MATCH(P65,LMH_KEY,0)),0)),""))</f>
        <v>0.0476190476190476</v>
      </c>
      <c r="T65" s="74">
        <f>IF(M65="","",IFERROR(INDEX(LMH_PTS,MATCH(M65,LMH_KEY,0))/SUM(IFERROR(INDEX(LMH_PTS,MATCH(J65,LMH_KEY,0)),0),IFERROR(INDEX(LMH_PTS,MATCH(K65,LMH_KEY,0)),0),IFERROR(INDEX(LMH_PTS,MATCH(L65,LMH_KEY,0)),0),IFERROR(INDEX(LMH_PTS,MATCH(M65,LMH_KEY,0)),0),IFERROR(INDEX(LMH_PTS,MATCH(N65,LMH_KEY,0)),0),IFERROR(INDEX(LMH_PTS,MATCH(O65,LMH_KEY,0)),0),IFERROR(INDEX(LMH_PTS,MATCH(P65,LMH_KEY,0)),0)),""))</f>
        <v>0.142857142857143</v>
      </c>
      <c r="U65" s="74">
        <f>IF(N65="","",IFERROR(INDEX(LMH_PTS,MATCH(N65,LMH_KEY,0))/SUM(IFERROR(INDEX(LMH_PTS,MATCH(J65,LMH_KEY,0)),0),IFERROR(INDEX(LMH_PTS,MATCH(K65,LMH_KEY,0)),0),IFERROR(INDEX(LMH_PTS,MATCH(L65,LMH_KEY,0)),0),IFERROR(INDEX(LMH_PTS,MATCH(M65,LMH_KEY,0)),0),IFERROR(INDEX(LMH_PTS,MATCH(N65,LMH_KEY,0)),0),IFERROR(INDEX(LMH_PTS,MATCH(O65,LMH_KEY,0)),0),IFERROR(INDEX(LMH_PTS,MATCH(P65,LMH_KEY,0)),0)),""))</f>
        <v>0.142857142857143</v>
      </c>
      <c r="V65" s="74">
        <f>IF(O65="","",IFERROR(INDEX(LMH_PTS,MATCH(O65,LMH_KEY,0))/SUM(IFERROR(INDEX(LMH_PTS,MATCH(J65,LMH_KEY,0)),0),IFERROR(INDEX(LMH_PTS,MATCH(K65,LMH_KEY,0)),0),IFERROR(INDEX(LMH_PTS,MATCH(L65,LMH_KEY,0)),0),IFERROR(INDEX(LMH_PTS,MATCH(M65,LMH_KEY,0)),0),IFERROR(INDEX(LMH_PTS,MATCH(N65,LMH_KEY,0)),0),IFERROR(INDEX(LMH_PTS,MATCH(O65,LMH_KEY,0)),0),IFERROR(INDEX(LMH_PTS,MATCH(P65,LMH_KEY,0)),0)),""))</f>
        <v>0.0476190476190476</v>
      </c>
      <c r="W65" s="74">
        <f>IF(P65="","",IFERROR(INDEX(LMH_PTS,MATCH(P65,LMH_KEY,0))/SUM(IFERROR(INDEX(LMH_PTS,MATCH(J65,LMH_KEY,0)),0),IFERROR(INDEX(LMH_PTS,MATCH(K65,LMH_KEY,0)),0),IFERROR(INDEX(LMH_PTS,MATCH(L65,LMH_KEY,0)),0),IFERROR(INDEX(LMH_PTS,MATCH(M65,LMH_KEY,0)),0),IFERROR(INDEX(LMH_PTS,MATCH(N65,LMH_KEY,0)),0),IFERROR(INDEX(LMH_PTS,MATCH(O65,LMH_KEY,0)),0),IFERROR(INDEX(LMH_PTS,MATCH(P65,LMH_KEY,0)),0)),""))</f>
        <v>0.0476190476190476</v>
      </c>
      <c r="X65" s="44" t="n"/>
      <c r="Y65" s="38" t="inlineStr">
        <is>
          <t>CARBON|Marketing|Marketing Manager|B2|B-M</t>
        </is>
      </c>
    </row>
    <row r="66" ht="28" customHeight="1">
      <c r="A66" s="28" t="inlineStr">
        <is>
          <t>CARBON</t>
        </is>
      </c>
      <c r="B66" s="29" t="inlineStr">
        <is>
          <t>Marketing</t>
        </is>
      </c>
      <c r="C66" s="72" t="inlineStr">
        <is>
          <t>B2</t>
        </is>
      </c>
      <c r="D66" s="29" t="inlineStr">
        <is>
          <t>Band B · Specialist / Manager</t>
        </is>
      </c>
      <c r="E66" s="29" t="inlineStr">
        <is>
          <t>Senior Account Executive – POD Lead</t>
        </is>
      </c>
      <c r="F66" s="29" t="inlineStr">
        <is>
          <t>Band B · Specialist / POD Lead</t>
        </is>
      </c>
      <c r="G66" s="29" t="inlineStr">
        <is>
          <t>Sales &amp; Business Development</t>
        </is>
      </c>
      <c r="H66" s="29" t="n">
        <v>1</v>
      </c>
      <c r="I66" s="29" t="inlineStr">
        <is>
          <t>Prashant Sharad Jadhav</t>
        </is>
      </c>
      <c r="J66" s="34" t="str">
        <f>IFERROR(INDEX(RBD_C,MATCH("Sales &amp; Business Development|B2|B-IC",RBD_KEY,0)),"M")</f>
        <v>H</v>
      </c>
      <c r="K66" s="35" t="str">
        <f>IFERROR(INDEX(RBD_Au,MATCH("Sales &amp; Business Development|B2|B-IC",RBD_KEY,0)),"M")</f>
        <v>M</v>
      </c>
      <c r="L66" s="35" t="str">
        <f>IFERROR(INDEX(RBD_Ac,MATCH("Sales &amp; Business Development|B2|B-IC",RBD_KEY,0)),"M")</f>
        <v>L</v>
      </c>
      <c r="M66" s="35" t="str">
        <f>IFERROR(INDEX(RBD_L,MATCH("Sales &amp; Business Development|B2|B-IC",RBD_KEY,0)),"M")</f>
        <v>L</v>
      </c>
      <c r="N66" s="35" t="str">
        <f>IFERROR(INDEX(RBD_BI,MATCH("Sales &amp; Business Development|B2|B-IC",RBD_KEY,0)),"M")</f>
        <v>M</v>
      </c>
      <c r="O66" s="35" t="str">
        <f>IFERROR(INDEX(RBD_Exp,MATCH("Sales &amp; Business Development|B2|B-IC",RBD_KEY,0)),"M")</f>
        <v>L</v>
      </c>
      <c r="P66" s="35" t="str">
        <f>IFERROR(INDEX(RBD_Edu,MATCH("Sales &amp; Business Development|B2|B-IC",RBD_KEY,0)),"M")</f>
        <v>L</v>
      </c>
      <c r="Q66" s="73">
        <f>IF(J66="","",IFERROR(INDEX(LMH_PTS,MATCH(J66,LMH_KEY,0))/SUM(IFERROR(INDEX(LMH_PTS,MATCH(J66,LMH_KEY,0)),0),IFERROR(INDEX(LMH_PTS,MATCH(K66,LMH_KEY,0)),0),IFERROR(INDEX(LMH_PTS,MATCH(L66,LMH_KEY,0)),0),IFERROR(INDEX(LMH_PTS,MATCH(M66,LMH_KEY,0)),0),IFERROR(INDEX(LMH_PTS,MATCH(N66,LMH_KEY,0)),0),IFERROR(INDEX(LMH_PTS,MATCH(O66,LMH_KEY,0)),0),IFERROR(INDEX(LMH_PTS,MATCH(P66,LMH_KEY,0)),0)),""))</f>
        <v>0.473684210526316</v>
      </c>
      <c r="R66" s="74">
        <f>IF(K66="","",IFERROR(INDEX(LMH_PTS,MATCH(K66,LMH_KEY,0))/SUM(IFERROR(INDEX(LMH_PTS,MATCH(J66,LMH_KEY,0)),0),IFERROR(INDEX(LMH_PTS,MATCH(K66,LMH_KEY,0)),0),IFERROR(INDEX(LMH_PTS,MATCH(L66,LMH_KEY,0)),0),IFERROR(INDEX(LMH_PTS,MATCH(M66,LMH_KEY,0)),0),IFERROR(INDEX(LMH_PTS,MATCH(N66,LMH_KEY,0)),0),IFERROR(INDEX(LMH_PTS,MATCH(O66,LMH_KEY,0)),0),IFERROR(INDEX(LMH_PTS,MATCH(P66,LMH_KEY,0)),0)),""))</f>
        <v>0.157894736842105</v>
      </c>
      <c r="S66" s="74">
        <f>IF(L66="","",IFERROR(INDEX(LMH_PTS,MATCH(L66,LMH_KEY,0))/SUM(IFERROR(INDEX(LMH_PTS,MATCH(J66,LMH_KEY,0)),0),IFERROR(INDEX(LMH_PTS,MATCH(K66,LMH_KEY,0)),0),IFERROR(INDEX(LMH_PTS,MATCH(L66,LMH_KEY,0)),0),IFERROR(INDEX(LMH_PTS,MATCH(M66,LMH_KEY,0)),0),IFERROR(INDEX(LMH_PTS,MATCH(N66,LMH_KEY,0)),0),IFERROR(INDEX(LMH_PTS,MATCH(O66,LMH_KEY,0)),0),IFERROR(INDEX(LMH_PTS,MATCH(P66,LMH_KEY,0)),0)),""))</f>
        <v>0.0526315789473684</v>
      </c>
      <c r="T66" s="74">
        <f>IF(M66="","",IFERROR(INDEX(LMH_PTS,MATCH(M66,LMH_KEY,0))/SUM(IFERROR(INDEX(LMH_PTS,MATCH(J66,LMH_KEY,0)),0),IFERROR(INDEX(LMH_PTS,MATCH(K66,LMH_KEY,0)),0),IFERROR(INDEX(LMH_PTS,MATCH(L66,LMH_KEY,0)),0),IFERROR(INDEX(LMH_PTS,MATCH(M66,LMH_KEY,0)),0),IFERROR(INDEX(LMH_PTS,MATCH(N66,LMH_KEY,0)),0),IFERROR(INDEX(LMH_PTS,MATCH(O66,LMH_KEY,0)),0),IFERROR(INDEX(LMH_PTS,MATCH(P66,LMH_KEY,0)),0)),""))</f>
        <v>0.0526315789473684</v>
      </c>
      <c r="U66" s="74">
        <f>IF(N66="","",IFERROR(INDEX(LMH_PTS,MATCH(N66,LMH_KEY,0))/SUM(IFERROR(INDEX(LMH_PTS,MATCH(J66,LMH_KEY,0)),0),IFERROR(INDEX(LMH_PTS,MATCH(K66,LMH_KEY,0)),0),IFERROR(INDEX(LMH_PTS,MATCH(L66,LMH_KEY,0)),0),IFERROR(INDEX(LMH_PTS,MATCH(M66,LMH_KEY,0)),0),IFERROR(INDEX(LMH_PTS,MATCH(N66,LMH_KEY,0)),0),IFERROR(INDEX(LMH_PTS,MATCH(O66,LMH_KEY,0)),0),IFERROR(INDEX(LMH_PTS,MATCH(P66,LMH_KEY,0)),0)),""))</f>
        <v>0.157894736842105</v>
      </c>
      <c r="V66" s="74">
        <f>IF(O66="","",IFERROR(INDEX(LMH_PTS,MATCH(O66,LMH_KEY,0))/SUM(IFERROR(INDEX(LMH_PTS,MATCH(J66,LMH_KEY,0)),0),IFERROR(INDEX(LMH_PTS,MATCH(K66,LMH_KEY,0)),0),IFERROR(INDEX(LMH_PTS,MATCH(L66,LMH_KEY,0)),0),IFERROR(INDEX(LMH_PTS,MATCH(M66,LMH_KEY,0)),0),IFERROR(INDEX(LMH_PTS,MATCH(N66,LMH_KEY,0)),0),IFERROR(INDEX(LMH_PTS,MATCH(O66,LMH_KEY,0)),0),IFERROR(INDEX(LMH_PTS,MATCH(P66,LMH_KEY,0)),0)),""))</f>
        <v>0.0526315789473684</v>
      </c>
      <c r="W66" s="74">
        <f>IF(P66="","",IFERROR(INDEX(LMH_PTS,MATCH(P66,LMH_KEY,0))/SUM(IFERROR(INDEX(LMH_PTS,MATCH(J66,LMH_KEY,0)),0),IFERROR(INDEX(LMH_PTS,MATCH(K66,LMH_KEY,0)),0),IFERROR(INDEX(LMH_PTS,MATCH(L66,LMH_KEY,0)),0),IFERROR(INDEX(LMH_PTS,MATCH(M66,LMH_KEY,0)),0),IFERROR(INDEX(LMH_PTS,MATCH(N66,LMH_KEY,0)),0),IFERROR(INDEX(LMH_PTS,MATCH(O66,LMH_KEY,0)),0),IFERROR(INDEX(LMH_PTS,MATCH(P66,LMH_KEY,0)),0)),""))</f>
        <v>0.0526315789473684</v>
      </c>
      <c r="X66" s="44" t="n"/>
      <c r="Y66" s="38" t="inlineStr">
        <is>
          <t>CARBON|Marketing|Senior Account Executive – POD Lead|B2|B-IC</t>
        </is>
      </c>
    </row>
    <row r="67" ht="28" customHeight="1">
      <c r="A67" s="28" t="inlineStr">
        <is>
          <t>CARBON</t>
        </is>
      </c>
      <c r="B67" s="29" t="inlineStr">
        <is>
          <t>Marketing</t>
        </is>
      </c>
      <c r="C67" s="72" t="inlineStr">
        <is>
          <t>B2</t>
        </is>
      </c>
      <c r="D67" s="29" t="inlineStr">
        <is>
          <t>Band B · Specialist / Manager</t>
        </is>
      </c>
      <c r="E67" s="29" t="inlineStr">
        <is>
          <t>Senior Marketing Specialist – POD Lead</t>
        </is>
      </c>
      <c r="F67" s="29" t="inlineStr">
        <is>
          <t>Band B · Specialist / POD Lead</t>
        </is>
      </c>
      <c r="G67" s="29" t="inlineStr">
        <is>
          <t>Marketing &amp; Communications</t>
        </is>
      </c>
      <c r="H67" s="29" t="n">
        <v>1</v>
      </c>
      <c r="I67" s="29" t="inlineStr">
        <is>
          <t>Sudipta Kundu</t>
        </is>
      </c>
      <c r="J67" s="34" t="str">
        <f>IFERROR(INDEX(RBD_C,MATCH("Marketing &amp; Communications|B2|B-IC",RBD_KEY,0)),"M")</f>
        <v>H</v>
      </c>
      <c r="K67" s="35" t="str">
        <f>IFERROR(INDEX(RBD_Au,MATCH("Marketing &amp; Communications|B2|B-IC",RBD_KEY,0)),"M")</f>
        <v>M</v>
      </c>
      <c r="L67" s="35" t="str">
        <f>IFERROR(INDEX(RBD_Ac,MATCH("Marketing &amp; Communications|B2|B-IC",RBD_KEY,0)),"M")</f>
        <v>L</v>
      </c>
      <c r="M67" s="35" t="str">
        <f>IFERROR(INDEX(RBD_L,MATCH("Marketing &amp; Communications|B2|B-IC",RBD_KEY,0)),"M")</f>
        <v>L</v>
      </c>
      <c r="N67" s="35" t="str">
        <f>IFERROR(INDEX(RBD_BI,MATCH("Marketing &amp; Communications|B2|B-IC",RBD_KEY,0)),"M")</f>
        <v>M</v>
      </c>
      <c r="O67" s="35" t="str">
        <f>IFERROR(INDEX(RBD_Exp,MATCH("Marketing &amp; Communications|B2|B-IC",RBD_KEY,0)),"M")</f>
        <v>L</v>
      </c>
      <c r="P67" s="35" t="str">
        <f>IFERROR(INDEX(RBD_Edu,MATCH("Marketing &amp; Communications|B2|B-IC",RBD_KEY,0)),"M")</f>
        <v>L</v>
      </c>
      <c r="Q67" s="73">
        <f>IF(J67="","",IFERROR(INDEX(LMH_PTS,MATCH(J67,LMH_KEY,0))/SUM(IFERROR(INDEX(LMH_PTS,MATCH(J67,LMH_KEY,0)),0),IFERROR(INDEX(LMH_PTS,MATCH(K67,LMH_KEY,0)),0),IFERROR(INDEX(LMH_PTS,MATCH(L67,LMH_KEY,0)),0),IFERROR(INDEX(LMH_PTS,MATCH(M67,LMH_KEY,0)),0),IFERROR(INDEX(LMH_PTS,MATCH(N67,LMH_KEY,0)),0),IFERROR(INDEX(LMH_PTS,MATCH(O67,LMH_KEY,0)),0),IFERROR(INDEX(LMH_PTS,MATCH(P67,LMH_KEY,0)),0)),""))</f>
        <v>0.473684210526316</v>
      </c>
      <c r="R67" s="74">
        <f>IF(K67="","",IFERROR(INDEX(LMH_PTS,MATCH(K67,LMH_KEY,0))/SUM(IFERROR(INDEX(LMH_PTS,MATCH(J67,LMH_KEY,0)),0),IFERROR(INDEX(LMH_PTS,MATCH(K67,LMH_KEY,0)),0),IFERROR(INDEX(LMH_PTS,MATCH(L67,LMH_KEY,0)),0),IFERROR(INDEX(LMH_PTS,MATCH(M67,LMH_KEY,0)),0),IFERROR(INDEX(LMH_PTS,MATCH(N67,LMH_KEY,0)),0),IFERROR(INDEX(LMH_PTS,MATCH(O67,LMH_KEY,0)),0),IFERROR(INDEX(LMH_PTS,MATCH(P67,LMH_KEY,0)),0)),""))</f>
        <v>0.157894736842105</v>
      </c>
      <c r="S67" s="74">
        <f>IF(L67="","",IFERROR(INDEX(LMH_PTS,MATCH(L67,LMH_KEY,0))/SUM(IFERROR(INDEX(LMH_PTS,MATCH(J67,LMH_KEY,0)),0),IFERROR(INDEX(LMH_PTS,MATCH(K67,LMH_KEY,0)),0),IFERROR(INDEX(LMH_PTS,MATCH(L67,LMH_KEY,0)),0),IFERROR(INDEX(LMH_PTS,MATCH(M67,LMH_KEY,0)),0),IFERROR(INDEX(LMH_PTS,MATCH(N67,LMH_KEY,0)),0),IFERROR(INDEX(LMH_PTS,MATCH(O67,LMH_KEY,0)),0),IFERROR(INDEX(LMH_PTS,MATCH(P67,LMH_KEY,0)),0)),""))</f>
        <v>0.0526315789473684</v>
      </c>
      <c r="T67" s="74">
        <f>IF(M67="","",IFERROR(INDEX(LMH_PTS,MATCH(M67,LMH_KEY,0))/SUM(IFERROR(INDEX(LMH_PTS,MATCH(J67,LMH_KEY,0)),0),IFERROR(INDEX(LMH_PTS,MATCH(K67,LMH_KEY,0)),0),IFERROR(INDEX(LMH_PTS,MATCH(L67,LMH_KEY,0)),0),IFERROR(INDEX(LMH_PTS,MATCH(M67,LMH_KEY,0)),0),IFERROR(INDEX(LMH_PTS,MATCH(N67,LMH_KEY,0)),0),IFERROR(INDEX(LMH_PTS,MATCH(O67,LMH_KEY,0)),0),IFERROR(INDEX(LMH_PTS,MATCH(P67,LMH_KEY,0)),0)),""))</f>
        <v>0.0526315789473684</v>
      </c>
      <c r="U67" s="74">
        <f>IF(N67="","",IFERROR(INDEX(LMH_PTS,MATCH(N67,LMH_KEY,0))/SUM(IFERROR(INDEX(LMH_PTS,MATCH(J67,LMH_KEY,0)),0),IFERROR(INDEX(LMH_PTS,MATCH(K67,LMH_KEY,0)),0),IFERROR(INDEX(LMH_PTS,MATCH(L67,LMH_KEY,0)),0),IFERROR(INDEX(LMH_PTS,MATCH(M67,LMH_KEY,0)),0),IFERROR(INDEX(LMH_PTS,MATCH(N67,LMH_KEY,0)),0),IFERROR(INDEX(LMH_PTS,MATCH(O67,LMH_KEY,0)),0),IFERROR(INDEX(LMH_PTS,MATCH(P67,LMH_KEY,0)),0)),""))</f>
        <v>0.157894736842105</v>
      </c>
      <c r="V67" s="74">
        <f>IF(O67="","",IFERROR(INDEX(LMH_PTS,MATCH(O67,LMH_KEY,0))/SUM(IFERROR(INDEX(LMH_PTS,MATCH(J67,LMH_KEY,0)),0),IFERROR(INDEX(LMH_PTS,MATCH(K67,LMH_KEY,0)),0),IFERROR(INDEX(LMH_PTS,MATCH(L67,LMH_KEY,0)),0),IFERROR(INDEX(LMH_PTS,MATCH(M67,LMH_KEY,0)),0),IFERROR(INDEX(LMH_PTS,MATCH(N67,LMH_KEY,0)),0),IFERROR(INDEX(LMH_PTS,MATCH(O67,LMH_KEY,0)),0),IFERROR(INDEX(LMH_PTS,MATCH(P67,LMH_KEY,0)),0)),""))</f>
        <v>0.0526315789473684</v>
      </c>
      <c r="W67" s="74">
        <f>IF(P67="","",IFERROR(INDEX(LMH_PTS,MATCH(P67,LMH_KEY,0))/SUM(IFERROR(INDEX(LMH_PTS,MATCH(J67,LMH_KEY,0)),0),IFERROR(INDEX(LMH_PTS,MATCH(K67,LMH_KEY,0)),0),IFERROR(INDEX(LMH_PTS,MATCH(L67,LMH_KEY,0)),0),IFERROR(INDEX(LMH_PTS,MATCH(M67,LMH_KEY,0)),0),IFERROR(INDEX(LMH_PTS,MATCH(N67,LMH_KEY,0)),0),IFERROR(INDEX(LMH_PTS,MATCH(O67,LMH_KEY,0)),0),IFERROR(INDEX(LMH_PTS,MATCH(P67,LMH_KEY,0)),0)),""))</f>
        <v>0.0526315789473684</v>
      </c>
      <c r="X67" s="44" t="n"/>
      <c r="Y67" s="38" t="inlineStr">
        <is>
          <t>CARBON|Marketing|Senior Marketing Specialist – POD Lead|B2|B-IC</t>
        </is>
      </c>
    </row>
    <row r="68" ht="18" customHeight="1">
      <c r="A68" s="28" t="inlineStr">
        <is>
          <t>CARBON</t>
        </is>
      </c>
      <c r="B68" s="29" t="inlineStr">
        <is>
          <t>Marketing</t>
        </is>
      </c>
      <c r="C68" s="72" t="inlineStr">
        <is>
          <t>B1</t>
        </is>
      </c>
      <c r="D68" s="29" t="inlineStr">
        <is>
          <t>Band B · Specialist / Manager</t>
        </is>
      </c>
      <c r="E68" s="29" t="inlineStr">
        <is>
          <t>Account Executive</t>
        </is>
      </c>
      <c r="F68" s="29" t="inlineStr">
        <is>
          <t>Band B · Specialist / POD Lead</t>
        </is>
      </c>
      <c r="G68" s="29" t="inlineStr">
        <is>
          <t>Sales &amp; Business Development</t>
        </is>
      </c>
      <c r="H68" s="29" t="n">
        <v>1</v>
      </c>
      <c r="I68" s="29" t="inlineStr">
        <is>
          <t>Anand Chiluka</t>
        </is>
      </c>
      <c r="J68" s="34" t="str">
        <f>IFERROR(INDEX(RBD_C,MATCH("Sales &amp; Business Development|B1|B-IC",RBD_KEY,0)),"M")</f>
        <v>H</v>
      </c>
      <c r="K68" s="35" t="str">
        <f>IFERROR(INDEX(RBD_Au,MATCH("Sales &amp; Business Development|B1|B-IC",RBD_KEY,0)),"M")</f>
        <v>M</v>
      </c>
      <c r="L68" s="35" t="str">
        <f>IFERROR(INDEX(RBD_Ac,MATCH("Sales &amp; Business Development|B1|B-IC",RBD_KEY,0)),"M")</f>
        <v>L</v>
      </c>
      <c r="M68" s="35" t="str">
        <f>IFERROR(INDEX(RBD_L,MATCH("Sales &amp; Business Development|B1|B-IC",RBD_KEY,0)),"M")</f>
        <v>L</v>
      </c>
      <c r="N68" s="35" t="str">
        <f>IFERROR(INDEX(RBD_BI,MATCH("Sales &amp; Business Development|B1|B-IC",RBD_KEY,0)),"M")</f>
        <v>M</v>
      </c>
      <c r="O68" s="35" t="str">
        <f>IFERROR(INDEX(RBD_Exp,MATCH("Sales &amp; Business Development|B1|B-IC",RBD_KEY,0)),"M")</f>
        <v>L</v>
      </c>
      <c r="P68" s="35" t="str">
        <f>IFERROR(INDEX(RBD_Edu,MATCH("Sales &amp; Business Development|B1|B-IC",RBD_KEY,0)),"M")</f>
        <v>L</v>
      </c>
      <c r="Q68" s="73">
        <f>IF(J68="","",IFERROR(INDEX(LMH_PTS,MATCH(J68,LMH_KEY,0))/SUM(IFERROR(INDEX(LMH_PTS,MATCH(J68,LMH_KEY,0)),0),IFERROR(INDEX(LMH_PTS,MATCH(K68,LMH_KEY,0)),0),IFERROR(INDEX(LMH_PTS,MATCH(L68,LMH_KEY,0)),0),IFERROR(INDEX(LMH_PTS,MATCH(M68,LMH_KEY,0)),0),IFERROR(INDEX(LMH_PTS,MATCH(N68,LMH_KEY,0)),0),IFERROR(INDEX(LMH_PTS,MATCH(O68,LMH_KEY,0)),0),IFERROR(INDEX(LMH_PTS,MATCH(P68,LMH_KEY,0)),0)),""))</f>
        <v>0.473684210526316</v>
      </c>
      <c r="R68" s="74">
        <f>IF(K68="","",IFERROR(INDEX(LMH_PTS,MATCH(K68,LMH_KEY,0))/SUM(IFERROR(INDEX(LMH_PTS,MATCH(J68,LMH_KEY,0)),0),IFERROR(INDEX(LMH_PTS,MATCH(K68,LMH_KEY,0)),0),IFERROR(INDEX(LMH_PTS,MATCH(L68,LMH_KEY,0)),0),IFERROR(INDEX(LMH_PTS,MATCH(M68,LMH_KEY,0)),0),IFERROR(INDEX(LMH_PTS,MATCH(N68,LMH_KEY,0)),0),IFERROR(INDEX(LMH_PTS,MATCH(O68,LMH_KEY,0)),0),IFERROR(INDEX(LMH_PTS,MATCH(P68,LMH_KEY,0)),0)),""))</f>
        <v>0.157894736842105</v>
      </c>
      <c r="S68" s="74">
        <f>IF(L68="","",IFERROR(INDEX(LMH_PTS,MATCH(L68,LMH_KEY,0))/SUM(IFERROR(INDEX(LMH_PTS,MATCH(J68,LMH_KEY,0)),0),IFERROR(INDEX(LMH_PTS,MATCH(K68,LMH_KEY,0)),0),IFERROR(INDEX(LMH_PTS,MATCH(L68,LMH_KEY,0)),0),IFERROR(INDEX(LMH_PTS,MATCH(M68,LMH_KEY,0)),0),IFERROR(INDEX(LMH_PTS,MATCH(N68,LMH_KEY,0)),0),IFERROR(INDEX(LMH_PTS,MATCH(O68,LMH_KEY,0)),0),IFERROR(INDEX(LMH_PTS,MATCH(P68,LMH_KEY,0)),0)),""))</f>
        <v>0.0526315789473684</v>
      </c>
      <c r="T68" s="74">
        <f>IF(M68="","",IFERROR(INDEX(LMH_PTS,MATCH(M68,LMH_KEY,0))/SUM(IFERROR(INDEX(LMH_PTS,MATCH(J68,LMH_KEY,0)),0),IFERROR(INDEX(LMH_PTS,MATCH(K68,LMH_KEY,0)),0),IFERROR(INDEX(LMH_PTS,MATCH(L68,LMH_KEY,0)),0),IFERROR(INDEX(LMH_PTS,MATCH(M68,LMH_KEY,0)),0),IFERROR(INDEX(LMH_PTS,MATCH(N68,LMH_KEY,0)),0),IFERROR(INDEX(LMH_PTS,MATCH(O68,LMH_KEY,0)),0),IFERROR(INDEX(LMH_PTS,MATCH(P68,LMH_KEY,0)),0)),""))</f>
        <v>0.0526315789473684</v>
      </c>
      <c r="U68" s="74">
        <f>IF(N68="","",IFERROR(INDEX(LMH_PTS,MATCH(N68,LMH_KEY,0))/SUM(IFERROR(INDEX(LMH_PTS,MATCH(J68,LMH_KEY,0)),0),IFERROR(INDEX(LMH_PTS,MATCH(K68,LMH_KEY,0)),0),IFERROR(INDEX(LMH_PTS,MATCH(L68,LMH_KEY,0)),0),IFERROR(INDEX(LMH_PTS,MATCH(M68,LMH_KEY,0)),0),IFERROR(INDEX(LMH_PTS,MATCH(N68,LMH_KEY,0)),0),IFERROR(INDEX(LMH_PTS,MATCH(O68,LMH_KEY,0)),0),IFERROR(INDEX(LMH_PTS,MATCH(P68,LMH_KEY,0)),0)),""))</f>
        <v>0.157894736842105</v>
      </c>
      <c r="V68" s="74">
        <f>IF(O68="","",IFERROR(INDEX(LMH_PTS,MATCH(O68,LMH_KEY,0))/SUM(IFERROR(INDEX(LMH_PTS,MATCH(J68,LMH_KEY,0)),0),IFERROR(INDEX(LMH_PTS,MATCH(K68,LMH_KEY,0)),0),IFERROR(INDEX(LMH_PTS,MATCH(L68,LMH_KEY,0)),0),IFERROR(INDEX(LMH_PTS,MATCH(M68,LMH_KEY,0)),0),IFERROR(INDEX(LMH_PTS,MATCH(N68,LMH_KEY,0)),0),IFERROR(INDEX(LMH_PTS,MATCH(O68,LMH_KEY,0)),0),IFERROR(INDEX(LMH_PTS,MATCH(P68,LMH_KEY,0)),0)),""))</f>
        <v>0.0526315789473684</v>
      </c>
      <c r="W68" s="74">
        <f>IF(P68="","",IFERROR(INDEX(LMH_PTS,MATCH(P68,LMH_KEY,0))/SUM(IFERROR(INDEX(LMH_PTS,MATCH(J68,LMH_KEY,0)),0),IFERROR(INDEX(LMH_PTS,MATCH(K68,LMH_KEY,0)),0),IFERROR(INDEX(LMH_PTS,MATCH(L68,LMH_KEY,0)),0),IFERROR(INDEX(LMH_PTS,MATCH(M68,LMH_KEY,0)),0),IFERROR(INDEX(LMH_PTS,MATCH(N68,LMH_KEY,0)),0),IFERROR(INDEX(LMH_PTS,MATCH(O68,LMH_KEY,0)),0),IFERROR(INDEX(LMH_PTS,MATCH(P68,LMH_KEY,0)),0)),""))</f>
        <v>0.0526315789473684</v>
      </c>
      <c r="X68" s="44" t="n"/>
      <c r="Y68" s="38" t="inlineStr">
        <is>
          <t>CARBON|Marketing|Account Executive|B1|B-IC</t>
        </is>
      </c>
    </row>
    <row r="69" ht="28" customHeight="1">
      <c r="A69" s="28" t="inlineStr">
        <is>
          <t>CARBON</t>
        </is>
      </c>
      <c r="B69" s="29" t="inlineStr">
        <is>
          <t>Marketing</t>
        </is>
      </c>
      <c r="C69" s="72" t="inlineStr">
        <is>
          <t>B1</t>
        </is>
      </c>
      <c r="D69" s="29" t="inlineStr">
        <is>
          <t>Band B · Specialist / Manager</t>
        </is>
      </c>
      <c r="E69" s="29" t="inlineStr">
        <is>
          <t>Design Specialist – POD Lead</t>
        </is>
      </c>
      <c r="F69" s="29" t="inlineStr">
        <is>
          <t>Band B · Specialist / POD Lead</t>
        </is>
      </c>
      <c r="G69" s="29" t="inlineStr">
        <is>
          <t>Design &amp; Creative</t>
        </is>
      </c>
      <c r="H69" s="29" t="n">
        <v>1</v>
      </c>
      <c r="I69" s="29" t="inlineStr">
        <is>
          <t>Bharani Kumar</t>
        </is>
      </c>
      <c r="J69" s="34" t="str">
        <f>IFERROR(INDEX(RBD_C,MATCH("Design &amp; Creative|B1|B-IC",RBD_KEY,0)),"M")</f>
        <v>H</v>
      </c>
      <c r="K69" s="35" t="str">
        <f>IFERROR(INDEX(RBD_Au,MATCH("Design &amp; Creative|B1|B-IC",RBD_KEY,0)),"M")</f>
        <v>M</v>
      </c>
      <c r="L69" s="35" t="str">
        <f>IFERROR(INDEX(RBD_Ac,MATCH("Design &amp; Creative|B1|B-IC",RBD_KEY,0)),"M")</f>
        <v>L</v>
      </c>
      <c r="M69" s="35" t="str">
        <f>IFERROR(INDEX(RBD_L,MATCH("Design &amp; Creative|B1|B-IC",RBD_KEY,0)),"M")</f>
        <v>L</v>
      </c>
      <c r="N69" s="35" t="str">
        <f>IFERROR(INDEX(RBD_BI,MATCH("Design &amp; Creative|B1|B-IC",RBD_KEY,0)),"M")</f>
        <v>M</v>
      </c>
      <c r="O69" s="35" t="str">
        <f>IFERROR(INDEX(RBD_Exp,MATCH("Design &amp; Creative|B1|B-IC",RBD_KEY,0)),"M")</f>
        <v>L</v>
      </c>
      <c r="P69" s="35" t="str">
        <f>IFERROR(INDEX(RBD_Edu,MATCH("Design &amp; Creative|B1|B-IC",RBD_KEY,0)),"M")</f>
        <v>L</v>
      </c>
      <c r="Q69" s="73">
        <f>IF(J69="","",IFERROR(INDEX(LMH_PTS,MATCH(J69,LMH_KEY,0))/SUM(IFERROR(INDEX(LMH_PTS,MATCH(J69,LMH_KEY,0)),0),IFERROR(INDEX(LMH_PTS,MATCH(K69,LMH_KEY,0)),0),IFERROR(INDEX(LMH_PTS,MATCH(L69,LMH_KEY,0)),0),IFERROR(INDEX(LMH_PTS,MATCH(M69,LMH_KEY,0)),0),IFERROR(INDEX(LMH_PTS,MATCH(N69,LMH_KEY,0)),0),IFERROR(INDEX(LMH_PTS,MATCH(O69,LMH_KEY,0)),0),IFERROR(INDEX(LMH_PTS,MATCH(P69,LMH_KEY,0)),0)),""))</f>
        <v>0.473684210526316</v>
      </c>
      <c r="R69" s="74">
        <f>IF(K69="","",IFERROR(INDEX(LMH_PTS,MATCH(K69,LMH_KEY,0))/SUM(IFERROR(INDEX(LMH_PTS,MATCH(J69,LMH_KEY,0)),0),IFERROR(INDEX(LMH_PTS,MATCH(K69,LMH_KEY,0)),0),IFERROR(INDEX(LMH_PTS,MATCH(L69,LMH_KEY,0)),0),IFERROR(INDEX(LMH_PTS,MATCH(M69,LMH_KEY,0)),0),IFERROR(INDEX(LMH_PTS,MATCH(N69,LMH_KEY,0)),0),IFERROR(INDEX(LMH_PTS,MATCH(O69,LMH_KEY,0)),0),IFERROR(INDEX(LMH_PTS,MATCH(P69,LMH_KEY,0)),0)),""))</f>
        <v>0.157894736842105</v>
      </c>
      <c r="S69" s="74">
        <f>IF(L69="","",IFERROR(INDEX(LMH_PTS,MATCH(L69,LMH_KEY,0))/SUM(IFERROR(INDEX(LMH_PTS,MATCH(J69,LMH_KEY,0)),0),IFERROR(INDEX(LMH_PTS,MATCH(K69,LMH_KEY,0)),0),IFERROR(INDEX(LMH_PTS,MATCH(L69,LMH_KEY,0)),0),IFERROR(INDEX(LMH_PTS,MATCH(M69,LMH_KEY,0)),0),IFERROR(INDEX(LMH_PTS,MATCH(N69,LMH_KEY,0)),0),IFERROR(INDEX(LMH_PTS,MATCH(O69,LMH_KEY,0)),0),IFERROR(INDEX(LMH_PTS,MATCH(P69,LMH_KEY,0)),0)),""))</f>
        <v>0.0526315789473684</v>
      </c>
      <c r="T69" s="74">
        <f>IF(M69="","",IFERROR(INDEX(LMH_PTS,MATCH(M69,LMH_KEY,0))/SUM(IFERROR(INDEX(LMH_PTS,MATCH(J69,LMH_KEY,0)),0),IFERROR(INDEX(LMH_PTS,MATCH(K69,LMH_KEY,0)),0),IFERROR(INDEX(LMH_PTS,MATCH(L69,LMH_KEY,0)),0),IFERROR(INDEX(LMH_PTS,MATCH(M69,LMH_KEY,0)),0),IFERROR(INDEX(LMH_PTS,MATCH(N69,LMH_KEY,0)),0),IFERROR(INDEX(LMH_PTS,MATCH(O69,LMH_KEY,0)),0),IFERROR(INDEX(LMH_PTS,MATCH(P69,LMH_KEY,0)),0)),""))</f>
        <v>0.0526315789473684</v>
      </c>
      <c r="U69" s="74">
        <f>IF(N69="","",IFERROR(INDEX(LMH_PTS,MATCH(N69,LMH_KEY,0))/SUM(IFERROR(INDEX(LMH_PTS,MATCH(J69,LMH_KEY,0)),0),IFERROR(INDEX(LMH_PTS,MATCH(K69,LMH_KEY,0)),0),IFERROR(INDEX(LMH_PTS,MATCH(L69,LMH_KEY,0)),0),IFERROR(INDEX(LMH_PTS,MATCH(M69,LMH_KEY,0)),0),IFERROR(INDEX(LMH_PTS,MATCH(N69,LMH_KEY,0)),0),IFERROR(INDEX(LMH_PTS,MATCH(O69,LMH_KEY,0)),0),IFERROR(INDEX(LMH_PTS,MATCH(P69,LMH_KEY,0)),0)),""))</f>
        <v>0.157894736842105</v>
      </c>
      <c r="V69" s="74">
        <f>IF(O69="","",IFERROR(INDEX(LMH_PTS,MATCH(O69,LMH_KEY,0))/SUM(IFERROR(INDEX(LMH_PTS,MATCH(J69,LMH_KEY,0)),0),IFERROR(INDEX(LMH_PTS,MATCH(K69,LMH_KEY,0)),0),IFERROR(INDEX(LMH_PTS,MATCH(L69,LMH_KEY,0)),0),IFERROR(INDEX(LMH_PTS,MATCH(M69,LMH_KEY,0)),0),IFERROR(INDEX(LMH_PTS,MATCH(N69,LMH_KEY,0)),0),IFERROR(INDEX(LMH_PTS,MATCH(O69,LMH_KEY,0)),0),IFERROR(INDEX(LMH_PTS,MATCH(P69,LMH_KEY,0)),0)),""))</f>
        <v>0.0526315789473684</v>
      </c>
      <c r="W69" s="74">
        <f>IF(P69="","",IFERROR(INDEX(LMH_PTS,MATCH(P69,LMH_KEY,0))/SUM(IFERROR(INDEX(LMH_PTS,MATCH(J69,LMH_KEY,0)),0),IFERROR(INDEX(LMH_PTS,MATCH(K69,LMH_KEY,0)),0),IFERROR(INDEX(LMH_PTS,MATCH(L69,LMH_KEY,0)),0),IFERROR(INDEX(LMH_PTS,MATCH(M69,LMH_KEY,0)),0),IFERROR(INDEX(LMH_PTS,MATCH(N69,LMH_KEY,0)),0),IFERROR(INDEX(LMH_PTS,MATCH(O69,LMH_KEY,0)),0),IFERROR(INDEX(LMH_PTS,MATCH(P69,LMH_KEY,0)),0)),""))</f>
        <v>0.0526315789473684</v>
      </c>
      <c r="X69" s="44" t="n"/>
      <c r="Y69" s="38" t="inlineStr">
        <is>
          <t>CARBON|Marketing|Design Specialist – POD Lead|B1|B-IC</t>
        </is>
      </c>
    </row>
    <row r="70" ht="28" customHeight="1">
      <c r="A70" s="28" t="inlineStr">
        <is>
          <t>CARBON</t>
        </is>
      </c>
      <c r="B70" s="29" t="inlineStr">
        <is>
          <t>Marketing</t>
        </is>
      </c>
      <c r="C70" s="72" t="inlineStr">
        <is>
          <t>B1</t>
        </is>
      </c>
      <c r="D70" s="29" t="inlineStr">
        <is>
          <t>Band B · Specialist / Manager</t>
        </is>
      </c>
      <c r="E70" s="29" t="inlineStr">
        <is>
          <t>Team Lead – Sales Development</t>
        </is>
      </c>
      <c r="F70" s="29" t="inlineStr">
        <is>
          <t>Band B · People Manager</t>
        </is>
      </c>
      <c r="G70" s="29" t="inlineStr">
        <is>
          <t>Sales &amp; Business Development</t>
        </is>
      </c>
      <c r="H70" s="29" t="n">
        <v>2</v>
      </c>
      <c r="I70" s="29" t="inlineStr">
        <is>
          <t>Priyadarshini Dey, Vijay Krishna Chintha</t>
        </is>
      </c>
      <c r="J70" s="34" t="str">
        <f>IFERROR(INDEX(RBD_C,MATCH("Sales &amp; Business Development|B1|B-M",RBD_KEY,0)),"M")</f>
        <v>H</v>
      </c>
      <c r="K70" s="35" t="str">
        <f>IFERROR(INDEX(RBD_Au,MATCH("Sales &amp; Business Development|B1|B-M",RBD_KEY,0)),"M")</f>
        <v>M</v>
      </c>
      <c r="L70" s="35" t="str">
        <f>IFERROR(INDEX(RBD_Ac,MATCH("Sales &amp; Business Development|B1|B-M",RBD_KEY,0)),"M")</f>
        <v>L</v>
      </c>
      <c r="M70" s="35" t="str">
        <f>IFERROR(INDEX(RBD_L,MATCH("Sales &amp; Business Development|B1|B-M",RBD_KEY,0)),"M")</f>
        <v>M</v>
      </c>
      <c r="N70" s="35" t="str">
        <f>IFERROR(INDEX(RBD_BI,MATCH("Sales &amp; Business Development|B1|B-M",RBD_KEY,0)),"M")</f>
        <v>M</v>
      </c>
      <c r="O70" s="35" t="str">
        <f>IFERROR(INDEX(RBD_Exp,MATCH("Sales &amp; Business Development|B1|B-M",RBD_KEY,0)),"M")</f>
        <v>L</v>
      </c>
      <c r="P70" s="35" t="str">
        <f>IFERROR(INDEX(RBD_Edu,MATCH("Sales &amp; Business Development|B1|B-M",RBD_KEY,0)),"M")</f>
        <v>L</v>
      </c>
      <c r="Q70" s="73">
        <f>IF(J70="","",IFERROR(INDEX(LMH_PTS,MATCH(J70,LMH_KEY,0))/SUM(IFERROR(INDEX(LMH_PTS,MATCH(J70,LMH_KEY,0)),0),IFERROR(INDEX(LMH_PTS,MATCH(K70,LMH_KEY,0)),0),IFERROR(INDEX(LMH_PTS,MATCH(L70,LMH_KEY,0)),0),IFERROR(INDEX(LMH_PTS,MATCH(M70,LMH_KEY,0)),0),IFERROR(INDEX(LMH_PTS,MATCH(N70,LMH_KEY,0)),0),IFERROR(INDEX(LMH_PTS,MATCH(O70,LMH_KEY,0)),0),IFERROR(INDEX(LMH_PTS,MATCH(P70,LMH_KEY,0)),0)),""))</f>
        <v>0.428571428571429</v>
      </c>
      <c r="R70" s="74">
        <f>IF(K70="","",IFERROR(INDEX(LMH_PTS,MATCH(K70,LMH_KEY,0))/SUM(IFERROR(INDEX(LMH_PTS,MATCH(J70,LMH_KEY,0)),0),IFERROR(INDEX(LMH_PTS,MATCH(K70,LMH_KEY,0)),0),IFERROR(INDEX(LMH_PTS,MATCH(L70,LMH_KEY,0)),0),IFERROR(INDEX(LMH_PTS,MATCH(M70,LMH_KEY,0)),0),IFERROR(INDEX(LMH_PTS,MATCH(N70,LMH_KEY,0)),0),IFERROR(INDEX(LMH_PTS,MATCH(O70,LMH_KEY,0)),0),IFERROR(INDEX(LMH_PTS,MATCH(P70,LMH_KEY,0)),0)),""))</f>
        <v>0.142857142857143</v>
      </c>
      <c r="S70" s="74">
        <f>IF(L70="","",IFERROR(INDEX(LMH_PTS,MATCH(L70,LMH_KEY,0))/SUM(IFERROR(INDEX(LMH_PTS,MATCH(J70,LMH_KEY,0)),0),IFERROR(INDEX(LMH_PTS,MATCH(K70,LMH_KEY,0)),0),IFERROR(INDEX(LMH_PTS,MATCH(L70,LMH_KEY,0)),0),IFERROR(INDEX(LMH_PTS,MATCH(M70,LMH_KEY,0)),0),IFERROR(INDEX(LMH_PTS,MATCH(N70,LMH_KEY,0)),0),IFERROR(INDEX(LMH_PTS,MATCH(O70,LMH_KEY,0)),0),IFERROR(INDEX(LMH_PTS,MATCH(P70,LMH_KEY,0)),0)),""))</f>
        <v>0.0476190476190476</v>
      </c>
      <c r="T70" s="74">
        <f>IF(M70="","",IFERROR(INDEX(LMH_PTS,MATCH(M70,LMH_KEY,0))/SUM(IFERROR(INDEX(LMH_PTS,MATCH(J70,LMH_KEY,0)),0),IFERROR(INDEX(LMH_PTS,MATCH(K70,LMH_KEY,0)),0),IFERROR(INDEX(LMH_PTS,MATCH(L70,LMH_KEY,0)),0),IFERROR(INDEX(LMH_PTS,MATCH(M70,LMH_KEY,0)),0),IFERROR(INDEX(LMH_PTS,MATCH(N70,LMH_KEY,0)),0),IFERROR(INDEX(LMH_PTS,MATCH(O70,LMH_KEY,0)),0),IFERROR(INDEX(LMH_PTS,MATCH(P70,LMH_KEY,0)),0)),""))</f>
        <v>0.142857142857143</v>
      </c>
      <c r="U70" s="74">
        <f>IF(N70="","",IFERROR(INDEX(LMH_PTS,MATCH(N70,LMH_KEY,0))/SUM(IFERROR(INDEX(LMH_PTS,MATCH(J70,LMH_KEY,0)),0),IFERROR(INDEX(LMH_PTS,MATCH(K70,LMH_KEY,0)),0),IFERROR(INDEX(LMH_PTS,MATCH(L70,LMH_KEY,0)),0),IFERROR(INDEX(LMH_PTS,MATCH(M70,LMH_KEY,0)),0),IFERROR(INDEX(LMH_PTS,MATCH(N70,LMH_KEY,0)),0),IFERROR(INDEX(LMH_PTS,MATCH(O70,LMH_KEY,0)),0),IFERROR(INDEX(LMH_PTS,MATCH(P70,LMH_KEY,0)),0)),""))</f>
        <v>0.142857142857143</v>
      </c>
      <c r="V70" s="74">
        <f>IF(O70="","",IFERROR(INDEX(LMH_PTS,MATCH(O70,LMH_KEY,0))/SUM(IFERROR(INDEX(LMH_PTS,MATCH(J70,LMH_KEY,0)),0),IFERROR(INDEX(LMH_PTS,MATCH(K70,LMH_KEY,0)),0),IFERROR(INDEX(LMH_PTS,MATCH(L70,LMH_KEY,0)),0),IFERROR(INDEX(LMH_PTS,MATCH(M70,LMH_KEY,0)),0),IFERROR(INDEX(LMH_PTS,MATCH(N70,LMH_KEY,0)),0),IFERROR(INDEX(LMH_PTS,MATCH(O70,LMH_KEY,0)),0),IFERROR(INDEX(LMH_PTS,MATCH(P70,LMH_KEY,0)),0)),""))</f>
        <v>0.0476190476190476</v>
      </c>
      <c r="W70" s="74">
        <f>IF(P70="","",IFERROR(INDEX(LMH_PTS,MATCH(P70,LMH_KEY,0))/SUM(IFERROR(INDEX(LMH_PTS,MATCH(J70,LMH_KEY,0)),0),IFERROR(INDEX(LMH_PTS,MATCH(K70,LMH_KEY,0)),0),IFERROR(INDEX(LMH_PTS,MATCH(L70,LMH_KEY,0)),0),IFERROR(INDEX(LMH_PTS,MATCH(M70,LMH_KEY,0)),0),IFERROR(INDEX(LMH_PTS,MATCH(N70,LMH_KEY,0)),0),IFERROR(INDEX(LMH_PTS,MATCH(O70,LMH_KEY,0)),0),IFERROR(INDEX(LMH_PTS,MATCH(P70,LMH_KEY,0)),0)),""))</f>
        <v>0.0476190476190476</v>
      </c>
      <c r="X70" s="44" t="n"/>
      <c r="Y70" s="38" t="inlineStr">
        <is>
          <t>CARBON|Marketing|Team Lead – Sales Development|B1|B-M</t>
        </is>
      </c>
    </row>
    <row r="71" ht="28" customHeight="1">
      <c r="A71" s="28" t="inlineStr">
        <is>
          <t>CARBON</t>
        </is>
      </c>
      <c r="B71" s="29" t="inlineStr">
        <is>
          <t>Marketing</t>
        </is>
      </c>
      <c r="C71" s="75" t="inlineStr">
        <is>
          <t>A3</t>
        </is>
      </c>
      <c r="D71" s="29" t="inlineStr">
        <is>
          <t>Band A · Practitioner</t>
        </is>
      </c>
      <c r="E71" s="29" t="inlineStr">
        <is>
          <t>Senior Content Marketing Associate</t>
        </is>
      </c>
      <c r="F71" s="29" t="inlineStr">
        <is>
          <t>Band A · all tracks</t>
        </is>
      </c>
      <c r="G71" s="29" t="inlineStr">
        <is>
          <t>Marketing &amp; Communications</t>
        </is>
      </c>
      <c r="H71" s="29" t="n">
        <v>1</v>
      </c>
      <c r="I71" s="29" t="inlineStr">
        <is>
          <t>Alisha Sheikh</t>
        </is>
      </c>
      <c r="J71" s="34" t="str">
        <f>IFERROR(INDEX(RBD_C,MATCH("Marketing &amp; Communications|A3|A",RBD_KEY,0)),"M")</f>
        <v>H</v>
      </c>
      <c r="K71" s="35" t="str">
        <f>IFERROR(INDEX(RBD_Au,MATCH("Marketing &amp; Communications|A3|A",RBD_KEY,0)),"M")</f>
        <v>M</v>
      </c>
      <c r="L71" s="35" t="str">
        <f>IFERROR(INDEX(RBD_Ac,MATCH("Marketing &amp; Communications|A3|A",RBD_KEY,0)),"M")</f>
        <v>L</v>
      </c>
      <c r="M71" s="35" t="str">
        <f>IFERROR(INDEX(RBD_L,MATCH("Marketing &amp; Communications|A3|A",RBD_KEY,0)),"M")</f>
        <v>L</v>
      </c>
      <c r="N71" s="35" t="str">
        <f>IFERROR(INDEX(RBD_BI,MATCH("Marketing &amp; Communications|A3|A",RBD_KEY,0)),"M")</f>
        <v>M</v>
      </c>
      <c r="O71" s="35" t="str">
        <f>IFERROR(INDEX(RBD_Exp,MATCH("Marketing &amp; Communications|A3|A",RBD_KEY,0)),"M")</f>
        <v>L</v>
      </c>
      <c r="P71" s="35" t="str">
        <f>IFERROR(INDEX(RBD_Edu,MATCH("Marketing &amp; Communications|A3|A",RBD_KEY,0)),"M")</f>
        <v>L</v>
      </c>
      <c r="Q71" s="73">
        <f>IF(J71="","",IFERROR(INDEX(LMH_PTS,MATCH(J71,LMH_KEY,0))/SUM(IFERROR(INDEX(LMH_PTS,MATCH(J71,LMH_KEY,0)),0),IFERROR(INDEX(LMH_PTS,MATCH(K71,LMH_KEY,0)),0),IFERROR(INDEX(LMH_PTS,MATCH(L71,LMH_KEY,0)),0),IFERROR(INDEX(LMH_PTS,MATCH(M71,LMH_KEY,0)),0),IFERROR(INDEX(LMH_PTS,MATCH(N71,LMH_KEY,0)),0),IFERROR(INDEX(LMH_PTS,MATCH(O71,LMH_KEY,0)),0),IFERROR(INDEX(LMH_PTS,MATCH(P71,LMH_KEY,0)),0)),""))</f>
        <v>0.473684210526316</v>
      </c>
      <c r="R71" s="74">
        <f>IF(K71="","",IFERROR(INDEX(LMH_PTS,MATCH(K71,LMH_KEY,0))/SUM(IFERROR(INDEX(LMH_PTS,MATCH(J71,LMH_KEY,0)),0),IFERROR(INDEX(LMH_PTS,MATCH(K71,LMH_KEY,0)),0),IFERROR(INDEX(LMH_PTS,MATCH(L71,LMH_KEY,0)),0),IFERROR(INDEX(LMH_PTS,MATCH(M71,LMH_KEY,0)),0),IFERROR(INDEX(LMH_PTS,MATCH(N71,LMH_KEY,0)),0),IFERROR(INDEX(LMH_PTS,MATCH(O71,LMH_KEY,0)),0),IFERROR(INDEX(LMH_PTS,MATCH(P71,LMH_KEY,0)),0)),""))</f>
        <v>0.157894736842105</v>
      </c>
      <c r="S71" s="74">
        <f>IF(L71="","",IFERROR(INDEX(LMH_PTS,MATCH(L71,LMH_KEY,0))/SUM(IFERROR(INDEX(LMH_PTS,MATCH(J71,LMH_KEY,0)),0),IFERROR(INDEX(LMH_PTS,MATCH(K71,LMH_KEY,0)),0),IFERROR(INDEX(LMH_PTS,MATCH(L71,LMH_KEY,0)),0),IFERROR(INDEX(LMH_PTS,MATCH(M71,LMH_KEY,0)),0),IFERROR(INDEX(LMH_PTS,MATCH(N71,LMH_KEY,0)),0),IFERROR(INDEX(LMH_PTS,MATCH(O71,LMH_KEY,0)),0),IFERROR(INDEX(LMH_PTS,MATCH(P71,LMH_KEY,0)),0)),""))</f>
        <v>0.0526315789473684</v>
      </c>
      <c r="T71" s="74">
        <f>IF(M71="","",IFERROR(INDEX(LMH_PTS,MATCH(M71,LMH_KEY,0))/SUM(IFERROR(INDEX(LMH_PTS,MATCH(J71,LMH_KEY,0)),0),IFERROR(INDEX(LMH_PTS,MATCH(K71,LMH_KEY,0)),0),IFERROR(INDEX(LMH_PTS,MATCH(L71,LMH_KEY,0)),0),IFERROR(INDEX(LMH_PTS,MATCH(M71,LMH_KEY,0)),0),IFERROR(INDEX(LMH_PTS,MATCH(N71,LMH_KEY,0)),0),IFERROR(INDEX(LMH_PTS,MATCH(O71,LMH_KEY,0)),0),IFERROR(INDEX(LMH_PTS,MATCH(P71,LMH_KEY,0)),0)),""))</f>
        <v>0.0526315789473684</v>
      </c>
      <c r="U71" s="74">
        <f>IF(N71="","",IFERROR(INDEX(LMH_PTS,MATCH(N71,LMH_KEY,0))/SUM(IFERROR(INDEX(LMH_PTS,MATCH(J71,LMH_KEY,0)),0),IFERROR(INDEX(LMH_PTS,MATCH(K71,LMH_KEY,0)),0),IFERROR(INDEX(LMH_PTS,MATCH(L71,LMH_KEY,0)),0),IFERROR(INDEX(LMH_PTS,MATCH(M71,LMH_KEY,0)),0),IFERROR(INDEX(LMH_PTS,MATCH(N71,LMH_KEY,0)),0),IFERROR(INDEX(LMH_PTS,MATCH(O71,LMH_KEY,0)),0),IFERROR(INDEX(LMH_PTS,MATCH(P71,LMH_KEY,0)),0)),""))</f>
        <v>0.157894736842105</v>
      </c>
      <c r="V71" s="74">
        <f>IF(O71="","",IFERROR(INDEX(LMH_PTS,MATCH(O71,LMH_KEY,0))/SUM(IFERROR(INDEX(LMH_PTS,MATCH(J71,LMH_KEY,0)),0),IFERROR(INDEX(LMH_PTS,MATCH(K71,LMH_KEY,0)),0),IFERROR(INDEX(LMH_PTS,MATCH(L71,LMH_KEY,0)),0),IFERROR(INDEX(LMH_PTS,MATCH(M71,LMH_KEY,0)),0),IFERROR(INDEX(LMH_PTS,MATCH(N71,LMH_KEY,0)),0),IFERROR(INDEX(LMH_PTS,MATCH(O71,LMH_KEY,0)),0),IFERROR(INDEX(LMH_PTS,MATCH(P71,LMH_KEY,0)),0)),""))</f>
        <v>0.0526315789473684</v>
      </c>
      <c r="W71" s="74">
        <f>IF(P71="","",IFERROR(INDEX(LMH_PTS,MATCH(P71,LMH_KEY,0))/SUM(IFERROR(INDEX(LMH_PTS,MATCH(J71,LMH_KEY,0)),0),IFERROR(INDEX(LMH_PTS,MATCH(K71,LMH_KEY,0)),0),IFERROR(INDEX(LMH_PTS,MATCH(L71,LMH_KEY,0)),0),IFERROR(INDEX(LMH_PTS,MATCH(M71,LMH_KEY,0)),0),IFERROR(INDEX(LMH_PTS,MATCH(N71,LMH_KEY,0)),0),IFERROR(INDEX(LMH_PTS,MATCH(O71,LMH_KEY,0)),0),IFERROR(INDEX(LMH_PTS,MATCH(P71,LMH_KEY,0)),0)),""))</f>
        <v>0.0526315789473684</v>
      </c>
      <c r="X71" s="44" t="n"/>
      <c r="Y71" s="38" t="inlineStr">
        <is>
          <t>CARBON|Marketing|Senior Content Marketing Associate|A3|A</t>
        </is>
      </c>
    </row>
    <row r="72" ht="18" customHeight="1">
      <c r="A72" s="28" t="inlineStr">
        <is>
          <t>CARBON</t>
        </is>
      </c>
      <c r="B72" s="29" t="inlineStr">
        <is>
          <t>Marketing</t>
        </is>
      </c>
      <c r="C72" s="75" t="inlineStr">
        <is>
          <t>A3</t>
        </is>
      </c>
      <c r="D72" s="29" t="inlineStr">
        <is>
          <t>Band A · Practitioner</t>
        </is>
      </c>
      <c r="E72" s="29" t="inlineStr">
        <is>
          <t>Senior Designer</t>
        </is>
      </c>
      <c r="F72" s="29" t="inlineStr">
        <is>
          <t>Band A · all tracks</t>
        </is>
      </c>
      <c r="G72" s="29" t="inlineStr">
        <is>
          <t>Design &amp; Creative</t>
        </is>
      </c>
      <c r="H72" s="29" t="n">
        <v>1</v>
      </c>
      <c r="I72" s="29" t="inlineStr">
        <is>
          <t>Avidi Jeevitesh</t>
        </is>
      </c>
      <c r="J72" s="34" t="str">
        <f>IFERROR(INDEX(RBD_C,MATCH("Design &amp; Creative|A3|A",RBD_KEY,0)),"M")</f>
        <v>H</v>
      </c>
      <c r="K72" s="35" t="str">
        <f>IFERROR(INDEX(RBD_Au,MATCH("Design &amp; Creative|A3|A",RBD_KEY,0)),"M")</f>
        <v>M</v>
      </c>
      <c r="L72" s="35" t="str">
        <f>IFERROR(INDEX(RBD_Ac,MATCH("Design &amp; Creative|A3|A",RBD_KEY,0)),"M")</f>
        <v>L</v>
      </c>
      <c r="M72" s="35" t="str">
        <f>IFERROR(INDEX(RBD_L,MATCH("Design &amp; Creative|A3|A",RBD_KEY,0)),"M")</f>
        <v>L</v>
      </c>
      <c r="N72" s="35" t="str">
        <f>IFERROR(INDEX(RBD_BI,MATCH("Design &amp; Creative|A3|A",RBD_KEY,0)),"M")</f>
        <v>M</v>
      </c>
      <c r="O72" s="35" t="str">
        <f>IFERROR(INDEX(RBD_Exp,MATCH("Design &amp; Creative|A3|A",RBD_KEY,0)),"M")</f>
        <v>L</v>
      </c>
      <c r="P72" s="35" t="str">
        <f>IFERROR(INDEX(RBD_Edu,MATCH("Design &amp; Creative|A3|A",RBD_KEY,0)),"M")</f>
        <v>L</v>
      </c>
      <c r="Q72" s="73">
        <f>IF(J72="","",IFERROR(INDEX(LMH_PTS,MATCH(J72,LMH_KEY,0))/SUM(IFERROR(INDEX(LMH_PTS,MATCH(J72,LMH_KEY,0)),0),IFERROR(INDEX(LMH_PTS,MATCH(K72,LMH_KEY,0)),0),IFERROR(INDEX(LMH_PTS,MATCH(L72,LMH_KEY,0)),0),IFERROR(INDEX(LMH_PTS,MATCH(M72,LMH_KEY,0)),0),IFERROR(INDEX(LMH_PTS,MATCH(N72,LMH_KEY,0)),0),IFERROR(INDEX(LMH_PTS,MATCH(O72,LMH_KEY,0)),0),IFERROR(INDEX(LMH_PTS,MATCH(P72,LMH_KEY,0)),0)),""))</f>
        <v>0.473684210526316</v>
      </c>
      <c r="R72" s="74">
        <f>IF(K72="","",IFERROR(INDEX(LMH_PTS,MATCH(K72,LMH_KEY,0))/SUM(IFERROR(INDEX(LMH_PTS,MATCH(J72,LMH_KEY,0)),0),IFERROR(INDEX(LMH_PTS,MATCH(K72,LMH_KEY,0)),0),IFERROR(INDEX(LMH_PTS,MATCH(L72,LMH_KEY,0)),0),IFERROR(INDEX(LMH_PTS,MATCH(M72,LMH_KEY,0)),0),IFERROR(INDEX(LMH_PTS,MATCH(N72,LMH_KEY,0)),0),IFERROR(INDEX(LMH_PTS,MATCH(O72,LMH_KEY,0)),0),IFERROR(INDEX(LMH_PTS,MATCH(P72,LMH_KEY,0)),0)),""))</f>
        <v>0.157894736842105</v>
      </c>
      <c r="S72" s="74">
        <f>IF(L72="","",IFERROR(INDEX(LMH_PTS,MATCH(L72,LMH_KEY,0))/SUM(IFERROR(INDEX(LMH_PTS,MATCH(J72,LMH_KEY,0)),0),IFERROR(INDEX(LMH_PTS,MATCH(K72,LMH_KEY,0)),0),IFERROR(INDEX(LMH_PTS,MATCH(L72,LMH_KEY,0)),0),IFERROR(INDEX(LMH_PTS,MATCH(M72,LMH_KEY,0)),0),IFERROR(INDEX(LMH_PTS,MATCH(N72,LMH_KEY,0)),0),IFERROR(INDEX(LMH_PTS,MATCH(O72,LMH_KEY,0)),0),IFERROR(INDEX(LMH_PTS,MATCH(P72,LMH_KEY,0)),0)),""))</f>
        <v>0.0526315789473684</v>
      </c>
      <c r="T72" s="74">
        <f>IF(M72="","",IFERROR(INDEX(LMH_PTS,MATCH(M72,LMH_KEY,0))/SUM(IFERROR(INDEX(LMH_PTS,MATCH(J72,LMH_KEY,0)),0),IFERROR(INDEX(LMH_PTS,MATCH(K72,LMH_KEY,0)),0),IFERROR(INDEX(LMH_PTS,MATCH(L72,LMH_KEY,0)),0),IFERROR(INDEX(LMH_PTS,MATCH(M72,LMH_KEY,0)),0),IFERROR(INDEX(LMH_PTS,MATCH(N72,LMH_KEY,0)),0),IFERROR(INDEX(LMH_PTS,MATCH(O72,LMH_KEY,0)),0),IFERROR(INDEX(LMH_PTS,MATCH(P72,LMH_KEY,0)),0)),""))</f>
        <v>0.0526315789473684</v>
      </c>
      <c r="U72" s="74">
        <f>IF(N72="","",IFERROR(INDEX(LMH_PTS,MATCH(N72,LMH_KEY,0))/SUM(IFERROR(INDEX(LMH_PTS,MATCH(J72,LMH_KEY,0)),0),IFERROR(INDEX(LMH_PTS,MATCH(K72,LMH_KEY,0)),0),IFERROR(INDEX(LMH_PTS,MATCH(L72,LMH_KEY,0)),0),IFERROR(INDEX(LMH_PTS,MATCH(M72,LMH_KEY,0)),0),IFERROR(INDEX(LMH_PTS,MATCH(N72,LMH_KEY,0)),0),IFERROR(INDEX(LMH_PTS,MATCH(O72,LMH_KEY,0)),0),IFERROR(INDEX(LMH_PTS,MATCH(P72,LMH_KEY,0)),0)),""))</f>
        <v>0.157894736842105</v>
      </c>
      <c r="V72" s="74">
        <f>IF(O72="","",IFERROR(INDEX(LMH_PTS,MATCH(O72,LMH_KEY,0))/SUM(IFERROR(INDEX(LMH_PTS,MATCH(J72,LMH_KEY,0)),0),IFERROR(INDEX(LMH_PTS,MATCH(K72,LMH_KEY,0)),0),IFERROR(INDEX(LMH_PTS,MATCH(L72,LMH_KEY,0)),0),IFERROR(INDEX(LMH_PTS,MATCH(M72,LMH_KEY,0)),0),IFERROR(INDEX(LMH_PTS,MATCH(N72,LMH_KEY,0)),0),IFERROR(INDEX(LMH_PTS,MATCH(O72,LMH_KEY,0)),0),IFERROR(INDEX(LMH_PTS,MATCH(P72,LMH_KEY,0)),0)),""))</f>
        <v>0.0526315789473684</v>
      </c>
      <c r="W72" s="74">
        <f>IF(P72="","",IFERROR(INDEX(LMH_PTS,MATCH(P72,LMH_KEY,0))/SUM(IFERROR(INDEX(LMH_PTS,MATCH(J72,LMH_KEY,0)),0),IFERROR(INDEX(LMH_PTS,MATCH(K72,LMH_KEY,0)),0),IFERROR(INDEX(LMH_PTS,MATCH(L72,LMH_KEY,0)),0),IFERROR(INDEX(LMH_PTS,MATCH(M72,LMH_KEY,0)),0),IFERROR(INDEX(LMH_PTS,MATCH(N72,LMH_KEY,0)),0),IFERROR(INDEX(LMH_PTS,MATCH(O72,LMH_KEY,0)),0),IFERROR(INDEX(LMH_PTS,MATCH(P72,LMH_KEY,0)),0)),""))</f>
        <v>0.0526315789473684</v>
      </c>
      <c r="X72" s="44" t="n"/>
      <c r="Y72" s="38" t="inlineStr">
        <is>
          <t>CARBON|Marketing|Senior Designer|A3|A</t>
        </is>
      </c>
    </row>
    <row r="73" ht="28" customHeight="1">
      <c r="A73" s="28" t="inlineStr">
        <is>
          <t>CARBON</t>
        </is>
      </c>
      <c r="B73" s="29" t="inlineStr">
        <is>
          <t>Marketing</t>
        </is>
      </c>
      <c r="C73" s="75" t="inlineStr">
        <is>
          <t>A3</t>
        </is>
      </c>
      <c r="D73" s="29" t="inlineStr">
        <is>
          <t>Band A · Practitioner</t>
        </is>
      </c>
      <c r="E73" s="29" t="inlineStr">
        <is>
          <t>Senior Digital Marketing Associate</t>
        </is>
      </c>
      <c r="F73" s="29" t="inlineStr">
        <is>
          <t>Band A · all tracks</t>
        </is>
      </c>
      <c r="G73" s="29" t="inlineStr">
        <is>
          <t>Marketing &amp; Communications</t>
        </is>
      </c>
      <c r="H73" s="29" t="n">
        <v>1</v>
      </c>
      <c r="I73" s="29" t="inlineStr">
        <is>
          <t>Danish Baksh</t>
        </is>
      </c>
      <c r="J73" s="34" t="str">
        <f>IFERROR(INDEX(RBD_C,MATCH("Marketing &amp; Communications|A3|A",RBD_KEY,0)),"M")</f>
        <v>H</v>
      </c>
      <c r="K73" s="35" t="str">
        <f>IFERROR(INDEX(RBD_Au,MATCH("Marketing &amp; Communications|A3|A",RBD_KEY,0)),"M")</f>
        <v>M</v>
      </c>
      <c r="L73" s="35" t="str">
        <f>IFERROR(INDEX(RBD_Ac,MATCH("Marketing &amp; Communications|A3|A",RBD_KEY,0)),"M")</f>
        <v>L</v>
      </c>
      <c r="M73" s="35" t="str">
        <f>IFERROR(INDEX(RBD_L,MATCH("Marketing &amp; Communications|A3|A",RBD_KEY,0)),"M")</f>
        <v>L</v>
      </c>
      <c r="N73" s="35" t="str">
        <f>IFERROR(INDEX(RBD_BI,MATCH("Marketing &amp; Communications|A3|A",RBD_KEY,0)),"M")</f>
        <v>M</v>
      </c>
      <c r="O73" s="35" t="str">
        <f>IFERROR(INDEX(RBD_Exp,MATCH("Marketing &amp; Communications|A3|A",RBD_KEY,0)),"M")</f>
        <v>L</v>
      </c>
      <c r="P73" s="35" t="str">
        <f>IFERROR(INDEX(RBD_Edu,MATCH("Marketing &amp; Communications|A3|A",RBD_KEY,0)),"M")</f>
        <v>L</v>
      </c>
      <c r="Q73" s="73">
        <f>IF(J73="","",IFERROR(INDEX(LMH_PTS,MATCH(J73,LMH_KEY,0))/SUM(IFERROR(INDEX(LMH_PTS,MATCH(J73,LMH_KEY,0)),0),IFERROR(INDEX(LMH_PTS,MATCH(K73,LMH_KEY,0)),0),IFERROR(INDEX(LMH_PTS,MATCH(L73,LMH_KEY,0)),0),IFERROR(INDEX(LMH_PTS,MATCH(M73,LMH_KEY,0)),0),IFERROR(INDEX(LMH_PTS,MATCH(N73,LMH_KEY,0)),0),IFERROR(INDEX(LMH_PTS,MATCH(O73,LMH_KEY,0)),0),IFERROR(INDEX(LMH_PTS,MATCH(P73,LMH_KEY,0)),0)),""))</f>
        <v>0.473684210526316</v>
      </c>
      <c r="R73" s="74">
        <f>IF(K73="","",IFERROR(INDEX(LMH_PTS,MATCH(K73,LMH_KEY,0))/SUM(IFERROR(INDEX(LMH_PTS,MATCH(J73,LMH_KEY,0)),0),IFERROR(INDEX(LMH_PTS,MATCH(K73,LMH_KEY,0)),0),IFERROR(INDEX(LMH_PTS,MATCH(L73,LMH_KEY,0)),0),IFERROR(INDEX(LMH_PTS,MATCH(M73,LMH_KEY,0)),0),IFERROR(INDEX(LMH_PTS,MATCH(N73,LMH_KEY,0)),0),IFERROR(INDEX(LMH_PTS,MATCH(O73,LMH_KEY,0)),0),IFERROR(INDEX(LMH_PTS,MATCH(P73,LMH_KEY,0)),0)),""))</f>
        <v>0.157894736842105</v>
      </c>
      <c r="S73" s="74">
        <f>IF(L73="","",IFERROR(INDEX(LMH_PTS,MATCH(L73,LMH_KEY,0))/SUM(IFERROR(INDEX(LMH_PTS,MATCH(J73,LMH_KEY,0)),0),IFERROR(INDEX(LMH_PTS,MATCH(K73,LMH_KEY,0)),0),IFERROR(INDEX(LMH_PTS,MATCH(L73,LMH_KEY,0)),0),IFERROR(INDEX(LMH_PTS,MATCH(M73,LMH_KEY,0)),0),IFERROR(INDEX(LMH_PTS,MATCH(N73,LMH_KEY,0)),0),IFERROR(INDEX(LMH_PTS,MATCH(O73,LMH_KEY,0)),0),IFERROR(INDEX(LMH_PTS,MATCH(P73,LMH_KEY,0)),0)),""))</f>
        <v>0.0526315789473684</v>
      </c>
      <c r="T73" s="74">
        <f>IF(M73="","",IFERROR(INDEX(LMH_PTS,MATCH(M73,LMH_KEY,0))/SUM(IFERROR(INDEX(LMH_PTS,MATCH(J73,LMH_KEY,0)),0),IFERROR(INDEX(LMH_PTS,MATCH(K73,LMH_KEY,0)),0),IFERROR(INDEX(LMH_PTS,MATCH(L73,LMH_KEY,0)),0),IFERROR(INDEX(LMH_PTS,MATCH(M73,LMH_KEY,0)),0),IFERROR(INDEX(LMH_PTS,MATCH(N73,LMH_KEY,0)),0),IFERROR(INDEX(LMH_PTS,MATCH(O73,LMH_KEY,0)),0),IFERROR(INDEX(LMH_PTS,MATCH(P73,LMH_KEY,0)),0)),""))</f>
        <v>0.0526315789473684</v>
      </c>
      <c r="U73" s="74">
        <f>IF(N73="","",IFERROR(INDEX(LMH_PTS,MATCH(N73,LMH_KEY,0))/SUM(IFERROR(INDEX(LMH_PTS,MATCH(J73,LMH_KEY,0)),0),IFERROR(INDEX(LMH_PTS,MATCH(K73,LMH_KEY,0)),0),IFERROR(INDEX(LMH_PTS,MATCH(L73,LMH_KEY,0)),0),IFERROR(INDEX(LMH_PTS,MATCH(M73,LMH_KEY,0)),0),IFERROR(INDEX(LMH_PTS,MATCH(N73,LMH_KEY,0)),0),IFERROR(INDEX(LMH_PTS,MATCH(O73,LMH_KEY,0)),0),IFERROR(INDEX(LMH_PTS,MATCH(P73,LMH_KEY,0)),0)),""))</f>
        <v>0.157894736842105</v>
      </c>
      <c r="V73" s="74">
        <f>IF(O73="","",IFERROR(INDEX(LMH_PTS,MATCH(O73,LMH_KEY,0))/SUM(IFERROR(INDEX(LMH_PTS,MATCH(J73,LMH_KEY,0)),0),IFERROR(INDEX(LMH_PTS,MATCH(K73,LMH_KEY,0)),0),IFERROR(INDEX(LMH_PTS,MATCH(L73,LMH_KEY,0)),0),IFERROR(INDEX(LMH_PTS,MATCH(M73,LMH_KEY,0)),0),IFERROR(INDEX(LMH_PTS,MATCH(N73,LMH_KEY,0)),0),IFERROR(INDEX(LMH_PTS,MATCH(O73,LMH_KEY,0)),0),IFERROR(INDEX(LMH_PTS,MATCH(P73,LMH_KEY,0)),0)),""))</f>
        <v>0.0526315789473684</v>
      </c>
      <c r="W73" s="74">
        <f>IF(P73="","",IFERROR(INDEX(LMH_PTS,MATCH(P73,LMH_KEY,0))/SUM(IFERROR(INDEX(LMH_PTS,MATCH(J73,LMH_KEY,0)),0),IFERROR(INDEX(LMH_PTS,MATCH(K73,LMH_KEY,0)),0),IFERROR(INDEX(LMH_PTS,MATCH(L73,LMH_KEY,0)),0),IFERROR(INDEX(LMH_PTS,MATCH(M73,LMH_KEY,0)),0),IFERROR(INDEX(LMH_PTS,MATCH(N73,LMH_KEY,0)),0),IFERROR(INDEX(LMH_PTS,MATCH(O73,LMH_KEY,0)),0),IFERROR(INDEX(LMH_PTS,MATCH(P73,LMH_KEY,0)),0)),""))</f>
        <v>0.0526315789473684</v>
      </c>
      <c r="X73" s="44" t="n"/>
      <c r="Y73" s="38" t="inlineStr">
        <is>
          <t>CARBON|Marketing|Senior Digital Marketing Associate|A3|A</t>
        </is>
      </c>
    </row>
    <row r="74" ht="28" customHeight="1">
      <c r="A74" s="28" t="inlineStr">
        <is>
          <t>CARBON</t>
        </is>
      </c>
      <c r="B74" s="29" t="inlineStr">
        <is>
          <t>Marketing</t>
        </is>
      </c>
      <c r="C74" s="75" t="inlineStr">
        <is>
          <t>A3</t>
        </is>
      </c>
      <c r="D74" s="29" t="inlineStr">
        <is>
          <t>Band A · Practitioner</t>
        </is>
      </c>
      <c r="E74" s="29" t="inlineStr">
        <is>
          <t>Senior Marketing Operations Associate</t>
        </is>
      </c>
      <c r="F74" s="29" t="inlineStr">
        <is>
          <t>Band A · all tracks</t>
        </is>
      </c>
      <c r="G74" s="29" t="inlineStr">
        <is>
          <t>Marketing &amp; Communications</t>
        </is>
      </c>
      <c r="H74" s="29" t="n">
        <v>1</v>
      </c>
      <c r="I74" s="29" t="inlineStr">
        <is>
          <t>Mounika Kattula</t>
        </is>
      </c>
      <c r="J74" s="34" t="str">
        <f>IFERROR(INDEX(RBD_C,MATCH("Marketing &amp; Communications|A3|A",RBD_KEY,0)),"M")</f>
        <v>H</v>
      </c>
      <c r="K74" s="35" t="str">
        <f>IFERROR(INDEX(RBD_Au,MATCH("Marketing &amp; Communications|A3|A",RBD_KEY,0)),"M")</f>
        <v>M</v>
      </c>
      <c r="L74" s="35" t="str">
        <f>IFERROR(INDEX(RBD_Ac,MATCH("Marketing &amp; Communications|A3|A",RBD_KEY,0)),"M")</f>
        <v>L</v>
      </c>
      <c r="M74" s="35" t="str">
        <f>IFERROR(INDEX(RBD_L,MATCH("Marketing &amp; Communications|A3|A",RBD_KEY,0)),"M")</f>
        <v>L</v>
      </c>
      <c r="N74" s="35" t="str">
        <f>IFERROR(INDEX(RBD_BI,MATCH("Marketing &amp; Communications|A3|A",RBD_KEY,0)),"M")</f>
        <v>M</v>
      </c>
      <c r="O74" s="35" t="str">
        <f>IFERROR(INDEX(RBD_Exp,MATCH("Marketing &amp; Communications|A3|A",RBD_KEY,0)),"M")</f>
        <v>L</v>
      </c>
      <c r="P74" s="35" t="str">
        <f>IFERROR(INDEX(RBD_Edu,MATCH("Marketing &amp; Communications|A3|A",RBD_KEY,0)),"M")</f>
        <v>L</v>
      </c>
      <c r="Q74" s="73">
        <f>IF(J74="","",IFERROR(INDEX(LMH_PTS,MATCH(J74,LMH_KEY,0))/SUM(IFERROR(INDEX(LMH_PTS,MATCH(J74,LMH_KEY,0)),0),IFERROR(INDEX(LMH_PTS,MATCH(K74,LMH_KEY,0)),0),IFERROR(INDEX(LMH_PTS,MATCH(L74,LMH_KEY,0)),0),IFERROR(INDEX(LMH_PTS,MATCH(M74,LMH_KEY,0)),0),IFERROR(INDEX(LMH_PTS,MATCH(N74,LMH_KEY,0)),0),IFERROR(INDEX(LMH_PTS,MATCH(O74,LMH_KEY,0)),0),IFERROR(INDEX(LMH_PTS,MATCH(P74,LMH_KEY,0)),0)),""))</f>
        <v>0.473684210526316</v>
      </c>
      <c r="R74" s="74">
        <f>IF(K74="","",IFERROR(INDEX(LMH_PTS,MATCH(K74,LMH_KEY,0))/SUM(IFERROR(INDEX(LMH_PTS,MATCH(J74,LMH_KEY,0)),0),IFERROR(INDEX(LMH_PTS,MATCH(K74,LMH_KEY,0)),0),IFERROR(INDEX(LMH_PTS,MATCH(L74,LMH_KEY,0)),0),IFERROR(INDEX(LMH_PTS,MATCH(M74,LMH_KEY,0)),0),IFERROR(INDEX(LMH_PTS,MATCH(N74,LMH_KEY,0)),0),IFERROR(INDEX(LMH_PTS,MATCH(O74,LMH_KEY,0)),0),IFERROR(INDEX(LMH_PTS,MATCH(P74,LMH_KEY,0)),0)),""))</f>
        <v>0.157894736842105</v>
      </c>
      <c r="S74" s="74">
        <f>IF(L74="","",IFERROR(INDEX(LMH_PTS,MATCH(L74,LMH_KEY,0))/SUM(IFERROR(INDEX(LMH_PTS,MATCH(J74,LMH_KEY,0)),0),IFERROR(INDEX(LMH_PTS,MATCH(K74,LMH_KEY,0)),0),IFERROR(INDEX(LMH_PTS,MATCH(L74,LMH_KEY,0)),0),IFERROR(INDEX(LMH_PTS,MATCH(M74,LMH_KEY,0)),0),IFERROR(INDEX(LMH_PTS,MATCH(N74,LMH_KEY,0)),0),IFERROR(INDEX(LMH_PTS,MATCH(O74,LMH_KEY,0)),0),IFERROR(INDEX(LMH_PTS,MATCH(P74,LMH_KEY,0)),0)),""))</f>
        <v>0.0526315789473684</v>
      </c>
      <c r="T74" s="74">
        <f>IF(M74="","",IFERROR(INDEX(LMH_PTS,MATCH(M74,LMH_KEY,0))/SUM(IFERROR(INDEX(LMH_PTS,MATCH(J74,LMH_KEY,0)),0),IFERROR(INDEX(LMH_PTS,MATCH(K74,LMH_KEY,0)),0),IFERROR(INDEX(LMH_PTS,MATCH(L74,LMH_KEY,0)),0),IFERROR(INDEX(LMH_PTS,MATCH(M74,LMH_KEY,0)),0),IFERROR(INDEX(LMH_PTS,MATCH(N74,LMH_KEY,0)),0),IFERROR(INDEX(LMH_PTS,MATCH(O74,LMH_KEY,0)),0),IFERROR(INDEX(LMH_PTS,MATCH(P74,LMH_KEY,0)),0)),""))</f>
        <v>0.0526315789473684</v>
      </c>
      <c r="U74" s="74">
        <f>IF(N74="","",IFERROR(INDEX(LMH_PTS,MATCH(N74,LMH_KEY,0))/SUM(IFERROR(INDEX(LMH_PTS,MATCH(J74,LMH_KEY,0)),0),IFERROR(INDEX(LMH_PTS,MATCH(K74,LMH_KEY,0)),0),IFERROR(INDEX(LMH_PTS,MATCH(L74,LMH_KEY,0)),0),IFERROR(INDEX(LMH_PTS,MATCH(M74,LMH_KEY,0)),0),IFERROR(INDEX(LMH_PTS,MATCH(N74,LMH_KEY,0)),0),IFERROR(INDEX(LMH_PTS,MATCH(O74,LMH_KEY,0)),0),IFERROR(INDEX(LMH_PTS,MATCH(P74,LMH_KEY,0)),0)),""))</f>
        <v>0.157894736842105</v>
      </c>
      <c r="V74" s="74">
        <f>IF(O74="","",IFERROR(INDEX(LMH_PTS,MATCH(O74,LMH_KEY,0))/SUM(IFERROR(INDEX(LMH_PTS,MATCH(J74,LMH_KEY,0)),0),IFERROR(INDEX(LMH_PTS,MATCH(K74,LMH_KEY,0)),0),IFERROR(INDEX(LMH_PTS,MATCH(L74,LMH_KEY,0)),0),IFERROR(INDEX(LMH_PTS,MATCH(M74,LMH_KEY,0)),0),IFERROR(INDEX(LMH_PTS,MATCH(N74,LMH_KEY,0)),0),IFERROR(INDEX(LMH_PTS,MATCH(O74,LMH_KEY,0)),0),IFERROR(INDEX(LMH_PTS,MATCH(P74,LMH_KEY,0)),0)),""))</f>
        <v>0.0526315789473684</v>
      </c>
      <c r="W74" s="74">
        <f>IF(P74="","",IFERROR(INDEX(LMH_PTS,MATCH(P74,LMH_KEY,0))/SUM(IFERROR(INDEX(LMH_PTS,MATCH(J74,LMH_KEY,0)),0),IFERROR(INDEX(LMH_PTS,MATCH(K74,LMH_KEY,0)),0),IFERROR(INDEX(LMH_PTS,MATCH(L74,LMH_KEY,0)),0),IFERROR(INDEX(LMH_PTS,MATCH(M74,LMH_KEY,0)),0),IFERROR(INDEX(LMH_PTS,MATCH(N74,LMH_KEY,0)),0),IFERROR(INDEX(LMH_PTS,MATCH(O74,LMH_KEY,0)),0),IFERROR(INDEX(LMH_PTS,MATCH(P74,LMH_KEY,0)),0)),""))</f>
        <v>0.0526315789473684</v>
      </c>
      <c r="X74" s="44" t="n"/>
      <c r="Y74" s="38" t="inlineStr">
        <is>
          <t>CARBON|Marketing|Senior Marketing Operations Associate|A3|A</t>
        </is>
      </c>
    </row>
    <row r="75" ht="28" customHeight="1">
      <c r="A75" s="28" t="inlineStr">
        <is>
          <t>CARBON</t>
        </is>
      </c>
      <c r="B75" s="29" t="inlineStr">
        <is>
          <t>Marketing</t>
        </is>
      </c>
      <c r="C75" s="75" t="inlineStr">
        <is>
          <t>A3</t>
        </is>
      </c>
      <c r="D75" s="29" t="inlineStr">
        <is>
          <t>Band A · Practitioner</t>
        </is>
      </c>
      <c r="E75" s="29" t="inlineStr">
        <is>
          <t>Senior Sales Development Representative</t>
        </is>
      </c>
      <c r="F75" s="29" t="inlineStr">
        <is>
          <t>Band A · all tracks</t>
        </is>
      </c>
      <c r="G75" s="29" t="inlineStr">
        <is>
          <t>Sales &amp; Business Development</t>
        </is>
      </c>
      <c r="H75" s="29" t="n">
        <v>3</v>
      </c>
      <c r="I75" s="29" t="inlineStr">
        <is>
          <t>Fatima Bhaiji, Rahul Nishikant Pawar, Mausam Thakkar</t>
        </is>
      </c>
      <c r="J75" s="34" t="str">
        <f>IFERROR(INDEX(RBD_C,MATCH("Sales &amp; Business Development|A3|A",RBD_KEY,0)),"M")</f>
        <v>H</v>
      </c>
      <c r="K75" s="35" t="str">
        <f>IFERROR(INDEX(RBD_Au,MATCH("Sales &amp; Business Development|A3|A",RBD_KEY,0)),"M")</f>
        <v>M</v>
      </c>
      <c r="L75" s="35" t="str">
        <f>IFERROR(INDEX(RBD_Ac,MATCH("Sales &amp; Business Development|A3|A",RBD_KEY,0)),"M")</f>
        <v>L</v>
      </c>
      <c r="M75" s="35" t="str">
        <f>IFERROR(INDEX(RBD_L,MATCH("Sales &amp; Business Development|A3|A",RBD_KEY,0)),"M")</f>
        <v>L</v>
      </c>
      <c r="N75" s="35" t="str">
        <f>IFERROR(INDEX(RBD_BI,MATCH("Sales &amp; Business Development|A3|A",RBD_KEY,0)),"M")</f>
        <v>M</v>
      </c>
      <c r="O75" s="35" t="str">
        <f>IFERROR(INDEX(RBD_Exp,MATCH("Sales &amp; Business Development|A3|A",RBD_KEY,0)),"M")</f>
        <v>L</v>
      </c>
      <c r="P75" s="35" t="str">
        <f>IFERROR(INDEX(RBD_Edu,MATCH("Sales &amp; Business Development|A3|A",RBD_KEY,0)),"M")</f>
        <v>L</v>
      </c>
      <c r="Q75" s="73">
        <f>IF(J75="","",IFERROR(INDEX(LMH_PTS,MATCH(J75,LMH_KEY,0))/SUM(IFERROR(INDEX(LMH_PTS,MATCH(J75,LMH_KEY,0)),0),IFERROR(INDEX(LMH_PTS,MATCH(K75,LMH_KEY,0)),0),IFERROR(INDEX(LMH_PTS,MATCH(L75,LMH_KEY,0)),0),IFERROR(INDEX(LMH_PTS,MATCH(M75,LMH_KEY,0)),0),IFERROR(INDEX(LMH_PTS,MATCH(N75,LMH_KEY,0)),0),IFERROR(INDEX(LMH_PTS,MATCH(O75,LMH_KEY,0)),0),IFERROR(INDEX(LMH_PTS,MATCH(P75,LMH_KEY,0)),0)),""))</f>
        <v>0.473684210526316</v>
      </c>
      <c r="R75" s="74">
        <f>IF(K75="","",IFERROR(INDEX(LMH_PTS,MATCH(K75,LMH_KEY,0))/SUM(IFERROR(INDEX(LMH_PTS,MATCH(J75,LMH_KEY,0)),0),IFERROR(INDEX(LMH_PTS,MATCH(K75,LMH_KEY,0)),0),IFERROR(INDEX(LMH_PTS,MATCH(L75,LMH_KEY,0)),0),IFERROR(INDEX(LMH_PTS,MATCH(M75,LMH_KEY,0)),0),IFERROR(INDEX(LMH_PTS,MATCH(N75,LMH_KEY,0)),0),IFERROR(INDEX(LMH_PTS,MATCH(O75,LMH_KEY,0)),0),IFERROR(INDEX(LMH_PTS,MATCH(P75,LMH_KEY,0)),0)),""))</f>
        <v>0.157894736842105</v>
      </c>
      <c r="S75" s="74">
        <f>IF(L75="","",IFERROR(INDEX(LMH_PTS,MATCH(L75,LMH_KEY,0))/SUM(IFERROR(INDEX(LMH_PTS,MATCH(J75,LMH_KEY,0)),0),IFERROR(INDEX(LMH_PTS,MATCH(K75,LMH_KEY,0)),0),IFERROR(INDEX(LMH_PTS,MATCH(L75,LMH_KEY,0)),0),IFERROR(INDEX(LMH_PTS,MATCH(M75,LMH_KEY,0)),0),IFERROR(INDEX(LMH_PTS,MATCH(N75,LMH_KEY,0)),0),IFERROR(INDEX(LMH_PTS,MATCH(O75,LMH_KEY,0)),0),IFERROR(INDEX(LMH_PTS,MATCH(P75,LMH_KEY,0)),0)),""))</f>
        <v>0.0526315789473684</v>
      </c>
      <c r="T75" s="74">
        <f>IF(M75="","",IFERROR(INDEX(LMH_PTS,MATCH(M75,LMH_KEY,0))/SUM(IFERROR(INDEX(LMH_PTS,MATCH(J75,LMH_KEY,0)),0),IFERROR(INDEX(LMH_PTS,MATCH(K75,LMH_KEY,0)),0),IFERROR(INDEX(LMH_PTS,MATCH(L75,LMH_KEY,0)),0),IFERROR(INDEX(LMH_PTS,MATCH(M75,LMH_KEY,0)),0),IFERROR(INDEX(LMH_PTS,MATCH(N75,LMH_KEY,0)),0),IFERROR(INDEX(LMH_PTS,MATCH(O75,LMH_KEY,0)),0),IFERROR(INDEX(LMH_PTS,MATCH(P75,LMH_KEY,0)),0)),""))</f>
        <v>0.0526315789473684</v>
      </c>
      <c r="U75" s="74">
        <f>IF(N75="","",IFERROR(INDEX(LMH_PTS,MATCH(N75,LMH_KEY,0))/SUM(IFERROR(INDEX(LMH_PTS,MATCH(J75,LMH_KEY,0)),0),IFERROR(INDEX(LMH_PTS,MATCH(K75,LMH_KEY,0)),0),IFERROR(INDEX(LMH_PTS,MATCH(L75,LMH_KEY,0)),0),IFERROR(INDEX(LMH_PTS,MATCH(M75,LMH_KEY,0)),0),IFERROR(INDEX(LMH_PTS,MATCH(N75,LMH_KEY,0)),0),IFERROR(INDEX(LMH_PTS,MATCH(O75,LMH_KEY,0)),0),IFERROR(INDEX(LMH_PTS,MATCH(P75,LMH_KEY,0)),0)),""))</f>
        <v>0.157894736842105</v>
      </c>
      <c r="V75" s="74">
        <f>IF(O75="","",IFERROR(INDEX(LMH_PTS,MATCH(O75,LMH_KEY,0))/SUM(IFERROR(INDEX(LMH_PTS,MATCH(J75,LMH_KEY,0)),0),IFERROR(INDEX(LMH_PTS,MATCH(K75,LMH_KEY,0)),0),IFERROR(INDEX(LMH_PTS,MATCH(L75,LMH_KEY,0)),0),IFERROR(INDEX(LMH_PTS,MATCH(M75,LMH_KEY,0)),0),IFERROR(INDEX(LMH_PTS,MATCH(N75,LMH_KEY,0)),0),IFERROR(INDEX(LMH_PTS,MATCH(O75,LMH_KEY,0)),0),IFERROR(INDEX(LMH_PTS,MATCH(P75,LMH_KEY,0)),0)),""))</f>
        <v>0.0526315789473684</v>
      </c>
      <c r="W75" s="74">
        <f>IF(P75="","",IFERROR(INDEX(LMH_PTS,MATCH(P75,LMH_KEY,0))/SUM(IFERROR(INDEX(LMH_PTS,MATCH(J75,LMH_KEY,0)),0),IFERROR(INDEX(LMH_PTS,MATCH(K75,LMH_KEY,0)),0),IFERROR(INDEX(LMH_PTS,MATCH(L75,LMH_KEY,0)),0),IFERROR(INDEX(LMH_PTS,MATCH(M75,LMH_KEY,0)),0),IFERROR(INDEX(LMH_PTS,MATCH(N75,LMH_KEY,0)),0),IFERROR(INDEX(LMH_PTS,MATCH(O75,LMH_KEY,0)),0),IFERROR(INDEX(LMH_PTS,MATCH(P75,LMH_KEY,0)),0)),""))</f>
        <v>0.0526315789473684</v>
      </c>
      <c r="X75" s="44" t="n"/>
      <c r="Y75" s="38" t="inlineStr">
        <is>
          <t>CARBON|Marketing|Senior Sales Development Representative|A3|A</t>
        </is>
      </c>
    </row>
    <row r="76" ht="28" customHeight="1">
      <c r="A76" s="28" t="inlineStr">
        <is>
          <t>CARBON</t>
        </is>
      </c>
      <c r="B76" s="29" t="inlineStr">
        <is>
          <t>Marketing</t>
        </is>
      </c>
      <c r="C76" s="75" t="inlineStr">
        <is>
          <t>A2</t>
        </is>
      </c>
      <c r="D76" s="29" t="inlineStr">
        <is>
          <t>Band A · Practitioner</t>
        </is>
      </c>
      <c r="E76" s="29" t="inlineStr">
        <is>
          <t>Content Marketing Associate</t>
        </is>
      </c>
      <c r="F76" s="29" t="inlineStr">
        <is>
          <t>Band A · all tracks</t>
        </is>
      </c>
      <c r="G76" s="29" t="inlineStr">
        <is>
          <t>Marketing &amp; Communications</t>
        </is>
      </c>
      <c r="H76" s="29" t="n">
        <v>4</v>
      </c>
      <c r="I76" s="29" t="inlineStr">
        <is>
          <t>Aakansha Gupta, Rimsha Khan, Shubhangi Sharma, Jatin Khare</t>
        </is>
      </c>
      <c r="J76" s="34" t="str">
        <f>IFERROR(INDEX(RBD_C,MATCH("Marketing &amp; Communications|A2|A",RBD_KEY,0)),"M")</f>
        <v>H</v>
      </c>
      <c r="K76" s="35" t="str">
        <f>IFERROR(INDEX(RBD_Au,MATCH("Marketing &amp; Communications|A2|A",RBD_KEY,0)),"M")</f>
        <v>M</v>
      </c>
      <c r="L76" s="35" t="str">
        <f>IFERROR(INDEX(RBD_Ac,MATCH("Marketing &amp; Communications|A2|A",RBD_KEY,0)),"M")</f>
        <v>L</v>
      </c>
      <c r="M76" s="35" t="str">
        <f>IFERROR(INDEX(RBD_L,MATCH("Marketing &amp; Communications|A2|A",RBD_KEY,0)),"M")</f>
        <v>L</v>
      </c>
      <c r="N76" s="35" t="str">
        <f>IFERROR(INDEX(RBD_BI,MATCH("Marketing &amp; Communications|A2|A",RBD_KEY,0)),"M")</f>
        <v>M</v>
      </c>
      <c r="O76" s="35" t="str">
        <f>IFERROR(INDEX(RBD_Exp,MATCH("Marketing &amp; Communications|A2|A",RBD_KEY,0)),"M")</f>
        <v>L</v>
      </c>
      <c r="P76" s="35" t="str">
        <f>IFERROR(INDEX(RBD_Edu,MATCH("Marketing &amp; Communications|A2|A",RBD_KEY,0)),"M")</f>
        <v>L</v>
      </c>
      <c r="Q76" s="73">
        <f>IF(J76="","",IFERROR(INDEX(LMH_PTS,MATCH(J76,LMH_KEY,0))/SUM(IFERROR(INDEX(LMH_PTS,MATCH(J76,LMH_KEY,0)),0),IFERROR(INDEX(LMH_PTS,MATCH(K76,LMH_KEY,0)),0),IFERROR(INDEX(LMH_PTS,MATCH(L76,LMH_KEY,0)),0),IFERROR(INDEX(LMH_PTS,MATCH(M76,LMH_KEY,0)),0),IFERROR(INDEX(LMH_PTS,MATCH(N76,LMH_KEY,0)),0),IFERROR(INDEX(LMH_PTS,MATCH(O76,LMH_KEY,0)),0),IFERROR(INDEX(LMH_PTS,MATCH(P76,LMH_KEY,0)),0)),""))</f>
        <v>0.473684210526316</v>
      </c>
      <c r="R76" s="74">
        <f>IF(K76="","",IFERROR(INDEX(LMH_PTS,MATCH(K76,LMH_KEY,0))/SUM(IFERROR(INDEX(LMH_PTS,MATCH(J76,LMH_KEY,0)),0),IFERROR(INDEX(LMH_PTS,MATCH(K76,LMH_KEY,0)),0),IFERROR(INDEX(LMH_PTS,MATCH(L76,LMH_KEY,0)),0),IFERROR(INDEX(LMH_PTS,MATCH(M76,LMH_KEY,0)),0),IFERROR(INDEX(LMH_PTS,MATCH(N76,LMH_KEY,0)),0),IFERROR(INDEX(LMH_PTS,MATCH(O76,LMH_KEY,0)),0),IFERROR(INDEX(LMH_PTS,MATCH(P76,LMH_KEY,0)),0)),""))</f>
        <v>0.157894736842105</v>
      </c>
      <c r="S76" s="74">
        <f>IF(L76="","",IFERROR(INDEX(LMH_PTS,MATCH(L76,LMH_KEY,0))/SUM(IFERROR(INDEX(LMH_PTS,MATCH(J76,LMH_KEY,0)),0),IFERROR(INDEX(LMH_PTS,MATCH(K76,LMH_KEY,0)),0),IFERROR(INDEX(LMH_PTS,MATCH(L76,LMH_KEY,0)),0),IFERROR(INDEX(LMH_PTS,MATCH(M76,LMH_KEY,0)),0),IFERROR(INDEX(LMH_PTS,MATCH(N76,LMH_KEY,0)),0),IFERROR(INDEX(LMH_PTS,MATCH(O76,LMH_KEY,0)),0),IFERROR(INDEX(LMH_PTS,MATCH(P76,LMH_KEY,0)),0)),""))</f>
        <v>0.0526315789473684</v>
      </c>
      <c r="T76" s="74">
        <f>IF(M76="","",IFERROR(INDEX(LMH_PTS,MATCH(M76,LMH_KEY,0))/SUM(IFERROR(INDEX(LMH_PTS,MATCH(J76,LMH_KEY,0)),0),IFERROR(INDEX(LMH_PTS,MATCH(K76,LMH_KEY,0)),0),IFERROR(INDEX(LMH_PTS,MATCH(L76,LMH_KEY,0)),0),IFERROR(INDEX(LMH_PTS,MATCH(M76,LMH_KEY,0)),0),IFERROR(INDEX(LMH_PTS,MATCH(N76,LMH_KEY,0)),0),IFERROR(INDEX(LMH_PTS,MATCH(O76,LMH_KEY,0)),0),IFERROR(INDEX(LMH_PTS,MATCH(P76,LMH_KEY,0)),0)),""))</f>
        <v>0.0526315789473684</v>
      </c>
      <c r="U76" s="74">
        <f>IF(N76="","",IFERROR(INDEX(LMH_PTS,MATCH(N76,LMH_KEY,0))/SUM(IFERROR(INDEX(LMH_PTS,MATCH(J76,LMH_KEY,0)),0),IFERROR(INDEX(LMH_PTS,MATCH(K76,LMH_KEY,0)),0),IFERROR(INDEX(LMH_PTS,MATCH(L76,LMH_KEY,0)),0),IFERROR(INDEX(LMH_PTS,MATCH(M76,LMH_KEY,0)),0),IFERROR(INDEX(LMH_PTS,MATCH(N76,LMH_KEY,0)),0),IFERROR(INDEX(LMH_PTS,MATCH(O76,LMH_KEY,0)),0),IFERROR(INDEX(LMH_PTS,MATCH(P76,LMH_KEY,0)),0)),""))</f>
        <v>0.157894736842105</v>
      </c>
      <c r="V76" s="74">
        <f>IF(O76="","",IFERROR(INDEX(LMH_PTS,MATCH(O76,LMH_KEY,0))/SUM(IFERROR(INDEX(LMH_PTS,MATCH(J76,LMH_KEY,0)),0),IFERROR(INDEX(LMH_PTS,MATCH(K76,LMH_KEY,0)),0),IFERROR(INDEX(LMH_PTS,MATCH(L76,LMH_KEY,0)),0),IFERROR(INDEX(LMH_PTS,MATCH(M76,LMH_KEY,0)),0),IFERROR(INDEX(LMH_PTS,MATCH(N76,LMH_KEY,0)),0),IFERROR(INDEX(LMH_PTS,MATCH(O76,LMH_KEY,0)),0),IFERROR(INDEX(LMH_PTS,MATCH(P76,LMH_KEY,0)),0)),""))</f>
        <v>0.0526315789473684</v>
      </c>
      <c r="W76" s="74">
        <f>IF(P76="","",IFERROR(INDEX(LMH_PTS,MATCH(P76,LMH_KEY,0))/SUM(IFERROR(INDEX(LMH_PTS,MATCH(J76,LMH_KEY,0)),0),IFERROR(INDEX(LMH_PTS,MATCH(K76,LMH_KEY,0)),0),IFERROR(INDEX(LMH_PTS,MATCH(L76,LMH_KEY,0)),0),IFERROR(INDEX(LMH_PTS,MATCH(M76,LMH_KEY,0)),0),IFERROR(INDEX(LMH_PTS,MATCH(N76,LMH_KEY,0)),0),IFERROR(INDEX(LMH_PTS,MATCH(O76,LMH_KEY,0)),0),IFERROR(INDEX(LMH_PTS,MATCH(P76,LMH_KEY,0)),0)),""))</f>
        <v>0.0526315789473684</v>
      </c>
      <c r="X76" s="44" t="n"/>
      <c r="Y76" s="38" t="inlineStr">
        <is>
          <t>CARBON|Marketing|Content Marketing Associate|A2|A</t>
        </is>
      </c>
    </row>
    <row r="77" ht="18" customHeight="1">
      <c r="A77" s="28" t="inlineStr">
        <is>
          <t>CARBON</t>
        </is>
      </c>
      <c r="B77" s="29" t="inlineStr">
        <is>
          <t>Marketing</t>
        </is>
      </c>
      <c r="C77" s="75" t="inlineStr">
        <is>
          <t>A2</t>
        </is>
      </c>
      <c r="D77" s="29" t="inlineStr">
        <is>
          <t>Band A · Practitioner</t>
        </is>
      </c>
      <c r="E77" s="29" t="inlineStr">
        <is>
          <t>Marketing Associate</t>
        </is>
      </c>
      <c r="F77" s="29" t="inlineStr">
        <is>
          <t>Band A · all tracks</t>
        </is>
      </c>
      <c r="G77" s="29" t="inlineStr">
        <is>
          <t>Marketing &amp; Communications</t>
        </is>
      </c>
      <c r="H77" s="29" t="n">
        <v>1</v>
      </c>
      <c r="I77" s="29" t="inlineStr">
        <is>
          <t>Aashima Singh</t>
        </is>
      </c>
      <c r="J77" s="34" t="str">
        <f>IFERROR(INDEX(RBD_C,MATCH("Marketing &amp; Communications|A2|A",RBD_KEY,0)),"M")</f>
        <v>H</v>
      </c>
      <c r="K77" s="35" t="str">
        <f>IFERROR(INDEX(RBD_Au,MATCH("Marketing &amp; Communications|A2|A",RBD_KEY,0)),"M")</f>
        <v>M</v>
      </c>
      <c r="L77" s="35" t="str">
        <f>IFERROR(INDEX(RBD_Ac,MATCH("Marketing &amp; Communications|A2|A",RBD_KEY,0)),"M")</f>
        <v>L</v>
      </c>
      <c r="M77" s="35" t="str">
        <f>IFERROR(INDEX(RBD_L,MATCH("Marketing &amp; Communications|A2|A",RBD_KEY,0)),"M")</f>
        <v>L</v>
      </c>
      <c r="N77" s="35" t="str">
        <f>IFERROR(INDEX(RBD_BI,MATCH("Marketing &amp; Communications|A2|A",RBD_KEY,0)),"M")</f>
        <v>M</v>
      </c>
      <c r="O77" s="35" t="str">
        <f>IFERROR(INDEX(RBD_Exp,MATCH("Marketing &amp; Communications|A2|A",RBD_KEY,0)),"M")</f>
        <v>L</v>
      </c>
      <c r="P77" s="35" t="str">
        <f>IFERROR(INDEX(RBD_Edu,MATCH("Marketing &amp; Communications|A2|A",RBD_KEY,0)),"M")</f>
        <v>L</v>
      </c>
      <c r="Q77" s="73">
        <f>IF(J77="","",IFERROR(INDEX(LMH_PTS,MATCH(J77,LMH_KEY,0))/SUM(IFERROR(INDEX(LMH_PTS,MATCH(J77,LMH_KEY,0)),0),IFERROR(INDEX(LMH_PTS,MATCH(K77,LMH_KEY,0)),0),IFERROR(INDEX(LMH_PTS,MATCH(L77,LMH_KEY,0)),0),IFERROR(INDEX(LMH_PTS,MATCH(M77,LMH_KEY,0)),0),IFERROR(INDEX(LMH_PTS,MATCH(N77,LMH_KEY,0)),0),IFERROR(INDEX(LMH_PTS,MATCH(O77,LMH_KEY,0)),0),IFERROR(INDEX(LMH_PTS,MATCH(P77,LMH_KEY,0)),0)),""))</f>
        <v>0.473684210526316</v>
      </c>
      <c r="R77" s="74">
        <f>IF(K77="","",IFERROR(INDEX(LMH_PTS,MATCH(K77,LMH_KEY,0))/SUM(IFERROR(INDEX(LMH_PTS,MATCH(J77,LMH_KEY,0)),0),IFERROR(INDEX(LMH_PTS,MATCH(K77,LMH_KEY,0)),0),IFERROR(INDEX(LMH_PTS,MATCH(L77,LMH_KEY,0)),0),IFERROR(INDEX(LMH_PTS,MATCH(M77,LMH_KEY,0)),0),IFERROR(INDEX(LMH_PTS,MATCH(N77,LMH_KEY,0)),0),IFERROR(INDEX(LMH_PTS,MATCH(O77,LMH_KEY,0)),0),IFERROR(INDEX(LMH_PTS,MATCH(P77,LMH_KEY,0)),0)),""))</f>
        <v>0.157894736842105</v>
      </c>
      <c r="S77" s="74">
        <f>IF(L77="","",IFERROR(INDEX(LMH_PTS,MATCH(L77,LMH_KEY,0))/SUM(IFERROR(INDEX(LMH_PTS,MATCH(J77,LMH_KEY,0)),0),IFERROR(INDEX(LMH_PTS,MATCH(K77,LMH_KEY,0)),0),IFERROR(INDEX(LMH_PTS,MATCH(L77,LMH_KEY,0)),0),IFERROR(INDEX(LMH_PTS,MATCH(M77,LMH_KEY,0)),0),IFERROR(INDEX(LMH_PTS,MATCH(N77,LMH_KEY,0)),0),IFERROR(INDEX(LMH_PTS,MATCH(O77,LMH_KEY,0)),0),IFERROR(INDEX(LMH_PTS,MATCH(P77,LMH_KEY,0)),0)),""))</f>
        <v>0.0526315789473684</v>
      </c>
      <c r="T77" s="74">
        <f>IF(M77="","",IFERROR(INDEX(LMH_PTS,MATCH(M77,LMH_KEY,0))/SUM(IFERROR(INDEX(LMH_PTS,MATCH(J77,LMH_KEY,0)),0),IFERROR(INDEX(LMH_PTS,MATCH(K77,LMH_KEY,0)),0),IFERROR(INDEX(LMH_PTS,MATCH(L77,LMH_KEY,0)),0),IFERROR(INDEX(LMH_PTS,MATCH(M77,LMH_KEY,0)),0),IFERROR(INDEX(LMH_PTS,MATCH(N77,LMH_KEY,0)),0),IFERROR(INDEX(LMH_PTS,MATCH(O77,LMH_KEY,0)),0),IFERROR(INDEX(LMH_PTS,MATCH(P77,LMH_KEY,0)),0)),""))</f>
        <v>0.0526315789473684</v>
      </c>
      <c r="U77" s="74">
        <f>IF(N77="","",IFERROR(INDEX(LMH_PTS,MATCH(N77,LMH_KEY,0))/SUM(IFERROR(INDEX(LMH_PTS,MATCH(J77,LMH_KEY,0)),0),IFERROR(INDEX(LMH_PTS,MATCH(K77,LMH_KEY,0)),0),IFERROR(INDEX(LMH_PTS,MATCH(L77,LMH_KEY,0)),0),IFERROR(INDEX(LMH_PTS,MATCH(M77,LMH_KEY,0)),0),IFERROR(INDEX(LMH_PTS,MATCH(N77,LMH_KEY,0)),0),IFERROR(INDEX(LMH_PTS,MATCH(O77,LMH_KEY,0)),0),IFERROR(INDEX(LMH_PTS,MATCH(P77,LMH_KEY,0)),0)),""))</f>
        <v>0.157894736842105</v>
      </c>
      <c r="V77" s="74">
        <f>IF(O77="","",IFERROR(INDEX(LMH_PTS,MATCH(O77,LMH_KEY,0))/SUM(IFERROR(INDEX(LMH_PTS,MATCH(J77,LMH_KEY,0)),0),IFERROR(INDEX(LMH_PTS,MATCH(K77,LMH_KEY,0)),0),IFERROR(INDEX(LMH_PTS,MATCH(L77,LMH_KEY,0)),0),IFERROR(INDEX(LMH_PTS,MATCH(M77,LMH_KEY,0)),0),IFERROR(INDEX(LMH_PTS,MATCH(N77,LMH_KEY,0)),0),IFERROR(INDEX(LMH_PTS,MATCH(O77,LMH_KEY,0)),0),IFERROR(INDEX(LMH_PTS,MATCH(P77,LMH_KEY,0)),0)),""))</f>
        <v>0.0526315789473684</v>
      </c>
      <c r="W77" s="74">
        <f>IF(P77="","",IFERROR(INDEX(LMH_PTS,MATCH(P77,LMH_KEY,0))/SUM(IFERROR(INDEX(LMH_PTS,MATCH(J77,LMH_KEY,0)),0),IFERROR(INDEX(LMH_PTS,MATCH(K77,LMH_KEY,0)),0),IFERROR(INDEX(LMH_PTS,MATCH(L77,LMH_KEY,0)),0),IFERROR(INDEX(LMH_PTS,MATCH(M77,LMH_KEY,0)),0),IFERROR(INDEX(LMH_PTS,MATCH(N77,LMH_KEY,0)),0),IFERROR(INDEX(LMH_PTS,MATCH(O77,LMH_KEY,0)),0),IFERROR(INDEX(LMH_PTS,MATCH(P77,LMH_KEY,0)),0)),""))</f>
        <v>0.0526315789473684</v>
      </c>
      <c r="X77" s="44" t="n"/>
      <c r="Y77" s="38" t="inlineStr">
        <is>
          <t>CARBON|Marketing|Marketing Associate|A2|A</t>
        </is>
      </c>
    </row>
    <row r="78" ht="28" customHeight="1">
      <c r="A78" s="28" t="inlineStr">
        <is>
          <t>CARBON</t>
        </is>
      </c>
      <c r="B78" s="29" t="inlineStr">
        <is>
          <t>Marketing</t>
        </is>
      </c>
      <c r="C78" s="75" t="inlineStr">
        <is>
          <t>A2</t>
        </is>
      </c>
      <c r="D78" s="29" t="inlineStr">
        <is>
          <t>Band A · Practitioner</t>
        </is>
      </c>
      <c r="E78" s="29" t="inlineStr">
        <is>
          <t>Marketing Operations Associate</t>
        </is>
      </c>
      <c r="F78" s="29" t="inlineStr">
        <is>
          <t>Band A · all tracks</t>
        </is>
      </c>
      <c r="G78" s="29" t="inlineStr">
        <is>
          <t>Marketing &amp; Communications</t>
        </is>
      </c>
      <c r="H78" s="29" t="n">
        <v>3</v>
      </c>
      <c r="I78" s="29" t="inlineStr">
        <is>
          <t>Kaninika Kali, Vishal, Ritam Mukhopadhyay</t>
        </is>
      </c>
      <c r="J78" s="34" t="str">
        <f>IFERROR(INDEX(RBD_C,MATCH("Marketing &amp; Communications|A2|A",RBD_KEY,0)),"M")</f>
        <v>H</v>
      </c>
      <c r="K78" s="35" t="str">
        <f>IFERROR(INDEX(RBD_Au,MATCH("Marketing &amp; Communications|A2|A",RBD_KEY,0)),"M")</f>
        <v>M</v>
      </c>
      <c r="L78" s="35" t="str">
        <f>IFERROR(INDEX(RBD_Ac,MATCH("Marketing &amp; Communications|A2|A",RBD_KEY,0)),"M")</f>
        <v>L</v>
      </c>
      <c r="M78" s="35" t="str">
        <f>IFERROR(INDEX(RBD_L,MATCH("Marketing &amp; Communications|A2|A",RBD_KEY,0)),"M")</f>
        <v>L</v>
      </c>
      <c r="N78" s="35" t="str">
        <f>IFERROR(INDEX(RBD_BI,MATCH("Marketing &amp; Communications|A2|A",RBD_KEY,0)),"M")</f>
        <v>M</v>
      </c>
      <c r="O78" s="35" t="str">
        <f>IFERROR(INDEX(RBD_Exp,MATCH("Marketing &amp; Communications|A2|A",RBD_KEY,0)),"M")</f>
        <v>L</v>
      </c>
      <c r="P78" s="35" t="str">
        <f>IFERROR(INDEX(RBD_Edu,MATCH("Marketing &amp; Communications|A2|A",RBD_KEY,0)),"M")</f>
        <v>L</v>
      </c>
      <c r="Q78" s="73">
        <f>IF(J78="","",IFERROR(INDEX(LMH_PTS,MATCH(J78,LMH_KEY,0))/SUM(IFERROR(INDEX(LMH_PTS,MATCH(J78,LMH_KEY,0)),0),IFERROR(INDEX(LMH_PTS,MATCH(K78,LMH_KEY,0)),0),IFERROR(INDEX(LMH_PTS,MATCH(L78,LMH_KEY,0)),0),IFERROR(INDEX(LMH_PTS,MATCH(M78,LMH_KEY,0)),0),IFERROR(INDEX(LMH_PTS,MATCH(N78,LMH_KEY,0)),0),IFERROR(INDEX(LMH_PTS,MATCH(O78,LMH_KEY,0)),0),IFERROR(INDEX(LMH_PTS,MATCH(P78,LMH_KEY,0)),0)),""))</f>
        <v>0.473684210526316</v>
      </c>
      <c r="R78" s="74">
        <f>IF(K78="","",IFERROR(INDEX(LMH_PTS,MATCH(K78,LMH_KEY,0))/SUM(IFERROR(INDEX(LMH_PTS,MATCH(J78,LMH_KEY,0)),0),IFERROR(INDEX(LMH_PTS,MATCH(K78,LMH_KEY,0)),0),IFERROR(INDEX(LMH_PTS,MATCH(L78,LMH_KEY,0)),0),IFERROR(INDEX(LMH_PTS,MATCH(M78,LMH_KEY,0)),0),IFERROR(INDEX(LMH_PTS,MATCH(N78,LMH_KEY,0)),0),IFERROR(INDEX(LMH_PTS,MATCH(O78,LMH_KEY,0)),0),IFERROR(INDEX(LMH_PTS,MATCH(P78,LMH_KEY,0)),0)),""))</f>
        <v>0.157894736842105</v>
      </c>
      <c r="S78" s="74">
        <f>IF(L78="","",IFERROR(INDEX(LMH_PTS,MATCH(L78,LMH_KEY,0))/SUM(IFERROR(INDEX(LMH_PTS,MATCH(J78,LMH_KEY,0)),0),IFERROR(INDEX(LMH_PTS,MATCH(K78,LMH_KEY,0)),0),IFERROR(INDEX(LMH_PTS,MATCH(L78,LMH_KEY,0)),0),IFERROR(INDEX(LMH_PTS,MATCH(M78,LMH_KEY,0)),0),IFERROR(INDEX(LMH_PTS,MATCH(N78,LMH_KEY,0)),0),IFERROR(INDEX(LMH_PTS,MATCH(O78,LMH_KEY,0)),0),IFERROR(INDEX(LMH_PTS,MATCH(P78,LMH_KEY,0)),0)),""))</f>
        <v>0.0526315789473684</v>
      </c>
      <c r="T78" s="74">
        <f>IF(M78="","",IFERROR(INDEX(LMH_PTS,MATCH(M78,LMH_KEY,0))/SUM(IFERROR(INDEX(LMH_PTS,MATCH(J78,LMH_KEY,0)),0),IFERROR(INDEX(LMH_PTS,MATCH(K78,LMH_KEY,0)),0),IFERROR(INDEX(LMH_PTS,MATCH(L78,LMH_KEY,0)),0),IFERROR(INDEX(LMH_PTS,MATCH(M78,LMH_KEY,0)),0),IFERROR(INDEX(LMH_PTS,MATCH(N78,LMH_KEY,0)),0),IFERROR(INDEX(LMH_PTS,MATCH(O78,LMH_KEY,0)),0),IFERROR(INDEX(LMH_PTS,MATCH(P78,LMH_KEY,0)),0)),""))</f>
        <v>0.0526315789473684</v>
      </c>
      <c r="U78" s="74">
        <f>IF(N78="","",IFERROR(INDEX(LMH_PTS,MATCH(N78,LMH_KEY,0))/SUM(IFERROR(INDEX(LMH_PTS,MATCH(J78,LMH_KEY,0)),0),IFERROR(INDEX(LMH_PTS,MATCH(K78,LMH_KEY,0)),0),IFERROR(INDEX(LMH_PTS,MATCH(L78,LMH_KEY,0)),0),IFERROR(INDEX(LMH_PTS,MATCH(M78,LMH_KEY,0)),0),IFERROR(INDEX(LMH_PTS,MATCH(N78,LMH_KEY,0)),0),IFERROR(INDEX(LMH_PTS,MATCH(O78,LMH_KEY,0)),0),IFERROR(INDEX(LMH_PTS,MATCH(P78,LMH_KEY,0)),0)),""))</f>
        <v>0.157894736842105</v>
      </c>
      <c r="V78" s="74">
        <f>IF(O78="","",IFERROR(INDEX(LMH_PTS,MATCH(O78,LMH_KEY,0))/SUM(IFERROR(INDEX(LMH_PTS,MATCH(J78,LMH_KEY,0)),0),IFERROR(INDEX(LMH_PTS,MATCH(K78,LMH_KEY,0)),0),IFERROR(INDEX(LMH_PTS,MATCH(L78,LMH_KEY,0)),0),IFERROR(INDEX(LMH_PTS,MATCH(M78,LMH_KEY,0)),0),IFERROR(INDEX(LMH_PTS,MATCH(N78,LMH_KEY,0)),0),IFERROR(INDEX(LMH_PTS,MATCH(O78,LMH_KEY,0)),0),IFERROR(INDEX(LMH_PTS,MATCH(P78,LMH_KEY,0)),0)),""))</f>
        <v>0.0526315789473684</v>
      </c>
      <c r="W78" s="74">
        <f>IF(P78="","",IFERROR(INDEX(LMH_PTS,MATCH(P78,LMH_KEY,0))/SUM(IFERROR(INDEX(LMH_PTS,MATCH(J78,LMH_KEY,0)),0),IFERROR(INDEX(LMH_PTS,MATCH(K78,LMH_KEY,0)),0),IFERROR(INDEX(LMH_PTS,MATCH(L78,LMH_KEY,0)),0),IFERROR(INDEX(LMH_PTS,MATCH(M78,LMH_KEY,0)),0),IFERROR(INDEX(LMH_PTS,MATCH(N78,LMH_KEY,0)),0),IFERROR(INDEX(LMH_PTS,MATCH(O78,LMH_KEY,0)),0),IFERROR(INDEX(LMH_PTS,MATCH(P78,LMH_KEY,0)),0)),""))</f>
        <v>0.0526315789473684</v>
      </c>
      <c r="X78" s="44" t="n"/>
      <c r="Y78" s="38" t="inlineStr">
        <is>
          <t>CARBON|Marketing|Marketing Operations Associate|A2|A</t>
        </is>
      </c>
    </row>
    <row r="79" ht="40.5" customHeight="1">
      <c r="A79" s="28" t="inlineStr">
        <is>
          <t>CARBON</t>
        </is>
      </c>
      <c r="B79" s="29" t="inlineStr">
        <is>
          <t>Marketing</t>
        </is>
      </c>
      <c r="C79" s="75" t="inlineStr">
        <is>
          <t>A2</t>
        </is>
      </c>
      <c r="D79" s="29" t="inlineStr">
        <is>
          <t>Band A · Practitioner</t>
        </is>
      </c>
      <c r="E79" s="29" t="inlineStr">
        <is>
          <t>Sales Development Representative</t>
        </is>
      </c>
      <c r="F79" s="29" t="inlineStr">
        <is>
          <t>Band A · all tracks</t>
        </is>
      </c>
      <c r="G79" s="29" t="inlineStr">
        <is>
          <t>Sales &amp; Business Development</t>
        </is>
      </c>
      <c r="H79" s="29" t="n">
        <v>5</v>
      </c>
      <c r="I79" s="29" t="inlineStr">
        <is>
          <t>Satyarth Singh, Shobhit Dhingra, Diksha Gunjyal, Sanjana Thapa, Adithya Nair</t>
        </is>
      </c>
      <c r="J79" s="34" t="str">
        <f>IFERROR(INDEX(RBD_C,MATCH("Sales &amp; Business Development|A2|A",RBD_KEY,0)),"M")</f>
        <v>H</v>
      </c>
      <c r="K79" s="35" t="str">
        <f>IFERROR(INDEX(RBD_Au,MATCH("Sales &amp; Business Development|A2|A",RBD_KEY,0)),"M")</f>
        <v>M</v>
      </c>
      <c r="L79" s="35" t="str">
        <f>IFERROR(INDEX(RBD_Ac,MATCH("Sales &amp; Business Development|A2|A",RBD_KEY,0)),"M")</f>
        <v>L</v>
      </c>
      <c r="M79" s="35" t="str">
        <f>IFERROR(INDEX(RBD_L,MATCH("Sales &amp; Business Development|A2|A",RBD_KEY,0)),"M")</f>
        <v>L</v>
      </c>
      <c r="N79" s="35" t="str">
        <f>IFERROR(INDEX(RBD_BI,MATCH("Sales &amp; Business Development|A2|A",RBD_KEY,0)),"M")</f>
        <v>M</v>
      </c>
      <c r="O79" s="35" t="str">
        <f>IFERROR(INDEX(RBD_Exp,MATCH("Sales &amp; Business Development|A2|A",RBD_KEY,0)),"M")</f>
        <v>L</v>
      </c>
      <c r="P79" s="35" t="str">
        <f>IFERROR(INDEX(RBD_Edu,MATCH("Sales &amp; Business Development|A2|A",RBD_KEY,0)),"M")</f>
        <v>L</v>
      </c>
      <c r="Q79" s="73">
        <f>IF(J79="","",IFERROR(INDEX(LMH_PTS,MATCH(J79,LMH_KEY,0))/SUM(IFERROR(INDEX(LMH_PTS,MATCH(J79,LMH_KEY,0)),0),IFERROR(INDEX(LMH_PTS,MATCH(K79,LMH_KEY,0)),0),IFERROR(INDEX(LMH_PTS,MATCH(L79,LMH_KEY,0)),0),IFERROR(INDEX(LMH_PTS,MATCH(M79,LMH_KEY,0)),0),IFERROR(INDEX(LMH_PTS,MATCH(N79,LMH_KEY,0)),0),IFERROR(INDEX(LMH_PTS,MATCH(O79,LMH_KEY,0)),0),IFERROR(INDEX(LMH_PTS,MATCH(P79,LMH_KEY,0)),0)),""))</f>
        <v>0.473684210526316</v>
      </c>
      <c r="R79" s="74">
        <f>IF(K79="","",IFERROR(INDEX(LMH_PTS,MATCH(K79,LMH_KEY,0))/SUM(IFERROR(INDEX(LMH_PTS,MATCH(J79,LMH_KEY,0)),0),IFERROR(INDEX(LMH_PTS,MATCH(K79,LMH_KEY,0)),0),IFERROR(INDEX(LMH_PTS,MATCH(L79,LMH_KEY,0)),0),IFERROR(INDEX(LMH_PTS,MATCH(M79,LMH_KEY,0)),0),IFERROR(INDEX(LMH_PTS,MATCH(N79,LMH_KEY,0)),0),IFERROR(INDEX(LMH_PTS,MATCH(O79,LMH_KEY,0)),0),IFERROR(INDEX(LMH_PTS,MATCH(P79,LMH_KEY,0)),0)),""))</f>
        <v>0.157894736842105</v>
      </c>
      <c r="S79" s="74">
        <f>IF(L79="","",IFERROR(INDEX(LMH_PTS,MATCH(L79,LMH_KEY,0))/SUM(IFERROR(INDEX(LMH_PTS,MATCH(J79,LMH_KEY,0)),0),IFERROR(INDEX(LMH_PTS,MATCH(K79,LMH_KEY,0)),0),IFERROR(INDEX(LMH_PTS,MATCH(L79,LMH_KEY,0)),0),IFERROR(INDEX(LMH_PTS,MATCH(M79,LMH_KEY,0)),0),IFERROR(INDEX(LMH_PTS,MATCH(N79,LMH_KEY,0)),0),IFERROR(INDEX(LMH_PTS,MATCH(O79,LMH_KEY,0)),0),IFERROR(INDEX(LMH_PTS,MATCH(P79,LMH_KEY,0)),0)),""))</f>
        <v>0.0526315789473684</v>
      </c>
      <c r="T79" s="74">
        <f>IF(M79="","",IFERROR(INDEX(LMH_PTS,MATCH(M79,LMH_KEY,0))/SUM(IFERROR(INDEX(LMH_PTS,MATCH(J79,LMH_KEY,0)),0),IFERROR(INDEX(LMH_PTS,MATCH(K79,LMH_KEY,0)),0),IFERROR(INDEX(LMH_PTS,MATCH(L79,LMH_KEY,0)),0),IFERROR(INDEX(LMH_PTS,MATCH(M79,LMH_KEY,0)),0),IFERROR(INDEX(LMH_PTS,MATCH(N79,LMH_KEY,0)),0),IFERROR(INDEX(LMH_PTS,MATCH(O79,LMH_KEY,0)),0),IFERROR(INDEX(LMH_PTS,MATCH(P79,LMH_KEY,0)),0)),""))</f>
        <v>0.0526315789473684</v>
      </c>
      <c r="U79" s="74">
        <f>IF(N79="","",IFERROR(INDEX(LMH_PTS,MATCH(N79,LMH_KEY,0))/SUM(IFERROR(INDEX(LMH_PTS,MATCH(J79,LMH_KEY,0)),0),IFERROR(INDEX(LMH_PTS,MATCH(K79,LMH_KEY,0)),0),IFERROR(INDEX(LMH_PTS,MATCH(L79,LMH_KEY,0)),0),IFERROR(INDEX(LMH_PTS,MATCH(M79,LMH_KEY,0)),0),IFERROR(INDEX(LMH_PTS,MATCH(N79,LMH_KEY,0)),0),IFERROR(INDEX(LMH_PTS,MATCH(O79,LMH_KEY,0)),0),IFERROR(INDEX(LMH_PTS,MATCH(P79,LMH_KEY,0)),0)),""))</f>
        <v>0.157894736842105</v>
      </c>
      <c r="V79" s="74">
        <f>IF(O79="","",IFERROR(INDEX(LMH_PTS,MATCH(O79,LMH_KEY,0))/SUM(IFERROR(INDEX(LMH_PTS,MATCH(J79,LMH_KEY,0)),0),IFERROR(INDEX(LMH_PTS,MATCH(K79,LMH_KEY,0)),0),IFERROR(INDEX(LMH_PTS,MATCH(L79,LMH_KEY,0)),0),IFERROR(INDEX(LMH_PTS,MATCH(M79,LMH_KEY,0)),0),IFERROR(INDEX(LMH_PTS,MATCH(N79,LMH_KEY,0)),0),IFERROR(INDEX(LMH_PTS,MATCH(O79,LMH_KEY,0)),0),IFERROR(INDEX(LMH_PTS,MATCH(P79,LMH_KEY,0)),0)),""))</f>
        <v>0.0526315789473684</v>
      </c>
      <c r="W79" s="74">
        <f>IF(P79="","",IFERROR(INDEX(LMH_PTS,MATCH(P79,LMH_KEY,0))/SUM(IFERROR(INDEX(LMH_PTS,MATCH(J79,LMH_KEY,0)),0),IFERROR(INDEX(LMH_PTS,MATCH(K79,LMH_KEY,0)),0),IFERROR(INDEX(LMH_PTS,MATCH(L79,LMH_KEY,0)),0),IFERROR(INDEX(LMH_PTS,MATCH(M79,LMH_KEY,0)),0),IFERROR(INDEX(LMH_PTS,MATCH(N79,LMH_KEY,0)),0),IFERROR(INDEX(LMH_PTS,MATCH(O79,LMH_KEY,0)),0),IFERROR(INDEX(LMH_PTS,MATCH(P79,LMH_KEY,0)),0)),""))</f>
        <v>0.0526315789473684</v>
      </c>
      <c r="X79" s="44" t="n"/>
      <c r="Y79" s="38" t="inlineStr">
        <is>
          <t>CARBON|Marketing|Sales Development Representative|A2|A</t>
        </is>
      </c>
    </row>
    <row r="80" ht="28" customHeight="1">
      <c r="A80" s="28" t="inlineStr">
        <is>
          <t>CARBON</t>
        </is>
      </c>
      <c r="B80" s="29" t="inlineStr">
        <is>
          <t>Marketing</t>
        </is>
      </c>
      <c r="C80" s="75" t="inlineStr">
        <is>
          <t>A1</t>
        </is>
      </c>
      <c r="D80" s="29" t="inlineStr">
        <is>
          <t>Band A · Practitioner</t>
        </is>
      </c>
      <c r="E80" s="29" t="inlineStr">
        <is>
          <t>Intern – Sales Development &amp; Prospecting</t>
        </is>
      </c>
      <c r="F80" s="29" t="inlineStr">
        <is>
          <t>Band A · all tracks</t>
        </is>
      </c>
      <c r="G80" s="29" t="inlineStr">
        <is>
          <t>Sales &amp; Business Development</t>
        </is>
      </c>
      <c r="H80" s="29" t="n">
        <v>3</v>
      </c>
      <c r="I80" s="29" t="inlineStr">
        <is>
          <t>Anika Mariam, Deblina Chatterjee, Samriddhi Kundu</t>
        </is>
      </c>
      <c r="J80" s="34" t="str">
        <f>IFERROR(INDEX(RBD_C,MATCH("Sales &amp; Business Development|A1|A",RBD_KEY,0)),"M")</f>
        <v>H</v>
      </c>
      <c r="K80" s="35" t="str">
        <f>IFERROR(INDEX(RBD_Au,MATCH("Sales &amp; Business Development|A1|A",RBD_KEY,0)),"M")</f>
        <v>M</v>
      </c>
      <c r="L80" s="35" t="str">
        <f>IFERROR(INDEX(RBD_Ac,MATCH("Sales &amp; Business Development|A1|A",RBD_KEY,0)),"M")</f>
        <v>L</v>
      </c>
      <c r="M80" s="35" t="str">
        <f>IFERROR(INDEX(RBD_L,MATCH("Sales &amp; Business Development|A1|A",RBD_KEY,0)),"M")</f>
        <v>L</v>
      </c>
      <c r="N80" s="35" t="str">
        <f>IFERROR(INDEX(RBD_BI,MATCH("Sales &amp; Business Development|A1|A",RBD_KEY,0)),"M")</f>
        <v>M</v>
      </c>
      <c r="O80" s="35" t="str">
        <f>IFERROR(INDEX(RBD_Exp,MATCH("Sales &amp; Business Development|A1|A",RBD_KEY,0)),"M")</f>
        <v>L</v>
      </c>
      <c r="P80" s="35" t="str">
        <f>IFERROR(INDEX(RBD_Edu,MATCH("Sales &amp; Business Development|A1|A",RBD_KEY,0)),"M")</f>
        <v>L</v>
      </c>
      <c r="Q80" s="73">
        <f>IF(J80="","",IFERROR(INDEX(LMH_PTS,MATCH(J80,LMH_KEY,0))/SUM(IFERROR(INDEX(LMH_PTS,MATCH(J80,LMH_KEY,0)),0),IFERROR(INDEX(LMH_PTS,MATCH(K80,LMH_KEY,0)),0),IFERROR(INDEX(LMH_PTS,MATCH(L80,LMH_KEY,0)),0),IFERROR(INDEX(LMH_PTS,MATCH(M80,LMH_KEY,0)),0),IFERROR(INDEX(LMH_PTS,MATCH(N80,LMH_KEY,0)),0),IFERROR(INDEX(LMH_PTS,MATCH(O80,LMH_KEY,0)),0),IFERROR(INDEX(LMH_PTS,MATCH(P80,LMH_KEY,0)),0)),""))</f>
        <v>0.473684210526316</v>
      </c>
      <c r="R80" s="74">
        <f>IF(K80="","",IFERROR(INDEX(LMH_PTS,MATCH(K80,LMH_KEY,0))/SUM(IFERROR(INDEX(LMH_PTS,MATCH(J80,LMH_KEY,0)),0),IFERROR(INDEX(LMH_PTS,MATCH(K80,LMH_KEY,0)),0),IFERROR(INDEX(LMH_PTS,MATCH(L80,LMH_KEY,0)),0),IFERROR(INDEX(LMH_PTS,MATCH(M80,LMH_KEY,0)),0),IFERROR(INDEX(LMH_PTS,MATCH(N80,LMH_KEY,0)),0),IFERROR(INDEX(LMH_PTS,MATCH(O80,LMH_KEY,0)),0),IFERROR(INDEX(LMH_PTS,MATCH(P80,LMH_KEY,0)),0)),""))</f>
        <v>0.157894736842105</v>
      </c>
      <c r="S80" s="74">
        <f>IF(L80="","",IFERROR(INDEX(LMH_PTS,MATCH(L80,LMH_KEY,0))/SUM(IFERROR(INDEX(LMH_PTS,MATCH(J80,LMH_KEY,0)),0),IFERROR(INDEX(LMH_PTS,MATCH(K80,LMH_KEY,0)),0),IFERROR(INDEX(LMH_PTS,MATCH(L80,LMH_KEY,0)),0),IFERROR(INDEX(LMH_PTS,MATCH(M80,LMH_KEY,0)),0),IFERROR(INDEX(LMH_PTS,MATCH(N80,LMH_KEY,0)),0),IFERROR(INDEX(LMH_PTS,MATCH(O80,LMH_KEY,0)),0),IFERROR(INDEX(LMH_PTS,MATCH(P80,LMH_KEY,0)),0)),""))</f>
        <v>0.0526315789473684</v>
      </c>
      <c r="T80" s="74">
        <f>IF(M80="","",IFERROR(INDEX(LMH_PTS,MATCH(M80,LMH_KEY,0))/SUM(IFERROR(INDEX(LMH_PTS,MATCH(J80,LMH_KEY,0)),0),IFERROR(INDEX(LMH_PTS,MATCH(K80,LMH_KEY,0)),0),IFERROR(INDEX(LMH_PTS,MATCH(L80,LMH_KEY,0)),0),IFERROR(INDEX(LMH_PTS,MATCH(M80,LMH_KEY,0)),0),IFERROR(INDEX(LMH_PTS,MATCH(N80,LMH_KEY,0)),0),IFERROR(INDEX(LMH_PTS,MATCH(O80,LMH_KEY,0)),0),IFERROR(INDEX(LMH_PTS,MATCH(P80,LMH_KEY,0)),0)),""))</f>
        <v>0.0526315789473684</v>
      </c>
      <c r="U80" s="74">
        <f>IF(N80="","",IFERROR(INDEX(LMH_PTS,MATCH(N80,LMH_KEY,0))/SUM(IFERROR(INDEX(LMH_PTS,MATCH(J80,LMH_KEY,0)),0),IFERROR(INDEX(LMH_PTS,MATCH(K80,LMH_KEY,0)),0),IFERROR(INDEX(LMH_PTS,MATCH(L80,LMH_KEY,0)),0),IFERROR(INDEX(LMH_PTS,MATCH(M80,LMH_KEY,0)),0),IFERROR(INDEX(LMH_PTS,MATCH(N80,LMH_KEY,0)),0),IFERROR(INDEX(LMH_PTS,MATCH(O80,LMH_KEY,0)),0),IFERROR(INDEX(LMH_PTS,MATCH(P80,LMH_KEY,0)),0)),""))</f>
        <v>0.157894736842105</v>
      </c>
      <c r="V80" s="74">
        <f>IF(O80="","",IFERROR(INDEX(LMH_PTS,MATCH(O80,LMH_KEY,0))/SUM(IFERROR(INDEX(LMH_PTS,MATCH(J80,LMH_KEY,0)),0),IFERROR(INDEX(LMH_PTS,MATCH(K80,LMH_KEY,0)),0),IFERROR(INDEX(LMH_PTS,MATCH(L80,LMH_KEY,0)),0),IFERROR(INDEX(LMH_PTS,MATCH(M80,LMH_KEY,0)),0),IFERROR(INDEX(LMH_PTS,MATCH(N80,LMH_KEY,0)),0),IFERROR(INDEX(LMH_PTS,MATCH(O80,LMH_KEY,0)),0),IFERROR(INDEX(LMH_PTS,MATCH(P80,LMH_KEY,0)),0)),""))</f>
        <v>0.0526315789473684</v>
      </c>
      <c r="W80" s="74">
        <f>IF(P80="","",IFERROR(INDEX(LMH_PTS,MATCH(P80,LMH_KEY,0))/SUM(IFERROR(INDEX(LMH_PTS,MATCH(J80,LMH_KEY,0)),0),IFERROR(INDEX(LMH_PTS,MATCH(K80,LMH_KEY,0)),0),IFERROR(INDEX(LMH_PTS,MATCH(L80,LMH_KEY,0)),0),IFERROR(INDEX(LMH_PTS,MATCH(M80,LMH_KEY,0)),0),IFERROR(INDEX(LMH_PTS,MATCH(N80,LMH_KEY,0)),0),IFERROR(INDEX(LMH_PTS,MATCH(O80,LMH_KEY,0)),0),IFERROR(INDEX(LMH_PTS,MATCH(P80,LMH_KEY,0)),0)),""))</f>
        <v>0.0526315789473684</v>
      </c>
      <c r="X80" s="44" t="n"/>
      <c r="Y80" s="38" t="inlineStr">
        <is>
          <t>CARBON|Marketing|Intern – Sales Development &amp; Prospecting|A1|A</t>
        </is>
      </c>
    </row>
    <row r="81" ht="18" customHeight="1">
      <c r="A81" s="28" t="inlineStr">
        <is>
          <t>CARBON</t>
        </is>
      </c>
      <c r="B81" s="71" t="inlineStr">
        <is>
          <t>Quality Assurance</t>
        </is>
      </c>
      <c r="C81" s="72" t="inlineStr">
        <is>
          <t>B1</t>
        </is>
      </c>
      <c r="D81" s="29" t="inlineStr">
        <is>
          <t>Band B · Specialist / Manager</t>
        </is>
      </c>
      <c r="E81" s="29" t="inlineStr">
        <is>
          <t>QA Manager</t>
        </is>
      </c>
      <c r="F81" s="29" t="inlineStr">
        <is>
          <t>Band B · People Manager</t>
        </is>
      </c>
      <c r="G81" s="29" t="inlineStr">
        <is>
          <t>Quality Assurance</t>
        </is>
      </c>
      <c r="H81" s="29" t="n">
        <v>1</v>
      </c>
      <c r="I81" s="29" t="inlineStr">
        <is>
          <t>Vinod Katekar</t>
        </is>
      </c>
      <c r="J81" s="34" t="str">
        <f>IFERROR(INDEX(RBD_C,MATCH("Quality Assurance|B1|B-M",RBD_KEY,0)),"M")</f>
        <v>H</v>
      </c>
      <c r="K81" s="35" t="str">
        <f>IFERROR(INDEX(RBD_Au,MATCH("Quality Assurance|B1|B-M",RBD_KEY,0)),"M")</f>
        <v>M</v>
      </c>
      <c r="L81" s="35" t="str">
        <f>IFERROR(INDEX(RBD_Ac,MATCH("Quality Assurance|B1|B-M",RBD_KEY,0)),"M")</f>
        <v>L</v>
      </c>
      <c r="M81" s="35" t="str">
        <f>IFERROR(INDEX(RBD_L,MATCH("Quality Assurance|B1|B-M",RBD_KEY,0)),"M")</f>
        <v>M</v>
      </c>
      <c r="N81" s="35" t="str">
        <f>IFERROR(INDEX(RBD_BI,MATCH("Quality Assurance|B1|B-M",RBD_KEY,0)),"M")</f>
        <v>L</v>
      </c>
      <c r="O81" s="35" t="str">
        <f>IFERROR(INDEX(RBD_Exp,MATCH("Quality Assurance|B1|B-M",RBD_KEY,0)),"M")</f>
        <v>L</v>
      </c>
      <c r="P81" s="35" t="str">
        <f>IFERROR(INDEX(RBD_Edu,MATCH("Quality Assurance|B1|B-M",RBD_KEY,0)),"M")</f>
        <v>L</v>
      </c>
      <c r="Q81" s="73">
        <f>IF(J81="","",IFERROR(INDEX(LMH_PTS,MATCH(J81,LMH_KEY,0))/SUM(IFERROR(INDEX(LMH_PTS,MATCH(J81,LMH_KEY,0)),0),IFERROR(INDEX(LMH_PTS,MATCH(K81,LMH_KEY,0)),0),IFERROR(INDEX(LMH_PTS,MATCH(L81,LMH_KEY,0)),0),IFERROR(INDEX(LMH_PTS,MATCH(M81,LMH_KEY,0)),0),IFERROR(INDEX(LMH_PTS,MATCH(N81,LMH_KEY,0)),0),IFERROR(INDEX(LMH_PTS,MATCH(O81,LMH_KEY,0)),0),IFERROR(INDEX(LMH_PTS,MATCH(P81,LMH_KEY,0)),0)),""))</f>
        <v>0.473684210526316</v>
      </c>
      <c r="R81" s="74">
        <f>IF(K81="","",IFERROR(INDEX(LMH_PTS,MATCH(K81,LMH_KEY,0))/SUM(IFERROR(INDEX(LMH_PTS,MATCH(J81,LMH_KEY,0)),0),IFERROR(INDEX(LMH_PTS,MATCH(K81,LMH_KEY,0)),0),IFERROR(INDEX(LMH_PTS,MATCH(L81,LMH_KEY,0)),0),IFERROR(INDEX(LMH_PTS,MATCH(M81,LMH_KEY,0)),0),IFERROR(INDEX(LMH_PTS,MATCH(N81,LMH_KEY,0)),0),IFERROR(INDEX(LMH_PTS,MATCH(O81,LMH_KEY,0)),0),IFERROR(INDEX(LMH_PTS,MATCH(P81,LMH_KEY,0)),0)),""))</f>
        <v>0.157894736842105</v>
      </c>
      <c r="S81" s="74">
        <f>IF(L81="","",IFERROR(INDEX(LMH_PTS,MATCH(L81,LMH_KEY,0))/SUM(IFERROR(INDEX(LMH_PTS,MATCH(J81,LMH_KEY,0)),0),IFERROR(INDEX(LMH_PTS,MATCH(K81,LMH_KEY,0)),0),IFERROR(INDEX(LMH_PTS,MATCH(L81,LMH_KEY,0)),0),IFERROR(INDEX(LMH_PTS,MATCH(M81,LMH_KEY,0)),0),IFERROR(INDEX(LMH_PTS,MATCH(N81,LMH_KEY,0)),0),IFERROR(INDEX(LMH_PTS,MATCH(O81,LMH_KEY,0)),0),IFERROR(INDEX(LMH_PTS,MATCH(P81,LMH_KEY,0)),0)),""))</f>
        <v>0.0526315789473684</v>
      </c>
      <c r="T81" s="74">
        <f>IF(M81="","",IFERROR(INDEX(LMH_PTS,MATCH(M81,LMH_KEY,0))/SUM(IFERROR(INDEX(LMH_PTS,MATCH(J81,LMH_KEY,0)),0),IFERROR(INDEX(LMH_PTS,MATCH(K81,LMH_KEY,0)),0),IFERROR(INDEX(LMH_PTS,MATCH(L81,LMH_KEY,0)),0),IFERROR(INDEX(LMH_PTS,MATCH(M81,LMH_KEY,0)),0),IFERROR(INDEX(LMH_PTS,MATCH(N81,LMH_KEY,0)),0),IFERROR(INDEX(LMH_PTS,MATCH(O81,LMH_KEY,0)),0),IFERROR(INDEX(LMH_PTS,MATCH(P81,LMH_KEY,0)),0)),""))</f>
        <v>0.157894736842105</v>
      </c>
      <c r="U81" s="74">
        <f>IF(N81="","",IFERROR(INDEX(LMH_PTS,MATCH(N81,LMH_KEY,0))/SUM(IFERROR(INDEX(LMH_PTS,MATCH(J81,LMH_KEY,0)),0),IFERROR(INDEX(LMH_PTS,MATCH(K81,LMH_KEY,0)),0),IFERROR(INDEX(LMH_PTS,MATCH(L81,LMH_KEY,0)),0),IFERROR(INDEX(LMH_PTS,MATCH(M81,LMH_KEY,0)),0),IFERROR(INDEX(LMH_PTS,MATCH(N81,LMH_KEY,0)),0),IFERROR(INDEX(LMH_PTS,MATCH(O81,LMH_KEY,0)),0),IFERROR(INDEX(LMH_PTS,MATCH(P81,LMH_KEY,0)),0)),""))</f>
        <v>0.0526315789473684</v>
      </c>
      <c r="V81" s="74">
        <f>IF(O81="","",IFERROR(INDEX(LMH_PTS,MATCH(O81,LMH_KEY,0))/SUM(IFERROR(INDEX(LMH_PTS,MATCH(J81,LMH_KEY,0)),0),IFERROR(INDEX(LMH_PTS,MATCH(K81,LMH_KEY,0)),0),IFERROR(INDEX(LMH_PTS,MATCH(L81,LMH_KEY,0)),0),IFERROR(INDEX(LMH_PTS,MATCH(M81,LMH_KEY,0)),0),IFERROR(INDEX(LMH_PTS,MATCH(N81,LMH_KEY,0)),0),IFERROR(INDEX(LMH_PTS,MATCH(O81,LMH_KEY,0)),0),IFERROR(INDEX(LMH_PTS,MATCH(P81,LMH_KEY,0)),0)),""))</f>
        <v>0.0526315789473684</v>
      </c>
      <c r="W81" s="74">
        <f>IF(P81="","",IFERROR(INDEX(LMH_PTS,MATCH(P81,LMH_KEY,0))/SUM(IFERROR(INDEX(LMH_PTS,MATCH(J81,LMH_KEY,0)),0),IFERROR(INDEX(LMH_PTS,MATCH(K81,LMH_KEY,0)),0),IFERROR(INDEX(LMH_PTS,MATCH(L81,LMH_KEY,0)),0),IFERROR(INDEX(LMH_PTS,MATCH(M81,LMH_KEY,0)),0),IFERROR(INDEX(LMH_PTS,MATCH(N81,LMH_KEY,0)),0),IFERROR(INDEX(LMH_PTS,MATCH(O81,LMH_KEY,0)),0),IFERROR(INDEX(LMH_PTS,MATCH(P81,LMH_KEY,0)),0)),""))</f>
        <v>0.0526315789473684</v>
      </c>
      <c r="X81" s="44" t="n"/>
      <c r="Y81" s="38" t="inlineStr">
        <is>
          <t>CARBON|Quality Assurance|QA Manager|B1|B-M</t>
        </is>
      </c>
    </row>
    <row r="82" ht="28" customHeight="1">
      <c r="A82" s="28" t="inlineStr">
        <is>
          <t>CARBON</t>
        </is>
      </c>
      <c r="B82" s="29" t="inlineStr">
        <is>
          <t>Quality Assurance</t>
        </is>
      </c>
      <c r="C82" s="75" t="inlineStr">
        <is>
          <t>A3</t>
        </is>
      </c>
      <c r="D82" s="29" t="inlineStr">
        <is>
          <t>Band A · Practitioner</t>
        </is>
      </c>
      <c r="E82" s="29" t="inlineStr">
        <is>
          <t>Senior QA Automation Engineer</t>
        </is>
      </c>
      <c r="F82" s="29" t="inlineStr">
        <is>
          <t>Band A · all tracks</t>
        </is>
      </c>
      <c r="G82" s="29" t="inlineStr">
        <is>
          <t>Quality Assurance</t>
        </is>
      </c>
      <c r="H82" s="29" t="n">
        <v>1</v>
      </c>
      <c r="I82" s="29" t="inlineStr">
        <is>
          <t>Vitiksha Gamit</t>
        </is>
      </c>
      <c r="J82" s="34" t="str">
        <f>IFERROR(INDEX(RBD_C,MATCH("Quality Assurance|A3|A",RBD_KEY,0)),"M")</f>
        <v>H</v>
      </c>
      <c r="K82" s="35" t="str">
        <f>IFERROR(INDEX(RBD_Au,MATCH("Quality Assurance|A3|A",RBD_KEY,0)),"M")</f>
        <v>M</v>
      </c>
      <c r="L82" s="35" t="str">
        <f>IFERROR(INDEX(RBD_Ac,MATCH("Quality Assurance|A3|A",RBD_KEY,0)),"M")</f>
        <v>L</v>
      </c>
      <c r="M82" s="35" t="str">
        <f>IFERROR(INDEX(RBD_L,MATCH("Quality Assurance|A3|A",RBD_KEY,0)),"M")</f>
        <v>L</v>
      </c>
      <c r="N82" s="35" t="str">
        <f>IFERROR(INDEX(RBD_BI,MATCH("Quality Assurance|A3|A",RBD_KEY,0)),"M")</f>
        <v>L</v>
      </c>
      <c r="O82" s="35" t="str">
        <f>IFERROR(INDEX(RBD_Exp,MATCH("Quality Assurance|A3|A",RBD_KEY,0)),"M")</f>
        <v>L</v>
      </c>
      <c r="P82" s="35" t="str">
        <f>IFERROR(INDEX(RBD_Edu,MATCH("Quality Assurance|A3|A",RBD_KEY,0)),"M")</f>
        <v>L</v>
      </c>
      <c r="Q82" s="73">
        <f>IF(J82="","",IFERROR(INDEX(LMH_PTS,MATCH(J82,LMH_KEY,0))/SUM(IFERROR(INDEX(LMH_PTS,MATCH(J82,LMH_KEY,0)),0),IFERROR(INDEX(LMH_PTS,MATCH(K82,LMH_KEY,0)),0),IFERROR(INDEX(LMH_PTS,MATCH(L82,LMH_KEY,0)),0),IFERROR(INDEX(LMH_PTS,MATCH(M82,LMH_KEY,0)),0),IFERROR(INDEX(LMH_PTS,MATCH(N82,LMH_KEY,0)),0),IFERROR(INDEX(LMH_PTS,MATCH(O82,LMH_KEY,0)),0),IFERROR(INDEX(LMH_PTS,MATCH(P82,LMH_KEY,0)),0)),""))</f>
        <v>0.529411764705882</v>
      </c>
      <c r="R82" s="74">
        <f>IF(K82="","",IFERROR(INDEX(LMH_PTS,MATCH(K82,LMH_KEY,0))/SUM(IFERROR(INDEX(LMH_PTS,MATCH(J82,LMH_KEY,0)),0),IFERROR(INDEX(LMH_PTS,MATCH(K82,LMH_KEY,0)),0),IFERROR(INDEX(LMH_PTS,MATCH(L82,LMH_KEY,0)),0),IFERROR(INDEX(LMH_PTS,MATCH(M82,LMH_KEY,0)),0),IFERROR(INDEX(LMH_PTS,MATCH(N82,LMH_KEY,0)),0),IFERROR(INDEX(LMH_PTS,MATCH(O82,LMH_KEY,0)),0),IFERROR(INDEX(LMH_PTS,MATCH(P82,LMH_KEY,0)),0)),""))</f>
        <v>0.176470588235294</v>
      </c>
      <c r="S82" s="74">
        <f>IF(L82="","",IFERROR(INDEX(LMH_PTS,MATCH(L82,LMH_KEY,0))/SUM(IFERROR(INDEX(LMH_PTS,MATCH(J82,LMH_KEY,0)),0),IFERROR(INDEX(LMH_PTS,MATCH(K82,LMH_KEY,0)),0),IFERROR(INDEX(LMH_PTS,MATCH(L82,LMH_KEY,0)),0),IFERROR(INDEX(LMH_PTS,MATCH(M82,LMH_KEY,0)),0),IFERROR(INDEX(LMH_PTS,MATCH(N82,LMH_KEY,0)),0),IFERROR(INDEX(LMH_PTS,MATCH(O82,LMH_KEY,0)),0),IFERROR(INDEX(LMH_PTS,MATCH(P82,LMH_KEY,0)),0)),""))</f>
        <v>0.0588235294117647</v>
      </c>
      <c r="T82" s="74">
        <f>IF(M82="","",IFERROR(INDEX(LMH_PTS,MATCH(M82,LMH_KEY,0))/SUM(IFERROR(INDEX(LMH_PTS,MATCH(J82,LMH_KEY,0)),0),IFERROR(INDEX(LMH_PTS,MATCH(K82,LMH_KEY,0)),0),IFERROR(INDEX(LMH_PTS,MATCH(L82,LMH_KEY,0)),0),IFERROR(INDEX(LMH_PTS,MATCH(M82,LMH_KEY,0)),0),IFERROR(INDEX(LMH_PTS,MATCH(N82,LMH_KEY,0)),0),IFERROR(INDEX(LMH_PTS,MATCH(O82,LMH_KEY,0)),0),IFERROR(INDEX(LMH_PTS,MATCH(P82,LMH_KEY,0)),0)),""))</f>
        <v>0.0588235294117647</v>
      </c>
      <c r="U82" s="74">
        <f>IF(N82="","",IFERROR(INDEX(LMH_PTS,MATCH(N82,LMH_KEY,0))/SUM(IFERROR(INDEX(LMH_PTS,MATCH(J82,LMH_KEY,0)),0),IFERROR(INDEX(LMH_PTS,MATCH(K82,LMH_KEY,0)),0),IFERROR(INDEX(LMH_PTS,MATCH(L82,LMH_KEY,0)),0),IFERROR(INDEX(LMH_PTS,MATCH(M82,LMH_KEY,0)),0),IFERROR(INDEX(LMH_PTS,MATCH(N82,LMH_KEY,0)),0),IFERROR(INDEX(LMH_PTS,MATCH(O82,LMH_KEY,0)),0),IFERROR(INDEX(LMH_PTS,MATCH(P82,LMH_KEY,0)),0)),""))</f>
        <v>0.0588235294117647</v>
      </c>
      <c r="V82" s="74">
        <f>IF(O82="","",IFERROR(INDEX(LMH_PTS,MATCH(O82,LMH_KEY,0))/SUM(IFERROR(INDEX(LMH_PTS,MATCH(J82,LMH_KEY,0)),0),IFERROR(INDEX(LMH_PTS,MATCH(K82,LMH_KEY,0)),0),IFERROR(INDEX(LMH_PTS,MATCH(L82,LMH_KEY,0)),0),IFERROR(INDEX(LMH_PTS,MATCH(M82,LMH_KEY,0)),0),IFERROR(INDEX(LMH_PTS,MATCH(N82,LMH_KEY,0)),0),IFERROR(INDEX(LMH_PTS,MATCH(O82,LMH_KEY,0)),0),IFERROR(INDEX(LMH_PTS,MATCH(P82,LMH_KEY,0)),0)),""))</f>
        <v>0.0588235294117647</v>
      </c>
      <c r="W82" s="74">
        <f>IF(P82="","",IFERROR(INDEX(LMH_PTS,MATCH(P82,LMH_KEY,0))/SUM(IFERROR(INDEX(LMH_PTS,MATCH(J82,LMH_KEY,0)),0),IFERROR(INDEX(LMH_PTS,MATCH(K82,LMH_KEY,0)),0),IFERROR(INDEX(LMH_PTS,MATCH(L82,LMH_KEY,0)),0),IFERROR(INDEX(LMH_PTS,MATCH(M82,LMH_KEY,0)),0),IFERROR(INDEX(LMH_PTS,MATCH(N82,LMH_KEY,0)),0),IFERROR(INDEX(LMH_PTS,MATCH(O82,LMH_KEY,0)),0),IFERROR(INDEX(LMH_PTS,MATCH(P82,LMH_KEY,0)),0)),""))</f>
        <v>0.0588235294117647</v>
      </c>
      <c r="X82" s="44" t="n"/>
      <c r="Y82" s="38" t="inlineStr">
        <is>
          <t>CARBON|Quality Assurance|Senior QA Automation Engineer|A3|A</t>
        </is>
      </c>
    </row>
    <row r="83" ht="28" customHeight="1">
      <c r="A83" s="28" t="inlineStr">
        <is>
          <t>CARBON</t>
        </is>
      </c>
      <c r="B83" s="29" t="inlineStr">
        <is>
          <t>Quality Assurance</t>
        </is>
      </c>
      <c r="C83" s="75" t="inlineStr">
        <is>
          <t>A3</t>
        </is>
      </c>
      <c r="D83" s="29" t="inlineStr">
        <is>
          <t>Band A · Practitioner</t>
        </is>
      </c>
      <c r="E83" s="29" t="inlineStr">
        <is>
          <t>Senior QA Engineer</t>
        </is>
      </c>
      <c r="F83" s="29" t="inlineStr">
        <is>
          <t>Band A · all tracks</t>
        </is>
      </c>
      <c r="G83" s="29" t="inlineStr">
        <is>
          <t>Quality Assurance</t>
        </is>
      </c>
      <c r="H83" s="29" t="n">
        <v>3</v>
      </c>
      <c r="I83" s="29" t="inlineStr">
        <is>
          <t>Brehmjit Gopalkrishnan, Pooja Gawas, Vishal Panchal</t>
        </is>
      </c>
      <c r="J83" s="34" t="str">
        <f>IFERROR(INDEX(RBD_C,MATCH("Quality Assurance|A3|A",RBD_KEY,0)),"M")</f>
        <v>H</v>
      </c>
      <c r="K83" s="35" t="str">
        <f>IFERROR(INDEX(RBD_Au,MATCH("Quality Assurance|A3|A",RBD_KEY,0)),"M")</f>
        <v>M</v>
      </c>
      <c r="L83" s="35" t="str">
        <f>IFERROR(INDEX(RBD_Ac,MATCH("Quality Assurance|A3|A",RBD_KEY,0)),"M")</f>
        <v>L</v>
      </c>
      <c r="M83" s="35" t="str">
        <f>IFERROR(INDEX(RBD_L,MATCH("Quality Assurance|A3|A",RBD_KEY,0)),"M")</f>
        <v>L</v>
      </c>
      <c r="N83" s="35" t="str">
        <f>IFERROR(INDEX(RBD_BI,MATCH("Quality Assurance|A3|A",RBD_KEY,0)),"M")</f>
        <v>L</v>
      </c>
      <c r="O83" s="35" t="str">
        <f>IFERROR(INDEX(RBD_Exp,MATCH("Quality Assurance|A3|A",RBD_KEY,0)),"M")</f>
        <v>L</v>
      </c>
      <c r="P83" s="35" t="str">
        <f>IFERROR(INDEX(RBD_Edu,MATCH("Quality Assurance|A3|A",RBD_KEY,0)),"M")</f>
        <v>L</v>
      </c>
      <c r="Q83" s="73">
        <f>IF(J83="","",IFERROR(INDEX(LMH_PTS,MATCH(J83,LMH_KEY,0))/SUM(IFERROR(INDEX(LMH_PTS,MATCH(J83,LMH_KEY,0)),0),IFERROR(INDEX(LMH_PTS,MATCH(K83,LMH_KEY,0)),0),IFERROR(INDEX(LMH_PTS,MATCH(L83,LMH_KEY,0)),0),IFERROR(INDEX(LMH_PTS,MATCH(M83,LMH_KEY,0)),0),IFERROR(INDEX(LMH_PTS,MATCH(N83,LMH_KEY,0)),0),IFERROR(INDEX(LMH_PTS,MATCH(O83,LMH_KEY,0)),0),IFERROR(INDEX(LMH_PTS,MATCH(P83,LMH_KEY,0)),0)),""))</f>
        <v>0.529411764705882</v>
      </c>
      <c r="R83" s="74">
        <f>IF(K83="","",IFERROR(INDEX(LMH_PTS,MATCH(K83,LMH_KEY,0))/SUM(IFERROR(INDEX(LMH_PTS,MATCH(J83,LMH_KEY,0)),0),IFERROR(INDEX(LMH_PTS,MATCH(K83,LMH_KEY,0)),0),IFERROR(INDEX(LMH_PTS,MATCH(L83,LMH_KEY,0)),0),IFERROR(INDEX(LMH_PTS,MATCH(M83,LMH_KEY,0)),0),IFERROR(INDEX(LMH_PTS,MATCH(N83,LMH_KEY,0)),0),IFERROR(INDEX(LMH_PTS,MATCH(O83,LMH_KEY,0)),0),IFERROR(INDEX(LMH_PTS,MATCH(P83,LMH_KEY,0)),0)),""))</f>
        <v>0.176470588235294</v>
      </c>
      <c r="S83" s="74">
        <f>IF(L83="","",IFERROR(INDEX(LMH_PTS,MATCH(L83,LMH_KEY,0))/SUM(IFERROR(INDEX(LMH_PTS,MATCH(J83,LMH_KEY,0)),0),IFERROR(INDEX(LMH_PTS,MATCH(K83,LMH_KEY,0)),0),IFERROR(INDEX(LMH_PTS,MATCH(L83,LMH_KEY,0)),0),IFERROR(INDEX(LMH_PTS,MATCH(M83,LMH_KEY,0)),0),IFERROR(INDEX(LMH_PTS,MATCH(N83,LMH_KEY,0)),0),IFERROR(INDEX(LMH_PTS,MATCH(O83,LMH_KEY,0)),0),IFERROR(INDEX(LMH_PTS,MATCH(P83,LMH_KEY,0)),0)),""))</f>
        <v>0.0588235294117647</v>
      </c>
      <c r="T83" s="74">
        <f>IF(M83="","",IFERROR(INDEX(LMH_PTS,MATCH(M83,LMH_KEY,0))/SUM(IFERROR(INDEX(LMH_PTS,MATCH(J83,LMH_KEY,0)),0),IFERROR(INDEX(LMH_PTS,MATCH(K83,LMH_KEY,0)),0),IFERROR(INDEX(LMH_PTS,MATCH(L83,LMH_KEY,0)),0),IFERROR(INDEX(LMH_PTS,MATCH(M83,LMH_KEY,0)),0),IFERROR(INDEX(LMH_PTS,MATCH(N83,LMH_KEY,0)),0),IFERROR(INDEX(LMH_PTS,MATCH(O83,LMH_KEY,0)),0),IFERROR(INDEX(LMH_PTS,MATCH(P83,LMH_KEY,0)),0)),""))</f>
        <v>0.0588235294117647</v>
      </c>
      <c r="U83" s="74">
        <f>IF(N83="","",IFERROR(INDEX(LMH_PTS,MATCH(N83,LMH_KEY,0))/SUM(IFERROR(INDEX(LMH_PTS,MATCH(J83,LMH_KEY,0)),0),IFERROR(INDEX(LMH_PTS,MATCH(K83,LMH_KEY,0)),0),IFERROR(INDEX(LMH_PTS,MATCH(L83,LMH_KEY,0)),0),IFERROR(INDEX(LMH_PTS,MATCH(M83,LMH_KEY,0)),0),IFERROR(INDEX(LMH_PTS,MATCH(N83,LMH_KEY,0)),0),IFERROR(INDEX(LMH_PTS,MATCH(O83,LMH_KEY,0)),0),IFERROR(INDEX(LMH_PTS,MATCH(P83,LMH_KEY,0)),0)),""))</f>
        <v>0.0588235294117647</v>
      </c>
      <c r="V83" s="74">
        <f>IF(O83="","",IFERROR(INDEX(LMH_PTS,MATCH(O83,LMH_KEY,0))/SUM(IFERROR(INDEX(LMH_PTS,MATCH(J83,LMH_KEY,0)),0),IFERROR(INDEX(LMH_PTS,MATCH(K83,LMH_KEY,0)),0),IFERROR(INDEX(LMH_PTS,MATCH(L83,LMH_KEY,0)),0),IFERROR(INDEX(LMH_PTS,MATCH(M83,LMH_KEY,0)),0),IFERROR(INDEX(LMH_PTS,MATCH(N83,LMH_KEY,0)),0),IFERROR(INDEX(LMH_PTS,MATCH(O83,LMH_KEY,0)),0),IFERROR(INDEX(LMH_PTS,MATCH(P83,LMH_KEY,0)),0)),""))</f>
        <v>0.0588235294117647</v>
      </c>
      <c r="W83" s="74">
        <f>IF(P83="","",IFERROR(INDEX(LMH_PTS,MATCH(P83,LMH_KEY,0))/SUM(IFERROR(INDEX(LMH_PTS,MATCH(J83,LMH_KEY,0)),0),IFERROR(INDEX(LMH_PTS,MATCH(K83,LMH_KEY,0)),0),IFERROR(INDEX(LMH_PTS,MATCH(L83,LMH_KEY,0)),0),IFERROR(INDEX(LMH_PTS,MATCH(M83,LMH_KEY,0)),0),IFERROR(INDEX(LMH_PTS,MATCH(N83,LMH_KEY,0)),0),IFERROR(INDEX(LMH_PTS,MATCH(O83,LMH_KEY,0)),0),IFERROR(INDEX(LMH_PTS,MATCH(P83,LMH_KEY,0)),0)),""))</f>
        <v>0.0588235294117647</v>
      </c>
      <c r="X83" s="44" t="n"/>
      <c r="Y83" s="38" t="inlineStr">
        <is>
          <t>CARBON|Quality Assurance|Senior QA Engineer|A3|A</t>
        </is>
      </c>
    </row>
    <row r="84" ht="28" customHeight="1">
      <c r="A84" s="28" t="inlineStr">
        <is>
          <t>CARBON</t>
        </is>
      </c>
      <c r="B84" s="29" t="inlineStr">
        <is>
          <t>Quality Assurance</t>
        </is>
      </c>
      <c r="C84" s="75" t="inlineStr">
        <is>
          <t>A2</t>
        </is>
      </c>
      <c r="D84" s="29" t="inlineStr">
        <is>
          <t>Band A · Practitioner</t>
        </is>
      </c>
      <c r="E84" s="29" t="inlineStr">
        <is>
          <t>Senior QA Engineer</t>
        </is>
      </c>
      <c r="F84" s="29" t="inlineStr">
        <is>
          <t>Band A · all tracks</t>
        </is>
      </c>
      <c r="G84" s="29" t="inlineStr">
        <is>
          <t>Quality Assurance</t>
        </is>
      </c>
      <c r="H84" s="29" t="n">
        <v>3</v>
      </c>
      <c r="I84" s="29" t="inlineStr">
        <is>
          <t>Tasmiyah Patni, Hrishikesh Thombare, Pratikkumar Mistry</t>
        </is>
      </c>
      <c r="J84" s="34" t="str">
        <f>IFERROR(INDEX(RBD_C,MATCH("Quality Assurance|A2|A",RBD_KEY,0)),"M")</f>
        <v>H</v>
      </c>
      <c r="K84" s="35" t="str">
        <f>IFERROR(INDEX(RBD_Au,MATCH("Quality Assurance|A2|A",RBD_KEY,0)),"M")</f>
        <v>M</v>
      </c>
      <c r="L84" s="35" t="str">
        <f>IFERROR(INDEX(RBD_Ac,MATCH("Quality Assurance|A2|A",RBD_KEY,0)),"M")</f>
        <v>L</v>
      </c>
      <c r="M84" s="35" t="str">
        <f>IFERROR(INDEX(RBD_L,MATCH("Quality Assurance|A2|A",RBD_KEY,0)),"M")</f>
        <v>L</v>
      </c>
      <c r="N84" s="35" t="str">
        <f>IFERROR(INDEX(RBD_BI,MATCH("Quality Assurance|A2|A",RBD_KEY,0)),"M")</f>
        <v>L</v>
      </c>
      <c r="O84" s="35" t="str">
        <f>IFERROR(INDEX(RBD_Exp,MATCH("Quality Assurance|A2|A",RBD_KEY,0)),"M")</f>
        <v>L</v>
      </c>
      <c r="P84" s="35" t="str">
        <f>IFERROR(INDEX(RBD_Edu,MATCH("Quality Assurance|A2|A",RBD_KEY,0)),"M")</f>
        <v>L</v>
      </c>
      <c r="Q84" s="73">
        <f>IF(J84="","",IFERROR(INDEX(LMH_PTS,MATCH(J84,LMH_KEY,0))/SUM(IFERROR(INDEX(LMH_PTS,MATCH(J84,LMH_KEY,0)),0),IFERROR(INDEX(LMH_PTS,MATCH(K84,LMH_KEY,0)),0),IFERROR(INDEX(LMH_PTS,MATCH(L84,LMH_KEY,0)),0),IFERROR(INDEX(LMH_PTS,MATCH(M84,LMH_KEY,0)),0),IFERROR(INDEX(LMH_PTS,MATCH(N84,LMH_KEY,0)),0),IFERROR(INDEX(LMH_PTS,MATCH(O84,LMH_KEY,0)),0),IFERROR(INDEX(LMH_PTS,MATCH(P84,LMH_KEY,0)),0)),""))</f>
        <v>0.529411764705882</v>
      </c>
      <c r="R84" s="74">
        <f>IF(K84="","",IFERROR(INDEX(LMH_PTS,MATCH(K84,LMH_KEY,0))/SUM(IFERROR(INDEX(LMH_PTS,MATCH(J84,LMH_KEY,0)),0),IFERROR(INDEX(LMH_PTS,MATCH(K84,LMH_KEY,0)),0),IFERROR(INDEX(LMH_PTS,MATCH(L84,LMH_KEY,0)),0),IFERROR(INDEX(LMH_PTS,MATCH(M84,LMH_KEY,0)),0),IFERROR(INDEX(LMH_PTS,MATCH(N84,LMH_KEY,0)),0),IFERROR(INDEX(LMH_PTS,MATCH(O84,LMH_KEY,0)),0),IFERROR(INDEX(LMH_PTS,MATCH(P84,LMH_KEY,0)),0)),""))</f>
        <v>0.176470588235294</v>
      </c>
      <c r="S84" s="74">
        <f>IF(L84="","",IFERROR(INDEX(LMH_PTS,MATCH(L84,LMH_KEY,0))/SUM(IFERROR(INDEX(LMH_PTS,MATCH(J84,LMH_KEY,0)),0),IFERROR(INDEX(LMH_PTS,MATCH(K84,LMH_KEY,0)),0),IFERROR(INDEX(LMH_PTS,MATCH(L84,LMH_KEY,0)),0),IFERROR(INDEX(LMH_PTS,MATCH(M84,LMH_KEY,0)),0),IFERROR(INDEX(LMH_PTS,MATCH(N84,LMH_KEY,0)),0),IFERROR(INDEX(LMH_PTS,MATCH(O84,LMH_KEY,0)),0),IFERROR(INDEX(LMH_PTS,MATCH(P84,LMH_KEY,0)),0)),""))</f>
        <v>0.0588235294117647</v>
      </c>
      <c r="T84" s="74">
        <f>IF(M84="","",IFERROR(INDEX(LMH_PTS,MATCH(M84,LMH_KEY,0))/SUM(IFERROR(INDEX(LMH_PTS,MATCH(J84,LMH_KEY,0)),0),IFERROR(INDEX(LMH_PTS,MATCH(K84,LMH_KEY,0)),0),IFERROR(INDEX(LMH_PTS,MATCH(L84,LMH_KEY,0)),0),IFERROR(INDEX(LMH_PTS,MATCH(M84,LMH_KEY,0)),0),IFERROR(INDEX(LMH_PTS,MATCH(N84,LMH_KEY,0)),0),IFERROR(INDEX(LMH_PTS,MATCH(O84,LMH_KEY,0)),0),IFERROR(INDEX(LMH_PTS,MATCH(P84,LMH_KEY,0)),0)),""))</f>
        <v>0.0588235294117647</v>
      </c>
      <c r="U84" s="74">
        <f>IF(N84="","",IFERROR(INDEX(LMH_PTS,MATCH(N84,LMH_KEY,0))/SUM(IFERROR(INDEX(LMH_PTS,MATCH(J84,LMH_KEY,0)),0),IFERROR(INDEX(LMH_PTS,MATCH(K84,LMH_KEY,0)),0),IFERROR(INDEX(LMH_PTS,MATCH(L84,LMH_KEY,0)),0),IFERROR(INDEX(LMH_PTS,MATCH(M84,LMH_KEY,0)),0),IFERROR(INDEX(LMH_PTS,MATCH(N84,LMH_KEY,0)),0),IFERROR(INDEX(LMH_PTS,MATCH(O84,LMH_KEY,0)),0),IFERROR(INDEX(LMH_PTS,MATCH(P84,LMH_KEY,0)),0)),""))</f>
        <v>0.0588235294117647</v>
      </c>
      <c r="V84" s="74">
        <f>IF(O84="","",IFERROR(INDEX(LMH_PTS,MATCH(O84,LMH_KEY,0))/SUM(IFERROR(INDEX(LMH_PTS,MATCH(J84,LMH_KEY,0)),0),IFERROR(INDEX(LMH_PTS,MATCH(K84,LMH_KEY,0)),0),IFERROR(INDEX(LMH_PTS,MATCH(L84,LMH_KEY,0)),0),IFERROR(INDEX(LMH_PTS,MATCH(M84,LMH_KEY,0)),0),IFERROR(INDEX(LMH_PTS,MATCH(N84,LMH_KEY,0)),0),IFERROR(INDEX(LMH_PTS,MATCH(O84,LMH_KEY,0)),0),IFERROR(INDEX(LMH_PTS,MATCH(P84,LMH_KEY,0)),0)),""))</f>
        <v>0.0588235294117647</v>
      </c>
      <c r="W84" s="74">
        <f>IF(P84="","",IFERROR(INDEX(LMH_PTS,MATCH(P84,LMH_KEY,0))/SUM(IFERROR(INDEX(LMH_PTS,MATCH(J84,LMH_KEY,0)),0),IFERROR(INDEX(LMH_PTS,MATCH(K84,LMH_KEY,0)),0),IFERROR(INDEX(LMH_PTS,MATCH(L84,LMH_KEY,0)),0),IFERROR(INDEX(LMH_PTS,MATCH(M84,LMH_KEY,0)),0),IFERROR(INDEX(LMH_PTS,MATCH(N84,LMH_KEY,0)),0),IFERROR(INDEX(LMH_PTS,MATCH(O84,LMH_KEY,0)),0),IFERROR(INDEX(LMH_PTS,MATCH(P84,LMH_KEY,0)),0)),""))</f>
        <v>0.0588235294117647</v>
      </c>
      <c r="X84" s="44" t="n"/>
      <c r="Y84" s="38" t="inlineStr">
        <is>
          <t>CARBON|Quality Assurance|Senior QA Engineer|A2|A</t>
        </is>
      </c>
    </row>
    <row r="85" ht="28" customHeight="1">
      <c r="A85" s="28" t="inlineStr">
        <is>
          <t>CARBON</t>
        </is>
      </c>
      <c r="B85" s="71" t="inlineStr">
        <is>
          <t>Sales</t>
        </is>
      </c>
      <c r="C85" s="78" t="inlineStr">
        <is>
          <t>C1</t>
        </is>
      </c>
      <c r="D85" s="29" t="inlineStr">
        <is>
          <t>Band C · Principal / Head</t>
        </is>
      </c>
      <c r="E85" s="29" t="inlineStr">
        <is>
          <t>Principal – Enterprise Sales</t>
        </is>
      </c>
      <c r="F85" s="29" t="inlineStr">
        <is>
          <t>Band C · Principal specialist</t>
        </is>
      </c>
      <c r="G85" s="29" t="inlineStr">
        <is>
          <t>Sales &amp; Business Development</t>
        </is>
      </c>
      <c r="H85" s="29" t="n">
        <v>1</v>
      </c>
      <c r="I85" s="29" t="inlineStr">
        <is>
          <t>Sreyash Duragkar</t>
        </is>
      </c>
      <c r="J85" s="34" t="str">
        <f>IFERROR(INDEX(RBD_C,MATCH("Sales &amp; Business Development|C1|C-IC",RBD_KEY,0)),"M")</f>
        <v>H</v>
      </c>
      <c r="K85" s="35" t="str">
        <f>IFERROR(INDEX(RBD_Au,MATCH("Sales &amp; Business Development|C1|C-IC",RBD_KEY,0)),"M")</f>
        <v>M</v>
      </c>
      <c r="L85" s="35" t="str">
        <f>IFERROR(INDEX(RBD_Ac,MATCH("Sales &amp; Business Development|C1|C-IC",RBD_KEY,0)),"M")</f>
        <v>L</v>
      </c>
      <c r="M85" s="35" t="str">
        <f>IFERROR(INDEX(RBD_L,MATCH("Sales &amp; Business Development|C1|C-IC",RBD_KEY,0)),"M")</f>
        <v>L</v>
      </c>
      <c r="N85" s="35" t="str">
        <f>IFERROR(INDEX(RBD_BI,MATCH("Sales &amp; Business Development|C1|C-IC",RBD_KEY,0)),"M")</f>
        <v>M</v>
      </c>
      <c r="O85" s="35" t="str">
        <f>IFERROR(INDEX(RBD_Exp,MATCH("Sales &amp; Business Development|C1|C-IC",RBD_KEY,0)),"M")</f>
        <v>L</v>
      </c>
      <c r="P85" s="35" t="str">
        <f>IFERROR(INDEX(RBD_Edu,MATCH("Sales &amp; Business Development|C1|C-IC",RBD_KEY,0)),"M")</f>
        <v>L</v>
      </c>
      <c r="Q85" s="73">
        <f>IF(J85="","",IFERROR(INDEX(LMH_PTS,MATCH(J85,LMH_KEY,0))/SUM(IFERROR(INDEX(LMH_PTS,MATCH(J85,LMH_KEY,0)),0),IFERROR(INDEX(LMH_PTS,MATCH(K85,LMH_KEY,0)),0),IFERROR(INDEX(LMH_PTS,MATCH(L85,LMH_KEY,0)),0),IFERROR(INDEX(LMH_PTS,MATCH(M85,LMH_KEY,0)),0),IFERROR(INDEX(LMH_PTS,MATCH(N85,LMH_KEY,0)),0),IFERROR(INDEX(LMH_PTS,MATCH(O85,LMH_KEY,0)),0),IFERROR(INDEX(LMH_PTS,MATCH(P85,LMH_KEY,0)),0)),""))</f>
        <v>0.473684210526316</v>
      </c>
      <c r="R85" s="74">
        <f>IF(K85="","",IFERROR(INDEX(LMH_PTS,MATCH(K85,LMH_KEY,0))/SUM(IFERROR(INDEX(LMH_PTS,MATCH(J85,LMH_KEY,0)),0),IFERROR(INDEX(LMH_PTS,MATCH(K85,LMH_KEY,0)),0),IFERROR(INDEX(LMH_PTS,MATCH(L85,LMH_KEY,0)),0),IFERROR(INDEX(LMH_PTS,MATCH(M85,LMH_KEY,0)),0),IFERROR(INDEX(LMH_PTS,MATCH(N85,LMH_KEY,0)),0),IFERROR(INDEX(LMH_PTS,MATCH(O85,LMH_KEY,0)),0),IFERROR(INDEX(LMH_PTS,MATCH(P85,LMH_KEY,0)),0)),""))</f>
        <v>0.157894736842105</v>
      </c>
      <c r="S85" s="74">
        <f>IF(L85="","",IFERROR(INDEX(LMH_PTS,MATCH(L85,LMH_KEY,0))/SUM(IFERROR(INDEX(LMH_PTS,MATCH(J85,LMH_KEY,0)),0),IFERROR(INDEX(LMH_PTS,MATCH(K85,LMH_KEY,0)),0),IFERROR(INDEX(LMH_PTS,MATCH(L85,LMH_KEY,0)),0),IFERROR(INDEX(LMH_PTS,MATCH(M85,LMH_KEY,0)),0),IFERROR(INDEX(LMH_PTS,MATCH(N85,LMH_KEY,0)),0),IFERROR(INDEX(LMH_PTS,MATCH(O85,LMH_KEY,0)),0),IFERROR(INDEX(LMH_PTS,MATCH(P85,LMH_KEY,0)),0)),""))</f>
        <v>0.0526315789473684</v>
      </c>
      <c r="T85" s="74">
        <f>IF(M85="","",IFERROR(INDEX(LMH_PTS,MATCH(M85,LMH_KEY,0))/SUM(IFERROR(INDEX(LMH_PTS,MATCH(J85,LMH_KEY,0)),0),IFERROR(INDEX(LMH_PTS,MATCH(K85,LMH_KEY,0)),0),IFERROR(INDEX(LMH_PTS,MATCH(L85,LMH_KEY,0)),0),IFERROR(INDEX(LMH_PTS,MATCH(M85,LMH_KEY,0)),0),IFERROR(INDEX(LMH_PTS,MATCH(N85,LMH_KEY,0)),0),IFERROR(INDEX(LMH_PTS,MATCH(O85,LMH_KEY,0)),0),IFERROR(INDEX(LMH_PTS,MATCH(P85,LMH_KEY,0)),0)),""))</f>
        <v>0.0526315789473684</v>
      </c>
      <c r="U85" s="74">
        <f>IF(N85="","",IFERROR(INDEX(LMH_PTS,MATCH(N85,LMH_KEY,0))/SUM(IFERROR(INDEX(LMH_PTS,MATCH(J85,LMH_KEY,0)),0),IFERROR(INDEX(LMH_PTS,MATCH(K85,LMH_KEY,0)),0),IFERROR(INDEX(LMH_PTS,MATCH(L85,LMH_KEY,0)),0),IFERROR(INDEX(LMH_PTS,MATCH(M85,LMH_KEY,0)),0),IFERROR(INDEX(LMH_PTS,MATCH(N85,LMH_KEY,0)),0),IFERROR(INDEX(LMH_PTS,MATCH(O85,LMH_KEY,0)),0),IFERROR(INDEX(LMH_PTS,MATCH(P85,LMH_KEY,0)),0)),""))</f>
        <v>0.157894736842105</v>
      </c>
      <c r="V85" s="74">
        <f>IF(O85="","",IFERROR(INDEX(LMH_PTS,MATCH(O85,LMH_KEY,0))/SUM(IFERROR(INDEX(LMH_PTS,MATCH(J85,LMH_KEY,0)),0),IFERROR(INDEX(LMH_PTS,MATCH(K85,LMH_KEY,0)),0),IFERROR(INDEX(LMH_PTS,MATCH(L85,LMH_KEY,0)),0),IFERROR(INDEX(LMH_PTS,MATCH(M85,LMH_KEY,0)),0),IFERROR(INDEX(LMH_PTS,MATCH(N85,LMH_KEY,0)),0),IFERROR(INDEX(LMH_PTS,MATCH(O85,LMH_KEY,0)),0),IFERROR(INDEX(LMH_PTS,MATCH(P85,LMH_KEY,0)),0)),""))</f>
        <v>0.0526315789473684</v>
      </c>
      <c r="W85" s="74">
        <f>IF(P85="","",IFERROR(INDEX(LMH_PTS,MATCH(P85,LMH_KEY,0))/SUM(IFERROR(INDEX(LMH_PTS,MATCH(J85,LMH_KEY,0)),0),IFERROR(INDEX(LMH_PTS,MATCH(K85,LMH_KEY,0)),0),IFERROR(INDEX(LMH_PTS,MATCH(L85,LMH_KEY,0)),0),IFERROR(INDEX(LMH_PTS,MATCH(M85,LMH_KEY,0)),0),IFERROR(INDEX(LMH_PTS,MATCH(N85,LMH_KEY,0)),0),IFERROR(INDEX(LMH_PTS,MATCH(O85,LMH_KEY,0)),0),IFERROR(INDEX(LMH_PTS,MATCH(P85,LMH_KEY,0)),0)),""))</f>
        <v>0.0526315789473684</v>
      </c>
      <c r="X85" s="44" t="n"/>
      <c r="Y85" s="38" t="inlineStr">
        <is>
          <t>CARBON|Sales|Principal – Enterprise Sales|C1|C-IC</t>
        </is>
      </c>
    </row>
    <row r="86" ht="18" customHeight="1">
      <c r="A86" s="28" t="inlineStr">
        <is>
          <t>CARBON</t>
        </is>
      </c>
      <c r="B86" s="29" t="inlineStr">
        <is>
          <t>Sales</t>
        </is>
      </c>
      <c r="C86" s="72" t="inlineStr">
        <is>
          <t>B3</t>
        </is>
      </c>
      <c r="D86" s="29" t="inlineStr">
        <is>
          <t>Band B · Specialist / Manager</t>
        </is>
      </c>
      <c r="E86" s="29" t="inlineStr">
        <is>
          <t>Lead Account Executive</t>
        </is>
      </c>
      <c r="F86" s="29" t="inlineStr">
        <is>
          <t>Band B · Specialist / POD Lead</t>
        </is>
      </c>
      <c r="G86" s="29" t="inlineStr">
        <is>
          <t>Sales &amp; Business Development</t>
        </is>
      </c>
      <c r="H86" s="29" t="n">
        <v>1</v>
      </c>
      <c r="I86" s="29" t="inlineStr">
        <is>
          <t>Swapnil Trikane</t>
        </is>
      </c>
      <c r="J86" s="34" t="str">
        <f>IFERROR(INDEX(RBD_C,MATCH("Sales &amp; Business Development|B3|B-IC",RBD_KEY,0)),"M")</f>
        <v>H</v>
      </c>
      <c r="K86" s="35" t="str">
        <f>IFERROR(INDEX(RBD_Au,MATCH("Sales &amp; Business Development|B3|B-IC",RBD_KEY,0)),"M")</f>
        <v>M</v>
      </c>
      <c r="L86" s="35" t="str">
        <f>IFERROR(INDEX(RBD_Ac,MATCH("Sales &amp; Business Development|B3|B-IC",RBD_KEY,0)),"M")</f>
        <v>L</v>
      </c>
      <c r="M86" s="35" t="str">
        <f>IFERROR(INDEX(RBD_L,MATCH("Sales &amp; Business Development|B3|B-IC",RBD_KEY,0)),"M")</f>
        <v>L</v>
      </c>
      <c r="N86" s="35" t="str">
        <f>IFERROR(INDEX(RBD_BI,MATCH("Sales &amp; Business Development|B3|B-IC",RBD_KEY,0)),"M")</f>
        <v>M</v>
      </c>
      <c r="O86" s="35" t="str">
        <f>IFERROR(INDEX(RBD_Exp,MATCH("Sales &amp; Business Development|B3|B-IC",RBD_KEY,0)),"M")</f>
        <v>L</v>
      </c>
      <c r="P86" s="35" t="str">
        <f>IFERROR(INDEX(RBD_Edu,MATCH("Sales &amp; Business Development|B3|B-IC",RBD_KEY,0)),"M")</f>
        <v>L</v>
      </c>
      <c r="Q86" s="73">
        <f>IF(J86="","",IFERROR(INDEX(LMH_PTS,MATCH(J86,LMH_KEY,0))/SUM(IFERROR(INDEX(LMH_PTS,MATCH(J86,LMH_KEY,0)),0),IFERROR(INDEX(LMH_PTS,MATCH(K86,LMH_KEY,0)),0),IFERROR(INDEX(LMH_PTS,MATCH(L86,LMH_KEY,0)),0),IFERROR(INDEX(LMH_PTS,MATCH(M86,LMH_KEY,0)),0),IFERROR(INDEX(LMH_PTS,MATCH(N86,LMH_KEY,0)),0),IFERROR(INDEX(LMH_PTS,MATCH(O86,LMH_KEY,0)),0),IFERROR(INDEX(LMH_PTS,MATCH(P86,LMH_KEY,0)),0)),""))</f>
        <v>0.473684210526316</v>
      </c>
      <c r="R86" s="74">
        <f>IF(K86="","",IFERROR(INDEX(LMH_PTS,MATCH(K86,LMH_KEY,0))/SUM(IFERROR(INDEX(LMH_PTS,MATCH(J86,LMH_KEY,0)),0),IFERROR(INDEX(LMH_PTS,MATCH(K86,LMH_KEY,0)),0),IFERROR(INDEX(LMH_PTS,MATCH(L86,LMH_KEY,0)),0),IFERROR(INDEX(LMH_PTS,MATCH(M86,LMH_KEY,0)),0),IFERROR(INDEX(LMH_PTS,MATCH(N86,LMH_KEY,0)),0),IFERROR(INDEX(LMH_PTS,MATCH(O86,LMH_KEY,0)),0),IFERROR(INDEX(LMH_PTS,MATCH(P86,LMH_KEY,0)),0)),""))</f>
        <v>0.157894736842105</v>
      </c>
      <c r="S86" s="74">
        <f>IF(L86="","",IFERROR(INDEX(LMH_PTS,MATCH(L86,LMH_KEY,0))/SUM(IFERROR(INDEX(LMH_PTS,MATCH(J86,LMH_KEY,0)),0),IFERROR(INDEX(LMH_PTS,MATCH(K86,LMH_KEY,0)),0),IFERROR(INDEX(LMH_PTS,MATCH(L86,LMH_KEY,0)),0),IFERROR(INDEX(LMH_PTS,MATCH(M86,LMH_KEY,0)),0),IFERROR(INDEX(LMH_PTS,MATCH(N86,LMH_KEY,0)),0),IFERROR(INDEX(LMH_PTS,MATCH(O86,LMH_KEY,0)),0),IFERROR(INDEX(LMH_PTS,MATCH(P86,LMH_KEY,0)),0)),""))</f>
        <v>0.0526315789473684</v>
      </c>
      <c r="T86" s="74">
        <f>IF(M86="","",IFERROR(INDEX(LMH_PTS,MATCH(M86,LMH_KEY,0))/SUM(IFERROR(INDEX(LMH_PTS,MATCH(J86,LMH_KEY,0)),0),IFERROR(INDEX(LMH_PTS,MATCH(K86,LMH_KEY,0)),0),IFERROR(INDEX(LMH_PTS,MATCH(L86,LMH_KEY,0)),0),IFERROR(INDEX(LMH_PTS,MATCH(M86,LMH_KEY,0)),0),IFERROR(INDEX(LMH_PTS,MATCH(N86,LMH_KEY,0)),0),IFERROR(INDEX(LMH_PTS,MATCH(O86,LMH_KEY,0)),0),IFERROR(INDEX(LMH_PTS,MATCH(P86,LMH_KEY,0)),0)),""))</f>
        <v>0.0526315789473684</v>
      </c>
      <c r="U86" s="74">
        <f>IF(N86="","",IFERROR(INDEX(LMH_PTS,MATCH(N86,LMH_KEY,0))/SUM(IFERROR(INDEX(LMH_PTS,MATCH(J86,LMH_KEY,0)),0),IFERROR(INDEX(LMH_PTS,MATCH(K86,LMH_KEY,0)),0),IFERROR(INDEX(LMH_PTS,MATCH(L86,LMH_KEY,0)),0),IFERROR(INDEX(LMH_PTS,MATCH(M86,LMH_KEY,0)),0),IFERROR(INDEX(LMH_PTS,MATCH(N86,LMH_KEY,0)),0),IFERROR(INDEX(LMH_PTS,MATCH(O86,LMH_KEY,0)),0),IFERROR(INDEX(LMH_PTS,MATCH(P86,LMH_KEY,0)),0)),""))</f>
        <v>0.157894736842105</v>
      </c>
      <c r="V86" s="74">
        <f>IF(O86="","",IFERROR(INDEX(LMH_PTS,MATCH(O86,LMH_KEY,0))/SUM(IFERROR(INDEX(LMH_PTS,MATCH(J86,LMH_KEY,0)),0),IFERROR(INDEX(LMH_PTS,MATCH(K86,LMH_KEY,0)),0),IFERROR(INDEX(LMH_PTS,MATCH(L86,LMH_KEY,0)),0),IFERROR(INDEX(LMH_PTS,MATCH(M86,LMH_KEY,0)),0),IFERROR(INDEX(LMH_PTS,MATCH(N86,LMH_KEY,0)),0),IFERROR(INDEX(LMH_PTS,MATCH(O86,LMH_KEY,0)),0),IFERROR(INDEX(LMH_PTS,MATCH(P86,LMH_KEY,0)),0)),""))</f>
        <v>0.0526315789473684</v>
      </c>
      <c r="W86" s="74">
        <f>IF(P86="","",IFERROR(INDEX(LMH_PTS,MATCH(P86,LMH_KEY,0))/SUM(IFERROR(INDEX(LMH_PTS,MATCH(J86,LMH_KEY,0)),0),IFERROR(INDEX(LMH_PTS,MATCH(K86,LMH_KEY,0)),0),IFERROR(INDEX(LMH_PTS,MATCH(L86,LMH_KEY,0)),0),IFERROR(INDEX(LMH_PTS,MATCH(M86,LMH_KEY,0)),0),IFERROR(INDEX(LMH_PTS,MATCH(N86,LMH_KEY,0)),0),IFERROR(INDEX(LMH_PTS,MATCH(O86,LMH_KEY,0)),0),IFERROR(INDEX(LMH_PTS,MATCH(P86,LMH_KEY,0)),0)),""))</f>
        <v>0.0526315789473684</v>
      </c>
      <c r="X86" s="44" t="n"/>
      <c r="Y86" s="38" t="inlineStr">
        <is>
          <t>CARBON|Sales|Lead Account Executive|B3|B-IC</t>
        </is>
      </c>
    </row>
    <row r="87" ht="18" customHeight="1">
      <c r="A87" s="28" t="inlineStr">
        <is>
          <t>CARBON</t>
        </is>
      </c>
      <c r="B87" s="29" t="inlineStr">
        <is>
          <t>Sales</t>
        </is>
      </c>
      <c r="C87" s="72" t="inlineStr">
        <is>
          <t>B2</t>
        </is>
      </c>
      <c r="D87" s="29" t="inlineStr">
        <is>
          <t>Band B · Specialist / Manager</t>
        </is>
      </c>
      <c r="E87" s="29" t="inlineStr">
        <is>
          <t>Lead Account Executive</t>
        </is>
      </c>
      <c r="F87" s="29" t="inlineStr">
        <is>
          <t>Band B · Specialist / POD Lead</t>
        </is>
      </c>
      <c r="G87" s="29" t="inlineStr">
        <is>
          <t>Sales &amp; Business Development</t>
        </is>
      </c>
      <c r="H87" s="29" t="n">
        <v>1</v>
      </c>
      <c r="I87" s="29" t="inlineStr">
        <is>
          <t>Rohit Bansal</t>
        </is>
      </c>
      <c r="J87" s="34" t="str">
        <f>IFERROR(INDEX(RBD_C,MATCH("Sales &amp; Business Development|B2|B-IC",RBD_KEY,0)),"M")</f>
        <v>H</v>
      </c>
      <c r="K87" s="35" t="str">
        <f>IFERROR(INDEX(RBD_Au,MATCH("Sales &amp; Business Development|B2|B-IC",RBD_KEY,0)),"M")</f>
        <v>M</v>
      </c>
      <c r="L87" s="35" t="str">
        <f>IFERROR(INDEX(RBD_Ac,MATCH("Sales &amp; Business Development|B2|B-IC",RBD_KEY,0)),"M")</f>
        <v>L</v>
      </c>
      <c r="M87" s="35" t="str">
        <f>IFERROR(INDEX(RBD_L,MATCH("Sales &amp; Business Development|B2|B-IC",RBD_KEY,0)),"M")</f>
        <v>L</v>
      </c>
      <c r="N87" s="35" t="str">
        <f>IFERROR(INDEX(RBD_BI,MATCH("Sales &amp; Business Development|B2|B-IC",RBD_KEY,0)),"M")</f>
        <v>M</v>
      </c>
      <c r="O87" s="35" t="str">
        <f>IFERROR(INDEX(RBD_Exp,MATCH("Sales &amp; Business Development|B2|B-IC",RBD_KEY,0)),"M")</f>
        <v>L</v>
      </c>
      <c r="P87" s="35" t="str">
        <f>IFERROR(INDEX(RBD_Edu,MATCH("Sales &amp; Business Development|B2|B-IC",RBD_KEY,0)),"M")</f>
        <v>L</v>
      </c>
      <c r="Q87" s="73">
        <f>IF(J87="","",IFERROR(INDEX(LMH_PTS,MATCH(J87,LMH_KEY,0))/SUM(IFERROR(INDEX(LMH_PTS,MATCH(J87,LMH_KEY,0)),0),IFERROR(INDEX(LMH_PTS,MATCH(K87,LMH_KEY,0)),0),IFERROR(INDEX(LMH_PTS,MATCH(L87,LMH_KEY,0)),0),IFERROR(INDEX(LMH_PTS,MATCH(M87,LMH_KEY,0)),0),IFERROR(INDEX(LMH_PTS,MATCH(N87,LMH_KEY,0)),0),IFERROR(INDEX(LMH_PTS,MATCH(O87,LMH_KEY,0)),0),IFERROR(INDEX(LMH_PTS,MATCH(P87,LMH_KEY,0)),0)),""))</f>
        <v>0.473684210526316</v>
      </c>
      <c r="R87" s="74">
        <f>IF(K87="","",IFERROR(INDEX(LMH_PTS,MATCH(K87,LMH_KEY,0))/SUM(IFERROR(INDEX(LMH_PTS,MATCH(J87,LMH_KEY,0)),0),IFERROR(INDEX(LMH_PTS,MATCH(K87,LMH_KEY,0)),0),IFERROR(INDEX(LMH_PTS,MATCH(L87,LMH_KEY,0)),0),IFERROR(INDEX(LMH_PTS,MATCH(M87,LMH_KEY,0)),0),IFERROR(INDEX(LMH_PTS,MATCH(N87,LMH_KEY,0)),0),IFERROR(INDEX(LMH_PTS,MATCH(O87,LMH_KEY,0)),0),IFERROR(INDEX(LMH_PTS,MATCH(P87,LMH_KEY,0)),0)),""))</f>
        <v>0.157894736842105</v>
      </c>
      <c r="S87" s="74">
        <f>IF(L87="","",IFERROR(INDEX(LMH_PTS,MATCH(L87,LMH_KEY,0))/SUM(IFERROR(INDEX(LMH_PTS,MATCH(J87,LMH_KEY,0)),0),IFERROR(INDEX(LMH_PTS,MATCH(K87,LMH_KEY,0)),0),IFERROR(INDEX(LMH_PTS,MATCH(L87,LMH_KEY,0)),0),IFERROR(INDEX(LMH_PTS,MATCH(M87,LMH_KEY,0)),0),IFERROR(INDEX(LMH_PTS,MATCH(N87,LMH_KEY,0)),0),IFERROR(INDEX(LMH_PTS,MATCH(O87,LMH_KEY,0)),0),IFERROR(INDEX(LMH_PTS,MATCH(P87,LMH_KEY,0)),0)),""))</f>
        <v>0.0526315789473684</v>
      </c>
      <c r="T87" s="74">
        <f>IF(M87="","",IFERROR(INDEX(LMH_PTS,MATCH(M87,LMH_KEY,0))/SUM(IFERROR(INDEX(LMH_PTS,MATCH(J87,LMH_KEY,0)),0),IFERROR(INDEX(LMH_PTS,MATCH(K87,LMH_KEY,0)),0),IFERROR(INDEX(LMH_PTS,MATCH(L87,LMH_KEY,0)),0),IFERROR(INDEX(LMH_PTS,MATCH(M87,LMH_KEY,0)),0),IFERROR(INDEX(LMH_PTS,MATCH(N87,LMH_KEY,0)),0),IFERROR(INDEX(LMH_PTS,MATCH(O87,LMH_KEY,0)),0),IFERROR(INDEX(LMH_PTS,MATCH(P87,LMH_KEY,0)),0)),""))</f>
        <v>0.0526315789473684</v>
      </c>
      <c r="U87" s="74">
        <f>IF(N87="","",IFERROR(INDEX(LMH_PTS,MATCH(N87,LMH_KEY,0))/SUM(IFERROR(INDEX(LMH_PTS,MATCH(J87,LMH_KEY,0)),0),IFERROR(INDEX(LMH_PTS,MATCH(K87,LMH_KEY,0)),0),IFERROR(INDEX(LMH_PTS,MATCH(L87,LMH_KEY,0)),0),IFERROR(INDEX(LMH_PTS,MATCH(M87,LMH_KEY,0)),0),IFERROR(INDEX(LMH_PTS,MATCH(N87,LMH_KEY,0)),0),IFERROR(INDEX(LMH_PTS,MATCH(O87,LMH_KEY,0)),0),IFERROR(INDEX(LMH_PTS,MATCH(P87,LMH_KEY,0)),0)),""))</f>
        <v>0.157894736842105</v>
      </c>
      <c r="V87" s="74">
        <f>IF(O87="","",IFERROR(INDEX(LMH_PTS,MATCH(O87,LMH_KEY,0))/SUM(IFERROR(INDEX(LMH_PTS,MATCH(J87,LMH_KEY,0)),0),IFERROR(INDEX(LMH_PTS,MATCH(K87,LMH_KEY,0)),0),IFERROR(INDEX(LMH_PTS,MATCH(L87,LMH_KEY,0)),0),IFERROR(INDEX(LMH_PTS,MATCH(M87,LMH_KEY,0)),0),IFERROR(INDEX(LMH_PTS,MATCH(N87,LMH_KEY,0)),0),IFERROR(INDEX(LMH_PTS,MATCH(O87,LMH_KEY,0)),0),IFERROR(INDEX(LMH_PTS,MATCH(P87,LMH_KEY,0)),0)),""))</f>
        <v>0.0526315789473684</v>
      </c>
      <c r="W87" s="74">
        <f>IF(P87="","",IFERROR(INDEX(LMH_PTS,MATCH(P87,LMH_KEY,0))/SUM(IFERROR(INDEX(LMH_PTS,MATCH(J87,LMH_KEY,0)),0),IFERROR(INDEX(LMH_PTS,MATCH(K87,LMH_KEY,0)),0),IFERROR(INDEX(LMH_PTS,MATCH(L87,LMH_KEY,0)),0),IFERROR(INDEX(LMH_PTS,MATCH(M87,LMH_KEY,0)),0),IFERROR(INDEX(LMH_PTS,MATCH(N87,LMH_KEY,0)),0),IFERROR(INDEX(LMH_PTS,MATCH(O87,LMH_KEY,0)),0),IFERROR(INDEX(LMH_PTS,MATCH(P87,LMH_KEY,0)),0)),""))</f>
        <v>0.0526315789473684</v>
      </c>
      <c r="X87" s="44" t="n"/>
      <c r="Y87" s="38" t="inlineStr">
        <is>
          <t>CARBON|Sales|Lead Account Executive|B2|B-IC</t>
        </is>
      </c>
    </row>
    <row r="88" ht="28" customHeight="1">
      <c r="A88" s="28" t="inlineStr">
        <is>
          <t>CARBON</t>
        </is>
      </c>
      <c r="B88" s="29" t="inlineStr">
        <is>
          <t>Sales</t>
        </is>
      </c>
      <c r="C88" s="72" t="inlineStr">
        <is>
          <t>B1</t>
        </is>
      </c>
      <c r="D88" s="29" t="inlineStr">
        <is>
          <t>Band B · Specialist / Manager</t>
        </is>
      </c>
      <c r="E88" s="29" t="inlineStr">
        <is>
          <t>Sales Operations Specialist – POD Lead</t>
        </is>
      </c>
      <c r="F88" s="29" t="inlineStr">
        <is>
          <t>Band B · Specialist / POD Lead</t>
        </is>
      </c>
      <c r="G88" s="29" t="inlineStr">
        <is>
          <t>Sales &amp; Business Development</t>
        </is>
      </c>
      <c r="H88" s="29" t="n">
        <v>1</v>
      </c>
      <c r="I88" s="29" t="inlineStr">
        <is>
          <t>Aniket Das</t>
        </is>
      </c>
      <c r="J88" s="34" t="str">
        <f>IFERROR(INDEX(RBD_C,MATCH("Sales &amp; Business Development|B1|B-IC",RBD_KEY,0)),"M")</f>
        <v>H</v>
      </c>
      <c r="K88" s="35" t="str">
        <f>IFERROR(INDEX(RBD_Au,MATCH("Sales &amp; Business Development|B1|B-IC",RBD_KEY,0)),"M")</f>
        <v>M</v>
      </c>
      <c r="L88" s="35" t="str">
        <f>IFERROR(INDEX(RBD_Ac,MATCH("Sales &amp; Business Development|B1|B-IC",RBD_KEY,0)),"M")</f>
        <v>L</v>
      </c>
      <c r="M88" s="35" t="str">
        <f>IFERROR(INDEX(RBD_L,MATCH("Sales &amp; Business Development|B1|B-IC",RBD_KEY,0)),"M")</f>
        <v>L</v>
      </c>
      <c r="N88" s="35" t="str">
        <f>IFERROR(INDEX(RBD_BI,MATCH("Sales &amp; Business Development|B1|B-IC",RBD_KEY,0)),"M")</f>
        <v>M</v>
      </c>
      <c r="O88" s="35" t="str">
        <f>IFERROR(INDEX(RBD_Exp,MATCH("Sales &amp; Business Development|B1|B-IC",RBD_KEY,0)),"M")</f>
        <v>L</v>
      </c>
      <c r="P88" s="35" t="str">
        <f>IFERROR(INDEX(RBD_Edu,MATCH("Sales &amp; Business Development|B1|B-IC",RBD_KEY,0)),"M")</f>
        <v>L</v>
      </c>
      <c r="Q88" s="73">
        <f>IF(J88="","",IFERROR(INDEX(LMH_PTS,MATCH(J88,LMH_KEY,0))/SUM(IFERROR(INDEX(LMH_PTS,MATCH(J88,LMH_KEY,0)),0),IFERROR(INDEX(LMH_PTS,MATCH(K88,LMH_KEY,0)),0),IFERROR(INDEX(LMH_PTS,MATCH(L88,LMH_KEY,0)),0),IFERROR(INDEX(LMH_PTS,MATCH(M88,LMH_KEY,0)),0),IFERROR(INDEX(LMH_PTS,MATCH(N88,LMH_KEY,0)),0),IFERROR(INDEX(LMH_PTS,MATCH(O88,LMH_KEY,0)),0),IFERROR(INDEX(LMH_PTS,MATCH(P88,LMH_KEY,0)),0)),""))</f>
        <v>0.473684210526316</v>
      </c>
      <c r="R88" s="74">
        <f>IF(K88="","",IFERROR(INDEX(LMH_PTS,MATCH(K88,LMH_KEY,0))/SUM(IFERROR(INDEX(LMH_PTS,MATCH(J88,LMH_KEY,0)),0),IFERROR(INDEX(LMH_PTS,MATCH(K88,LMH_KEY,0)),0),IFERROR(INDEX(LMH_PTS,MATCH(L88,LMH_KEY,0)),0),IFERROR(INDEX(LMH_PTS,MATCH(M88,LMH_KEY,0)),0),IFERROR(INDEX(LMH_PTS,MATCH(N88,LMH_KEY,0)),0),IFERROR(INDEX(LMH_PTS,MATCH(O88,LMH_KEY,0)),0),IFERROR(INDEX(LMH_PTS,MATCH(P88,LMH_KEY,0)),0)),""))</f>
        <v>0.157894736842105</v>
      </c>
      <c r="S88" s="74">
        <f>IF(L88="","",IFERROR(INDEX(LMH_PTS,MATCH(L88,LMH_KEY,0))/SUM(IFERROR(INDEX(LMH_PTS,MATCH(J88,LMH_KEY,0)),0),IFERROR(INDEX(LMH_PTS,MATCH(K88,LMH_KEY,0)),0),IFERROR(INDEX(LMH_PTS,MATCH(L88,LMH_KEY,0)),0),IFERROR(INDEX(LMH_PTS,MATCH(M88,LMH_KEY,0)),0),IFERROR(INDEX(LMH_PTS,MATCH(N88,LMH_KEY,0)),0),IFERROR(INDEX(LMH_PTS,MATCH(O88,LMH_KEY,0)),0),IFERROR(INDEX(LMH_PTS,MATCH(P88,LMH_KEY,0)),0)),""))</f>
        <v>0.0526315789473684</v>
      </c>
      <c r="T88" s="74">
        <f>IF(M88="","",IFERROR(INDEX(LMH_PTS,MATCH(M88,LMH_KEY,0))/SUM(IFERROR(INDEX(LMH_PTS,MATCH(J88,LMH_KEY,0)),0),IFERROR(INDEX(LMH_PTS,MATCH(K88,LMH_KEY,0)),0),IFERROR(INDEX(LMH_PTS,MATCH(L88,LMH_KEY,0)),0),IFERROR(INDEX(LMH_PTS,MATCH(M88,LMH_KEY,0)),0),IFERROR(INDEX(LMH_PTS,MATCH(N88,LMH_KEY,0)),0),IFERROR(INDEX(LMH_PTS,MATCH(O88,LMH_KEY,0)),0),IFERROR(INDEX(LMH_PTS,MATCH(P88,LMH_KEY,0)),0)),""))</f>
        <v>0.0526315789473684</v>
      </c>
      <c r="U88" s="74">
        <f>IF(N88="","",IFERROR(INDEX(LMH_PTS,MATCH(N88,LMH_KEY,0))/SUM(IFERROR(INDEX(LMH_PTS,MATCH(J88,LMH_KEY,0)),0),IFERROR(INDEX(LMH_PTS,MATCH(K88,LMH_KEY,0)),0),IFERROR(INDEX(LMH_PTS,MATCH(L88,LMH_KEY,0)),0),IFERROR(INDEX(LMH_PTS,MATCH(M88,LMH_KEY,0)),0),IFERROR(INDEX(LMH_PTS,MATCH(N88,LMH_KEY,0)),0),IFERROR(INDEX(LMH_PTS,MATCH(O88,LMH_KEY,0)),0),IFERROR(INDEX(LMH_PTS,MATCH(P88,LMH_KEY,0)),0)),""))</f>
        <v>0.157894736842105</v>
      </c>
      <c r="V88" s="74">
        <f>IF(O88="","",IFERROR(INDEX(LMH_PTS,MATCH(O88,LMH_KEY,0))/SUM(IFERROR(INDEX(LMH_PTS,MATCH(J88,LMH_KEY,0)),0),IFERROR(INDEX(LMH_PTS,MATCH(K88,LMH_KEY,0)),0),IFERROR(INDEX(LMH_PTS,MATCH(L88,LMH_KEY,0)),0),IFERROR(INDEX(LMH_PTS,MATCH(M88,LMH_KEY,0)),0),IFERROR(INDEX(LMH_PTS,MATCH(N88,LMH_KEY,0)),0),IFERROR(INDEX(LMH_PTS,MATCH(O88,LMH_KEY,0)),0),IFERROR(INDEX(LMH_PTS,MATCH(P88,LMH_KEY,0)),0)),""))</f>
        <v>0.0526315789473684</v>
      </c>
      <c r="W88" s="74">
        <f>IF(P88="","",IFERROR(INDEX(LMH_PTS,MATCH(P88,LMH_KEY,0))/SUM(IFERROR(INDEX(LMH_PTS,MATCH(J88,LMH_KEY,0)),0),IFERROR(INDEX(LMH_PTS,MATCH(K88,LMH_KEY,0)),0),IFERROR(INDEX(LMH_PTS,MATCH(L88,LMH_KEY,0)),0),IFERROR(INDEX(LMH_PTS,MATCH(M88,LMH_KEY,0)),0),IFERROR(INDEX(LMH_PTS,MATCH(N88,LMH_KEY,0)),0),IFERROR(INDEX(LMH_PTS,MATCH(O88,LMH_KEY,0)),0),IFERROR(INDEX(LMH_PTS,MATCH(P88,LMH_KEY,0)),0)),""))</f>
        <v>0.0526315789473684</v>
      </c>
      <c r="X88" s="44" t="n"/>
      <c r="Y88" s="38" t="inlineStr">
        <is>
          <t>CARBON|Sales|Sales Operations Specialist – POD Lead|B1|B-IC</t>
        </is>
      </c>
    </row>
    <row r="89" ht="28" customHeight="1">
      <c r="A89" s="28" t="inlineStr">
        <is>
          <t>CARBON</t>
        </is>
      </c>
      <c r="B89" s="29" t="inlineStr">
        <is>
          <t>Sales</t>
        </is>
      </c>
      <c r="C89" s="75" t="inlineStr">
        <is>
          <t>A3</t>
        </is>
      </c>
      <c r="D89" s="29" t="inlineStr">
        <is>
          <t>Band A · Practitioner</t>
        </is>
      </c>
      <c r="E89" s="29" t="inlineStr">
        <is>
          <t>Senior Sales Operations Analyst</t>
        </is>
      </c>
      <c r="F89" s="29" t="inlineStr">
        <is>
          <t>Band A · all tracks</t>
        </is>
      </c>
      <c r="G89" s="29" t="inlineStr">
        <is>
          <t>Sales &amp; Business Development</t>
        </is>
      </c>
      <c r="H89" s="29" t="n">
        <v>1</v>
      </c>
      <c r="I89" s="29" t="inlineStr">
        <is>
          <t>Smriti Priya</t>
        </is>
      </c>
      <c r="J89" s="34" t="str">
        <f>IFERROR(INDEX(RBD_C,MATCH("Sales &amp; Business Development|A3|A",RBD_KEY,0)),"M")</f>
        <v>H</v>
      </c>
      <c r="K89" s="35" t="str">
        <f>IFERROR(INDEX(RBD_Au,MATCH("Sales &amp; Business Development|A3|A",RBD_KEY,0)),"M")</f>
        <v>M</v>
      </c>
      <c r="L89" s="35" t="str">
        <f>IFERROR(INDEX(RBD_Ac,MATCH("Sales &amp; Business Development|A3|A",RBD_KEY,0)),"M")</f>
        <v>L</v>
      </c>
      <c r="M89" s="35" t="str">
        <f>IFERROR(INDEX(RBD_L,MATCH("Sales &amp; Business Development|A3|A",RBD_KEY,0)),"M")</f>
        <v>L</v>
      </c>
      <c r="N89" s="35" t="str">
        <f>IFERROR(INDEX(RBD_BI,MATCH("Sales &amp; Business Development|A3|A",RBD_KEY,0)),"M")</f>
        <v>M</v>
      </c>
      <c r="O89" s="35" t="str">
        <f>IFERROR(INDEX(RBD_Exp,MATCH("Sales &amp; Business Development|A3|A",RBD_KEY,0)),"M")</f>
        <v>L</v>
      </c>
      <c r="P89" s="35" t="str">
        <f>IFERROR(INDEX(RBD_Edu,MATCH("Sales &amp; Business Development|A3|A",RBD_KEY,0)),"M")</f>
        <v>L</v>
      </c>
      <c r="Q89" s="73">
        <f>IF(J89="","",IFERROR(INDEX(LMH_PTS,MATCH(J89,LMH_KEY,0))/SUM(IFERROR(INDEX(LMH_PTS,MATCH(J89,LMH_KEY,0)),0),IFERROR(INDEX(LMH_PTS,MATCH(K89,LMH_KEY,0)),0),IFERROR(INDEX(LMH_PTS,MATCH(L89,LMH_KEY,0)),0),IFERROR(INDEX(LMH_PTS,MATCH(M89,LMH_KEY,0)),0),IFERROR(INDEX(LMH_PTS,MATCH(N89,LMH_KEY,0)),0),IFERROR(INDEX(LMH_PTS,MATCH(O89,LMH_KEY,0)),0),IFERROR(INDEX(LMH_PTS,MATCH(P89,LMH_KEY,0)),0)),""))</f>
        <v>0.473684210526316</v>
      </c>
      <c r="R89" s="74">
        <f>IF(K89="","",IFERROR(INDEX(LMH_PTS,MATCH(K89,LMH_KEY,0))/SUM(IFERROR(INDEX(LMH_PTS,MATCH(J89,LMH_KEY,0)),0),IFERROR(INDEX(LMH_PTS,MATCH(K89,LMH_KEY,0)),0),IFERROR(INDEX(LMH_PTS,MATCH(L89,LMH_KEY,0)),0),IFERROR(INDEX(LMH_PTS,MATCH(M89,LMH_KEY,0)),0),IFERROR(INDEX(LMH_PTS,MATCH(N89,LMH_KEY,0)),0),IFERROR(INDEX(LMH_PTS,MATCH(O89,LMH_KEY,0)),0),IFERROR(INDEX(LMH_PTS,MATCH(P89,LMH_KEY,0)),0)),""))</f>
        <v>0.157894736842105</v>
      </c>
      <c r="S89" s="74">
        <f>IF(L89="","",IFERROR(INDEX(LMH_PTS,MATCH(L89,LMH_KEY,0))/SUM(IFERROR(INDEX(LMH_PTS,MATCH(J89,LMH_KEY,0)),0),IFERROR(INDEX(LMH_PTS,MATCH(K89,LMH_KEY,0)),0),IFERROR(INDEX(LMH_PTS,MATCH(L89,LMH_KEY,0)),0),IFERROR(INDEX(LMH_PTS,MATCH(M89,LMH_KEY,0)),0),IFERROR(INDEX(LMH_PTS,MATCH(N89,LMH_KEY,0)),0),IFERROR(INDEX(LMH_PTS,MATCH(O89,LMH_KEY,0)),0),IFERROR(INDEX(LMH_PTS,MATCH(P89,LMH_KEY,0)),0)),""))</f>
        <v>0.0526315789473684</v>
      </c>
      <c r="T89" s="74">
        <f>IF(M89="","",IFERROR(INDEX(LMH_PTS,MATCH(M89,LMH_KEY,0))/SUM(IFERROR(INDEX(LMH_PTS,MATCH(J89,LMH_KEY,0)),0),IFERROR(INDEX(LMH_PTS,MATCH(K89,LMH_KEY,0)),0),IFERROR(INDEX(LMH_PTS,MATCH(L89,LMH_KEY,0)),0),IFERROR(INDEX(LMH_PTS,MATCH(M89,LMH_KEY,0)),0),IFERROR(INDEX(LMH_PTS,MATCH(N89,LMH_KEY,0)),0),IFERROR(INDEX(LMH_PTS,MATCH(O89,LMH_KEY,0)),0),IFERROR(INDEX(LMH_PTS,MATCH(P89,LMH_KEY,0)),0)),""))</f>
        <v>0.0526315789473684</v>
      </c>
      <c r="U89" s="74">
        <f>IF(N89="","",IFERROR(INDEX(LMH_PTS,MATCH(N89,LMH_KEY,0))/SUM(IFERROR(INDEX(LMH_PTS,MATCH(J89,LMH_KEY,0)),0),IFERROR(INDEX(LMH_PTS,MATCH(K89,LMH_KEY,0)),0),IFERROR(INDEX(LMH_PTS,MATCH(L89,LMH_KEY,0)),0),IFERROR(INDEX(LMH_PTS,MATCH(M89,LMH_KEY,0)),0),IFERROR(INDEX(LMH_PTS,MATCH(N89,LMH_KEY,0)),0),IFERROR(INDEX(LMH_PTS,MATCH(O89,LMH_KEY,0)),0),IFERROR(INDEX(LMH_PTS,MATCH(P89,LMH_KEY,0)),0)),""))</f>
        <v>0.157894736842105</v>
      </c>
      <c r="V89" s="74">
        <f>IF(O89="","",IFERROR(INDEX(LMH_PTS,MATCH(O89,LMH_KEY,0))/SUM(IFERROR(INDEX(LMH_PTS,MATCH(J89,LMH_KEY,0)),0),IFERROR(INDEX(LMH_PTS,MATCH(K89,LMH_KEY,0)),0),IFERROR(INDEX(LMH_PTS,MATCH(L89,LMH_KEY,0)),0),IFERROR(INDEX(LMH_PTS,MATCH(M89,LMH_KEY,0)),0),IFERROR(INDEX(LMH_PTS,MATCH(N89,LMH_KEY,0)),0),IFERROR(INDEX(LMH_PTS,MATCH(O89,LMH_KEY,0)),0),IFERROR(INDEX(LMH_PTS,MATCH(P89,LMH_KEY,0)),0)),""))</f>
        <v>0.0526315789473684</v>
      </c>
      <c r="W89" s="74">
        <f>IF(P89="","",IFERROR(INDEX(LMH_PTS,MATCH(P89,LMH_KEY,0))/SUM(IFERROR(INDEX(LMH_PTS,MATCH(J89,LMH_KEY,0)),0),IFERROR(INDEX(LMH_PTS,MATCH(K89,LMH_KEY,0)),0),IFERROR(INDEX(LMH_PTS,MATCH(L89,LMH_KEY,0)),0),IFERROR(INDEX(LMH_PTS,MATCH(M89,LMH_KEY,0)),0),IFERROR(INDEX(LMH_PTS,MATCH(N89,LMH_KEY,0)),0),IFERROR(INDEX(LMH_PTS,MATCH(O89,LMH_KEY,0)),0),IFERROR(INDEX(LMH_PTS,MATCH(P89,LMH_KEY,0)),0)),""))</f>
        <v>0.0526315789473684</v>
      </c>
      <c r="X89" s="44" t="n"/>
      <c r="Y89" s="38" t="inlineStr">
        <is>
          <t>CARBON|Sales|Senior Sales Operations Analyst|A3|A</t>
        </is>
      </c>
    </row>
    <row r="90" ht="40.5" customHeight="1">
      <c r="A90" s="28" t="inlineStr">
        <is>
          <t>CARBON</t>
        </is>
      </c>
      <c r="B90" s="29" t="inlineStr">
        <is>
          <t>Sales</t>
        </is>
      </c>
      <c r="C90" s="76" t="inlineStr">
        <is>
          <t>X3</t>
        </is>
      </c>
      <c r="D90" s="29" t="inlineStr">
        <is>
          <t>Band X · Consultant</t>
        </is>
      </c>
      <c r="E90" s="29" t="inlineStr">
        <is>
          <t>Senior Consultant – Enterprise Sales &amp; Account Management</t>
        </is>
      </c>
      <c r="F90" s="29" t="inlineStr">
        <is>
          <t>Consultant</t>
        </is>
      </c>
      <c r="G90" s="29" t="inlineStr">
        <is>
          <t>Sales &amp; Business Development</t>
        </is>
      </c>
      <c r="H90" s="29" t="n">
        <v>1</v>
      </c>
      <c r="I90" s="29" t="inlineStr">
        <is>
          <t>Andrea Messiga</t>
        </is>
      </c>
      <c r="J90" s="34" t="n"/>
      <c r="K90" s="35" t="n"/>
      <c r="L90" s="35" t="n"/>
      <c r="M90" s="35" t="n"/>
      <c r="N90" s="35" t="n"/>
      <c r="O90" s="35" t="n"/>
      <c r="P90" s="35" t="n"/>
      <c r="Q90" s="73" t="str">
        <f>IF(J90="","",IFERROR(INDEX(LMH_PTS,MATCH(J90,LMH_KEY,0))/SUM(IFERROR(INDEX(LMH_PTS,MATCH(J90,LMH_KEY,0)),0),IFERROR(INDEX(LMH_PTS,MATCH(K90,LMH_KEY,0)),0),IFERROR(INDEX(LMH_PTS,MATCH(L90,LMH_KEY,0)),0),IFERROR(INDEX(LMH_PTS,MATCH(M90,LMH_KEY,0)),0),IFERROR(INDEX(LMH_PTS,MATCH(N90,LMH_KEY,0)),0),IFERROR(INDEX(LMH_PTS,MATCH(O90,LMH_KEY,0)),0),IFERROR(INDEX(LMH_PTS,MATCH(P90,LMH_KEY,0)),0)),""))</f>
        <v/>
      </c>
      <c r="R90" s="74" t="str">
        <f>IF(K90="","",IFERROR(INDEX(LMH_PTS,MATCH(K90,LMH_KEY,0))/SUM(IFERROR(INDEX(LMH_PTS,MATCH(J90,LMH_KEY,0)),0),IFERROR(INDEX(LMH_PTS,MATCH(K90,LMH_KEY,0)),0),IFERROR(INDEX(LMH_PTS,MATCH(L90,LMH_KEY,0)),0),IFERROR(INDEX(LMH_PTS,MATCH(M90,LMH_KEY,0)),0),IFERROR(INDEX(LMH_PTS,MATCH(N90,LMH_KEY,0)),0),IFERROR(INDEX(LMH_PTS,MATCH(O90,LMH_KEY,0)),0),IFERROR(INDEX(LMH_PTS,MATCH(P90,LMH_KEY,0)),0)),""))</f>
        <v/>
      </c>
      <c r="S90" s="74" t="str">
        <f>IF(L90="","",IFERROR(INDEX(LMH_PTS,MATCH(L90,LMH_KEY,0))/SUM(IFERROR(INDEX(LMH_PTS,MATCH(J90,LMH_KEY,0)),0),IFERROR(INDEX(LMH_PTS,MATCH(K90,LMH_KEY,0)),0),IFERROR(INDEX(LMH_PTS,MATCH(L90,LMH_KEY,0)),0),IFERROR(INDEX(LMH_PTS,MATCH(M90,LMH_KEY,0)),0),IFERROR(INDEX(LMH_PTS,MATCH(N90,LMH_KEY,0)),0),IFERROR(INDEX(LMH_PTS,MATCH(O90,LMH_KEY,0)),0),IFERROR(INDEX(LMH_PTS,MATCH(P90,LMH_KEY,0)),0)),""))</f>
        <v/>
      </c>
      <c r="T90" s="74" t="str">
        <f>IF(M90="","",IFERROR(INDEX(LMH_PTS,MATCH(M90,LMH_KEY,0))/SUM(IFERROR(INDEX(LMH_PTS,MATCH(J90,LMH_KEY,0)),0),IFERROR(INDEX(LMH_PTS,MATCH(K90,LMH_KEY,0)),0),IFERROR(INDEX(LMH_PTS,MATCH(L90,LMH_KEY,0)),0),IFERROR(INDEX(LMH_PTS,MATCH(M90,LMH_KEY,0)),0),IFERROR(INDEX(LMH_PTS,MATCH(N90,LMH_KEY,0)),0),IFERROR(INDEX(LMH_PTS,MATCH(O90,LMH_KEY,0)),0),IFERROR(INDEX(LMH_PTS,MATCH(P90,LMH_KEY,0)),0)),""))</f>
        <v/>
      </c>
      <c r="U90" s="74" t="str">
        <f>IF(N90="","",IFERROR(INDEX(LMH_PTS,MATCH(N90,LMH_KEY,0))/SUM(IFERROR(INDEX(LMH_PTS,MATCH(J90,LMH_KEY,0)),0),IFERROR(INDEX(LMH_PTS,MATCH(K90,LMH_KEY,0)),0),IFERROR(INDEX(LMH_PTS,MATCH(L90,LMH_KEY,0)),0),IFERROR(INDEX(LMH_PTS,MATCH(M90,LMH_KEY,0)),0),IFERROR(INDEX(LMH_PTS,MATCH(N90,LMH_KEY,0)),0),IFERROR(INDEX(LMH_PTS,MATCH(O90,LMH_KEY,0)),0),IFERROR(INDEX(LMH_PTS,MATCH(P90,LMH_KEY,0)),0)),""))</f>
        <v/>
      </c>
      <c r="V90" s="74" t="str">
        <f>IF(O90="","",IFERROR(INDEX(LMH_PTS,MATCH(O90,LMH_KEY,0))/SUM(IFERROR(INDEX(LMH_PTS,MATCH(J90,LMH_KEY,0)),0),IFERROR(INDEX(LMH_PTS,MATCH(K90,LMH_KEY,0)),0),IFERROR(INDEX(LMH_PTS,MATCH(L90,LMH_KEY,0)),0),IFERROR(INDEX(LMH_PTS,MATCH(M90,LMH_KEY,0)),0),IFERROR(INDEX(LMH_PTS,MATCH(N90,LMH_KEY,0)),0),IFERROR(INDEX(LMH_PTS,MATCH(O90,LMH_KEY,0)),0),IFERROR(INDEX(LMH_PTS,MATCH(P90,LMH_KEY,0)),0)),""))</f>
        <v/>
      </c>
      <c r="W90" s="74" t="str">
        <f>IF(P90="","",IFERROR(INDEX(LMH_PTS,MATCH(P90,LMH_KEY,0))/SUM(IFERROR(INDEX(LMH_PTS,MATCH(J90,LMH_KEY,0)),0),IFERROR(INDEX(LMH_PTS,MATCH(K90,LMH_KEY,0)),0),IFERROR(INDEX(LMH_PTS,MATCH(L90,LMH_KEY,0)),0),IFERROR(INDEX(LMH_PTS,MATCH(M90,LMH_KEY,0)),0),IFERROR(INDEX(LMH_PTS,MATCH(N90,LMH_KEY,0)),0),IFERROR(INDEX(LMH_PTS,MATCH(O90,LMH_KEY,0)),0),IFERROR(INDEX(LMH_PTS,MATCH(P90,LMH_KEY,0)),0)),""))</f>
        <v/>
      </c>
      <c r="X90" s="44" t="n"/>
      <c r="Y90" s="38" t="inlineStr">
        <is>
          <t>CARBON|Sales|Senior Consultant – Enterprise Sales &amp; Account Management|X3|X</t>
        </is>
      </c>
    </row>
    <row r="91" ht="28" customHeight="1">
      <c r="A91" s="28" t="inlineStr">
        <is>
          <t>CARBON</t>
        </is>
      </c>
      <c r="B91" s="71" t="inlineStr">
        <is>
          <t>Services</t>
        </is>
      </c>
      <c r="C91" s="72" t="inlineStr">
        <is>
          <t>B3</t>
        </is>
      </c>
      <c r="D91" s="29" t="inlineStr">
        <is>
          <t>Band B · Specialist / Manager</t>
        </is>
      </c>
      <c r="E91" s="29" t="inlineStr">
        <is>
          <t>Associate Head – Assisted Services</t>
        </is>
      </c>
      <c r="F91" s="29" t="inlineStr">
        <is>
          <t>Band B · People Manager</t>
        </is>
      </c>
      <c r="G91" s="29" t="inlineStr">
        <is>
          <t>Executive Leadership</t>
        </is>
      </c>
      <c r="H91" s="29" t="n">
        <v>1</v>
      </c>
      <c r="I91" s="29" t="inlineStr">
        <is>
          <t>K Ashok Kumar</t>
        </is>
      </c>
      <c r="J91" s="34" t="str">
        <f>IFERROR(INDEX(RBD_C,MATCH("Executive Leadership|B3|B-M",RBD_KEY,0)),"M")</f>
        <v>H</v>
      </c>
      <c r="K91" s="35" t="str">
        <f>IFERROR(INDEX(RBD_Au,MATCH("Executive Leadership|B3|B-M",RBD_KEY,0)),"M")</f>
        <v>M</v>
      </c>
      <c r="L91" s="35" t="str">
        <f>IFERROR(INDEX(RBD_Ac,MATCH("Executive Leadership|B3|B-M",RBD_KEY,0)),"M")</f>
        <v>M</v>
      </c>
      <c r="M91" s="35" t="str">
        <f>IFERROR(INDEX(RBD_L,MATCH("Executive Leadership|B3|B-M",RBD_KEY,0)),"M")</f>
        <v>M</v>
      </c>
      <c r="N91" s="35" t="str">
        <f>IFERROR(INDEX(RBD_BI,MATCH("Executive Leadership|B3|B-M",RBD_KEY,0)),"M")</f>
        <v>L</v>
      </c>
      <c r="O91" s="35" t="str">
        <f>IFERROR(INDEX(RBD_Exp,MATCH("Executive Leadership|B3|B-M",RBD_KEY,0)),"M")</f>
        <v>L</v>
      </c>
      <c r="P91" s="35" t="str">
        <f>IFERROR(INDEX(RBD_Edu,MATCH("Executive Leadership|B3|B-M",RBD_KEY,0)),"M")</f>
        <v>L</v>
      </c>
      <c r="Q91" s="73">
        <f>IF(J91="","",IFERROR(INDEX(LMH_PTS,MATCH(J91,LMH_KEY,0))/SUM(IFERROR(INDEX(LMH_PTS,MATCH(J91,LMH_KEY,0)),0),IFERROR(INDEX(LMH_PTS,MATCH(K91,LMH_KEY,0)),0),IFERROR(INDEX(LMH_PTS,MATCH(L91,LMH_KEY,0)),0),IFERROR(INDEX(LMH_PTS,MATCH(M91,LMH_KEY,0)),0),IFERROR(INDEX(LMH_PTS,MATCH(N91,LMH_KEY,0)),0),IFERROR(INDEX(LMH_PTS,MATCH(O91,LMH_KEY,0)),0),IFERROR(INDEX(LMH_PTS,MATCH(P91,LMH_KEY,0)),0)),""))</f>
        <v>0.428571428571429</v>
      </c>
      <c r="R91" s="74">
        <f>IF(K91="","",IFERROR(INDEX(LMH_PTS,MATCH(K91,LMH_KEY,0))/SUM(IFERROR(INDEX(LMH_PTS,MATCH(J91,LMH_KEY,0)),0),IFERROR(INDEX(LMH_PTS,MATCH(K91,LMH_KEY,0)),0),IFERROR(INDEX(LMH_PTS,MATCH(L91,LMH_KEY,0)),0),IFERROR(INDEX(LMH_PTS,MATCH(M91,LMH_KEY,0)),0),IFERROR(INDEX(LMH_PTS,MATCH(N91,LMH_KEY,0)),0),IFERROR(INDEX(LMH_PTS,MATCH(O91,LMH_KEY,0)),0),IFERROR(INDEX(LMH_PTS,MATCH(P91,LMH_KEY,0)),0)),""))</f>
        <v>0.142857142857143</v>
      </c>
      <c r="S91" s="74">
        <f>IF(L91="","",IFERROR(INDEX(LMH_PTS,MATCH(L91,LMH_KEY,0))/SUM(IFERROR(INDEX(LMH_PTS,MATCH(J91,LMH_KEY,0)),0),IFERROR(INDEX(LMH_PTS,MATCH(K91,LMH_KEY,0)),0),IFERROR(INDEX(LMH_PTS,MATCH(L91,LMH_KEY,0)),0),IFERROR(INDEX(LMH_PTS,MATCH(M91,LMH_KEY,0)),0),IFERROR(INDEX(LMH_PTS,MATCH(N91,LMH_KEY,0)),0),IFERROR(INDEX(LMH_PTS,MATCH(O91,LMH_KEY,0)),0),IFERROR(INDEX(LMH_PTS,MATCH(P91,LMH_KEY,0)),0)),""))</f>
        <v>0.142857142857143</v>
      </c>
      <c r="T91" s="74">
        <f>IF(M91="","",IFERROR(INDEX(LMH_PTS,MATCH(M91,LMH_KEY,0))/SUM(IFERROR(INDEX(LMH_PTS,MATCH(J91,LMH_KEY,0)),0),IFERROR(INDEX(LMH_PTS,MATCH(K91,LMH_KEY,0)),0),IFERROR(INDEX(LMH_PTS,MATCH(L91,LMH_KEY,0)),0),IFERROR(INDEX(LMH_PTS,MATCH(M91,LMH_KEY,0)),0),IFERROR(INDEX(LMH_PTS,MATCH(N91,LMH_KEY,0)),0),IFERROR(INDEX(LMH_PTS,MATCH(O91,LMH_KEY,0)),0),IFERROR(INDEX(LMH_PTS,MATCH(P91,LMH_KEY,0)),0)),""))</f>
        <v>0.142857142857143</v>
      </c>
      <c r="U91" s="74">
        <f>IF(N91="","",IFERROR(INDEX(LMH_PTS,MATCH(N91,LMH_KEY,0))/SUM(IFERROR(INDEX(LMH_PTS,MATCH(J91,LMH_KEY,0)),0),IFERROR(INDEX(LMH_PTS,MATCH(K91,LMH_KEY,0)),0),IFERROR(INDEX(LMH_PTS,MATCH(L91,LMH_KEY,0)),0),IFERROR(INDEX(LMH_PTS,MATCH(M91,LMH_KEY,0)),0),IFERROR(INDEX(LMH_PTS,MATCH(N91,LMH_KEY,0)),0),IFERROR(INDEX(LMH_PTS,MATCH(O91,LMH_KEY,0)),0),IFERROR(INDEX(LMH_PTS,MATCH(P91,LMH_KEY,0)),0)),""))</f>
        <v>0.0476190476190476</v>
      </c>
      <c r="V91" s="74">
        <f>IF(O91="","",IFERROR(INDEX(LMH_PTS,MATCH(O91,LMH_KEY,0))/SUM(IFERROR(INDEX(LMH_PTS,MATCH(J91,LMH_KEY,0)),0),IFERROR(INDEX(LMH_PTS,MATCH(K91,LMH_KEY,0)),0),IFERROR(INDEX(LMH_PTS,MATCH(L91,LMH_KEY,0)),0),IFERROR(INDEX(LMH_PTS,MATCH(M91,LMH_KEY,0)),0),IFERROR(INDEX(LMH_PTS,MATCH(N91,LMH_KEY,0)),0),IFERROR(INDEX(LMH_PTS,MATCH(O91,LMH_KEY,0)),0),IFERROR(INDEX(LMH_PTS,MATCH(P91,LMH_KEY,0)),0)),""))</f>
        <v>0.0476190476190476</v>
      </c>
      <c r="W91" s="74">
        <f>IF(P91="","",IFERROR(INDEX(LMH_PTS,MATCH(P91,LMH_KEY,0))/SUM(IFERROR(INDEX(LMH_PTS,MATCH(J91,LMH_KEY,0)),0),IFERROR(INDEX(LMH_PTS,MATCH(K91,LMH_KEY,0)),0),IFERROR(INDEX(LMH_PTS,MATCH(L91,LMH_KEY,0)),0),IFERROR(INDEX(LMH_PTS,MATCH(M91,LMH_KEY,0)),0),IFERROR(INDEX(LMH_PTS,MATCH(N91,LMH_KEY,0)),0),IFERROR(INDEX(LMH_PTS,MATCH(O91,LMH_KEY,0)),0),IFERROR(INDEX(LMH_PTS,MATCH(P91,LMH_KEY,0)),0)),""))</f>
        <v>0.0476190476190476</v>
      </c>
      <c r="X91" s="44" t="n"/>
      <c r="Y91" s="38" t="inlineStr">
        <is>
          <t>CARBON|Services|Associate Head – Assisted Services|B3|B-M</t>
        </is>
      </c>
    </row>
    <row r="92" ht="28" customHeight="1">
      <c r="A92" s="28" t="inlineStr">
        <is>
          <t>CARBON</t>
        </is>
      </c>
      <c r="B92" s="29" t="inlineStr">
        <is>
          <t>Services</t>
        </is>
      </c>
      <c r="C92" s="72" t="inlineStr">
        <is>
          <t>B2</t>
        </is>
      </c>
      <c r="D92" s="29" t="inlineStr">
        <is>
          <t>Band B · Specialist / Manager</t>
        </is>
      </c>
      <c r="E92" s="29" t="inlineStr">
        <is>
          <t>Associate Head – XBRL Assisted Services</t>
        </is>
      </c>
      <c r="F92" s="29" t="inlineStr">
        <is>
          <t>Band B · People Manager</t>
        </is>
      </c>
      <c r="G92" s="29" t="inlineStr">
        <is>
          <t>Consulting &amp; Professional Services</t>
        </is>
      </c>
      <c r="H92" s="29" t="n">
        <v>1</v>
      </c>
      <c r="I92" s="29" t="inlineStr">
        <is>
          <t>Shashikant Mudaliar</t>
        </is>
      </c>
      <c r="J92" s="34" t="str">
        <f>IFERROR(INDEX(RBD_C,MATCH("Consulting &amp; Professional Services|B2|B-M",RBD_KEY,0)),"M")</f>
        <v>H</v>
      </c>
      <c r="K92" s="35" t="str">
        <f>IFERROR(INDEX(RBD_Au,MATCH("Consulting &amp; Professional Services|B2|B-M",RBD_KEY,0)),"M")</f>
        <v>M</v>
      </c>
      <c r="L92" s="35" t="str">
        <f>IFERROR(INDEX(RBD_Ac,MATCH("Consulting &amp; Professional Services|B2|B-M",RBD_KEY,0)),"M")</f>
        <v>M</v>
      </c>
      <c r="M92" s="35" t="str">
        <f>IFERROR(INDEX(RBD_L,MATCH("Consulting &amp; Professional Services|B2|B-M",RBD_KEY,0)),"M")</f>
        <v>M</v>
      </c>
      <c r="N92" s="35" t="str">
        <f>IFERROR(INDEX(RBD_BI,MATCH("Consulting &amp; Professional Services|B2|B-M",RBD_KEY,0)),"M")</f>
        <v>L</v>
      </c>
      <c r="O92" s="35" t="str">
        <f>IFERROR(INDEX(RBD_Exp,MATCH("Consulting &amp; Professional Services|B2|B-M",RBD_KEY,0)),"M")</f>
        <v>L</v>
      </c>
      <c r="P92" s="35" t="str">
        <f>IFERROR(INDEX(RBD_Edu,MATCH("Consulting &amp; Professional Services|B2|B-M",RBD_KEY,0)),"M")</f>
        <v>L</v>
      </c>
      <c r="Q92" s="73">
        <f>IF(J92="","",IFERROR(INDEX(LMH_PTS,MATCH(J92,LMH_KEY,0))/SUM(IFERROR(INDEX(LMH_PTS,MATCH(J92,LMH_KEY,0)),0),IFERROR(INDEX(LMH_PTS,MATCH(K92,LMH_KEY,0)),0),IFERROR(INDEX(LMH_PTS,MATCH(L92,LMH_KEY,0)),0),IFERROR(INDEX(LMH_PTS,MATCH(M92,LMH_KEY,0)),0),IFERROR(INDEX(LMH_PTS,MATCH(N92,LMH_KEY,0)),0),IFERROR(INDEX(LMH_PTS,MATCH(O92,LMH_KEY,0)),0),IFERROR(INDEX(LMH_PTS,MATCH(P92,LMH_KEY,0)),0)),""))</f>
        <v>0.428571428571429</v>
      </c>
      <c r="R92" s="74">
        <f>IF(K92="","",IFERROR(INDEX(LMH_PTS,MATCH(K92,LMH_KEY,0))/SUM(IFERROR(INDEX(LMH_PTS,MATCH(J92,LMH_KEY,0)),0),IFERROR(INDEX(LMH_PTS,MATCH(K92,LMH_KEY,0)),0),IFERROR(INDEX(LMH_PTS,MATCH(L92,LMH_KEY,0)),0),IFERROR(INDEX(LMH_PTS,MATCH(M92,LMH_KEY,0)),0),IFERROR(INDEX(LMH_PTS,MATCH(N92,LMH_KEY,0)),0),IFERROR(INDEX(LMH_PTS,MATCH(O92,LMH_KEY,0)),0),IFERROR(INDEX(LMH_PTS,MATCH(P92,LMH_KEY,0)),0)),""))</f>
        <v>0.142857142857143</v>
      </c>
      <c r="S92" s="74">
        <f>IF(L92="","",IFERROR(INDEX(LMH_PTS,MATCH(L92,LMH_KEY,0))/SUM(IFERROR(INDEX(LMH_PTS,MATCH(J92,LMH_KEY,0)),0),IFERROR(INDEX(LMH_PTS,MATCH(K92,LMH_KEY,0)),0),IFERROR(INDEX(LMH_PTS,MATCH(L92,LMH_KEY,0)),0),IFERROR(INDEX(LMH_PTS,MATCH(M92,LMH_KEY,0)),0),IFERROR(INDEX(LMH_PTS,MATCH(N92,LMH_KEY,0)),0),IFERROR(INDEX(LMH_PTS,MATCH(O92,LMH_KEY,0)),0),IFERROR(INDEX(LMH_PTS,MATCH(P92,LMH_KEY,0)),0)),""))</f>
        <v>0.142857142857143</v>
      </c>
      <c r="T92" s="74">
        <f>IF(M92="","",IFERROR(INDEX(LMH_PTS,MATCH(M92,LMH_KEY,0))/SUM(IFERROR(INDEX(LMH_PTS,MATCH(J92,LMH_KEY,0)),0),IFERROR(INDEX(LMH_PTS,MATCH(K92,LMH_KEY,0)),0),IFERROR(INDEX(LMH_PTS,MATCH(L92,LMH_KEY,0)),0),IFERROR(INDEX(LMH_PTS,MATCH(M92,LMH_KEY,0)),0),IFERROR(INDEX(LMH_PTS,MATCH(N92,LMH_KEY,0)),0),IFERROR(INDEX(LMH_PTS,MATCH(O92,LMH_KEY,0)),0),IFERROR(INDEX(LMH_PTS,MATCH(P92,LMH_KEY,0)),0)),""))</f>
        <v>0.142857142857143</v>
      </c>
      <c r="U92" s="74">
        <f>IF(N92="","",IFERROR(INDEX(LMH_PTS,MATCH(N92,LMH_KEY,0))/SUM(IFERROR(INDEX(LMH_PTS,MATCH(J92,LMH_KEY,0)),0),IFERROR(INDEX(LMH_PTS,MATCH(K92,LMH_KEY,0)),0),IFERROR(INDEX(LMH_PTS,MATCH(L92,LMH_KEY,0)),0),IFERROR(INDEX(LMH_PTS,MATCH(M92,LMH_KEY,0)),0),IFERROR(INDEX(LMH_PTS,MATCH(N92,LMH_KEY,0)),0),IFERROR(INDEX(LMH_PTS,MATCH(O92,LMH_KEY,0)),0),IFERROR(INDEX(LMH_PTS,MATCH(P92,LMH_KEY,0)),0)),""))</f>
        <v>0.0476190476190476</v>
      </c>
      <c r="V92" s="74">
        <f>IF(O92="","",IFERROR(INDEX(LMH_PTS,MATCH(O92,LMH_KEY,0))/SUM(IFERROR(INDEX(LMH_PTS,MATCH(J92,LMH_KEY,0)),0),IFERROR(INDEX(LMH_PTS,MATCH(K92,LMH_KEY,0)),0),IFERROR(INDEX(LMH_PTS,MATCH(L92,LMH_KEY,0)),0),IFERROR(INDEX(LMH_PTS,MATCH(M92,LMH_KEY,0)),0),IFERROR(INDEX(LMH_PTS,MATCH(N92,LMH_KEY,0)),0),IFERROR(INDEX(LMH_PTS,MATCH(O92,LMH_KEY,0)),0),IFERROR(INDEX(LMH_PTS,MATCH(P92,LMH_KEY,0)),0)),""))</f>
        <v>0.0476190476190476</v>
      </c>
      <c r="W92" s="74">
        <f>IF(P92="","",IFERROR(INDEX(LMH_PTS,MATCH(P92,LMH_KEY,0))/SUM(IFERROR(INDEX(LMH_PTS,MATCH(J92,LMH_KEY,0)),0),IFERROR(INDEX(LMH_PTS,MATCH(K92,LMH_KEY,0)),0),IFERROR(INDEX(LMH_PTS,MATCH(L92,LMH_KEY,0)),0),IFERROR(INDEX(LMH_PTS,MATCH(M92,LMH_KEY,0)),0),IFERROR(INDEX(LMH_PTS,MATCH(N92,LMH_KEY,0)),0),IFERROR(INDEX(LMH_PTS,MATCH(O92,LMH_KEY,0)),0),IFERROR(INDEX(LMH_PTS,MATCH(P92,LMH_KEY,0)),0)),""))</f>
        <v>0.0476190476190476</v>
      </c>
      <c r="X92" s="44" t="n"/>
      <c r="Y92" s="38" t="inlineStr">
        <is>
          <t>CARBON|Services|Associate Head – XBRL Assisted Services|B2|B-M</t>
        </is>
      </c>
    </row>
    <row r="93" ht="28" customHeight="1">
      <c r="A93" s="28" t="inlineStr">
        <is>
          <t>CARBON</t>
        </is>
      </c>
      <c r="B93" s="29" t="inlineStr">
        <is>
          <t>Services</t>
        </is>
      </c>
      <c r="C93" s="72" t="inlineStr">
        <is>
          <t>B2</t>
        </is>
      </c>
      <c r="D93" s="29" t="inlineStr">
        <is>
          <t>Band B · Specialist / Manager</t>
        </is>
      </c>
      <c r="E93" s="29" t="inlineStr">
        <is>
          <t>Senior Manager – Assisted Services</t>
        </is>
      </c>
      <c r="F93" s="29" t="inlineStr">
        <is>
          <t>Band B · People Manager</t>
        </is>
      </c>
      <c r="G93" s="29" t="inlineStr">
        <is>
          <t>Consulting &amp; Professional Services</t>
        </is>
      </c>
      <c r="H93" s="29" t="n">
        <v>1</v>
      </c>
      <c r="I93" s="29" t="inlineStr">
        <is>
          <t>Mayur Zope</t>
        </is>
      </c>
      <c r="J93" s="34" t="str">
        <f>IFERROR(INDEX(RBD_C,MATCH("Consulting &amp; Professional Services|B2|B-M",RBD_KEY,0)),"M")</f>
        <v>H</v>
      </c>
      <c r="K93" s="35" t="str">
        <f>IFERROR(INDEX(RBD_Au,MATCH("Consulting &amp; Professional Services|B2|B-M",RBD_KEY,0)),"M")</f>
        <v>M</v>
      </c>
      <c r="L93" s="35" t="str">
        <f>IFERROR(INDEX(RBD_Ac,MATCH("Consulting &amp; Professional Services|B2|B-M",RBD_KEY,0)),"M")</f>
        <v>M</v>
      </c>
      <c r="M93" s="35" t="str">
        <f>IFERROR(INDEX(RBD_L,MATCH("Consulting &amp; Professional Services|B2|B-M",RBD_KEY,0)),"M")</f>
        <v>M</v>
      </c>
      <c r="N93" s="35" t="str">
        <f>IFERROR(INDEX(RBD_BI,MATCH("Consulting &amp; Professional Services|B2|B-M",RBD_KEY,0)),"M")</f>
        <v>L</v>
      </c>
      <c r="O93" s="35" t="str">
        <f>IFERROR(INDEX(RBD_Exp,MATCH("Consulting &amp; Professional Services|B2|B-M",RBD_KEY,0)),"M")</f>
        <v>L</v>
      </c>
      <c r="P93" s="35" t="str">
        <f>IFERROR(INDEX(RBD_Edu,MATCH("Consulting &amp; Professional Services|B2|B-M",RBD_KEY,0)),"M")</f>
        <v>L</v>
      </c>
      <c r="Q93" s="73">
        <f>IF(J93="","",IFERROR(INDEX(LMH_PTS,MATCH(J93,LMH_KEY,0))/SUM(IFERROR(INDEX(LMH_PTS,MATCH(J93,LMH_KEY,0)),0),IFERROR(INDEX(LMH_PTS,MATCH(K93,LMH_KEY,0)),0),IFERROR(INDEX(LMH_PTS,MATCH(L93,LMH_KEY,0)),0),IFERROR(INDEX(LMH_PTS,MATCH(M93,LMH_KEY,0)),0),IFERROR(INDEX(LMH_PTS,MATCH(N93,LMH_KEY,0)),0),IFERROR(INDEX(LMH_PTS,MATCH(O93,LMH_KEY,0)),0),IFERROR(INDEX(LMH_PTS,MATCH(P93,LMH_KEY,0)),0)),""))</f>
        <v>0.428571428571429</v>
      </c>
      <c r="R93" s="74">
        <f>IF(K93="","",IFERROR(INDEX(LMH_PTS,MATCH(K93,LMH_KEY,0))/SUM(IFERROR(INDEX(LMH_PTS,MATCH(J93,LMH_KEY,0)),0),IFERROR(INDEX(LMH_PTS,MATCH(K93,LMH_KEY,0)),0),IFERROR(INDEX(LMH_PTS,MATCH(L93,LMH_KEY,0)),0),IFERROR(INDEX(LMH_PTS,MATCH(M93,LMH_KEY,0)),0),IFERROR(INDEX(LMH_PTS,MATCH(N93,LMH_KEY,0)),0),IFERROR(INDEX(LMH_PTS,MATCH(O93,LMH_KEY,0)),0),IFERROR(INDEX(LMH_PTS,MATCH(P93,LMH_KEY,0)),0)),""))</f>
        <v>0.142857142857143</v>
      </c>
      <c r="S93" s="74">
        <f>IF(L93="","",IFERROR(INDEX(LMH_PTS,MATCH(L93,LMH_KEY,0))/SUM(IFERROR(INDEX(LMH_PTS,MATCH(J93,LMH_KEY,0)),0),IFERROR(INDEX(LMH_PTS,MATCH(K93,LMH_KEY,0)),0),IFERROR(INDEX(LMH_PTS,MATCH(L93,LMH_KEY,0)),0),IFERROR(INDEX(LMH_PTS,MATCH(M93,LMH_KEY,0)),0),IFERROR(INDEX(LMH_PTS,MATCH(N93,LMH_KEY,0)),0),IFERROR(INDEX(LMH_PTS,MATCH(O93,LMH_KEY,0)),0),IFERROR(INDEX(LMH_PTS,MATCH(P93,LMH_KEY,0)),0)),""))</f>
        <v>0.142857142857143</v>
      </c>
      <c r="T93" s="74">
        <f>IF(M93="","",IFERROR(INDEX(LMH_PTS,MATCH(M93,LMH_KEY,0))/SUM(IFERROR(INDEX(LMH_PTS,MATCH(J93,LMH_KEY,0)),0),IFERROR(INDEX(LMH_PTS,MATCH(K93,LMH_KEY,0)),0),IFERROR(INDEX(LMH_PTS,MATCH(L93,LMH_KEY,0)),0),IFERROR(INDEX(LMH_PTS,MATCH(M93,LMH_KEY,0)),0),IFERROR(INDEX(LMH_PTS,MATCH(N93,LMH_KEY,0)),0),IFERROR(INDEX(LMH_PTS,MATCH(O93,LMH_KEY,0)),0),IFERROR(INDEX(LMH_PTS,MATCH(P93,LMH_KEY,0)),0)),""))</f>
        <v>0.142857142857143</v>
      </c>
      <c r="U93" s="74">
        <f>IF(N93="","",IFERROR(INDEX(LMH_PTS,MATCH(N93,LMH_KEY,0))/SUM(IFERROR(INDEX(LMH_PTS,MATCH(J93,LMH_KEY,0)),0),IFERROR(INDEX(LMH_PTS,MATCH(K93,LMH_KEY,0)),0),IFERROR(INDEX(LMH_PTS,MATCH(L93,LMH_KEY,0)),0),IFERROR(INDEX(LMH_PTS,MATCH(M93,LMH_KEY,0)),0),IFERROR(INDEX(LMH_PTS,MATCH(N93,LMH_KEY,0)),0),IFERROR(INDEX(LMH_PTS,MATCH(O93,LMH_KEY,0)),0),IFERROR(INDEX(LMH_PTS,MATCH(P93,LMH_KEY,0)),0)),""))</f>
        <v>0.0476190476190476</v>
      </c>
      <c r="V93" s="74">
        <f>IF(O93="","",IFERROR(INDEX(LMH_PTS,MATCH(O93,LMH_KEY,0))/SUM(IFERROR(INDEX(LMH_PTS,MATCH(J93,LMH_KEY,0)),0),IFERROR(INDEX(LMH_PTS,MATCH(K93,LMH_KEY,0)),0),IFERROR(INDEX(LMH_PTS,MATCH(L93,LMH_KEY,0)),0),IFERROR(INDEX(LMH_PTS,MATCH(M93,LMH_KEY,0)),0),IFERROR(INDEX(LMH_PTS,MATCH(N93,LMH_KEY,0)),0),IFERROR(INDEX(LMH_PTS,MATCH(O93,LMH_KEY,0)),0),IFERROR(INDEX(LMH_PTS,MATCH(P93,LMH_KEY,0)),0)),""))</f>
        <v>0.0476190476190476</v>
      </c>
      <c r="W93" s="74">
        <f>IF(P93="","",IFERROR(INDEX(LMH_PTS,MATCH(P93,LMH_KEY,0))/SUM(IFERROR(INDEX(LMH_PTS,MATCH(J93,LMH_KEY,0)),0),IFERROR(INDEX(LMH_PTS,MATCH(K93,LMH_KEY,0)),0),IFERROR(INDEX(LMH_PTS,MATCH(L93,LMH_KEY,0)),0),IFERROR(INDEX(LMH_PTS,MATCH(M93,LMH_KEY,0)),0),IFERROR(INDEX(LMH_PTS,MATCH(N93,LMH_KEY,0)),0),IFERROR(INDEX(LMH_PTS,MATCH(O93,LMH_KEY,0)),0),IFERROR(INDEX(LMH_PTS,MATCH(P93,LMH_KEY,0)),0)),""))</f>
        <v>0.0476190476190476</v>
      </c>
      <c r="X93" s="44" t="n"/>
      <c r="Y93" s="38" t="inlineStr">
        <is>
          <t>CARBON|Services|Senior Manager – Assisted Services|B2|B-M</t>
        </is>
      </c>
    </row>
    <row r="94" ht="28" customHeight="1">
      <c r="A94" s="28" t="inlineStr">
        <is>
          <t>CARBON</t>
        </is>
      </c>
      <c r="B94" s="29" t="inlineStr">
        <is>
          <t>Services</t>
        </is>
      </c>
      <c r="C94" s="72" t="inlineStr">
        <is>
          <t>B1</t>
        </is>
      </c>
      <c r="D94" s="29" t="inlineStr">
        <is>
          <t>Band B · Specialist / Manager</t>
        </is>
      </c>
      <c r="E94" s="29" t="inlineStr">
        <is>
          <t>Manager – Assisted Services</t>
        </is>
      </c>
      <c r="F94" s="29" t="inlineStr">
        <is>
          <t>Band B · People Manager</t>
        </is>
      </c>
      <c r="G94" s="29" t="inlineStr">
        <is>
          <t>Consulting &amp; Professional Services</t>
        </is>
      </c>
      <c r="H94" s="29" t="n">
        <v>3</v>
      </c>
      <c r="I94" s="29" t="inlineStr">
        <is>
          <t>Jinesh Kumar S, Mohammed Dholkawala, Priyanka Jadhav</t>
        </is>
      </c>
      <c r="J94" s="34" t="str">
        <f>IFERROR(INDEX(RBD_C,MATCH("Consulting &amp; Professional Services|B1|B-M",RBD_KEY,0)),"M")</f>
        <v>H</v>
      </c>
      <c r="K94" s="35" t="str">
        <f>IFERROR(INDEX(RBD_Au,MATCH("Consulting &amp; Professional Services|B1|B-M",RBD_KEY,0)),"M")</f>
        <v>M</v>
      </c>
      <c r="L94" s="35" t="str">
        <f>IFERROR(INDEX(RBD_Ac,MATCH("Consulting &amp; Professional Services|B1|B-M",RBD_KEY,0)),"M")</f>
        <v>M</v>
      </c>
      <c r="M94" s="35" t="str">
        <f>IFERROR(INDEX(RBD_L,MATCH("Consulting &amp; Professional Services|B1|B-M",RBD_KEY,0)),"M")</f>
        <v>M</v>
      </c>
      <c r="N94" s="35" t="str">
        <f>IFERROR(INDEX(RBD_BI,MATCH("Consulting &amp; Professional Services|B1|B-M",RBD_KEY,0)),"M")</f>
        <v>L</v>
      </c>
      <c r="O94" s="35" t="str">
        <f>IFERROR(INDEX(RBD_Exp,MATCH("Consulting &amp; Professional Services|B1|B-M",RBD_KEY,0)),"M")</f>
        <v>L</v>
      </c>
      <c r="P94" s="35" t="str">
        <f>IFERROR(INDEX(RBD_Edu,MATCH("Consulting &amp; Professional Services|B1|B-M",RBD_KEY,0)),"M")</f>
        <v>L</v>
      </c>
      <c r="Q94" s="73">
        <f>IF(J94="","",IFERROR(INDEX(LMH_PTS,MATCH(J94,LMH_KEY,0))/SUM(IFERROR(INDEX(LMH_PTS,MATCH(J94,LMH_KEY,0)),0),IFERROR(INDEX(LMH_PTS,MATCH(K94,LMH_KEY,0)),0),IFERROR(INDEX(LMH_PTS,MATCH(L94,LMH_KEY,0)),0),IFERROR(INDEX(LMH_PTS,MATCH(M94,LMH_KEY,0)),0),IFERROR(INDEX(LMH_PTS,MATCH(N94,LMH_KEY,0)),0),IFERROR(INDEX(LMH_PTS,MATCH(O94,LMH_KEY,0)),0),IFERROR(INDEX(LMH_PTS,MATCH(P94,LMH_KEY,0)),0)),""))</f>
        <v>0.428571428571429</v>
      </c>
      <c r="R94" s="74">
        <f>IF(K94="","",IFERROR(INDEX(LMH_PTS,MATCH(K94,LMH_KEY,0))/SUM(IFERROR(INDEX(LMH_PTS,MATCH(J94,LMH_KEY,0)),0),IFERROR(INDEX(LMH_PTS,MATCH(K94,LMH_KEY,0)),0),IFERROR(INDEX(LMH_PTS,MATCH(L94,LMH_KEY,0)),0),IFERROR(INDEX(LMH_PTS,MATCH(M94,LMH_KEY,0)),0),IFERROR(INDEX(LMH_PTS,MATCH(N94,LMH_KEY,0)),0),IFERROR(INDEX(LMH_PTS,MATCH(O94,LMH_KEY,0)),0),IFERROR(INDEX(LMH_PTS,MATCH(P94,LMH_KEY,0)),0)),""))</f>
        <v>0.142857142857143</v>
      </c>
      <c r="S94" s="74">
        <f>IF(L94="","",IFERROR(INDEX(LMH_PTS,MATCH(L94,LMH_KEY,0))/SUM(IFERROR(INDEX(LMH_PTS,MATCH(J94,LMH_KEY,0)),0),IFERROR(INDEX(LMH_PTS,MATCH(K94,LMH_KEY,0)),0),IFERROR(INDEX(LMH_PTS,MATCH(L94,LMH_KEY,0)),0),IFERROR(INDEX(LMH_PTS,MATCH(M94,LMH_KEY,0)),0),IFERROR(INDEX(LMH_PTS,MATCH(N94,LMH_KEY,0)),0),IFERROR(INDEX(LMH_PTS,MATCH(O94,LMH_KEY,0)),0),IFERROR(INDEX(LMH_PTS,MATCH(P94,LMH_KEY,0)),0)),""))</f>
        <v>0.142857142857143</v>
      </c>
      <c r="T94" s="74">
        <f>IF(M94="","",IFERROR(INDEX(LMH_PTS,MATCH(M94,LMH_KEY,0))/SUM(IFERROR(INDEX(LMH_PTS,MATCH(J94,LMH_KEY,0)),0),IFERROR(INDEX(LMH_PTS,MATCH(K94,LMH_KEY,0)),0),IFERROR(INDEX(LMH_PTS,MATCH(L94,LMH_KEY,0)),0),IFERROR(INDEX(LMH_PTS,MATCH(M94,LMH_KEY,0)),0),IFERROR(INDEX(LMH_PTS,MATCH(N94,LMH_KEY,0)),0),IFERROR(INDEX(LMH_PTS,MATCH(O94,LMH_KEY,0)),0),IFERROR(INDEX(LMH_PTS,MATCH(P94,LMH_KEY,0)),0)),""))</f>
        <v>0.142857142857143</v>
      </c>
      <c r="U94" s="74">
        <f>IF(N94="","",IFERROR(INDEX(LMH_PTS,MATCH(N94,LMH_KEY,0))/SUM(IFERROR(INDEX(LMH_PTS,MATCH(J94,LMH_KEY,0)),0),IFERROR(INDEX(LMH_PTS,MATCH(K94,LMH_KEY,0)),0),IFERROR(INDEX(LMH_PTS,MATCH(L94,LMH_KEY,0)),0),IFERROR(INDEX(LMH_PTS,MATCH(M94,LMH_KEY,0)),0),IFERROR(INDEX(LMH_PTS,MATCH(N94,LMH_KEY,0)),0),IFERROR(INDEX(LMH_PTS,MATCH(O94,LMH_KEY,0)),0),IFERROR(INDEX(LMH_PTS,MATCH(P94,LMH_KEY,0)),0)),""))</f>
        <v>0.0476190476190476</v>
      </c>
      <c r="V94" s="74">
        <f>IF(O94="","",IFERROR(INDEX(LMH_PTS,MATCH(O94,LMH_KEY,0))/SUM(IFERROR(INDEX(LMH_PTS,MATCH(J94,LMH_KEY,0)),0),IFERROR(INDEX(LMH_PTS,MATCH(K94,LMH_KEY,0)),0),IFERROR(INDEX(LMH_PTS,MATCH(L94,LMH_KEY,0)),0),IFERROR(INDEX(LMH_PTS,MATCH(M94,LMH_KEY,0)),0),IFERROR(INDEX(LMH_PTS,MATCH(N94,LMH_KEY,0)),0),IFERROR(INDEX(LMH_PTS,MATCH(O94,LMH_KEY,0)),0),IFERROR(INDEX(LMH_PTS,MATCH(P94,LMH_KEY,0)),0)),""))</f>
        <v>0.0476190476190476</v>
      </c>
      <c r="W94" s="74">
        <f>IF(P94="","",IFERROR(INDEX(LMH_PTS,MATCH(P94,LMH_KEY,0))/SUM(IFERROR(INDEX(LMH_PTS,MATCH(J94,LMH_KEY,0)),0),IFERROR(INDEX(LMH_PTS,MATCH(K94,LMH_KEY,0)),0),IFERROR(INDEX(LMH_PTS,MATCH(L94,LMH_KEY,0)),0),IFERROR(INDEX(LMH_PTS,MATCH(M94,LMH_KEY,0)),0),IFERROR(INDEX(LMH_PTS,MATCH(N94,LMH_KEY,0)),0),IFERROR(INDEX(LMH_PTS,MATCH(O94,LMH_KEY,0)),0),IFERROR(INDEX(LMH_PTS,MATCH(P94,LMH_KEY,0)),0)),""))</f>
        <v>0.0476190476190476</v>
      </c>
      <c r="X94" s="44" t="n"/>
      <c r="Y94" s="38" t="inlineStr">
        <is>
          <t>CARBON|Services|Manager – Assisted Services|B1|B-M</t>
        </is>
      </c>
    </row>
    <row r="95" ht="18" customHeight="1">
      <c r="A95" s="28" t="inlineStr">
        <is>
          <t>CARBON</t>
        </is>
      </c>
      <c r="B95" s="29" t="inlineStr">
        <is>
          <t>Services</t>
        </is>
      </c>
      <c r="C95" s="72" t="inlineStr">
        <is>
          <t>B1</t>
        </is>
      </c>
      <c r="D95" s="29" t="inlineStr">
        <is>
          <t>Band B · Specialist / Manager</t>
        </is>
      </c>
      <c r="E95" s="29" t="inlineStr">
        <is>
          <t>PMO Manager</t>
        </is>
      </c>
      <c r="F95" s="29" t="inlineStr">
        <is>
          <t>Band B · People Manager</t>
        </is>
      </c>
      <c r="G95" s="29" t="inlineStr">
        <is>
          <t>Project &amp; Program Management</t>
        </is>
      </c>
      <c r="H95" s="29" t="n">
        <v>1</v>
      </c>
      <c r="I95" s="29" t="inlineStr">
        <is>
          <t>Priyanka Mehra</t>
        </is>
      </c>
      <c r="J95" s="34" t="str">
        <f>IFERROR(INDEX(RBD_C,MATCH("Project &amp; Program Management|B1|B-M",RBD_KEY,0)),"M")</f>
        <v>H</v>
      </c>
      <c r="K95" s="35" t="str">
        <f>IFERROR(INDEX(RBD_Au,MATCH("Project &amp; Program Management|B1|B-M",RBD_KEY,0)),"M")</f>
        <v>M</v>
      </c>
      <c r="L95" s="35" t="str">
        <f>IFERROR(INDEX(RBD_Ac,MATCH("Project &amp; Program Management|B1|B-M",RBD_KEY,0)),"M")</f>
        <v>L</v>
      </c>
      <c r="M95" s="35" t="str">
        <f>IFERROR(INDEX(RBD_L,MATCH("Project &amp; Program Management|B1|B-M",RBD_KEY,0)),"M")</f>
        <v>M</v>
      </c>
      <c r="N95" s="35" t="str">
        <f>IFERROR(INDEX(RBD_BI,MATCH("Project &amp; Program Management|B1|B-M",RBD_KEY,0)),"M")</f>
        <v>L</v>
      </c>
      <c r="O95" s="35" t="str">
        <f>IFERROR(INDEX(RBD_Exp,MATCH("Project &amp; Program Management|B1|B-M",RBD_KEY,0)),"M")</f>
        <v>L</v>
      </c>
      <c r="P95" s="35" t="str">
        <f>IFERROR(INDEX(RBD_Edu,MATCH("Project &amp; Program Management|B1|B-M",RBD_KEY,0)),"M")</f>
        <v>L</v>
      </c>
      <c r="Q95" s="73">
        <f>IF(J95="","",IFERROR(INDEX(LMH_PTS,MATCH(J95,LMH_KEY,0))/SUM(IFERROR(INDEX(LMH_PTS,MATCH(J95,LMH_KEY,0)),0),IFERROR(INDEX(LMH_PTS,MATCH(K95,LMH_KEY,0)),0),IFERROR(INDEX(LMH_PTS,MATCH(L95,LMH_KEY,0)),0),IFERROR(INDEX(LMH_PTS,MATCH(M95,LMH_KEY,0)),0),IFERROR(INDEX(LMH_PTS,MATCH(N95,LMH_KEY,0)),0),IFERROR(INDEX(LMH_PTS,MATCH(O95,LMH_KEY,0)),0),IFERROR(INDEX(LMH_PTS,MATCH(P95,LMH_KEY,0)),0)),""))</f>
        <v>0.473684210526316</v>
      </c>
      <c r="R95" s="74">
        <f>IF(K95="","",IFERROR(INDEX(LMH_PTS,MATCH(K95,LMH_KEY,0))/SUM(IFERROR(INDEX(LMH_PTS,MATCH(J95,LMH_KEY,0)),0),IFERROR(INDEX(LMH_PTS,MATCH(K95,LMH_KEY,0)),0),IFERROR(INDEX(LMH_PTS,MATCH(L95,LMH_KEY,0)),0),IFERROR(INDEX(LMH_PTS,MATCH(M95,LMH_KEY,0)),0),IFERROR(INDEX(LMH_PTS,MATCH(N95,LMH_KEY,0)),0),IFERROR(INDEX(LMH_PTS,MATCH(O95,LMH_KEY,0)),0),IFERROR(INDEX(LMH_PTS,MATCH(P95,LMH_KEY,0)),0)),""))</f>
        <v>0.157894736842105</v>
      </c>
      <c r="S95" s="74">
        <f>IF(L95="","",IFERROR(INDEX(LMH_PTS,MATCH(L95,LMH_KEY,0))/SUM(IFERROR(INDEX(LMH_PTS,MATCH(J95,LMH_KEY,0)),0),IFERROR(INDEX(LMH_PTS,MATCH(K95,LMH_KEY,0)),0),IFERROR(INDEX(LMH_PTS,MATCH(L95,LMH_KEY,0)),0),IFERROR(INDEX(LMH_PTS,MATCH(M95,LMH_KEY,0)),0),IFERROR(INDEX(LMH_PTS,MATCH(N95,LMH_KEY,0)),0),IFERROR(INDEX(LMH_PTS,MATCH(O95,LMH_KEY,0)),0),IFERROR(INDEX(LMH_PTS,MATCH(P95,LMH_KEY,0)),0)),""))</f>
        <v>0.0526315789473684</v>
      </c>
      <c r="T95" s="74">
        <f>IF(M95="","",IFERROR(INDEX(LMH_PTS,MATCH(M95,LMH_KEY,0))/SUM(IFERROR(INDEX(LMH_PTS,MATCH(J95,LMH_KEY,0)),0),IFERROR(INDEX(LMH_PTS,MATCH(K95,LMH_KEY,0)),0),IFERROR(INDEX(LMH_PTS,MATCH(L95,LMH_KEY,0)),0),IFERROR(INDEX(LMH_PTS,MATCH(M95,LMH_KEY,0)),0),IFERROR(INDEX(LMH_PTS,MATCH(N95,LMH_KEY,0)),0),IFERROR(INDEX(LMH_PTS,MATCH(O95,LMH_KEY,0)),0),IFERROR(INDEX(LMH_PTS,MATCH(P95,LMH_KEY,0)),0)),""))</f>
        <v>0.157894736842105</v>
      </c>
      <c r="U95" s="74">
        <f>IF(N95="","",IFERROR(INDEX(LMH_PTS,MATCH(N95,LMH_KEY,0))/SUM(IFERROR(INDEX(LMH_PTS,MATCH(J95,LMH_KEY,0)),0),IFERROR(INDEX(LMH_PTS,MATCH(K95,LMH_KEY,0)),0),IFERROR(INDEX(LMH_PTS,MATCH(L95,LMH_KEY,0)),0),IFERROR(INDEX(LMH_PTS,MATCH(M95,LMH_KEY,0)),0),IFERROR(INDEX(LMH_PTS,MATCH(N95,LMH_KEY,0)),0),IFERROR(INDEX(LMH_PTS,MATCH(O95,LMH_KEY,0)),0),IFERROR(INDEX(LMH_PTS,MATCH(P95,LMH_KEY,0)),0)),""))</f>
        <v>0.0526315789473684</v>
      </c>
      <c r="V95" s="74">
        <f>IF(O95="","",IFERROR(INDEX(LMH_PTS,MATCH(O95,LMH_KEY,0))/SUM(IFERROR(INDEX(LMH_PTS,MATCH(J95,LMH_KEY,0)),0),IFERROR(INDEX(LMH_PTS,MATCH(K95,LMH_KEY,0)),0),IFERROR(INDEX(LMH_PTS,MATCH(L95,LMH_KEY,0)),0),IFERROR(INDEX(LMH_PTS,MATCH(M95,LMH_KEY,0)),0),IFERROR(INDEX(LMH_PTS,MATCH(N95,LMH_KEY,0)),0),IFERROR(INDEX(LMH_PTS,MATCH(O95,LMH_KEY,0)),0),IFERROR(INDEX(LMH_PTS,MATCH(P95,LMH_KEY,0)),0)),""))</f>
        <v>0.0526315789473684</v>
      </c>
      <c r="W95" s="74">
        <f>IF(P95="","",IFERROR(INDEX(LMH_PTS,MATCH(P95,LMH_KEY,0))/SUM(IFERROR(INDEX(LMH_PTS,MATCH(J95,LMH_KEY,0)),0),IFERROR(INDEX(LMH_PTS,MATCH(K95,LMH_KEY,0)),0),IFERROR(INDEX(LMH_PTS,MATCH(L95,LMH_KEY,0)),0),IFERROR(INDEX(LMH_PTS,MATCH(M95,LMH_KEY,0)),0),IFERROR(INDEX(LMH_PTS,MATCH(N95,LMH_KEY,0)),0),IFERROR(INDEX(LMH_PTS,MATCH(O95,LMH_KEY,0)),0),IFERROR(INDEX(LMH_PTS,MATCH(P95,LMH_KEY,0)),0)),""))</f>
        <v>0.0526315789473684</v>
      </c>
      <c r="X95" s="44" t="n"/>
      <c r="Y95" s="38" t="inlineStr">
        <is>
          <t>CARBON|Services|PMO Manager|B1|B-M</t>
        </is>
      </c>
    </row>
    <row r="96" ht="28" customHeight="1">
      <c r="A96" s="28" t="inlineStr">
        <is>
          <t>CARBON</t>
        </is>
      </c>
      <c r="B96" s="29" t="inlineStr">
        <is>
          <t>Services</t>
        </is>
      </c>
      <c r="C96" s="72" t="inlineStr">
        <is>
          <t>B1</t>
        </is>
      </c>
      <c r="D96" s="29" t="inlineStr">
        <is>
          <t>Band B · Specialist / Manager</t>
        </is>
      </c>
      <c r="E96" s="29" t="inlineStr">
        <is>
          <t>Senior Manager – Service Delivery</t>
        </is>
      </c>
      <c r="F96" s="29" t="inlineStr">
        <is>
          <t>Band B · People Manager</t>
        </is>
      </c>
      <c r="G96" s="29" t="inlineStr">
        <is>
          <t>Consulting &amp; Professional Services</t>
        </is>
      </c>
      <c r="H96" s="29" t="n">
        <v>1</v>
      </c>
      <c r="I96" s="29" t="inlineStr">
        <is>
          <t>Shailesh Kumar Sharma</t>
        </is>
      </c>
      <c r="J96" s="34" t="str">
        <f>IFERROR(INDEX(RBD_C,MATCH("Consulting &amp; Professional Services|B1|B-M",RBD_KEY,0)),"M")</f>
        <v>H</v>
      </c>
      <c r="K96" s="35" t="str">
        <f>IFERROR(INDEX(RBD_Au,MATCH("Consulting &amp; Professional Services|B1|B-M",RBD_KEY,0)),"M")</f>
        <v>M</v>
      </c>
      <c r="L96" s="35" t="str">
        <f>IFERROR(INDEX(RBD_Ac,MATCH("Consulting &amp; Professional Services|B1|B-M",RBD_KEY,0)),"M")</f>
        <v>M</v>
      </c>
      <c r="M96" s="35" t="str">
        <f>IFERROR(INDEX(RBD_L,MATCH("Consulting &amp; Professional Services|B1|B-M",RBD_KEY,0)),"M")</f>
        <v>M</v>
      </c>
      <c r="N96" s="35" t="str">
        <f>IFERROR(INDEX(RBD_BI,MATCH("Consulting &amp; Professional Services|B1|B-M",RBD_KEY,0)),"M")</f>
        <v>L</v>
      </c>
      <c r="O96" s="35" t="str">
        <f>IFERROR(INDEX(RBD_Exp,MATCH("Consulting &amp; Professional Services|B1|B-M",RBD_KEY,0)),"M")</f>
        <v>L</v>
      </c>
      <c r="P96" s="35" t="str">
        <f>IFERROR(INDEX(RBD_Edu,MATCH("Consulting &amp; Professional Services|B1|B-M",RBD_KEY,0)),"M")</f>
        <v>L</v>
      </c>
      <c r="Q96" s="73">
        <f>IF(J96="","",IFERROR(INDEX(LMH_PTS,MATCH(J96,LMH_KEY,0))/SUM(IFERROR(INDEX(LMH_PTS,MATCH(J96,LMH_KEY,0)),0),IFERROR(INDEX(LMH_PTS,MATCH(K96,LMH_KEY,0)),0),IFERROR(INDEX(LMH_PTS,MATCH(L96,LMH_KEY,0)),0),IFERROR(INDEX(LMH_PTS,MATCH(M96,LMH_KEY,0)),0),IFERROR(INDEX(LMH_PTS,MATCH(N96,LMH_KEY,0)),0),IFERROR(INDEX(LMH_PTS,MATCH(O96,LMH_KEY,0)),0),IFERROR(INDEX(LMH_PTS,MATCH(P96,LMH_KEY,0)),0)),""))</f>
        <v>0.428571428571429</v>
      </c>
      <c r="R96" s="74">
        <f>IF(K96="","",IFERROR(INDEX(LMH_PTS,MATCH(K96,LMH_KEY,0))/SUM(IFERROR(INDEX(LMH_PTS,MATCH(J96,LMH_KEY,0)),0),IFERROR(INDEX(LMH_PTS,MATCH(K96,LMH_KEY,0)),0),IFERROR(INDEX(LMH_PTS,MATCH(L96,LMH_KEY,0)),0),IFERROR(INDEX(LMH_PTS,MATCH(M96,LMH_KEY,0)),0),IFERROR(INDEX(LMH_PTS,MATCH(N96,LMH_KEY,0)),0),IFERROR(INDEX(LMH_PTS,MATCH(O96,LMH_KEY,0)),0),IFERROR(INDEX(LMH_PTS,MATCH(P96,LMH_KEY,0)),0)),""))</f>
        <v>0.142857142857143</v>
      </c>
      <c r="S96" s="74">
        <f>IF(L96="","",IFERROR(INDEX(LMH_PTS,MATCH(L96,LMH_KEY,0))/SUM(IFERROR(INDEX(LMH_PTS,MATCH(J96,LMH_KEY,0)),0),IFERROR(INDEX(LMH_PTS,MATCH(K96,LMH_KEY,0)),0),IFERROR(INDEX(LMH_PTS,MATCH(L96,LMH_KEY,0)),0),IFERROR(INDEX(LMH_PTS,MATCH(M96,LMH_KEY,0)),0),IFERROR(INDEX(LMH_PTS,MATCH(N96,LMH_KEY,0)),0),IFERROR(INDEX(LMH_PTS,MATCH(O96,LMH_KEY,0)),0),IFERROR(INDEX(LMH_PTS,MATCH(P96,LMH_KEY,0)),0)),""))</f>
        <v>0.142857142857143</v>
      </c>
      <c r="T96" s="74">
        <f>IF(M96="","",IFERROR(INDEX(LMH_PTS,MATCH(M96,LMH_KEY,0))/SUM(IFERROR(INDEX(LMH_PTS,MATCH(J96,LMH_KEY,0)),0),IFERROR(INDEX(LMH_PTS,MATCH(K96,LMH_KEY,0)),0),IFERROR(INDEX(LMH_PTS,MATCH(L96,LMH_KEY,0)),0),IFERROR(INDEX(LMH_PTS,MATCH(M96,LMH_KEY,0)),0),IFERROR(INDEX(LMH_PTS,MATCH(N96,LMH_KEY,0)),0),IFERROR(INDEX(LMH_PTS,MATCH(O96,LMH_KEY,0)),0),IFERROR(INDEX(LMH_PTS,MATCH(P96,LMH_KEY,0)),0)),""))</f>
        <v>0.142857142857143</v>
      </c>
      <c r="U96" s="74">
        <f>IF(N96="","",IFERROR(INDEX(LMH_PTS,MATCH(N96,LMH_KEY,0))/SUM(IFERROR(INDEX(LMH_PTS,MATCH(J96,LMH_KEY,0)),0),IFERROR(INDEX(LMH_PTS,MATCH(K96,LMH_KEY,0)),0),IFERROR(INDEX(LMH_PTS,MATCH(L96,LMH_KEY,0)),0),IFERROR(INDEX(LMH_PTS,MATCH(M96,LMH_KEY,0)),0),IFERROR(INDEX(LMH_PTS,MATCH(N96,LMH_KEY,0)),0),IFERROR(INDEX(LMH_PTS,MATCH(O96,LMH_KEY,0)),0),IFERROR(INDEX(LMH_PTS,MATCH(P96,LMH_KEY,0)),0)),""))</f>
        <v>0.0476190476190476</v>
      </c>
      <c r="V96" s="74">
        <f>IF(O96="","",IFERROR(INDEX(LMH_PTS,MATCH(O96,LMH_KEY,0))/SUM(IFERROR(INDEX(LMH_PTS,MATCH(J96,LMH_KEY,0)),0),IFERROR(INDEX(LMH_PTS,MATCH(K96,LMH_KEY,0)),0),IFERROR(INDEX(LMH_PTS,MATCH(L96,LMH_KEY,0)),0),IFERROR(INDEX(LMH_PTS,MATCH(M96,LMH_KEY,0)),0),IFERROR(INDEX(LMH_PTS,MATCH(N96,LMH_KEY,0)),0),IFERROR(INDEX(LMH_PTS,MATCH(O96,LMH_KEY,0)),0),IFERROR(INDEX(LMH_PTS,MATCH(P96,LMH_KEY,0)),0)),""))</f>
        <v>0.0476190476190476</v>
      </c>
      <c r="W96" s="74">
        <f>IF(P96="","",IFERROR(INDEX(LMH_PTS,MATCH(P96,LMH_KEY,0))/SUM(IFERROR(INDEX(LMH_PTS,MATCH(J96,LMH_KEY,0)),0),IFERROR(INDEX(LMH_PTS,MATCH(K96,LMH_KEY,0)),0),IFERROR(INDEX(LMH_PTS,MATCH(L96,LMH_KEY,0)),0),IFERROR(INDEX(LMH_PTS,MATCH(M96,LMH_KEY,0)),0),IFERROR(INDEX(LMH_PTS,MATCH(N96,LMH_KEY,0)),0),IFERROR(INDEX(LMH_PTS,MATCH(O96,LMH_KEY,0)),0),IFERROR(INDEX(LMH_PTS,MATCH(P96,LMH_KEY,0)),0)),""))</f>
        <v>0.0476190476190476</v>
      </c>
      <c r="X96" s="44" t="n"/>
      <c r="Y96" s="38" t="inlineStr">
        <is>
          <t>CARBON|Services|Senior Manager – Service Delivery|B1|B-M</t>
        </is>
      </c>
    </row>
    <row r="97" ht="28" customHeight="1">
      <c r="A97" s="28" t="inlineStr">
        <is>
          <t>CARBON</t>
        </is>
      </c>
      <c r="B97" s="29" t="inlineStr">
        <is>
          <t>Services</t>
        </is>
      </c>
      <c r="C97" s="72" t="inlineStr">
        <is>
          <t>B1</t>
        </is>
      </c>
      <c r="D97" s="29" t="inlineStr">
        <is>
          <t>Band B · Specialist / Manager</t>
        </is>
      </c>
      <c r="E97" s="29" t="inlineStr">
        <is>
          <t>Senior QA Specialist – POD Lead</t>
        </is>
      </c>
      <c r="F97" s="29" t="inlineStr">
        <is>
          <t>Band B · Specialist / POD Lead</t>
        </is>
      </c>
      <c r="G97" s="29" t="inlineStr">
        <is>
          <t>Quality Assurance</t>
        </is>
      </c>
      <c r="H97" s="29" t="n">
        <v>1</v>
      </c>
      <c r="I97" s="29" t="inlineStr">
        <is>
          <t>Mohammed Sameer Shamsudin</t>
        </is>
      </c>
      <c r="J97" s="34" t="str">
        <f>IFERROR(INDEX(RBD_C,MATCH("Quality Assurance|B1|B-IC",RBD_KEY,0)),"M")</f>
        <v>H</v>
      </c>
      <c r="K97" s="35" t="str">
        <f>IFERROR(INDEX(RBD_Au,MATCH("Quality Assurance|B1|B-IC",RBD_KEY,0)),"M")</f>
        <v>M</v>
      </c>
      <c r="L97" s="35" t="str">
        <f>IFERROR(INDEX(RBD_Ac,MATCH("Quality Assurance|B1|B-IC",RBD_KEY,0)),"M")</f>
        <v>L</v>
      </c>
      <c r="M97" s="35" t="str">
        <f>IFERROR(INDEX(RBD_L,MATCH("Quality Assurance|B1|B-IC",RBD_KEY,0)),"M")</f>
        <v>L</v>
      </c>
      <c r="N97" s="35" t="str">
        <f>IFERROR(INDEX(RBD_BI,MATCH("Quality Assurance|B1|B-IC",RBD_KEY,0)),"M")</f>
        <v>L</v>
      </c>
      <c r="O97" s="35" t="str">
        <f>IFERROR(INDEX(RBD_Exp,MATCH("Quality Assurance|B1|B-IC",RBD_KEY,0)),"M")</f>
        <v>L</v>
      </c>
      <c r="P97" s="35" t="str">
        <f>IFERROR(INDEX(RBD_Edu,MATCH("Quality Assurance|B1|B-IC",RBD_KEY,0)),"M")</f>
        <v>L</v>
      </c>
      <c r="Q97" s="73">
        <f>IF(J97="","",IFERROR(INDEX(LMH_PTS,MATCH(J97,LMH_KEY,0))/SUM(IFERROR(INDEX(LMH_PTS,MATCH(J97,LMH_KEY,0)),0),IFERROR(INDEX(LMH_PTS,MATCH(K97,LMH_KEY,0)),0),IFERROR(INDEX(LMH_PTS,MATCH(L97,LMH_KEY,0)),0),IFERROR(INDEX(LMH_PTS,MATCH(M97,LMH_KEY,0)),0),IFERROR(INDEX(LMH_PTS,MATCH(N97,LMH_KEY,0)),0),IFERROR(INDEX(LMH_PTS,MATCH(O97,LMH_KEY,0)),0),IFERROR(INDEX(LMH_PTS,MATCH(P97,LMH_KEY,0)),0)),""))</f>
        <v>0.529411764705882</v>
      </c>
      <c r="R97" s="74">
        <f>IF(K97="","",IFERROR(INDEX(LMH_PTS,MATCH(K97,LMH_KEY,0))/SUM(IFERROR(INDEX(LMH_PTS,MATCH(J97,LMH_KEY,0)),0),IFERROR(INDEX(LMH_PTS,MATCH(K97,LMH_KEY,0)),0),IFERROR(INDEX(LMH_PTS,MATCH(L97,LMH_KEY,0)),0),IFERROR(INDEX(LMH_PTS,MATCH(M97,LMH_KEY,0)),0),IFERROR(INDEX(LMH_PTS,MATCH(N97,LMH_KEY,0)),0),IFERROR(INDEX(LMH_PTS,MATCH(O97,LMH_KEY,0)),0),IFERROR(INDEX(LMH_PTS,MATCH(P97,LMH_KEY,0)),0)),""))</f>
        <v>0.176470588235294</v>
      </c>
      <c r="S97" s="74">
        <f>IF(L97="","",IFERROR(INDEX(LMH_PTS,MATCH(L97,LMH_KEY,0))/SUM(IFERROR(INDEX(LMH_PTS,MATCH(J97,LMH_KEY,0)),0),IFERROR(INDEX(LMH_PTS,MATCH(K97,LMH_KEY,0)),0),IFERROR(INDEX(LMH_PTS,MATCH(L97,LMH_KEY,0)),0),IFERROR(INDEX(LMH_PTS,MATCH(M97,LMH_KEY,0)),0),IFERROR(INDEX(LMH_PTS,MATCH(N97,LMH_KEY,0)),0),IFERROR(INDEX(LMH_PTS,MATCH(O97,LMH_KEY,0)),0),IFERROR(INDEX(LMH_PTS,MATCH(P97,LMH_KEY,0)),0)),""))</f>
        <v>0.0588235294117647</v>
      </c>
      <c r="T97" s="74">
        <f>IF(M97="","",IFERROR(INDEX(LMH_PTS,MATCH(M97,LMH_KEY,0))/SUM(IFERROR(INDEX(LMH_PTS,MATCH(J97,LMH_KEY,0)),0),IFERROR(INDEX(LMH_PTS,MATCH(K97,LMH_KEY,0)),0),IFERROR(INDEX(LMH_PTS,MATCH(L97,LMH_KEY,0)),0),IFERROR(INDEX(LMH_PTS,MATCH(M97,LMH_KEY,0)),0),IFERROR(INDEX(LMH_PTS,MATCH(N97,LMH_KEY,0)),0),IFERROR(INDEX(LMH_PTS,MATCH(O97,LMH_KEY,0)),0),IFERROR(INDEX(LMH_PTS,MATCH(P97,LMH_KEY,0)),0)),""))</f>
        <v>0.0588235294117647</v>
      </c>
      <c r="U97" s="74">
        <f>IF(N97="","",IFERROR(INDEX(LMH_PTS,MATCH(N97,LMH_KEY,0))/SUM(IFERROR(INDEX(LMH_PTS,MATCH(J97,LMH_KEY,0)),0),IFERROR(INDEX(LMH_PTS,MATCH(K97,LMH_KEY,0)),0),IFERROR(INDEX(LMH_PTS,MATCH(L97,LMH_KEY,0)),0),IFERROR(INDEX(LMH_PTS,MATCH(M97,LMH_KEY,0)),0),IFERROR(INDEX(LMH_PTS,MATCH(N97,LMH_KEY,0)),0),IFERROR(INDEX(LMH_PTS,MATCH(O97,LMH_KEY,0)),0),IFERROR(INDEX(LMH_PTS,MATCH(P97,LMH_KEY,0)),0)),""))</f>
        <v>0.0588235294117647</v>
      </c>
      <c r="V97" s="74">
        <f>IF(O97="","",IFERROR(INDEX(LMH_PTS,MATCH(O97,LMH_KEY,0))/SUM(IFERROR(INDEX(LMH_PTS,MATCH(J97,LMH_KEY,0)),0),IFERROR(INDEX(LMH_PTS,MATCH(K97,LMH_KEY,0)),0),IFERROR(INDEX(LMH_PTS,MATCH(L97,LMH_KEY,0)),0),IFERROR(INDEX(LMH_PTS,MATCH(M97,LMH_KEY,0)),0),IFERROR(INDEX(LMH_PTS,MATCH(N97,LMH_KEY,0)),0),IFERROR(INDEX(LMH_PTS,MATCH(O97,LMH_KEY,0)),0),IFERROR(INDEX(LMH_PTS,MATCH(P97,LMH_KEY,0)),0)),""))</f>
        <v>0.0588235294117647</v>
      </c>
      <c r="W97" s="74">
        <f>IF(P97="","",IFERROR(INDEX(LMH_PTS,MATCH(P97,LMH_KEY,0))/SUM(IFERROR(INDEX(LMH_PTS,MATCH(J97,LMH_KEY,0)),0),IFERROR(INDEX(LMH_PTS,MATCH(K97,LMH_KEY,0)),0),IFERROR(INDEX(LMH_PTS,MATCH(L97,LMH_KEY,0)),0),IFERROR(INDEX(LMH_PTS,MATCH(M97,LMH_KEY,0)),0),IFERROR(INDEX(LMH_PTS,MATCH(N97,LMH_KEY,0)),0),IFERROR(INDEX(LMH_PTS,MATCH(O97,LMH_KEY,0)),0),IFERROR(INDEX(LMH_PTS,MATCH(P97,LMH_KEY,0)),0)),""))</f>
        <v>0.0588235294117647</v>
      </c>
      <c r="X97" s="44" t="n"/>
      <c r="Y97" s="38" t="inlineStr">
        <is>
          <t>CARBON|Services|Senior QA Specialist – POD Lead|B1|B-IC</t>
        </is>
      </c>
    </row>
    <row r="98" ht="28" customHeight="1">
      <c r="A98" s="28" t="inlineStr">
        <is>
          <t>CARBON</t>
        </is>
      </c>
      <c r="B98" s="29" t="inlineStr">
        <is>
          <t>Services</t>
        </is>
      </c>
      <c r="C98" s="72" t="inlineStr">
        <is>
          <t>B1</t>
        </is>
      </c>
      <c r="D98" s="29" t="inlineStr">
        <is>
          <t>Band B · Specialist / Manager</t>
        </is>
      </c>
      <c r="E98" s="29" t="inlineStr">
        <is>
          <t>Team Lead – Assisted Services</t>
        </is>
      </c>
      <c r="F98" s="29" t="inlineStr">
        <is>
          <t>Band B · People Manager</t>
        </is>
      </c>
      <c r="G98" s="29" t="inlineStr">
        <is>
          <t>Consulting &amp; Professional Services</t>
        </is>
      </c>
      <c r="H98" s="29" t="n">
        <v>1</v>
      </c>
      <c r="I98" s="29" t="inlineStr">
        <is>
          <t>Lalita Waghmare</t>
        </is>
      </c>
      <c r="J98" s="34" t="str">
        <f>IFERROR(INDEX(RBD_C,MATCH("Consulting &amp; Professional Services|B1|B-M",RBD_KEY,0)),"M")</f>
        <v>H</v>
      </c>
      <c r="K98" s="35" t="str">
        <f>IFERROR(INDEX(RBD_Au,MATCH("Consulting &amp; Professional Services|B1|B-M",RBD_KEY,0)),"M")</f>
        <v>M</v>
      </c>
      <c r="L98" s="35" t="str">
        <f>IFERROR(INDEX(RBD_Ac,MATCH("Consulting &amp; Professional Services|B1|B-M",RBD_KEY,0)),"M")</f>
        <v>M</v>
      </c>
      <c r="M98" s="35" t="str">
        <f>IFERROR(INDEX(RBD_L,MATCH("Consulting &amp; Professional Services|B1|B-M",RBD_KEY,0)),"M")</f>
        <v>M</v>
      </c>
      <c r="N98" s="35" t="str">
        <f>IFERROR(INDEX(RBD_BI,MATCH("Consulting &amp; Professional Services|B1|B-M",RBD_KEY,0)),"M")</f>
        <v>L</v>
      </c>
      <c r="O98" s="35" t="str">
        <f>IFERROR(INDEX(RBD_Exp,MATCH("Consulting &amp; Professional Services|B1|B-M",RBD_KEY,0)),"M")</f>
        <v>L</v>
      </c>
      <c r="P98" s="35" t="str">
        <f>IFERROR(INDEX(RBD_Edu,MATCH("Consulting &amp; Professional Services|B1|B-M",RBD_KEY,0)),"M")</f>
        <v>L</v>
      </c>
      <c r="Q98" s="73">
        <f>IF(J98="","",IFERROR(INDEX(LMH_PTS,MATCH(J98,LMH_KEY,0))/SUM(IFERROR(INDEX(LMH_PTS,MATCH(J98,LMH_KEY,0)),0),IFERROR(INDEX(LMH_PTS,MATCH(K98,LMH_KEY,0)),0),IFERROR(INDEX(LMH_PTS,MATCH(L98,LMH_KEY,0)),0),IFERROR(INDEX(LMH_PTS,MATCH(M98,LMH_KEY,0)),0),IFERROR(INDEX(LMH_PTS,MATCH(N98,LMH_KEY,0)),0),IFERROR(INDEX(LMH_PTS,MATCH(O98,LMH_KEY,0)),0),IFERROR(INDEX(LMH_PTS,MATCH(P98,LMH_KEY,0)),0)),""))</f>
        <v>0.428571428571429</v>
      </c>
      <c r="R98" s="74">
        <f>IF(K98="","",IFERROR(INDEX(LMH_PTS,MATCH(K98,LMH_KEY,0))/SUM(IFERROR(INDEX(LMH_PTS,MATCH(J98,LMH_KEY,0)),0),IFERROR(INDEX(LMH_PTS,MATCH(K98,LMH_KEY,0)),0),IFERROR(INDEX(LMH_PTS,MATCH(L98,LMH_KEY,0)),0),IFERROR(INDEX(LMH_PTS,MATCH(M98,LMH_KEY,0)),0),IFERROR(INDEX(LMH_PTS,MATCH(N98,LMH_KEY,0)),0),IFERROR(INDEX(LMH_PTS,MATCH(O98,LMH_KEY,0)),0),IFERROR(INDEX(LMH_PTS,MATCH(P98,LMH_KEY,0)),0)),""))</f>
        <v>0.142857142857143</v>
      </c>
      <c r="S98" s="74">
        <f>IF(L98="","",IFERROR(INDEX(LMH_PTS,MATCH(L98,LMH_KEY,0))/SUM(IFERROR(INDEX(LMH_PTS,MATCH(J98,LMH_KEY,0)),0),IFERROR(INDEX(LMH_PTS,MATCH(K98,LMH_KEY,0)),0),IFERROR(INDEX(LMH_PTS,MATCH(L98,LMH_KEY,0)),0),IFERROR(INDEX(LMH_PTS,MATCH(M98,LMH_KEY,0)),0),IFERROR(INDEX(LMH_PTS,MATCH(N98,LMH_KEY,0)),0),IFERROR(INDEX(LMH_PTS,MATCH(O98,LMH_KEY,0)),0),IFERROR(INDEX(LMH_PTS,MATCH(P98,LMH_KEY,0)),0)),""))</f>
        <v>0.142857142857143</v>
      </c>
      <c r="T98" s="74">
        <f>IF(M98="","",IFERROR(INDEX(LMH_PTS,MATCH(M98,LMH_KEY,0))/SUM(IFERROR(INDEX(LMH_PTS,MATCH(J98,LMH_KEY,0)),0),IFERROR(INDEX(LMH_PTS,MATCH(K98,LMH_KEY,0)),0),IFERROR(INDEX(LMH_PTS,MATCH(L98,LMH_KEY,0)),0),IFERROR(INDEX(LMH_PTS,MATCH(M98,LMH_KEY,0)),0),IFERROR(INDEX(LMH_PTS,MATCH(N98,LMH_KEY,0)),0),IFERROR(INDEX(LMH_PTS,MATCH(O98,LMH_KEY,0)),0),IFERROR(INDEX(LMH_PTS,MATCH(P98,LMH_KEY,0)),0)),""))</f>
        <v>0.142857142857143</v>
      </c>
      <c r="U98" s="74">
        <f>IF(N98="","",IFERROR(INDEX(LMH_PTS,MATCH(N98,LMH_KEY,0))/SUM(IFERROR(INDEX(LMH_PTS,MATCH(J98,LMH_KEY,0)),0),IFERROR(INDEX(LMH_PTS,MATCH(K98,LMH_KEY,0)),0),IFERROR(INDEX(LMH_PTS,MATCH(L98,LMH_KEY,0)),0),IFERROR(INDEX(LMH_PTS,MATCH(M98,LMH_KEY,0)),0),IFERROR(INDEX(LMH_PTS,MATCH(N98,LMH_KEY,0)),0),IFERROR(INDEX(LMH_PTS,MATCH(O98,LMH_KEY,0)),0),IFERROR(INDEX(LMH_PTS,MATCH(P98,LMH_KEY,0)),0)),""))</f>
        <v>0.0476190476190476</v>
      </c>
      <c r="V98" s="74">
        <f>IF(O98="","",IFERROR(INDEX(LMH_PTS,MATCH(O98,LMH_KEY,0))/SUM(IFERROR(INDEX(LMH_PTS,MATCH(J98,LMH_KEY,0)),0),IFERROR(INDEX(LMH_PTS,MATCH(K98,LMH_KEY,0)),0),IFERROR(INDEX(LMH_PTS,MATCH(L98,LMH_KEY,0)),0),IFERROR(INDEX(LMH_PTS,MATCH(M98,LMH_KEY,0)),0),IFERROR(INDEX(LMH_PTS,MATCH(N98,LMH_KEY,0)),0),IFERROR(INDEX(LMH_PTS,MATCH(O98,LMH_KEY,0)),0),IFERROR(INDEX(LMH_PTS,MATCH(P98,LMH_KEY,0)),0)),""))</f>
        <v>0.0476190476190476</v>
      </c>
      <c r="W98" s="74">
        <f>IF(P98="","",IFERROR(INDEX(LMH_PTS,MATCH(P98,LMH_KEY,0))/SUM(IFERROR(INDEX(LMH_PTS,MATCH(J98,LMH_KEY,0)),0),IFERROR(INDEX(LMH_PTS,MATCH(K98,LMH_KEY,0)),0),IFERROR(INDEX(LMH_PTS,MATCH(L98,LMH_KEY,0)),0),IFERROR(INDEX(LMH_PTS,MATCH(M98,LMH_KEY,0)),0),IFERROR(INDEX(LMH_PTS,MATCH(N98,LMH_KEY,0)),0),IFERROR(INDEX(LMH_PTS,MATCH(O98,LMH_KEY,0)),0),IFERROR(INDEX(LMH_PTS,MATCH(P98,LMH_KEY,0)),0)),""))</f>
        <v>0.0476190476190476</v>
      </c>
      <c r="X98" s="44" t="n"/>
      <c r="Y98" s="38" t="inlineStr">
        <is>
          <t>CARBON|Services|Team Lead – Assisted Services|B1|B-M</t>
        </is>
      </c>
    </row>
    <row r="99" ht="28" customHeight="1">
      <c r="A99" s="28" t="inlineStr">
        <is>
          <t>CARBON</t>
        </is>
      </c>
      <c r="B99" s="29" t="inlineStr">
        <is>
          <t>Services</t>
        </is>
      </c>
      <c r="C99" s="72" t="inlineStr">
        <is>
          <t>B1</t>
        </is>
      </c>
      <c r="D99" s="29" t="inlineStr">
        <is>
          <t>Band B · Specialist / Manager</t>
        </is>
      </c>
      <c r="E99" s="29" t="inlineStr">
        <is>
          <t>XBRL Specialist</t>
        </is>
      </c>
      <c r="F99" s="29" t="inlineStr">
        <is>
          <t>Band B · Specialist / POD Lead</t>
        </is>
      </c>
      <c r="G99" s="29" t="inlineStr">
        <is>
          <t>Consulting &amp; Professional Services</t>
        </is>
      </c>
      <c r="H99" s="29" t="n">
        <v>2</v>
      </c>
      <c r="I99" s="29" t="inlineStr">
        <is>
          <t>Jayaprakash Arumugam, Vivek Patil</t>
        </is>
      </c>
      <c r="J99" s="34" t="str">
        <f>IFERROR(INDEX(RBD_C,MATCH("Consulting &amp; Professional Services|B1|B-IC",RBD_KEY,0)),"M")</f>
        <v>H</v>
      </c>
      <c r="K99" s="35" t="str">
        <f>IFERROR(INDEX(RBD_Au,MATCH("Consulting &amp; Professional Services|B1|B-IC",RBD_KEY,0)),"M")</f>
        <v>M</v>
      </c>
      <c r="L99" s="35" t="str">
        <f>IFERROR(INDEX(RBD_Ac,MATCH("Consulting &amp; Professional Services|B1|B-IC",RBD_KEY,0)),"M")</f>
        <v>M</v>
      </c>
      <c r="M99" s="35" t="str">
        <f>IFERROR(INDEX(RBD_L,MATCH("Consulting &amp; Professional Services|B1|B-IC",RBD_KEY,0)),"M")</f>
        <v>L</v>
      </c>
      <c r="N99" s="35" t="str">
        <f>IFERROR(INDEX(RBD_BI,MATCH("Consulting &amp; Professional Services|B1|B-IC",RBD_KEY,0)),"M")</f>
        <v>L</v>
      </c>
      <c r="O99" s="35" t="str">
        <f>IFERROR(INDEX(RBD_Exp,MATCH("Consulting &amp; Professional Services|B1|B-IC",RBD_KEY,0)),"M")</f>
        <v>L</v>
      </c>
      <c r="P99" s="35" t="str">
        <f>IFERROR(INDEX(RBD_Edu,MATCH("Consulting &amp; Professional Services|B1|B-IC",RBD_KEY,0)),"M")</f>
        <v>L</v>
      </c>
      <c r="Q99" s="73">
        <f>IF(J99="","",IFERROR(INDEX(LMH_PTS,MATCH(J99,LMH_KEY,0))/SUM(IFERROR(INDEX(LMH_PTS,MATCH(J99,LMH_KEY,0)),0),IFERROR(INDEX(LMH_PTS,MATCH(K99,LMH_KEY,0)),0),IFERROR(INDEX(LMH_PTS,MATCH(L99,LMH_KEY,0)),0),IFERROR(INDEX(LMH_PTS,MATCH(M99,LMH_KEY,0)),0),IFERROR(INDEX(LMH_PTS,MATCH(N99,LMH_KEY,0)),0),IFERROR(INDEX(LMH_PTS,MATCH(O99,LMH_KEY,0)),0),IFERROR(INDEX(LMH_PTS,MATCH(P99,LMH_KEY,0)),0)),""))</f>
        <v>0.473684210526316</v>
      </c>
      <c r="R99" s="74">
        <f>IF(K99="","",IFERROR(INDEX(LMH_PTS,MATCH(K99,LMH_KEY,0))/SUM(IFERROR(INDEX(LMH_PTS,MATCH(J99,LMH_KEY,0)),0),IFERROR(INDEX(LMH_PTS,MATCH(K99,LMH_KEY,0)),0),IFERROR(INDEX(LMH_PTS,MATCH(L99,LMH_KEY,0)),0),IFERROR(INDEX(LMH_PTS,MATCH(M99,LMH_KEY,0)),0),IFERROR(INDEX(LMH_PTS,MATCH(N99,LMH_KEY,0)),0),IFERROR(INDEX(LMH_PTS,MATCH(O99,LMH_KEY,0)),0),IFERROR(INDEX(LMH_PTS,MATCH(P99,LMH_KEY,0)),0)),""))</f>
        <v>0.157894736842105</v>
      </c>
      <c r="S99" s="74">
        <f>IF(L99="","",IFERROR(INDEX(LMH_PTS,MATCH(L99,LMH_KEY,0))/SUM(IFERROR(INDEX(LMH_PTS,MATCH(J99,LMH_KEY,0)),0),IFERROR(INDEX(LMH_PTS,MATCH(K99,LMH_KEY,0)),0),IFERROR(INDEX(LMH_PTS,MATCH(L99,LMH_KEY,0)),0),IFERROR(INDEX(LMH_PTS,MATCH(M99,LMH_KEY,0)),0),IFERROR(INDEX(LMH_PTS,MATCH(N99,LMH_KEY,0)),0),IFERROR(INDEX(LMH_PTS,MATCH(O99,LMH_KEY,0)),0),IFERROR(INDEX(LMH_PTS,MATCH(P99,LMH_KEY,0)),0)),""))</f>
        <v>0.157894736842105</v>
      </c>
      <c r="T99" s="74">
        <f>IF(M99="","",IFERROR(INDEX(LMH_PTS,MATCH(M99,LMH_KEY,0))/SUM(IFERROR(INDEX(LMH_PTS,MATCH(J99,LMH_KEY,0)),0),IFERROR(INDEX(LMH_PTS,MATCH(K99,LMH_KEY,0)),0),IFERROR(INDEX(LMH_PTS,MATCH(L99,LMH_KEY,0)),0),IFERROR(INDEX(LMH_PTS,MATCH(M99,LMH_KEY,0)),0),IFERROR(INDEX(LMH_PTS,MATCH(N99,LMH_KEY,0)),0),IFERROR(INDEX(LMH_PTS,MATCH(O99,LMH_KEY,0)),0),IFERROR(INDEX(LMH_PTS,MATCH(P99,LMH_KEY,0)),0)),""))</f>
        <v>0.0526315789473684</v>
      </c>
      <c r="U99" s="74">
        <f>IF(N99="","",IFERROR(INDEX(LMH_PTS,MATCH(N99,LMH_KEY,0))/SUM(IFERROR(INDEX(LMH_PTS,MATCH(J99,LMH_KEY,0)),0),IFERROR(INDEX(LMH_PTS,MATCH(K99,LMH_KEY,0)),0),IFERROR(INDEX(LMH_PTS,MATCH(L99,LMH_KEY,0)),0),IFERROR(INDEX(LMH_PTS,MATCH(M99,LMH_KEY,0)),0),IFERROR(INDEX(LMH_PTS,MATCH(N99,LMH_KEY,0)),0),IFERROR(INDEX(LMH_PTS,MATCH(O99,LMH_KEY,0)),0),IFERROR(INDEX(LMH_PTS,MATCH(P99,LMH_KEY,0)),0)),""))</f>
        <v>0.0526315789473684</v>
      </c>
      <c r="V99" s="74">
        <f>IF(O99="","",IFERROR(INDEX(LMH_PTS,MATCH(O99,LMH_KEY,0))/SUM(IFERROR(INDEX(LMH_PTS,MATCH(J99,LMH_KEY,0)),0),IFERROR(INDEX(LMH_PTS,MATCH(K99,LMH_KEY,0)),0),IFERROR(INDEX(LMH_PTS,MATCH(L99,LMH_KEY,0)),0),IFERROR(INDEX(LMH_PTS,MATCH(M99,LMH_KEY,0)),0),IFERROR(INDEX(LMH_PTS,MATCH(N99,LMH_KEY,0)),0),IFERROR(INDEX(LMH_PTS,MATCH(O99,LMH_KEY,0)),0),IFERROR(INDEX(LMH_PTS,MATCH(P99,LMH_KEY,0)),0)),""))</f>
        <v>0.0526315789473684</v>
      </c>
      <c r="W99" s="74">
        <f>IF(P99="","",IFERROR(INDEX(LMH_PTS,MATCH(P99,LMH_KEY,0))/SUM(IFERROR(INDEX(LMH_PTS,MATCH(J99,LMH_KEY,0)),0),IFERROR(INDEX(LMH_PTS,MATCH(K99,LMH_KEY,0)),0),IFERROR(INDEX(LMH_PTS,MATCH(L99,LMH_KEY,0)),0),IFERROR(INDEX(LMH_PTS,MATCH(M99,LMH_KEY,0)),0),IFERROR(INDEX(LMH_PTS,MATCH(N99,LMH_KEY,0)),0),IFERROR(INDEX(LMH_PTS,MATCH(O99,LMH_KEY,0)),0),IFERROR(INDEX(LMH_PTS,MATCH(P99,LMH_KEY,0)),0)),""))</f>
        <v>0.0526315789473684</v>
      </c>
      <c r="X99" s="44" t="n"/>
      <c r="Y99" s="38" t="inlineStr">
        <is>
          <t>CARBON|Services|XBRL Specialist|B1|B-IC</t>
        </is>
      </c>
    </row>
    <row r="100" ht="18" customHeight="1">
      <c r="A100" s="28" t="inlineStr">
        <is>
          <t>CARBON</t>
        </is>
      </c>
      <c r="B100" s="29" t="inlineStr">
        <is>
          <t>Services</t>
        </is>
      </c>
      <c r="C100" s="72" t="inlineStr">
        <is>
          <t>B1</t>
        </is>
      </c>
      <c r="D100" s="29" t="inlineStr">
        <is>
          <t>Band B · Specialist / Manager</t>
        </is>
      </c>
      <c r="E100" s="29" t="inlineStr">
        <is>
          <t>XBRL Specialist – POD Lead</t>
        </is>
      </c>
      <c r="F100" s="29" t="inlineStr">
        <is>
          <t>Band B · Specialist / POD Lead</t>
        </is>
      </c>
      <c r="G100" s="29" t="inlineStr">
        <is>
          <t>Consulting &amp; Professional Services</t>
        </is>
      </c>
      <c r="H100" s="29" t="n">
        <v>2</v>
      </c>
      <c r="I100" s="29" t="inlineStr">
        <is>
          <t>Jivika Wadhwani, Lucy Fernandes</t>
        </is>
      </c>
      <c r="J100" s="34" t="str">
        <f>IFERROR(INDEX(RBD_C,MATCH("Consulting &amp; Professional Services|B1|B-IC",RBD_KEY,0)),"M")</f>
        <v>H</v>
      </c>
      <c r="K100" s="35" t="str">
        <f>IFERROR(INDEX(RBD_Au,MATCH("Consulting &amp; Professional Services|B1|B-IC",RBD_KEY,0)),"M")</f>
        <v>M</v>
      </c>
      <c r="L100" s="35" t="str">
        <f>IFERROR(INDEX(RBD_Ac,MATCH("Consulting &amp; Professional Services|B1|B-IC",RBD_KEY,0)),"M")</f>
        <v>M</v>
      </c>
      <c r="M100" s="35" t="str">
        <f>IFERROR(INDEX(RBD_L,MATCH("Consulting &amp; Professional Services|B1|B-IC",RBD_KEY,0)),"M")</f>
        <v>L</v>
      </c>
      <c r="N100" s="35" t="str">
        <f>IFERROR(INDEX(RBD_BI,MATCH("Consulting &amp; Professional Services|B1|B-IC",RBD_KEY,0)),"M")</f>
        <v>L</v>
      </c>
      <c r="O100" s="35" t="str">
        <f>IFERROR(INDEX(RBD_Exp,MATCH("Consulting &amp; Professional Services|B1|B-IC",RBD_KEY,0)),"M")</f>
        <v>L</v>
      </c>
      <c r="P100" s="35" t="str">
        <f>IFERROR(INDEX(RBD_Edu,MATCH("Consulting &amp; Professional Services|B1|B-IC",RBD_KEY,0)),"M")</f>
        <v>L</v>
      </c>
      <c r="Q100" s="73">
        <f>IF(J100="","",IFERROR(INDEX(LMH_PTS,MATCH(J100,LMH_KEY,0))/SUM(IFERROR(INDEX(LMH_PTS,MATCH(J100,LMH_KEY,0)),0),IFERROR(INDEX(LMH_PTS,MATCH(K100,LMH_KEY,0)),0),IFERROR(INDEX(LMH_PTS,MATCH(L100,LMH_KEY,0)),0),IFERROR(INDEX(LMH_PTS,MATCH(M100,LMH_KEY,0)),0),IFERROR(INDEX(LMH_PTS,MATCH(N100,LMH_KEY,0)),0),IFERROR(INDEX(LMH_PTS,MATCH(O100,LMH_KEY,0)),0),IFERROR(INDEX(LMH_PTS,MATCH(P100,LMH_KEY,0)),0)),""))</f>
        <v>0.473684210526316</v>
      </c>
      <c r="R100" s="74">
        <f>IF(K100="","",IFERROR(INDEX(LMH_PTS,MATCH(K100,LMH_KEY,0))/SUM(IFERROR(INDEX(LMH_PTS,MATCH(J100,LMH_KEY,0)),0),IFERROR(INDEX(LMH_PTS,MATCH(K100,LMH_KEY,0)),0),IFERROR(INDEX(LMH_PTS,MATCH(L100,LMH_KEY,0)),0),IFERROR(INDEX(LMH_PTS,MATCH(M100,LMH_KEY,0)),0),IFERROR(INDEX(LMH_PTS,MATCH(N100,LMH_KEY,0)),0),IFERROR(INDEX(LMH_PTS,MATCH(O100,LMH_KEY,0)),0),IFERROR(INDEX(LMH_PTS,MATCH(P100,LMH_KEY,0)),0)),""))</f>
        <v>0.157894736842105</v>
      </c>
      <c r="S100" s="74">
        <f>IF(L100="","",IFERROR(INDEX(LMH_PTS,MATCH(L100,LMH_KEY,0))/SUM(IFERROR(INDEX(LMH_PTS,MATCH(J100,LMH_KEY,0)),0),IFERROR(INDEX(LMH_PTS,MATCH(K100,LMH_KEY,0)),0),IFERROR(INDEX(LMH_PTS,MATCH(L100,LMH_KEY,0)),0),IFERROR(INDEX(LMH_PTS,MATCH(M100,LMH_KEY,0)),0),IFERROR(INDEX(LMH_PTS,MATCH(N100,LMH_KEY,0)),0),IFERROR(INDEX(LMH_PTS,MATCH(O100,LMH_KEY,0)),0),IFERROR(INDEX(LMH_PTS,MATCH(P100,LMH_KEY,0)),0)),""))</f>
        <v>0.157894736842105</v>
      </c>
      <c r="T100" s="74">
        <f>IF(M100="","",IFERROR(INDEX(LMH_PTS,MATCH(M100,LMH_KEY,0))/SUM(IFERROR(INDEX(LMH_PTS,MATCH(J100,LMH_KEY,0)),0),IFERROR(INDEX(LMH_PTS,MATCH(K100,LMH_KEY,0)),0),IFERROR(INDEX(LMH_PTS,MATCH(L100,LMH_KEY,0)),0),IFERROR(INDEX(LMH_PTS,MATCH(M100,LMH_KEY,0)),0),IFERROR(INDEX(LMH_PTS,MATCH(N100,LMH_KEY,0)),0),IFERROR(INDEX(LMH_PTS,MATCH(O100,LMH_KEY,0)),0),IFERROR(INDEX(LMH_PTS,MATCH(P100,LMH_KEY,0)),0)),""))</f>
        <v>0.0526315789473684</v>
      </c>
      <c r="U100" s="74">
        <f>IF(N100="","",IFERROR(INDEX(LMH_PTS,MATCH(N100,LMH_KEY,0))/SUM(IFERROR(INDEX(LMH_PTS,MATCH(J100,LMH_KEY,0)),0),IFERROR(INDEX(LMH_PTS,MATCH(K100,LMH_KEY,0)),0),IFERROR(INDEX(LMH_PTS,MATCH(L100,LMH_KEY,0)),0),IFERROR(INDEX(LMH_PTS,MATCH(M100,LMH_KEY,0)),0),IFERROR(INDEX(LMH_PTS,MATCH(N100,LMH_KEY,0)),0),IFERROR(INDEX(LMH_PTS,MATCH(O100,LMH_KEY,0)),0),IFERROR(INDEX(LMH_PTS,MATCH(P100,LMH_KEY,0)),0)),""))</f>
        <v>0.0526315789473684</v>
      </c>
      <c r="V100" s="74">
        <f>IF(O100="","",IFERROR(INDEX(LMH_PTS,MATCH(O100,LMH_KEY,0))/SUM(IFERROR(INDEX(LMH_PTS,MATCH(J100,LMH_KEY,0)),0),IFERROR(INDEX(LMH_PTS,MATCH(K100,LMH_KEY,0)),0),IFERROR(INDEX(LMH_PTS,MATCH(L100,LMH_KEY,0)),0),IFERROR(INDEX(LMH_PTS,MATCH(M100,LMH_KEY,0)),0),IFERROR(INDEX(LMH_PTS,MATCH(N100,LMH_KEY,0)),0),IFERROR(INDEX(LMH_PTS,MATCH(O100,LMH_KEY,0)),0),IFERROR(INDEX(LMH_PTS,MATCH(P100,LMH_KEY,0)),0)),""))</f>
        <v>0.0526315789473684</v>
      </c>
      <c r="W100" s="74">
        <f>IF(P100="","",IFERROR(INDEX(LMH_PTS,MATCH(P100,LMH_KEY,0))/SUM(IFERROR(INDEX(LMH_PTS,MATCH(J100,LMH_KEY,0)),0),IFERROR(INDEX(LMH_PTS,MATCH(K100,LMH_KEY,0)),0),IFERROR(INDEX(LMH_PTS,MATCH(L100,LMH_KEY,0)),0),IFERROR(INDEX(LMH_PTS,MATCH(M100,LMH_KEY,0)),0),IFERROR(INDEX(LMH_PTS,MATCH(N100,LMH_KEY,0)),0),IFERROR(INDEX(LMH_PTS,MATCH(O100,LMH_KEY,0)),0),IFERROR(INDEX(LMH_PTS,MATCH(P100,LMH_KEY,0)),0)),""))</f>
        <v>0.0526315789473684</v>
      </c>
      <c r="X100" s="44" t="n"/>
      <c r="Y100" s="38" t="inlineStr">
        <is>
          <t>CARBON|Services|XBRL Specialist – POD Lead|B1|B-IC</t>
        </is>
      </c>
    </row>
    <row r="101" ht="120" customHeight="1">
      <c r="A101" s="28" t="inlineStr">
        <is>
          <t>CARBON</t>
        </is>
      </c>
      <c r="B101" s="29" t="inlineStr">
        <is>
          <t>Services</t>
        </is>
      </c>
      <c r="C101" s="75" t="inlineStr">
        <is>
          <t>A3</t>
        </is>
      </c>
      <c r="D101" s="29" t="inlineStr">
        <is>
          <t>Band A · Practitioner</t>
        </is>
      </c>
      <c r="E101" s="29" t="inlineStr">
        <is>
          <t>Senior Financial Analyst</t>
        </is>
      </c>
      <c r="F101" s="29" t="inlineStr">
        <is>
          <t>Band A · all tracks</t>
        </is>
      </c>
      <c r="G101" s="29" t="inlineStr">
        <is>
          <t>Consulting &amp; Professional Services</t>
        </is>
      </c>
      <c r="H101" s="29" t="n">
        <v>29</v>
      </c>
      <c r="I101" s="29" t="inlineStr">
        <is>
          <t>Abhijit Bhagwan Patil, Ashok Yadav, Bhavik Raparka, Kamlesh Bomble, Namrata Juvekar, Raj Ratnakar Kumbhar, Sakina Dholkawala, Haresh Misal, Monica Patel, Rohit Sawant, Anjum Shaikh, Dhananjay Bavkar, Sunita Ram Singh, Supriya Thakur, Vikram Bangera, Kiran Mane, Mandar Vatare, Nirmala Kalyadappu, Sunny Kirtane, Ajinkya Dhumal, Palak Verma, Rajendra Gupta, Sudarshan Vichare, Sunil Bist, Vishakha Vitmal, Atul Paradkar, Chaitali Chatterjee, Sushma Shinde, Roshni Surve</t>
        </is>
      </c>
      <c r="J101" s="34" t="str">
        <f>IFERROR(INDEX(RBD_C,MATCH("Consulting &amp; Professional Services|A3|A",RBD_KEY,0)),"M")</f>
        <v>H</v>
      </c>
      <c r="K101" s="35" t="str">
        <f>IFERROR(INDEX(RBD_Au,MATCH("Consulting &amp; Professional Services|A3|A",RBD_KEY,0)),"M")</f>
        <v>M</v>
      </c>
      <c r="L101" s="35" t="str">
        <f>IFERROR(INDEX(RBD_Ac,MATCH("Consulting &amp; Professional Services|A3|A",RBD_KEY,0)),"M")</f>
        <v>M</v>
      </c>
      <c r="M101" s="35" t="str">
        <f>IFERROR(INDEX(RBD_L,MATCH("Consulting &amp; Professional Services|A3|A",RBD_KEY,0)),"M")</f>
        <v>L</v>
      </c>
      <c r="N101" s="35" t="str">
        <f>IFERROR(INDEX(RBD_BI,MATCH("Consulting &amp; Professional Services|A3|A",RBD_KEY,0)),"M")</f>
        <v>L</v>
      </c>
      <c r="O101" s="35" t="str">
        <f>IFERROR(INDEX(RBD_Exp,MATCH("Consulting &amp; Professional Services|A3|A",RBD_KEY,0)),"M")</f>
        <v>L</v>
      </c>
      <c r="P101" s="35" t="str">
        <f>IFERROR(INDEX(RBD_Edu,MATCH("Consulting &amp; Professional Services|A3|A",RBD_KEY,0)),"M")</f>
        <v>L</v>
      </c>
      <c r="Q101" s="73">
        <f>IF(J101="","",IFERROR(INDEX(LMH_PTS,MATCH(J101,LMH_KEY,0))/SUM(IFERROR(INDEX(LMH_PTS,MATCH(J101,LMH_KEY,0)),0),IFERROR(INDEX(LMH_PTS,MATCH(K101,LMH_KEY,0)),0),IFERROR(INDEX(LMH_PTS,MATCH(L101,LMH_KEY,0)),0),IFERROR(INDEX(LMH_PTS,MATCH(M101,LMH_KEY,0)),0),IFERROR(INDEX(LMH_PTS,MATCH(N101,LMH_KEY,0)),0),IFERROR(INDEX(LMH_PTS,MATCH(O101,LMH_KEY,0)),0),IFERROR(INDEX(LMH_PTS,MATCH(P101,LMH_KEY,0)),0)),""))</f>
        <v>0.473684210526316</v>
      </c>
      <c r="R101" s="74">
        <f>IF(K101="","",IFERROR(INDEX(LMH_PTS,MATCH(K101,LMH_KEY,0))/SUM(IFERROR(INDEX(LMH_PTS,MATCH(J101,LMH_KEY,0)),0),IFERROR(INDEX(LMH_PTS,MATCH(K101,LMH_KEY,0)),0),IFERROR(INDEX(LMH_PTS,MATCH(L101,LMH_KEY,0)),0),IFERROR(INDEX(LMH_PTS,MATCH(M101,LMH_KEY,0)),0),IFERROR(INDEX(LMH_PTS,MATCH(N101,LMH_KEY,0)),0),IFERROR(INDEX(LMH_PTS,MATCH(O101,LMH_KEY,0)),0),IFERROR(INDEX(LMH_PTS,MATCH(P101,LMH_KEY,0)),0)),""))</f>
        <v>0.157894736842105</v>
      </c>
      <c r="S101" s="74">
        <f>IF(L101="","",IFERROR(INDEX(LMH_PTS,MATCH(L101,LMH_KEY,0))/SUM(IFERROR(INDEX(LMH_PTS,MATCH(J101,LMH_KEY,0)),0),IFERROR(INDEX(LMH_PTS,MATCH(K101,LMH_KEY,0)),0),IFERROR(INDEX(LMH_PTS,MATCH(L101,LMH_KEY,0)),0),IFERROR(INDEX(LMH_PTS,MATCH(M101,LMH_KEY,0)),0),IFERROR(INDEX(LMH_PTS,MATCH(N101,LMH_KEY,0)),0),IFERROR(INDEX(LMH_PTS,MATCH(O101,LMH_KEY,0)),0),IFERROR(INDEX(LMH_PTS,MATCH(P101,LMH_KEY,0)),0)),""))</f>
        <v>0.157894736842105</v>
      </c>
      <c r="T101" s="74">
        <f>IF(M101="","",IFERROR(INDEX(LMH_PTS,MATCH(M101,LMH_KEY,0))/SUM(IFERROR(INDEX(LMH_PTS,MATCH(J101,LMH_KEY,0)),0),IFERROR(INDEX(LMH_PTS,MATCH(K101,LMH_KEY,0)),0),IFERROR(INDEX(LMH_PTS,MATCH(L101,LMH_KEY,0)),0),IFERROR(INDEX(LMH_PTS,MATCH(M101,LMH_KEY,0)),0),IFERROR(INDEX(LMH_PTS,MATCH(N101,LMH_KEY,0)),0),IFERROR(INDEX(LMH_PTS,MATCH(O101,LMH_KEY,0)),0),IFERROR(INDEX(LMH_PTS,MATCH(P101,LMH_KEY,0)),0)),""))</f>
        <v>0.0526315789473684</v>
      </c>
      <c r="U101" s="74">
        <f>IF(N101="","",IFERROR(INDEX(LMH_PTS,MATCH(N101,LMH_KEY,0))/SUM(IFERROR(INDEX(LMH_PTS,MATCH(J101,LMH_KEY,0)),0),IFERROR(INDEX(LMH_PTS,MATCH(K101,LMH_KEY,0)),0),IFERROR(INDEX(LMH_PTS,MATCH(L101,LMH_KEY,0)),0),IFERROR(INDEX(LMH_PTS,MATCH(M101,LMH_KEY,0)),0),IFERROR(INDEX(LMH_PTS,MATCH(N101,LMH_KEY,0)),0),IFERROR(INDEX(LMH_PTS,MATCH(O101,LMH_KEY,0)),0),IFERROR(INDEX(LMH_PTS,MATCH(P101,LMH_KEY,0)),0)),""))</f>
        <v>0.0526315789473684</v>
      </c>
      <c r="V101" s="74">
        <f>IF(O101="","",IFERROR(INDEX(LMH_PTS,MATCH(O101,LMH_KEY,0))/SUM(IFERROR(INDEX(LMH_PTS,MATCH(J101,LMH_KEY,0)),0),IFERROR(INDEX(LMH_PTS,MATCH(K101,LMH_KEY,0)),0),IFERROR(INDEX(LMH_PTS,MATCH(L101,LMH_KEY,0)),0),IFERROR(INDEX(LMH_PTS,MATCH(M101,LMH_KEY,0)),0),IFERROR(INDEX(LMH_PTS,MATCH(N101,LMH_KEY,0)),0),IFERROR(INDEX(LMH_PTS,MATCH(O101,LMH_KEY,0)),0),IFERROR(INDEX(LMH_PTS,MATCH(P101,LMH_KEY,0)),0)),""))</f>
        <v>0.0526315789473684</v>
      </c>
      <c r="W101" s="74">
        <f>IF(P101="","",IFERROR(INDEX(LMH_PTS,MATCH(P101,LMH_KEY,0))/SUM(IFERROR(INDEX(LMH_PTS,MATCH(J101,LMH_KEY,0)),0),IFERROR(INDEX(LMH_PTS,MATCH(K101,LMH_KEY,0)),0),IFERROR(INDEX(LMH_PTS,MATCH(L101,LMH_KEY,0)),0),IFERROR(INDEX(LMH_PTS,MATCH(M101,LMH_KEY,0)),0),IFERROR(INDEX(LMH_PTS,MATCH(N101,LMH_KEY,0)),0),IFERROR(INDEX(LMH_PTS,MATCH(O101,LMH_KEY,0)),0),IFERROR(INDEX(LMH_PTS,MATCH(P101,LMH_KEY,0)),0)),""))</f>
        <v>0.0526315789473684</v>
      </c>
      <c r="X101" s="44" t="n"/>
      <c r="Y101" s="38" t="inlineStr">
        <is>
          <t>CARBON|Services|Senior Financial Analyst|A3|A</t>
        </is>
      </c>
    </row>
    <row r="102" ht="18" customHeight="1">
      <c r="A102" s="28" t="inlineStr">
        <is>
          <t>CARBON</t>
        </is>
      </c>
      <c r="B102" s="29" t="inlineStr">
        <is>
          <t>Services</t>
        </is>
      </c>
      <c r="C102" s="75" t="inlineStr">
        <is>
          <t>A3</t>
        </is>
      </c>
      <c r="D102" s="29" t="inlineStr">
        <is>
          <t>Band A · Practitioner</t>
        </is>
      </c>
      <c r="E102" s="29" t="inlineStr">
        <is>
          <t>Senior QA Engineer</t>
        </is>
      </c>
      <c r="F102" s="29" t="inlineStr">
        <is>
          <t>Band A · all tracks</t>
        </is>
      </c>
      <c r="G102" s="29" t="inlineStr">
        <is>
          <t>Quality Assurance</t>
        </is>
      </c>
      <c r="H102" s="29" t="n">
        <v>1</v>
      </c>
      <c r="I102" s="29" t="inlineStr">
        <is>
          <t>Yadavar Velumurgan S.</t>
        </is>
      </c>
      <c r="J102" s="34" t="str">
        <f>IFERROR(INDEX(RBD_C,MATCH("Quality Assurance|A3|A",RBD_KEY,0)),"M")</f>
        <v>H</v>
      </c>
      <c r="K102" s="35" t="str">
        <f>IFERROR(INDEX(RBD_Au,MATCH("Quality Assurance|A3|A",RBD_KEY,0)),"M")</f>
        <v>M</v>
      </c>
      <c r="L102" s="35" t="str">
        <f>IFERROR(INDEX(RBD_Ac,MATCH("Quality Assurance|A3|A",RBD_KEY,0)),"M")</f>
        <v>L</v>
      </c>
      <c r="M102" s="35" t="str">
        <f>IFERROR(INDEX(RBD_L,MATCH("Quality Assurance|A3|A",RBD_KEY,0)),"M")</f>
        <v>L</v>
      </c>
      <c r="N102" s="35" t="str">
        <f>IFERROR(INDEX(RBD_BI,MATCH("Quality Assurance|A3|A",RBD_KEY,0)),"M")</f>
        <v>L</v>
      </c>
      <c r="O102" s="35" t="str">
        <f>IFERROR(INDEX(RBD_Exp,MATCH("Quality Assurance|A3|A",RBD_KEY,0)),"M")</f>
        <v>L</v>
      </c>
      <c r="P102" s="35" t="str">
        <f>IFERROR(INDEX(RBD_Edu,MATCH("Quality Assurance|A3|A",RBD_KEY,0)),"M")</f>
        <v>L</v>
      </c>
      <c r="Q102" s="73">
        <f>IF(J102="","",IFERROR(INDEX(LMH_PTS,MATCH(J102,LMH_KEY,0))/SUM(IFERROR(INDEX(LMH_PTS,MATCH(J102,LMH_KEY,0)),0),IFERROR(INDEX(LMH_PTS,MATCH(K102,LMH_KEY,0)),0),IFERROR(INDEX(LMH_PTS,MATCH(L102,LMH_KEY,0)),0),IFERROR(INDEX(LMH_PTS,MATCH(M102,LMH_KEY,0)),0),IFERROR(INDEX(LMH_PTS,MATCH(N102,LMH_KEY,0)),0),IFERROR(INDEX(LMH_PTS,MATCH(O102,LMH_KEY,0)),0),IFERROR(INDEX(LMH_PTS,MATCH(P102,LMH_KEY,0)),0)),""))</f>
        <v>0.529411764705882</v>
      </c>
      <c r="R102" s="74">
        <f>IF(K102="","",IFERROR(INDEX(LMH_PTS,MATCH(K102,LMH_KEY,0))/SUM(IFERROR(INDEX(LMH_PTS,MATCH(J102,LMH_KEY,0)),0),IFERROR(INDEX(LMH_PTS,MATCH(K102,LMH_KEY,0)),0),IFERROR(INDEX(LMH_PTS,MATCH(L102,LMH_KEY,0)),0),IFERROR(INDEX(LMH_PTS,MATCH(M102,LMH_KEY,0)),0),IFERROR(INDEX(LMH_PTS,MATCH(N102,LMH_KEY,0)),0),IFERROR(INDEX(LMH_PTS,MATCH(O102,LMH_KEY,0)),0),IFERROR(INDEX(LMH_PTS,MATCH(P102,LMH_KEY,0)),0)),""))</f>
        <v>0.176470588235294</v>
      </c>
      <c r="S102" s="74">
        <f>IF(L102="","",IFERROR(INDEX(LMH_PTS,MATCH(L102,LMH_KEY,0))/SUM(IFERROR(INDEX(LMH_PTS,MATCH(J102,LMH_KEY,0)),0),IFERROR(INDEX(LMH_PTS,MATCH(K102,LMH_KEY,0)),0),IFERROR(INDEX(LMH_PTS,MATCH(L102,LMH_KEY,0)),0),IFERROR(INDEX(LMH_PTS,MATCH(M102,LMH_KEY,0)),0),IFERROR(INDEX(LMH_PTS,MATCH(N102,LMH_KEY,0)),0),IFERROR(INDEX(LMH_PTS,MATCH(O102,LMH_KEY,0)),0),IFERROR(INDEX(LMH_PTS,MATCH(P102,LMH_KEY,0)),0)),""))</f>
        <v>0.0588235294117647</v>
      </c>
      <c r="T102" s="74">
        <f>IF(M102="","",IFERROR(INDEX(LMH_PTS,MATCH(M102,LMH_KEY,0))/SUM(IFERROR(INDEX(LMH_PTS,MATCH(J102,LMH_KEY,0)),0),IFERROR(INDEX(LMH_PTS,MATCH(K102,LMH_KEY,0)),0),IFERROR(INDEX(LMH_PTS,MATCH(L102,LMH_KEY,0)),0),IFERROR(INDEX(LMH_PTS,MATCH(M102,LMH_KEY,0)),0),IFERROR(INDEX(LMH_PTS,MATCH(N102,LMH_KEY,0)),0),IFERROR(INDEX(LMH_PTS,MATCH(O102,LMH_KEY,0)),0),IFERROR(INDEX(LMH_PTS,MATCH(P102,LMH_KEY,0)),0)),""))</f>
        <v>0.0588235294117647</v>
      </c>
      <c r="U102" s="74">
        <f>IF(N102="","",IFERROR(INDEX(LMH_PTS,MATCH(N102,LMH_KEY,0))/SUM(IFERROR(INDEX(LMH_PTS,MATCH(J102,LMH_KEY,0)),0),IFERROR(INDEX(LMH_PTS,MATCH(K102,LMH_KEY,0)),0),IFERROR(INDEX(LMH_PTS,MATCH(L102,LMH_KEY,0)),0),IFERROR(INDEX(LMH_PTS,MATCH(M102,LMH_KEY,0)),0),IFERROR(INDEX(LMH_PTS,MATCH(N102,LMH_KEY,0)),0),IFERROR(INDEX(LMH_PTS,MATCH(O102,LMH_KEY,0)),0),IFERROR(INDEX(LMH_PTS,MATCH(P102,LMH_KEY,0)),0)),""))</f>
        <v>0.0588235294117647</v>
      </c>
      <c r="V102" s="74">
        <f>IF(O102="","",IFERROR(INDEX(LMH_PTS,MATCH(O102,LMH_KEY,0))/SUM(IFERROR(INDEX(LMH_PTS,MATCH(J102,LMH_KEY,0)),0),IFERROR(INDEX(LMH_PTS,MATCH(K102,LMH_KEY,0)),0),IFERROR(INDEX(LMH_PTS,MATCH(L102,LMH_KEY,0)),0),IFERROR(INDEX(LMH_PTS,MATCH(M102,LMH_KEY,0)),0),IFERROR(INDEX(LMH_PTS,MATCH(N102,LMH_KEY,0)),0),IFERROR(INDEX(LMH_PTS,MATCH(O102,LMH_KEY,0)),0),IFERROR(INDEX(LMH_PTS,MATCH(P102,LMH_KEY,0)),0)),""))</f>
        <v>0.0588235294117647</v>
      </c>
      <c r="W102" s="74">
        <f>IF(P102="","",IFERROR(INDEX(LMH_PTS,MATCH(P102,LMH_KEY,0))/SUM(IFERROR(INDEX(LMH_PTS,MATCH(J102,LMH_KEY,0)),0),IFERROR(INDEX(LMH_PTS,MATCH(K102,LMH_KEY,0)),0),IFERROR(INDEX(LMH_PTS,MATCH(L102,LMH_KEY,0)),0),IFERROR(INDEX(LMH_PTS,MATCH(M102,LMH_KEY,0)),0),IFERROR(INDEX(LMH_PTS,MATCH(N102,LMH_KEY,0)),0),IFERROR(INDEX(LMH_PTS,MATCH(O102,LMH_KEY,0)),0),IFERROR(INDEX(LMH_PTS,MATCH(P102,LMH_KEY,0)),0)),""))</f>
        <v>0.0588235294117647</v>
      </c>
      <c r="X102" s="44" t="n"/>
      <c r="Y102" s="38" t="inlineStr">
        <is>
          <t>CARBON|Services|Senior QA Engineer|A3|A</t>
        </is>
      </c>
    </row>
    <row r="103" ht="28" customHeight="1">
      <c r="A103" s="28" t="inlineStr">
        <is>
          <t>CARBON</t>
        </is>
      </c>
      <c r="B103" s="29" t="inlineStr">
        <is>
          <t>Services</t>
        </is>
      </c>
      <c r="C103" s="75" t="inlineStr">
        <is>
          <t>A3</t>
        </is>
      </c>
      <c r="D103" s="29" t="inlineStr">
        <is>
          <t>Band A · Practitioner</t>
        </is>
      </c>
      <c r="E103" s="29" t="inlineStr">
        <is>
          <t>Senior Service Delivery Analyst</t>
        </is>
      </c>
      <c r="F103" s="29" t="inlineStr">
        <is>
          <t>Band A · all tracks</t>
        </is>
      </c>
      <c r="G103" s="29" t="inlineStr">
        <is>
          <t>Consulting &amp; Professional Services</t>
        </is>
      </c>
      <c r="H103" s="29" t="n">
        <v>1</v>
      </c>
      <c r="I103" s="29" t="inlineStr">
        <is>
          <t>Jayavant Bhabal</t>
        </is>
      </c>
      <c r="J103" s="34" t="str">
        <f>IFERROR(INDEX(RBD_C,MATCH("Consulting &amp; Professional Services|A3|A",RBD_KEY,0)),"M")</f>
        <v>H</v>
      </c>
      <c r="K103" s="35" t="str">
        <f>IFERROR(INDEX(RBD_Au,MATCH("Consulting &amp; Professional Services|A3|A",RBD_KEY,0)),"M")</f>
        <v>M</v>
      </c>
      <c r="L103" s="35" t="str">
        <f>IFERROR(INDEX(RBD_Ac,MATCH("Consulting &amp; Professional Services|A3|A",RBD_KEY,0)),"M")</f>
        <v>M</v>
      </c>
      <c r="M103" s="35" t="str">
        <f>IFERROR(INDEX(RBD_L,MATCH("Consulting &amp; Professional Services|A3|A",RBD_KEY,0)),"M")</f>
        <v>L</v>
      </c>
      <c r="N103" s="35" t="str">
        <f>IFERROR(INDEX(RBD_BI,MATCH("Consulting &amp; Professional Services|A3|A",RBD_KEY,0)),"M")</f>
        <v>L</v>
      </c>
      <c r="O103" s="35" t="str">
        <f>IFERROR(INDEX(RBD_Exp,MATCH("Consulting &amp; Professional Services|A3|A",RBD_KEY,0)),"M")</f>
        <v>L</v>
      </c>
      <c r="P103" s="35" t="str">
        <f>IFERROR(INDEX(RBD_Edu,MATCH("Consulting &amp; Professional Services|A3|A",RBD_KEY,0)),"M")</f>
        <v>L</v>
      </c>
      <c r="Q103" s="73">
        <f>IF(J103="","",IFERROR(INDEX(LMH_PTS,MATCH(J103,LMH_KEY,0))/SUM(IFERROR(INDEX(LMH_PTS,MATCH(J103,LMH_KEY,0)),0),IFERROR(INDEX(LMH_PTS,MATCH(K103,LMH_KEY,0)),0),IFERROR(INDEX(LMH_PTS,MATCH(L103,LMH_KEY,0)),0),IFERROR(INDEX(LMH_PTS,MATCH(M103,LMH_KEY,0)),0),IFERROR(INDEX(LMH_PTS,MATCH(N103,LMH_KEY,0)),0),IFERROR(INDEX(LMH_PTS,MATCH(O103,LMH_KEY,0)),0),IFERROR(INDEX(LMH_PTS,MATCH(P103,LMH_KEY,0)),0)),""))</f>
        <v>0.473684210526316</v>
      </c>
      <c r="R103" s="74">
        <f>IF(K103="","",IFERROR(INDEX(LMH_PTS,MATCH(K103,LMH_KEY,0))/SUM(IFERROR(INDEX(LMH_PTS,MATCH(J103,LMH_KEY,0)),0),IFERROR(INDEX(LMH_PTS,MATCH(K103,LMH_KEY,0)),0),IFERROR(INDEX(LMH_PTS,MATCH(L103,LMH_KEY,0)),0),IFERROR(INDEX(LMH_PTS,MATCH(M103,LMH_KEY,0)),0),IFERROR(INDEX(LMH_PTS,MATCH(N103,LMH_KEY,0)),0),IFERROR(INDEX(LMH_PTS,MATCH(O103,LMH_KEY,0)),0),IFERROR(INDEX(LMH_PTS,MATCH(P103,LMH_KEY,0)),0)),""))</f>
        <v>0.157894736842105</v>
      </c>
      <c r="S103" s="74">
        <f>IF(L103="","",IFERROR(INDEX(LMH_PTS,MATCH(L103,LMH_KEY,0))/SUM(IFERROR(INDEX(LMH_PTS,MATCH(J103,LMH_KEY,0)),0),IFERROR(INDEX(LMH_PTS,MATCH(K103,LMH_KEY,0)),0),IFERROR(INDEX(LMH_PTS,MATCH(L103,LMH_KEY,0)),0),IFERROR(INDEX(LMH_PTS,MATCH(M103,LMH_KEY,0)),0),IFERROR(INDEX(LMH_PTS,MATCH(N103,LMH_KEY,0)),0),IFERROR(INDEX(LMH_PTS,MATCH(O103,LMH_KEY,0)),0),IFERROR(INDEX(LMH_PTS,MATCH(P103,LMH_KEY,0)),0)),""))</f>
        <v>0.157894736842105</v>
      </c>
      <c r="T103" s="74">
        <f>IF(M103="","",IFERROR(INDEX(LMH_PTS,MATCH(M103,LMH_KEY,0))/SUM(IFERROR(INDEX(LMH_PTS,MATCH(J103,LMH_KEY,0)),0),IFERROR(INDEX(LMH_PTS,MATCH(K103,LMH_KEY,0)),0),IFERROR(INDEX(LMH_PTS,MATCH(L103,LMH_KEY,0)),0),IFERROR(INDEX(LMH_PTS,MATCH(M103,LMH_KEY,0)),0),IFERROR(INDEX(LMH_PTS,MATCH(N103,LMH_KEY,0)),0),IFERROR(INDEX(LMH_PTS,MATCH(O103,LMH_KEY,0)),0),IFERROR(INDEX(LMH_PTS,MATCH(P103,LMH_KEY,0)),0)),""))</f>
        <v>0.0526315789473684</v>
      </c>
      <c r="U103" s="74">
        <f>IF(N103="","",IFERROR(INDEX(LMH_PTS,MATCH(N103,LMH_KEY,0))/SUM(IFERROR(INDEX(LMH_PTS,MATCH(J103,LMH_KEY,0)),0),IFERROR(INDEX(LMH_PTS,MATCH(K103,LMH_KEY,0)),0),IFERROR(INDEX(LMH_PTS,MATCH(L103,LMH_KEY,0)),0),IFERROR(INDEX(LMH_PTS,MATCH(M103,LMH_KEY,0)),0),IFERROR(INDEX(LMH_PTS,MATCH(N103,LMH_KEY,0)),0),IFERROR(INDEX(LMH_PTS,MATCH(O103,LMH_KEY,0)),0),IFERROR(INDEX(LMH_PTS,MATCH(P103,LMH_KEY,0)),0)),""))</f>
        <v>0.0526315789473684</v>
      </c>
      <c r="V103" s="74">
        <f>IF(O103="","",IFERROR(INDEX(LMH_PTS,MATCH(O103,LMH_KEY,0))/SUM(IFERROR(INDEX(LMH_PTS,MATCH(J103,LMH_KEY,0)),0),IFERROR(INDEX(LMH_PTS,MATCH(K103,LMH_KEY,0)),0),IFERROR(INDEX(LMH_PTS,MATCH(L103,LMH_KEY,0)),0),IFERROR(INDEX(LMH_PTS,MATCH(M103,LMH_KEY,0)),0),IFERROR(INDEX(LMH_PTS,MATCH(N103,LMH_KEY,0)),0),IFERROR(INDEX(LMH_PTS,MATCH(O103,LMH_KEY,0)),0),IFERROR(INDEX(LMH_PTS,MATCH(P103,LMH_KEY,0)),0)),""))</f>
        <v>0.0526315789473684</v>
      </c>
      <c r="W103" s="74">
        <f>IF(P103="","",IFERROR(INDEX(LMH_PTS,MATCH(P103,LMH_KEY,0))/SUM(IFERROR(INDEX(LMH_PTS,MATCH(J103,LMH_KEY,0)),0),IFERROR(INDEX(LMH_PTS,MATCH(K103,LMH_KEY,0)),0),IFERROR(INDEX(LMH_PTS,MATCH(L103,LMH_KEY,0)),0),IFERROR(INDEX(LMH_PTS,MATCH(M103,LMH_KEY,0)),0),IFERROR(INDEX(LMH_PTS,MATCH(N103,LMH_KEY,0)),0),IFERROR(INDEX(LMH_PTS,MATCH(O103,LMH_KEY,0)),0),IFERROR(INDEX(LMH_PTS,MATCH(P103,LMH_KEY,0)),0)),""))</f>
        <v>0.0526315789473684</v>
      </c>
      <c r="X103" s="44" t="n"/>
      <c r="Y103" s="38" t="inlineStr">
        <is>
          <t>CARBON|Services|Senior Service Delivery Analyst|A3|A</t>
        </is>
      </c>
    </row>
    <row r="104" ht="18" customHeight="1">
      <c r="A104" s="28" t="inlineStr">
        <is>
          <t>CARBON</t>
        </is>
      </c>
      <c r="B104" s="29" t="inlineStr">
        <is>
          <t>Services</t>
        </is>
      </c>
      <c r="C104" s="75" t="inlineStr">
        <is>
          <t>A3</t>
        </is>
      </c>
      <c r="D104" s="29" t="inlineStr">
        <is>
          <t>Band A · Practitioner</t>
        </is>
      </c>
      <c r="E104" s="29" t="inlineStr">
        <is>
          <t>Service Delivery Specialist</t>
        </is>
      </c>
      <c r="F104" s="29" t="inlineStr">
        <is>
          <t>Band A · all tracks</t>
        </is>
      </c>
      <c r="G104" s="29" t="inlineStr">
        <is>
          <t>Consulting &amp; Professional Services</t>
        </is>
      </c>
      <c r="H104" s="29" t="n">
        <v>1</v>
      </c>
      <c r="I104" s="29" t="inlineStr">
        <is>
          <t>Rupesh Gaikwad</t>
        </is>
      </c>
      <c r="J104" s="34" t="str">
        <f>IFERROR(INDEX(RBD_C,MATCH("Consulting &amp; Professional Services|A3|A",RBD_KEY,0)),"M")</f>
        <v>H</v>
      </c>
      <c r="K104" s="35" t="str">
        <f>IFERROR(INDEX(RBD_Au,MATCH("Consulting &amp; Professional Services|A3|A",RBD_KEY,0)),"M")</f>
        <v>M</v>
      </c>
      <c r="L104" s="35" t="str">
        <f>IFERROR(INDEX(RBD_Ac,MATCH("Consulting &amp; Professional Services|A3|A",RBD_KEY,0)),"M")</f>
        <v>M</v>
      </c>
      <c r="M104" s="35" t="str">
        <f>IFERROR(INDEX(RBD_L,MATCH("Consulting &amp; Professional Services|A3|A",RBD_KEY,0)),"M")</f>
        <v>L</v>
      </c>
      <c r="N104" s="35" t="str">
        <f>IFERROR(INDEX(RBD_BI,MATCH("Consulting &amp; Professional Services|A3|A",RBD_KEY,0)),"M")</f>
        <v>L</v>
      </c>
      <c r="O104" s="35" t="str">
        <f>IFERROR(INDEX(RBD_Exp,MATCH("Consulting &amp; Professional Services|A3|A",RBD_KEY,0)),"M")</f>
        <v>L</v>
      </c>
      <c r="P104" s="35" t="str">
        <f>IFERROR(INDEX(RBD_Edu,MATCH("Consulting &amp; Professional Services|A3|A",RBD_KEY,0)),"M")</f>
        <v>L</v>
      </c>
      <c r="Q104" s="73">
        <f>IF(J104="","",IFERROR(INDEX(LMH_PTS,MATCH(J104,LMH_KEY,0))/SUM(IFERROR(INDEX(LMH_PTS,MATCH(J104,LMH_KEY,0)),0),IFERROR(INDEX(LMH_PTS,MATCH(K104,LMH_KEY,0)),0),IFERROR(INDEX(LMH_PTS,MATCH(L104,LMH_KEY,0)),0),IFERROR(INDEX(LMH_PTS,MATCH(M104,LMH_KEY,0)),0),IFERROR(INDEX(LMH_PTS,MATCH(N104,LMH_KEY,0)),0),IFERROR(INDEX(LMH_PTS,MATCH(O104,LMH_KEY,0)),0),IFERROR(INDEX(LMH_PTS,MATCH(P104,LMH_KEY,0)),0)),""))</f>
        <v>0.473684210526316</v>
      </c>
      <c r="R104" s="74">
        <f>IF(K104="","",IFERROR(INDEX(LMH_PTS,MATCH(K104,LMH_KEY,0))/SUM(IFERROR(INDEX(LMH_PTS,MATCH(J104,LMH_KEY,0)),0),IFERROR(INDEX(LMH_PTS,MATCH(K104,LMH_KEY,0)),0),IFERROR(INDEX(LMH_PTS,MATCH(L104,LMH_KEY,0)),0),IFERROR(INDEX(LMH_PTS,MATCH(M104,LMH_KEY,0)),0),IFERROR(INDEX(LMH_PTS,MATCH(N104,LMH_KEY,0)),0),IFERROR(INDEX(LMH_PTS,MATCH(O104,LMH_KEY,0)),0),IFERROR(INDEX(LMH_PTS,MATCH(P104,LMH_KEY,0)),0)),""))</f>
        <v>0.157894736842105</v>
      </c>
      <c r="S104" s="74">
        <f>IF(L104="","",IFERROR(INDEX(LMH_PTS,MATCH(L104,LMH_KEY,0))/SUM(IFERROR(INDEX(LMH_PTS,MATCH(J104,LMH_KEY,0)),0),IFERROR(INDEX(LMH_PTS,MATCH(K104,LMH_KEY,0)),0),IFERROR(INDEX(LMH_PTS,MATCH(L104,LMH_KEY,0)),0),IFERROR(INDEX(LMH_PTS,MATCH(M104,LMH_KEY,0)),0),IFERROR(INDEX(LMH_PTS,MATCH(N104,LMH_KEY,0)),0),IFERROR(INDEX(LMH_PTS,MATCH(O104,LMH_KEY,0)),0),IFERROR(INDEX(LMH_PTS,MATCH(P104,LMH_KEY,0)),0)),""))</f>
        <v>0.157894736842105</v>
      </c>
      <c r="T104" s="74">
        <f>IF(M104="","",IFERROR(INDEX(LMH_PTS,MATCH(M104,LMH_KEY,0))/SUM(IFERROR(INDEX(LMH_PTS,MATCH(J104,LMH_KEY,0)),0),IFERROR(INDEX(LMH_PTS,MATCH(K104,LMH_KEY,0)),0),IFERROR(INDEX(LMH_PTS,MATCH(L104,LMH_KEY,0)),0),IFERROR(INDEX(LMH_PTS,MATCH(M104,LMH_KEY,0)),0),IFERROR(INDEX(LMH_PTS,MATCH(N104,LMH_KEY,0)),0),IFERROR(INDEX(LMH_PTS,MATCH(O104,LMH_KEY,0)),0),IFERROR(INDEX(LMH_PTS,MATCH(P104,LMH_KEY,0)),0)),""))</f>
        <v>0.0526315789473684</v>
      </c>
      <c r="U104" s="74">
        <f>IF(N104="","",IFERROR(INDEX(LMH_PTS,MATCH(N104,LMH_KEY,0))/SUM(IFERROR(INDEX(LMH_PTS,MATCH(J104,LMH_KEY,0)),0),IFERROR(INDEX(LMH_PTS,MATCH(K104,LMH_KEY,0)),0),IFERROR(INDEX(LMH_PTS,MATCH(L104,LMH_KEY,0)),0),IFERROR(INDEX(LMH_PTS,MATCH(M104,LMH_KEY,0)),0),IFERROR(INDEX(LMH_PTS,MATCH(N104,LMH_KEY,0)),0),IFERROR(INDEX(LMH_PTS,MATCH(O104,LMH_KEY,0)),0),IFERROR(INDEX(LMH_PTS,MATCH(P104,LMH_KEY,0)),0)),""))</f>
        <v>0.0526315789473684</v>
      </c>
      <c r="V104" s="74">
        <f>IF(O104="","",IFERROR(INDEX(LMH_PTS,MATCH(O104,LMH_KEY,0))/SUM(IFERROR(INDEX(LMH_PTS,MATCH(J104,LMH_KEY,0)),0),IFERROR(INDEX(LMH_PTS,MATCH(K104,LMH_KEY,0)),0),IFERROR(INDEX(LMH_PTS,MATCH(L104,LMH_KEY,0)),0),IFERROR(INDEX(LMH_PTS,MATCH(M104,LMH_KEY,0)),0),IFERROR(INDEX(LMH_PTS,MATCH(N104,LMH_KEY,0)),0),IFERROR(INDEX(LMH_PTS,MATCH(O104,LMH_KEY,0)),0),IFERROR(INDEX(LMH_PTS,MATCH(P104,LMH_KEY,0)),0)),""))</f>
        <v>0.0526315789473684</v>
      </c>
      <c r="W104" s="74">
        <f>IF(P104="","",IFERROR(INDEX(LMH_PTS,MATCH(P104,LMH_KEY,0))/SUM(IFERROR(INDEX(LMH_PTS,MATCH(J104,LMH_KEY,0)),0),IFERROR(INDEX(LMH_PTS,MATCH(K104,LMH_KEY,0)),0),IFERROR(INDEX(LMH_PTS,MATCH(L104,LMH_KEY,0)),0),IFERROR(INDEX(LMH_PTS,MATCH(M104,LMH_KEY,0)),0),IFERROR(INDEX(LMH_PTS,MATCH(N104,LMH_KEY,0)),0),IFERROR(INDEX(LMH_PTS,MATCH(O104,LMH_KEY,0)),0),IFERROR(INDEX(LMH_PTS,MATCH(P104,LMH_KEY,0)),0)),""))</f>
        <v>0.0526315789473684</v>
      </c>
      <c r="X104" s="44" t="n"/>
      <c r="Y104" s="38" t="inlineStr">
        <is>
          <t>CARBON|Services|Service Delivery Specialist|A3|A</t>
        </is>
      </c>
    </row>
    <row r="105" ht="28" customHeight="1">
      <c r="A105" s="28" t="inlineStr">
        <is>
          <t>CARBON</t>
        </is>
      </c>
      <c r="B105" s="29" t="inlineStr">
        <is>
          <t>Services</t>
        </is>
      </c>
      <c r="C105" s="75" t="inlineStr">
        <is>
          <t>A3</t>
        </is>
      </c>
      <c r="D105" s="29" t="inlineStr">
        <is>
          <t>Band A · Practitioner</t>
        </is>
      </c>
      <c r="E105" s="29" t="inlineStr">
        <is>
          <t>Team Lead – Assisted Services</t>
        </is>
      </c>
      <c r="F105" s="29" t="inlineStr">
        <is>
          <t>Band A · all tracks</t>
        </is>
      </c>
      <c r="G105" s="29" t="inlineStr">
        <is>
          <t>Consulting &amp; Professional Services</t>
        </is>
      </c>
      <c r="H105" s="29" t="n">
        <v>1</v>
      </c>
      <c r="I105" s="29" t="inlineStr">
        <is>
          <t>Vipul Kurhade</t>
        </is>
      </c>
      <c r="J105" s="34" t="str">
        <f>IFERROR(INDEX(RBD_C,MATCH("Consulting &amp; Professional Services|A3|A",RBD_KEY,0)),"M")</f>
        <v>H</v>
      </c>
      <c r="K105" s="35" t="str">
        <f>IFERROR(INDEX(RBD_Au,MATCH("Consulting &amp; Professional Services|A3|A",RBD_KEY,0)),"M")</f>
        <v>M</v>
      </c>
      <c r="L105" s="35" t="str">
        <f>IFERROR(INDEX(RBD_Ac,MATCH("Consulting &amp; Professional Services|A3|A",RBD_KEY,0)),"M")</f>
        <v>M</v>
      </c>
      <c r="M105" s="35" t="str">
        <f>IFERROR(INDEX(RBD_L,MATCH("Consulting &amp; Professional Services|A3|A",RBD_KEY,0)),"M")</f>
        <v>L</v>
      </c>
      <c r="N105" s="35" t="str">
        <f>IFERROR(INDEX(RBD_BI,MATCH("Consulting &amp; Professional Services|A3|A",RBD_KEY,0)),"M")</f>
        <v>L</v>
      </c>
      <c r="O105" s="35" t="str">
        <f>IFERROR(INDEX(RBD_Exp,MATCH("Consulting &amp; Professional Services|A3|A",RBD_KEY,0)),"M")</f>
        <v>L</v>
      </c>
      <c r="P105" s="35" t="str">
        <f>IFERROR(INDEX(RBD_Edu,MATCH("Consulting &amp; Professional Services|A3|A",RBD_KEY,0)),"M")</f>
        <v>L</v>
      </c>
      <c r="Q105" s="73">
        <f>IF(J105="","",IFERROR(INDEX(LMH_PTS,MATCH(J105,LMH_KEY,0))/SUM(IFERROR(INDEX(LMH_PTS,MATCH(J105,LMH_KEY,0)),0),IFERROR(INDEX(LMH_PTS,MATCH(K105,LMH_KEY,0)),0),IFERROR(INDEX(LMH_PTS,MATCH(L105,LMH_KEY,0)),0),IFERROR(INDEX(LMH_PTS,MATCH(M105,LMH_KEY,0)),0),IFERROR(INDEX(LMH_PTS,MATCH(N105,LMH_KEY,0)),0),IFERROR(INDEX(LMH_PTS,MATCH(O105,LMH_KEY,0)),0),IFERROR(INDEX(LMH_PTS,MATCH(P105,LMH_KEY,0)),0)),""))</f>
        <v>0.473684210526316</v>
      </c>
      <c r="R105" s="74">
        <f>IF(K105="","",IFERROR(INDEX(LMH_PTS,MATCH(K105,LMH_KEY,0))/SUM(IFERROR(INDEX(LMH_PTS,MATCH(J105,LMH_KEY,0)),0),IFERROR(INDEX(LMH_PTS,MATCH(K105,LMH_KEY,0)),0),IFERROR(INDEX(LMH_PTS,MATCH(L105,LMH_KEY,0)),0),IFERROR(INDEX(LMH_PTS,MATCH(M105,LMH_KEY,0)),0),IFERROR(INDEX(LMH_PTS,MATCH(N105,LMH_KEY,0)),0),IFERROR(INDEX(LMH_PTS,MATCH(O105,LMH_KEY,0)),0),IFERROR(INDEX(LMH_PTS,MATCH(P105,LMH_KEY,0)),0)),""))</f>
        <v>0.157894736842105</v>
      </c>
      <c r="S105" s="74">
        <f>IF(L105="","",IFERROR(INDEX(LMH_PTS,MATCH(L105,LMH_KEY,0))/SUM(IFERROR(INDEX(LMH_PTS,MATCH(J105,LMH_KEY,0)),0),IFERROR(INDEX(LMH_PTS,MATCH(K105,LMH_KEY,0)),0),IFERROR(INDEX(LMH_PTS,MATCH(L105,LMH_KEY,0)),0),IFERROR(INDEX(LMH_PTS,MATCH(M105,LMH_KEY,0)),0),IFERROR(INDEX(LMH_PTS,MATCH(N105,LMH_KEY,0)),0),IFERROR(INDEX(LMH_PTS,MATCH(O105,LMH_KEY,0)),0),IFERROR(INDEX(LMH_PTS,MATCH(P105,LMH_KEY,0)),0)),""))</f>
        <v>0.157894736842105</v>
      </c>
      <c r="T105" s="74">
        <f>IF(M105="","",IFERROR(INDEX(LMH_PTS,MATCH(M105,LMH_KEY,0))/SUM(IFERROR(INDEX(LMH_PTS,MATCH(J105,LMH_KEY,0)),0),IFERROR(INDEX(LMH_PTS,MATCH(K105,LMH_KEY,0)),0),IFERROR(INDEX(LMH_PTS,MATCH(L105,LMH_KEY,0)),0),IFERROR(INDEX(LMH_PTS,MATCH(M105,LMH_KEY,0)),0),IFERROR(INDEX(LMH_PTS,MATCH(N105,LMH_KEY,0)),0),IFERROR(INDEX(LMH_PTS,MATCH(O105,LMH_KEY,0)),0),IFERROR(INDEX(LMH_PTS,MATCH(P105,LMH_KEY,0)),0)),""))</f>
        <v>0.0526315789473684</v>
      </c>
      <c r="U105" s="74">
        <f>IF(N105="","",IFERROR(INDEX(LMH_PTS,MATCH(N105,LMH_KEY,0))/SUM(IFERROR(INDEX(LMH_PTS,MATCH(J105,LMH_KEY,0)),0),IFERROR(INDEX(LMH_PTS,MATCH(K105,LMH_KEY,0)),0),IFERROR(INDEX(LMH_PTS,MATCH(L105,LMH_KEY,0)),0),IFERROR(INDEX(LMH_PTS,MATCH(M105,LMH_KEY,0)),0),IFERROR(INDEX(LMH_PTS,MATCH(N105,LMH_KEY,0)),0),IFERROR(INDEX(LMH_PTS,MATCH(O105,LMH_KEY,0)),0),IFERROR(INDEX(LMH_PTS,MATCH(P105,LMH_KEY,0)),0)),""))</f>
        <v>0.0526315789473684</v>
      </c>
      <c r="V105" s="74">
        <f>IF(O105="","",IFERROR(INDEX(LMH_PTS,MATCH(O105,LMH_KEY,0))/SUM(IFERROR(INDEX(LMH_PTS,MATCH(J105,LMH_KEY,0)),0),IFERROR(INDEX(LMH_PTS,MATCH(K105,LMH_KEY,0)),0),IFERROR(INDEX(LMH_PTS,MATCH(L105,LMH_KEY,0)),0),IFERROR(INDEX(LMH_PTS,MATCH(M105,LMH_KEY,0)),0),IFERROR(INDEX(LMH_PTS,MATCH(N105,LMH_KEY,0)),0),IFERROR(INDEX(LMH_PTS,MATCH(O105,LMH_KEY,0)),0),IFERROR(INDEX(LMH_PTS,MATCH(P105,LMH_KEY,0)),0)),""))</f>
        <v>0.0526315789473684</v>
      </c>
      <c r="W105" s="74">
        <f>IF(P105="","",IFERROR(INDEX(LMH_PTS,MATCH(P105,LMH_KEY,0))/SUM(IFERROR(INDEX(LMH_PTS,MATCH(J105,LMH_KEY,0)),0),IFERROR(INDEX(LMH_PTS,MATCH(K105,LMH_KEY,0)),0),IFERROR(INDEX(LMH_PTS,MATCH(L105,LMH_KEY,0)),0),IFERROR(INDEX(LMH_PTS,MATCH(M105,LMH_KEY,0)),0),IFERROR(INDEX(LMH_PTS,MATCH(N105,LMH_KEY,0)),0),IFERROR(INDEX(LMH_PTS,MATCH(O105,LMH_KEY,0)),0),IFERROR(INDEX(LMH_PTS,MATCH(P105,LMH_KEY,0)),0)),""))</f>
        <v>0.0526315789473684</v>
      </c>
      <c r="X105" s="44" t="n"/>
      <c r="Y105" s="38" t="inlineStr">
        <is>
          <t>CARBON|Services|Team Lead – Assisted Services|A3|A</t>
        </is>
      </c>
    </row>
    <row r="106" ht="53" customHeight="1">
      <c r="A106" s="28" t="inlineStr">
        <is>
          <t>CARBON</t>
        </is>
      </c>
      <c r="B106" s="29" t="inlineStr">
        <is>
          <t>Services</t>
        </is>
      </c>
      <c r="C106" s="75" t="inlineStr">
        <is>
          <t>A3</t>
        </is>
      </c>
      <c r="D106" s="29" t="inlineStr">
        <is>
          <t>Band A · Practitioner</t>
        </is>
      </c>
      <c r="E106" s="29" t="inlineStr">
        <is>
          <t>XBRL Specialist</t>
        </is>
      </c>
      <c r="F106" s="29" t="inlineStr">
        <is>
          <t>Band A · all tracks</t>
        </is>
      </c>
      <c r="G106" s="29" t="inlineStr">
        <is>
          <t>Consulting &amp; Professional Services</t>
        </is>
      </c>
      <c r="H106" s="29" t="n">
        <v>8</v>
      </c>
      <c r="I106" s="29" t="inlineStr">
        <is>
          <t>Manish Lipcha, Sagar Barbade, Amruta Mirashi, Pradul Meshram, Purva Shrivastava, Chetan Newase, Ruhee Chita, Sandeep Dhere</t>
        </is>
      </c>
      <c r="J106" s="34" t="str">
        <f>IFERROR(INDEX(RBD_C,MATCH("Consulting &amp; Professional Services|A3|A",RBD_KEY,0)),"M")</f>
        <v>H</v>
      </c>
      <c r="K106" s="35" t="str">
        <f>IFERROR(INDEX(RBD_Au,MATCH("Consulting &amp; Professional Services|A3|A",RBD_KEY,0)),"M")</f>
        <v>M</v>
      </c>
      <c r="L106" s="35" t="str">
        <f>IFERROR(INDEX(RBD_Ac,MATCH("Consulting &amp; Professional Services|A3|A",RBD_KEY,0)),"M")</f>
        <v>M</v>
      </c>
      <c r="M106" s="35" t="str">
        <f>IFERROR(INDEX(RBD_L,MATCH("Consulting &amp; Professional Services|A3|A",RBD_KEY,0)),"M")</f>
        <v>L</v>
      </c>
      <c r="N106" s="35" t="str">
        <f>IFERROR(INDEX(RBD_BI,MATCH("Consulting &amp; Professional Services|A3|A",RBD_KEY,0)),"M")</f>
        <v>L</v>
      </c>
      <c r="O106" s="35" t="str">
        <f>IFERROR(INDEX(RBD_Exp,MATCH("Consulting &amp; Professional Services|A3|A",RBD_KEY,0)),"M")</f>
        <v>L</v>
      </c>
      <c r="P106" s="35" t="str">
        <f>IFERROR(INDEX(RBD_Edu,MATCH("Consulting &amp; Professional Services|A3|A",RBD_KEY,0)),"M")</f>
        <v>L</v>
      </c>
      <c r="Q106" s="73">
        <f>IF(J106="","",IFERROR(INDEX(LMH_PTS,MATCH(J106,LMH_KEY,0))/SUM(IFERROR(INDEX(LMH_PTS,MATCH(J106,LMH_KEY,0)),0),IFERROR(INDEX(LMH_PTS,MATCH(K106,LMH_KEY,0)),0),IFERROR(INDEX(LMH_PTS,MATCH(L106,LMH_KEY,0)),0),IFERROR(INDEX(LMH_PTS,MATCH(M106,LMH_KEY,0)),0),IFERROR(INDEX(LMH_PTS,MATCH(N106,LMH_KEY,0)),0),IFERROR(INDEX(LMH_PTS,MATCH(O106,LMH_KEY,0)),0),IFERROR(INDEX(LMH_PTS,MATCH(P106,LMH_KEY,0)),0)),""))</f>
        <v>0.473684210526316</v>
      </c>
      <c r="R106" s="74">
        <f>IF(K106="","",IFERROR(INDEX(LMH_PTS,MATCH(K106,LMH_KEY,0))/SUM(IFERROR(INDEX(LMH_PTS,MATCH(J106,LMH_KEY,0)),0),IFERROR(INDEX(LMH_PTS,MATCH(K106,LMH_KEY,0)),0),IFERROR(INDEX(LMH_PTS,MATCH(L106,LMH_KEY,0)),0),IFERROR(INDEX(LMH_PTS,MATCH(M106,LMH_KEY,0)),0),IFERROR(INDEX(LMH_PTS,MATCH(N106,LMH_KEY,0)),0),IFERROR(INDEX(LMH_PTS,MATCH(O106,LMH_KEY,0)),0),IFERROR(INDEX(LMH_PTS,MATCH(P106,LMH_KEY,0)),0)),""))</f>
        <v>0.157894736842105</v>
      </c>
      <c r="S106" s="74">
        <f>IF(L106="","",IFERROR(INDEX(LMH_PTS,MATCH(L106,LMH_KEY,0))/SUM(IFERROR(INDEX(LMH_PTS,MATCH(J106,LMH_KEY,0)),0),IFERROR(INDEX(LMH_PTS,MATCH(K106,LMH_KEY,0)),0),IFERROR(INDEX(LMH_PTS,MATCH(L106,LMH_KEY,0)),0),IFERROR(INDEX(LMH_PTS,MATCH(M106,LMH_KEY,0)),0),IFERROR(INDEX(LMH_PTS,MATCH(N106,LMH_KEY,0)),0),IFERROR(INDEX(LMH_PTS,MATCH(O106,LMH_KEY,0)),0),IFERROR(INDEX(LMH_PTS,MATCH(P106,LMH_KEY,0)),0)),""))</f>
        <v>0.157894736842105</v>
      </c>
      <c r="T106" s="74">
        <f>IF(M106="","",IFERROR(INDEX(LMH_PTS,MATCH(M106,LMH_KEY,0))/SUM(IFERROR(INDEX(LMH_PTS,MATCH(J106,LMH_KEY,0)),0),IFERROR(INDEX(LMH_PTS,MATCH(K106,LMH_KEY,0)),0),IFERROR(INDEX(LMH_PTS,MATCH(L106,LMH_KEY,0)),0),IFERROR(INDEX(LMH_PTS,MATCH(M106,LMH_KEY,0)),0),IFERROR(INDEX(LMH_PTS,MATCH(N106,LMH_KEY,0)),0),IFERROR(INDEX(LMH_PTS,MATCH(O106,LMH_KEY,0)),0),IFERROR(INDEX(LMH_PTS,MATCH(P106,LMH_KEY,0)),0)),""))</f>
        <v>0.0526315789473684</v>
      </c>
      <c r="U106" s="74">
        <f>IF(N106="","",IFERROR(INDEX(LMH_PTS,MATCH(N106,LMH_KEY,0))/SUM(IFERROR(INDEX(LMH_PTS,MATCH(J106,LMH_KEY,0)),0),IFERROR(INDEX(LMH_PTS,MATCH(K106,LMH_KEY,0)),0),IFERROR(INDEX(LMH_PTS,MATCH(L106,LMH_KEY,0)),0),IFERROR(INDEX(LMH_PTS,MATCH(M106,LMH_KEY,0)),0),IFERROR(INDEX(LMH_PTS,MATCH(N106,LMH_KEY,0)),0),IFERROR(INDEX(LMH_PTS,MATCH(O106,LMH_KEY,0)),0),IFERROR(INDEX(LMH_PTS,MATCH(P106,LMH_KEY,0)),0)),""))</f>
        <v>0.0526315789473684</v>
      </c>
      <c r="V106" s="74">
        <f>IF(O106="","",IFERROR(INDEX(LMH_PTS,MATCH(O106,LMH_KEY,0))/SUM(IFERROR(INDEX(LMH_PTS,MATCH(J106,LMH_KEY,0)),0),IFERROR(INDEX(LMH_PTS,MATCH(K106,LMH_KEY,0)),0),IFERROR(INDEX(LMH_PTS,MATCH(L106,LMH_KEY,0)),0),IFERROR(INDEX(LMH_PTS,MATCH(M106,LMH_KEY,0)),0),IFERROR(INDEX(LMH_PTS,MATCH(N106,LMH_KEY,0)),0),IFERROR(INDEX(LMH_PTS,MATCH(O106,LMH_KEY,0)),0),IFERROR(INDEX(LMH_PTS,MATCH(P106,LMH_KEY,0)),0)),""))</f>
        <v>0.0526315789473684</v>
      </c>
      <c r="W106" s="74">
        <f>IF(P106="","",IFERROR(INDEX(LMH_PTS,MATCH(P106,LMH_KEY,0))/SUM(IFERROR(INDEX(LMH_PTS,MATCH(J106,LMH_KEY,0)),0),IFERROR(INDEX(LMH_PTS,MATCH(K106,LMH_KEY,0)),0),IFERROR(INDEX(LMH_PTS,MATCH(L106,LMH_KEY,0)),0),IFERROR(INDEX(LMH_PTS,MATCH(M106,LMH_KEY,0)),0),IFERROR(INDEX(LMH_PTS,MATCH(N106,LMH_KEY,0)),0),IFERROR(INDEX(LMH_PTS,MATCH(O106,LMH_KEY,0)),0),IFERROR(INDEX(LMH_PTS,MATCH(P106,LMH_KEY,0)),0)),""))</f>
        <v>0.0526315789473684</v>
      </c>
      <c r="X106" s="44" t="n"/>
      <c r="Y106" s="38" t="inlineStr">
        <is>
          <t>CARBON|Services|XBRL Specialist|A3|A</t>
        </is>
      </c>
    </row>
    <row r="107" ht="18" customHeight="1">
      <c r="A107" s="28" t="inlineStr">
        <is>
          <t>CARBON</t>
        </is>
      </c>
      <c r="B107" s="29" t="inlineStr">
        <is>
          <t>Services</t>
        </is>
      </c>
      <c r="C107" s="75" t="inlineStr">
        <is>
          <t>A2</t>
        </is>
      </c>
      <c r="D107" s="29" t="inlineStr">
        <is>
          <t>Band A · Practitioner</t>
        </is>
      </c>
      <c r="E107" s="29" t="inlineStr">
        <is>
          <t>Financial Analyst</t>
        </is>
      </c>
      <c r="F107" s="29" t="inlineStr">
        <is>
          <t>Band A · all tracks</t>
        </is>
      </c>
      <c r="G107" s="29" t="inlineStr">
        <is>
          <t>Consulting &amp; Professional Services</t>
        </is>
      </c>
      <c r="H107" s="29" t="n">
        <v>1</v>
      </c>
      <c r="I107" s="29" t="inlineStr">
        <is>
          <t>Anjali Singh</t>
        </is>
      </c>
      <c r="J107" s="34" t="str">
        <f>IFERROR(INDEX(RBD_C,MATCH("Consulting &amp; Professional Services|A2|A",RBD_KEY,0)),"M")</f>
        <v>H</v>
      </c>
      <c r="K107" s="35" t="str">
        <f>IFERROR(INDEX(RBD_Au,MATCH("Consulting &amp; Professional Services|A2|A",RBD_KEY,0)),"M")</f>
        <v>M</v>
      </c>
      <c r="L107" s="35" t="str">
        <f>IFERROR(INDEX(RBD_Ac,MATCH("Consulting &amp; Professional Services|A2|A",RBD_KEY,0)),"M")</f>
        <v>M</v>
      </c>
      <c r="M107" s="35" t="str">
        <f>IFERROR(INDEX(RBD_L,MATCH("Consulting &amp; Professional Services|A2|A",RBD_KEY,0)),"M")</f>
        <v>L</v>
      </c>
      <c r="N107" s="35" t="str">
        <f>IFERROR(INDEX(RBD_BI,MATCH("Consulting &amp; Professional Services|A2|A",RBD_KEY,0)),"M")</f>
        <v>L</v>
      </c>
      <c r="O107" s="35" t="str">
        <f>IFERROR(INDEX(RBD_Exp,MATCH("Consulting &amp; Professional Services|A2|A",RBD_KEY,0)),"M")</f>
        <v>L</v>
      </c>
      <c r="P107" s="35" t="str">
        <f>IFERROR(INDEX(RBD_Edu,MATCH("Consulting &amp; Professional Services|A2|A",RBD_KEY,0)),"M")</f>
        <v>L</v>
      </c>
      <c r="Q107" s="73">
        <f>IF(J107="","",IFERROR(INDEX(LMH_PTS,MATCH(J107,LMH_KEY,0))/SUM(IFERROR(INDEX(LMH_PTS,MATCH(J107,LMH_KEY,0)),0),IFERROR(INDEX(LMH_PTS,MATCH(K107,LMH_KEY,0)),0),IFERROR(INDEX(LMH_PTS,MATCH(L107,LMH_KEY,0)),0),IFERROR(INDEX(LMH_PTS,MATCH(M107,LMH_KEY,0)),0),IFERROR(INDEX(LMH_PTS,MATCH(N107,LMH_KEY,0)),0),IFERROR(INDEX(LMH_PTS,MATCH(O107,LMH_KEY,0)),0),IFERROR(INDEX(LMH_PTS,MATCH(P107,LMH_KEY,0)),0)),""))</f>
        <v>0.473684210526316</v>
      </c>
      <c r="R107" s="74">
        <f>IF(K107="","",IFERROR(INDEX(LMH_PTS,MATCH(K107,LMH_KEY,0))/SUM(IFERROR(INDEX(LMH_PTS,MATCH(J107,LMH_KEY,0)),0),IFERROR(INDEX(LMH_PTS,MATCH(K107,LMH_KEY,0)),0),IFERROR(INDEX(LMH_PTS,MATCH(L107,LMH_KEY,0)),0),IFERROR(INDEX(LMH_PTS,MATCH(M107,LMH_KEY,0)),0),IFERROR(INDEX(LMH_PTS,MATCH(N107,LMH_KEY,0)),0),IFERROR(INDEX(LMH_PTS,MATCH(O107,LMH_KEY,0)),0),IFERROR(INDEX(LMH_PTS,MATCH(P107,LMH_KEY,0)),0)),""))</f>
        <v>0.157894736842105</v>
      </c>
      <c r="S107" s="74">
        <f>IF(L107="","",IFERROR(INDEX(LMH_PTS,MATCH(L107,LMH_KEY,0))/SUM(IFERROR(INDEX(LMH_PTS,MATCH(J107,LMH_KEY,0)),0),IFERROR(INDEX(LMH_PTS,MATCH(K107,LMH_KEY,0)),0),IFERROR(INDEX(LMH_PTS,MATCH(L107,LMH_KEY,0)),0),IFERROR(INDEX(LMH_PTS,MATCH(M107,LMH_KEY,0)),0),IFERROR(INDEX(LMH_PTS,MATCH(N107,LMH_KEY,0)),0),IFERROR(INDEX(LMH_PTS,MATCH(O107,LMH_KEY,0)),0),IFERROR(INDEX(LMH_PTS,MATCH(P107,LMH_KEY,0)),0)),""))</f>
        <v>0.157894736842105</v>
      </c>
      <c r="T107" s="74">
        <f>IF(M107="","",IFERROR(INDEX(LMH_PTS,MATCH(M107,LMH_KEY,0))/SUM(IFERROR(INDEX(LMH_PTS,MATCH(J107,LMH_KEY,0)),0),IFERROR(INDEX(LMH_PTS,MATCH(K107,LMH_KEY,0)),0),IFERROR(INDEX(LMH_PTS,MATCH(L107,LMH_KEY,0)),0),IFERROR(INDEX(LMH_PTS,MATCH(M107,LMH_KEY,0)),0),IFERROR(INDEX(LMH_PTS,MATCH(N107,LMH_KEY,0)),0),IFERROR(INDEX(LMH_PTS,MATCH(O107,LMH_KEY,0)),0),IFERROR(INDEX(LMH_PTS,MATCH(P107,LMH_KEY,0)),0)),""))</f>
        <v>0.0526315789473684</v>
      </c>
      <c r="U107" s="74">
        <f>IF(N107="","",IFERROR(INDEX(LMH_PTS,MATCH(N107,LMH_KEY,0))/SUM(IFERROR(INDEX(LMH_PTS,MATCH(J107,LMH_KEY,0)),0),IFERROR(INDEX(LMH_PTS,MATCH(K107,LMH_KEY,0)),0),IFERROR(INDEX(LMH_PTS,MATCH(L107,LMH_KEY,0)),0),IFERROR(INDEX(LMH_PTS,MATCH(M107,LMH_KEY,0)),0),IFERROR(INDEX(LMH_PTS,MATCH(N107,LMH_KEY,0)),0),IFERROR(INDEX(LMH_PTS,MATCH(O107,LMH_KEY,0)),0),IFERROR(INDEX(LMH_PTS,MATCH(P107,LMH_KEY,0)),0)),""))</f>
        <v>0.0526315789473684</v>
      </c>
      <c r="V107" s="74">
        <f>IF(O107="","",IFERROR(INDEX(LMH_PTS,MATCH(O107,LMH_KEY,0))/SUM(IFERROR(INDEX(LMH_PTS,MATCH(J107,LMH_KEY,0)),0),IFERROR(INDEX(LMH_PTS,MATCH(K107,LMH_KEY,0)),0),IFERROR(INDEX(LMH_PTS,MATCH(L107,LMH_KEY,0)),0),IFERROR(INDEX(LMH_PTS,MATCH(M107,LMH_KEY,0)),0),IFERROR(INDEX(LMH_PTS,MATCH(N107,LMH_KEY,0)),0),IFERROR(INDEX(LMH_PTS,MATCH(O107,LMH_KEY,0)),0),IFERROR(INDEX(LMH_PTS,MATCH(P107,LMH_KEY,0)),0)),""))</f>
        <v>0.0526315789473684</v>
      </c>
      <c r="W107" s="74">
        <f>IF(P107="","",IFERROR(INDEX(LMH_PTS,MATCH(P107,LMH_KEY,0))/SUM(IFERROR(INDEX(LMH_PTS,MATCH(J107,LMH_KEY,0)),0),IFERROR(INDEX(LMH_PTS,MATCH(K107,LMH_KEY,0)),0),IFERROR(INDEX(LMH_PTS,MATCH(L107,LMH_KEY,0)),0),IFERROR(INDEX(LMH_PTS,MATCH(M107,LMH_KEY,0)),0),IFERROR(INDEX(LMH_PTS,MATCH(N107,LMH_KEY,0)),0),IFERROR(INDEX(LMH_PTS,MATCH(O107,LMH_KEY,0)),0),IFERROR(INDEX(LMH_PTS,MATCH(P107,LMH_KEY,0)),0)),""))</f>
        <v>0.0526315789473684</v>
      </c>
      <c r="X107" s="44" t="n"/>
      <c r="Y107" s="38" t="inlineStr">
        <is>
          <t>CARBON|Services|Financial Analyst|A2|A</t>
        </is>
      </c>
    </row>
    <row r="108" ht="28" customHeight="1">
      <c r="A108" s="28" t="inlineStr">
        <is>
          <t>CARBON</t>
        </is>
      </c>
      <c r="B108" s="29" t="inlineStr">
        <is>
          <t>Services</t>
        </is>
      </c>
      <c r="C108" s="75" t="inlineStr">
        <is>
          <t>A2</t>
        </is>
      </c>
      <c r="D108" s="29" t="inlineStr">
        <is>
          <t>Band A · Practitioner</t>
        </is>
      </c>
      <c r="E108" s="29" t="inlineStr">
        <is>
          <t>Senior Financial Analyst</t>
        </is>
      </c>
      <c r="F108" s="29" t="inlineStr">
        <is>
          <t>Band A · all tracks</t>
        </is>
      </c>
      <c r="G108" s="29" t="inlineStr">
        <is>
          <t>Consulting &amp; Professional Services</t>
        </is>
      </c>
      <c r="H108" s="29" t="n">
        <v>4</v>
      </c>
      <c r="I108" s="29" t="inlineStr">
        <is>
          <t>Amol Keskar, Dipak Warkhade, Payal Gala, Prerna Savaratkar</t>
        </is>
      </c>
      <c r="J108" s="34" t="str">
        <f>IFERROR(INDEX(RBD_C,MATCH("Consulting &amp; Professional Services|A2|A",RBD_KEY,0)),"M")</f>
        <v>H</v>
      </c>
      <c r="K108" s="35" t="str">
        <f>IFERROR(INDEX(RBD_Au,MATCH("Consulting &amp; Professional Services|A2|A",RBD_KEY,0)),"M")</f>
        <v>M</v>
      </c>
      <c r="L108" s="35" t="str">
        <f>IFERROR(INDEX(RBD_Ac,MATCH("Consulting &amp; Professional Services|A2|A",RBD_KEY,0)),"M")</f>
        <v>M</v>
      </c>
      <c r="M108" s="35" t="str">
        <f>IFERROR(INDEX(RBD_L,MATCH("Consulting &amp; Professional Services|A2|A",RBD_KEY,0)),"M")</f>
        <v>L</v>
      </c>
      <c r="N108" s="35" t="str">
        <f>IFERROR(INDEX(RBD_BI,MATCH("Consulting &amp; Professional Services|A2|A",RBD_KEY,0)),"M")</f>
        <v>L</v>
      </c>
      <c r="O108" s="35" t="str">
        <f>IFERROR(INDEX(RBD_Exp,MATCH("Consulting &amp; Professional Services|A2|A",RBD_KEY,0)),"M")</f>
        <v>L</v>
      </c>
      <c r="P108" s="35" t="str">
        <f>IFERROR(INDEX(RBD_Edu,MATCH("Consulting &amp; Professional Services|A2|A",RBD_KEY,0)),"M")</f>
        <v>L</v>
      </c>
      <c r="Q108" s="73">
        <f>IF(J108="","",IFERROR(INDEX(LMH_PTS,MATCH(J108,LMH_KEY,0))/SUM(IFERROR(INDEX(LMH_PTS,MATCH(J108,LMH_KEY,0)),0),IFERROR(INDEX(LMH_PTS,MATCH(K108,LMH_KEY,0)),0),IFERROR(INDEX(LMH_PTS,MATCH(L108,LMH_KEY,0)),0),IFERROR(INDEX(LMH_PTS,MATCH(M108,LMH_KEY,0)),0),IFERROR(INDEX(LMH_PTS,MATCH(N108,LMH_KEY,0)),0),IFERROR(INDEX(LMH_PTS,MATCH(O108,LMH_KEY,0)),0),IFERROR(INDEX(LMH_PTS,MATCH(P108,LMH_KEY,0)),0)),""))</f>
        <v>0.473684210526316</v>
      </c>
      <c r="R108" s="74">
        <f>IF(K108="","",IFERROR(INDEX(LMH_PTS,MATCH(K108,LMH_KEY,0))/SUM(IFERROR(INDEX(LMH_PTS,MATCH(J108,LMH_KEY,0)),0),IFERROR(INDEX(LMH_PTS,MATCH(K108,LMH_KEY,0)),0),IFERROR(INDEX(LMH_PTS,MATCH(L108,LMH_KEY,0)),0),IFERROR(INDEX(LMH_PTS,MATCH(M108,LMH_KEY,0)),0),IFERROR(INDEX(LMH_PTS,MATCH(N108,LMH_KEY,0)),0),IFERROR(INDEX(LMH_PTS,MATCH(O108,LMH_KEY,0)),0),IFERROR(INDEX(LMH_PTS,MATCH(P108,LMH_KEY,0)),0)),""))</f>
        <v>0.157894736842105</v>
      </c>
      <c r="S108" s="74">
        <f>IF(L108="","",IFERROR(INDEX(LMH_PTS,MATCH(L108,LMH_KEY,0))/SUM(IFERROR(INDEX(LMH_PTS,MATCH(J108,LMH_KEY,0)),0),IFERROR(INDEX(LMH_PTS,MATCH(K108,LMH_KEY,0)),0),IFERROR(INDEX(LMH_PTS,MATCH(L108,LMH_KEY,0)),0),IFERROR(INDEX(LMH_PTS,MATCH(M108,LMH_KEY,0)),0),IFERROR(INDEX(LMH_PTS,MATCH(N108,LMH_KEY,0)),0),IFERROR(INDEX(LMH_PTS,MATCH(O108,LMH_KEY,0)),0),IFERROR(INDEX(LMH_PTS,MATCH(P108,LMH_KEY,0)),0)),""))</f>
        <v>0.157894736842105</v>
      </c>
      <c r="T108" s="74">
        <f>IF(M108="","",IFERROR(INDEX(LMH_PTS,MATCH(M108,LMH_KEY,0))/SUM(IFERROR(INDEX(LMH_PTS,MATCH(J108,LMH_KEY,0)),0),IFERROR(INDEX(LMH_PTS,MATCH(K108,LMH_KEY,0)),0),IFERROR(INDEX(LMH_PTS,MATCH(L108,LMH_KEY,0)),0),IFERROR(INDEX(LMH_PTS,MATCH(M108,LMH_KEY,0)),0),IFERROR(INDEX(LMH_PTS,MATCH(N108,LMH_KEY,0)),0),IFERROR(INDEX(LMH_PTS,MATCH(O108,LMH_KEY,0)),0),IFERROR(INDEX(LMH_PTS,MATCH(P108,LMH_KEY,0)),0)),""))</f>
        <v>0.0526315789473684</v>
      </c>
      <c r="U108" s="74">
        <f>IF(N108="","",IFERROR(INDEX(LMH_PTS,MATCH(N108,LMH_KEY,0))/SUM(IFERROR(INDEX(LMH_PTS,MATCH(J108,LMH_KEY,0)),0),IFERROR(INDEX(LMH_PTS,MATCH(K108,LMH_KEY,0)),0),IFERROR(INDEX(LMH_PTS,MATCH(L108,LMH_KEY,0)),0),IFERROR(INDEX(LMH_PTS,MATCH(M108,LMH_KEY,0)),0),IFERROR(INDEX(LMH_PTS,MATCH(N108,LMH_KEY,0)),0),IFERROR(INDEX(LMH_PTS,MATCH(O108,LMH_KEY,0)),0),IFERROR(INDEX(LMH_PTS,MATCH(P108,LMH_KEY,0)),0)),""))</f>
        <v>0.0526315789473684</v>
      </c>
      <c r="V108" s="74">
        <f>IF(O108="","",IFERROR(INDEX(LMH_PTS,MATCH(O108,LMH_KEY,0))/SUM(IFERROR(INDEX(LMH_PTS,MATCH(J108,LMH_KEY,0)),0),IFERROR(INDEX(LMH_PTS,MATCH(K108,LMH_KEY,0)),0),IFERROR(INDEX(LMH_PTS,MATCH(L108,LMH_KEY,0)),0),IFERROR(INDEX(LMH_PTS,MATCH(M108,LMH_KEY,0)),0),IFERROR(INDEX(LMH_PTS,MATCH(N108,LMH_KEY,0)),0),IFERROR(INDEX(LMH_PTS,MATCH(O108,LMH_KEY,0)),0),IFERROR(INDEX(LMH_PTS,MATCH(P108,LMH_KEY,0)),0)),""))</f>
        <v>0.0526315789473684</v>
      </c>
      <c r="W108" s="74">
        <f>IF(P108="","",IFERROR(INDEX(LMH_PTS,MATCH(P108,LMH_KEY,0))/SUM(IFERROR(INDEX(LMH_PTS,MATCH(J108,LMH_KEY,0)),0),IFERROR(INDEX(LMH_PTS,MATCH(K108,LMH_KEY,0)),0),IFERROR(INDEX(LMH_PTS,MATCH(L108,LMH_KEY,0)),0),IFERROR(INDEX(LMH_PTS,MATCH(M108,LMH_KEY,0)),0),IFERROR(INDEX(LMH_PTS,MATCH(N108,LMH_KEY,0)),0),IFERROR(INDEX(LMH_PTS,MATCH(O108,LMH_KEY,0)),0),IFERROR(INDEX(LMH_PTS,MATCH(P108,LMH_KEY,0)),0)),""))</f>
        <v>0.0526315789473684</v>
      </c>
      <c r="X108" s="44" t="n"/>
      <c r="Y108" s="38" t="inlineStr">
        <is>
          <t>CARBON|Services|Senior Financial Analyst|A2|A</t>
        </is>
      </c>
    </row>
    <row r="109" ht="28" customHeight="1">
      <c r="A109" s="28" t="inlineStr">
        <is>
          <t>CARBON</t>
        </is>
      </c>
      <c r="B109" s="71" t="inlineStr">
        <is>
          <t>Support</t>
        </is>
      </c>
      <c r="C109" s="72" t="inlineStr">
        <is>
          <t>B3</t>
        </is>
      </c>
      <c r="D109" s="29" t="inlineStr">
        <is>
          <t>Band B · Specialist / Manager</t>
        </is>
      </c>
      <c r="E109" s="29" t="inlineStr">
        <is>
          <t>Associate Head – Customer Success</t>
        </is>
      </c>
      <c r="F109" s="29" t="inlineStr">
        <is>
          <t>Band B · People Manager</t>
        </is>
      </c>
      <c r="G109" s="29" t="inlineStr">
        <is>
          <t>Executive Leadership</t>
        </is>
      </c>
      <c r="H109" s="29" t="n">
        <v>1</v>
      </c>
      <c r="I109" s="29" t="inlineStr">
        <is>
          <t>Anushree Aparajit</t>
        </is>
      </c>
      <c r="J109" s="34" t="str">
        <f>IFERROR(INDEX(RBD_C,MATCH("Executive Leadership|B3|B-M",RBD_KEY,0)),"M")</f>
        <v>H</v>
      </c>
      <c r="K109" s="35" t="str">
        <f>IFERROR(INDEX(RBD_Au,MATCH("Executive Leadership|B3|B-M",RBD_KEY,0)),"M")</f>
        <v>M</v>
      </c>
      <c r="L109" s="35" t="str">
        <f>IFERROR(INDEX(RBD_Ac,MATCH("Executive Leadership|B3|B-M",RBD_KEY,0)),"M")</f>
        <v>M</v>
      </c>
      <c r="M109" s="35" t="str">
        <f>IFERROR(INDEX(RBD_L,MATCH("Executive Leadership|B3|B-M",RBD_KEY,0)),"M")</f>
        <v>M</v>
      </c>
      <c r="N109" s="35" t="str">
        <f>IFERROR(INDEX(RBD_BI,MATCH("Executive Leadership|B3|B-M",RBD_KEY,0)),"M")</f>
        <v>L</v>
      </c>
      <c r="O109" s="35" t="str">
        <f>IFERROR(INDEX(RBD_Exp,MATCH("Executive Leadership|B3|B-M",RBD_KEY,0)),"M")</f>
        <v>L</v>
      </c>
      <c r="P109" s="35" t="str">
        <f>IFERROR(INDEX(RBD_Edu,MATCH("Executive Leadership|B3|B-M",RBD_KEY,0)),"M")</f>
        <v>L</v>
      </c>
      <c r="Q109" s="73">
        <f>IF(J109="","",IFERROR(INDEX(LMH_PTS,MATCH(J109,LMH_KEY,0))/SUM(IFERROR(INDEX(LMH_PTS,MATCH(J109,LMH_KEY,0)),0),IFERROR(INDEX(LMH_PTS,MATCH(K109,LMH_KEY,0)),0),IFERROR(INDEX(LMH_PTS,MATCH(L109,LMH_KEY,0)),0),IFERROR(INDEX(LMH_PTS,MATCH(M109,LMH_KEY,0)),0),IFERROR(INDEX(LMH_PTS,MATCH(N109,LMH_KEY,0)),0),IFERROR(INDEX(LMH_PTS,MATCH(O109,LMH_KEY,0)),0),IFERROR(INDEX(LMH_PTS,MATCH(P109,LMH_KEY,0)),0)),""))</f>
        <v>0.428571428571429</v>
      </c>
      <c r="R109" s="74">
        <f>IF(K109="","",IFERROR(INDEX(LMH_PTS,MATCH(K109,LMH_KEY,0))/SUM(IFERROR(INDEX(LMH_PTS,MATCH(J109,LMH_KEY,0)),0),IFERROR(INDEX(LMH_PTS,MATCH(K109,LMH_KEY,0)),0),IFERROR(INDEX(LMH_PTS,MATCH(L109,LMH_KEY,0)),0),IFERROR(INDEX(LMH_PTS,MATCH(M109,LMH_KEY,0)),0),IFERROR(INDEX(LMH_PTS,MATCH(N109,LMH_KEY,0)),0),IFERROR(INDEX(LMH_PTS,MATCH(O109,LMH_KEY,0)),0),IFERROR(INDEX(LMH_PTS,MATCH(P109,LMH_KEY,0)),0)),""))</f>
        <v>0.142857142857143</v>
      </c>
      <c r="S109" s="74">
        <f>IF(L109="","",IFERROR(INDEX(LMH_PTS,MATCH(L109,LMH_KEY,0))/SUM(IFERROR(INDEX(LMH_PTS,MATCH(J109,LMH_KEY,0)),0),IFERROR(INDEX(LMH_PTS,MATCH(K109,LMH_KEY,0)),0),IFERROR(INDEX(LMH_PTS,MATCH(L109,LMH_KEY,0)),0),IFERROR(INDEX(LMH_PTS,MATCH(M109,LMH_KEY,0)),0),IFERROR(INDEX(LMH_PTS,MATCH(N109,LMH_KEY,0)),0),IFERROR(INDEX(LMH_PTS,MATCH(O109,LMH_KEY,0)),0),IFERROR(INDEX(LMH_PTS,MATCH(P109,LMH_KEY,0)),0)),""))</f>
        <v>0.142857142857143</v>
      </c>
      <c r="T109" s="74">
        <f>IF(M109="","",IFERROR(INDEX(LMH_PTS,MATCH(M109,LMH_KEY,0))/SUM(IFERROR(INDEX(LMH_PTS,MATCH(J109,LMH_KEY,0)),0),IFERROR(INDEX(LMH_PTS,MATCH(K109,LMH_KEY,0)),0),IFERROR(INDEX(LMH_PTS,MATCH(L109,LMH_KEY,0)),0),IFERROR(INDEX(LMH_PTS,MATCH(M109,LMH_KEY,0)),0),IFERROR(INDEX(LMH_PTS,MATCH(N109,LMH_KEY,0)),0),IFERROR(INDEX(LMH_PTS,MATCH(O109,LMH_KEY,0)),0),IFERROR(INDEX(LMH_PTS,MATCH(P109,LMH_KEY,0)),0)),""))</f>
        <v>0.142857142857143</v>
      </c>
      <c r="U109" s="74">
        <f>IF(N109="","",IFERROR(INDEX(LMH_PTS,MATCH(N109,LMH_KEY,0))/SUM(IFERROR(INDEX(LMH_PTS,MATCH(J109,LMH_KEY,0)),0),IFERROR(INDEX(LMH_PTS,MATCH(K109,LMH_KEY,0)),0),IFERROR(INDEX(LMH_PTS,MATCH(L109,LMH_KEY,0)),0),IFERROR(INDEX(LMH_PTS,MATCH(M109,LMH_KEY,0)),0),IFERROR(INDEX(LMH_PTS,MATCH(N109,LMH_KEY,0)),0),IFERROR(INDEX(LMH_PTS,MATCH(O109,LMH_KEY,0)),0),IFERROR(INDEX(LMH_PTS,MATCH(P109,LMH_KEY,0)),0)),""))</f>
        <v>0.0476190476190476</v>
      </c>
      <c r="V109" s="74">
        <f>IF(O109="","",IFERROR(INDEX(LMH_PTS,MATCH(O109,LMH_KEY,0))/SUM(IFERROR(INDEX(LMH_PTS,MATCH(J109,LMH_KEY,0)),0),IFERROR(INDEX(LMH_PTS,MATCH(K109,LMH_KEY,0)),0),IFERROR(INDEX(LMH_PTS,MATCH(L109,LMH_KEY,0)),0),IFERROR(INDEX(LMH_PTS,MATCH(M109,LMH_KEY,0)),0),IFERROR(INDEX(LMH_PTS,MATCH(N109,LMH_KEY,0)),0),IFERROR(INDEX(LMH_PTS,MATCH(O109,LMH_KEY,0)),0),IFERROR(INDEX(LMH_PTS,MATCH(P109,LMH_KEY,0)),0)),""))</f>
        <v>0.0476190476190476</v>
      </c>
      <c r="W109" s="74">
        <f>IF(P109="","",IFERROR(INDEX(LMH_PTS,MATCH(P109,LMH_KEY,0))/SUM(IFERROR(INDEX(LMH_PTS,MATCH(J109,LMH_KEY,0)),0),IFERROR(INDEX(LMH_PTS,MATCH(K109,LMH_KEY,0)),0),IFERROR(INDEX(LMH_PTS,MATCH(L109,LMH_KEY,0)),0),IFERROR(INDEX(LMH_PTS,MATCH(M109,LMH_KEY,0)),0),IFERROR(INDEX(LMH_PTS,MATCH(N109,LMH_KEY,0)),0),IFERROR(INDEX(LMH_PTS,MATCH(O109,LMH_KEY,0)),0),IFERROR(INDEX(LMH_PTS,MATCH(P109,LMH_KEY,0)),0)),""))</f>
        <v>0.0476190476190476</v>
      </c>
      <c r="X109" s="44" t="n"/>
      <c r="Y109" s="38" t="inlineStr">
        <is>
          <t>CARBON|Support|Associate Head – Customer Success|B3|B-M</t>
        </is>
      </c>
    </row>
    <row r="110" ht="18" customHeight="1">
      <c r="A110" s="28" t="inlineStr">
        <is>
          <t>CARBON</t>
        </is>
      </c>
      <c r="B110" s="29" t="inlineStr">
        <is>
          <t>Support</t>
        </is>
      </c>
      <c r="C110" s="72" t="inlineStr">
        <is>
          <t>B2</t>
        </is>
      </c>
      <c r="D110" s="29" t="inlineStr">
        <is>
          <t>Band B · Specialist / Manager</t>
        </is>
      </c>
      <c r="E110" s="29" t="inlineStr">
        <is>
          <t>Customer Success Specialist</t>
        </is>
      </c>
      <c r="F110" s="29" t="inlineStr">
        <is>
          <t>Band B · Specialist / POD Lead</t>
        </is>
      </c>
      <c r="G110" s="29" t="inlineStr">
        <is>
          <t>Customer Success &amp; Support</t>
        </is>
      </c>
      <c r="H110" s="29" t="n">
        <v>1</v>
      </c>
      <c r="I110" s="29" t="inlineStr">
        <is>
          <t>Chinmayi Patil</t>
        </is>
      </c>
      <c r="J110" s="34" t="str">
        <f>IFERROR(INDEX(RBD_C,MATCH("Customer Success &amp; Support|B2|B-IC",RBD_KEY,0)),"M")</f>
        <v>H</v>
      </c>
      <c r="K110" s="35" t="str">
        <f>IFERROR(INDEX(RBD_Au,MATCH("Customer Success &amp; Support|B2|B-IC",RBD_KEY,0)),"M")</f>
        <v>M</v>
      </c>
      <c r="L110" s="35" t="str">
        <f>IFERROR(INDEX(RBD_Ac,MATCH("Customer Success &amp; Support|B2|B-IC",RBD_KEY,0)),"M")</f>
        <v>M</v>
      </c>
      <c r="M110" s="35" t="str">
        <f>IFERROR(INDEX(RBD_L,MATCH("Customer Success &amp; Support|B2|B-IC",RBD_KEY,0)),"M")</f>
        <v>L</v>
      </c>
      <c r="N110" s="35" t="str">
        <f>IFERROR(INDEX(RBD_BI,MATCH("Customer Success &amp; Support|B2|B-IC",RBD_KEY,0)),"M")</f>
        <v>M</v>
      </c>
      <c r="O110" s="35" t="str">
        <f>IFERROR(INDEX(RBD_Exp,MATCH("Customer Success &amp; Support|B2|B-IC",RBD_KEY,0)),"M")</f>
        <v>L</v>
      </c>
      <c r="P110" s="35" t="str">
        <f>IFERROR(INDEX(RBD_Edu,MATCH("Customer Success &amp; Support|B2|B-IC",RBD_KEY,0)),"M")</f>
        <v>L</v>
      </c>
      <c r="Q110" s="73">
        <f>IF(J110="","",IFERROR(INDEX(LMH_PTS,MATCH(J110,LMH_KEY,0))/SUM(IFERROR(INDEX(LMH_PTS,MATCH(J110,LMH_KEY,0)),0),IFERROR(INDEX(LMH_PTS,MATCH(K110,LMH_KEY,0)),0),IFERROR(INDEX(LMH_PTS,MATCH(L110,LMH_KEY,0)),0),IFERROR(INDEX(LMH_PTS,MATCH(M110,LMH_KEY,0)),0),IFERROR(INDEX(LMH_PTS,MATCH(N110,LMH_KEY,0)),0),IFERROR(INDEX(LMH_PTS,MATCH(O110,LMH_KEY,0)),0),IFERROR(INDEX(LMH_PTS,MATCH(P110,LMH_KEY,0)),0)),""))</f>
        <v>0.428571428571429</v>
      </c>
      <c r="R110" s="74">
        <f>IF(K110="","",IFERROR(INDEX(LMH_PTS,MATCH(K110,LMH_KEY,0))/SUM(IFERROR(INDEX(LMH_PTS,MATCH(J110,LMH_KEY,0)),0),IFERROR(INDEX(LMH_PTS,MATCH(K110,LMH_KEY,0)),0),IFERROR(INDEX(LMH_PTS,MATCH(L110,LMH_KEY,0)),0),IFERROR(INDEX(LMH_PTS,MATCH(M110,LMH_KEY,0)),0),IFERROR(INDEX(LMH_PTS,MATCH(N110,LMH_KEY,0)),0),IFERROR(INDEX(LMH_PTS,MATCH(O110,LMH_KEY,0)),0),IFERROR(INDEX(LMH_PTS,MATCH(P110,LMH_KEY,0)),0)),""))</f>
        <v>0.142857142857143</v>
      </c>
      <c r="S110" s="74">
        <f>IF(L110="","",IFERROR(INDEX(LMH_PTS,MATCH(L110,LMH_KEY,0))/SUM(IFERROR(INDEX(LMH_PTS,MATCH(J110,LMH_KEY,0)),0),IFERROR(INDEX(LMH_PTS,MATCH(K110,LMH_KEY,0)),0),IFERROR(INDEX(LMH_PTS,MATCH(L110,LMH_KEY,0)),0),IFERROR(INDEX(LMH_PTS,MATCH(M110,LMH_KEY,0)),0),IFERROR(INDEX(LMH_PTS,MATCH(N110,LMH_KEY,0)),0),IFERROR(INDEX(LMH_PTS,MATCH(O110,LMH_KEY,0)),0),IFERROR(INDEX(LMH_PTS,MATCH(P110,LMH_KEY,0)),0)),""))</f>
        <v>0.142857142857143</v>
      </c>
      <c r="T110" s="74">
        <f>IF(M110="","",IFERROR(INDEX(LMH_PTS,MATCH(M110,LMH_KEY,0))/SUM(IFERROR(INDEX(LMH_PTS,MATCH(J110,LMH_KEY,0)),0),IFERROR(INDEX(LMH_PTS,MATCH(K110,LMH_KEY,0)),0),IFERROR(INDEX(LMH_PTS,MATCH(L110,LMH_KEY,0)),0),IFERROR(INDEX(LMH_PTS,MATCH(M110,LMH_KEY,0)),0),IFERROR(INDEX(LMH_PTS,MATCH(N110,LMH_KEY,0)),0),IFERROR(INDEX(LMH_PTS,MATCH(O110,LMH_KEY,0)),0),IFERROR(INDEX(LMH_PTS,MATCH(P110,LMH_KEY,0)),0)),""))</f>
        <v>0.0476190476190476</v>
      </c>
      <c r="U110" s="74">
        <f>IF(N110="","",IFERROR(INDEX(LMH_PTS,MATCH(N110,LMH_KEY,0))/SUM(IFERROR(INDEX(LMH_PTS,MATCH(J110,LMH_KEY,0)),0),IFERROR(INDEX(LMH_PTS,MATCH(K110,LMH_KEY,0)),0),IFERROR(INDEX(LMH_PTS,MATCH(L110,LMH_KEY,0)),0),IFERROR(INDEX(LMH_PTS,MATCH(M110,LMH_KEY,0)),0),IFERROR(INDEX(LMH_PTS,MATCH(N110,LMH_KEY,0)),0),IFERROR(INDEX(LMH_PTS,MATCH(O110,LMH_KEY,0)),0),IFERROR(INDEX(LMH_PTS,MATCH(P110,LMH_KEY,0)),0)),""))</f>
        <v>0.142857142857143</v>
      </c>
      <c r="V110" s="74">
        <f>IF(O110="","",IFERROR(INDEX(LMH_PTS,MATCH(O110,LMH_KEY,0))/SUM(IFERROR(INDEX(LMH_PTS,MATCH(J110,LMH_KEY,0)),0),IFERROR(INDEX(LMH_PTS,MATCH(K110,LMH_KEY,0)),0),IFERROR(INDEX(LMH_PTS,MATCH(L110,LMH_KEY,0)),0),IFERROR(INDEX(LMH_PTS,MATCH(M110,LMH_KEY,0)),0),IFERROR(INDEX(LMH_PTS,MATCH(N110,LMH_KEY,0)),0),IFERROR(INDEX(LMH_PTS,MATCH(O110,LMH_KEY,0)),0),IFERROR(INDEX(LMH_PTS,MATCH(P110,LMH_KEY,0)),0)),""))</f>
        <v>0.0476190476190476</v>
      </c>
      <c r="W110" s="74">
        <f>IF(P110="","",IFERROR(INDEX(LMH_PTS,MATCH(P110,LMH_KEY,0))/SUM(IFERROR(INDEX(LMH_PTS,MATCH(J110,LMH_KEY,0)),0),IFERROR(INDEX(LMH_PTS,MATCH(K110,LMH_KEY,0)),0),IFERROR(INDEX(LMH_PTS,MATCH(L110,LMH_KEY,0)),0),IFERROR(INDEX(LMH_PTS,MATCH(M110,LMH_KEY,0)),0),IFERROR(INDEX(LMH_PTS,MATCH(N110,LMH_KEY,0)),0),IFERROR(INDEX(LMH_PTS,MATCH(O110,LMH_KEY,0)),0),IFERROR(INDEX(LMH_PTS,MATCH(P110,LMH_KEY,0)),0)),""))</f>
        <v>0.0476190476190476</v>
      </c>
      <c r="X110" s="44" t="n"/>
      <c r="Y110" s="38" t="inlineStr">
        <is>
          <t>CARBON|Support|Customer Success Specialist|B2|B-IC</t>
        </is>
      </c>
    </row>
    <row r="111" ht="28" customHeight="1">
      <c r="A111" s="28" t="inlineStr">
        <is>
          <t>CARBON</t>
        </is>
      </c>
      <c r="B111" s="29" t="inlineStr">
        <is>
          <t>Support</t>
        </is>
      </c>
      <c r="C111" s="72" t="inlineStr">
        <is>
          <t>B2</t>
        </is>
      </c>
      <c r="D111" s="29" t="inlineStr">
        <is>
          <t>Band B · Specialist / Manager</t>
        </is>
      </c>
      <c r="E111" s="29" t="inlineStr">
        <is>
          <t>Senior Customer Success Specialist</t>
        </is>
      </c>
      <c r="F111" s="29" t="inlineStr">
        <is>
          <t>Band B · Specialist / POD Lead</t>
        </is>
      </c>
      <c r="G111" s="29" t="inlineStr">
        <is>
          <t>Customer Success &amp; Support</t>
        </is>
      </c>
      <c r="H111" s="29" t="n">
        <v>3</v>
      </c>
      <c r="I111" s="29" t="inlineStr">
        <is>
          <t>Praveen Kumar Rajpurohit, Pritam Agarwal, Varun Bubna</t>
        </is>
      </c>
      <c r="J111" s="34" t="str">
        <f>IFERROR(INDEX(RBD_C,MATCH("Customer Success &amp; Support|B2|B-IC",RBD_KEY,0)),"M")</f>
        <v>H</v>
      </c>
      <c r="K111" s="35" t="str">
        <f>IFERROR(INDEX(RBD_Au,MATCH("Customer Success &amp; Support|B2|B-IC",RBD_KEY,0)),"M")</f>
        <v>M</v>
      </c>
      <c r="L111" s="35" t="str">
        <f>IFERROR(INDEX(RBD_Ac,MATCH("Customer Success &amp; Support|B2|B-IC",RBD_KEY,0)),"M")</f>
        <v>M</v>
      </c>
      <c r="M111" s="35" t="str">
        <f>IFERROR(INDEX(RBD_L,MATCH("Customer Success &amp; Support|B2|B-IC",RBD_KEY,0)),"M")</f>
        <v>L</v>
      </c>
      <c r="N111" s="35" t="str">
        <f>IFERROR(INDEX(RBD_BI,MATCH("Customer Success &amp; Support|B2|B-IC",RBD_KEY,0)),"M")</f>
        <v>M</v>
      </c>
      <c r="O111" s="35" t="str">
        <f>IFERROR(INDEX(RBD_Exp,MATCH("Customer Success &amp; Support|B2|B-IC",RBD_KEY,0)),"M")</f>
        <v>L</v>
      </c>
      <c r="P111" s="35" t="str">
        <f>IFERROR(INDEX(RBD_Edu,MATCH("Customer Success &amp; Support|B2|B-IC",RBD_KEY,0)),"M")</f>
        <v>L</v>
      </c>
      <c r="Q111" s="73">
        <f>IF(J111="","",IFERROR(INDEX(LMH_PTS,MATCH(J111,LMH_KEY,0))/SUM(IFERROR(INDEX(LMH_PTS,MATCH(J111,LMH_KEY,0)),0),IFERROR(INDEX(LMH_PTS,MATCH(K111,LMH_KEY,0)),0),IFERROR(INDEX(LMH_PTS,MATCH(L111,LMH_KEY,0)),0),IFERROR(INDEX(LMH_PTS,MATCH(M111,LMH_KEY,0)),0),IFERROR(INDEX(LMH_PTS,MATCH(N111,LMH_KEY,0)),0),IFERROR(INDEX(LMH_PTS,MATCH(O111,LMH_KEY,0)),0),IFERROR(INDEX(LMH_PTS,MATCH(P111,LMH_KEY,0)),0)),""))</f>
        <v>0.428571428571429</v>
      </c>
      <c r="R111" s="74">
        <f>IF(K111="","",IFERROR(INDEX(LMH_PTS,MATCH(K111,LMH_KEY,0))/SUM(IFERROR(INDEX(LMH_PTS,MATCH(J111,LMH_KEY,0)),0),IFERROR(INDEX(LMH_PTS,MATCH(K111,LMH_KEY,0)),0),IFERROR(INDEX(LMH_PTS,MATCH(L111,LMH_KEY,0)),0),IFERROR(INDEX(LMH_PTS,MATCH(M111,LMH_KEY,0)),0),IFERROR(INDEX(LMH_PTS,MATCH(N111,LMH_KEY,0)),0),IFERROR(INDEX(LMH_PTS,MATCH(O111,LMH_KEY,0)),0),IFERROR(INDEX(LMH_PTS,MATCH(P111,LMH_KEY,0)),0)),""))</f>
        <v>0.142857142857143</v>
      </c>
      <c r="S111" s="74">
        <f>IF(L111="","",IFERROR(INDEX(LMH_PTS,MATCH(L111,LMH_KEY,0))/SUM(IFERROR(INDEX(LMH_PTS,MATCH(J111,LMH_KEY,0)),0),IFERROR(INDEX(LMH_PTS,MATCH(K111,LMH_KEY,0)),0),IFERROR(INDEX(LMH_PTS,MATCH(L111,LMH_KEY,0)),0),IFERROR(INDEX(LMH_PTS,MATCH(M111,LMH_KEY,0)),0),IFERROR(INDEX(LMH_PTS,MATCH(N111,LMH_KEY,0)),0),IFERROR(INDEX(LMH_PTS,MATCH(O111,LMH_KEY,0)),0),IFERROR(INDEX(LMH_PTS,MATCH(P111,LMH_KEY,0)),0)),""))</f>
        <v>0.142857142857143</v>
      </c>
      <c r="T111" s="74">
        <f>IF(M111="","",IFERROR(INDEX(LMH_PTS,MATCH(M111,LMH_KEY,0))/SUM(IFERROR(INDEX(LMH_PTS,MATCH(J111,LMH_KEY,0)),0),IFERROR(INDEX(LMH_PTS,MATCH(K111,LMH_KEY,0)),0),IFERROR(INDEX(LMH_PTS,MATCH(L111,LMH_KEY,0)),0),IFERROR(INDEX(LMH_PTS,MATCH(M111,LMH_KEY,0)),0),IFERROR(INDEX(LMH_PTS,MATCH(N111,LMH_KEY,0)),0),IFERROR(INDEX(LMH_PTS,MATCH(O111,LMH_KEY,0)),0),IFERROR(INDEX(LMH_PTS,MATCH(P111,LMH_KEY,0)),0)),""))</f>
        <v>0.0476190476190476</v>
      </c>
      <c r="U111" s="74">
        <f>IF(N111="","",IFERROR(INDEX(LMH_PTS,MATCH(N111,LMH_KEY,0))/SUM(IFERROR(INDEX(LMH_PTS,MATCH(J111,LMH_KEY,0)),0),IFERROR(INDEX(LMH_PTS,MATCH(K111,LMH_KEY,0)),0),IFERROR(INDEX(LMH_PTS,MATCH(L111,LMH_KEY,0)),0),IFERROR(INDEX(LMH_PTS,MATCH(M111,LMH_KEY,0)),0),IFERROR(INDEX(LMH_PTS,MATCH(N111,LMH_KEY,0)),0),IFERROR(INDEX(LMH_PTS,MATCH(O111,LMH_KEY,0)),0),IFERROR(INDEX(LMH_PTS,MATCH(P111,LMH_KEY,0)),0)),""))</f>
        <v>0.142857142857143</v>
      </c>
      <c r="V111" s="74">
        <f>IF(O111="","",IFERROR(INDEX(LMH_PTS,MATCH(O111,LMH_KEY,0))/SUM(IFERROR(INDEX(LMH_PTS,MATCH(J111,LMH_KEY,0)),0),IFERROR(INDEX(LMH_PTS,MATCH(K111,LMH_KEY,0)),0),IFERROR(INDEX(LMH_PTS,MATCH(L111,LMH_KEY,0)),0),IFERROR(INDEX(LMH_PTS,MATCH(M111,LMH_KEY,0)),0),IFERROR(INDEX(LMH_PTS,MATCH(N111,LMH_KEY,0)),0),IFERROR(INDEX(LMH_PTS,MATCH(O111,LMH_KEY,0)),0),IFERROR(INDEX(LMH_PTS,MATCH(P111,LMH_KEY,0)),0)),""))</f>
        <v>0.0476190476190476</v>
      </c>
      <c r="W111" s="74">
        <f>IF(P111="","",IFERROR(INDEX(LMH_PTS,MATCH(P111,LMH_KEY,0))/SUM(IFERROR(INDEX(LMH_PTS,MATCH(J111,LMH_KEY,0)),0),IFERROR(INDEX(LMH_PTS,MATCH(K111,LMH_KEY,0)),0),IFERROR(INDEX(LMH_PTS,MATCH(L111,LMH_KEY,0)),0),IFERROR(INDEX(LMH_PTS,MATCH(M111,LMH_KEY,0)),0),IFERROR(INDEX(LMH_PTS,MATCH(N111,LMH_KEY,0)),0),IFERROR(INDEX(LMH_PTS,MATCH(O111,LMH_KEY,0)),0),IFERROR(INDEX(LMH_PTS,MATCH(P111,LMH_KEY,0)),0)),""))</f>
        <v>0.0476190476190476</v>
      </c>
      <c r="X111" s="44" t="n"/>
      <c r="Y111" s="38" t="inlineStr">
        <is>
          <t>CARBON|Support|Senior Customer Success Specialist|B2|B-IC</t>
        </is>
      </c>
    </row>
    <row r="112" ht="28" customHeight="1">
      <c r="A112" s="28" t="inlineStr">
        <is>
          <t>CARBON</t>
        </is>
      </c>
      <c r="B112" s="29" t="inlineStr">
        <is>
          <t>Support</t>
        </is>
      </c>
      <c r="C112" s="72" t="inlineStr">
        <is>
          <t>B2</t>
        </is>
      </c>
      <c r="D112" s="29" t="inlineStr">
        <is>
          <t>Band B · Specialist / Manager</t>
        </is>
      </c>
      <c r="E112" s="29" t="inlineStr">
        <is>
          <t>Senior Customer Success Specialist – POD Lead</t>
        </is>
      </c>
      <c r="F112" s="29" t="inlineStr">
        <is>
          <t>Band B · Specialist / POD Lead</t>
        </is>
      </c>
      <c r="G112" s="29" t="inlineStr">
        <is>
          <t>Customer Success &amp; Support</t>
        </is>
      </c>
      <c r="H112" s="29" t="n">
        <v>1</v>
      </c>
      <c r="I112" s="29" t="inlineStr">
        <is>
          <t>Neha Gajbhiye</t>
        </is>
      </c>
      <c r="J112" s="34" t="str">
        <f>IFERROR(INDEX(RBD_C,MATCH("Customer Success &amp; Support|B2|B-IC",RBD_KEY,0)),"M")</f>
        <v>H</v>
      </c>
      <c r="K112" s="35" t="str">
        <f>IFERROR(INDEX(RBD_Au,MATCH("Customer Success &amp; Support|B2|B-IC",RBD_KEY,0)),"M")</f>
        <v>M</v>
      </c>
      <c r="L112" s="35" t="str">
        <f>IFERROR(INDEX(RBD_Ac,MATCH("Customer Success &amp; Support|B2|B-IC",RBD_KEY,0)),"M")</f>
        <v>M</v>
      </c>
      <c r="M112" s="35" t="str">
        <f>IFERROR(INDEX(RBD_L,MATCH("Customer Success &amp; Support|B2|B-IC",RBD_KEY,0)),"M")</f>
        <v>L</v>
      </c>
      <c r="N112" s="35" t="str">
        <f>IFERROR(INDEX(RBD_BI,MATCH("Customer Success &amp; Support|B2|B-IC",RBD_KEY,0)),"M")</f>
        <v>M</v>
      </c>
      <c r="O112" s="35" t="str">
        <f>IFERROR(INDEX(RBD_Exp,MATCH("Customer Success &amp; Support|B2|B-IC",RBD_KEY,0)),"M")</f>
        <v>L</v>
      </c>
      <c r="P112" s="35" t="str">
        <f>IFERROR(INDEX(RBD_Edu,MATCH("Customer Success &amp; Support|B2|B-IC",RBD_KEY,0)),"M")</f>
        <v>L</v>
      </c>
      <c r="Q112" s="73">
        <f>IF(J112="","",IFERROR(INDEX(LMH_PTS,MATCH(J112,LMH_KEY,0))/SUM(IFERROR(INDEX(LMH_PTS,MATCH(J112,LMH_KEY,0)),0),IFERROR(INDEX(LMH_PTS,MATCH(K112,LMH_KEY,0)),0),IFERROR(INDEX(LMH_PTS,MATCH(L112,LMH_KEY,0)),0),IFERROR(INDEX(LMH_PTS,MATCH(M112,LMH_KEY,0)),0),IFERROR(INDEX(LMH_PTS,MATCH(N112,LMH_KEY,0)),0),IFERROR(INDEX(LMH_PTS,MATCH(O112,LMH_KEY,0)),0),IFERROR(INDEX(LMH_PTS,MATCH(P112,LMH_KEY,0)),0)),""))</f>
        <v>0.428571428571429</v>
      </c>
      <c r="R112" s="74">
        <f>IF(K112="","",IFERROR(INDEX(LMH_PTS,MATCH(K112,LMH_KEY,0))/SUM(IFERROR(INDEX(LMH_PTS,MATCH(J112,LMH_KEY,0)),0),IFERROR(INDEX(LMH_PTS,MATCH(K112,LMH_KEY,0)),0),IFERROR(INDEX(LMH_PTS,MATCH(L112,LMH_KEY,0)),0),IFERROR(INDEX(LMH_PTS,MATCH(M112,LMH_KEY,0)),0),IFERROR(INDEX(LMH_PTS,MATCH(N112,LMH_KEY,0)),0),IFERROR(INDEX(LMH_PTS,MATCH(O112,LMH_KEY,0)),0),IFERROR(INDEX(LMH_PTS,MATCH(P112,LMH_KEY,0)),0)),""))</f>
        <v>0.142857142857143</v>
      </c>
      <c r="S112" s="74">
        <f>IF(L112="","",IFERROR(INDEX(LMH_PTS,MATCH(L112,LMH_KEY,0))/SUM(IFERROR(INDEX(LMH_PTS,MATCH(J112,LMH_KEY,0)),0),IFERROR(INDEX(LMH_PTS,MATCH(K112,LMH_KEY,0)),0),IFERROR(INDEX(LMH_PTS,MATCH(L112,LMH_KEY,0)),0),IFERROR(INDEX(LMH_PTS,MATCH(M112,LMH_KEY,0)),0),IFERROR(INDEX(LMH_PTS,MATCH(N112,LMH_KEY,0)),0),IFERROR(INDEX(LMH_PTS,MATCH(O112,LMH_KEY,0)),0),IFERROR(INDEX(LMH_PTS,MATCH(P112,LMH_KEY,0)),0)),""))</f>
        <v>0.142857142857143</v>
      </c>
      <c r="T112" s="74">
        <f>IF(M112="","",IFERROR(INDEX(LMH_PTS,MATCH(M112,LMH_KEY,0))/SUM(IFERROR(INDEX(LMH_PTS,MATCH(J112,LMH_KEY,0)),0),IFERROR(INDEX(LMH_PTS,MATCH(K112,LMH_KEY,0)),0),IFERROR(INDEX(LMH_PTS,MATCH(L112,LMH_KEY,0)),0),IFERROR(INDEX(LMH_PTS,MATCH(M112,LMH_KEY,0)),0),IFERROR(INDEX(LMH_PTS,MATCH(N112,LMH_KEY,0)),0),IFERROR(INDEX(LMH_PTS,MATCH(O112,LMH_KEY,0)),0),IFERROR(INDEX(LMH_PTS,MATCH(P112,LMH_KEY,0)),0)),""))</f>
        <v>0.0476190476190476</v>
      </c>
      <c r="U112" s="74">
        <f>IF(N112="","",IFERROR(INDEX(LMH_PTS,MATCH(N112,LMH_KEY,0))/SUM(IFERROR(INDEX(LMH_PTS,MATCH(J112,LMH_KEY,0)),0),IFERROR(INDEX(LMH_PTS,MATCH(K112,LMH_KEY,0)),0),IFERROR(INDEX(LMH_PTS,MATCH(L112,LMH_KEY,0)),0),IFERROR(INDEX(LMH_PTS,MATCH(M112,LMH_KEY,0)),0),IFERROR(INDEX(LMH_PTS,MATCH(N112,LMH_KEY,0)),0),IFERROR(INDEX(LMH_PTS,MATCH(O112,LMH_KEY,0)),0),IFERROR(INDEX(LMH_PTS,MATCH(P112,LMH_KEY,0)),0)),""))</f>
        <v>0.142857142857143</v>
      </c>
      <c r="V112" s="74">
        <f>IF(O112="","",IFERROR(INDEX(LMH_PTS,MATCH(O112,LMH_KEY,0))/SUM(IFERROR(INDEX(LMH_PTS,MATCH(J112,LMH_KEY,0)),0),IFERROR(INDEX(LMH_PTS,MATCH(K112,LMH_KEY,0)),0),IFERROR(INDEX(LMH_PTS,MATCH(L112,LMH_KEY,0)),0),IFERROR(INDEX(LMH_PTS,MATCH(M112,LMH_KEY,0)),0),IFERROR(INDEX(LMH_PTS,MATCH(N112,LMH_KEY,0)),0),IFERROR(INDEX(LMH_PTS,MATCH(O112,LMH_KEY,0)),0),IFERROR(INDEX(LMH_PTS,MATCH(P112,LMH_KEY,0)),0)),""))</f>
        <v>0.0476190476190476</v>
      </c>
      <c r="W112" s="74">
        <f>IF(P112="","",IFERROR(INDEX(LMH_PTS,MATCH(P112,LMH_KEY,0))/SUM(IFERROR(INDEX(LMH_PTS,MATCH(J112,LMH_KEY,0)),0),IFERROR(INDEX(LMH_PTS,MATCH(K112,LMH_KEY,0)),0),IFERROR(INDEX(LMH_PTS,MATCH(L112,LMH_KEY,0)),0),IFERROR(INDEX(LMH_PTS,MATCH(M112,LMH_KEY,0)),0),IFERROR(INDEX(LMH_PTS,MATCH(N112,LMH_KEY,0)),0),IFERROR(INDEX(LMH_PTS,MATCH(O112,LMH_KEY,0)),0),IFERROR(INDEX(LMH_PTS,MATCH(P112,LMH_KEY,0)),0)),""))</f>
        <v>0.0476190476190476</v>
      </c>
      <c r="X112" s="44" t="n"/>
      <c r="Y112" s="38" t="inlineStr">
        <is>
          <t>CARBON|Support|Senior Customer Success Specialist – POD Lead|B2|B-IC</t>
        </is>
      </c>
    </row>
    <row r="113" ht="18" customHeight="1">
      <c r="A113" s="28" t="inlineStr">
        <is>
          <t>CARBON</t>
        </is>
      </c>
      <c r="B113" s="29" t="inlineStr">
        <is>
          <t>Support</t>
        </is>
      </c>
      <c r="C113" s="72" t="inlineStr">
        <is>
          <t>B2</t>
        </is>
      </c>
      <c r="D113" s="29" t="inlineStr">
        <is>
          <t>Band B · Specialist / Manager</t>
        </is>
      </c>
      <c r="E113" s="29" t="inlineStr">
        <is>
          <t>Support Manager</t>
        </is>
      </c>
      <c r="F113" s="29" t="inlineStr">
        <is>
          <t>Band B · People Manager</t>
        </is>
      </c>
      <c r="G113" s="29" t="inlineStr">
        <is>
          <t>Customer Success &amp; Support</t>
        </is>
      </c>
      <c r="H113" s="29" t="n">
        <v>1</v>
      </c>
      <c r="I113" s="29" t="inlineStr">
        <is>
          <t>Harshal Shah</t>
        </is>
      </c>
      <c r="J113" s="34" t="str">
        <f>IFERROR(INDEX(RBD_C,MATCH("Customer Success &amp; Support|B2|B-M",RBD_KEY,0)),"M")</f>
        <v>H</v>
      </c>
      <c r="K113" s="35" t="str">
        <f>IFERROR(INDEX(RBD_Au,MATCH("Customer Success &amp; Support|B2|B-M",RBD_KEY,0)),"M")</f>
        <v>M</v>
      </c>
      <c r="L113" s="35" t="str">
        <f>IFERROR(INDEX(RBD_Ac,MATCH("Customer Success &amp; Support|B2|B-M",RBD_KEY,0)),"M")</f>
        <v>M</v>
      </c>
      <c r="M113" s="35" t="str">
        <f>IFERROR(INDEX(RBD_L,MATCH("Customer Success &amp; Support|B2|B-M",RBD_KEY,0)),"M")</f>
        <v>M</v>
      </c>
      <c r="N113" s="35" t="str">
        <f>IFERROR(INDEX(RBD_BI,MATCH("Customer Success &amp; Support|B2|B-M",RBD_KEY,0)),"M")</f>
        <v>M</v>
      </c>
      <c r="O113" s="35" t="str">
        <f>IFERROR(INDEX(RBD_Exp,MATCH("Customer Success &amp; Support|B2|B-M",RBD_KEY,0)),"M")</f>
        <v>L</v>
      </c>
      <c r="P113" s="35" t="str">
        <f>IFERROR(INDEX(RBD_Edu,MATCH("Customer Success &amp; Support|B2|B-M",RBD_KEY,0)),"M")</f>
        <v>L</v>
      </c>
      <c r="Q113" s="73">
        <f>IF(J113="","",IFERROR(INDEX(LMH_PTS,MATCH(J113,LMH_KEY,0))/SUM(IFERROR(INDEX(LMH_PTS,MATCH(J113,LMH_KEY,0)),0),IFERROR(INDEX(LMH_PTS,MATCH(K113,LMH_KEY,0)),0),IFERROR(INDEX(LMH_PTS,MATCH(L113,LMH_KEY,0)),0),IFERROR(INDEX(LMH_PTS,MATCH(M113,LMH_KEY,0)),0),IFERROR(INDEX(LMH_PTS,MATCH(N113,LMH_KEY,0)),0),IFERROR(INDEX(LMH_PTS,MATCH(O113,LMH_KEY,0)),0),IFERROR(INDEX(LMH_PTS,MATCH(P113,LMH_KEY,0)),0)),""))</f>
        <v>0.391304347826087</v>
      </c>
      <c r="R113" s="74">
        <f>IF(K113="","",IFERROR(INDEX(LMH_PTS,MATCH(K113,LMH_KEY,0))/SUM(IFERROR(INDEX(LMH_PTS,MATCH(J113,LMH_KEY,0)),0),IFERROR(INDEX(LMH_PTS,MATCH(K113,LMH_KEY,0)),0),IFERROR(INDEX(LMH_PTS,MATCH(L113,LMH_KEY,0)),0),IFERROR(INDEX(LMH_PTS,MATCH(M113,LMH_KEY,0)),0),IFERROR(INDEX(LMH_PTS,MATCH(N113,LMH_KEY,0)),0),IFERROR(INDEX(LMH_PTS,MATCH(O113,LMH_KEY,0)),0),IFERROR(INDEX(LMH_PTS,MATCH(P113,LMH_KEY,0)),0)),""))</f>
        <v>0.130434782608696</v>
      </c>
      <c r="S113" s="74">
        <f>IF(L113="","",IFERROR(INDEX(LMH_PTS,MATCH(L113,LMH_KEY,0))/SUM(IFERROR(INDEX(LMH_PTS,MATCH(J113,LMH_KEY,0)),0),IFERROR(INDEX(LMH_PTS,MATCH(K113,LMH_KEY,0)),0),IFERROR(INDEX(LMH_PTS,MATCH(L113,LMH_KEY,0)),0),IFERROR(INDEX(LMH_PTS,MATCH(M113,LMH_KEY,0)),0),IFERROR(INDEX(LMH_PTS,MATCH(N113,LMH_KEY,0)),0),IFERROR(INDEX(LMH_PTS,MATCH(O113,LMH_KEY,0)),0),IFERROR(INDEX(LMH_PTS,MATCH(P113,LMH_KEY,0)),0)),""))</f>
        <v>0.130434782608696</v>
      </c>
      <c r="T113" s="74">
        <f>IF(M113="","",IFERROR(INDEX(LMH_PTS,MATCH(M113,LMH_KEY,0))/SUM(IFERROR(INDEX(LMH_PTS,MATCH(J113,LMH_KEY,0)),0),IFERROR(INDEX(LMH_PTS,MATCH(K113,LMH_KEY,0)),0),IFERROR(INDEX(LMH_PTS,MATCH(L113,LMH_KEY,0)),0),IFERROR(INDEX(LMH_PTS,MATCH(M113,LMH_KEY,0)),0),IFERROR(INDEX(LMH_PTS,MATCH(N113,LMH_KEY,0)),0),IFERROR(INDEX(LMH_PTS,MATCH(O113,LMH_KEY,0)),0),IFERROR(INDEX(LMH_PTS,MATCH(P113,LMH_KEY,0)),0)),""))</f>
        <v>0.130434782608696</v>
      </c>
      <c r="U113" s="74">
        <f>IF(N113="","",IFERROR(INDEX(LMH_PTS,MATCH(N113,LMH_KEY,0))/SUM(IFERROR(INDEX(LMH_PTS,MATCH(J113,LMH_KEY,0)),0),IFERROR(INDEX(LMH_PTS,MATCH(K113,LMH_KEY,0)),0),IFERROR(INDEX(LMH_PTS,MATCH(L113,LMH_KEY,0)),0),IFERROR(INDEX(LMH_PTS,MATCH(M113,LMH_KEY,0)),0),IFERROR(INDEX(LMH_PTS,MATCH(N113,LMH_KEY,0)),0),IFERROR(INDEX(LMH_PTS,MATCH(O113,LMH_KEY,0)),0),IFERROR(INDEX(LMH_PTS,MATCH(P113,LMH_KEY,0)),0)),""))</f>
        <v>0.130434782608696</v>
      </c>
      <c r="V113" s="74">
        <f>IF(O113="","",IFERROR(INDEX(LMH_PTS,MATCH(O113,LMH_KEY,0))/SUM(IFERROR(INDEX(LMH_PTS,MATCH(J113,LMH_KEY,0)),0),IFERROR(INDEX(LMH_PTS,MATCH(K113,LMH_KEY,0)),0),IFERROR(INDEX(LMH_PTS,MATCH(L113,LMH_KEY,0)),0),IFERROR(INDEX(LMH_PTS,MATCH(M113,LMH_KEY,0)),0),IFERROR(INDEX(LMH_PTS,MATCH(N113,LMH_KEY,0)),0),IFERROR(INDEX(LMH_PTS,MATCH(O113,LMH_KEY,0)),0),IFERROR(INDEX(LMH_PTS,MATCH(P113,LMH_KEY,0)),0)),""))</f>
        <v>0.0434782608695652</v>
      </c>
      <c r="W113" s="74">
        <f>IF(P113="","",IFERROR(INDEX(LMH_PTS,MATCH(P113,LMH_KEY,0))/SUM(IFERROR(INDEX(LMH_PTS,MATCH(J113,LMH_KEY,0)),0),IFERROR(INDEX(LMH_PTS,MATCH(K113,LMH_KEY,0)),0),IFERROR(INDEX(LMH_PTS,MATCH(L113,LMH_KEY,0)),0),IFERROR(INDEX(LMH_PTS,MATCH(M113,LMH_KEY,0)),0),IFERROR(INDEX(LMH_PTS,MATCH(N113,LMH_KEY,0)),0),IFERROR(INDEX(LMH_PTS,MATCH(O113,LMH_KEY,0)),0),IFERROR(INDEX(LMH_PTS,MATCH(P113,LMH_KEY,0)),0)),""))</f>
        <v>0.0434782608695652</v>
      </c>
      <c r="X113" s="44" t="n"/>
      <c r="Y113" s="38" t="inlineStr">
        <is>
          <t>CARBON|Support|Support Manager|B2|B-M</t>
        </is>
      </c>
    </row>
    <row r="114" ht="28" customHeight="1">
      <c r="A114" s="28" t="inlineStr">
        <is>
          <t>CARBON</t>
        </is>
      </c>
      <c r="B114" s="29" t="inlineStr">
        <is>
          <t>Support</t>
        </is>
      </c>
      <c r="C114" s="72" t="inlineStr">
        <is>
          <t>B1</t>
        </is>
      </c>
      <c r="D114" s="29" t="inlineStr">
        <is>
          <t>Band B · Specialist / Manager</t>
        </is>
      </c>
      <c r="E114" s="29" t="inlineStr">
        <is>
          <t>DevOps Specialist – POD Lead</t>
        </is>
      </c>
      <c r="F114" s="29" t="inlineStr">
        <is>
          <t>Band B · Specialist / POD Lead</t>
        </is>
      </c>
      <c r="G114" s="29" t="inlineStr">
        <is>
          <t>Engineering &amp; Development</t>
        </is>
      </c>
      <c r="H114" s="29" t="n">
        <v>1</v>
      </c>
      <c r="I114" s="29" t="inlineStr">
        <is>
          <t>Shailesh Koradiya</t>
        </is>
      </c>
      <c r="J114" s="34" t="str">
        <f>IFERROR(INDEX(RBD_C,MATCH("Engineering &amp; Development|B1|B-IC",RBD_KEY,0)),"M")</f>
        <v>H</v>
      </c>
      <c r="K114" s="35" t="str">
        <f>IFERROR(INDEX(RBD_Au,MATCH("Engineering &amp; Development|B1|B-IC",RBD_KEY,0)),"M")</f>
        <v>M</v>
      </c>
      <c r="L114" s="35" t="str">
        <f>IFERROR(INDEX(RBD_Ac,MATCH("Engineering &amp; Development|B1|B-IC",RBD_KEY,0)),"M")</f>
        <v>L</v>
      </c>
      <c r="M114" s="35" t="str">
        <f>IFERROR(INDEX(RBD_L,MATCH("Engineering &amp; Development|B1|B-IC",RBD_KEY,0)),"M")</f>
        <v>L</v>
      </c>
      <c r="N114" s="35" t="str">
        <f>IFERROR(INDEX(RBD_BI,MATCH("Engineering &amp; Development|B1|B-IC",RBD_KEY,0)),"M")</f>
        <v>L</v>
      </c>
      <c r="O114" s="35" t="str">
        <f>IFERROR(INDEX(RBD_Exp,MATCH("Engineering &amp; Development|B1|B-IC",RBD_KEY,0)),"M")</f>
        <v>L</v>
      </c>
      <c r="P114" s="35" t="str">
        <f>IFERROR(INDEX(RBD_Edu,MATCH("Engineering &amp; Development|B1|B-IC",RBD_KEY,0)),"M")</f>
        <v>L</v>
      </c>
      <c r="Q114" s="73">
        <f>IF(J114="","",IFERROR(INDEX(LMH_PTS,MATCH(J114,LMH_KEY,0))/SUM(IFERROR(INDEX(LMH_PTS,MATCH(J114,LMH_KEY,0)),0),IFERROR(INDEX(LMH_PTS,MATCH(K114,LMH_KEY,0)),0),IFERROR(INDEX(LMH_PTS,MATCH(L114,LMH_KEY,0)),0),IFERROR(INDEX(LMH_PTS,MATCH(M114,LMH_KEY,0)),0),IFERROR(INDEX(LMH_PTS,MATCH(N114,LMH_KEY,0)),0),IFERROR(INDEX(LMH_PTS,MATCH(O114,LMH_KEY,0)),0),IFERROR(INDEX(LMH_PTS,MATCH(P114,LMH_KEY,0)),0)),""))</f>
        <v>0.529411764705882</v>
      </c>
      <c r="R114" s="74">
        <f>IF(K114="","",IFERROR(INDEX(LMH_PTS,MATCH(K114,LMH_KEY,0))/SUM(IFERROR(INDEX(LMH_PTS,MATCH(J114,LMH_KEY,0)),0),IFERROR(INDEX(LMH_PTS,MATCH(K114,LMH_KEY,0)),0),IFERROR(INDEX(LMH_PTS,MATCH(L114,LMH_KEY,0)),0),IFERROR(INDEX(LMH_PTS,MATCH(M114,LMH_KEY,0)),0),IFERROR(INDEX(LMH_PTS,MATCH(N114,LMH_KEY,0)),0),IFERROR(INDEX(LMH_PTS,MATCH(O114,LMH_KEY,0)),0),IFERROR(INDEX(LMH_PTS,MATCH(P114,LMH_KEY,0)),0)),""))</f>
        <v>0.176470588235294</v>
      </c>
      <c r="S114" s="74">
        <f>IF(L114="","",IFERROR(INDEX(LMH_PTS,MATCH(L114,LMH_KEY,0))/SUM(IFERROR(INDEX(LMH_PTS,MATCH(J114,LMH_KEY,0)),0),IFERROR(INDEX(LMH_PTS,MATCH(K114,LMH_KEY,0)),0),IFERROR(INDEX(LMH_PTS,MATCH(L114,LMH_KEY,0)),0),IFERROR(INDEX(LMH_PTS,MATCH(M114,LMH_KEY,0)),0),IFERROR(INDEX(LMH_PTS,MATCH(N114,LMH_KEY,0)),0),IFERROR(INDEX(LMH_PTS,MATCH(O114,LMH_KEY,0)),0),IFERROR(INDEX(LMH_PTS,MATCH(P114,LMH_KEY,0)),0)),""))</f>
        <v>0.0588235294117647</v>
      </c>
      <c r="T114" s="74">
        <f>IF(M114="","",IFERROR(INDEX(LMH_PTS,MATCH(M114,LMH_KEY,0))/SUM(IFERROR(INDEX(LMH_PTS,MATCH(J114,LMH_KEY,0)),0),IFERROR(INDEX(LMH_PTS,MATCH(K114,LMH_KEY,0)),0),IFERROR(INDEX(LMH_PTS,MATCH(L114,LMH_KEY,0)),0),IFERROR(INDEX(LMH_PTS,MATCH(M114,LMH_KEY,0)),0),IFERROR(INDEX(LMH_PTS,MATCH(N114,LMH_KEY,0)),0),IFERROR(INDEX(LMH_PTS,MATCH(O114,LMH_KEY,0)),0),IFERROR(INDEX(LMH_PTS,MATCH(P114,LMH_KEY,0)),0)),""))</f>
        <v>0.0588235294117647</v>
      </c>
      <c r="U114" s="74">
        <f>IF(N114="","",IFERROR(INDEX(LMH_PTS,MATCH(N114,LMH_KEY,0))/SUM(IFERROR(INDEX(LMH_PTS,MATCH(J114,LMH_KEY,0)),0),IFERROR(INDEX(LMH_PTS,MATCH(K114,LMH_KEY,0)),0),IFERROR(INDEX(LMH_PTS,MATCH(L114,LMH_KEY,0)),0),IFERROR(INDEX(LMH_PTS,MATCH(M114,LMH_KEY,0)),0),IFERROR(INDEX(LMH_PTS,MATCH(N114,LMH_KEY,0)),0),IFERROR(INDEX(LMH_PTS,MATCH(O114,LMH_KEY,0)),0),IFERROR(INDEX(LMH_PTS,MATCH(P114,LMH_KEY,0)),0)),""))</f>
        <v>0.0588235294117647</v>
      </c>
      <c r="V114" s="74">
        <f>IF(O114="","",IFERROR(INDEX(LMH_PTS,MATCH(O114,LMH_KEY,0))/SUM(IFERROR(INDEX(LMH_PTS,MATCH(J114,LMH_KEY,0)),0),IFERROR(INDEX(LMH_PTS,MATCH(K114,LMH_KEY,0)),0),IFERROR(INDEX(LMH_PTS,MATCH(L114,LMH_KEY,0)),0),IFERROR(INDEX(LMH_PTS,MATCH(M114,LMH_KEY,0)),0),IFERROR(INDEX(LMH_PTS,MATCH(N114,LMH_KEY,0)),0),IFERROR(INDEX(LMH_PTS,MATCH(O114,LMH_KEY,0)),0),IFERROR(INDEX(LMH_PTS,MATCH(P114,LMH_KEY,0)),0)),""))</f>
        <v>0.0588235294117647</v>
      </c>
      <c r="W114" s="74">
        <f>IF(P114="","",IFERROR(INDEX(LMH_PTS,MATCH(P114,LMH_KEY,0))/SUM(IFERROR(INDEX(LMH_PTS,MATCH(J114,LMH_KEY,0)),0),IFERROR(INDEX(LMH_PTS,MATCH(K114,LMH_KEY,0)),0),IFERROR(INDEX(LMH_PTS,MATCH(L114,LMH_KEY,0)),0),IFERROR(INDEX(LMH_PTS,MATCH(M114,LMH_KEY,0)),0),IFERROR(INDEX(LMH_PTS,MATCH(N114,LMH_KEY,0)),0),IFERROR(INDEX(LMH_PTS,MATCH(O114,LMH_KEY,0)),0),IFERROR(INDEX(LMH_PTS,MATCH(P114,LMH_KEY,0)),0)),""))</f>
        <v>0.0588235294117647</v>
      </c>
      <c r="X114" s="44" t="n"/>
      <c r="Y114" s="38" t="inlineStr">
        <is>
          <t>CARBON|Support|DevOps Specialist – POD Lead|B1|B-IC</t>
        </is>
      </c>
    </row>
    <row r="115" ht="28" customHeight="1">
      <c r="A115" s="28" t="inlineStr">
        <is>
          <t>CARBON</t>
        </is>
      </c>
      <c r="B115" s="29" t="inlineStr">
        <is>
          <t>Support</t>
        </is>
      </c>
      <c r="C115" s="72" t="inlineStr">
        <is>
          <t>B1</t>
        </is>
      </c>
      <c r="D115" s="29" t="inlineStr">
        <is>
          <t>Band B · Specialist / Manager</t>
        </is>
      </c>
      <c r="E115" s="29" t="inlineStr">
        <is>
          <t>Senior Customer Success Specialist</t>
        </is>
      </c>
      <c r="F115" s="29" t="inlineStr">
        <is>
          <t>Band B · Specialist / POD Lead</t>
        </is>
      </c>
      <c r="G115" s="29" t="inlineStr">
        <is>
          <t>Customer Success &amp; Support</t>
        </is>
      </c>
      <c r="H115" s="29" t="n">
        <v>1</v>
      </c>
      <c r="I115" s="29" t="inlineStr">
        <is>
          <t>Nupur Samantaray</t>
        </is>
      </c>
      <c r="J115" s="34" t="str">
        <f>IFERROR(INDEX(RBD_C,MATCH("Customer Success &amp; Support|B1|B-IC",RBD_KEY,0)),"M")</f>
        <v>H</v>
      </c>
      <c r="K115" s="35" t="str">
        <f>IFERROR(INDEX(RBD_Au,MATCH("Customer Success &amp; Support|B1|B-IC",RBD_KEY,0)),"M")</f>
        <v>M</v>
      </c>
      <c r="L115" s="35" t="str">
        <f>IFERROR(INDEX(RBD_Ac,MATCH("Customer Success &amp; Support|B1|B-IC",RBD_KEY,0)),"M")</f>
        <v>M</v>
      </c>
      <c r="M115" s="35" t="str">
        <f>IFERROR(INDEX(RBD_L,MATCH("Customer Success &amp; Support|B1|B-IC",RBD_KEY,0)),"M")</f>
        <v>L</v>
      </c>
      <c r="N115" s="35" t="str">
        <f>IFERROR(INDEX(RBD_BI,MATCH("Customer Success &amp; Support|B1|B-IC",RBD_KEY,0)),"M")</f>
        <v>M</v>
      </c>
      <c r="O115" s="35" t="str">
        <f>IFERROR(INDEX(RBD_Exp,MATCH("Customer Success &amp; Support|B1|B-IC",RBD_KEY,0)),"M")</f>
        <v>L</v>
      </c>
      <c r="P115" s="35" t="str">
        <f>IFERROR(INDEX(RBD_Edu,MATCH("Customer Success &amp; Support|B1|B-IC",RBD_KEY,0)),"M")</f>
        <v>L</v>
      </c>
      <c r="Q115" s="73">
        <f>IF(J115="","",IFERROR(INDEX(LMH_PTS,MATCH(J115,LMH_KEY,0))/SUM(IFERROR(INDEX(LMH_PTS,MATCH(J115,LMH_KEY,0)),0),IFERROR(INDEX(LMH_PTS,MATCH(K115,LMH_KEY,0)),0),IFERROR(INDEX(LMH_PTS,MATCH(L115,LMH_KEY,0)),0),IFERROR(INDEX(LMH_PTS,MATCH(M115,LMH_KEY,0)),0),IFERROR(INDEX(LMH_PTS,MATCH(N115,LMH_KEY,0)),0),IFERROR(INDEX(LMH_PTS,MATCH(O115,LMH_KEY,0)),0),IFERROR(INDEX(LMH_PTS,MATCH(P115,LMH_KEY,0)),0)),""))</f>
        <v>0.428571428571429</v>
      </c>
      <c r="R115" s="74">
        <f>IF(K115="","",IFERROR(INDEX(LMH_PTS,MATCH(K115,LMH_KEY,0))/SUM(IFERROR(INDEX(LMH_PTS,MATCH(J115,LMH_KEY,0)),0),IFERROR(INDEX(LMH_PTS,MATCH(K115,LMH_KEY,0)),0),IFERROR(INDEX(LMH_PTS,MATCH(L115,LMH_KEY,0)),0),IFERROR(INDEX(LMH_PTS,MATCH(M115,LMH_KEY,0)),0),IFERROR(INDEX(LMH_PTS,MATCH(N115,LMH_KEY,0)),0),IFERROR(INDEX(LMH_PTS,MATCH(O115,LMH_KEY,0)),0),IFERROR(INDEX(LMH_PTS,MATCH(P115,LMH_KEY,0)),0)),""))</f>
        <v>0.142857142857143</v>
      </c>
      <c r="S115" s="74">
        <f>IF(L115="","",IFERROR(INDEX(LMH_PTS,MATCH(L115,LMH_KEY,0))/SUM(IFERROR(INDEX(LMH_PTS,MATCH(J115,LMH_KEY,0)),0),IFERROR(INDEX(LMH_PTS,MATCH(K115,LMH_KEY,0)),0),IFERROR(INDEX(LMH_PTS,MATCH(L115,LMH_KEY,0)),0),IFERROR(INDEX(LMH_PTS,MATCH(M115,LMH_KEY,0)),0),IFERROR(INDEX(LMH_PTS,MATCH(N115,LMH_KEY,0)),0),IFERROR(INDEX(LMH_PTS,MATCH(O115,LMH_KEY,0)),0),IFERROR(INDEX(LMH_PTS,MATCH(P115,LMH_KEY,0)),0)),""))</f>
        <v>0.142857142857143</v>
      </c>
      <c r="T115" s="74">
        <f>IF(M115="","",IFERROR(INDEX(LMH_PTS,MATCH(M115,LMH_KEY,0))/SUM(IFERROR(INDEX(LMH_PTS,MATCH(J115,LMH_KEY,0)),0),IFERROR(INDEX(LMH_PTS,MATCH(K115,LMH_KEY,0)),0),IFERROR(INDEX(LMH_PTS,MATCH(L115,LMH_KEY,0)),0),IFERROR(INDEX(LMH_PTS,MATCH(M115,LMH_KEY,0)),0),IFERROR(INDEX(LMH_PTS,MATCH(N115,LMH_KEY,0)),0),IFERROR(INDEX(LMH_PTS,MATCH(O115,LMH_KEY,0)),0),IFERROR(INDEX(LMH_PTS,MATCH(P115,LMH_KEY,0)),0)),""))</f>
        <v>0.0476190476190476</v>
      </c>
      <c r="U115" s="74">
        <f>IF(N115="","",IFERROR(INDEX(LMH_PTS,MATCH(N115,LMH_KEY,0))/SUM(IFERROR(INDEX(LMH_PTS,MATCH(J115,LMH_KEY,0)),0),IFERROR(INDEX(LMH_PTS,MATCH(K115,LMH_KEY,0)),0),IFERROR(INDEX(LMH_PTS,MATCH(L115,LMH_KEY,0)),0),IFERROR(INDEX(LMH_PTS,MATCH(M115,LMH_KEY,0)),0),IFERROR(INDEX(LMH_PTS,MATCH(N115,LMH_KEY,0)),0),IFERROR(INDEX(LMH_PTS,MATCH(O115,LMH_KEY,0)),0),IFERROR(INDEX(LMH_PTS,MATCH(P115,LMH_KEY,0)),0)),""))</f>
        <v>0.142857142857143</v>
      </c>
      <c r="V115" s="74">
        <f>IF(O115="","",IFERROR(INDEX(LMH_PTS,MATCH(O115,LMH_KEY,0))/SUM(IFERROR(INDEX(LMH_PTS,MATCH(J115,LMH_KEY,0)),0),IFERROR(INDEX(LMH_PTS,MATCH(K115,LMH_KEY,0)),0),IFERROR(INDEX(LMH_PTS,MATCH(L115,LMH_KEY,0)),0),IFERROR(INDEX(LMH_PTS,MATCH(M115,LMH_KEY,0)),0),IFERROR(INDEX(LMH_PTS,MATCH(N115,LMH_KEY,0)),0),IFERROR(INDEX(LMH_PTS,MATCH(O115,LMH_KEY,0)),0),IFERROR(INDEX(LMH_PTS,MATCH(P115,LMH_KEY,0)),0)),""))</f>
        <v>0.0476190476190476</v>
      </c>
      <c r="W115" s="74">
        <f>IF(P115="","",IFERROR(INDEX(LMH_PTS,MATCH(P115,LMH_KEY,0))/SUM(IFERROR(INDEX(LMH_PTS,MATCH(J115,LMH_KEY,0)),0),IFERROR(INDEX(LMH_PTS,MATCH(K115,LMH_KEY,0)),0),IFERROR(INDEX(LMH_PTS,MATCH(L115,LMH_KEY,0)),0),IFERROR(INDEX(LMH_PTS,MATCH(M115,LMH_KEY,0)),0),IFERROR(INDEX(LMH_PTS,MATCH(N115,LMH_KEY,0)),0),IFERROR(INDEX(LMH_PTS,MATCH(O115,LMH_KEY,0)),0),IFERROR(INDEX(LMH_PTS,MATCH(P115,LMH_KEY,0)),0)),""))</f>
        <v>0.0476190476190476</v>
      </c>
      <c r="X115" s="44" t="n"/>
      <c r="Y115" s="38" t="inlineStr">
        <is>
          <t>CARBON|Support|Senior Customer Success Specialist|B1|B-IC</t>
        </is>
      </c>
    </row>
    <row r="116" ht="18" customHeight="1">
      <c r="A116" s="28" t="inlineStr">
        <is>
          <t>CARBON</t>
        </is>
      </c>
      <c r="B116" s="29" t="inlineStr">
        <is>
          <t>Support</t>
        </is>
      </c>
      <c r="C116" s="72" t="inlineStr">
        <is>
          <t>B1</t>
        </is>
      </c>
      <c r="D116" s="29" t="inlineStr">
        <is>
          <t>Band B · Specialist / Manager</t>
        </is>
      </c>
      <c r="E116" s="29" t="inlineStr">
        <is>
          <t>Senior Support Executive</t>
        </is>
      </c>
      <c r="F116" s="29" t="inlineStr">
        <is>
          <t>Band B · Specialist / POD Lead</t>
        </is>
      </c>
      <c r="G116" s="29" t="inlineStr">
        <is>
          <t>Customer Success &amp; Support</t>
        </is>
      </c>
      <c r="H116" s="29" t="n">
        <v>2</v>
      </c>
      <c r="I116" s="29" t="inlineStr">
        <is>
          <t>Kiran Pawar, Nelson Paul Koonan</t>
        </is>
      </c>
      <c r="J116" s="34" t="str">
        <f>IFERROR(INDEX(RBD_C,MATCH("Customer Success &amp; Support|B1|B-IC",RBD_KEY,0)),"M")</f>
        <v>H</v>
      </c>
      <c r="K116" s="35" t="str">
        <f>IFERROR(INDEX(RBD_Au,MATCH("Customer Success &amp; Support|B1|B-IC",RBD_KEY,0)),"M")</f>
        <v>M</v>
      </c>
      <c r="L116" s="35" t="str">
        <f>IFERROR(INDEX(RBD_Ac,MATCH("Customer Success &amp; Support|B1|B-IC",RBD_KEY,0)),"M")</f>
        <v>M</v>
      </c>
      <c r="M116" s="35" t="str">
        <f>IFERROR(INDEX(RBD_L,MATCH("Customer Success &amp; Support|B1|B-IC",RBD_KEY,0)),"M")</f>
        <v>L</v>
      </c>
      <c r="N116" s="35" t="str">
        <f>IFERROR(INDEX(RBD_BI,MATCH("Customer Success &amp; Support|B1|B-IC",RBD_KEY,0)),"M")</f>
        <v>M</v>
      </c>
      <c r="O116" s="35" t="str">
        <f>IFERROR(INDEX(RBD_Exp,MATCH("Customer Success &amp; Support|B1|B-IC",RBD_KEY,0)),"M")</f>
        <v>L</v>
      </c>
      <c r="P116" s="35" t="str">
        <f>IFERROR(INDEX(RBD_Edu,MATCH("Customer Success &amp; Support|B1|B-IC",RBD_KEY,0)),"M")</f>
        <v>L</v>
      </c>
      <c r="Q116" s="73">
        <f>IF(J116="","",IFERROR(INDEX(LMH_PTS,MATCH(J116,LMH_KEY,0))/SUM(IFERROR(INDEX(LMH_PTS,MATCH(J116,LMH_KEY,0)),0),IFERROR(INDEX(LMH_PTS,MATCH(K116,LMH_KEY,0)),0),IFERROR(INDEX(LMH_PTS,MATCH(L116,LMH_KEY,0)),0),IFERROR(INDEX(LMH_PTS,MATCH(M116,LMH_KEY,0)),0),IFERROR(INDEX(LMH_PTS,MATCH(N116,LMH_KEY,0)),0),IFERROR(INDEX(LMH_PTS,MATCH(O116,LMH_KEY,0)),0),IFERROR(INDEX(LMH_PTS,MATCH(P116,LMH_KEY,0)),0)),""))</f>
        <v>0.428571428571429</v>
      </c>
      <c r="R116" s="74">
        <f>IF(K116="","",IFERROR(INDEX(LMH_PTS,MATCH(K116,LMH_KEY,0))/SUM(IFERROR(INDEX(LMH_PTS,MATCH(J116,LMH_KEY,0)),0),IFERROR(INDEX(LMH_PTS,MATCH(K116,LMH_KEY,0)),0),IFERROR(INDEX(LMH_PTS,MATCH(L116,LMH_KEY,0)),0),IFERROR(INDEX(LMH_PTS,MATCH(M116,LMH_KEY,0)),0),IFERROR(INDEX(LMH_PTS,MATCH(N116,LMH_KEY,0)),0),IFERROR(INDEX(LMH_PTS,MATCH(O116,LMH_KEY,0)),0),IFERROR(INDEX(LMH_PTS,MATCH(P116,LMH_KEY,0)),0)),""))</f>
        <v>0.142857142857143</v>
      </c>
      <c r="S116" s="74">
        <f>IF(L116="","",IFERROR(INDEX(LMH_PTS,MATCH(L116,LMH_KEY,0))/SUM(IFERROR(INDEX(LMH_PTS,MATCH(J116,LMH_KEY,0)),0),IFERROR(INDEX(LMH_PTS,MATCH(K116,LMH_KEY,0)),0),IFERROR(INDEX(LMH_PTS,MATCH(L116,LMH_KEY,0)),0),IFERROR(INDEX(LMH_PTS,MATCH(M116,LMH_KEY,0)),0),IFERROR(INDEX(LMH_PTS,MATCH(N116,LMH_KEY,0)),0),IFERROR(INDEX(LMH_PTS,MATCH(O116,LMH_KEY,0)),0),IFERROR(INDEX(LMH_PTS,MATCH(P116,LMH_KEY,0)),0)),""))</f>
        <v>0.142857142857143</v>
      </c>
      <c r="T116" s="74">
        <f>IF(M116="","",IFERROR(INDEX(LMH_PTS,MATCH(M116,LMH_KEY,0))/SUM(IFERROR(INDEX(LMH_PTS,MATCH(J116,LMH_KEY,0)),0),IFERROR(INDEX(LMH_PTS,MATCH(K116,LMH_KEY,0)),0),IFERROR(INDEX(LMH_PTS,MATCH(L116,LMH_KEY,0)),0),IFERROR(INDEX(LMH_PTS,MATCH(M116,LMH_KEY,0)),0),IFERROR(INDEX(LMH_PTS,MATCH(N116,LMH_KEY,0)),0),IFERROR(INDEX(LMH_PTS,MATCH(O116,LMH_KEY,0)),0),IFERROR(INDEX(LMH_PTS,MATCH(P116,LMH_KEY,0)),0)),""))</f>
        <v>0.0476190476190476</v>
      </c>
      <c r="U116" s="74">
        <f>IF(N116="","",IFERROR(INDEX(LMH_PTS,MATCH(N116,LMH_KEY,0))/SUM(IFERROR(INDEX(LMH_PTS,MATCH(J116,LMH_KEY,0)),0),IFERROR(INDEX(LMH_PTS,MATCH(K116,LMH_KEY,0)),0),IFERROR(INDEX(LMH_PTS,MATCH(L116,LMH_KEY,0)),0),IFERROR(INDEX(LMH_PTS,MATCH(M116,LMH_KEY,0)),0),IFERROR(INDEX(LMH_PTS,MATCH(N116,LMH_KEY,0)),0),IFERROR(INDEX(LMH_PTS,MATCH(O116,LMH_KEY,0)),0),IFERROR(INDEX(LMH_PTS,MATCH(P116,LMH_KEY,0)),0)),""))</f>
        <v>0.142857142857143</v>
      </c>
      <c r="V116" s="74">
        <f>IF(O116="","",IFERROR(INDEX(LMH_PTS,MATCH(O116,LMH_KEY,0))/SUM(IFERROR(INDEX(LMH_PTS,MATCH(J116,LMH_KEY,0)),0),IFERROR(INDEX(LMH_PTS,MATCH(K116,LMH_KEY,0)),0),IFERROR(INDEX(LMH_PTS,MATCH(L116,LMH_KEY,0)),0),IFERROR(INDEX(LMH_PTS,MATCH(M116,LMH_KEY,0)),0),IFERROR(INDEX(LMH_PTS,MATCH(N116,LMH_KEY,0)),0),IFERROR(INDEX(LMH_PTS,MATCH(O116,LMH_KEY,0)),0),IFERROR(INDEX(LMH_PTS,MATCH(P116,LMH_KEY,0)),0)),""))</f>
        <v>0.0476190476190476</v>
      </c>
      <c r="W116" s="74">
        <f>IF(P116="","",IFERROR(INDEX(LMH_PTS,MATCH(P116,LMH_KEY,0))/SUM(IFERROR(INDEX(LMH_PTS,MATCH(J116,LMH_KEY,0)),0),IFERROR(INDEX(LMH_PTS,MATCH(K116,LMH_KEY,0)),0),IFERROR(INDEX(LMH_PTS,MATCH(L116,LMH_KEY,0)),0),IFERROR(INDEX(LMH_PTS,MATCH(M116,LMH_KEY,0)),0),IFERROR(INDEX(LMH_PTS,MATCH(N116,LMH_KEY,0)),0),IFERROR(INDEX(LMH_PTS,MATCH(O116,LMH_KEY,0)),0),IFERROR(INDEX(LMH_PTS,MATCH(P116,LMH_KEY,0)),0)),""))</f>
        <v>0.0476190476190476</v>
      </c>
      <c r="X116" s="44" t="n"/>
      <c r="Y116" s="38" t="inlineStr">
        <is>
          <t>CARBON|Support|Senior Support Executive|B1|B-IC</t>
        </is>
      </c>
    </row>
    <row r="117" ht="18" customHeight="1">
      <c r="A117" s="28" t="inlineStr">
        <is>
          <t>CARBON</t>
        </is>
      </c>
      <c r="B117" s="29" t="inlineStr">
        <is>
          <t>Support</t>
        </is>
      </c>
      <c r="C117" s="75" t="inlineStr">
        <is>
          <t>A3</t>
        </is>
      </c>
      <c r="D117" s="29" t="inlineStr">
        <is>
          <t>Band A · Practitioner</t>
        </is>
      </c>
      <c r="E117" s="29" t="inlineStr">
        <is>
          <t>MIS Specialist</t>
        </is>
      </c>
      <c r="F117" s="29" t="inlineStr">
        <is>
          <t>Band A · all tracks</t>
        </is>
      </c>
      <c r="G117" s="29" t="inlineStr">
        <is>
          <t>Data &amp; Analytics</t>
        </is>
      </c>
      <c r="H117" s="29" t="n">
        <v>1</v>
      </c>
      <c r="I117" s="29" t="inlineStr">
        <is>
          <t>Mayur Narvekar</t>
        </is>
      </c>
      <c r="J117" s="34" t="str">
        <f>IFERROR(INDEX(RBD_C,MATCH("Data &amp; Analytics|A3|A",RBD_KEY,0)),"M")</f>
        <v>H</v>
      </c>
      <c r="K117" s="35" t="str">
        <f>IFERROR(INDEX(RBD_Au,MATCH("Data &amp; Analytics|A3|A",RBD_KEY,0)),"M")</f>
        <v>M</v>
      </c>
      <c r="L117" s="35" t="str">
        <f>IFERROR(INDEX(RBD_Ac,MATCH("Data &amp; Analytics|A3|A",RBD_KEY,0)),"M")</f>
        <v>M</v>
      </c>
      <c r="M117" s="35" t="str">
        <f>IFERROR(INDEX(RBD_L,MATCH("Data &amp; Analytics|A3|A",RBD_KEY,0)),"M")</f>
        <v>L</v>
      </c>
      <c r="N117" s="35" t="str">
        <f>IFERROR(INDEX(RBD_BI,MATCH("Data &amp; Analytics|A3|A",RBD_KEY,0)),"M")</f>
        <v>L</v>
      </c>
      <c r="O117" s="35" t="str">
        <f>IFERROR(INDEX(RBD_Exp,MATCH("Data &amp; Analytics|A3|A",RBD_KEY,0)),"M")</f>
        <v>L</v>
      </c>
      <c r="P117" s="35" t="str">
        <f>IFERROR(INDEX(RBD_Edu,MATCH("Data &amp; Analytics|A3|A",RBD_KEY,0)),"M")</f>
        <v>L</v>
      </c>
      <c r="Q117" s="73">
        <f>IF(J117="","",IFERROR(INDEX(LMH_PTS,MATCH(J117,LMH_KEY,0))/SUM(IFERROR(INDEX(LMH_PTS,MATCH(J117,LMH_KEY,0)),0),IFERROR(INDEX(LMH_PTS,MATCH(K117,LMH_KEY,0)),0),IFERROR(INDEX(LMH_PTS,MATCH(L117,LMH_KEY,0)),0),IFERROR(INDEX(LMH_PTS,MATCH(M117,LMH_KEY,0)),0),IFERROR(INDEX(LMH_PTS,MATCH(N117,LMH_KEY,0)),0),IFERROR(INDEX(LMH_PTS,MATCH(O117,LMH_KEY,0)),0),IFERROR(INDEX(LMH_PTS,MATCH(P117,LMH_KEY,0)),0)),""))</f>
        <v>0.473684210526316</v>
      </c>
      <c r="R117" s="74">
        <f>IF(K117="","",IFERROR(INDEX(LMH_PTS,MATCH(K117,LMH_KEY,0))/SUM(IFERROR(INDEX(LMH_PTS,MATCH(J117,LMH_KEY,0)),0),IFERROR(INDEX(LMH_PTS,MATCH(K117,LMH_KEY,0)),0),IFERROR(INDEX(LMH_PTS,MATCH(L117,LMH_KEY,0)),0),IFERROR(INDEX(LMH_PTS,MATCH(M117,LMH_KEY,0)),0),IFERROR(INDEX(LMH_PTS,MATCH(N117,LMH_KEY,0)),0),IFERROR(INDEX(LMH_PTS,MATCH(O117,LMH_KEY,0)),0),IFERROR(INDEX(LMH_PTS,MATCH(P117,LMH_KEY,0)),0)),""))</f>
        <v>0.157894736842105</v>
      </c>
      <c r="S117" s="74">
        <f>IF(L117="","",IFERROR(INDEX(LMH_PTS,MATCH(L117,LMH_KEY,0))/SUM(IFERROR(INDEX(LMH_PTS,MATCH(J117,LMH_KEY,0)),0),IFERROR(INDEX(LMH_PTS,MATCH(K117,LMH_KEY,0)),0),IFERROR(INDEX(LMH_PTS,MATCH(L117,LMH_KEY,0)),0),IFERROR(INDEX(LMH_PTS,MATCH(M117,LMH_KEY,0)),0),IFERROR(INDEX(LMH_PTS,MATCH(N117,LMH_KEY,0)),0),IFERROR(INDEX(LMH_PTS,MATCH(O117,LMH_KEY,0)),0),IFERROR(INDEX(LMH_PTS,MATCH(P117,LMH_KEY,0)),0)),""))</f>
        <v>0.157894736842105</v>
      </c>
      <c r="T117" s="74">
        <f>IF(M117="","",IFERROR(INDEX(LMH_PTS,MATCH(M117,LMH_KEY,0))/SUM(IFERROR(INDEX(LMH_PTS,MATCH(J117,LMH_KEY,0)),0),IFERROR(INDEX(LMH_PTS,MATCH(K117,LMH_KEY,0)),0),IFERROR(INDEX(LMH_PTS,MATCH(L117,LMH_KEY,0)),0),IFERROR(INDEX(LMH_PTS,MATCH(M117,LMH_KEY,0)),0),IFERROR(INDEX(LMH_PTS,MATCH(N117,LMH_KEY,0)),0),IFERROR(INDEX(LMH_PTS,MATCH(O117,LMH_KEY,0)),0),IFERROR(INDEX(LMH_PTS,MATCH(P117,LMH_KEY,0)),0)),""))</f>
        <v>0.0526315789473684</v>
      </c>
      <c r="U117" s="74">
        <f>IF(N117="","",IFERROR(INDEX(LMH_PTS,MATCH(N117,LMH_KEY,0))/SUM(IFERROR(INDEX(LMH_PTS,MATCH(J117,LMH_KEY,0)),0),IFERROR(INDEX(LMH_PTS,MATCH(K117,LMH_KEY,0)),0),IFERROR(INDEX(LMH_PTS,MATCH(L117,LMH_KEY,0)),0),IFERROR(INDEX(LMH_PTS,MATCH(M117,LMH_KEY,0)),0),IFERROR(INDEX(LMH_PTS,MATCH(N117,LMH_KEY,0)),0),IFERROR(INDEX(LMH_PTS,MATCH(O117,LMH_KEY,0)),0),IFERROR(INDEX(LMH_PTS,MATCH(P117,LMH_KEY,0)),0)),""))</f>
        <v>0.0526315789473684</v>
      </c>
      <c r="V117" s="74">
        <f>IF(O117="","",IFERROR(INDEX(LMH_PTS,MATCH(O117,LMH_KEY,0))/SUM(IFERROR(INDEX(LMH_PTS,MATCH(J117,LMH_KEY,0)),0),IFERROR(INDEX(LMH_PTS,MATCH(K117,LMH_KEY,0)),0),IFERROR(INDEX(LMH_PTS,MATCH(L117,LMH_KEY,0)),0),IFERROR(INDEX(LMH_PTS,MATCH(M117,LMH_KEY,0)),0),IFERROR(INDEX(LMH_PTS,MATCH(N117,LMH_KEY,0)),0),IFERROR(INDEX(LMH_PTS,MATCH(O117,LMH_KEY,0)),0),IFERROR(INDEX(LMH_PTS,MATCH(P117,LMH_KEY,0)),0)),""))</f>
        <v>0.0526315789473684</v>
      </c>
      <c r="W117" s="74">
        <f>IF(P117="","",IFERROR(INDEX(LMH_PTS,MATCH(P117,LMH_KEY,0))/SUM(IFERROR(INDEX(LMH_PTS,MATCH(J117,LMH_KEY,0)),0),IFERROR(INDEX(LMH_PTS,MATCH(K117,LMH_KEY,0)),0),IFERROR(INDEX(LMH_PTS,MATCH(L117,LMH_KEY,0)),0),IFERROR(INDEX(LMH_PTS,MATCH(M117,LMH_KEY,0)),0),IFERROR(INDEX(LMH_PTS,MATCH(N117,LMH_KEY,0)),0),IFERROR(INDEX(LMH_PTS,MATCH(O117,LMH_KEY,0)),0),IFERROR(INDEX(LMH_PTS,MATCH(P117,LMH_KEY,0)),0)),""))</f>
        <v>0.0526315789473684</v>
      </c>
      <c r="X117" s="44" t="n"/>
      <c r="Y117" s="38" t="inlineStr">
        <is>
          <t>CARBON|Support|MIS Specialist|A3|A</t>
        </is>
      </c>
    </row>
    <row r="118" ht="28" customHeight="1">
      <c r="A118" s="28" t="inlineStr">
        <is>
          <t>CARBON</t>
        </is>
      </c>
      <c r="B118" s="29" t="inlineStr">
        <is>
          <t>Support</t>
        </is>
      </c>
      <c r="C118" s="75" t="inlineStr">
        <is>
          <t>A3</t>
        </is>
      </c>
      <c r="D118" s="29" t="inlineStr">
        <is>
          <t>Band A · Practitioner</t>
        </is>
      </c>
      <c r="E118" s="29" t="inlineStr">
        <is>
          <t>Senior Customer Success Executive</t>
        </is>
      </c>
      <c r="F118" s="29" t="inlineStr">
        <is>
          <t>Band A · all tracks</t>
        </is>
      </c>
      <c r="G118" s="29" t="inlineStr">
        <is>
          <t>Customer Success &amp; Support</t>
        </is>
      </c>
      <c r="H118" s="29" t="n">
        <v>2</v>
      </c>
      <c r="I118" s="29" t="inlineStr">
        <is>
          <t>Tanya Dhere, Samiksha Kadam</t>
        </is>
      </c>
      <c r="J118" s="34" t="str">
        <f>IFERROR(INDEX(RBD_C,MATCH("Customer Success &amp; Support|A3|A",RBD_KEY,0)),"M")</f>
        <v>H</v>
      </c>
      <c r="K118" s="35" t="str">
        <f>IFERROR(INDEX(RBD_Au,MATCH("Customer Success &amp; Support|A3|A",RBD_KEY,0)),"M")</f>
        <v>M</v>
      </c>
      <c r="L118" s="35" t="str">
        <f>IFERROR(INDEX(RBD_Ac,MATCH("Customer Success &amp; Support|A3|A",RBD_KEY,0)),"M")</f>
        <v>M</v>
      </c>
      <c r="M118" s="35" t="str">
        <f>IFERROR(INDEX(RBD_L,MATCH("Customer Success &amp; Support|A3|A",RBD_KEY,0)),"M")</f>
        <v>L</v>
      </c>
      <c r="N118" s="35" t="str">
        <f>IFERROR(INDEX(RBD_BI,MATCH("Customer Success &amp; Support|A3|A",RBD_KEY,0)),"M")</f>
        <v>M</v>
      </c>
      <c r="O118" s="35" t="str">
        <f>IFERROR(INDEX(RBD_Exp,MATCH("Customer Success &amp; Support|A3|A",RBD_KEY,0)),"M")</f>
        <v>L</v>
      </c>
      <c r="P118" s="35" t="str">
        <f>IFERROR(INDEX(RBD_Edu,MATCH("Customer Success &amp; Support|A3|A",RBD_KEY,0)),"M")</f>
        <v>L</v>
      </c>
      <c r="Q118" s="73">
        <f>IF(J118="","",IFERROR(INDEX(LMH_PTS,MATCH(J118,LMH_KEY,0))/SUM(IFERROR(INDEX(LMH_PTS,MATCH(J118,LMH_KEY,0)),0),IFERROR(INDEX(LMH_PTS,MATCH(K118,LMH_KEY,0)),0),IFERROR(INDEX(LMH_PTS,MATCH(L118,LMH_KEY,0)),0),IFERROR(INDEX(LMH_PTS,MATCH(M118,LMH_KEY,0)),0),IFERROR(INDEX(LMH_PTS,MATCH(N118,LMH_KEY,0)),0),IFERROR(INDEX(LMH_PTS,MATCH(O118,LMH_KEY,0)),0),IFERROR(INDEX(LMH_PTS,MATCH(P118,LMH_KEY,0)),0)),""))</f>
        <v>0.428571428571429</v>
      </c>
      <c r="R118" s="74">
        <f>IF(K118="","",IFERROR(INDEX(LMH_PTS,MATCH(K118,LMH_KEY,0))/SUM(IFERROR(INDEX(LMH_PTS,MATCH(J118,LMH_KEY,0)),0),IFERROR(INDEX(LMH_PTS,MATCH(K118,LMH_KEY,0)),0),IFERROR(INDEX(LMH_PTS,MATCH(L118,LMH_KEY,0)),0),IFERROR(INDEX(LMH_PTS,MATCH(M118,LMH_KEY,0)),0),IFERROR(INDEX(LMH_PTS,MATCH(N118,LMH_KEY,0)),0),IFERROR(INDEX(LMH_PTS,MATCH(O118,LMH_KEY,0)),0),IFERROR(INDEX(LMH_PTS,MATCH(P118,LMH_KEY,0)),0)),""))</f>
        <v>0.142857142857143</v>
      </c>
      <c r="S118" s="74">
        <f>IF(L118="","",IFERROR(INDEX(LMH_PTS,MATCH(L118,LMH_KEY,0))/SUM(IFERROR(INDEX(LMH_PTS,MATCH(J118,LMH_KEY,0)),0),IFERROR(INDEX(LMH_PTS,MATCH(K118,LMH_KEY,0)),0),IFERROR(INDEX(LMH_PTS,MATCH(L118,LMH_KEY,0)),0),IFERROR(INDEX(LMH_PTS,MATCH(M118,LMH_KEY,0)),0),IFERROR(INDEX(LMH_PTS,MATCH(N118,LMH_KEY,0)),0),IFERROR(INDEX(LMH_PTS,MATCH(O118,LMH_KEY,0)),0),IFERROR(INDEX(LMH_PTS,MATCH(P118,LMH_KEY,0)),0)),""))</f>
        <v>0.142857142857143</v>
      </c>
      <c r="T118" s="74">
        <f>IF(M118="","",IFERROR(INDEX(LMH_PTS,MATCH(M118,LMH_KEY,0))/SUM(IFERROR(INDEX(LMH_PTS,MATCH(J118,LMH_KEY,0)),0),IFERROR(INDEX(LMH_PTS,MATCH(K118,LMH_KEY,0)),0),IFERROR(INDEX(LMH_PTS,MATCH(L118,LMH_KEY,0)),0),IFERROR(INDEX(LMH_PTS,MATCH(M118,LMH_KEY,0)),0),IFERROR(INDEX(LMH_PTS,MATCH(N118,LMH_KEY,0)),0),IFERROR(INDEX(LMH_PTS,MATCH(O118,LMH_KEY,0)),0),IFERROR(INDEX(LMH_PTS,MATCH(P118,LMH_KEY,0)),0)),""))</f>
        <v>0.0476190476190476</v>
      </c>
      <c r="U118" s="74">
        <f>IF(N118="","",IFERROR(INDEX(LMH_PTS,MATCH(N118,LMH_KEY,0))/SUM(IFERROR(INDEX(LMH_PTS,MATCH(J118,LMH_KEY,0)),0),IFERROR(INDEX(LMH_PTS,MATCH(K118,LMH_KEY,0)),0),IFERROR(INDEX(LMH_PTS,MATCH(L118,LMH_KEY,0)),0),IFERROR(INDEX(LMH_PTS,MATCH(M118,LMH_KEY,0)),0),IFERROR(INDEX(LMH_PTS,MATCH(N118,LMH_KEY,0)),0),IFERROR(INDEX(LMH_PTS,MATCH(O118,LMH_KEY,0)),0),IFERROR(INDEX(LMH_PTS,MATCH(P118,LMH_KEY,0)),0)),""))</f>
        <v>0.142857142857143</v>
      </c>
      <c r="V118" s="74">
        <f>IF(O118="","",IFERROR(INDEX(LMH_PTS,MATCH(O118,LMH_KEY,0))/SUM(IFERROR(INDEX(LMH_PTS,MATCH(J118,LMH_KEY,0)),0),IFERROR(INDEX(LMH_PTS,MATCH(K118,LMH_KEY,0)),0),IFERROR(INDEX(LMH_PTS,MATCH(L118,LMH_KEY,0)),0),IFERROR(INDEX(LMH_PTS,MATCH(M118,LMH_KEY,0)),0),IFERROR(INDEX(LMH_PTS,MATCH(N118,LMH_KEY,0)),0),IFERROR(INDEX(LMH_PTS,MATCH(O118,LMH_KEY,0)),0),IFERROR(INDEX(LMH_PTS,MATCH(P118,LMH_KEY,0)),0)),""))</f>
        <v>0.0476190476190476</v>
      </c>
      <c r="W118" s="74">
        <f>IF(P118="","",IFERROR(INDEX(LMH_PTS,MATCH(P118,LMH_KEY,0))/SUM(IFERROR(INDEX(LMH_PTS,MATCH(J118,LMH_KEY,0)),0),IFERROR(INDEX(LMH_PTS,MATCH(K118,LMH_KEY,0)),0),IFERROR(INDEX(LMH_PTS,MATCH(L118,LMH_KEY,0)),0),IFERROR(INDEX(LMH_PTS,MATCH(M118,LMH_KEY,0)),0),IFERROR(INDEX(LMH_PTS,MATCH(N118,LMH_KEY,0)),0),IFERROR(INDEX(LMH_PTS,MATCH(O118,LMH_KEY,0)),0),IFERROR(INDEX(LMH_PTS,MATCH(P118,LMH_KEY,0)),0)),""))</f>
        <v>0.0476190476190476</v>
      </c>
      <c r="X118" s="44" t="n"/>
      <c r="Y118" s="38" t="inlineStr">
        <is>
          <t>CARBON|Support|Senior Customer Success Executive|A3|A</t>
        </is>
      </c>
    </row>
    <row r="119" ht="18" customHeight="1">
      <c r="A119" s="28" t="inlineStr">
        <is>
          <t>CARBON</t>
        </is>
      </c>
      <c r="B119" s="29" t="inlineStr">
        <is>
          <t>Support</t>
        </is>
      </c>
      <c r="C119" s="75" t="inlineStr">
        <is>
          <t>A3</t>
        </is>
      </c>
      <c r="D119" s="29" t="inlineStr">
        <is>
          <t>Band A · Practitioner</t>
        </is>
      </c>
      <c r="E119" s="29" t="inlineStr">
        <is>
          <t>Senior Software Engineer</t>
        </is>
      </c>
      <c r="F119" s="29" t="inlineStr">
        <is>
          <t>Band A · all tracks</t>
        </is>
      </c>
      <c r="G119" s="29" t="inlineStr">
        <is>
          <t>Engineering &amp; Development</t>
        </is>
      </c>
      <c r="H119" s="29" t="n">
        <v>2</v>
      </c>
      <c r="I119" s="29" t="inlineStr">
        <is>
          <t>Manish Yadav, Gajanan Vadekar</t>
        </is>
      </c>
      <c r="J119" s="34" t="str">
        <f>IFERROR(INDEX(RBD_C,MATCH("Engineering &amp; Development|A3|A",RBD_KEY,0)),"M")</f>
        <v>H</v>
      </c>
      <c r="K119" s="35" t="str">
        <f>IFERROR(INDEX(RBD_Au,MATCH("Engineering &amp; Development|A3|A",RBD_KEY,0)),"M")</f>
        <v>M</v>
      </c>
      <c r="L119" s="35" t="str">
        <f>IFERROR(INDEX(RBD_Ac,MATCH("Engineering &amp; Development|A3|A",RBD_KEY,0)),"M")</f>
        <v>L</v>
      </c>
      <c r="M119" s="35" t="str">
        <f>IFERROR(INDEX(RBD_L,MATCH("Engineering &amp; Development|A3|A",RBD_KEY,0)),"M")</f>
        <v>L</v>
      </c>
      <c r="N119" s="35" t="str">
        <f>IFERROR(INDEX(RBD_BI,MATCH("Engineering &amp; Development|A3|A",RBD_KEY,0)),"M")</f>
        <v>L</v>
      </c>
      <c r="O119" s="35" t="str">
        <f>IFERROR(INDEX(RBD_Exp,MATCH("Engineering &amp; Development|A3|A",RBD_KEY,0)),"M")</f>
        <v>L</v>
      </c>
      <c r="P119" s="35" t="str">
        <f>IFERROR(INDEX(RBD_Edu,MATCH("Engineering &amp; Development|A3|A",RBD_KEY,0)),"M")</f>
        <v>L</v>
      </c>
      <c r="Q119" s="73">
        <f>IF(J119="","",IFERROR(INDEX(LMH_PTS,MATCH(J119,LMH_KEY,0))/SUM(IFERROR(INDEX(LMH_PTS,MATCH(J119,LMH_KEY,0)),0),IFERROR(INDEX(LMH_PTS,MATCH(K119,LMH_KEY,0)),0),IFERROR(INDEX(LMH_PTS,MATCH(L119,LMH_KEY,0)),0),IFERROR(INDEX(LMH_PTS,MATCH(M119,LMH_KEY,0)),0),IFERROR(INDEX(LMH_PTS,MATCH(N119,LMH_KEY,0)),0),IFERROR(INDEX(LMH_PTS,MATCH(O119,LMH_KEY,0)),0),IFERROR(INDEX(LMH_PTS,MATCH(P119,LMH_KEY,0)),0)),""))</f>
        <v>0.529411764705882</v>
      </c>
      <c r="R119" s="74">
        <f>IF(K119="","",IFERROR(INDEX(LMH_PTS,MATCH(K119,LMH_KEY,0))/SUM(IFERROR(INDEX(LMH_PTS,MATCH(J119,LMH_KEY,0)),0),IFERROR(INDEX(LMH_PTS,MATCH(K119,LMH_KEY,0)),0),IFERROR(INDEX(LMH_PTS,MATCH(L119,LMH_KEY,0)),0),IFERROR(INDEX(LMH_PTS,MATCH(M119,LMH_KEY,0)),0),IFERROR(INDEX(LMH_PTS,MATCH(N119,LMH_KEY,0)),0),IFERROR(INDEX(LMH_PTS,MATCH(O119,LMH_KEY,0)),0),IFERROR(INDEX(LMH_PTS,MATCH(P119,LMH_KEY,0)),0)),""))</f>
        <v>0.176470588235294</v>
      </c>
      <c r="S119" s="74">
        <f>IF(L119="","",IFERROR(INDEX(LMH_PTS,MATCH(L119,LMH_KEY,0))/SUM(IFERROR(INDEX(LMH_PTS,MATCH(J119,LMH_KEY,0)),0),IFERROR(INDEX(LMH_PTS,MATCH(K119,LMH_KEY,0)),0),IFERROR(INDEX(LMH_PTS,MATCH(L119,LMH_KEY,0)),0),IFERROR(INDEX(LMH_PTS,MATCH(M119,LMH_KEY,0)),0),IFERROR(INDEX(LMH_PTS,MATCH(N119,LMH_KEY,0)),0),IFERROR(INDEX(LMH_PTS,MATCH(O119,LMH_KEY,0)),0),IFERROR(INDEX(LMH_PTS,MATCH(P119,LMH_KEY,0)),0)),""))</f>
        <v>0.0588235294117647</v>
      </c>
      <c r="T119" s="74">
        <f>IF(M119="","",IFERROR(INDEX(LMH_PTS,MATCH(M119,LMH_KEY,0))/SUM(IFERROR(INDEX(LMH_PTS,MATCH(J119,LMH_KEY,0)),0),IFERROR(INDEX(LMH_PTS,MATCH(K119,LMH_KEY,0)),0),IFERROR(INDEX(LMH_PTS,MATCH(L119,LMH_KEY,0)),0),IFERROR(INDEX(LMH_PTS,MATCH(M119,LMH_KEY,0)),0),IFERROR(INDEX(LMH_PTS,MATCH(N119,LMH_KEY,0)),0),IFERROR(INDEX(LMH_PTS,MATCH(O119,LMH_KEY,0)),0),IFERROR(INDEX(LMH_PTS,MATCH(P119,LMH_KEY,0)),0)),""))</f>
        <v>0.0588235294117647</v>
      </c>
      <c r="U119" s="74">
        <f>IF(N119="","",IFERROR(INDEX(LMH_PTS,MATCH(N119,LMH_KEY,0))/SUM(IFERROR(INDEX(LMH_PTS,MATCH(J119,LMH_KEY,0)),0),IFERROR(INDEX(LMH_PTS,MATCH(K119,LMH_KEY,0)),0),IFERROR(INDEX(LMH_PTS,MATCH(L119,LMH_KEY,0)),0),IFERROR(INDEX(LMH_PTS,MATCH(M119,LMH_KEY,0)),0),IFERROR(INDEX(LMH_PTS,MATCH(N119,LMH_KEY,0)),0),IFERROR(INDEX(LMH_PTS,MATCH(O119,LMH_KEY,0)),0),IFERROR(INDEX(LMH_PTS,MATCH(P119,LMH_KEY,0)),0)),""))</f>
        <v>0.0588235294117647</v>
      </c>
      <c r="V119" s="74">
        <f>IF(O119="","",IFERROR(INDEX(LMH_PTS,MATCH(O119,LMH_KEY,0))/SUM(IFERROR(INDEX(LMH_PTS,MATCH(J119,LMH_KEY,0)),0),IFERROR(INDEX(LMH_PTS,MATCH(K119,LMH_KEY,0)),0),IFERROR(INDEX(LMH_PTS,MATCH(L119,LMH_KEY,0)),0),IFERROR(INDEX(LMH_PTS,MATCH(M119,LMH_KEY,0)),0),IFERROR(INDEX(LMH_PTS,MATCH(N119,LMH_KEY,0)),0),IFERROR(INDEX(LMH_PTS,MATCH(O119,LMH_KEY,0)),0),IFERROR(INDEX(LMH_PTS,MATCH(P119,LMH_KEY,0)),0)),""))</f>
        <v>0.0588235294117647</v>
      </c>
      <c r="W119" s="74">
        <f>IF(P119="","",IFERROR(INDEX(LMH_PTS,MATCH(P119,LMH_KEY,0))/SUM(IFERROR(INDEX(LMH_PTS,MATCH(J119,LMH_KEY,0)),0),IFERROR(INDEX(LMH_PTS,MATCH(K119,LMH_KEY,0)),0),IFERROR(INDEX(LMH_PTS,MATCH(L119,LMH_KEY,0)),0),IFERROR(INDEX(LMH_PTS,MATCH(M119,LMH_KEY,0)),0),IFERROR(INDEX(LMH_PTS,MATCH(N119,LMH_KEY,0)),0),IFERROR(INDEX(LMH_PTS,MATCH(O119,LMH_KEY,0)),0),IFERROR(INDEX(LMH_PTS,MATCH(P119,LMH_KEY,0)),0)),""))</f>
        <v>0.0588235294117647</v>
      </c>
      <c r="X119" s="44" t="n"/>
      <c r="Y119" s="38" t="inlineStr">
        <is>
          <t>CARBON|Support|Senior Software Engineer|A3|A</t>
        </is>
      </c>
    </row>
    <row r="120" ht="40.5" customHeight="1">
      <c r="A120" s="28" t="inlineStr">
        <is>
          <t>CARBON</t>
        </is>
      </c>
      <c r="B120" s="29" t="inlineStr">
        <is>
          <t>Support</t>
        </is>
      </c>
      <c r="C120" s="75" t="inlineStr">
        <is>
          <t>A3</t>
        </is>
      </c>
      <c r="D120" s="29" t="inlineStr">
        <is>
          <t>Band A · Practitioner</t>
        </is>
      </c>
      <c r="E120" s="29" t="inlineStr">
        <is>
          <t>Senior Support Executive</t>
        </is>
      </c>
      <c r="F120" s="29" t="inlineStr">
        <is>
          <t>Band A · all tracks</t>
        </is>
      </c>
      <c r="G120" s="29" t="inlineStr">
        <is>
          <t>Customer Success &amp; Support</t>
        </is>
      </c>
      <c r="H120" s="29" t="n">
        <v>5</v>
      </c>
      <c r="I120" s="29" t="inlineStr">
        <is>
          <t>Chandra Sekhar Sahu, Ravindra Kanojiya, Pritam Kadam, Shruti Samant, Sweety Mukherjee</t>
        </is>
      </c>
      <c r="J120" s="34" t="str">
        <f>IFERROR(INDEX(RBD_C,MATCH("Customer Success &amp; Support|A3|A",RBD_KEY,0)),"M")</f>
        <v>H</v>
      </c>
      <c r="K120" s="35" t="str">
        <f>IFERROR(INDEX(RBD_Au,MATCH("Customer Success &amp; Support|A3|A",RBD_KEY,0)),"M")</f>
        <v>M</v>
      </c>
      <c r="L120" s="35" t="str">
        <f>IFERROR(INDEX(RBD_Ac,MATCH("Customer Success &amp; Support|A3|A",RBD_KEY,0)),"M")</f>
        <v>M</v>
      </c>
      <c r="M120" s="35" t="str">
        <f>IFERROR(INDEX(RBD_L,MATCH("Customer Success &amp; Support|A3|A",RBD_KEY,0)),"M")</f>
        <v>L</v>
      </c>
      <c r="N120" s="35" t="str">
        <f>IFERROR(INDEX(RBD_BI,MATCH("Customer Success &amp; Support|A3|A",RBD_KEY,0)),"M")</f>
        <v>M</v>
      </c>
      <c r="O120" s="35" t="str">
        <f>IFERROR(INDEX(RBD_Exp,MATCH("Customer Success &amp; Support|A3|A",RBD_KEY,0)),"M")</f>
        <v>L</v>
      </c>
      <c r="P120" s="35" t="str">
        <f>IFERROR(INDEX(RBD_Edu,MATCH("Customer Success &amp; Support|A3|A",RBD_KEY,0)),"M")</f>
        <v>L</v>
      </c>
      <c r="Q120" s="73">
        <f>IF(J120="","",IFERROR(INDEX(LMH_PTS,MATCH(J120,LMH_KEY,0))/SUM(IFERROR(INDEX(LMH_PTS,MATCH(J120,LMH_KEY,0)),0),IFERROR(INDEX(LMH_PTS,MATCH(K120,LMH_KEY,0)),0),IFERROR(INDEX(LMH_PTS,MATCH(L120,LMH_KEY,0)),0),IFERROR(INDEX(LMH_PTS,MATCH(M120,LMH_KEY,0)),0),IFERROR(INDEX(LMH_PTS,MATCH(N120,LMH_KEY,0)),0),IFERROR(INDEX(LMH_PTS,MATCH(O120,LMH_KEY,0)),0),IFERROR(INDEX(LMH_PTS,MATCH(P120,LMH_KEY,0)),0)),""))</f>
        <v>0.428571428571429</v>
      </c>
      <c r="R120" s="74">
        <f>IF(K120="","",IFERROR(INDEX(LMH_PTS,MATCH(K120,LMH_KEY,0))/SUM(IFERROR(INDEX(LMH_PTS,MATCH(J120,LMH_KEY,0)),0),IFERROR(INDEX(LMH_PTS,MATCH(K120,LMH_KEY,0)),0),IFERROR(INDEX(LMH_PTS,MATCH(L120,LMH_KEY,0)),0),IFERROR(INDEX(LMH_PTS,MATCH(M120,LMH_KEY,0)),0),IFERROR(INDEX(LMH_PTS,MATCH(N120,LMH_KEY,0)),0),IFERROR(INDEX(LMH_PTS,MATCH(O120,LMH_KEY,0)),0),IFERROR(INDEX(LMH_PTS,MATCH(P120,LMH_KEY,0)),0)),""))</f>
        <v>0.142857142857143</v>
      </c>
      <c r="S120" s="74">
        <f>IF(L120="","",IFERROR(INDEX(LMH_PTS,MATCH(L120,LMH_KEY,0))/SUM(IFERROR(INDEX(LMH_PTS,MATCH(J120,LMH_KEY,0)),0),IFERROR(INDEX(LMH_PTS,MATCH(K120,LMH_KEY,0)),0),IFERROR(INDEX(LMH_PTS,MATCH(L120,LMH_KEY,0)),0),IFERROR(INDEX(LMH_PTS,MATCH(M120,LMH_KEY,0)),0),IFERROR(INDEX(LMH_PTS,MATCH(N120,LMH_KEY,0)),0),IFERROR(INDEX(LMH_PTS,MATCH(O120,LMH_KEY,0)),0),IFERROR(INDEX(LMH_PTS,MATCH(P120,LMH_KEY,0)),0)),""))</f>
        <v>0.142857142857143</v>
      </c>
      <c r="T120" s="74">
        <f>IF(M120="","",IFERROR(INDEX(LMH_PTS,MATCH(M120,LMH_KEY,0))/SUM(IFERROR(INDEX(LMH_PTS,MATCH(J120,LMH_KEY,0)),0),IFERROR(INDEX(LMH_PTS,MATCH(K120,LMH_KEY,0)),0),IFERROR(INDEX(LMH_PTS,MATCH(L120,LMH_KEY,0)),0),IFERROR(INDEX(LMH_PTS,MATCH(M120,LMH_KEY,0)),0),IFERROR(INDEX(LMH_PTS,MATCH(N120,LMH_KEY,0)),0),IFERROR(INDEX(LMH_PTS,MATCH(O120,LMH_KEY,0)),0),IFERROR(INDEX(LMH_PTS,MATCH(P120,LMH_KEY,0)),0)),""))</f>
        <v>0.0476190476190476</v>
      </c>
      <c r="U120" s="74">
        <f>IF(N120="","",IFERROR(INDEX(LMH_PTS,MATCH(N120,LMH_KEY,0))/SUM(IFERROR(INDEX(LMH_PTS,MATCH(J120,LMH_KEY,0)),0),IFERROR(INDEX(LMH_PTS,MATCH(K120,LMH_KEY,0)),0),IFERROR(INDEX(LMH_PTS,MATCH(L120,LMH_KEY,0)),0),IFERROR(INDEX(LMH_PTS,MATCH(M120,LMH_KEY,0)),0),IFERROR(INDEX(LMH_PTS,MATCH(N120,LMH_KEY,0)),0),IFERROR(INDEX(LMH_PTS,MATCH(O120,LMH_KEY,0)),0),IFERROR(INDEX(LMH_PTS,MATCH(P120,LMH_KEY,0)),0)),""))</f>
        <v>0.142857142857143</v>
      </c>
      <c r="V120" s="74">
        <f>IF(O120="","",IFERROR(INDEX(LMH_PTS,MATCH(O120,LMH_KEY,0))/SUM(IFERROR(INDEX(LMH_PTS,MATCH(J120,LMH_KEY,0)),0),IFERROR(INDEX(LMH_PTS,MATCH(K120,LMH_KEY,0)),0),IFERROR(INDEX(LMH_PTS,MATCH(L120,LMH_KEY,0)),0),IFERROR(INDEX(LMH_PTS,MATCH(M120,LMH_KEY,0)),0),IFERROR(INDEX(LMH_PTS,MATCH(N120,LMH_KEY,0)),0),IFERROR(INDEX(LMH_PTS,MATCH(O120,LMH_KEY,0)),0),IFERROR(INDEX(LMH_PTS,MATCH(P120,LMH_KEY,0)),0)),""))</f>
        <v>0.0476190476190476</v>
      </c>
      <c r="W120" s="74">
        <f>IF(P120="","",IFERROR(INDEX(LMH_PTS,MATCH(P120,LMH_KEY,0))/SUM(IFERROR(INDEX(LMH_PTS,MATCH(J120,LMH_KEY,0)),0),IFERROR(INDEX(LMH_PTS,MATCH(K120,LMH_KEY,0)),0),IFERROR(INDEX(LMH_PTS,MATCH(L120,LMH_KEY,0)),0),IFERROR(INDEX(LMH_PTS,MATCH(M120,LMH_KEY,0)),0),IFERROR(INDEX(LMH_PTS,MATCH(N120,LMH_KEY,0)),0),IFERROR(INDEX(LMH_PTS,MATCH(O120,LMH_KEY,0)),0),IFERROR(INDEX(LMH_PTS,MATCH(P120,LMH_KEY,0)),0)),""))</f>
        <v>0.0476190476190476</v>
      </c>
      <c r="X120" s="44" t="n"/>
      <c r="Y120" s="38" t="inlineStr">
        <is>
          <t>CARBON|Support|Senior Support Executive|A3|A</t>
        </is>
      </c>
    </row>
    <row r="121" ht="40.5" customHeight="1">
      <c r="A121" s="28" t="inlineStr">
        <is>
          <t>CARBON</t>
        </is>
      </c>
      <c r="B121" s="29" t="inlineStr">
        <is>
          <t>Support</t>
        </is>
      </c>
      <c r="C121" s="76" t="inlineStr">
        <is>
          <t>X1</t>
        </is>
      </c>
      <c r="D121" s="29" t="inlineStr">
        <is>
          <t>Band X · Consultant</t>
        </is>
      </c>
      <c r="E121" s="29" t="inlineStr">
        <is>
          <t>Associate Consultant – Customer Success &amp; Account Management</t>
        </is>
      </c>
      <c r="F121" s="29" t="inlineStr">
        <is>
          <t>Consultant</t>
        </is>
      </c>
      <c r="G121" s="29" t="inlineStr">
        <is>
          <t>Customer Success &amp; Support</t>
        </is>
      </c>
      <c r="H121" s="29" t="n">
        <v>1</v>
      </c>
      <c r="I121" s="29" t="inlineStr">
        <is>
          <t>Kanika Jain</t>
        </is>
      </c>
      <c r="J121" s="34" t="n"/>
      <c r="K121" s="35" t="n"/>
      <c r="L121" s="35" t="n"/>
      <c r="M121" s="35" t="n"/>
      <c r="N121" s="35" t="n"/>
      <c r="O121" s="35" t="n"/>
      <c r="P121" s="35" t="n"/>
      <c r="Q121" s="73" t="str">
        <f>IF(J121="","",IFERROR(INDEX(LMH_PTS,MATCH(J121,LMH_KEY,0))/SUM(IFERROR(INDEX(LMH_PTS,MATCH(J121,LMH_KEY,0)),0),IFERROR(INDEX(LMH_PTS,MATCH(K121,LMH_KEY,0)),0),IFERROR(INDEX(LMH_PTS,MATCH(L121,LMH_KEY,0)),0),IFERROR(INDEX(LMH_PTS,MATCH(M121,LMH_KEY,0)),0),IFERROR(INDEX(LMH_PTS,MATCH(N121,LMH_KEY,0)),0),IFERROR(INDEX(LMH_PTS,MATCH(O121,LMH_KEY,0)),0),IFERROR(INDEX(LMH_PTS,MATCH(P121,LMH_KEY,0)),0)),""))</f>
        <v/>
      </c>
      <c r="R121" s="74" t="str">
        <f>IF(K121="","",IFERROR(INDEX(LMH_PTS,MATCH(K121,LMH_KEY,0))/SUM(IFERROR(INDEX(LMH_PTS,MATCH(J121,LMH_KEY,0)),0),IFERROR(INDEX(LMH_PTS,MATCH(K121,LMH_KEY,0)),0),IFERROR(INDEX(LMH_PTS,MATCH(L121,LMH_KEY,0)),0),IFERROR(INDEX(LMH_PTS,MATCH(M121,LMH_KEY,0)),0),IFERROR(INDEX(LMH_PTS,MATCH(N121,LMH_KEY,0)),0),IFERROR(INDEX(LMH_PTS,MATCH(O121,LMH_KEY,0)),0),IFERROR(INDEX(LMH_PTS,MATCH(P121,LMH_KEY,0)),0)),""))</f>
        <v/>
      </c>
      <c r="S121" s="74" t="str">
        <f>IF(L121="","",IFERROR(INDEX(LMH_PTS,MATCH(L121,LMH_KEY,0))/SUM(IFERROR(INDEX(LMH_PTS,MATCH(J121,LMH_KEY,0)),0),IFERROR(INDEX(LMH_PTS,MATCH(K121,LMH_KEY,0)),0),IFERROR(INDEX(LMH_PTS,MATCH(L121,LMH_KEY,0)),0),IFERROR(INDEX(LMH_PTS,MATCH(M121,LMH_KEY,0)),0),IFERROR(INDEX(LMH_PTS,MATCH(N121,LMH_KEY,0)),0),IFERROR(INDEX(LMH_PTS,MATCH(O121,LMH_KEY,0)),0),IFERROR(INDEX(LMH_PTS,MATCH(P121,LMH_KEY,0)),0)),""))</f>
        <v/>
      </c>
      <c r="T121" s="74" t="str">
        <f>IF(M121="","",IFERROR(INDEX(LMH_PTS,MATCH(M121,LMH_KEY,0))/SUM(IFERROR(INDEX(LMH_PTS,MATCH(J121,LMH_KEY,0)),0),IFERROR(INDEX(LMH_PTS,MATCH(K121,LMH_KEY,0)),0),IFERROR(INDEX(LMH_PTS,MATCH(L121,LMH_KEY,0)),0),IFERROR(INDEX(LMH_PTS,MATCH(M121,LMH_KEY,0)),0),IFERROR(INDEX(LMH_PTS,MATCH(N121,LMH_KEY,0)),0),IFERROR(INDEX(LMH_PTS,MATCH(O121,LMH_KEY,0)),0),IFERROR(INDEX(LMH_PTS,MATCH(P121,LMH_KEY,0)),0)),""))</f>
        <v/>
      </c>
      <c r="U121" s="74" t="str">
        <f>IF(N121="","",IFERROR(INDEX(LMH_PTS,MATCH(N121,LMH_KEY,0))/SUM(IFERROR(INDEX(LMH_PTS,MATCH(J121,LMH_KEY,0)),0),IFERROR(INDEX(LMH_PTS,MATCH(K121,LMH_KEY,0)),0),IFERROR(INDEX(LMH_PTS,MATCH(L121,LMH_KEY,0)),0),IFERROR(INDEX(LMH_PTS,MATCH(M121,LMH_KEY,0)),0),IFERROR(INDEX(LMH_PTS,MATCH(N121,LMH_KEY,0)),0),IFERROR(INDEX(LMH_PTS,MATCH(O121,LMH_KEY,0)),0),IFERROR(INDEX(LMH_PTS,MATCH(P121,LMH_KEY,0)),0)),""))</f>
        <v/>
      </c>
      <c r="V121" s="74" t="str">
        <f>IF(O121="","",IFERROR(INDEX(LMH_PTS,MATCH(O121,LMH_KEY,0))/SUM(IFERROR(INDEX(LMH_PTS,MATCH(J121,LMH_KEY,0)),0),IFERROR(INDEX(LMH_PTS,MATCH(K121,LMH_KEY,0)),0),IFERROR(INDEX(LMH_PTS,MATCH(L121,LMH_KEY,0)),0),IFERROR(INDEX(LMH_PTS,MATCH(M121,LMH_KEY,0)),0),IFERROR(INDEX(LMH_PTS,MATCH(N121,LMH_KEY,0)),0),IFERROR(INDEX(LMH_PTS,MATCH(O121,LMH_KEY,0)),0),IFERROR(INDEX(LMH_PTS,MATCH(P121,LMH_KEY,0)),0)),""))</f>
        <v/>
      </c>
      <c r="W121" s="74" t="str">
        <f>IF(P121="","",IFERROR(INDEX(LMH_PTS,MATCH(P121,LMH_KEY,0))/SUM(IFERROR(INDEX(LMH_PTS,MATCH(J121,LMH_KEY,0)),0),IFERROR(INDEX(LMH_PTS,MATCH(K121,LMH_KEY,0)),0),IFERROR(INDEX(LMH_PTS,MATCH(L121,LMH_KEY,0)),0),IFERROR(INDEX(LMH_PTS,MATCH(M121,LMH_KEY,0)),0),IFERROR(INDEX(LMH_PTS,MATCH(N121,LMH_KEY,0)),0),IFERROR(INDEX(LMH_PTS,MATCH(O121,LMH_KEY,0)),0),IFERROR(INDEX(LMH_PTS,MATCH(P121,LMH_KEY,0)),0)),""))</f>
        <v/>
      </c>
      <c r="X121" s="44" t="n"/>
      <c r="Y121" s="38" t="inlineStr">
        <is>
          <t>CARBON|Support|Associate Consultant – Customer Success &amp; Account Management|X1|X</t>
        </is>
      </c>
    </row>
    <row r="122" ht="18" customHeight="1">
      <c r="A122" s="28" t="inlineStr">
        <is>
          <t>CARBON</t>
        </is>
      </c>
      <c r="B122" s="71" t="inlineStr">
        <is>
          <t>Technology</t>
        </is>
      </c>
      <c r="C122" s="78" t="inlineStr">
        <is>
          <t>C2</t>
        </is>
      </c>
      <c r="D122" s="29" t="inlineStr">
        <is>
          <t>Band C · Principal / Head</t>
        </is>
      </c>
      <c r="E122" s="29" t="inlineStr">
        <is>
          <t>Head – Product Engineering</t>
        </is>
      </c>
      <c r="F122" s="29" t="inlineStr">
        <is>
          <t>Band C · Head / manager</t>
        </is>
      </c>
      <c r="G122" s="29" t="inlineStr">
        <is>
          <t>Executive Leadership</t>
        </is>
      </c>
      <c r="H122" s="29" t="n">
        <v>1</v>
      </c>
      <c r="I122" s="29" t="inlineStr">
        <is>
          <t>Ashish Singhvi</t>
        </is>
      </c>
      <c r="J122" s="34" t="str">
        <f>IFERROR(INDEX(RBD_C,MATCH("Executive Leadership|C2|C-M",RBD_KEY,0)),"M")</f>
        <v>H</v>
      </c>
      <c r="K122" s="35" t="str">
        <f>IFERROR(INDEX(RBD_Au,MATCH("Executive Leadership|C2|C-M",RBD_KEY,0)),"M")</f>
        <v>M</v>
      </c>
      <c r="L122" s="35" t="str">
        <f>IFERROR(INDEX(RBD_Ac,MATCH("Executive Leadership|C2|C-M",RBD_KEY,0)),"M")</f>
        <v>M</v>
      </c>
      <c r="M122" s="35" t="str">
        <f>IFERROR(INDEX(RBD_L,MATCH("Executive Leadership|C2|C-M",RBD_KEY,0)),"M")</f>
        <v>M</v>
      </c>
      <c r="N122" s="35" t="str">
        <f>IFERROR(INDEX(RBD_BI,MATCH("Executive Leadership|C2|C-M",RBD_KEY,0)),"M")</f>
        <v>L</v>
      </c>
      <c r="O122" s="35" t="str">
        <f>IFERROR(INDEX(RBD_Exp,MATCH("Executive Leadership|C2|C-M",RBD_KEY,0)),"M")</f>
        <v>L</v>
      </c>
      <c r="P122" s="35" t="str">
        <f>IFERROR(INDEX(RBD_Edu,MATCH("Executive Leadership|C2|C-M",RBD_KEY,0)),"M")</f>
        <v>L</v>
      </c>
      <c r="Q122" s="73">
        <f>IF(J122="","",IFERROR(INDEX(LMH_PTS,MATCH(J122,LMH_KEY,0))/SUM(IFERROR(INDEX(LMH_PTS,MATCH(J122,LMH_KEY,0)),0),IFERROR(INDEX(LMH_PTS,MATCH(K122,LMH_KEY,0)),0),IFERROR(INDEX(LMH_PTS,MATCH(L122,LMH_KEY,0)),0),IFERROR(INDEX(LMH_PTS,MATCH(M122,LMH_KEY,0)),0),IFERROR(INDEX(LMH_PTS,MATCH(N122,LMH_KEY,0)),0),IFERROR(INDEX(LMH_PTS,MATCH(O122,LMH_KEY,0)),0),IFERROR(INDEX(LMH_PTS,MATCH(P122,LMH_KEY,0)),0)),""))</f>
        <v>0.428571428571429</v>
      </c>
      <c r="R122" s="74">
        <f>IF(K122="","",IFERROR(INDEX(LMH_PTS,MATCH(K122,LMH_KEY,0))/SUM(IFERROR(INDEX(LMH_PTS,MATCH(J122,LMH_KEY,0)),0),IFERROR(INDEX(LMH_PTS,MATCH(K122,LMH_KEY,0)),0),IFERROR(INDEX(LMH_PTS,MATCH(L122,LMH_KEY,0)),0),IFERROR(INDEX(LMH_PTS,MATCH(M122,LMH_KEY,0)),0),IFERROR(INDEX(LMH_PTS,MATCH(N122,LMH_KEY,0)),0),IFERROR(INDEX(LMH_PTS,MATCH(O122,LMH_KEY,0)),0),IFERROR(INDEX(LMH_PTS,MATCH(P122,LMH_KEY,0)),0)),""))</f>
        <v>0.142857142857143</v>
      </c>
      <c r="S122" s="74">
        <f>IF(L122="","",IFERROR(INDEX(LMH_PTS,MATCH(L122,LMH_KEY,0))/SUM(IFERROR(INDEX(LMH_PTS,MATCH(J122,LMH_KEY,0)),0),IFERROR(INDEX(LMH_PTS,MATCH(K122,LMH_KEY,0)),0),IFERROR(INDEX(LMH_PTS,MATCH(L122,LMH_KEY,0)),0),IFERROR(INDEX(LMH_PTS,MATCH(M122,LMH_KEY,0)),0),IFERROR(INDEX(LMH_PTS,MATCH(N122,LMH_KEY,0)),0),IFERROR(INDEX(LMH_PTS,MATCH(O122,LMH_KEY,0)),0),IFERROR(INDEX(LMH_PTS,MATCH(P122,LMH_KEY,0)),0)),""))</f>
        <v>0.142857142857143</v>
      </c>
      <c r="T122" s="74">
        <f>IF(M122="","",IFERROR(INDEX(LMH_PTS,MATCH(M122,LMH_KEY,0))/SUM(IFERROR(INDEX(LMH_PTS,MATCH(J122,LMH_KEY,0)),0),IFERROR(INDEX(LMH_PTS,MATCH(K122,LMH_KEY,0)),0),IFERROR(INDEX(LMH_PTS,MATCH(L122,LMH_KEY,0)),0),IFERROR(INDEX(LMH_PTS,MATCH(M122,LMH_KEY,0)),0),IFERROR(INDEX(LMH_PTS,MATCH(N122,LMH_KEY,0)),0),IFERROR(INDEX(LMH_PTS,MATCH(O122,LMH_KEY,0)),0),IFERROR(INDEX(LMH_PTS,MATCH(P122,LMH_KEY,0)),0)),""))</f>
        <v>0.142857142857143</v>
      </c>
      <c r="U122" s="74">
        <f>IF(N122="","",IFERROR(INDEX(LMH_PTS,MATCH(N122,LMH_KEY,0))/SUM(IFERROR(INDEX(LMH_PTS,MATCH(J122,LMH_KEY,0)),0),IFERROR(INDEX(LMH_PTS,MATCH(K122,LMH_KEY,0)),0),IFERROR(INDEX(LMH_PTS,MATCH(L122,LMH_KEY,0)),0),IFERROR(INDEX(LMH_PTS,MATCH(M122,LMH_KEY,0)),0),IFERROR(INDEX(LMH_PTS,MATCH(N122,LMH_KEY,0)),0),IFERROR(INDEX(LMH_PTS,MATCH(O122,LMH_KEY,0)),0),IFERROR(INDEX(LMH_PTS,MATCH(P122,LMH_KEY,0)),0)),""))</f>
        <v>0.0476190476190476</v>
      </c>
      <c r="V122" s="74">
        <f>IF(O122="","",IFERROR(INDEX(LMH_PTS,MATCH(O122,LMH_KEY,0))/SUM(IFERROR(INDEX(LMH_PTS,MATCH(J122,LMH_KEY,0)),0),IFERROR(INDEX(LMH_PTS,MATCH(K122,LMH_KEY,0)),0),IFERROR(INDEX(LMH_PTS,MATCH(L122,LMH_KEY,0)),0),IFERROR(INDEX(LMH_PTS,MATCH(M122,LMH_KEY,0)),0),IFERROR(INDEX(LMH_PTS,MATCH(N122,LMH_KEY,0)),0),IFERROR(INDEX(LMH_PTS,MATCH(O122,LMH_KEY,0)),0),IFERROR(INDEX(LMH_PTS,MATCH(P122,LMH_KEY,0)),0)),""))</f>
        <v>0.0476190476190476</v>
      </c>
      <c r="W122" s="74">
        <f>IF(P122="","",IFERROR(INDEX(LMH_PTS,MATCH(P122,LMH_KEY,0))/SUM(IFERROR(INDEX(LMH_PTS,MATCH(J122,LMH_KEY,0)),0),IFERROR(INDEX(LMH_PTS,MATCH(K122,LMH_KEY,0)),0),IFERROR(INDEX(LMH_PTS,MATCH(L122,LMH_KEY,0)),0),IFERROR(INDEX(LMH_PTS,MATCH(M122,LMH_KEY,0)),0),IFERROR(INDEX(LMH_PTS,MATCH(N122,LMH_KEY,0)),0),IFERROR(INDEX(LMH_PTS,MATCH(O122,LMH_KEY,0)),0),IFERROR(INDEX(LMH_PTS,MATCH(P122,LMH_KEY,0)),0)),""))</f>
        <v>0.0476190476190476</v>
      </c>
      <c r="X122" s="44" t="n"/>
      <c r="Y122" s="38" t="inlineStr">
        <is>
          <t>CARBON|Technology|Head – Product Engineering|C2|C-M</t>
        </is>
      </c>
    </row>
    <row r="123" ht="18" customHeight="1">
      <c r="A123" s="28" t="inlineStr">
        <is>
          <t>CARBON</t>
        </is>
      </c>
      <c r="B123" s="29" t="inlineStr">
        <is>
          <t>Technology</t>
        </is>
      </c>
      <c r="C123" s="72" t="inlineStr">
        <is>
          <t>B3</t>
        </is>
      </c>
      <c r="D123" s="29" t="inlineStr">
        <is>
          <t>Band B · Specialist / Manager</t>
        </is>
      </c>
      <c r="E123" s="29" t="inlineStr">
        <is>
          <t>Senior Engineering Manager</t>
        </is>
      </c>
      <c r="F123" s="29" t="inlineStr">
        <is>
          <t>Band B · People Manager</t>
        </is>
      </c>
      <c r="G123" s="29" t="inlineStr">
        <is>
          <t>Engineering &amp; Development</t>
        </is>
      </c>
      <c r="H123" s="29" t="n">
        <v>1</v>
      </c>
      <c r="I123" s="29" t="inlineStr">
        <is>
          <t>Chetan Kotwal</t>
        </is>
      </c>
      <c r="J123" s="34" t="str">
        <f>IFERROR(INDEX(RBD_C,MATCH("Engineering &amp; Development|B3|B-M",RBD_KEY,0)),"M")</f>
        <v>H</v>
      </c>
      <c r="K123" s="35" t="str">
        <f>IFERROR(INDEX(RBD_Au,MATCH("Engineering &amp; Development|B3|B-M",RBD_KEY,0)),"M")</f>
        <v>M</v>
      </c>
      <c r="L123" s="35" t="str">
        <f>IFERROR(INDEX(RBD_Ac,MATCH("Engineering &amp; Development|B3|B-M",RBD_KEY,0)),"M")</f>
        <v>L</v>
      </c>
      <c r="M123" s="35" t="str">
        <f>IFERROR(INDEX(RBD_L,MATCH("Engineering &amp; Development|B3|B-M",RBD_KEY,0)),"M")</f>
        <v>M</v>
      </c>
      <c r="N123" s="35" t="str">
        <f>IFERROR(INDEX(RBD_BI,MATCH("Engineering &amp; Development|B3|B-M",RBD_KEY,0)),"M")</f>
        <v>L</v>
      </c>
      <c r="O123" s="35" t="str">
        <f>IFERROR(INDEX(RBD_Exp,MATCH("Engineering &amp; Development|B3|B-M",RBD_KEY,0)),"M")</f>
        <v>L</v>
      </c>
      <c r="P123" s="35" t="str">
        <f>IFERROR(INDEX(RBD_Edu,MATCH("Engineering &amp; Development|B3|B-M",RBD_KEY,0)),"M")</f>
        <v>L</v>
      </c>
      <c r="Q123" s="73">
        <f>IF(J123="","",IFERROR(INDEX(LMH_PTS,MATCH(J123,LMH_KEY,0))/SUM(IFERROR(INDEX(LMH_PTS,MATCH(J123,LMH_KEY,0)),0),IFERROR(INDEX(LMH_PTS,MATCH(K123,LMH_KEY,0)),0),IFERROR(INDEX(LMH_PTS,MATCH(L123,LMH_KEY,0)),0),IFERROR(INDEX(LMH_PTS,MATCH(M123,LMH_KEY,0)),0),IFERROR(INDEX(LMH_PTS,MATCH(N123,LMH_KEY,0)),0),IFERROR(INDEX(LMH_PTS,MATCH(O123,LMH_KEY,0)),0),IFERROR(INDEX(LMH_PTS,MATCH(P123,LMH_KEY,0)),0)),""))</f>
        <v>0.473684210526316</v>
      </c>
      <c r="R123" s="74">
        <f>IF(K123="","",IFERROR(INDEX(LMH_PTS,MATCH(K123,LMH_KEY,0))/SUM(IFERROR(INDEX(LMH_PTS,MATCH(J123,LMH_KEY,0)),0),IFERROR(INDEX(LMH_PTS,MATCH(K123,LMH_KEY,0)),0),IFERROR(INDEX(LMH_PTS,MATCH(L123,LMH_KEY,0)),0),IFERROR(INDEX(LMH_PTS,MATCH(M123,LMH_KEY,0)),0),IFERROR(INDEX(LMH_PTS,MATCH(N123,LMH_KEY,0)),0),IFERROR(INDEX(LMH_PTS,MATCH(O123,LMH_KEY,0)),0),IFERROR(INDEX(LMH_PTS,MATCH(P123,LMH_KEY,0)),0)),""))</f>
        <v>0.157894736842105</v>
      </c>
      <c r="S123" s="74">
        <f>IF(L123="","",IFERROR(INDEX(LMH_PTS,MATCH(L123,LMH_KEY,0))/SUM(IFERROR(INDEX(LMH_PTS,MATCH(J123,LMH_KEY,0)),0),IFERROR(INDEX(LMH_PTS,MATCH(K123,LMH_KEY,0)),0),IFERROR(INDEX(LMH_PTS,MATCH(L123,LMH_KEY,0)),0),IFERROR(INDEX(LMH_PTS,MATCH(M123,LMH_KEY,0)),0),IFERROR(INDEX(LMH_PTS,MATCH(N123,LMH_KEY,0)),0),IFERROR(INDEX(LMH_PTS,MATCH(O123,LMH_KEY,0)),0),IFERROR(INDEX(LMH_PTS,MATCH(P123,LMH_KEY,0)),0)),""))</f>
        <v>0.0526315789473684</v>
      </c>
      <c r="T123" s="74">
        <f>IF(M123="","",IFERROR(INDEX(LMH_PTS,MATCH(M123,LMH_KEY,0))/SUM(IFERROR(INDEX(LMH_PTS,MATCH(J123,LMH_KEY,0)),0),IFERROR(INDEX(LMH_PTS,MATCH(K123,LMH_KEY,0)),0),IFERROR(INDEX(LMH_PTS,MATCH(L123,LMH_KEY,0)),0),IFERROR(INDEX(LMH_PTS,MATCH(M123,LMH_KEY,0)),0),IFERROR(INDEX(LMH_PTS,MATCH(N123,LMH_KEY,0)),0),IFERROR(INDEX(LMH_PTS,MATCH(O123,LMH_KEY,0)),0),IFERROR(INDEX(LMH_PTS,MATCH(P123,LMH_KEY,0)),0)),""))</f>
        <v>0.157894736842105</v>
      </c>
      <c r="U123" s="74">
        <f>IF(N123="","",IFERROR(INDEX(LMH_PTS,MATCH(N123,LMH_KEY,0))/SUM(IFERROR(INDEX(LMH_PTS,MATCH(J123,LMH_KEY,0)),0),IFERROR(INDEX(LMH_PTS,MATCH(K123,LMH_KEY,0)),0),IFERROR(INDEX(LMH_PTS,MATCH(L123,LMH_KEY,0)),0),IFERROR(INDEX(LMH_PTS,MATCH(M123,LMH_KEY,0)),0),IFERROR(INDEX(LMH_PTS,MATCH(N123,LMH_KEY,0)),0),IFERROR(INDEX(LMH_PTS,MATCH(O123,LMH_KEY,0)),0),IFERROR(INDEX(LMH_PTS,MATCH(P123,LMH_KEY,0)),0)),""))</f>
        <v>0.0526315789473684</v>
      </c>
      <c r="V123" s="74">
        <f>IF(O123="","",IFERROR(INDEX(LMH_PTS,MATCH(O123,LMH_KEY,0))/SUM(IFERROR(INDEX(LMH_PTS,MATCH(J123,LMH_KEY,0)),0),IFERROR(INDEX(LMH_PTS,MATCH(K123,LMH_KEY,0)),0),IFERROR(INDEX(LMH_PTS,MATCH(L123,LMH_KEY,0)),0),IFERROR(INDEX(LMH_PTS,MATCH(M123,LMH_KEY,0)),0),IFERROR(INDEX(LMH_PTS,MATCH(N123,LMH_KEY,0)),0),IFERROR(INDEX(LMH_PTS,MATCH(O123,LMH_KEY,0)),0),IFERROR(INDEX(LMH_PTS,MATCH(P123,LMH_KEY,0)),0)),""))</f>
        <v>0.0526315789473684</v>
      </c>
      <c r="W123" s="74">
        <f>IF(P123="","",IFERROR(INDEX(LMH_PTS,MATCH(P123,LMH_KEY,0))/SUM(IFERROR(INDEX(LMH_PTS,MATCH(J123,LMH_KEY,0)),0),IFERROR(INDEX(LMH_PTS,MATCH(K123,LMH_KEY,0)),0),IFERROR(INDEX(LMH_PTS,MATCH(L123,LMH_KEY,0)),0),IFERROR(INDEX(LMH_PTS,MATCH(M123,LMH_KEY,0)),0),IFERROR(INDEX(LMH_PTS,MATCH(N123,LMH_KEY,0)),0),IFERROR(INDEX(LMH_PTS,MATCH(O123,LMH_KEY,0)),0),IFERROR(INDEX(LMH_PTS,MATCH(P123,LMH_KEY,0)),0)),""))</f>
        <v>0.0526315789473684</v>
      </c>
      <c r="X123" s="44" t="n"/>
      <c r="Y123" s="38" t="inlineStr">
        <is>
          <t>CARBON|Technology|Senior Engineering Manager|B3|B-M</t>
        </is>
      </c>
    </row>
    <row r="124" ht="28" customHeight="1">
      <c r="A124" s="28" t="inlineStr">
        <is>
          <t>CARBON</t>
        </is>
      </c>
      <c r="B124" s="29" t="inlineStr">
        <is>
          <t>Technology</t>
        </is>
      </c>
      <c r="C124" s="72" t="inlineStr">
        <is>
          <t>B2</t>
        </is>
      </c>
      <c r="D124" s="29" t="inlineStr">
        <is>
          <t>Band B · Specialist / Manager</t>
        </is>
      </c>
      <c r="E124" s="29" t="inlineStr">
        <is>
          <t>Lead Software Engineer – POD Lead</t>
        </is>
      </c>
      <c r="F124" s="29" t="inlineStr">
        <is>
          <t>Band B · Specialist / POD Lead</t>
        </is>
      </c>
      <c r="G124" s="29" t="inlineStr">
        <is>
          <t>Engineering &amp; Development</t>
        </is>
      </c>
      <c r="H124" s="29" t="n">
        <v>2</v>
      </c>
      <c r="I124" s="29" t="inlineStr">
        <is>
          <t>Dhiraj Suryawanshi, Sarfaraz Badi</t>
        </is>
      </c>
      <c r="J124" s="34" t="str">
        <f>IFERROR(INDEX(RBD_C,MATCH("Engineering &amp; Development|B2|B-IC",RBD_KEY,0)),"M")</f>
        <v>H</v>
      </c>
      <c r="K124" s="35" t="str">
        <f>IFERROR(INDEX(RBD_Au,MATCH("Engineering &amp; Development|B2|B-IC",RBD_KEY,0)),"M")</f>
        <v>M</v>
      </c>
      <c r="L124" s="35" t="str">
        <f>IFERROR(INDEX(RBD_Ac,MATCH("Engineering &amp; Development|B2|B-IC",RBD_KEY,0)),"M")</f>
        <v>L</v>
      </c>
      <c r="M124" s="35" t="str">
        <f>IFERROR(INDEX(RBD_L,MATCH("Engineering &amp; Development|B2|B-IC",RBD_KEY,0)),"M")</f>
        <v>L</v>
      </c>
      <c r="N124" s="35" t="str">
        <f>IFERROR(INDEX(RBD_BI,MATCH("Engineering &amp; Development|B2|B-IC",RBD_KEY,0)),"M")</f>
        <v>L</v>
      </c>
      <c r="O124" s="35" t="str">
        <f>IFERROR(INDEX(RBD_Exp,MATCH("Engineering &amp; Development|B2|B-IC",RBD_KEY,0)),"M")</f>
        <v>L</v>
      </c>
      <c r="P124" s="35" t="str">
        <f>IFERROR(INDEX(RBD_Edu,MATCH("Engineering &amp; Development|B2|B-IC",RBD_KEY,0)),"M")</f>
        <v>L</v>
      </c>
      <c r="Q124" s="73">
        <f>IF(J124="","",IFERROR(INDEX(LMH_PTS,MATCH(J124,LMH_KEY,0))/SUM(IFERROR(INDEX(LMH_PTS,MATCH(J124,LMH_KEY,0)),0),IFERROR(INDEX(LMH_PTS,MATCH(K124,LMH_KEY,0)),0),IFERROR(INDEX(LMH_PTS,MATCH(L124,LMH_KEY,0)),0),IFERROR(INDEX(LMH_PTS,MATCH(M124,LMH_KEY,0)),0),IFERROR(INDEX(LMH_PTS,MATCH(N124,LMH_KEY,0)),0),IFERROR(INDEX(LMH_PTS,MATCH(O124,LMH_KEY,0)),0),IFERROR(INDEX(LMH_PTS,MATCH(P124,LMH_KEY,0)),0)),""))</f>
        <v>0.529411764705882</v>
      </c>
      <c r="R124" s="74">
        <f>IF(K124="","",IFERROR(INDEX(LMH_PTS,MATCH(K124,LMH_KEY,0))/SUM(IFERROR(INDEX(LMH_PTS,MATCH(J124,LMH_KEY,0)),0),IFERROR(INDEX(LMH_PTS,MATCH(K124,LMH_KEY,0)),0),IFERROR(INDEX(LMH_PTS,MATCH(L124,LMH_KEY,0)),0),IFERROR(INDEX(LMH_PTS,MATCH(M124,LMH_KEY,0)),0),IFERROR(INDEX(LMH_PTS,MATCH(N124,LMH_KEY,0)),0),IFERROR(INDEX(LMH_PTS,MATCH(O124,LMH_KEY,0)),0),IFERROR(INDEX(LMH_PTS,MATCH(P124,LMH_KEY,0)),0)),""))</f>
        <v>0.176470588235294</v>
      </c>
      <c r="S124" s="74">
        <f>IF(L124="","",IFERROR(INDEX(LMH_PTS,MATCH(L124,LMH_KEY,0))/SUM(IFERROR(INDEX(LMH_PTS,MATCH(J124,LMH_KEY,0)),0),IFERROR(INDEX(LMH_PTS,MATCH(K124,LMH_KEY,0)),0),IFERROR(INDEX(LMH_PTS,MATCH(L124,LMH_KEY,0)),0),IFERROR(INDEX(LMH_PTS,MATCH(M124,LMH_KEY,0)),0),IFERROR(INDEX(LMH_PTS,MATCH(N124,LMH_KEY,0)),0),IFERROR(INDEX(LMH_PTS,MATCH(O124,LMH_KEY,0)),0),IFERROR(INDEX(LMH_PTS,MATCH(P124,LMH_KEY,0)),0)),""))</f>
        <v>0.0588235294117647</v>
      </c>
      <c r="T124" s="74">
        <f>IF(M124="","",IFERROR(INDEX(LMH_PTS,MATCH(M124,LMH_KEY,0))/SUM(IFERROR(INDEX(LMH_PTS,MATCH(J124,LMH_KEY,0)),0),IFERROR(INDEX(LMH_PTS,MATCH(K124,LMH_KEY,0)),0),IFERROR(INDEX(LMH_PTS,MATCH(L124,LMH_KEY,0)),0),IFERROR(INDEX(LMH_PTS,MATCH(M124,LMH_KEY,0)),0),IFERROR(INDEX(LMH_PTS,MATCH(N124,LMH_KEY,0)),0),IFERROR(INDEX(LMH_PTS,MATCH(O124,LMH_KEY,0)),0),IFERROR(INDEX(LMH_PTS,MATCH(P124,LMH_KEY,0)),0)),""))</f>
        <v>0.0588235294117647</v>
      </c>
      <c r="U124" s="74">
        <f>IF(N124="","",IFERROR(INDEX(LMH_PTS,MATCH(N124,LMH_KEY,0))/SUM(IFERROR(INDEX(LMH_PTS,MATCH(J124,LMH_KEY,0)),0),IFERROR(INDEX(LMH_PTS,MATCH(K124,LMH_KEY,0)),0),IFERROR(INDEX(LMH_PTS,MATCH(L124,LMH_KEY,0)),0),IFERROR(INDEX(LMH_PTS,MATCH(M124,LMH_KEY,0)),0),IFERROR(INDEX(LMH_PTS,MATCH(N124,LMH_KEY,0)),0),IFERROR(INDEX(LMH_PTS,MATCH(O124,LMH_KEY,0)),0),IFERROR(INDEX(LMH_PTS,MATCH(P124,LMH_KEY,0)),0)),""))</f>
        <v>0.0588235294117647</v>
      </c>
      <c r="V124" s="74">
        <f>IF(O124="","",IFERROR(INDEX(LMH_PTS,MATCH(O124,LMH_KEY,0))/SUM(IFERROR(INDEX(LMH_PTS,MATCH(J124,LMH_KEY,0)),0),IFERROR(INDEX(LMH_PTS,MATCH(K124,LMH_KEY,0)),0),IFERROR(INDEX(LMH_PTS,MATCH(L124,LMH_KEY,0)),0),IFERROR(INDEX(LMH_PTS,MATCH(M124,LMH_KEY,0)),0),IFERROR(INDEX(LMH_PTS,MATCH(N124,LMH_KEY,0)),0),IFERROR(INDEX(LMH_PTS,MATCH(O124,LMH_KEY,0)),0),IFERROR(INDEX(LMH_PTS,MATCH(P124,LMH_KEY,0)),0)),""))</f>
        <v>0.0588235294117647</v>
      </c>
      <c r="W124" s="74">
        <f>IF(P124="","",IFERROR(INDEX(LMH_PTS,MATCH(P124,LMH_KEY,0))/SUM(IFERROR(INDEX(LMH_PTS,MATCH(J124,LMH_KEY,0)),0),IFERROR(INDEX(LMH_PTS,MATCH(K124,LMH_KEY,0)),0),IFERROR(INDEX(LMH_PTS,MATCH(L124,LMH_KEY,0)),0),IFERROR(INDEX(LMH_PTS,MATCH(M124,LMH_KEY,0)),0),IFERROR(INDEX(LMH_PTS,MATCH(N124,LMH_KEY,0)),0),IFERROR(INDEX(LMH_PTS,MATCH(O124,LMH_KEY,0)),0),IFERROR(INDEX(LMH_PTS,MATCH(P124,LMH_KEY,0)),0)),""))</f>
        <v>0.0588235294117647</v>
      </c>
      <c r="X124" s="44" t="n"/>
      <c r="Y124" s="38" t="inlineStr">
        <is>
          <t>CARBON|Technology|Lead Software Engineer – POD Lead|B2|B-IC</t>
        </is>
      </c>
    </row>
    <row r="125" ht="18" customHeight="1">
      <c r="A125" s="28" t="inlineStr">
        <is>
          <t>CARBON</t>
        </is>
      </c>
      <c r="B125" s="29" t="inlineStr">
        <is>
          <t>Technology</t>
        </is>
      </c>
      <c r="C125" s="72" t="inlineStr">
        <is>
          <t>B2</t>
        </is>
      </c>
      <c r="D125" s="29" t="inlineStr">
        <is>
          <t>Band B · Specialist / Manager</t>
        </is>
      </c>
      <c r="E125" s="29" t="inlineStr">
        <is>
          <t>Project Manager</t>
        </is>
      </c>
      <c r="F125" s="29" t="inlineStr">
        <is>
          <t>Band B · Specialist / POD Lead</t>
        </is>
      </c>
      <c r="G125" s="29" t="inlineStr">
        <is>
          <t>Project &amp; Program Management</t>
        </is>
      </c>
      <c r="H125" s="29" t="n">
        <v>1</v>
      </c>
      <c r="I125" s="29" t="inlineStr">
        <is>
          <t>Aaron Michael</t>
        </is>
      </c>
      <c r="J125" s="34" t="str">
        <f>IFERROR(INDEX(RBD_C,MATCH("Project &amp; Program Management|B2|B-IC",RBD_KEY,0)),"M")</f>
        <v>H</v>
      </c>
      <c r="K125" s="35" t="str">
        <f>IFERROR(INDEX(RBD_Au,MATCH("Project &amp; Program Management|B2|B-IC",RBD_KEY,0)),"M")</f>
        <v>M</v>
      </c>
      <c r="L125" s="35" t="str">
        <f>IFERROR(INDEX(RBD_Ac,MATCH("Project &amp; Program Management|B2|B-IC",RBD_KEY,0)),"M")</f>
        <v>L</v>
      </c>
      <c r="M125" s="35" t="str">
        <f>IFERROR(INDEX(RBD_L,MATCH("Project &amp; Program Management|B2|B-IC",RBD_KEY,0)),"M")</f>
        <v>L</v>
      </c>
      <c r="N125" s="35" t="str">
        <f>IFERROR(INDEX(RBD_BI,MATCH("Project &amp; Program Management|B2|B-IC",RBD_KEY,0)),"M")</f>
        <v>L</v>
      </c>
      <c r="O125" s="35" t="str">
        <f>IFERROR(INDEX(RBD_Exp,MATCH("Project &amp; Program Management|B2|B-IC",RBD_KEY,0)),"M")</f>
        <v>L</v>
      </c>
      <c r="P125" s="35" t="str">
        <f>IFERROR(INDEX(RBD_Edu,MATCH("Project &amp; Program Management|B2|B-IC",RBD_KEY,0)),"M")</f>
        <v>L</v>
      </c>
      <c r="Q125" s="73">
        <f>IF(J125="","",IFERROR(INDEX(LMH_PTS,MATCH(J125,LMH_KEY,0))/SUM(IFERROR(INDEX(LMH_PTS,MATCH(J125,LMH_KEY,0)),0),IFERROR(INDEX(LMH_PTS,MATCH(K125,LMH_KEY,0)),0),IFERROR(INDEX(LMH_PTS,MATCH(L125,LMH_KEY,0)),0),IFERROR(INDEX(LMH_PTS,MATCH(M125,LMH_KEY,0)),0),IFERROR(INDEX(LMH_PTS,MATCH(N125,LMH_KEY,0)),0),IFERROR(INDEX(LMH_PTS,MATCH(O125,LMH_KEY,0)),0),IFERROR(INDEX(LMH_PTS,MATCH(P125,LMH_KEY,0)),0)),""))</f>
        <v>0.529411764705882</v>
      </c>
      <c r="R125" s="74">
        <f>IF(K125="","",IFERROR(INDEX(LMH_PTS,MATCH(K125,LMH_KEY,0))/SUM(IFERROR(INDEX(LMH_PTS,MATCH(J125,LMH_KEY,0)),0),IFERROR(INDEX(LMH_PTS,MATCH(K125,LMH_KEY,0)),0),IFERROR(INDEX(LMH_PTS,MATCH(L125,LMH_KEY,0)),0),IFERROR(INDEX(LMH_PTS,MATCH(M125,LMH_KEY,0)),0),IFERROR(INDEX(LMH_PTS,MATCH(N125,LMH_KEY,0)),0),IFERROR(INDEX(LMH_PTS,MATCH(O125,LMH_KEY,0)),0),IFERROR(INDEX(LMH_PTS,MATCH(P125,LMH_KEY,0)),0)),""))</f>
        <v>0.176470588235294</v>
      </c>
      <c r="S125" s="74">
        <f>IF(L125="","",IFERROR(INDEX(LMH_PTS,MATCH(L125,LMH_KEY,0))/SUM(IFERROR(INDEX(LMH_PTS,MATCH(J125,LMH_KEY,0)),0),IFERROR(INDEX(LMH_PTS,MATCH(K125,LMH_KEY,0)),0),IFERROR(INDEX(LMH_PTS,MATCH(L125,LMH_KEY,0)),0),IFERROR(INDEX(LMH_PTS,MATCH(M125,LMH_KEY,0)),0),IFERROR(INDEX(LMH_PTS,MATCH(N125,LMH_KEY,0)),0),IFERROR(INDEX(LMH_PTS,MATCH(O125,LMH_KEY,0)),0),IFERROR(INDEX(LMH_PTS,MATCH(P125,LMH_KEY,0)),0)),""))</f>
        <v>0.0588235294117647</v>
      </c>
      <c r="T125" s="74">
        <f>IF(M125="","",IFERROR(INDEX(LMH_PTS,MATCH(M125,LMH_KEY,0))/SUM(IFERROR(INDEX(LMH_PTS,MATCH(J125,LMH_KEY,0)),0),IFERROR(INDEX(LMH_PTS,MATCH(K125,LMH_KEY,0)),0),IFERROR(INDEX(LMH_PTS,MATCH(L125,LMH_KEY,0)),0),IFERROR(INDEX(LMH_PTS,MATCH(M125,LMH_KEY,0)),0),IFERROR(INDEX(LMH_PTS,MATCH(N125,LMH_KEY,0)),0),IFERROR(INDEX(LMH_PTS,MATCH(O125,LMH_KEY,0)),0),IFERROR(INDEX(LMH_PTS,MATCH(P125,LMH_KEY,0)),0)),""))</f>
        <v>0.0588235294117647</v>
      </c>
      <c r="U125" s="74">
        <f>IF(N125="","",IFERROR(INDEX(LMH_PTS,MATCH(N125,LMH_KEY,0))/SUM(IFERROR(INDEX(LMH_PTS,MATCH(J125,LMH_KEY,0)),0),IFERROR(INDEX(LMH_PTS,MATCH(K125,LMH_KEY,0)),0),IFERROR(INDEX(LMH_PTS,MATCH(L125,LMH_KEY,0)),0),IFERROR(INDEX(LMH_PTS,MATCH(M125,LMH_KEY,0)),0),IFERROR(INDEX(LMH_PTS,MATCH(N125,LMH_KEY,0)),0),IFERROR(INDEX(LMH_PTS,MATCH(O125,LMH_KEY,0)),0),IFERROR(INDEX(LMH_PTS,MATCH(P125,LMH_KEY,0)),0)),""))</f>
        <v>0.0588235294117647</v>
      </c>
      <c r="V125" s="74">
        <f>IF(O125="","",IFERROR(INDEX(LMH_PTS,MATCH(O125,LMH_KEY,0))/SUM(IFERROR(INDEX(LMH_PTS,MATCH(J125,LMH_KEY,0)),0),IFERROR(INDEX(LMH_PTS,MATCH(K125,LMH_KEY,0)),0),IFERROR(INDEX(LMH_PTS,MATCH(L125,LMH_KEY,0)),0),IFERROR(INDEX(LMH_PTS,MATCH(M125,LMH_KEY,0)),0),IFERROR(INDEX(LMH_PTS,MATCH(N125,LMH_KEY,0)),0),IFERROR(INDEX(LMH_PTS,MATCH(O125,LMH_KEY,0)),0),IFERROR(INDEX(LMH_PTS,MATCH(P125,LMH_KEY,0)),0)),""))</f>
        <v>0.0588235294117647</v>
      </c>
      <c r="W125" s="74">
        <f>IF(P125="","",IFERROR(INDEX(LMH_PTS,MATCH(P125,LMH_KEY,0))/SUM(IFERROR(INDEX(LMH_PTS,MATCH(J125,LMH_KEY,0)),0),IFERROR(INDEX(LMH_PTS,MATCH(K125,LMH_KEY,0)),0),IFERROR(INDEX(LMH_PTS,MATCH(L125,LMH_KEY,0)),0),IFERROR(INDEX(LMH_PTS,MATCH(M125,LMH_KEY,0)),0),IFERROR(INDEX(LMH_PTS,MATCH(N125,LMH_KEY,0)),0),IFERROR(INDEX(LMH_PTS,MATCH(O125,LMH_KEY,0)),0),IFERROR(INDEX(LMH_PTS,MATCH(P125,LMH_KEY,0)),0)),""))</f>
        <v>0.0588235294117647</v>
      </c>
      <c r="X125" s="44" t="n"/>
      <c r="Y125" s="38" t="inlineStr">
        <is>
          <t>CARBON|Technology|Project Manager|B2|B-IC</t>
        </is>
      </c>
    </row>
    <row r="126" ht="28" customHeight="1">
      <c r="A126" s="28" t="inlineStr">
        <is>
          <t>CARBON</t>
        </is>
      </c>
      <c r="B126" s="29" t="inlineStr">
        <is>
          <t>Technology</t>
        </is>
      </c>
      <c r="C126" s="72" t="inlineStr">
        <is>
          <t>B2</t>
        </is>
      </c>
      <c r="D126" s="29" t="inlineStr">
        <is>
          <t>Band B · Specialist / Manager</t>
        </is>
      </c>
      <c r="E126" s="29" t="inlineStr">
        <is>
          <t>Senior Business Analysis Specialist – POD Lead</t>
        </is>
      </c>
      <c r="F126" s="29" t="inlineStr">
        <is>
          <t>Band B · Specialist / POD Lead</t>
        </is>
      </c>
      <c r="G126" s="29" t="inlineStr">
        <is>
          <t>Business Analysis</t>
        </is>
      </c>
      <c r="H126" s="29" t="n">
        <v>1</v>
      </c>
      <c r="I126" s="29" t="inlineStr">
        <is>
          <t>Prasad Shirke</t>
        </is>
      </c>
      <c r="J126" s="34" t="str">
        <f>IFERROR(INDEX(RBD_C,MATCH("Business Analysis|B2|B-IC",RBD_KEY,0)),"M")</f>
        <v>H</v>
      </c>
      <c r="K126" s="35" t="str">
        <f>IFERROR(INDEX(RBD_Au,MATCH("Business Analysis|B2|B-IC",RBD_KEY,0)),"M")</f>
        <v>M</v>
      </c>
      <c r="L126" s="35" t="str">
        <f>IFERROR(INDEX(RBD_Ac,MATCH("Business Analysis|B2|B-IC",RBD_KEY,0)),"M")</f>
        <v>L</v>
      </c>
      <c r="M126" s="35" t="str">
        <f>IFERROR(INDEX(RBD_L,MATCH("Business Analysis|B2|B-IC",RBD_KEY,0)),"M")</f>
        <v>L</v>
      </c>
      <c r="N126" s="35" t="str">
        <f>IFERROR(INDEX(RBD_BI,MATCH("Business Analysis|B2|B-IC",RBD_KEY,0)),"M")</f>
        <v>L</v>
      </c>
      <c r="O126" s="35" t="str">
        <f>IFERROR(INDEX(RBD_Exp,MATCH("Business Analysis|B2|B-IC",RBD_KEY,0)),"M")</f>
        <v>L</v>
      </c>
      <c r="P126" s="35" t="str">
        <f>IFERROR(INDEX(RBD_Edu,MATCH("Business Analysis|B2|B-IC",RBD_KEY,0)),"M")</f>
        <v>L</v>
      </c>
      <c r="Q126" s="73">
        <f>IF(J126="","",IFERROR(INDEX(LMH_PTS,MATCH(J126,LMH_KEY,0))/SUM(IFERROR(INDEX(LMH_PTS,MATCH(J126,LMH_KEY,0)),0),IFERROR(INDEX(LMH_PTS,MATCH(K126,LMH_KEY,0)),0),IFERROR(INDEX(LMH_PTS,MATCH(L126,LMH_KEY,0)),0),IFERROR(INDEX(LMH_PTS,MATCH(M126,LMH_KEY,0)),0),IFERROR(INDEX(LMH_PTS,MATCH(N126,LMH_KEY,0)),0),IFERROR(INDEX(LMH_PTS,MATCH(O126,LMH_KEY,0)),0),IFERROR(INDEX(LMH_PTS,MATCH(P126,LMH_KEY,0)),0)),""))</f>
        <v>0.529411764705882</v>
      </c>
      <c r="R126" s="74">
        <f>IF(K126="","",IFERROR(INDEX(LMH_PTS,MATCH(K126,LMH_KEY,0))/SUM(IFERROR(INDEX(LMH_PTS,MATCH(J126,LMH_KEY,0)),0),IFERROR(INDEX(LMH_PTS,MATCH(K126,LMH_KEY,0)),0),IFERROR(INDEX(LMH_PTS,MATCH(L126,LMH_KEY,0)),0),IFERROR(INDEX(LMH_PTS,MATCH(M126,LMH_KEY,0)),0),IFERROR(INDEX(LMH_PTS,MATCH(N126,LMH_KEY,0)),0),IFERROR(INDEX(LMH_PTS,MATCH(O126,LMH_KEY,0)),0),IFERROR(INDEX(LMH_PTS,MATCH(P126,LMH_KEY,0)),0)),""))</f>
        <v>0.176470588235294</v>
      </c>
      <c r="S126" s="74">
        <f>IF(L126="","",IFERROR(INDEX(LMH_PTS,MATCH(L126,LMH_KEY,0))/SUM(IFERROR(INDEX(LMH_PTS,MATCH(J126,LMH_KEY,0)),0),IFERROR(INDEX(LMH_PTS,MATCH(K126,LMH_KEY,0)),0),IFERROR(INDEX(LMH_PTS,MATCH(L126,LMH_KEY,0)),0),IFERROR(INDEX(LMH_PTS,MATCH(M126,LMH_KEY,0)),0),IFERROR(INDEX(LMH_PTS,MATCH(N126,LMH_KEY,0)),0),IFERROR(INDEX(LMH_PTS,MATCH(O126,LMH_KEY,0)),0),IFERROR(INDEX(LMH_PTS,MATCH(P126,LMH_KEY,0)),0)),""))</f>
        <v>0.0588235294117647</v>
      </c>
      <c r="T126" s="74">
        <f>IF(M126="","",IFERROR(INDEX(LMH_PTS,MATCH(M126,LMH_KEY,0))/SUM(IFERROR(INDEX(LMH_PTS,MATCH(J126,LMH_KEY,0)),0),IFERROR(INDEX(LMH_PTS,MATCH(K126,LMH_KEY,0)),0),IFERROR(INDEX(LMH_PTS,MATCH(L126,LMH_KEY,0)),0),IFERROR(INDEX(LMH_PTS,MATCH(M126,LMH_KEY,0)),0),IFERROR(INDEX(LMH_PTS,MATCH(N126,LMH_KEY,0)),0),IFERROR(INDEX(LMH_PTS,MATCH(O126,LMH_KEY,0)),0),IFERROR(INDEX(LMH_PTS,MATCH(P126,LMH_KEY,0)),0)),""))</f>
        <v>0.0588235294117647</v>
      </c>
      <c r="U126" s="74">
        <f>IF(N126="","",IFERROR(INDEX(LMH_PTS,MATCH(N126,LMH_KEY,0))/SUM(IFERROR(INDEX(LMH_PTS,MATCH(J126,LMH_KEY,0)),0),IFERROR(INDEX(LMH_PTS,MATCH(K126,LMH_KEY,0)),0),IFERROR(INDEX(LMH_PTS,MATCH(L126,LMH_KEY,0)),0),IFERROR(INDEX(LMH_PTS,MATCH(M126,LMH_KEY,0)),0),IFERROR(INDEX(LMH_PTS,MATCH(N126,LMH_KEY,0)),0),IFERROR(INDEX(LMH_PTS,MATCH(O126,LMH_KEY,0)),0),IFERROR(INDEX(LMH_PTS,MATCH(P126,LMH_KEY,0)),0)),""))</f>
        <v>0.0588235294117647</v>
      </c>
      <c r="V126" s="74">
        <f>IF(O126="","",IFERROR(INDEX(LMH_PTS,MATCH(O126,LMH_KEY,0))/SUM(IFERROR(INDEX(LMH_PTS,MATCH(J126,LMH_KEY,0)),0),IFERROR(INDEX(LMH_PTS,MATCH(K126,LMH_KEY,0)),0),IFERROR(INDEX(LMH_PTS,MATCH(L126,LMH_KEY,0)),0),IFERROR(INDEX(LMH_PTS,MATCH(M126,LMH_KEY,0)),0),IFERROR(INDEX(LMH_PTS,MATCH(N126,LMH_KEY,0)),0),IFERROR(INDEX(LMH_PTS,MATCH(O126,LMH_KEY,0)),0),IFERROR(INDEX(LMH_PTS,MATCH(P126,LMH_KEY,0)),0)),""))</f>
        <v>0.0588235294117647</v>
      </c>
      <c r="W126" s="74">
        <f>IF(P126="","",IFERROR(INDEX(LMH_PTS,MATCH(P126,LMH_KEY,0))/SUM(IFERROR(INDEX(LMH_PTS,MATCH(J126,LMH_KEY,0)),0),IFERROR(INDEX(LMH_PTS,MATCH(K126,LMH_KEY,0)),0),IFERROR(INDEX(LMH_PTS,MATCH(L126,LMH_KEY,0)),0),IFERROR(INDEX(LMH_PTS,MATCH(M126,LMH_KEY,0)),0),IFERROR(INDEX(LMH_PTS,MATCH(N126,LMH_KEY,0)),0),IFERROR(INDEX(LMH_PTS,MATCH(O126,LMH_KEY,0)),0),IFERROR(INDEX(LMH_PTS,MATCH(P126,LMH_KEY,0)),0)),""))</f>
        <v>0.0588235294117647</v>
      </c>
      <c r="X126" s="44" t="n"/>
      <c r="Y126" s="38" t="inlineStr">
        <is>
          <t>CARBON|Technology|Senior Business Analysis Specialist – POD Lead|B2|B-IC</t>
        </is>
      </c>
    </row>
    <row r="127" ht="28" customHeight="1">
      <c r="A127" s="28" t="inlineStr">
        <is>
          <t>CARBON</t>
        </is>
      </c>
      <c r="B127" s="29" t="inlineStr">
        <is>
          <t>Technology</t>
        </is>
      </c>
      <c r="C127" s="72" t="inlineStr">
        <is>
          <t>B2</t>
        </is>
      </c>
      <c r="D127" s="29" t="inlineStr">
        <is>
          <t>Band B · Specialist / Manager</t>
        </is>
      </c>
      <c r="E127" s="29" t="inlineStr">
        <is>
          <t>Senior Technical Specialist – POD Lead</t>
        </is>
      </c>
      <c r="F127" s="29" t="inlineStr">
        <is>
          <t>Band B · Specialist / POD Lead</t>
        </is>
      </c>
      <c r="G127" s="29" t="inlineStr">
        <is>
          <t>Engineering &amp; Development</t>
        </is>
      </c>
      <c r="H127" s="29" t="n">
        <v>1</v>
      </c>
      <c r="I127" s="29" t="inlineStr">
        <is>
          <t>Siddhesh Kadam</t>
        </is>
      </c>
      <c r="J127" s="34" t="str">
        <f>IFERROR(INDEX(RBD_C,MATCH("Engineering &amp; Development|B2|B-IC",RBD_KEY,0)),"M")</f>
        <v>H</v>
      </c>
      <c r="K127" s="35" t="str">
        <f>IFERROR(INDEX(RBD_Au,MATCH("Engineering &amp; Development|B2|B-IC",RBD_KEY,0)),"M")</f>
        <v>M</v>
      </c>
      <c r="L127" s="35" t="str">
        <f>IFERROR(INDEX(RBD_Ac,MATCH("Engineering &amp; Development|B2|B-IC",RBD_KEY,0)),"M")</f>
        <v>L</v>
      </c>
      <c r="M127" s="35" t="str">
        <f>IFERROR(INDEX(RBD_L,MATCH("Engineering &amp; Development|B2|B-IC",RBD_KEY,0)),"M")</f>
        <v>L</v>
      </c>
      <c r="N127" s="35" t="str">
        <f>IFERROR(INDEX(RBD_BI,MATCH("Engineering &amp; Development|B2|B-IC",RBD_KEY,0)),"M")</f>
        <v>L</v>
      </c>
      <c r="O127" s="35" t="str">
        <f>IFERROR(INDEX(RBD_Exp,MATCH("Engineering &amp; Development|B2|B-IC",RBD_KEY,0)),"M")</f>
        <v>L</v>
      </c>
      <c r="P127" s="35" t="str">
        <f>IFERROR(INDEX(RBD_Edu,MATCH("Engineering &amp; Development|B2|B-IC",RBD_KEY,0)),"M")</f>
        <v>L</v>
      </c>
      <c r="Q127" s="73">
        <f>IF(J127="","",IFERROR(INDEX(LMH_PTS,MATCH(J127,LMH_KEY,0))/SUM(IFERROR(INDEX(LMH_PTS,MATCH(J127,LMH_KEY,0)),0),IFERROR(INDEX(LMH_PTS,MATCH(K127,LMH_KEY,0)),0),IFERROR(INDEX(LMH_PTS,MATCH(L127,LMH_KEY,0)),0),IFERROR(INDEX(LMH_PTS,MATCH(M127,LMH_KEY,0)),0),IFERROR(INDEX(LMH_PTS,MATCH(N127,LMH_KEY,0)),0),IFERROR(INDEX(LMH_PTS,MATCH(O127,LMH_KEY,0)),0),IFERROR(INDEX(LMH_PTS,MATCH(P127,LMH_KEY,0)),0)),""))</f>
        <v>0.529411764705882</v>
      </c>
      <c r="R127" s="74">
        <f>IF(K127="","",IFERROR(INDEX(LMH_PTS,MATCH(K127,LMH_KEY,0))/SUM(IFERROR(INDEX(LMH_PTS,MATCH(J127,LMH_KEY,0)),0),IFERROR(INDEX(LMH_PTS,MATCH(K127,LMH_KEY,0)),0),IFERROR(INDEX(LMH_PTS,MATCH(L127,LMH_KEY,0)),0),IFERROR(INDEX(LMH_PTS,MATCH(M127,LMH_KEY,0)),0),IFERROR(INDEX(LMH_PTS,MATCH(N127,LMH_KEY,0)),0),IFERROR(INDEX(LMH_PTS,MATCH(O127,LMH_KEY,0)),0),IFERROR(INDEX(LMH_PTS,MATCH(P127,LMH_KEY,0)),0)),""))</f>
        <v>0.176470588235294</v>
      </c>
      <c r="S127" s="74">
        <f>IF(L127="","",IFERROR(INDEX(LMH_PTS,MATCH(L127,LMH_KEY,0))/SUM(IFERROR(INDEX(LMH_PTS,MATCH(J127,LMH_KEY,0)),0),IFERROR(INDEX(LMH_PTS,MATCH(K127,LMH_KEY,0)),0),IFERROR(INDEX(LMH_PTS,MATCH(L127,LMH_KEY,0)),0),IFERROR(INDEX(LMH_PTS,MATCH(M127,LMH_KEY,0)),0),IFERROR(INDEX(LMH_PTS,MATCH(N127,LMH_KEY,0)),0),IFERROR(INDEX(LMH_PTS,MATCH(O127,LMH_KEY,0)),0),IFERROR(INDEX(LMH_PTS,MATCH(P127,LMH_KEY,0)),0)),""))</f>
        <v>0.0588235294117647</v>
      </c>
      <c r="T127" s="74">
        <f>IF(M127="","",IFERROR(INDEX(LMH_PTS,MATCH(M127,LMH_KEY,0))/SUM(IFERROR(INDEX(LMH_PTS,MATCH(J127,LMH_KEY,0)),0),IFERROR(INDEX(LMH_PTS,MATCH(K127,LMH_KEY,0)),0),IFERROR(INDEX(LMH_PTS,MATCH(L127,LMH_KEY,0)),0),IFERROR(INDEX(LMH_PTS,MATCH(M127,LMH_KEY,0)),0),IFERROR(INDEX(LMH_PTS,MATCH(N127,LMH_KEY,0)),0),IFERROR(INDEX(LMH_PTS,MATCH(O127,LMH_KEY,0)),0),IFERROR(INDEX(LMH_PTS,MATCH(P127,LMH_KEY,0)),0)),""))</f>
        <v>0.0588235294117647</v>
      </c>
      <c r="U127" s="74">
        <f>IF(N127="","",IFERROR(INDEX(LMH_PTS,MATCH(N127,LMH_KEY,0))/SUM(IFERROR(INDEX(LMH_PTS,MATCH(J127,LMH_KEY,0)),0),IFERROR(INDEX(LMH_PTS,MATCH(K127,LMH_KEY,0)),0),IFERROR(INDEX(LMH_PTS,MATCH(L127,LMH_KEY,0)),0),IFERROR(INDEX(LMH_PTS,MATCH(M127,LMH_KEY,0)),0),IFERROR(INDEX(LMH_PTS,MATCH(N127,LMH_KEY,0)),0),IFERROR(INDEX(LMH_PTS,MATCH(O127,LMH_KEY,0)),0),IFERROR(INDEX(LMH_PTS,MATCH(P127,LMH_KEY,0)),0)),""))</f>
        <v>0.0588235294117647</v>
      </c>
      <c r="V127" s="74">
        <f>IF(O127="","",IFERROR(INDEX(LMH_PTS,MATCH(O127,LMH_KEY,0))/SUM(IFERROR(INDEX(LMH_PTS,MATCH(J127,LMH_KEY,0)),0),IFERROR(INDEX(LMH_PTS,MATCH(K127,LMH_KEY,0)),0),IFERROR(INDEX(LMH_PTS,MATCH(L127,LMH_KEY,0)),0),IFERROR(INDEX(LMH_PTS,MATCH(M127,LMH_KEY,0)),0),IFERROR(INDEX(LMH_PTS,MATCH(N127,LMH_KEY,0)),0),IFERROR(INDEX(LMH_PTS,MATCH(O127,LMH_KEY,0)),0),IFERROR(INDEX(LMH_PTS,MATCH(P127,LMH_KEY,0)),0)),""))</f>
        <v>0.0588235294117647</v>
      </c>
      <c r="W127" s="74">
        <f>IF(P127="","",IFERROR(INDEX(LMH_PTS,MATCH(P127,LMH_KEY,0))/SUM(IFERROR(INDEX(LMH_PTS,MATCH(J127,LMH_KEY,0)),0),IFERROR(INDEX(LMH_PTS,MATCH(K127,LMH_KEY,0)),0),IFERROR(INDEX(LMH_PTS,MATCH(L127,LMH_KEY,0)),0),IFERROR(INDEX(LMH_PTS,MATCH(M127,LMH_KEY,0)),0),IFERROR(INDEX(LMH_PTS,MATCH(N127,LMH_KEY,0)),0),IFERROR(INDEX(LMH_PTS,MATCH(O127,LMH_KEY,0)),0),IFERROR(INDEX(LMH_PTS,MATCH(P127,LMH_KEY,0)),0)),""))</f>
        <v>0.0588235294117647</v>
      </c>
      <c r="X127" s="44" t="n"/>
      <c r="Y127" s="38" t="inlineStr">
        <is>
          <t>CARBON|Technology|Senior Technical Specialist – POD Lead|B2|B-IC</t>
        </is>
      </c>
    </row>
    <row r="128" ht="18" customHeight="1">
      <c r="A128" s="28" t="inlineStr">
        <is>
          <t>CARBON</t>
        </is>
      </c>
      <c r="B128" s="29" t="inlineStr">
        <is>
          <t>Technology</t>
        </is>
      </c>
      <c r="C128" s="72" t="inlineStr">
        <is>
          <t>B1</t>
        </is>
      </c>
      <c r="D128" s="29" t="inlineStr">
        <is>
          <t>Band B · Specialist / Manager</t>
        </is>
      </c>
      <c r="E128" s="29" t="inlineStr">
        <is>
          <t>AI/ML Specialist – POD Lead</t>
        </is>
      </c>
      <c r="F128" s="29" t="inlineStr">
        <is>
          <t>Band B · Specialist / POD Lead</t>
        </is>
      </c>
      <c r="G128" s="29" t="inlineStr">
        <is>
          <t>Engineering &amp; Development</t>
        </is>
      </c>
      <c r="H128" s="29" t="n">
        <v>1</v>
      </c>
      <c r="I128" s="29" t="inlineStr">
        <is>
          <t>Manasvi Sharma</t>
        </is>
      </c>
      <c r="J128" s="34" t="str">
        <f>IFERROR(INDEX(RBD_C,MATCH("Engineering &amp; Development|B1|B-IC",RBD_KEY,0)),"M")</f>
        <v>H</v>
      </c>
      <c r="K128" s="35" t="str">
        <f>IFERROR(INDEX(RBD_Au,MATCH("Engineering &amp; Development|B1|B-IC",RBD_KEY,0)),"M")</f>
        <v>M</v>
      </c>
      <c r="L128" s="35" t="str">
        <f>IFERROR(INDEX(RBD_Ac,MATCH("Engineering &amp; Development|B1|B-IC",RBD_KEY,0)),"M")</f>
        <v>L</v>
      </c>
      <c r="M128" s="35" t="str">
        <f>IFERROR(INDEX(RBD_L,MATCH("Engineering &amp; Development|B1|B-IC",RBD_KEY,0)),"M")</f>
        <v>L</v>
      </c>
      <c r="N128" s="35" t="str">
        <f>IFERROR(INDEX(RBD_BI,MATCH("Engineering &amp; Development|B1|B-IC",RBD_KEY,0)),"M")</f>
        <v>L</v>
      </c>
      <c r="O128" s="35" t="str">
        <f>IFERROR(INDEX(RBD_Exp,MATCH("Engineering &amp; Development|B1|B-IC",RBD_KEY,0)),"M")</f>
        <v>L</v>
      </c>
      <c r="P128" s="35" t="str">
        <f>IFERROR(INDEX(RBD_Edu,MATCH("Engineering &amp; Development|B1|B-IC",RBD_KEY,0)),"M")</f>
        <v>L</v>
      </c>
      <c r="Q128" s="73">
        <f>IF(J128="","",IFERROR(INDEX(LMH_PTS,MATCH(J128,LMH_KEY,0))/SUM(IFERROR(INDEX(LMH_PTS,MATCH(J128,LMH_KEY,0)),0),IFERROR(INDEX(LMH_PTS,MATCH(K128,LMH_KEY,0)),0),IFERROR(INDEX(LMH_PTS,MATCH(L128,LMH_KEY,0)),0),IFERROR(INDEX(LMH_PTS,MATCH(M128,LMH_KEY,0)),0),IFERROR(INDEX(LMH_PTS,MATCH(N128,LMH_KEY,0)),0),IFERROR(INDEX(LMH_PTS,MATCH(O128,LMH_KEY,0)),0),IFERROR(INDEX(LMH_PTS,MATCH(P128,LMH_KEY,0)),0)),""))</f>
        <v>0.529411764705882</v>
      </c>
      <c r="R128" s="74">
        <f>IF(K128="","",IFERROR(INDEX(LMH_PTS,MATCH(K128,LMH_KEY,0))/SUM(IFERROR(INDEX(LMH_PTS,MATCH(J128,LMH_KEY,0)),0),IFERROR(INDEX(LMH_PTS,MATCH(K128,LMH_KEY,0)),0),IFERROR(INDEX(LMH_PTS,MATCH(L128,LMH_KEY,0)),0),IFERROR(INDEX(LMH_PTS,MATCH(M128,LMH_KEY,0)),0),IFERROR(INDEX(LMH_PTS,MATCH(N128,LMH_KEY,0)),0),IFERROR(INDEX(LMH_PTS,MATCH(O128,LMH_KEY,0)),0),IFERROR(INDEX(LMH_PTS,MATCH(P128,LMH_KEY,0)),0)),""))</f>
        <v>0.176470588235294</v>
      </c>
      <c r="S128" s="74">
        <f>IF(L128="","",IFERROR(INDEX(LMH_PTS,MATCH(L128,LMH_KEY,0))/SUM(IFERROR(INDEX(LMH_PTS,MATCH(J128,LMH_KEY,0)),0),IFERROR(INDEX(LMH_PTS,MATCH(K128,LMH_KEY,0)),0),IFERROR(INDEX(LMH_PTS,MATCH(L128,LMH_KEY,0)),0),IFERROR(INDEX(LMH_PTS,MATCH(M128,LMH_KEY,0)),0),IFERROR(INDEX(LMH_PTS,MATCH(N128,LMH_KEY,0)),0),IFERROR(INDEX(LMH_PTS,MATCH(O128,LMH_KEY,0)),0),IFERROR(INDEX(LMH_PTS,MATCH(P128,LMH_KEY,0)),0)),""))</f>
        <v>0.0588235294117647</v>
      </c>
      <c r="T128" s="74">
        <f>IF(M128="","",IFERROR(INDEX(LMH_PTS,MATCH(M128,LMH_KEY,0))/SUM(IFERROR(INDEX(LMH_PTS,MATCH(J128,LMH_KEY,0)),0),IFERROR(INDEX(LMH_PTS,MATCH(K128,LMH_KEY,0)),0),IFERROR(INDEX(LMH_PTS,MATCH(L128,LMH_KEY,0)),0),IFERROR(INDEX(LMH_PTS,MATCH(M128,LMH_KEY,0)),0),IFERROR(INDEX(LMH_PTS,MATCH(N128,LMH_KEY,0)),0),IFERROR(INDEX(LMH_PTS,MATCH(O128,LMH_KEY,0)),0),IFERROR(INDEX(LMH_PTS,MATCH(P128,LMH_KEY,0)),0)),""))</f>
        <v>0.0588235294117647</v>
      </c>
      <c r="U128" s="74">
        <f>IF(N128="","",IFERROR(INDEX(LMH_PTS,MATCH(N128,LMH_KEY,0))/SUM(IFERROR(INDEX(LMH_PTS,MATCH(J128,LMH_KEY,0)),0),IFERROR(INDEX(LMH_PTS,MATCH(K128,LMH_KEY,0)),0),IFERROR(INDEX(LMH_PTS,MATCH(L128,LMH_KEY,0)),0),IFERROR(INDEX(LMH_PTS,MATCH(M128,LMH_KEY,0)),0),IFERROR(INDEX(LMH_PTS,MATCH(N128,LMH_KEY,0)),0),IFERROR(INDEX(LMH_PTS,MATCH(O128,LMH_KEY,0)),0),IFERROR(INDEX(LMH_PTS,MATCH(P128,LMH_KEY,0)),0)),""))</f>
        <v>0.0588235294117647</v>
      </c>
      <c r="V128" s="74">
        <f>IF(O128="","",IFERROR(INDEX(LMH_PTS,MATCH(O128,LMH_KEY,0))/SUM(IFERROR(INDEX(LMH_PTS,MATCH(J128,LMH_KEY,0)),0),IFERROR(INDEX(LMH_PTS,MATCH(K128,LMH_KEY,0)),0),IFERROR(INDEX(LMH_PTS,MATCH(L128,LMH_KEY,0)),0),IFERROR(INDEX(LMH_PTS,MATCH(M128,LMH_KEY,0)),0),IFERROR(INDEX(LMH_PTS,MATCH(N128,LMH_KEY,0)),0),IFERROR(INDEX(LMH_PTS,MATCH(O128,LMH_KEY,0)),0),IFERROR(INDEX(LMH_PTS,MATCH(P128,LMH_KEY,0)),0)),""))</f>
        <v>0.0588235294117647</v>
      </c>
      <c r="W128" s="74">
        <f>IF(P128="","",IFERROR(INDEX(LMH_PTS,MATCH(P128,LMH_KEY,0))/SUM(IFERROR(INDEX(LMH_PTS,MATCH(J128,LMH_KEY,0)),0),IFERROR(INDEX(LMH_PTS,MATCH(K128,LMH_KEY,0)),0),IFERROR(INDEX(LMH_PTS,MATCH(L128,LMH_KEY,0)),0),IFERROR(INDEX(LMH_PTS,MATCH(M128,LMH_KEY,0)),0),IFERROR(INDEX(LMH_PTS,MATCH(N128,LMH_KEY,0)),0),IFERROR(INDEX(LMH_PTS,MATCH(O128,LMH_KEY,0)),0),IFERROR(INDEX(LMH_PTS,MATCH(P128,LMH_KEY,0)),0)),""))</f>
        <v>0.0588235294117647</v>
      </c>
      <c r="X128" s="44" t="n"/>
      <c r="Y128" s="38" t="inlineStr">
        <is>
          <t>CARBON|Technology|AI/ML Specialist – POD Lead|B1|B-IC</t>
        </is>
      </c>
    </row>
    <row r="129" ht="28" customHeight="1">
      <c r="A129" s="28" t="inlineStr">
        <is>
          <t>CARBON</t>
        </is>
      </c>
      <c r="B129" s="29" t="inlineStr">
        <is>
          <t>Technology</t>
        </is>
      </c>
      <c r="C129" s="72" t="inlineStr">
        <is>
          <t>B1</t>
        </is>
      </c>
      <c r="D129" s="29" t="inlineStr">
        <is>
          <t>Band B · Specialist / Manager</t>
        </is>
      </c>
      <c r="E129" s="29" t="inlineStr">
        <is>
          <t>Business Analysis Specialist</t>
        </is>
      </c>
      <c r="F129" s="29" t="inlineStr">
        <is>
          <t>Band B · Specialist / POD Lead</t>
        </is>
      </c>
      <c r="G129" s="29" t="inlineStr">
        <is>
          <t>Business Analysis</t>
        </is>
      </c>
      <c r="H129" s="29" t="n">
        <v>1</v>
      </c>
      <c r="I129" s="29" t="inlineStr">
        <is>
          <t>Dhaval Lotwala</t>
        </is>
      </c>
      <c r="J129" s="34" t="str">
        <f>IFERROR(INDEX(RBD_C,MATCH("Business Analysis|B1|B-IC",RBD_KEY,0)),"M")</f>
        <v>H</v>
      </c>
      <c r="K129" s="35" t="str">
        <f>IFERROR(INDEX(RBD_Au,MATCH("Business Analysis|B1|B-IC",RBD_KEY,0)),"M")</f>
        <v>M</v>
      </c>
      <c r="L129" s="35" t="str">
        <f>IFERROR(INDEX(RBD_Ac,MATCH("Business Analysis|B1|B-IC",RBD_KEY,0)),"M")</f>
        <v>L</v>
      </c>
      <c r="M129" s="35" t="str">
        <f>IFERROR(INDEX(RBD_L,MATCH("Business Analysis|B1|B-IC",RBD_KEY,0)),"M")</f>
        <v>L</v>
      </c>
      <c r="N129" s="35" t="str">
        <f>IFERROR(INDEX(RBD_BI,MATCH("Business Analysis|B1|B-IC",RBD_KEY,0)),"M")</f>
        <v>L</v>
      </c>
      <c r="O129" s="35" t="str">
        <f>IFERROR(INDEX(RBD_Exp,MATCH("Business Analysis|B1|B-IC",RBD_KEY,0)),"M")</f>
        <v>L</v>
      </c>
      <c r="P129" s="35" t="str">
        <f>IFERROR(INDEX(RBD_Edu,MATCH("Business Analysis|B1|B-IC",RBD_KEY,0)),"M")</f>
        <v>L</v>
      </c>
      <c r="Q129" s="73">
        <f>IF(J129="","",IFERROR(INDEX(LMH_PTS,MATCH(J129,LMH_KEY,0))/SUM(IFERROR(INDEX(LMH_PTS,MATCH(J129,LMH_KEY,0)),0),IFERROR(INDEX(LMH_PTS,MATCH(K129,LMH_KEY,0)),0),IFERROR(INDEX(LMH_PTS,MATCH(L129,LMH_KEY,0)),0),IFERROR(INDEX(LMH_PTS,MATCH(M129,LMH_KEY,0)),0),IFERROR(INDEX(LMH_PTS,MATCH(N129,LMH_KEY,0)),0),IFERROR(INDEX(LMH_PTS,MATCH(O129,LMH_KEY,0)),0),IFERROR(INDEX(LMH_PTS,MATCH(P129,LMH_KEY,0)),0)),""))</f>
        <v>0.529411764705882</v>
      </c>
      <c r="R129" s="74">
        <f>IF(K129="","",IFERROR(INDEX(LMH_PTS,MATCH(K129,LMH_KEY,0))/SUM(IFERROR(INDEX(LMH_PTS,MATCH(J129,LMH_KEY,0)),0),IFERROR(INDEX(LMH_PTS,MATCH(K129,LMH_KEY,0)),0),IFERROR(INDEX(LMH_PTS,MATCH(L129,LMH_KEY,0)),0),IFERROR(INDEX(LMH_PTS,MATCH(M129,LMH_KEY,0)),0),IFERROR(INDEX(LMH_PTS,MATCH(N129,LMH_KEY,0)),0),IFERROR(INDEX(LMH_PTS,MATCH(O129,LMH_KEY,0)),0),IFERROR(INDEX(LMH_PTS,MATCH(P129,LMH_KEY,0)),0)),""))</f>
        <v>0.176470588235294</v>
      </c>
      <c r="S129" s="74">
        <f>IF(L129="","",IFERROR(INDEX(LMH_PTS,MATCH(L129,LMH_KEY,0))/SUM(IFERROR(INDEX(LMH_PTS,MATCH(J129,LMH_KEY,0)),0),IFERROR(INDEX(LMH_PTS,MATCH(K129,LMH_KEY,0)),0),IFERROR(INDEX(LMH_PTS,MATCH(L129,LMH_KEY,0)),0),IFERROR(INDEX(LMH_PTS,MATCH(M129,LMH_KEY,0)),0),IFERROR(INDEX(LMH_PTS,MATCH(N129,LMH_KEY,0)),0),IFERROR(INDEX(LMH_PTS,MATCH(O129,LMH_KEY,0)),0),IFERROR(INDEX(LMH_PTS,MATCH(P129,LMH_KEY,0)),0)),""))</f>
        <v>0.0588235294117647</v>
      </c>
      <c r="T129" s="74">
        <f>IF(M129="","",IFERROR(INDEX(LMH_PTS,MATCH(M129,LMH_KEY,0))/SUM(IFERROR(INDEX(LMH_PTS,MATCH(J129,LMH_KEY,0)),0),IFERROR(INDEX(LMH_PTS,MATCH(K129,LMH_KEY,0)),0),IFERROR(INDEX(LMH_PTS,MATCH(L129,LMH_KEY,0)),0),IFERROR(INDEX(LMH_PTS,MATCH(M129,LMH_KEY,0)),0),IFERROR(INDEX(LMH_PTS,MATCH(N129,LMH_KEY,0)),0),IFERROR(INDEX(LMH_PTS,MATCH(O129,LMH_KEY,0)),0),IFERROR(INDEX(LMH_PTS,MATCH(P129,LMH_KEY,0)),0)),""))</f>
        <v>0.0588235294117647</v>
      </c>
      <c r="U129" s="74">
        <f>IF(N129="","",IFERROR(INDEX(LMH_PTS,MATCH(N129,LMH_KEY,0))/SUM(IFERROR(INDEX(LMH_PTS,MATCH(J129,LMH_KEY,0)),0),IFERROR(INDEX(LMH_PTS,MATCH(K129,LMH_KEY,0)),0),IFERROR(INDEX(LMH_PTS,MATCH(L129,LMH_KEY,0)),0),IFERROR(INDEX(LMH_PTS,MATCH(M129,LMH_KEY,0)),0),IFERROR(INDEX(LMH_PTS,MATCH(N129,LMH_KEY,0)),0),IFERROR(INDEX(LMH_PTS,MATCH(O129,LMH_KEY,0)),0),IFERROR(INDEX(LMH_PTS,MATCH(P129,LMH_KEY,0)),0)),""))</f>
        <v>0.0588235294117647</v>
      </c>
      <c r="V129" s="74">
        <f>IF(O129="","",IFERROR(INDEX(LMH_PTS,MATCH(O129,LMH_KEY,0))/SUM(IFERROR(INDEX(LMH_PTS,MATCH(J129,LMH_KEY,0)),0),IFERROR(INDEX(LMH_PTS,MATCH(K129,LMH_KEY,0)),0),IFERROR(INDEX(LMH_PTS,MATCH(L129,LMH_KEY,0)),0),IFERROR(INDEX(LMH_PTS,MATCH(M129,LMH_KEY,0)),0),IFERROR(INDEX(LMH_PTS,MATCH(N129,LMH_KEY,0)),0),IFERROR(INDEX(LMH_PTS,MATCH(O129,LMH_KEY,0)),0),IFERROR(INDEX(LMH_PTS,MATCH(P129,LMH_KEY,0)),0)),""))</f>
        <v>0.0588235294117647</v>
      </c>
      <c r="W129" s="74">
        <f>IF(P129="","",IFERROR(INDEX(LMH_PTS,MATCH(P129,LMH_KEY,0))/SUM(IFERROR(INDEX(LMH_PTS,MATCH(J129,LMH_KEY,0)),0),IFERROR(INDEX(LMH_PTS,MATCH(K129,LMH_KEY,0)),0),IFERROR(INDEX(LMH_PTS,MATCH(L129,LMH_KEY,0)),0),IFERROR(INDEX(LMH_PTS,MATCH(M129,LMH_KEY,0)),0),IFERROR(INDEX(LMH_PTS,MATCH(N129,LMH_KEY,0)),0),IFERROR(INDEX(LMH_PTS,MATCH(O129,LMH_KEY,0)),0),IFERROR(INDEX(LMH_PTS,MATCH(P129,LMH_KEY,0)),0)),""))</f>
        <v>0.0588235294117647</v>
      </c>
      <c r="X129" s="44" t="n"/>
      <c r="Y129" s="38" t="inlineStr">
        <is>
          <t>CARBON|Technology|Business Analysis Specialist|B1|B-IC</t>
        </is>
      </c>
    </row>
    <row r="130" ht="18" customHeight="1">
      <c r="A130" s="28" t="inlineStr">
        <is>
          <t>CARBON</t>
        </is>
      </c>
      <c r="B130" s="29" t="inlineStr">
        <is>
          <t>Technology</t>
        </is>
      </c>
      <c r="C130" s="72" t="inlineStr">
        <is>
          <t>B1</t>
        </is>
      </c>
      <c r="D130" s="29" t="inlineStr">
        <is>
          <t>Band B · Specialist / Manager</t>
        </is>
      </c>
      <c r="E130" s="29" t="inlineStr">
        <is>
          <t>Senior AI/ML Engineer</t>
        </is>
      </c>
      <c r="F130" s="29" t="inlineStr">
        <is>
          <t>Band B · Specialist / POD Lead</t>
        </is>
      </c>
      <c r="G130" s="29" t="inlineStr">
        <is>
          <t>Engineering &amp; Development</t>
        </is>
      </c>
      <c r="H130" s="29" t="n">
        <v>1</v>
      </c>
      <c r="I130" s="29" t="inlineStr">
        <is>
          <t>Mandar Ukrulkar</t>
        </is>
      </c>
      <c r="J130" s="34" t="str">
        <f>IFERROR(INDEX(RBD_C,MATCH("Engineering &amp; Development|B1|B-IC",RBD_KEY,0)),"M")</f>
        <v>H</v>
      </c>
      <c r="K130" s="35" t="str">
        <f>IFERROR(INDEX(RBD_Au,MATCH("Engineering &amp; Development|B1|B-IC",RBD_KEY,0)),"M")</f>
        <v>M</v>
      </c>
      <c r="L130" s="35" t="str">
        <f>IFERROR(INDEX(RBD_Ac,MATCH("Engineering &amp; Development|B1|B-IC",RBD_KEY,0)),"M")</f>
        <v>L</v>
      </c>
      <c r="M130" s="35" t="str">
        <f>IFERROR(INDEX(RBD_L,MATCH("Engineering &amp; Development|B1|B-IC",RBD_KEY,0)),"M")</f>
        <v>L</v>
      </c>
      <c r="N130" s="35" t="str">
        <f>IFERROR(INDEX(RBD_BI,MATCH("Engineering &amp; Development|B1|B-IC",RBD_KEY,0)),"M")</f>
        <v>L</v>
      </c>
      <c r="O130" s="35" t="str">
        <f>IFERROR(INDEX(RBD_Exp,MATCH("Engineering &amp; Development|B1|B-IC",RBD_KEY,0)),"M")</f>
        <v>L</v>
      </c>
      <c r="P130" s="35" t="str">
        <f>IFERROR(INDEX(RBD_Edu,MATCH("Engineering &amp; Development|B1|B-IC",RBD_KEY,0)),"M")</f>
        <v>L</v>
      </c>
      <c r="Q130" s="73">
        <f>IF(J130="","",IFERROR(INDEX(LMH_PTS,MATCH(J130,LMH_KEY,0))/SUM(IFERROR(INDEX(LMH_PTS,MATCH(J130,LMH_KEY,0)),0),IFERROR(INDEX(LMH_PTS,MATCH(K130,LMH_KEY,0)),0),IFERROR(INDEX(LMH_PTS,MATCH(L130,LMH_KEY,0)),0),IFERROR(INDEX(LMH_PTS,MATCH(M130,LMH_KEY,0)),0),IFERROR(INDEX(LMH_PTS,MATCH(N130,LMH_KEY,0)),0),IFERROR(INDEX(LMH_PTS,MATCH(O130,LMH_KEY,0)),0),IFERROR(INDEX(LMH_PTS,MATCH(P130,LMH_KEY,0)),0)),""))</f>
        <v>0.529411764705882</v>
      </c>
      <c r="R130" s="74">
        <f>IF(K130="","",IFERROR(INDEX(LMH_PTS,MATCH(K130,LMH_KEY,0))/SUM(IFERROR(INDEX(LMH_PTS,MATCH(J130,LMH_KEY,0)),0),IFERROR(INDEX(LMH_PTS,MATCH(K130,LMH_KEY,0)),0),IFERROR(INDEX(LMH_PTS,MATCH(L130,LMH_KEY,0)),0),IFERROR(INDEX(LMH_PTS,MATCH(M130,LMH_KEY,0)),0),IFERROR(INDEX(LMH_PTS,MATCH(N130,LMH_KEY,0)),0),IFERROR(INDEX(LMH_PTS,MATCH(O130,LMH_KEY,0)),0),IFERROR(INDEX(LMH_PTS,MATCH(P130,LMH_KEY,0)),0)),""))</f>
        <v>0.176470588235294</v>
      </c>
      <c r="S130" s="74">
        <f>IF(L130="","",IFERROR(INDEX(LMH_PTS,MATCH(L130,LMH_KEY,0))/SUM(IFERROR(INDEX(LMH_PTS,MATCH(J130,LMH_KEY,0)),0),IFERROR(INDEX(LMH_PTS,MATCH(K130,LMH_KEY,0)),0),IFERROR(INDEX(LMH_PTS,MATCH(L130,LMH_KEY,0)),0),IFERROR(INDEX(LMH_PTS,MATCH(M130,LMH_KEY,0)),0),IFERROR(INDEX(LMH_PTS,MATCH(N130,LMH_KEY,0)),0),IFERROR(INDEX(LMH_PTS,MATCH(O130,LMH_KEY,0)),0),IFERROR(INDEX(LMH_PTS,MATCH(P130,LMH_KEY,0)),0)),""))</f>
        <v>0.0588235294117647</v>
      </c>
      <c r="T130" s="74">
        <f>IF(M130="","",IFERROR(INDEX(LMH_PTS,MATCH(M130,LMH_KEY,0))/SUM(IFERROR(INDEX(LMH_PTS,MATCH(J130,LMH_KEY,0)),0),IFERROR(INDEX(LMH_PTS,MATCH(K130,LMH_KEY,0)),0),IFERROR(INDEX(LMH_PTS,MATCH(L130,LMH_KEY,0)),0),IFERROR(INDEX(LMH_PTS,MATCH(M130,LMH_KEY,0)),0),IFERROR(INDEX(LMH_PTS,MATCH(N130,LMH_KEY,0)),0),IFERROR(INDEX(LMH_PTS,MATCH(O130,LMH_KEY,0)),0),IFERROR(INDEX(LMH_PTS,MATCH(P130,LMH_KEY,0)),0)),""))</f>
        <v>0.0588235294117647</v>
      </c>
      <c r="U130" s="74">
        <f>IF(N130="","",IFERROR(INDEX(LMH_PTS,MATCH(N130,LMH_KEY,0))/SUM(IFERROR(INDEX(LMH_PTS,MATCH(J130,LMH_KEY,0)),0),IFERROR(INDEX(LMH_PTS,MATCH(K130,LMH_KEY,0)),0),IFERROR(INDEX(LMH_PTS,MATCH(L130,LMH_KEY,0)),0),IFERROR(INDEX(LMH_PTS,MATCH(M130,LMH_KEY,0)),0),IFERROR(INDEX(LMH_PTS,MATCH(N130,LMH_KEY,0)),0),IFERROR(INDEX(LMH_PTS,MATCH(O130,LMH_KEY,0)),0),IFERROR(INDEX(LMH_PTS,MATCH(P130,LMH_KEY,0)),0)),""))</f>
        <v>0.0588235294117647</v>
      </c>
      <c r="V130" s="74">
        <f>IF(O130="","",IFERROR(INDEX(LMH_PTS,MATCH(O130,LMH_KEY,0))/SUM(IFERROR(INDEX(LMH_PTS,MATCH(J130,LMH_KEY,0)),0),IFERROR(INDEX(LMH_PTS,MATCH(K130,LMH_KEY,0)),0),IFERROR(INDEX(LMH_PTS,MATCH(L130,LMH_KEY,0)),0),IFERROR(INDEX(LMH_PTS,MATCH(M130,LMH_KEY,0)),0),IFERROR(INDEX(LMH_PTS,MATCH(N130,LMH_KEY,0)),0),IFERROR(INDEX(LMH_PTS,MATCH(O130,LMH_KEY,0)),0),IFERROR(INDEX(LMH_PTS,MATCH(P130,LMH_KEY,0)),0)),""))</f>
        <v>0.0588235294117647</v>
      </c>
      <c r="W130" s="74">
        <f>IF(P130="","",IFERROR(INDEX(LMH_PTS,MATCH(P130,LMH_KEY,0))/SUM(IFERROR(INDEX(LMH_PTS,MATCH(J130,LMH_KEY,0)),0),IFERROR(INDEX(LMH_PTS,MATCH(K130,LMH_KEY,0)),0),IFERROR(INDEX(LMH_PTS,MATCH(L130,LMH_KEY,0)),0),IFERROR(INDEX(LMH_PTS,MATCH(M130,LMH_KEY,0)),0),IFERROR(INDEX(LMH_PTS,MATCH(N130,LMH_KEY,0)),0),IFERROR(INDEX(LMH_PTS,MATCH(O130,LMH_KEY,0)),0),IFERROR(INDEX(LMH_PTS,MATCH(P130,LMH_KEY,0)),0)),""))</f>
        <v>0.0588235294117647</v>
      </c>
      <c r="X130" s="44" t="n"/>
      <c r="Y130" s="38" t="inlineStr">
        <is>
          <t>CARBON|Technology|Senior AI/ML Engineer|B1|B-IC</t>
        </is>
      </c>
    </row>
    <row r="131" ht="40.5" customHeight="1">
      <c r="A131" s="28" t="inlineStr">
        <is>
          <t>CARBON</t>
        </is>
      </c>
      <c r="B131" s="29" t="inlineStr">
        <is>
          <t>Technology</t>
        </is>
      </c>
      <c r="C131" s="72" t="inlineStr">
        <is>
          <t>B1</t>
        </is>
      </c>
      <c r="D131" s="29" t="inlineStr">
        <is>
          <t>Band B · Specialist / Manager</t>
        </is>
      </c>
      <c r="E131" s="29" t="inlineStr">
        <is>
          <t>Senior Software Engineer</t>
        </is>
      </c>
      <c r="F131" s="29" t="inlineStr">
        <is>
          <t>Band B · Specialist / POD Lead</t>
        </is>
      </c>
      <c r="G131" s="29" t="inlineStr">
        <is>
          <t>Engineering &amp; Development</t>
        </is>
      </c>
      <c r="H131" s="29" t="n">
        <v>4</v>
      </c>
      <c r="I131" s="29" t="inlineStr">
        <is>
          <t>Bikram Prasad, Jayshiv Patel, Raj Chauhan, Prachi Digambar Raut</t>
        </is>
      </c>
      <c r="J131" s="34" t="str">
        <f>IFERROR(INDEX(RBD_C,MATCH("Engineering &amp; Development|B1|B-IC",RBD_KEY,0)),"M")</f>
        <v>H</v>
      </c>
      <c r="K131" s="35" t="str">
        <f>IFERROR(INDEX(RBD_Au,MATCH("Engineering &amp; Development|B1|B-IC",RBD_KEY,0)),"M")</f>
        <v>M</v>
      </c>
      <c r="L131" s="35" t="str">
        <f>IFERROR(INDEX(RBD_Ac,MATCH("Engineering &amp; Development|B1|B-IC",RBD_KEY,0)),"M")</f>
        <v>L</v>
      </c>
      <c r="M131" s="35" t="str">
        <f>IFERROR(INDEX(RBD_L,MATCH("Engineering &amp; Development|B1|B-IC",RBD_KEY,0)),"M")</f>
        <v>L</v>
      </c>
      <c r="N131" s="35" t="str">
        <f>IFERROR(INDEX(RBD_BI,MATCH("Engineering &amp; Development|B1|B-IC",RBD_KEY,0)),"M")</f>
        <v>L</v>
      </c>
      <c r="O131" s="35" t="str">
        <f>IFERROR(INDEX(RBD_Exp,MATCH("Engineering &amp; Development|B1|B-IC",RBD_KEY,0)),"M")</f>
        <v>L</v>
      </c>
      <c r="P131" s="35" t="str">
        <f>IFERROR(INDEX(RBD_Edu,MATCH("Engineering &amp; Development|B1|B-IC",RBD_KEY,0)),"M")</f>
        <v>L</v>
      </c>
      <c r="Q131" s="73">
        <f>IF(J131="","",IFERROR(INDEX(LMH_PTS,MATCH(J131,LMH_KEY,0))/SUM(IFERROR(INDEX(LMH_PTS,MATCH(J131,LMH_KEY,0)),0),IFERROR(INDEX(LMH_PTS,MATCH(K131,LMH_KEY,0)),0),IFERROR(INDEX(LMH_PTS,MATCH(L131,LMH_KEY,0)),0),IFERROR(INDEX(LMH_PTS,MATCH(M131,LMH_KEY,0)),0),IFERROR(INDEX(LMH_PTS,MATCH(N131,LMH_KEY,0)),0),IFERROR(INDEX(LMH_PTS,MATCH(O131,LMH_KEY,0)),0),IFERROR(INDEX(LMH_PTS,MATCH(P131,LMH_KEY,0)),0)),""))</f>
        <v>0.529411764705882</v>
      </c>
      <c r="R131" s="74">
        <f>IF(K131="","",IFERROR(INDEX(LMH_PTS,MATCH(K131,LMH_KEY,0))/SUM(IFERROR(INDEX(LMH_PTS,MATCH(J131,LMH_KEY,0)),0),IFERROR(INDEX(LMH_PTS,MATCH(K131,LMH_KEY,0)),0),IFERROR(INDEX(LMH_PTS,MATCH(L131,LMH_KEY,0)),0),IFERROR(INDEX(LMH_PTS,MATCH(M131,LMH_KEY,0)),0),IFERROR(INDEX(LMH_PTS,MATCH(N131,LMH_KEY,0)),0),IFERROR(INDEX(LMH_PTS,MATCH(O131,LMH_KEY,0)),0),IFERROR(INDEX(LMH_PTS,MATCH(P131,LMH_KEY,0)),0)),""))</f>
        <v>0.176470588235294</v>
      </c>
      <c r="S131" s="74">
        <f>IF(L131="","",IFERROR(INDEX(LMH_PTS,MATCH(L131,LMH_KEY,0))/SUM(IFERROR(INDEX(LMH_PTS,MATCH(J131,LMH_KEY,0)),0),IFERROR(INDEX(LMH_PTS,MATCH(K131,LMH_KEY,0)),0),IFERROR(INDEX(LMH_PTS,MATCH(L131,LMH_KEY,0)),0),IFERROR(INDEX(LMH_PTS,MATCH(M131,LMH_KEY,0)),0),IFERROR(INDEX(LMH_PTS,MATCH(N131,LMH_KEY,0)),0),IFERROR(INDEX(LMH_PTS,MATCH(O131,LMH_KEY,0)),0),IFERROR(INDEX(LMH_PTS,MATCH(P131,LMH_KEY,0)),0)),""))</f>
        <v>0.0588235294117647</v>
      </c>
      <c r="T131" s="74">
        <f>IF(M131="","",IFERROR(INDEX(LMH_PTS,MATCH(M131,LMH_KEY,0))/SUM(IFERROR(INDEX(LMH_PTS,MATCH(J131,LMH_KEY,0)),0),IFERROR(INDEX(LMH_PTS,MATCH(K131,LMH_KEY,0)),0),IFERROR(INDEX(LMH_PTS,MATCH(L131,LMH_KEY,0)),0),IFERROR(INDEX(LMH_PTS,MATCH(M131,LMH_KEY,0)),0),IFERROR(INDEX(LMH_PTS,MATCH(N131,LMH_KEY,0)),0),IFERROR(INDEX(LMH_PTS,MATCH(O131,LMH_KEY,0)),0),IFERROR(INDEX(LMH_PTS,MATCH(P131,LMH_KEY,0)),0)),""))</f>
        <v>0.0588235294117647</v>
      </c>
      <c r="U131" s="74">
        <f>IF(N131="","",IFERROR(INDEX(LMH_PTS,MATCH(N131,LMH_KEY,0))/SUM(IFERROR(INDEX(LMH_PTS,MATCH(J131,LMH_KEY,0)),0),IFERROR(INDEX(LMH_PTS,MATCH(K131,LMH_KEY,0)),0),IFERROR(INDEX(LMH_PTS,MATCH(L131,LMH_KEY,0)),0),IFERROR(INDEX(LMH_PTS,MATCH(M131,LMH_KEY,0)),0),IFERROR(INDEX(LMH_PTS,MATCH(N131,LMH_KEY,0)),0),IFERROR(INDEX(LMH_PTS,MATCH(O131,LMH_KEY,0)),0),IFERROR(INDEX(LMH_PTS,MATCH(P131,LMH_KEY,0)),0)),""))</f>
        <v>0.0588235294117647</v>
      </c>
      <c r="V131" s="74">
        <f>IF(O131="","",IFERROR(INDEX(LMH_PTS,MATCH(O131,LMH_KEY,0))/SUM(IFERROR(INDEX(LMH_PTS,MATCH(J131,LMH_KEY,0)),0),IFERROR(INDEX(LMH_PTS,MATCH(K131,LMH_KEY,0)),0),IFERROR(INDEX(LMH_PTS,MATCH(L131,LMH_KEY,0)),0),IFERROR(INDEX(LMH_PTS,MATCH(M131,LMH_KEY,0)),0),IFERROR(INDEX(LMH_PTS,MATCH(N131,LMH_KEY,0)),0),IFERROR(INDEX(LMH_PTS,MATCH(O131,LMH_KEY,0)),0),IFERROR(INDEX(LMH_PTS,MATCH(P131,LMH_KEY,0)),0)),""))</f>
        <v>0.0588235294117647</v>
      </c>
      <c r="W131" s="74">
        <f>IF(P131="","",IFERROR(INDEX(LMH_PTS,MATCH(P131,LMH_KEY,0))/SUM(IFERROR(INDEX(LMH_PTS,MATCH(J131,LMH_KEY,0)),0),IFERROR(INDEX(LMH_PTS,MATCH(K131,LMH_KEY,0)),0),IFERROR(INDEX(LMH_PTS,MATCH(L131,LMH_KEY,0)),0),IFERROR(INDEX(LMH_PTS,MATCH(M131,LMH_KEY,0)),0),IFERROR(INDEX(LMH_PTS,MATCH(N131,LMH_KEY,0)),0),IFERROR(INDEX(LMH_PTS,MATCH(O131,LMH_KEY,0)),0),IFERROR(INDEX(LMH_PTS,MATCH(P131,LMH_KEY,0)),0)),""))</f>
        <v>0.0588235294117647</v>
      </c>
      <c r="X131" s="44" t="n"/>
      <c r="Y131" s="38" t="inlineStr">
        <is>
          <t>CARBON|Technology|Senior Software Engineer|B1|B-IC</t>
        </is>
      </c>
    </row>
    <row r="132" ht="28" customHeight="1">
      <c r="A132" s="28" t="inlineStr">
        <is>
          <t>CARBON</t>
        </is>
      </c>
      <c r="B132" s="29" t="inlineStr">
        <is>
          <t>Technology</t>
        </is>
      </c>
      <c r="C132" s="72" t="inlineStr">
        <is>
          <t>B1</t>
        </is>
      </c>
      <c r="D132" s="29" t="inlineStr">
        <is>
          <t>Band B · Specialist / Manager</t>
        </is>
      </c>
      <c r="E132" s="29" t="inlineStr">
        <is>
          <t>Technical Specialist – POD Lead</t>
        </is>
      </c>
      <c r="F132" s="29" t="inlineStr">
        <is>
          <t>Band B · Specialist / POD Lead</t>
        </is>
      </c>
      <c r="G132" s="29" t="inlineStr">
        <is>
          <t>Engineering &amp; Development</t>
        </is>
      </c>
      <c r="H132" s="29" t="n">
        <v>1</v>
      </c>
      <c r="I132" s="29" t="inlineStr">
        <is>
          <t>Hetal Chauhan</t>
        </is>
      </c>
      <c r="J132" s="34" t="str">
        <f>IFERROR(INDEX(RBD_C,MATCH("Engineering &amp; Development|B1|B-IC",RBD_KEY,0)),"M")</f>
        <v>H</v>
      </c>
      <c r="K132" s="35" t="str">
        <f>IFERROR(INDEX(RBD_Au,MATCH("Engineering &amp; Development|B1|B-IC",RBD_KEY,0)),"M")</f>
        <v>M</v>
      </c>
      <c r="L132" s="35" t="str">
        <f>IFERROR(INDEX(RBD_Ac,MATCH("Engineering &amp; Development|B1|B-IC",RBD_KEY,0)),"M")</f>
        <v>L</v>
      </c>
      <c r="M132" s="35" t="str">
        <f>IFERROR(INDEX(RBD_L,MATCH("Engineering &amp; Development|B1|B-IC",RBD_KEY,0)),"M")</f>
        <v>L</v>
      </c>
      <c r="N132" s="35" t="str">
        <f>IFERROR(INDEX(RBD_BI,MATCH("Engineering &amp; Development|B1|B-IC",RBD_KEY,0)),"M")</f>
        <v>L</v>
      </c>
      <c r="O132" s="35" t="str">
        <f>IFERROR(INDEX(RBD_Exp,MATCH("Engineering &amp; Development|B1|B-IC",RBD_KEY,0)),"M")</f>
        <v>L</v>
      </c>
      <c r="P132" s="35" t="str">
        <f>IFERROR(INDEX(RBD_Edu,MATCH("Engineering &amp; Development|B1|B-IC",RBD_KEY,0)),"M")</f>
        <v>L</v>
      </c>
      <c r="Q132" s="73">
        <f>IF(J132="","",IFERROR(INDEX(LMH_PTS,MATCH(J132,LMH_KEY,0))/SUM(IFERROR(INDEX(LMH_PTS,MATCH(J132,LMH_KEY,0)),0),IFERROR(INDEX(LMH_PTS,MATCH(K132,LMH_KEY,0)),0),IFERROR(INDEX(LMH_PTS,MATCH(L132,LMH_KEY,0)),0),IFERROR(INDEX(LMH_PTS,MATCH(M132,LMH_KEY,0)),0),IFERROR(INDEX(LMH_PTS,MATCH(N132,LMH_KEY,0)),0),IFERROR(INDEX(LMH_PTS,MATCH(O132,LMH_KEY,0)),0),IFERROR(INDEX(LMH_PTS,MATCH(P132,LMH_KEY,0)),0)),""))</f>
        <v>0.529411764705882</v>
      </c>
      <c r="R132" s="74">
        <f>IF(K132="","",IFERROR(INDEX(LMH_PTS,MATCH(K132,LMH_KEY,0))/SUM(IFERROR(INDEX(LMH_PTS,MATCH(J132,LMH_KEY,0)),0),IFERROR(INDEX(LMH_PTS,MATCH(K132,LMH_KEY,0)),0),IFERROR(INDEX(LMH_PTS,MATCH(L132,LMH_KEY,0)),0),IFERROR(INDEX(LMH_PTS,MATCH(M132,LMH_KEY,0)),0),IFERROR(INDEX(LMH_PTS,MATCH(N132,LMH_KEY,0)),0),IFERROR(INDEX(LMH_PTS,MATCH(O132,LMH_KEY,0)),0),IFERROR(INDEX(LMH_PTS,MATCH(P132,LMH_KEY,0)),0)),""))</f>
        <v>0.176470588235294</v>
      </c>
      <c r="S132" s="74">
        <f>IF(L132="","",IFERROR(INDEX(LMH_PTS,MATCH(L132,LMH_KEY,0))/SUM(IFERROR(INDEX(LMH_PTS,MATCH(J132,LMH_KEY,0)),0),IFERROR(INDEX(LMH_PTS,MATCH(K132,LMH_KEY,0)),0),IFERROR(INDEX(LMH_PTS,MATCH(L132,LMH_KEY,0)),0),IFERROR(INDEX(LMH_PTS,MATCH(M132,LMH_KEY,0)),0),IFERROR(INDEX(LMH_PTS,MATCH(N132,LMH_KEY,0)),0),IFERROR(INDEX(LMH_PTS,MATCH(O132,LMH_KEY,0)),0),IFERROR(INDEX(LMH_PTS,MATCH(P132,LMH_KEY,0)),0)),""))</f>
        <v>0.0588235294117647</v>
      </c>
      <c r="T132" s="74">
        <f>IF(M132="","",IFERROR(INDEX(LMH_PTS,MATCH(M132,LMH_KEY,0))/SUM(IFERROR(INDEX(LMH_PTS,MATCH(J132,LMH_KEY,0)),0),IFERROR(INDEX(LMH_PTS,MATCH(K132,LMH_KEY,0)),0),IFERROR(INDEX(LMH_PTS,MATCH(L132,LMH_KEY,0)),0),IFERROR(INDEX(LMH_PTS,MATCH(M132,LMH_KEY,0)),0),IFERROR(INDEX(LMH_PTS,MATCH(N132,LMH_KEY,0)),0),IFERROR(INDEX(LMH_PTS,MATCH(O132,LMH_KEY,0)),0),IFERROR(INDEX(LMH_PTS,MATCH(P132,LMH_KEY,0)),0)),""))</f>
        <v>0.0588235294117647</v>
      </c>
      <c r="U132" s="74">
        <f>IF(N132="","",IFERROR(INDEX(LMH_PTS,MATCH(N132,LMH_KEY,0))/SUM(IFERROR(INDEX(LMH_PTS,MATCH(J132,LMH_KEY,0)),0),IFERROR(INDEX(LMH_PTS,MATCH(K132,LMH_KEY,0)),0),IFERROR(INDEX(LMH_PTS,MATCH(L132,LMH_KEY,0)),0),IFERROR(INDEX(LMH_PTS,MATCH(M132,LMH_KEY,0)),0),IFERROR(INDEX(LMH_PTS,MATCH(N132,LMH_KEY,0)),0),IFERROR(INDEX(LMH_PTS,MATCH(O132,LMH_KEY,0)),0),IFERROR(INDEX(LMH_PTS,MATCH(P132,LMH_KEY,0)),0)),""))</f>
        <v>0.0588235294117647</v>
      </c>
      <c r="V132" s="74">
        <f>IF(O132="","",IFERROR(INDEX(LMH_PTS,MATCH(O132,LMH_KEY,0))/SUM(IFERROR(INDEX(LMH_PTS,MATCH(J132,LMH_KEY,0)),0),IFERROR(INDEX(LMH_PTS,MATCH(K132,LMH_KEY,0)),0),IFERROR(INDEX(LMH_PTS,MATCH(L132,LMH_KEY,0)),0),IFERROR(INDEX(LMH_PTS,MATCH(M132,LMH_KEY,0)),0),IFERROR(INDEX(LMH_PTS,MATCH(N132,LMH_KEY,0)),0),IFERROR(INDEX(LMH_PTS,MATCH(O132,LMH_KEY,0)),0),IFERROR(INDEX(LMH_PTS,MATCH(P132,LMH_KEY,0)),0)),""))</f>
        <v>0.0588235294117647</v>
      </c>
      <c r="W132" s="74">
        <f>IF(P132="","",IFERROR(INDEX(LMH_PTS,MATCH(P132,LMH_KEY,0))/SUM(IFERROR(INDEX(LMH_PTS,MATCH(J132,LMH_KEY,0)),0),IFERROR(INDEX(LMH_PTS,MATCH(K132,LMH_KEY,0)),0),IFERROR(INDEX(LMH_PTS,MATCH(L132,LMH_KEY,0)),0),IFERROR(INDEX(LMH_PTS,MATCH(M132,LMH_KEY,0)),0),IFERROR(INDEX(LMH_PTS,MATCH(N132,LMH_KEY,0)),0),IFERROR(INDEX(LMH_PTS,MATCH(O132,LMH_KEY,0)),0),IFERROR(INDEX(LMH_PTS,MATCH(P132,LMH_KEY,0)),0)),""))</f>
        <v>0.0588235294117647</v>
      </c>
      <c r="X132" s="44" t="n"/>
      <c r="Y132" s="38" t="inlineStr">
        <is>
          <t>CARBON|Technology|Technical Specialist – POD Lead|B1|B-IC</t>
        </is>
      </c>
    </row>
    <row r="133" ht="28" customHeight="1">
      <c r="A133" s="28" t="inlineStr">
        <is>
          <t>CARBON</t>
        </is>
      </c>
      <c r="B133" s="29" t="inlineStr">
        <is>
          <t>Technology</t>
        </is>
      </c>
      <c r="C133" s="75" t="inlineStr">
        <is>
          <t>A3</t>
        </is>
      </c>
      <c r="D133" s="29" t="inlineStr">
        <is>
          <t>Band A · Practitioner</t>
        </is>
      </c>
      <c r="E133" s="29" t="inlineStr">
        <is>
          <t>Senior AI/ML Engineer</t>
        </is>
      </c>
      <c r="F133" s="29" t="inlineStr">
        <is>
          <t>Band A · all tracks</t>
        </is>
      </c>
      <c r="G133" s="29" t="inlineStr">
        <is>
          <t>Engineering &amp; Development</t>
        </is>
      </c>
      <c r="H133" s="29" t="n">
        <v>3</v>
      </c>
      <c r="I133" s="29" t="inlineStr">
        <is>
          <t>Saurabh Kadam, Mohammad Irfan, Vishal Nanaware</t>
        </is>
      </c>
      <c r="J133" s="34" t="str">
        <f>IFERROR(INDEX(RBD_C,MATCH("Engineering &amp; Development|A3|A",RBD_KEY,0)),"M")</f>
        <v>H</v>
      </c>
      <c r="K133" s="35" t="str">
        <f>IFERROR(INDEX(RBD_Au,MATCH("Engineering &amp; Development|A3|A",RBD_KEY,0)),"M")</f>
        <v>M</v>
      </c>
      <c r="L133" s="35" t="str">
        <f>IFERROR(INDEX(RBD_Ac,MATCH("Engineering &amp; Development|A3|A",RBD_KEY,0)),"M")</f>
        <v>L</v>
      </c>
      <c r="M133" s="35" t="str">
        <f>IFERROR(INDEX(RBD_L,MATCH("Engineering &amp; Development|A3|A",RBD_KEY,0)),"M")</f>
        <v>L</v>
      </c>
      <c r="N133" s="35" t="str">
        <f>IFERROR(INDEX(RBD_BI,MATCH("Engineering &amp; Development|A3|A",RBD_KEY,0)),"M")</f>
        <v>L</v>
      </c>
      <c r="O133" s="35" t="str">
        <f>IFERROR(INDEX(RBD_Exp,MATCH("Engineering &amp; Development|A3|A",RBD_KEY,0)),"M")</f>
        <v>L</v>
      </c>
      <c r="P133" s="35" t="str">
        <f>IFERROR(INDEX(RBD_Edu,MATCH("Engineering &amp; Development|A3|A",RBD_KEY,0)),"M")</f>
        <v>L</v>
      </c>
      <c r="Q133" s="73">
        <f>IF(J133="","",IFERROR(INDEX(LMH_PTS,MATCH(J133,LMH_KEY,0))/SUM(IFERROR(INDEX(LMH_PTS,MATCH(J133,LMH_KEY,0)),0),IFERROR(INDEX(LMH_PTS,MATCH(K133,LMH_KEY,0)),0),IFERROR(INDEX(LMH_PTS,MATCH(L133,LMH_KEY,0)),0),IFERROR(INDEX(LMH_PTS,MATCH(M133,LMH_KEY,0)),0),IFERROR(INDEX(LMH_PTS,MATCH(N133,LMH_KEY,0)),0),IFERROR(INDEX(LMH_PTS,MATCH(O133,LMH_KEY,0)),0),IFERROR(INDEX(LMH_PTS,MATCH(P133,LMH_KEY,0)),0)),""))</f>
        <v>0.529411764705882</v>
      </c>
      <c r="R133" s="74">
        <f>IF(K133="","",IFERROR(INDEX(LMH_PTS,MATCH(K133,LMH_KEY,0))/SUM(IFERROR(INDEX(LMH_PTS,MATCH(J133,LMH_KEY,0)),0),IFERROR(INDEX(LMH_PTS,MATCH(K133,LMH_KEY,0)),0),IFERROR(INDEX(LMH_PTS,MATCH(L133,LMH_KEY,0)),0),IFERROR(INDEX(LMH_PTS,MATCH(M133,LMH_KEY,0)),0),IFERROR(INDEX(LMH_PTS,MATCH(N133,LMH_KEY,0)),0),IFERROR(INDEX(LMH_PTS,MATCH(O133,LMH_KEY,0)),0),IFERROR(INDEX(LMH_PTS,MATCH(P133,LMH_KEY,0)),0)),""))</f>
        <v>0.176470588235294</v>
      </c>
      <c r="S133" s="74">
        <f>IF(L133="","",IFERROR(INDEX(LMH_PTS,MATCH(L133,LMH_KEY,0))/SUM(IFERROR(INDEX(LMH_PTS,MATCH(J133,LMH_KEY,0)),0),IFERROR(INDEX(LMH_PTS,MATCH(K133,LMH_KEY,0)),0),IFERROR(INDEX(LMH_PTS,MATCH(L133,LMH_KEY,0)),0),IFERROR(INDEX(LMH_PTS,MATCH(M133,LMH_KEY,0)),0),IFERROR(INDEX(LMH_PTS,MATCH(N133,LMH_KEY,0)),0),IFERROR(INDEX(LMH_PTS,MATCH(O133,LMH_KEY,0)),0),IFERROR(INDEX(LMH_PTS,MATCH(P133,LMH_KEY,0)),0)),""))</f>
        <v>0.0588235294117647</v>
      </c>
      <c r="T133" s="74">
        <f>IF(M133="","",IFERROR(INDEX(LMH_PTS,MATCH(M133,LMH_KEY,0))/SUM(IFERROR(INDEX(LMH_PTS,MATCH(J133,LMH_KEY,0)),0),IFERROR(INDEX(LMH_PTS,MATCH(K133,LMH_KEY,0)),0),IFERROR(INDEX(LMH_PTS,MATCH(L133,LMH_KEY,0)),0),IFERROR(INDEX(LMH_PTS,MATCH(M133,LMH_KEY,0)),0),IFERROR(INDEX(LMH_PTS,MATCH(N133,LMH_KEY,0)),0),IFERROR(INDEX(LMH_PTS,MATCH(O133,LMH_KEY,0)),0),IFERROR(INDEX(LMH_PTS,MATCH(P133,LMH_KEY,0)),0)),""))</f>
        <v>0.0588235294117647</v>
      </c>
      <c r="U133" s="74">
        <f>IF(N133="","",IFERROR(INDEX(LMH_PTS,MATCH(N133,LMH_KEY,0))/SUM(IFERROR(INDEX(LMH_PTS,MATCH(J133,LMH_KEY,0)),0),IFERROR(INDEX(LMH_PTS,MATCH(K133,LMH_KEY,0)),0),IFERROR(INDEX(LMH_PTS,MATCH(L133,LMH_KEY,0)),0),IFERROR(INDEX(LMH_PTS,MATCH(M133,LMH_KEY,0)),0),IFERROR(INDEX(LMH_PTS,MATCH(N133,LMH_KEY,0)),0),IFERROR(INDEX(LMH_PTS,MATCH(O133,LMH_KEY,0)),0),IFERROR(INDEX(LMH_PTS,MATCH(P133,LMH_KEY,0)),0)),""))</f>
        <v>0.0588235294117647</v>
      </c>
      <c r="V133" s="74">
        <f>IF(O133="","",IFERROR(INDEX(LMH_PTS,MATCH(O133,LMH_KEY,0))/SUM(IFERROR(INDEX(LMH_PTS,MATCH(J133,LMH_KEY,0)),0),IFERROR(INDEX(LMH_PTS,MATCH(K133,LMH_KEY,0)),0),IFERROR(INDEX(LMH_PTS,MATCH(L133,LMH_KEY,0)),0),IFERROR(INDEX(LMH_PTS,MATCH(M133,LMH_KEY,0)),0),IFERROR(INDEX(LMH_PTS,MATCH(N133,LMH_KEY,0)),0),IFERROR(INDEX(LMH_PTS,MATCH(O133,LMH_KEY,0)),0),IFERROR(INDEX(LMH_PTS,MATCH(P133,LMH_KEY,0)),0)),""))</f>
        <v>0.0588235294117647</v>
      </c>
      <c r="W133" s="74">
        <f>IF(P133="","",IFERROR(INDEX(LMH_PTS,MATCH(P133,LMH_KEY,0))/SUM(IFERROR(INDEX(LMH_PTS,MATCH(J133,LMH_KEY,0)),0),IFERROR(INDEX(LMH_PTS,MATCH(K133,LMH_KEY,0)),0),IFERROR(INDEX(LMH_PTS,MATCH(L133,LMH_KEY,0)),0),IFERROR(INDEX(LMH_PTS,MATCH(M133,LMH_KEY,0)),0),IFERROR(INDEX(LMH_PTS,MATCH(N133,LMH_KEY,0)),0),IFERROR(INDEX(LMH_PTS,MATCH(O133,LMH_KEY,0)),0),IFERROR(INDEX(LMH_PTS,MATCH(P133,LMH_KEY,0)),0)),""))</f>
        <v>0.0588235294117647</v>
      </c>
      <c r="X133" s="44" t="n"/>
      <c r="Y133" s="38" t="inlineStr">
        <is>
          <t>CARBON|Technology|Senior AI/ML Engineer|A3|A</t>
        </is>
      </c>
    </row>
    <row r="134" ht="18" customHeight="1">
      <c r="A134" s="28" t="inlineStr">
        <is>
          <t>CARBON</t>
        </is>
      </c>
      <c r="B134" s="29" t="inlineStr">
        <is>
          <t>Technology</t>
        </is>
      </c>
      <c r="C134" s="75" t="inlineStr">
        <is>
          <t>A3</t>
        </is>
      </c>
      <c r="D134" s="29" t="inlineStr">
        <is>
          <t>Band A · Practitioner</t>
        </is>
      </c>
      <c r="E134" s="29" t="inlineStr">
        <is>
          <t>Senior Product Designer</t>
        </is>
      </c>
      <c r="F134" s="29" t="inlineStr">
        <is>
          <t>Band A · all tracks</t>
        </is>
      </c>
      <c r="G134" s="29" t="inlineStr">
        <is>
          <t>Design &amp; Creative</t>
        </is>
      </c>
      <c r="H134" s="29" t="n">
        <v>1</v>
      </c>
      <c r="I134" s="29" t="inlineStr">
        <is>
          <t>Ritik Wadje</t>
        </is>
      </c>
      <c r="J134" s="34" t="str">
        <f>IFERROR(INDEX(RBD_C,MATCH("Design &amp; Creative|A3|A",RBD_KEY,0)),"M")</f>
        <v>H</v>
      </c>
      <c r="K134" s="35" t="str">
        <f>IFERROR(INDEX(RBD_Au,MATCH("Design &amp; Creative|A3|A",RBD_KEY,0)),"M")</f>
        <v>M</v>
      </c>
      <c r="L134" s="35" t="str">
        <f>IFERROR(INDEX(RBD_Ac,MATCH("Design &amp; Creative|A3|A",RBD_KEY,0)),"M")</f>
        <v>L</v>
      </c>
      <c r="M134" s="35" t="str">
        <f>IFERROR(INDEX(RBD_L,MATCH("Design &amp; Creative|A3|A",RBD_KEY,0)),"M")</f>
        <v>L</v>
      </c>
      <c r="N134" s="35" t="str">
        <f>IFERROR(INDEX(RBD_BI,MATCH("Design &amp; Creative|A3|A",RBD_KEY,0)),"M")</f>
        <v>M</v>
      </c>
      <c r="O134" s="35" t="str">
        <f>IFERROR(INDEX(RBD_Exp,MATCH("Design &amp; Creative|A3|A",RBD_KEY,0)),"M")</f>
        <v>L</v>
      </c>
      <c r="P134" s="35" t="str">
        <f>IFERROR(INDEX(RBD_Edu,MATCH("Design &amp; Creative|A3|A",RBD_KEY,0)),"M")</f>
        <v>L</v>
      </c>
      <c r="Q134" s="73">
        <f>IF(J134="","",IFERROR(INDEX(LMH_PTS,MATCH(J134,LMH_KEY,0))/SUM(IFERROR(INDEX(LMH_PTS,MATCH(J134,LMH_KEY,0)),0),IFERROR(INDEX(LMH_PTS,MATCH(K134,LMH_KEY,0)),0),IFERROR(INDEX(LMH_PTS,MATCH(L134,LMH_KEY,0)),0),IFERROR(INDEX(LMH_PTS,MATCH(M134,LMH_KEY,0)),0),IFERROR(INDEX(LMH_PTS,MATCH(N134,LMH_KEY,0)),0),IFERROR(INDEX(LMH_PTS,MATCH(O134,LMH_KEY,0)),0),IFERROR(INDEX(LMH_PTS,MATCH(P134,LMH_KEY,0)),0)),""))</f>
        <v>0.473684210526316</v>
      </c>
      <c r="R134" s="74">
        <f>IF(K134="","",IFERROR(INDEX(LMH_PTS,MATCH(K134,LMH_KEY,0))/SUM(IFERROR(INDEX(LMH_PTS,MATCH(J134,LMH_KEY,0)),0),IFERROR(INDEX(LMH_PTS,MATCH(K134,LMH_KEY,0)),0),IFERROR(INDEX(LMH_PTS,MATCH(L134,LMH_KEY,0)),0),IFERROR(INDEX(LMH_PTS,MATCH(M134,LMH_KEY,0)),0),IFERROR(INDEX(LMH_PTS,MATCH(N134,LMH_KEY,0)),0),IFERROR(INDEX(LMH_PTS,MATCH(O134,LMH_KEY,0)),0),IFERROR(INDEX(LMH_PTS,MATCH(P134,LMH_KEY,0)),0)),""))</f>
        <v>0.157894736842105</v>
      </c>
      <c r="S134" s="74">
        <f>IF(L134="","",IFERROR(INDEX(LMH_PTS,MATCH(L134,LMH_KEY,0))/SUM(IFERROR(INDEX(LMH_PTS,MATCH(J134,LMH_KEY,0)),0),IFERROR(INDEX(LMH_PTS,MATCH(K134,LMH_KEY,0)),0),IFERROR(INDEX(LMH_PTS,MATCH(L134,LMH_KEY,0)),0),IFERROR(INDEX(LMH_PTS,MATCH(M134,LMH_KEY,0)),0),IFERROR(INDEX(LMH_PTS,MATCH(N134,LMH_KEY,0)),0),IFERROR(INDEX(LMH_PTS,MATCH(O134,LMH_KEY,0)),0),IFERROR(INDEX(LMH_PTS,MATCH(P134,LMH_KEY,0)),0)),""))</f>
        <v>0.0526315789473684</v>
      </c>
      <c r="T134" s="74">
        <f>IF(M134="","",IFERROR(INDEX(LMH_PTS,MATCH(M134,LMH_KEY,0))/SUM(IFERROR(INDEX(LMH_PTS,MATCH(J134,LMH_KEY,0)),0),IFERROR(INDEX(LMH_PTS,MATCH(K134,LMH_KEY,0)),0),IFERROR(INDEX(LMH_PTS,MATCH(L134,LMH_KEY,0)),0),IFERROR(INDEX(LMH_PTS,MATCH(M134,LMH_KEY,0)),0),IFERROR(INDEX(LMH_PTS,MATCH(N134,LMH_KEY,0)),0),IFERROR(INDEX(LMH_PTS,MATCH(O134,LMH_KEY,0)),0),IFERROR(INDEX(LMH_PTS,MATCH(P134,LMH_KEY,0)),0)),""))</f>
        <v>0.0526315789473684</v>
      </c>
      <c r="U134" s="74">
        <f>IF(N134="","",IFERROR(INDEX(LMH_PTS,MATCH(N134,LMH_KEY,0))/SUM(IFERROR(INDEX(LMH_PTS,MATCH(J134,LMH_KEY,0)),0),IFERROR(INDEX(LMH_PTS,MATCH(K134,LMH_KEY,0)),0),IFERROR(INDEX(LMH_PTS,MATCH(L134,LMH_KEY,0)),0),IFERROR(INDEX(LMH_PTS,MATCH(M134,LMH_KEY,0)),0),IFERROR(INDEX(LMH_PTS,MATCH(N134,LMH_KEY,0)),0),IFERROR(INDEX(LMH_PTS,MATCH(O134,LMH_KEY,0)),0),IFERROR(INDEX(LMH_PTS,MATCH(P134,LMH_KEY,0)),0)),""))</f>
        <v>0.157894736842105</v>
      </c>
      <c r="V134" s="74">
        <f>IF(O134="","",IFERROR(INDEX(LMH_PTS,MATCH(O134,LMH_KEY,0))/SUM(IFERROR(INDEX(LMH_PTS,MATCH(J134,LMH_KEY,0)),0),IFERROR(INDEX(LMH_PTS,MATCH(K134,LMH_KEY,0)),0),IFERROR(INDEX(LMH_PTS,MATCH(L134,LMH_KEY,0)),0),IFERROR(INDEX(LMH_PTS,MATCH(M134,LMH_KEY,0)),0),IFERROR(INDEX(LMH_PTS,MATCH(N134,LMH_KEY,0)),0),IFERROR(INDEX(LMH_PTS,MATCH(O134,LMH_KEY,0)),0),IFERROR(INDEX(LMH_PTS,MATCH(P134,LMH_KEY,0)),0)),""))</f>
        <v>0.0526315789473684</v>
      </c>
      <c r="W134" s="74">
        <f>IF(P134="","",IFERROR(INDEX(LMH_PTS,MATCH(P134,LMH_KEY,0))/SUM(IFERROR(INDEX(LMH_PTS,MATCH(J134,LMH_KEY,0)),0),IFERROR(INDEX(LMH_PTS,MATCH(K134,LMH_KEY,0)),0),IFERROR(INDEX(LMH_PTS,MATCH(L134,LMH_KEY,0)),0),IFERROR(INDEX(LMH_PTS,MATCH(M134,LMH_KEY,0)),0),IFERROR(INDEX(LMH_PTS,MATCH(N134,LMH_KEY,0)),0),IFERROR(INDEX(LMH_PTS,MATCH(O134,LMH_KEY,0)),0),IFERROR(INDEX(LMH_PTS,MATCH(P134,LMH_KEY,0)),0)),""))</f>
        <v>0.0526315789473684</v>
      </c>
      <c r="X134" s="44" t="n"/>
      <c r="Y134" s="38" t="inlineStr">
        <is>
          <t>CARBON|Technology|Senior Product Designer|A3|A</t>
        </is>
      </c>
    </row>
    <row r="135" ht="90.5" customHeight="1">
      <c r="A135" s="28" t="inlineStr">
        <is>
          <t>CARBON</t>
        </is>
      </c>
      <c r="B135" s="29" t="inlineStr">
        <is>
          <t>Technology</t>
        </is>
      </c>
      <c r="C135" s="75" t="inlineStr">
        <is>
          <t>A3</t>
        </is>
      </c>
      <c r="D135" s="29" t="inlineStr">
        <is>
          <t>Band A · Practitioner</t>
        </is>
      </c>
      <c r="E135" s="29" t="inlineStr">
        <is>
          <t>Senior Software Engineer</t>
        </is>
      </c>
      <c r="F135" s="29" t="inlineStr">
        <is>
          <t>Band A · all tracks</t>
        </is>
      </c>
      <c r="G135" s="29" t="inlineStr">
        <is>
          <t>Engineering &amp; Development</t>
        </is>
      </c>
      <c r="H135" s="29" t="n">
        <v>13</v>
      </c>
      <c r="I135" s="29" t="inlineStr">
        <is>
          <t>Kunal Jadhav, Kinjal Rathod, Alpesh Chaudhari, Imtiyaz Pathan, Pritesh Wani, Aniket Kale, Anuj Pardeshi, Karan Kapadia, Harsh Borad, Parth Jitendrabhai Parmar, Riya Parekh, Harsh Icecreamwala, Parthviben Mistry</t>
        </is>
      </c>
      <c r="J135" s="34" t="str">
        <f>IFERROR(INDEX(RBD_C,MATCH("Engineering &amp; Development|A3|A",RBD_KEY,0)),"M")</f>
        <v>H</v>
      </c>
      <c r="K135" s="35" t="str">
        <f>IFERROR(INDEX(RBD_Au,MATCH("Engineering &amp; Development|A3|A",RBD_KEY,0)),"M")</f>
        <v>M</v>
      </c>
      <c r="L135" s="35" t="str">
        <f>IFERROR(INDEX(RBD_Ac,MATCH("Engineering &amp; Development|A3|A",RBD_KEY,0)),"M")</f>
        <v>L</v>
      </c>
      <c r="M135" s="35" t="str">
        <f>IFERROR(INDEX(RBD_L,MATCH("Engineering &amp; Development|A3|A",RBD_KEY,0)),"M")</f>
        <v>L</v>
      </c>
      <c r="N135" s="35" t="str">
        <f>IFERROR(INDEX(RBD_BI,MATCH("Engineering &amp; Development|A3|A",RBD_KEY,0)),"M")</f>
        <v>L</v>
      </c>
      <c r="O135" s="35" t="str">
        <f>IFERROR(INDEX(RBD_Exp,MATCH("Engineering &amp; Development|A3|A",RBD_KEY,0)),"M")</f>
        <v>L</v>
      </c>
      <c r="P135" s="35" t="str">
        <f>IFERROR(INDEX(RBD_Edu,MATCH("Engineering &amp; Development|A3|A",RBD_KEY,0)),"M")</f>
        <v>L</v>
      </c>
      <c r="Q135" s="73">
        <f>IF(J135="","",IFERROR(INDEX(LMH_PTS,MATCH(J135,LMH_KEY,0))/SUM(IFERROR(INDEX(LMH_PTS,MATCH(J135,LMH_KEY,0)),0),IFERROR(INDEX(LMH_PTS,MATCH(K135,LMH_KEY,0)),0),IFERROR(INDEX(LMH_PTS,MATCH(L135,LMH_KEY,0)),0),IFERROR(INDEX(LMH_PTS,MATCH(M135,LMH_KEY,0)),0),IFERROR(INDEX(LMH_PTS,MATCH(N135,LMH_KEY,0)),0),IFERROR(INDEX(LMH_PTS,MATCH(O135,LMH_KEY,0)),0),IFERROR(INDEX(LMH_PTS,MATCH(P135,LMH_KEY,0)),0)),""))</f>
        <v>0.529411764705882</v>
      </c>
      <c r="R135" s="74">
        <f>IF(K135="","",IFERROR(INDEX(LMH_PTS,MATCH(K135,LMH_KEY,0))/SUM(IFERROR(INDEX(LMH_PTS,MATCH(J135,LMH_KEY,0)),0),IFERROR(INDEX(LMH_PTS,MATCH(K135,LMH_KEY,0)),0),IFERROR(INDEX(LMH_PTS,MATCH(L135,LMH_KEY,0)),0),IFERROR(INDEX(LMH_PTS,MATCH(M135,LMH_KEY,0)),0),IFERROR(INDEX(LMH_PTS,MATCH(N135,LMH_KEY,0)),0),IFERROR(INDEX(LMH_PTS,MATCH(O135,LMH_KEY,0)),0),IFERROR(INDEX(LMH_PTS,MATCH(P135,LMH_KEY,0)),0)),""))</f>
        <v>0.176470588235294</v>
      </c>
      <c r="S135" s="74">
        <f>IF(L135="","",IFERROR(INDEX(LMH_PTS,MATCH(L135,LMH_KEY,0))/SUM(IFERROR(INDEX(LMH_PTS,MATCH(J135,LMH_KEY,0)),0),IFERROR(INDEX(LMH_PTS,MATCH(K135,LMH_KEY,0)),0),IFERROR(INDEX(LMH_PTS,MATCH(L135,LMH_KEY,0)),0),IFERROR(INDEX(LMH_PTS,MATCH(M135,LMH_KEY,0)),0),IFERROR(INDEX(LMH_PTS,MATCH(N135,LMH_KEY,0)),0),IFERROR(INDEX(LMH_PTS,MATCH(O135,LMH_KEY,0)),0),IFERROR(INDEX(LMH_PTS,MATCH(P135,LMH_KEY,0)),0)),""))</f>
        <v>0.0588235294117647</v>
      </c>
      <c r="T135" s="74">
        <f>IF(M135="","",IFERROR(INDEX(LMH_PTS,MATCH(M135,LMH_KEY,0))/SUM(IFERROR(INDEX(LMH_PTS,MATCH(J135,LMH_KEY,0)),0),IFERROR(INDEX(LMH_PTS,MATCH(K135,LMH_KEY,0)),0),IFERROR(INDEX(LMH_PTS,MATCH(L135,LMH_KEY,0)),0),IFERROR(INDEX(LMH_PTS,MATCH(M135,LMH_KEY,0)),0),IFERROR(INDEX(LMH_PTS,MATCH(N135,LMH_KEY,0)),0),IFERROR(INDEX(LMH_PTS,MATCH(O135,LMH_KEY,0)),0),IFERROR(INDEX(LMH_PTS,MATCH(P135,LMH_KEY,0)),0)),""))</f>
        <v>0.0588235294117647</v>
      </c>
      <c r="U135" s="74">
        <f>IF(N135="","",IFERROR(INDEX(LMH_PTS,MATCH(N135,LMH_KEY,0))/SUM(IFERROR(INDEX(LMH_PTS,MATCH(J135,LMH_KEY,0)),0),IFERROR(INDEX(LMH_PTS,MATCH(K135,LMH_KEY,0)),0),IFERROR(INDEX(LMH_PTS,MATCH(L135,LMH_KEY,0)),0),IFERROR(INDEX(LMH_PTS,MATCH(M135,LMH_KEY,0)),0),IFERROR(INDEX(LMH_PTS,MATCH(N135,LMH_KEY,0)),0),IFERROR(INDEX(LMH_PTS,MATCH(O135,LMH_KEY,0)),0),IFERROR(INDEX(LMH_PTS,MATCH(P135,LMH_KEY,0)),0)),""))</f>
        <v>0.0588235294117647</v>
      </c>
      <c r="V135" s="74">
        <f>IF(O135="","",IFERROR(INDEX(LMH_PTS,MATCH(O135,LMH_KEY,0))/SUM(IFERROR(INDEX(LMH_PTS,MATCH(J135,LMH_KEY,0)),0),IFERROR(INDEX(LMH_PTS,MATCH(K135,LMH_KEY,0)),0),IFERROR(INDEX(LMH_PTS,MATCH(L135,LMH_KEY,0)),0),IFERROR(INDEX(LMH_PTS,MATCH(M135,LMH_KEY,0)),0),IFERROR(INDEX(LMH_PTS,MATCH(N135,LMH_KEY,0)),0),IFERROR(INDEX(LMH_PTS,MATCH(O135,LMH_KEY,0)),0),IFERROR(INDEX(LMH_PTS,MATCH(P135,LMH_KEY,0)),0)),""))</f>
        <v>0.0588235294117647</v>
      </c>
      <c r="W135" s="74">
        <f>IF(P135="","",IFERROR(INDEX(LMH_PTS,MATCH(P135,LMH_KEY,0))/SUM(IFERROR(INDEX(LMH_PTS,MATCH(J135,LMH_KEY,0)),0),IFERROR(INDEX(LMH_PTS,MATCH(K135,LMH_KEY,0)),0),IFERROR(INDEX(LMH_PTS,MATCH(L135,LMH_KEY,0)),0),IFERROR(INDEX(LMH_PTS,MATCH(M135,LMH_KEY,0)),0),IFERROR(INDEX(LMH_PTS,MATCH(N135,LMH_KEY,0)),0),IFERROR(INDEX(LMH_PTS,MATCH(O135,LMH_KEY,0)),0),IFERROR(INDEX(LMH_PTS,MATCH(P135,LMH_KEY,0)),0)),""))</f>
        <v>0.0588235294117647</v>
      </c>
      <c r="X135" s="44" t="n"/>
      <c r="Y135" s="38" t="inlineStr">
        <is>
          <t>CARBON|Technology|Senior Software Engineer|A3|A</t>
        </is>
      </c>
    </row>
    <row r="136" ht="28" customHeight="1">
      <c r="A136" s="28" t="inlineStr">
        <is>
          <t>CARBON</t>
        </is>
      </c>
      <c r="B136" s="29" t="inlineStr">
        <is>
          <t>Technology</t>
        </is>
      </c>
      <c r="C136" s="75" t="inlineStr">
        <is>
          <t>A3</t>
        </is>
      </c>
      <c r="D136" s="29" t="inlineStr">
        <is>
          <t>Band A · Practitioner</t>
        </is>
      </c>
      <c r="E136" s="29" t="inlineStr">
        <is>
          <t>Senior UI Developer</t>
        </is>
      </c>
      <c r="F136" s="29" t="inlineStr">
        <is>
          <t>Band A · all tracks</t>
        </is>
      </c>
      <c r="G136" s="29" t="inlineStr">
        <is>
          <t>Engineering &amp; Development</t>
        </is>
      </c>
      <c r="H136" s="29" t="n">
        <v>4</v>
      </c>
      <c r="I136" s="29" t="inlineStr">
        <is>
          <t>Kush Govani, Omkar Dhumal, Shubham Baban Jagtap, Rahul Mejari</t>
        </is>
      </c>
      <c r="J136" s="34" t="str">
        <f>IFERROR(INDEX(RBD_C,MATCH("Engineering &amp; Development|A3|A",RBD_KEY,0)),"M")</f>
        <v>H</v>
      </c>
      <c r="K136" s="35" t="str">
        <f>IFERROR(INDEX(RBD_Au,MATCH("Engineering &amp; Development|A3|A",RBD_KEY,0)),"M")</f>
        <v>M</v>
      </c>
      <c r="L136" s="35" t="str">
        <f>IFERROR(INDEX(RBD_Ac,MATCH("Engineering &amp; Development|A3|A",RBD_KEY,0)),"M")</f>
        <v>L</v>
      </c>
      <c r="M136" s="35" t="str">
        <f>IFERROR(INDEX(RBD_L,MATCH("Engineering &amp; Development|A3|A",RBD_KEY,0)),"M")</f>
        <v>L</v>
      </c>
      <c r="N136" s="35" t="str">
        <f>IFERROR(INDEX(RBD_BI,MATCH("Engineering &amp; Development|A3|A",RBD_KEY,0)),"M")</f>
        <v>L</v>
      </c>
      <c r="O136" s="35" t="str">
        <f>IFERROR(INDEX(RBD_Exp,MATCH("Engineering &amp; Development|A3|A",RBD_KEY,0)),"M")</f>
        <v>L</v>
      </c>
      <c r="P136" s="35" t="str">
        <f>IFERROR(INDEX(RBD_Edu,MATCH("Engineering &amp; Development|A3|A",RBD_KEY,0)),"M")</f>
        <v>L</v>
      </c>
      <c r="Q136" s="73">
        <f>IF(J136="","",IFERROR(INDEX(LMH_PTS,MATCH(J136,LMH_KEY,0))/SUM(IFERROR(INDEX(LMH_PTS,MATCH(J136,LMH_KEY,0)),0),IFERROR(INDEX(LMH_PTS,MATCH(K136,LMH_KEY,0)),0),IFERROR(INDEX(LMH_PTS,MATCH(L136,LMH_KEY,0)),0),IFERROR(INDEX(LMH_PTS,MATCH(M136,LMH_KEY,0)),0),IFERROR(INDEX(LMH_PTS,MATCH(N136,LMH_KEY,0)),0),IFERROR(INDEX(LMH_PTS,MATCH(O136,LMH_KEY,0)),0),IFERROR(INDEX(LMH_PTS,MATCH(P136,LMH_KEY,0)),0)),""))</f>
        <v>0.529411764705882</v>
      </c>
      <c r="R136" s="74">
        <f>IF(K136="","",IFERROR(INDEX(LMH_PTS,MATCH(K136,LMH_KEY,0))/SUM(IFERROR(INDEX(LMH_PTS,MATCH(J136,LMH_KEY,0)),0),IFERROR(INDEX(LMH_PTS,MATCH(K136,LMH_KEY,0)),0),IFERROR(INDEX(LMH_PTS,MATCH(L136,LMH_KEY,0)),0),IFERROR(INDEX(LMH_PTS,MATCH(M136,LMH_KEY,0)),0),IFERROR(INDEX(LMH_PTS,MATCH(N136,LMH_KEY,0)),0),IFERROR(INDEX(LMH_PTS,MATCH(O136,LMH_KEY,0)),0),IFERROR(INDEX(LMH_PTS,MATCH(P136,LMH_KEY,0)),0)),""))</f>
        <v>0.176470588235294</v>
      </c>
      <c r="S136" s="74">
        <f>IF(L136="","",IFERROR(INDEX(LMH_PTS,MATCH(L136,LMH_KEY,0))/SUM(IFERROR(INDEX(LMH_PTS,MATCH(J136,LMH_KEY,0)),0),IFERROR(INDEX(LMH_PTS,MATCH(K136,LMH_KEY,0)),0),IFERROR(INDEX(LMH_PTS,MATCH(L136,LMH_KEY,0)),0),IFERROR(INDEX(LMH_PTS,MATCH(M136,LMH_KEY,0)),0),IFERROR(INDEX(LMH_PTS,MATCH(N136,LMH_KEY,0)),0),IFERROR(INDEX(LMH_PTS,MATCH(O136,LMH_KEY,0)),0),IFERROR(INDEX(LMH_PTS,MATCH(P136,LMH_KEY,0)),0)),""))</f>
        <v>0.0588235294117647</v>
      </c>
      <c r="T136" s="74">
        <f>IF(M136="","",IFERROR(INDEX(LMH_PTS,MATCH(M136,LMH_KEY,0))/SUM(IFERROR(INDEX(LMH_PTS,MATCH(J136,LMH_KEY,0)),0),IFERROR(INDEX(LMH_PTS,MATCH(K136,LMH_KEY,0)),0),IFERROR(INDEX(LMH_PTS,MATCH(L136,LMH_KEY,0)),0),IFERROR(INDEX(LMH_PTS,MATCH(M136,LMH_KEY,0)),0),IFERROR(INDEX(LMH_PTS,MATCH(N136,LMH_KEY,0)),0),IFERROR(INDEX(LMH_PTS,MATCH(O136,LMH_KEY,0)),0),IFERROR(INDEX(LMH_PTS,MATCH(P136,LMH_KEY,0)),0)),""))</f>
        <v>0.0588235294117647</v>
      </c>
      <c r="U136" s="74">
        <f>IF(N136="","",IFERROR(INDEX(LMH_PTS,MATCH(N136,LMH_KEY,0))/SUM(IFERROR(INDEX(LMH_PTS,MATCH(J136,LMH_KEY,0)),0),IFERROR(INDEX(LMH_PTS,MATCH(K136,LMH_KEY,0)),0),IFERROR(INDEX(LMH_PTS,MATCH(L136,LMH_KEY,0)),0),IFERROR(INDEX(LMH_PTS,MATCH(M136,LMH_KEY,0)),0),IFERROR(INDEX(LMH_PTS,MATCH(N136,LMH_KEY,0)),0),IFERROR(INDEX(LMH_PTS,MATCH(O136,LMH_KEY,0)),0),IFERROR(INDEX(LMH_PTS,MATCH(P136,LMH_KEY,0)),0)),""))</f>
        <v>0.0588235294117647</v>
      </c>
      <c r="V136" s="74">
        <f>IF(O136="","",IFERROR(INDEX(LMH_PTS,MATCH(O136,LMH_KEY,0))/SUM(IFERROR(INDEX(LMH_PTS,MATCH(J136,LMH_KEY,0)),0),IFERROR(INDEX(LMH_PTS,MATCH(K136,LMH_KEY,0)),0),IFERROR(INDEX(LMH_PTS,MATCH(L136,LMH_KEY,0)),0),IFERROR(INDEX(LMH_PTS,MATCH(M136,LMH_KEY,0)),0),IFERROR(INDEX(LMH_PTS,MATCH(N136,LMH_KEY,0)),0),IFERROR(INDEX(LMH_PTS,MATCH(O136,LMH_KEY,0)),0),IFERROR(INDEX(LMH_PTS,MATCH(P136,LMH_KEY,0)),0)),""))</f>
        <v>0.0588235294117647</v>
      </c>
      <c r="W136" s="74">
        <f>IF(P136="","",IFERROR(INDEX(LMH_PTS,MATCH(P136,LMH_KEY,0))/SUM(IFERROR(INDEX(LMH_PTS,MATCH(J136,LMH_KEY,0)),0),IFERROR(INDEX(LMH_PTS,MATCH(K136,LMH_KEY,0)),0),IFERROR(INDEX(LMH_PTS,MATCH(L136,LMH_KEY,0)),0),IFERROR(INDEX(LMH_PTS,MATCH(M136,LMH_KEY,0)),0),IFERROR(INDEX(LMH_PTS,MATCH(N136,LMH_KEY,0)),0),IFERROR(INDEX(LMH_PTS,MATCH(O136,LMH_KEY,0)),0),IFERROR(INDEX(LMH_PTS,MATCH(P136,LMH_KEY,0)),0)),""))</f>
        <v>0.0588235294117647</v>
      </c>
      <c r="X136" s="44" t="n"/>
      <c r="Y136" s="38" t="inlineStr">
        <is>
          <t>CARBON|Technology|Senior UI Developer|A3|A</t>
        </is>
      </c>
    </row>
    <row r="137" ht="18" customHeight="1">
      <c r="A137" s="28" t="inlineStr">
        <is>
          <t>CARBON</t>
        </is>
      </c>
      <c r="B137" s="29" t="inlineStr">
        <is>
          <t>Technology</t>
        </is>
      </c>
      <c r="C137" s="75" t="inlineStr">
        <is>
          <t>A3</t>
        </is>
      </c>
      <c r="D137" s="29" t="inlineStr">
        <is>
          <t>Band A · Practitioner</t>
        </is>
      </c>
      <c r="E137" s="29" t="inlineStr">
        <is>
          <t>Technical Specialist</t>
        </is>
      </c>
      <c r="F137" s="29" t="inlineStr">
        <is>
          <t>Band A · all tracks</t>
        </is>
      </c>
      <c r="G137" s="29" t="inlineStr">
        <is>
          <t>Engineering &amp; Development</t>
        </is>
      </c>
      <c r="H137" s="29" t="n">
        <v>1</v>
      </c>
      <c r="I137" s="29" t="inlineStr">
        <is>
          <t>Huzefa Petit</t>
        </is>
      </c>
      <c r="J137" s="34" t="str">
        <f>IFERROR(INDEX(RBD_C,MATCH("Engineering &amp; Development|A3|A",RBD_KEY,0)),"M")</f>
        <v>H</v>
      </c>
      <c r="K137" s="35" t="str">
        <f>IFERROR(INDEX(RBD_Au,MATCH("Engineering &amp; Development|A3|A",RBD_KEY,0)),"M")</f>
        <v>M</v>
      </c>
      <c r="L137" s="35" t="str">
        <f>IFERROR(INDEX(RBD_Ac,MATCH("Engineering &amp; Development|A3|A",RBD_KEY,0)),"M")</f>
        <v>L</v>
      </c>
      <c r="M137" s="35" t="str">
        <f>IFERROR(INDEX(RBD_L,MATCH("Engineering &amp; Development|A3|A",RBD_KEY,0)),"M")</f>
        <v>L</v>
      </c>
      <c r="N137" s="35" t="str">
        <f>IFERROR(INDEX(RBD_BI,MATCH("Engineering &amp; Development|A3|A",RBD_KEY,0)),"M")</f>
        <v>L</v>
      </c>
      <c r="O137" s="35" t="str">
        <f>IFERROR(INDEX(RBD_Exp,MATCH("Engineering &amp; Development|A3|A",RBD_KEY,0)),"M")</f>
        <v>L</v>
      </c>
      <c r="P137" s="35" t="str">
        <f>IFERROR(INDEX(RBD_Edu,MATCH("Engineering &amp; Development|A3|A",RBD_KEY,0)),"M")</f>
        <v>L</v>
      </c>
      <c r="Q137" s="73">
        <f>IF(J137="","",IFERROR(INDEX(LMH_PTS,MATCH(J137,LMH_KEY,0))/SUM(IFERROR(INDEX(LMH_PTS,MATCH(J137,LMH_KEY,0)),0),IFERROR(INDEX(LMH_PTS,MATCH(K137,LMH_KEY,0)),0),IFERROR(INDEX(LMH_PTS,MATCH(L137,LMH_KEY,0)),0),IFERROR(INDEX(LMH_PTS,MATCH(M137,LMH_KEY,0)),0),IFERROR(INDEX(LMH_PTS,MATCH(N137,LMH_KEY,0)),0),IFERROR(INDEX(LMH_PTS,MATCH(O137,LMH_KEY,0)),0),IFERROR(INDEX(LMH_PTS,MATCH(P137,LMH_KEY,0)),0)),""))</f>
        <v>0.529411764705882</v>
      </c>
      <c r="R137" s="74">
        <f>IF(K137="","",IFERROR(INDEX(LMH_PTS,MATCH(K137,LMH_KEY,0))/SUM(IFERROR(INDEX(LMH_PTS,MATCH(J137,LMH_KEY,0)),0),IFERROR(INDEX(LMH_PTS,MATCH(K137,LMH_KEY,0)),0),IFERROR(INDEX(LMH_PTS,MATCH(L137,LMH_KEY,0)),0),IFERROR(INDEX(LMH_PTS,MATCH(M137,LMH_KEY,0)),0),IFERROR(INDEX(LMH_PTS,MATCH(N137,LMH_KEY,0)),0),IFERROR(INDEX(LMH_PTS,MATCH(O137,LMH_KEY,0)),0),IFERROR(INDEX(LMH_PTS,MATCH(P137,LMH_KEY,0)),0)),""))</f>
        <v>0.176470588235294</v>
      </c>
      <c r="S137" s="74">
        <f>IF(L137="","",IFERROR(INDEX(LMH_PTS,MATCH(L137,LMH_KEY,0))/SUM(IFERROR(INDEX(LMH_PTS,MATCH(J137,LMH_KEY,0)),0),IFERROR(INDEX(LMH_PTS,MATCH(K137,LMH_KEY,0)),0),IFERROR(INDEX(LMH_PTS,MATCH(L137,LMH_KEY,0)),0),IFERROR(INDEX(LMH_PTS,MATCH(M137,LMH_KEY,0)),0),IFERROR(INDEX(LMH_PTS,MATCH(N137,LMH_KEY,0)),0),IFERROR(INDEX(LMH_PTS,MATCH(O137,LMH_KEY,0)),0),IFERROR(INDEX(LMH_PTS,MATCH(P137,LMH_KEY,0)),0)),""))</f>
        <v>0.0588235294117647</v>
      </c>
      <c r="T137" s="74">
        <f>IF(M137="","",IFERROR(INDEX(LMH_PTS,MATCH(M137,LMH_KEY,0))/SUM(IFERROR(INDEX(LMH_PTS,MATCH(J137,LMH_KEY,0)),0),IFERROR(INDEX(LMH_PTS,MATCH(K137,LMH_KEY,0)),0),IFERROR(INDEX(LMH_PTS,MATCH(L137,LMH_KEY,0)),0),IFERROR(INDEX(LMH_PTS,MATCH(M137,LMH_KEY,0)),0),IFERROR(INDEX(LMH_PTS,MATCH(N137,LMH_KEY,0)),0),IFERROR(INDEX(LMH_PTS,MATCH(O137,LMH_KEY,0)),0),IFERROR(INDEX(LMH_PTS,MATCH(P137,LMH_KEY,0)),0)),""))</f>
        <v>0.0588235294117647</v>
      </c>
      <c r="U137" s="74">
        <f>IF(N137="","",IFERROR(INDEX(LMH_PTS,MATCH(N137,LMH_KEY,0))/SUM(IFERROR(INDEX(LMH_PTS,MATCH(J137,LMH_KEY,0)),0),IFERROR(INDEX(LMH_PTS,MATCH(K137,LMH_KEY,0)),0),IFERROR(INDEX(LMH_PTS,MATCH(L137,LMH_KEY,0)),0),IFERROR(INDEX(LMH_PTS,MATCH(M137,LMH_KEY,0)),0),IFERROR(INDEX(LMH_PTS,MATCH(N137,LMH_KEY,0)),0),IFERROR(INDEX(LMH_PTS,MATCH(O137,LMH_KEY,0)),0),IFERROR(INDEX(LMH_PTS,MATCH(P137,LMH_KEY,0)),0)),""))</f>
        <v>0.0588235294117647</v>
      </c>
      <c r="V137" s="74">
        <f>IF(O137="","",IFERROR(INDEX(LMH_PTS,MATCH(O137,LMH_KEY,0))/SUM(IFERROR(INDEX(LMH_PTS,MATCH(J137,LMH_KEY,0)),0),IFERROR(INDEX(LMH_PTS,MATCH(K137,LMH_KEY,0)),0),IFERROR(INDEX(LMH_PTS,MATCH(L137,LMH_KEY,0)),0),IFERROR(INDEX(LMH_PTS,MATCH(M137,LMH_KEY,0)),0),IFERROR(INDEX(LMH_PTS,MATCH(N137,LMH_KEY,0)),0),IFERROR(INDEX(LMH_PTS,MATCH(O137,LMH_KEY,0)),0),IFERROR(INDEX(LMH_PTS,MATCH(P137,LMH_KEY,0)),0)),""))</f>
        <v>0.0588235294117647</v>
      </c>
      <c r="W137" s="74">
        <f>IF(P137="","",IFERROR(INDEX(LMH_PTS,MATCH(P137,LMH_KEY,0))/SUM(IFERROR(INDEX(LMH_PTS,MATCH(J137,LMH_KEY,0)),0),IFERROR(INDEX(LMH_PTS,MATCH(K137,LMH_KEY,0)),0),IFERROR(INDEX(LMH_PTS,MATCH(L137,LMH_KEY,0)),0),IFERROR(INDEX(LMH_PTS,MATCH(M137,LMH_KEY,0)),0),IFERROR(INDEX(LMH_PTS,MATCH(N137,LMH_KEY,0)),0),IFERROR(INDEX(LMH_PTS,MATCH(O137,LMH_KEY,0)),0),IFERROR(INDEX(LMH_PTS,MATCH(P137,LMH_KEY,0)),0)),""))</f>
        <v>0.0588235294117647</v>
      </c>
      <c r="X137" s="44" t="n"/>
      <c r="Y137" s="38" t="inlineStr">
        <is>
          <t>CARBON|Technology|Technical Specialist|A3|A</t>
        </is>
      </c>
    </row>
    <row r="138" ht="28" customHeight="1">
      <c r="A138" s="28" t="inlineStr">
        <is>
          <t>CARBON</t>
        </is>
      </c>
      <c r="B138" s="29" t="inlineStr">
        <is>
          <t>Technology</t>
        </is>
      </c>
      <c r="C138" s="75" t="inlineStr">
        <is>
          <t>A2</t>
        </is>
      </c>
      <c r="D138" s="29" t="inlineStr">
        <is>
          <t>Band A · Practitioner</t>
        </is>
      </c>
      <c r="E138" s="29" t="inlineStr">
        <is>
          <t>AI/ML Engineer</t>
        </is>
      </c>
      <c r="F138" s="29" t="inlineStr">
        <is>
          <t>Band A · all tracks</t>
        </is>
      </c>
      <c r="G138" s="29" t="inlineStr">
        <is>
          <t>Engineering &amp; Development</t>
        </is>
      </c>
      <c r="H138" s="29" t="n">
        <v>2</v>
      </c>
      <c r="I138" s="29" t="inlineStr">
        <is>
          <t>Dev Hinged, Ayush Dattatraya Tikone</t>
        </is>
      </c>
      <c r="J138" s="34" t="str">
        <f>IFERROR(INDEX(RBD_C,MATCH("Engineering &amp; Development|A2|A",RBD_KEY,0)),"M")</f>
        <v>H</v>
      </c>
      <c r="K138" s="35" t="str">
        <f>IFERROR(INDEX(RBD_Au,MATCH("Engineering &amp; Development|A2|A",RBD_KEY,0)),"M")</f>
        <v>M</v>
      </c>
      <c r="L138" s="35" t="str">
        <f>IFERROR(INDEX(RBD_Ac,MATCH("Engineering &amp; Development|A2|A",RBD_KEY,0)),"M")</f>
        <v>L</v>
      </c>
      <c r="M138" s="35" t="str">
        <f>IFERROR(INDEX(RBD_L,MATCH("Engineering &amp; Development|A2|A",RBD_KEY,0)),"M")</f>
        <v>L</v>
      </c>
      <c r="N138" s="35" t="str">
        <f>IFERROR(INDEX(RBD_BI,MATCH("Engineering &amp; Development|A2|A",RBD_KEY,0)),"M")</f>
        <v>L</v>
      </c>
      <c r="O138" s="35" t="str">
        <f>IFERROR(INDEX(RBD_Exp,MATCH("Engineering &amp; Development|A2|A",RBD_KEY,0)),"M")</f>
        <v>L</v>
      </c>
      <c r="P138" s="35" t="str">
        <f>IFERROR(INDEX(RBD_Edu,MATCH("Engineering &amp; Development|A2|A",RBD_KEY,0)),"M")</f>
        <v>L</v>
      </c>
      <c r="Q138" s="73">
        <f>IF(J138="","",IFERROR(INDEX(LMH_PTS,MATCH(J138,LMH_KEY,0))/SUM(IFERROR(INDEX(LMH_PTS,MATCH(J138,LMH_KEY,0)),0),IFERROR(INDEX(LMH_PTS,MATCH(K138,LMH_KEY,0)),0),IFERROR(INDEX(LMH_PTS,MATCH(L138,LMH_KEY,0)),0),IFERROR(INDEX(LMH_PTS,MATCH(M138,LMH_KEY,0)),0),IFERROR(INDEX(LMH_PTS,MATCH(N138,LMH_KEY,0)),0),IFERROR(INDEX(LMH_PTS,MATCH(O138,LMH_KEY,0)),0),IFERROR(INDEX(LMH_PTS,MATCH(P138,LMH_KEY,0)),0)),""))</f>
        <v>0.529411764705882</v>
      </c>
      <c r="R138" s="74">
        <f>IF(K138="","",IFERROR(INDEX(LMH_PTS,MATCH(K138,LMH_KEY,0))/SUM(IFERROR(INDEX(LMH_PTS,MATCH(J138,LMH_KEY,0)),0),IFERROR(INDEX(LMH_PTS,MATCH(K138,LMH_KEY,0)),0),IFERROR(INDEX(LMH_PTS,MATCH(L138,LMH_KEY,0)),0),IFERROR(INDEX(LMH_PTS,MATCH(M138,LMH_KEY,0)),0),IFERROR(INDEX(LMH_PTS,MATCH(N138,LMH_KEY,0)),0),IFERROR(INDEX(LMH_PTS,MATCH(O138,LMH_KEY,0)),0),IFERROR(INDEX(LMH_PTS,MATCH(P138,LMH_KEY,0)),0)),""))</f>
        <v>0.176470588235294</v>
      </c>
      <c r="S138" s="74">
        <f>IF(L138="","",IFERROR(INDEX(LMH_PTS,MATCH(L138,LMH_KEY,0))/SUM(IFERROR(INDEX(LMH_PTS,MATCH(J138,LMH_KEY,0)),0),IFERROR(INDEX(LMH_PTS,MATCH(K138,LMH_KEY,0)),0),IFERROR(INDEX(LMH_PTS,MATCH(L138,LMH_KEY,0)),0),IFERROR(INDEX(LMH_PTS,MATCH(M138,LMH_KEY,0)),0),IFERROR(INDEX(LMH_PTS,MATCH(N138,LMH_KEY,0)),0),IFERROR(INDEX(LMH_PTS,MATCH(O138,LMH_KEY,0)),0),IFERROR(INDEX(LMH_PTS,MATCH(P138,LMH_KEY,0)),0)),""))</f>
        <v>0.0588235294117647</v>
      </c>
      <c r="T138" s="74">
        <f>IF(M138="","",IFERROR(INDEX(LMH_PTS,MATCH(M138,LMH_KEY,0))/SUM(IFERROR(INDEX(LMH_PTS,MATCH(J138,LMH_KEY,0)),0),IFERROR(INDEX(LMH_PTS,MATCH(K138,LMH_KEY,0)),0),IFERROR(INDEX(LMH_PTS,MATCH(L138,LMH_KEY,0)),0),IFERROR(INDEX(LMH_PTS,MATCH(M138,LMH_KEY,0)),0),IFERROR(INDEX(LMH_PTS,MATCH(N138,LMH_KEY,0)),0),IFERROR(INDEX(LMH_PTS,MATCH(O138,LMH_KEY,0)),0),IFERROR(INDEX(LMH_PTS,MATCH(P138,LMH_KEY,0)),0)),""))</f>
        <v>0.0588235294117647</v>
      </c>
      <c r="U138" s="74">
        <f>IF(N138="","",IFERROR(INDEX(LMH_PTS,MATCH(N138,LMH_KEY,0))/SUM(IFERROR(INDEX(LMH_PTS,MATCH(J138,LMH_KEY,0)),0),IFERROR(INDEX(LMH_PTS,MATCH(K138,LMH_KEY,0)),0),IFERROR(INDEX(LMH_PTS,MATCH(L138,LMH_KEY,0)),0),IFERROR(INDEX(LMH_PTS,MATCH(M138,LMH_KEY,0)),0),IFERROR(INDEX(LMH_PTS,MATCH(N138,LMH_KEY,0)),0),IFERROR(INDEX(LMH_PTS,MATCH(O138,LMH_KEY,0)),0),IFERROR(INDEX(LMH_PTS,MATCH(P138,LMH_KEY,0)),0)),""))</f>
        <v>0.0588235294117647</v>
      </c>
      <c r="V138" s="74">
        <f>IF(O138="","",IFERROR(INDEX(LMH_PTS,MATCH(O138,LMH_KEY,0))/SUM(IFERROR(INDEX(LMH_PTS,MATCH(J138,LMH_KEY,0)),0),IFERROR(INDEX(LMH_PTS,MATCH(K138,LMH_KEY,0)),0),IFERROR(INDEX(LMH_PTS,MATCH(L138,LMH_KEY,0)),0),IFERROR(INDEX(LMH_PTS,MATCH(M138,LMH_KEY,0)),0),IFERROR(INDEX(LMH_PTS,MATCH(N138,LMH_KEY,0)),0),IFERROR(INDEX(LMH_PTS,MATCH(O138,LMH_KEY,0)),0),IFERROR(INDEX(LMH_PTS,MATCH(P138,LMH_KEY,0)),0)),""))</f>
        <v>0.0588235294117647</v>
      </c>
      <c r="W138" s="74">
        <f>IF(P138="","",IFERROR(INDEX(LMH_PTS,MATCH(P138,LMH_KEY,0))/SUM(IFERROR(INDEX(LMH_PTS,MATCH(J138,LMH_KEY,0)),0),IFERROR(INDEX(LMH_PTS,MATCH(K138,LMH_KEY,0)),0),IFERROR(INDEX(LMH_PTS,MATCH(L138,LMH_KEY,0)),0),IFERROR(INDEX(LMH_PTS,MATCH(M138,LMH_KEY,0)),0),IFERROR(INDEX(LMH_PTS,MATCH(N138,LMH_KEY,0)),0),IFERROR(INDEX(LMH_PTS,MATCH(O138,LMH_KEY,0)),0),IFERROR(INDEX(LMH_PTS,MATCH(P138,LMH_KEY,0)),0)),""))</f>
        <v>0.0588235294117647</v>
      </c>
      <c r="X138" s="44" t="n"/>
      <c r="Y138" s="38" t="inlineStr">
        <is>
          <t>CARBON|Technology|AI/ML Engineer|A2|A</t>
        </is>
      </c>
    </row>
    <row r="139" ht="18" customHeight="1">
      <c r="A139" s="28" t="inlineStr">
        <is>
          <t>CARBON</t>
        </is>
      </c>
      <c r="B139" s="29" t="inlineStr">
        <is>
          <t>Technology</t>
        </is>
      </c>
      <c r="C139" s="75" t="inlineStr">
        <is>
          <t>A2</t>
        </is>
      </c>
      <c r="D139" s="29" t="inlineStr">
        <is>
          <t>Band A · Practitioner</t>
        </is>
      </c>
      <c r="E139" s="29" t="inlineStr">
        <is>
          <t>Business Analyst</t>
        </is>
      </c>
      <c r="F139" s="29" t="inlineStr">
        <is>
          <t>Band A · all tracks</t>
        </is>
      </c>
      <c r="G139" s="29" t="inlineStr">
        <is>
          <t>Business Analysis</t>
        </is>
      </c>
      <c r="H139" s="29" t="n">
        <v>1</v>
      </c>
      <c r="I139" s="29" t="inlineStr">
        <is>
          <t>Saniya Baxi</t>
        </is>
      </c>
      <c r="J139" s="34" t="str">
        <f>IFERROR(INDEX(RBD_C,MATCH("Business Analysis|A2|A",RBD_KEY,0)),"M")</f>
        <v>H</v>
      </c>
      <c r="K139" s="35" t="str">
        <f>IFERROR(INDEX(RBD_Au,MATCH("Business Analysis|A2|A",RBD_KEY,0)),"M")</f>
        <v>M</v>
      </c>
      <c r="L139" s="35" t="str">
        <f>IFERROR(INDEX(RBD_Ac,MATCH("Business Analysis|A2|A",RBD_KEY,0)),"M")</f>
        <v>L</v>
      </c>
      <c r="M139" s="35" t="str">
        <f>IFERROR(INDEX(RBD_L,MATCH("Business Analysis|A2|A",RBD_KEY,0)),"M")</f>
        <v>L</v>
      </c>
      <c r="N139" s="35" t="str">
        <f>IFERROR(INDEX(RBD_BI,MATCH("Business Analysis|A2|A",RBD_KEY,0)),"M")</f>
        <v>L</v>
      </c>
      <c r="O139" s="35" t="str">
        <f>IFERROR(INDEX(RBD_Exp,MATCH("Business Analysis|A2|A",RBD_KEY,0)),"M")</f>
        <v>L</v>
      </c>
      <c r="P139" s="35" t="str">
        <f>IFERROR(INDEX(RBD_Edu,MATCH("Business Analysis|A2|A",RBD_KEY,0)),"M")</f>
        <v>L</v>
      </c>
      <c r="Q139" s="73">
        <f>IF(J139="","",IFERROR(INDEX(LMH_PTS,MATCH(J139,LMH_KEY,0))/SUM(IFERROR(INDEX(LMH_PTS,MATCH(J139,LMH_KEY,0)),0),IFERROR(INDEX(LMH_PTS,MATCH(K139,LMH_KEY,0)),0),IFERROR(INDEX(LMH_PTS,MATCH(L139,LMH_KEY,0)),0),IFERROR(INDEX(LMH_PTS,MATCH(M139,LMH_KEY,0)),0),IFERROR(INDEX(LMH_PTS,MATCH(N139,LMH_KEY,0)),0),IFERROR(INDEX(LMH_PTS,MATCH(O139,LMH_KEY,0)),0),IFERROR(INDEX(LMH_PTS,MATCH(P139,LMH_KEY,0)),0)),""))</f>
        <v>0.529411764705882</v>
      </c>
      <c r="R139" s="74">
        <f>IF(K139="","",IFERROR(INDEX(LMH_PTS,MATCH(K139,LMH_KEY,0))/SUM(IFERROR(INDEX(LMH_PTS,MATCH(J139,LMH_KEY,0)),0),IFERROR(INDEX(LMH_PTS,MATCH(K139,LMH_KEY,0)),0),IFERROR(INDEX(LMH_PTS,MATCH(L139,LMH_KEY,0)),0),IFERROR(INDEX(LMH_PTS,MATCH(M139,LMH_KEY,0)),0),IFERROR(INDEX(LMH_PTS,MATCH(N139,LMH_KEY,0)),0),IFERROR(INDEX(LMH_PTS,MATCH(O139,LMH_KEY,0)),0),IFERROR(INDEX(LMH_PTS,MATCH(P139,LMH_KEY,0)),0)),""))</f>
        <v>0.176470588235294</v>
      </c>
      <c r="S139" s="74">
        <f>IF(L139="","",IFERROR(INDEX(LMH_PTS,MATCH(L139,LMH_KEY,0))/SUM(IFERROR(INDEX(LMH_PTS,MATCH(J139,LMH_KEY,0)),0),IFERROR(INDEX(LMH_PTS,MATCH(K139,LMH_KEY,0)),0),IFERROR(INDEX(LMH_PTS,MATCH(L139,LMH_KEY,0)),0),IFERROR(INDEX(LMH_PTS,MATCH(M139,LMH_KEY,0)),0),IFERROR(INDEX(LMH_PTS,MATCH(N139,LMH_KEY,0)),0),IFERROR(INDEX(LMH_PTS,MATCH(O139,LMH_KEY,0)),0),IFERROR(INDEX(LMH_PTS,MATCH(P139,LMH_KEY,0)),0)),""))</f>
        <v>0.0588235294117647</v>
      </c>
      <c r="T139" s="74">
        <f>IF(M139="","",IFERROR(INDEX(LMH_PTS,MATCH(M139,LMH_KEY,0))/SUM(IFERROR(INDEX(LMH_PTS,MATCH(J139,LMH_KEY,0)),0),IFERROR(INDEX(LMH_PTS,MATCH(K139,LMH_KEY,0)),0),IFERROR(INDEX(LMH_PTS,MATCH(L139,LMH_KEY,0)),0),IFERROR(INDEX(LMH_PTS,MATCH(M139,LMH_KEY,0)),0),IFERROR(INDEX(LMH_PTS,MATCH(N139,LMH_KEY,0)),0),IFERROR(INDEX(LMH_PTS,MATCH(O139,LMH_KEY,0)),0),IFERROR(INDEX(LMH_PTS,MATCH(P139,LMH_KEY,0)),0)),""))</f>
        <v>0.0588235294117647</v>
      </c>
      <c r="U139" s="74">
        <f>IF(N139="","",IFERROR(INDEX(LMH_PTS,MATCH(N139,LMH_KEY,0))/SUM(IFERROR(INDEX(LMH_PTS,MATCH(J139,LMH_KEY,0)),0),IFERROR(INDEX(LMH_PTS,MATCH(K139,LMH_KEY,0)),0),IFERROR(INDEX(LMH_PTS,MATCH(L139,LMH_KEY,0)),0),IFERROR(INDEX(LMH_PTS,MATCH(M139,LMH_KEY,0)),0),IFERROR(INDEX(LMH_PTS,MATCH(N139,LMH_KEY,0)),0),IFERROR(INDEX(LMH_PTS,MATCH(O139,LMH_KEY,0)),0),IFERROR(INDEX(LMH_PTS,MATCH(P139,LMH_KEY,0)),0)),""))</f>
        <v>0.0588235294117647</v>
      </c>
      <c r="V139" s="74">
        <f>IF(O139="","",IFERROR(INDEX(LMH_PTS,MATCH(O139,LMH_KEY,0))/SUM(IFERROR(INDEX(LMH_PTS,MATCH(J139,LMH_KEY,0)),0),IFERROR(INDEX(LMH_PTS,MATCH(K139,LMH_KEY,0)),0),IFERROR(INDEX(LMH_PTS,MATCH(L139,LMH_KEY,0)),0),IFERROR(INDEX(LMH_PTS,MATCH(M139,LMH_KEY,0)),0),IFERROR(INDEX(LMH_PTS,MATCH(N139,LMH_KEY,0)),0),IFERROR(INDEX(LMH_PTS,MATCH(O139,LMH_KEY,0)),0),IFERROR(INDEX(LMH_PTS,MATCH(P139,LMH_KEY,0)),0)),""))</f>
        <v>0.0588235294117647</v>
      </c>
      <c r="W139" s="74">
        <f>IF(P139="","",IFERROR(INDEX(LMH_PTS,MATCH(P139,LMH_KEY,0))/SUM(IFERROR(INDEX(LMH_PTS,MATCH(J139,LMH_KEY,0)),0),IFERROR(INDEX(LMH_PTS,MATCH(K139,LMH_KEY,0)),0),IFERROR(INDEX(LMH_PTS,MATCH(L139,LMH_KEY,0)),0),IFERROR(INDEX(LMH_PTS,MATCH(M139,LMH_KEY,0)),0),IFERROR(INDEX(LMH_PTS,MATCH(N139,LMH_KEY,0)),0),IFERROR(INDEX(LMH_PTS,MATCH(O139,LMH_KEY,0)),0),IFERROR(INDEX(LMH_PTS,MATCH(P139,LMH_KEY,0)),0)),""))</f>
        <v>0.0588235294117647</v>
      </c>
      <c r="X139" s="44" t="n"/>
      <c r="Y139" s="38" t="inlineStr">
        <is>
          <t>CARBON|Technology|Business Analyst|A2|A</t>
        </is>
      </c>
    </row>
    <row r="140" ht="18" customHeight="1">
      <c r="A140" s="28" t="inlineStr">
        <is>
          <t>CARBON</t>
        </is>
      </c>
      <c r="B140" s="29" t="inlineStr">
        <is>
          <t>Technology</t>
        </is>
      </c>
      <c r="C140" s="75" t="inlineStr">
        <is>
          <t>A2</t>
        </is>
      </c>
      <c r="D140" s="29" t="inlineStr">
        <is>
          <t>Band A · Practitioner</t>
        </is>
      </c>
      <c r="E140" s="29" t="inlineStr">
        <is>
          <t>Senior Software Engineer</t>
        </is>
      </c>
      <c r="F140" s="29" t="inlineStr">
        <is>
          <t>Band A · all tracks</t>
        </is>
      </c>
      <c r="G140" s="29" t="inlineStr">
        <is>
          <t>Engineering &amp; Development</t>
        </is>
      </c>
      <c r="H140" s="29" t="n">
        <v>2</v>
      </c>
      <c r="I140" s="29" t="inlineStr">
        <is>
          <t>Kuldip D Shah, Bansi Amipara</t>
        </is>
      </c>
      <c r="J140" s="34" t="str">
        <f>IFERROR(INDEX(RBD_C,MATCH("Engineering &amp; Development|A2|A",RBD_KEY,0)),"M")</f>
        <v>H</v>
      </c>
      <c r="K140" s="35" t="str">
        <f>IFERROR(INDEX(RBD_Au,MATCH("Engineering &amp; Development|A2|A",RBD_KEY,0)),"M")</f>
        <v>M</v>
      </c>
      <c r="L140" s="35" t="str">
        <f>IFERROR(INDEX(RBD_Ac,MATCH("Engineering &amp; Development|A2|A",RBD_KEY,0)),"M")</f>
        <v>L</v>
      </c>
      <c r="M140" s="35" t="str">
        <f>IFERROR(INDEX(RBD_L,MATCH("Engineering &amp; Development|A2|A",RBD_KEY,0)),"M")</f>
        <v>L</v>
      </c>
      <c r="N140" s="35" t="str">
        <f>IFERROR(INDEX(RBD_BI,MATCH("Engineering &amp; Development|A2|A",RBD_KEY,0)),"M")</f>
        <v>L</v>
      </c>
      <c r="O140" s="35" t="str">
        <f>IFERROR(INDEX(RBD_Exp,MATCH("Engineering &amp; Development|A2|A",RBD_KEY,0)),"M")</f>
        <v>L</v>
      </c>
      <c r="P140" s="35" t="str">
        <f>IFERROR(INDEX(RBD_Edu,MATCH("Engineering &amp; Development|A2|A",RBD_KEY,0)),"M")</f>
        <v>L</v>
      </c>
      <c r="Q140" s="73">
        <f>IF(J140="","",IFERROR(INDEX(LMH_PTS,MATCH(J140,LMH_KEY,0))/SUM(IFERROR(INDEX(LMH_PTS,MATCH(J140,LMH_KEY,0)),0),IFERROR(INDEX(LMH_PTS,MATCH(K140,LMH_KEY,0)),0),IFERROR(INDEX(LMH_PTS,MATCH(L140,LMH_KEY,0)),0),IFERROR(INDEX(LMH_PTS,MATCH(M140,LMH_KEY,0)),0),IFERROR(INDEX(LMH_PTS,MATCH(N140,LMH_KEY,0)),0),IFERROR(INDEX(LMH_PTS,MATCH(O140,LMH_KEY,0)),0),IFERROR(INDEX(LMH_PTS,MATCH(P140,LMH_KEY,0)),0)),""))</f>
        <v>0.529411764705882</v>
      </c>
      <c r="R140" s="74">
        <f>IF(K140="","",IFERROR(INDEX(LMH_PTS,MATCH(K140,LMH_KEY,0))/SUM(IFERROR(INDEX(LMH_PTS,MATCH(J140,LMH_KEY,0)),0),IFERROR(INDEX(LMH_PTS,MATCH(K140,LMH_KEY,0)),0),IFERROR(INDEX(LMH_PTS,MATCH(L140,LMH_KEY,0)),0),IFERROR(INDEX(LMH_PTS,MATCH(M140,LMH_KEY,0)),0),IFERROR(INDEX(LMH_PTS,MATCH(N140,LMH_KEY,0)),0),IFERROR(INDEX(LMH_PTS,MATCH(O140,LMH_KEY,0)),0),IFERROR(INDEX(LMH_PTS,MATCH(P140,LMH_KEY,0)),0)),""))</f>
        <v>0.176470588235294</v>
      </c>
      <c r="S140" s="74">
        <f>IF(L140="","",IFERROR(INDEX(LMH_PTS,MATCH(L140,LMH_KEY,0))/SUM(IFERROR(INDEX(LMH_PTS,MATCH(J140,LMH_KEY,0)),0),IFERROR(INDEX(LMH_PTS,MATCH(K140,LMH_KEY,0)),0),IFERROR(INDEX(LMH_PTS,MATCH(L140,LMH_KEY,0)),0),IFERROR(INDEX(LMH_PTS,MATCH(M140,LMH_KEY,0)),0),IFERROR(INDEX(LMH_PTS,MATCH(N140,LMH_KEY,0)),0),IFERROR(INDEX(LMH_PTS,MATCH(O140,LMH_KEY,0)),0),IFERROR(INDEX(LMH_PTS,MATCH(P140,LMH_KEY,0)),0)),""))</f>
        <v>0.0588235294117647</v>
      </c>
      <c r="T140" s="74">
        <f>IF(M140="","",IFERROR(INDEX(LMH_PTS,MATCH(M140,LMH_KEY,0))/SUM(IFERROR(INDEX(LMH_PTS,MATCH(J140,LMH_KEY,0)),0),IFERROR(INDEX(LMH_PTS,MATCH(K140,LMH_KEY,0)),0),IFERROR(INDEX(LMH_PTS,MATCH(L140,LMH_KEY,0)),0),IFERROR(INDEX(LMH_PTS,MATCH(M140,LMH_KEY,0)),0),IFERROR(INDEX(LMH_PTS,MATCH(N140,LMH_KEY,0)),0),IFERROR(INDEX(LMH_PTS,MATCH(O140,LMH_KEY,0)),0),IFERROR(INDEX(LMH_PTS,MATCH(P140,LMH_KEY,0)),0)),""))</f>
        <v>0.0588235294117647</v>
      </c>
      <c r="U140" s="74">
        <f>IF(N140="","",IFERROR(INDEX(LMH_PTS,MATCH(N140,LMH_KEY,0))/SUM(IFERROR(INDEX(LMH_PTS,MATCH(J140,LMH_KEY,0)),0),IFERROR(INDEX(LMH_PTS,MATCH(K140,LMH_KEY,0)),0),IFERROR(INDEX(LMH_PTS,MATCH(L140,LMH_KEY,0)),0),IFERROR(INDEX(LMH_PTS,MATCH(M140,LMH_KEY,0)),0),IFERROR(INDEX(LMH_PTS,MATCH(N140,LMH_KEY,0)),0),IFERROR(INDEX(LMH_PTS,MATCH(O140,LMH_KEY,0)),0),IFERROR(INDEX(LMH_PTS,MATCH(P140,LMH_KEY,0)),0)),""))</f>
        <v>0.0588235294117647</v>
      </c>
      <c r="V140" s="74">
        <f>IF(O140="","",IFERROR(INDEX(LMH_PTS,MATCH(O140,LMH_KEY,0))/SUM(IFERROR(INDEX(LMH_PTS,MATCH(J140,LMH_KEY,0)),0),IFERROR(INDEX(LMH_PTS,MATCH(K140,LMH_KEY,0)),0),IFERROR(INDEX(LMH_PTS,MATCH(L140,LMH_KEY,0)),0),IFERROR(INDEX(LMH_PTS,MATCH(M140,LMH_KEY,0)),0),IFERROR(INDEX(LMH_PTS,MATCH(N140,LMH_KEY,0)),0),IFERROR(INDEX(LMH_PTS,MATCH(O140,LMH_KEY,0)),0),IFERROR(INDEX(LMH_PTS,MATCH(P140,LMH_KEY,0)),0)),""))</f>
        <v>0.0588235294117647</v>
      </c>
      <c r="W140" s="74">
        <f>IF(P140="","",IFERROR(INDEX(LMH_PTS,MATCH(P140,LMH_KEY,0))/SUM(IFERROR(INDEX(LMH_PTS,MATCH(J140,LMH_KEY,0)),0),IFERROR(INDEX(LMH_PTS,MATCH(K140,LMH_KEY,0)),0),IFERROR(INDEX(LMH_PTS,MATCH(L140,LMH_KEY,0)),0),IFERROR(INDEX(LMH_PTS,MATCH(M140,LMH_KEY,0)),0),IFERROR(INDEX(LMH_PTS,MATCH(N140,LMH_KEY,0)),0),IFERROR(INDEX(LMH_PTS,MATCH(O140,LMH_KEY,0)),0),IFERROR(INDEX(LMH_PTS,MATCH(P140,LMH_KEY,0)),0)),""))</f>
        <v>0.0588235294117647</v>
      </c>
      <c r="X140" s="44" t="n"/>
      <c r="Y140" s="38" t="inlineStr">
        <is>
          <t>CARBON|Technology|Senior Software Engineer|A2|A</t>
        </is>
      </c>
    </row>
    <row r="141" ht="18" customHeight="1">
      <c r="A141" s="28" t="inlineStr">
        <is>
          <t>CARBON</t>
        </is>
      </c>
      <c r="B141" s="29" t="inlineStr">
        <is>
          <t>Technology</t>
        </is>
      </c>
      <c r="C141" s="75" t="inlineStr">
        <is>
          <t>A2</t>
        </is>
      </c>
      <c r="D141" s="29" t="inlineStr">
        <is>
          <t>Band A · Practitioner</t>
        </is>
      </c>
      <c r="E141" s="29" t="inlineStr">
        <is>
          <t>Senior UI Developer</t>
        </is>
      </c>
      <c r="F141" s="29" t="inlineStr">
        <is>
          <t>Band A · all tracks</t>
        </is>
      </c>
      <c r="G141" s="29" t="inlineStr">
        <is>
          <t>Engineering &amp; Development</t>
        </is>
      </c>
      <c r="H141" s="29" t="n">
        <v>1</v>
      </c>
      <c r="I141" s="29" t="inlineStr">
        <is>
          <t>Rushali Patel</t>
        </is>
      </c>
      <c r="J141" s="34" t="str">
        <f>IFERROR(INDEX(RBD_C,MATCH("Engineering &amp; Development|A2|A",RBD_KEY,0)),"M")</f>
        <v>H</v>
      </c>
      <c r="K141" s="35" t="str">
        <f>IFERROR(INDEX(RBD_Au,MATCH("Engineering &amp; Development|A2|A",RBD_KEY,0)),"M")</f>
        <v>M</v>
      </c>
      <c r="L141" s="35" t="str">
        <f>IFERROR(INDEX(RBD_Ac,MATCH("Engineering &amp; Development|A2|A",RBD_KEY,0)),"M")</f>
        <v>L</v>
      </c>
      <c r="M141" s="35" t="str">
        <f>IFERROR(INDEX(RBD_L,MATCH("Engineering &amp; Development|A2|A",RBD_KEY,0)),"M")</f>
        <v>L</v>
      </c>
      <c r="N141" s="35" t="str">
        <f>IFERROR(INDEX(RBD_BI,MATCH("Engineering &amp; Development|A2|A",RBD_KEY,0)),"M")</f>
        <v>L</v>
      </c>
      <c r="O141" s="35" t="str">
        <f>IFERROR(INDEX(RBD_Exp,MATCH("Engineering &amp; Development|A2|A",RBD_KEY,0)),"M")</f>
        <v>L</v>
      </c>
      <c r="P141" s="35" t="str">
        <f>IFERROR(INDEX(RBD_Edu,MATCH("Engineering &amp; Development|A2|A",RBD_KEY,0)),"M")</f>
        <v>L</v>
      </c>
      <c r="Q141" s="73">
        <f>IF(J141="","",IFERROR(INDEX(LMH_PTS,MATCH(J141,LMH_KEY,0))/SUM(IFERROR(INDEX(LMH_PTS,MATCH(J141,LMH_KEY,0)),0),IFERROR(INDEX(LMH_PTS,MATCH(K141,LMH_KEY,0)),0),IFERROR(INDEX(LMH_PTS,MATCH(L141,LMH_KEY,0)),0),IFERROR(INDEX(LMH_PTS,MATCH(M141,LMH_KEY,0)),0),IFERROR(INDEX(LMH_PTS,MATCH(N141,LMH_KEY,0)),0),IFERROR(INDEX(LMH_PTS,MATCH(O141,LMH_KEY,0)),0),IFERROR(INDEX(LMH_PTS,MATCH(P141,LMH_KEY,0)),0)),""))</f>
        <v>0.529411764705882</v>
      </c>
      <c r="R141" s="74">
        <f>IF(K141="","",IFERROR(INDEX(LMH_PTS,MATCH(K141,LMH_KEY,0))/SUM(IFERROR(INDEX(LMH_PTS,MATCH(J141,LMH_KEY,0)),0),IFERROR(INDEX(LMH_PTS,MATCH(K141,LMH_KEY,0)),0),IFERROR(INDEX(LMH_PTS,MATCH(L141,LMH_KEY,0)),0),IFERROR(INDEX(LMH_PTS,MATCH(M141,LMH_KEY,0)),0),IFERROR(INDEX(LMH_PTS,MATCH(N141,LMH_KEY,0)),0),IFERROR(INDEX(LMH_PTS,MATCH(O141,LMH_KEY,0)),0),IFERROR(INDEX(LMH_PTS,MATCH(P141,LMH_KEY,0)),0)),""))</f>
        <v>0.176470588235294</v>
      </c>
      <c r="S141" s="74">
        <f>IF(L141="","",IFERROR(INDEX(LMH_PTS,MATCH(L141,LMH_KEY,0))/SUM(IFERROR(INDEX(LMH_PTS,MATCH(J141,LMH_KEY,0)),0),IFERROR(INDEX(LMH_PTS,MATCH(K141,LMH_KEY,0)),0),IFERROR(INDEX(LMH_PTS,MATCH(L141,LMH_KEY,0)),0),IFERROR(INDEX(LMH_PTS,MATCH(M141,LMH_KEY,0)),0),IFERROR(INDEX(LMH_PTS,MATCH(N141,LMH_KEY,0)),0),IFERROR(INDEX(LMH_PTS,MATCH(O141,LMH_KEY,0)),0),IFERROR(INDEX(LMH_PTS,MATCH(P141,LMH_KEY,0)),0)),""))</f>
        <v>0.0588235294117647</v>
      </c>
      <c r="T141" s="74">
        <f>IF(M141="","",IFERROR(INDEX(LMH_PTS,MATCH(M141,LMH_KEY,0))/SUM(IFERROR(INDEX(LMH_PTS,MATCH(J141,LMH_KEY,0)),0),IFERROR(INDEX(LMH_PTS,MATCH(K141,LMH_KEY,0)),0),IFERROR(INDEX(LMH_PTS,MATCH(L141,LMH_KEY,0)),0),IFERROR(INDEX(LMH_PTS,MATCH(M141,LMH_KEY,0)),0),IFERROR(INDEX(LMH_PTS,MATCH(N141,LMH_KEY,0)),0),IFERROR(INDEX(LMH_PTS,MATCH(O141,LMH_KEY,0)),0),IFERROR(INDEX(LMH_PTS,MATCH(P141,LMH_KEY,0)),0)),""))</f>
        <v>0.0588235294117647</v>
      </c>
      <c r="U141" s="74">
        <f>IF(N141="","",IFERROR(INDEX(LMH_PTS,MATCH(N141,LMH_KEY,0))/SUM(IFERROR(INDEX(LMH_PTS,MATCH(J141,LMH_KEY,0)),0),IFERROR(INDEX(LMH_PTS,MATCH(K141,LMH_KEY,0)),0),IFERROR(INDEX(LMH_PTS,MATCH(L141,LMH_KEY,0)),0),IFERROR(INDEX(LMH_PTS,MATCH(M141,LMH_KEY,0)),0),IFERROR(INDEX(LMH_PTS,MATCH(N141,LMH_KEY,0)),0),IFERROR(INDEX(LMH_PTS,MATCH(O141,LMH_KEY,0)),0),IFERROR(INDEX(LMH_PTS,MATCH(P141,LMH_KEY,0)),0)),""))</f>
        <v>0.0588235294117647</v>
      </c>
      <c r="V141" s="74">
        <f>IF(O141="","",IFERROR(INDEX(LMH_PTS,MATCH(O141,LMH_KEY,0))/SUM(IFERROR(INDEX(LMH_PTS,MATCH(J141,LMH_KEY,0)),0),IFERROR(INDEX(LMH_PTS,MATCH(K141,LMH_KEY,0)),0),IFERROR(INDEX(LMH_PTS,MATCH(L141,LMH_KEY,0)),0),IFERROR(INDEX(LMH_PTS,MATCH(M141,LMH_KEY,0)),0),IFERROR(INDEX(LMH_PTS,MATCH(N141,LMH_KEY,0)),0),IFERROR(INDEX(LMH_PTS,MATCH(O141,LMH_KEY,0)),0),IFERROR(INDEX(LMH_PTS,MATCH(P141,LMH_KEY,0)),0)),""))</f>
        <v>0.0588235294117647</v>
      </c>
      <c r="W141" s="74">
        <f>IF(P141="","",IFERROR(INDEX(LMH_PTS,MATCH(P141,LMH_KEY,0))/SUM(IFERROR(INDEX(LMH_PTS,MATCH(J141,LMH_KEY,0)),0),IFERROR(INDEX(LMH_PTS,MATCH(K141,LMH_KEY,0)),0),IFERROR(INDEX(LMH_PTS,MATCH(L141,LMH_KEY,0)),0),IFERROR(INDEX(LMH_PTS,MATCH(M141,LMH_KEY,0)),0),IFERROR(INDEX(LMH_PTS,MATCH(N141,LMH_KEY,0)),0),IFERROR(INDEX(LMH_PTS,MATCH(O141,LMH_KEY,0)),0),IFERROR(INDEX(LMH_PTS,MATCH(P141,LMH_KEY,0)),0)),""))</f>
        <v>0.0588235294117647</v>
      </c>
      <c r="X141" s="44" t="n"/>
      <c r="Y141" s="38" t="inlineStr">
        <is>
          <t>CARBON|Technology|Senior UI Developer|A2|A</t>
        </is>
      </c>
    </row>
    <row r="142" ht="18" customHeight="1">
      <c r="A142" s="28" t="inlineStr">
        <is>
          <t>CARBON</t>
        </is>
      </c>
      <c r="B142" s="29" t="inlineStr">
        <is>
          <t>Technology</t>
        </is>
      </c>
      <c r="C142" s="75" t="inlineStr">
        <is>
          <t>A2</t>
        </is>
      </c>
      <c r="D142" s="29" t="inlineStr">
        <is>
          <t>Band A · Practitioner</t>
        </is>
      </c>
      <c r="E142" s="29" t="inlineStr">
        <is>
          <t>Software Engineer</t>
        </is>
      </c>
      <c r="F142" s="29" t="inlineStr">
        <is>
          <t>Band A · all tracks</t>
        </is>
      </c>
      <c r="G142" s="29" t="inlineStr">
        <is>
          <t>Engineering &amp; Development</t>
        </is>
      </c>
      <c r="H142" s="29" t="n">
        <v>1</v>
      </c>
      <c r="I142" s="29" t="inlineStr">
        <is>
          <t>Meet Patel</t>
        </is>
      </c>
      <c r="J142" s="34" t="str">
        <f>IFERROR(INDEX(RBD_C,MATCH("Engineering &amp; Development|A2|A",RBD_KEY,0)),"M")</f>
        <v>H</v>
      </c>
      <c r="K142" s="35" t="str">
        <f>IFERROR(INDEX(RBD_Au,MATCH("Engineering &amp; Development|A2|A",RBD_KEY,0)),"M")</f>
        <v>M</v>
      </c>
      <c r="L142" s="35" t="str">
        <f>IFERROR(INDEX(RBD_Ac,MATCH("Engineering &amp; Development|A2|A",RBD_KEY,0)),"M")</f>
        <v>L</v>
      </c>
      <c r="M142" s="35" t="str">
        <f>IFERROR(INDEX(RBD_L,MATCH("Engineering &amp; Development|A2|A",RBD_KEY,0)),"M")</f>
        <v>L</v>
      </c>
      <c r="N142" s="35" t="str">
        <f>IFERROR(INDEX(RBD_BI,MATCH("Engineering &amp; Development|A2|A",RBD_KEY,0)),"M")</f>
        <v>L</v>
      </c>
      <c r="O142" s="35" t="str">
        <f>IFERROR(INDEX(RBD_Exp,MATCH("Engineering &amp; Development|A2|A",RBD_KEY,0)),"M")</f>
        <v>L</v>
      </c>
      <c r="P142" s="35" t="str">
        <f>IFERROR(INDEX(RBD_Edu,MATCH("Engineering &amp; Development|A2|A",RBD_KEY,0)),"M")</f>
        <v>L</v>
      </c>
      <c r="Q142" s="73">
        <f>IF(J142="","",IFERROR(INDEX(LMH_PTS,MATCH(J142,LMH_KEY,0))/SUM(IFERROR(INDEX(LMH_PTS,MATCH(J142,LMH_KEY,0)),0),IFERROR(INDEX(LMH_PTS,MATCH(K142,LMH_KEY,0)),0),IFERROR(INDEX(LMH_PTS,MATCH(L142,LMH_KEY,0)),0),IFERROR(INDEX(LMH_PTS,MATCH(M142,LMH_KEY,0)),0),IFERROR(INDEX(LMH_PTS,MATCH(N142,LMH_KEY,0)),0),IFERROR(INDEX(LMH_PTS,MATCH(O142,LMH_KEY,0)),0),IFERROR(INDEX(LMH_PTS,MATCH(P142,LMH_KEY,0)),0)),""))</f>
        <v>0.529411764705882</v>
      </c>
      <c r="R142" s="74">
        <f>IF(K142="","",IFERROR(INDEX(LMH_PTS,MATCH(K142,LMH_KEY,0))/SUM(IFERROR(INDEX(LMH_PTS,MATCH(J142,LMH_KEY,0)),0),IFERROR(INDEX(LMH_PTS,MATCH(K142,LMH_KEY,0)),0),IFERROR(INDEX(LMH_PTS,MATCH(L142,LMH_KEY,0)),0),IFERROR(INDEX(LMH_PTS,MATCH(M142,LMH_KEY,0)),0),IFERROR(INDEX(LMH_PTS,MATCH(N142,LMH_KEY,0)),0),IFERROR(INDEX(LMH_PTS,MATCH(O142,LMH_KEY,0)),0),IFERROR(INDEX(LMH_PTS,MATCH(P142,LMH_KEY,0)),0)),""))</f>
        <v>0.176470588235294</v>
      </c>
      <c r="S142" s="74">
        <f>IF(L142="","",IFERROR(INDEX(LMH_PTS,MATCH(L142,LMH_KEY,0))/SUM(IFERROR(INDEX(LMH_PTS,MATCH(J142,LMH_KEY,0)),0),IFERROR(INDEX(LMH_PTS,MATCH(K142,LMH_KEY,0)),0),IFERROR(INDEX(LMH_PTS,MATCH(L142,LMH_KEY,0)),0),IFERROR(INDEX(LMH_PTS,MATCH(M142,LMH_KEY,0)),0),IFERROR(INDEX(LMH_PTS,MATCH(N142,LMH_KEY,0)),0),IFERROR(INDEX(LMH_PTS,MATCH(O142,LMH_KEY,0)),0),IFERROR(INDEX(LMH_PTS,MATCH(P142,LMH_KEY,0)),0)),""))</f>
        <v>0.0588235294117647</v>
      </c>
      <c r="T142" s="74">
        <f>IF(M142="","",IFERROR(INDEX(LMH_PTS,MATCH(M142,LMH_KEY,0))/SUM(IFERROR(INDEX(LMH_PTS,MATCH(J142,LMH_KEY,0)),0),IFERROR(INDEX(LMH_PTS,MATCH(K142,LMH_KEY,0)),0),IFERROR(INDEX(LMH_PTS,MATCH(L142,LMH_KEY,0)),0),IFERROR(INDEX(LMH_PTS,MATCH(M142,LMH_KEY,0)),0),IFERROR(INDEX(LMH_PTS,MATCH(N142,LMH_KEY,0)),0),IFERROR(INDEX(LMH_PTS,MATCH(O142,LMH_KEY,0)),0),IFERROR(INDEX(LMH_PTS,MATCH(P142,LMH_KEY,0)),0)),""))</f>
        <v>0.0588235294117647</v>
      </c>
      <c r="U142" s="74">
        <f>IF(N142="","",IFERROR(INDEX(LMH_PTS,MATCH(N142,LMH_KEY,0))/SUM(IFERROR(INDEX(LMH_PTS,MATCH(J142,LMH_KEY,0)),0),IFERROR(INDEX(LMH_PTS,MATCH(K142,LMH_KEY,0)),0),IFERROR(INDEX(LMH_PTS,MATCH(L142,LMH_KEY,0)),0),IFERROR(INDEX(LMH_PTS,MATCH(M142,LMH_KEY,0)),0),IFERROR(INDEX(LMH_PTS,MATCH(N142,LMH_KEY,0)),0),IFERROR(INDEX(LMH_PTS,MATCH(O142,LMH_KEY,0)),0),IFERROR(INDEX(LMH_PTS,MATCH(P142,LMH_KEY,0)),0)),""))</f>
        <v>0.0588235294117647</v>
      </c>
      <c r="V142" s="74">
        <f>IF(O142="","",IFERROR(INDEX(LMH_PTS,MATCH(O142,LMH_KEY,0))/SUM(IFERROR(INDEX(LMH_PTS,MATCH(J142,LMH_KEY,0)),0),IFERROR(INDEX(LMH_PTS,MATCH(K142,LMH_KEY,0)),0),IFERROR(INDEX(LMH_PTS,MATCH(L142,LMH_KEY,0)),0),IFERROR(INDEX(LMH_PTS,MATCH(M142,LMH_KEY,0)),0),IFERROR(INDEX(LMH_PTS,MATCH(N142,LMH_KEY,0)),0),IFERROR(INDEX(LMH_PTS,MATCH(O142,LMH_KEY,0)),0),IFERROR(INDEX(LMH_PTS,MATCH(P142,LMH_KEY,0)),0)),""))</f>
        <v>0.0588235294117647</v>
      </c>
      <c r="W142" s="74">
        <f>IF(P142="","",IFERROR(INDEX(LMH_PTS,MATCH(P142,LMH_KEY,0))/SUM(IFERROR(INDEX(LMH_PTS,MATCH(J142,LMH_KEY,0)),0),IFERROR(INDEX(LMH_PTS,MATCH(K142,LMH_KEY,0)),0),IFERROR(INDEX(LMH_PTS,MATCH(L142,LMH_KEY,0)),0),IFERROR(INDEX(LMH_PTS,MATCH(M142,LMH_KEY,0)),0),IFERROR(INDEX(LMH_PTS,MATCH(N142,LMH_KEY,0)),0),IFERROR(INDEX(LMH_PTS,MATCH(O142,LMH_KEY,0)),0),IFERROR(INDEX(LMH_PTS,MATCH(P142,LMH_KEY,0)),0)),""))</f>
        <v>0.0588235294117647</v>
      </c>
      <c r="X142" s="44" t="n"/>
      <c r="Y142" s="38" t="inlineStr">
        <is>
          <t>CARBON|Technology|Software Engineer|A2|A</t>
        </is>
      </c>
    </row>
    <row r="143" ht="18" customHeight="1">
      <c r="A143" s="28" t="inlineStr">
        <is>
          <t>CARBON</t>
        </is>
      </c>
      <c r="B143" s="29" t="inlineStr">
        <is>
          <t>Technology</t>
        </is>
      </c>
      <c r="C143" s="75" t="inlineStr">
        <is>
          <t>A2</t>
        </is>
      </c>
      <c r="D143" s="29" t="inlineStr">
        <is>
          <t>Band A · Practitioner</t>
        </is>
      </c>
      <c r="E143" s="29" t="inlineStr">
        <is>
          <t>UI Developer</t>
        </is>
      </c>
      <c r="F143" s="29" t="inlineStr">
        <is>
          <t>Band A · all tracks</t>
        </is>
      </c>
      <c r="G143" s="29" t="inlineStr">
        <is>
          <t>Engineering &amp; Development</t>
        </is>
      </c>
      <c r="H143" s="29" t="n">
        <v>1</v>
      </c>
      <c r="I143" s="29" t="inlineStr">
        <is>
          <t>Ayushi Prajapati</t>
        </is>
      </c>
      <c r="J143" s="34" t="str">
        <f>IFERROR(INDEX(RBD_C,MATCH("Engineering &amp; Development|A2|A",RBD_KEY,0)),"M")</f>
        <v>H</v>
      </c>
      <c r="K143" s="35" t="str">
        <f>IFERROR(INDEX(RBD_Au,MATCH("Engineering &amp; Development|A2|A",RBD_KEY,0)),"M")</f>
        <v>M</v>
      </c>
      <c r="L143" s="35" t="str">
        <f>IFERROR(INDEX(RBD_Ac,MATCH("Engineering &amp; Development|A2|A",RBD_KEY,0)),"M")</f>
        <v>L</v>
      </c>
      <c r="M143" s="35" t="str">
        <f>IFERROR(INDEX(RBD_L,MATCH("Engineering &amp; Development|A2|A",RBD_KEY,0)),"M")</f>
        <v>L</v>
      </c>
      <c r="N143" s="35" t="str">
        <f>IFERROR(INDEX(RBD_BI,MATCH("Engineering &amp; Development|A2|A",RBD_KEY,0)),"M")</f>
        <v>L</v>
      </c>
      <c r="O143" s="35" t="str">
        <f>IFERROR(INDEX(RBD_Exp,MATCH("Engineering &amp; Development|A2|A",RBD_KEY,0)),"M")</f>
        <v>L</v>
      </c>
      <c r="P143" s="35" t="str">
        <f>IFERROR(INDEX(RBD_Edu,MATCH("Engineering &amp; Development|A2|A",RBD_KEY,0)),"M")</f>
        <v>L</v>
      </c>
      <c r="Q143" s="73">
        <f>IF(J143="","",IFERROR(INDEX(LMH_PTS,MATCH(J143,LMH_KEY,0))/SUM(IFERROR(INDEX(LMH_PTS,MATCH(J143,LMH_KEY,0)),0),IFERROR(INDEX(LMH_PTS,MATCH(K143,LMH_KEY,0)),0),IFERROR(INDEX(LMH_PTS,MATCH(L143,LMH_KEY,0)),0),IFERROR(INDEX(LMH_PTS,MATCH(M143,LMH_KEY,0)),0),IFERROR(INDEX(LMH_PTS,MATCH(N143,LMH_KEY,0)),0),IFERROR(INDEX(LMH_PTS,MATCH(O143,LMH_KEY,0)),0),IFERROR(INDEX(LMH_PTS,MATCH(P143,LMH_KEY,0)),0)),""))</f>
        <v>0.529411764705882</v>
      </c>
      <c r="R143" s="74">
        <f>IF(K143="","",IFERROR(INDEX(LMH_PTS,MATCH(K143,LMH_KEY,0))/SUM(IFERROR(INDEX(LMH_PTS,MATCH(J143,LMH_KEY,0)),0),IFERROR(INDEX(LMH_PTS,MATCH(K143,LMH_KEY,0)),0),IFERROR(INDEX(LMH_PTS,MATCH(L143,LMH_KEY,0)),0),IFERROR(INDEX(LMH_PTS,MATCH(M143,LMH_KEY,0)),0),IFERROR(INDEX(LMH_PTS,MATCH(N143,LMH_KEY,0)),0),IFERROR(INDEX(LMH_PTS,MATCH(O143,LMH_KEY,0)),0),IFERROR(INDEX(LMH_PTS,MATCH(P143,LMH_KEY,0)),0)),""))</f>
        <v>0.176470588235294</v>
      </c>
      <c r="S143" s="74">
        <f>IF(L143="","",IFERROR(INDEX(LMH_PTS,MATCH(L143,LMH_KEY,0))/SUM(IFERROR(INDEX(LMH_PTS,MATCH(J143,LMH_KEY,0)),0),IFERROR(INDEX(LMH_PTS,MATCH(K143,LMH_KEY,0)),0),IFERROR(INDEX(LMH_PTS,MATCH(L143,LMH_KEY,0)),0),IFERROR(INDEX(LMH_PTS,MATCH(M143,LMH_KEY,0)),0),IFERROR(INDEX(LMH_PTS,MATCH(N143,LMH_KEY,0)),0),IFERROR(INDEX(LMH_PTS,MATCH(O143,LMH_KEY,0)),0),IFERROR(INDEX(LMH_PTS,MATCH(P143,LMH_KEY,0)),0)),""))</f>
        <v>0.0588235294117647</v>
      </c>
      <c r="T143" s="74">
        <f>IF(M143="","",IFERROR(INDEX(LMH_PTS,MATCH(M143,LMH_KEY,0))/SUM(IFERROR(INDEX(LMH_PTS,MATCH(J143,LMH_KEY,0)),0),IFERROR(INDEX(LMH_PTS,MATCH(K143,LMH_KEY,0)),0),IFERROR(INDEX(LMH_PTS,MATCH(L143,LMH_KEY,0)),0),IFERROR(INDEX(LMH_PTS,MATCH(M143,LMH_KEY,0)),0),IFERROR(INDEX(LMH_PTS,MATCH(N143,LMH_KEY,0)),0),IFERROR(INDEX(LMH_PTS,MATCH(O143,LMH_KEY,0)),0),IFERROR(INDEX(LMH_PTS,MATCH(P143,LMH_KEY,0)),0)),""))</f>
        <v>0.0588235294117647</v>
      </c>
      <c r="U143" s="74">
        <f>IF(N143="","",IFERROR(INDEX(LMH_PTS,MATCH(N143,LMH_KEY,0))/SUM(IFERROR(INDEX(LMH_PTS,MATCH(J143,LMH_KEY,0)),0),IFERROR(INDEX(LMH_PTS,MATCH(K143,LMH_KEY,0)),0),IFERROR(INDEX(LMH_PTS,MATCH(L143,LMH_KEY,0)),0),IFERROR(INDEX(LMH_PTS,MATCH(M143,LMH_KEY,0)),0),IFERROR(INDEX(LMH_PTS,MATCH(N143,LMH_KEY,0)),0),IFERROR(INDEX(LMH_PTS,MATCH(O143,LMH_KEY,0)),0),IFERROR(INDEX(LMH_PTS,MATCH(P143,LMH_KEY,0)),0)),""))</f>
        <v>0.0588235294117647</v>
      </c>
      <c r="V143" s="74">
        <f>IF(O143="","",IFERROR(INDEX(LMH_PTS,MATCH(O143,LMH_KEY,0))/SUM(IFERROR(INDEX(LMH_PTS,MATCH(J143,LMH_KEY,0)),0),IFERROR(INDEX(LMH_PTS,MATCH(K143,LMH_KEY,0)),0),IFERROR(INDEX(LMH_PTS,MATCH(L143,LMH_KEY,0)),0),IFERROR(INDEX(LMH_PTS,MATCH(M143,LMH_KEY,0)),0),IFERROR(INDEX(LMH_PTS,MATCH(N143,LMH_KEY,0)),0),IFERROR(INDEX(LMH_PTS,MATCH(O143,LMH_KEY,0)),0),IFERROR(INDEX(LMH_PTS,MATCH(P143,LMH_KEY,0)),0)),""))</f>
        <v>0.0588235294117647</v>
      </c>
      <c r="W143" s="74">
        <f>IF(P143="","",IFERROR(INDEX(LMH_PTS,MATCH(P143,LMH_KEY,0))/SUM(IFERROR(INDEX(LMH_PTS,MATCH(J143,LMH_KEY,0)),0),IFERROR(INDEX(LMH_PTS,MATCH(K143,LMH_KEY,0)),0),IFERROR(INDEX(LMH_PTS,MATCH(L143,LMH_KEY,0)),0),IFERROR(INDEX(LMH_PTS,MATCH(M143,LMH_KEY,0)),0),IFERROR(INDEX(LMH_PTS,MATCH(N143,LMH_KEY,0)),0),IFERROR(INDEX(LMH_PTS,MATCH(O143,LMH_KEY,0)),0),IFERROR(INDEX(LMH_PTS,MATCH(P143,LMH_KEY,0)),0)),""))</f>
        <v>0.0588235294117647</v>
      </c>
      <c r="X143" s="44" t="n"/>
      <c r="Y143" s="38" t="inlineStr">
        <is>
          <t>CARBON|Technology|UI Developer|A2|A</t>
        </is>
      </c>
    </row>
    <row r="144" ht="18" customHeight="1">
      <c r="A144" s="28" t="inlineStr">
        <is>
          <t>CARBON</t>
        </is>
      </c>
      <c r="B144" s="29" t="inlineStr">
        <is>
          <t>Technology</t>
        </is>
      </c>
      <c r="C144" s="75" t="inlineStr">
        <is>
          <t>A1</t>
        </is>
      </c>
      <c r="D144" s="29" t="inlineStr">
        <is>
          <t>Band A · Practitioner</t>
        </is>
      </c>
      <c r="E144" s="29" t="inlineStr">
        <is>
          <t>Trainee Software Engineer</t>
        </is>
      </c>
      <c r="F144" s="29" t="inlineStr">
        <is>
          <t>Band A · all tracks</t>
        </is>
      </c>
      <c r="G144" s="29" t="inlineStr">
        <is>
          <t>Engineering &amp; Development</t>
        </is>
      </c>
      <c r="H144" s="29" t="n">
        <v>2</v>
      </c>
      <c r="I144" s="29" t="inlineStr">
        <is>
          <t>Soniya Paliwal, Ayush Sharma</t>
        </is>
      </c>
      <c r="J144" s="34" t="str">
        <f>IFERROR(INDEX(RBD_C,MATCH("Engineering &amp; Development|A1|A",RBD_KEY,0)),"M")</f>
        <v>H</v>
      </c>
      <c r="K144" s="35" t="str">
        <f>IFERROR(INDEX(RBD_Au,MATCH("Engineering &amp; Development|A1|A",RBD_KEY,0)),"M")</f>
        <v>M</v>
      </c>
      <c r="L144" s="35" t="str">
        <f>IFERROR(INDEX(RBD_Ac,MATCH("Engineering &amp; Development|A1|A",RBD_KEY,0)),"M")</f>
        <v>L</v>
      </c>
      <c r="M144" s="35" t="str">
        <f>IFERROR(INDEX(RBD_L,MATCH("Engineering &amp; Development|A1|A",RBD_KEY,0)),"M")</f>
        <v>L</v>
      </c>
      <c r="N144" s="35" t="str">
        <f>IFERROR(INDEX(RBD_BI,MATCH("Engineering &amp; Development|A1|A",RBD_KEY,0)),"M")</f>
        <v>L</v>
      </c>
      <c r="O144" s="35" t="str">
        <f>IFERROR(INDEX(RBD_Exp,MATCH("Engineering &amp; Development|A1|A",RBD_KEY,0)),"M")</f>
        <v>L</v>
      </c>
      <c r="P144" s="35" t="str">
        <f>IFERROR(INDEX(RBD_Edu,MATCH("Engineering &amp; Development|A1|A",RBD_KEY,0)),"M")</f>
        <v>L</v>
      </c>
      <c r="Q144" s="73">
        <f>IF(J144="","",IFERROR(INDEX(LMH_PTS,MATCH(J144,LMH_KEY,0))/SUM(IFERROR(INDEX(LMH_PTS,MATCH(J144,LMH_KEY,0)),0),IFERROR(INDEX(LMH_PTS,MATCH(K144,LMH_KEY,0)),0),IFERROR(INDEX(LMH_PTS,MATCH(L144,LMH_KEY,0)),0),IFERROR(INDEX(LMH_PTS,MATCH(M144,LMH_KEY,0)),0),IFERROR(INDEX(LMH_PTS,MATCH(N144,LMH_KEY,0)),0),IFERROR(INDEX(LMH_PTS,MATCH(O144,LMH_KEY,0)),0),IFERROR(INDEX(LMH_PTS,MATCH(P144,LMH_KEY,0)),0)),""))</f>
        <v>0.529411764705882</v>
      </c>
      <c r="R144" s="74">
        <f>IF(K144="","",IFERROR(INDEX(LMH_PTS,MATCH(K144,LMH_KEY,0))/SUM(IFERROR(INDEX(LMH_PTS,MATCH(J144,LMH_KEY,0)),0),IFERROR(INDEX(LMH_PTS,MATCH(K144,LMH_KEY,0)),0),IFERROR(INDEX(LMH_PTS,MATCH(L144,LMH_KEY,0)),0),IFERROR(INDEX(LMH_PTS,MATCH(M144,LMH_KEY,0)),0),IFERROR(INDEX(LMH_PTS,MATCH(N144,LMH_KEY,0)),0),IFERROR(INDEX(LMH_PTS,MATCH(O144,LMH_KEY,0)),0),IFERROR(INDEX(LMH_PTS,MATCH(P144,LMH_KEY,0)),0)),""))</f>
        <v>0.176470588235294</v>
      </c>
      <c r="S144" s="74">
        <f>IF(L144="","",IFERROR(INDEX(LMH_PTS,MATCH(L144,LMH_KEY,0))/SUM(IFERROR(INDEX(LMH_PTS,MATCH(J144,LMH_KEY,0)),0),IFERROR(INDEX(LMH_PTS,MATCH(K144,LMH_KEY,0)),0),IFERROR(INDEX(LMH_PTS,MATCH(L144,LMH_KEY,0)),0),IFERROR(INDEX(LMH_PTS,MATCH(M144,LMH_KEY,0)),0),IFERROR(INDEX(LMH_PTS,MATCH(N144,LMH_KEY,0)),0),IFERROR(INDEX(LMH_PTS,MATCH(O144,LMH_KEY,0)),0),IFERROR(INDEX(LMH_PTS,MATCH(P144,LMH_KEY,0)),0)),""))</f>
        <v>0.0588235294117647</v>
      </c>
      <c r="T144" s="74">
        <f>IF(M144="","",IFERROR(INDEX(LMH_PTS,MATCH(M144,LMH_KEY,0))/SUM(IFERROR(INDEX(LMH_PTS,MATCH(J144,LMH_KEY,0)),0),IFERROR(INDEX(LMH_PTS,MATCH(K144,LMH_KEY,0)),0),IFERROR(INDEX(LMH_PTS,MATCH(L144,LMH_KEY,0)),0),IFERROR(INDEX(LMH_PTS,MATCH(M144,LMH_KEY,0)),0),IFERROR(INDEX(LMH_PTS,MATCH(N144,LMH_KEY,0)),0),IFERROR(INDEX(LMH_PTS,MATCH(O144,LMH_KEY,0)),0),IFERROR(INDEX(LMH_PTS,MATCH(P144,LMH_KEY,0)),0)),""))</f>
        <v>0.0588235294117647</v>
      </c>
      <c r="U144" s="74">
        <f>IF(N144="","",IFERROR(INDEX(LMH_PTS,MATCH(N144,LMH_KEY,0))/SUM(IFERROR(INDEX(LMH_PTS,MATCH(J144,LMH_KEY,0)),0),IFERROR(INDEX(LMH_PTS,MATCH(K144,LMH_KEY,0)),0),IFERROR(INDEX(LMH_PTS,MATCH(L144,LMH_KEY,0)),0),IFERROR(INDEX(LMH_PTS,MATCH(M144,LMH_KEY,0)),0),IFERROR(INDEX(LMH_PTS,MATCH(N144,LMH_KEY,0)),0),IFERROR(INDEX(LMH_PTS,MATCH(O144,LMH_KEY,0)),0),IFERROR(INDEX(LMH_PTS,MATCH(P144,LMH_KEY,0)),0)),""))</f>
        <v>0.0588235294117647</v>
      </c>
      <c r="V144" s="74">
        <f>IF(O144="","",IFERROR(INDEX(LMH_PTS,MATCH(O144,LMH_KEY,0))/SUM(IFERROR(INDEX(LMH_PTS,MATCH(J144,LMH_KEY,0)),0),IFERROR(INDEX(LMH_PTS,MATCH(K144,LMH_KEY,0)),0),IFERROR(INDEX(LMH_PTS,MATCH(L144,LMH_KEY,0)),0),IFERROR(INDEX(LMH_PTS,MATCH(M144,LMH_KEY,0)),0),IFERROR(INDEX(LMH_PTS,MATCH(N144,LMH_KEY,0)),0),IFERROR(INDEX(LMH_PTS,MATCH(O144,LMH_KEY,0)),0),IFERROR(INDEX(LMH_PTS,MATCH(P144,LMH_KEY,0)),0)),""))</f>
        <v>0.0588235294117647</v>
      </c>
      <c r="W144" s="74">
        <f>IF(P144="","",IFERROR(INDEX(LMH_PTS,MATCH(P144,LMH_KEY,0))/SUM(IFERROR(INDEX(LMH_PTS,MATCH(J144,LMH_KEY,0)),0),IFERROR(INDEX(LMH_PTS,MATCH(K144,LMH_KEY,0)),0),IFERROR(INDEX(LMH_PTS,MATCH(L144,LMH_KEY,0)),0),IFERROR(INDEX(LMH_PTS,MATCH(M144,LMH_KEY,0)),0),IFERROR(INDEX(LMH_PTS,MATCH(N144,LMH_KEY,0)),0),IFERROR(INDEX(LMH_PTS,MATCH(O144,LMH_KEY,0)),0),IFERROR(INDEX(LMH_PTS,MATCH(P144,LMH_KEY,0)),0)),""))</f>
        <v>0.0588235294117647</v>
      </c>
      <c r="X144" s="44" t="n"/>
      <c r="Y144" s="38" t="inlineStr">
        <is>
          <t>CARBON|Technology|Trainee Software Engineer|A1|A</t>
        </is>
      </c>
    </row>
    <row r="145" ht="18" customHeight="1">
      <c r="A145" s="28" t="inlineStr">
        <is>
          <t>iFile</t>
        </is>
      </c>
      <c r="B145" s="71" t="inlineStr">
        <is>
          <t>Design</t>
        </is>
      </c>
      <c r="C145" s="72" t="inlineStr">
        <is>
          <t>B1</t>
        </is>
      </c>
      <c r="D145" s="29" t="inlineStr">
        <is>
          <t>Band B · Specialist / Manager</t>
        </is>
      </c>
      <c r="E145" s="29" t="inlineStr">
        <is>
          <t>UI Specialist – POD Lead</t>
        </is>
      </c>
      <c r="F145" s="29" t="inlineStr">
        <is>
          <t>Band B · Specialist / POD Lead</t>
        </is>
      </c>
      <c r="G145" s="29" t="inlineStr">
        <is>
          <t>Engineering &amp; Development</t>
        </is>
      </c>
      <c r="H145" s="29" t="n">
        <v>1</v>
      </c>
      <c r="I145" s="29" t="inlineStr">
        <is>
          <t>Rajeev Kumar</t>
        </is>
      </c>
      <c r="J145" s="34" t="str">
        <f>IFERROR(INDEX(RBD_C,MATCH("Engineering &amp; Development|B1|B-IC",RBD_KEY,0)),"M")</f>
        <v>H</v>
      </c>
      <c r="K145" s="35" t="str">
        <f>IFERROR(INDEX(RBD_Au,MATCH("Engineering &amp; Development|B1|B-IC",RBD_KEY,0)),"M")</f>
        <v>M</v>
      </c>
      <c r="L145" s="35" t="str">
        <f>IFERROR(INDEX(RBD_Ac,MATCH("Engineering &amp; Development|B1|B-IC",RBD_KEY,0)),"M")</f>
        <v>L</v>
      </c>
      <c r="M145" s="35" t="str">
        <f>IFERROR(INDEX(RBD_L,MATCH("Engineering &amp; Development|B1|B-IC",RBD_KEY,0)),"M")</f>
        <v>L</v>
      </c>
      <c r="N145" s="35" t="str">
        <f>IFERROR(INDEX(RBD_BI,MATCH("Engineering &amp; Development|B1|B-IC",RBD_KEY,0)),"M")</f>
        <v>L</v>
      </c>
      <c r="O145" s="35" t="str">
        <f>IFERROR(INDEX(RBD_Exp,MATCH("Engineering &amp; Development|B1|B-IC",RBD_KEY,0)),"M")</f>
        <v>L</v>
      </c>
      <c r="P145" s="35" t="str">
        <f>IFERROR(INDEX(RBD_Edu,MATCH("Engineering &amp; Development|B1|B-IC",RBD_KEY,0)),"M")</f>
        <v>L</v>
      </c>
      <c r="Q145" s="73">
        <f>IF(J145="","",IFERROR(INDEX(LMH_PTS,MATCH(J145,LMH_KEY,0))/SUM(IFERROR(INDEX(LMH_PTS,MATCH(J145,LMH_KEY,0)),0),IFERROR(INDEX(LMH_PTS,MATCH(K145,LMH_KEY,0)),0),IFERROR(INDEX(LMH_PTS,MATCH(L145,LMH_KEY,0)),0),IFERROR(INDEX(LMH_PTS,MATCH(M145,LMH_KEY,0)),0),IFERROR(INDEX(LMH_PTS,MATCH(N145,LMH_KEY,0)),0),IFERROR(INDEX(LMH_PTS,MATCH(O145,LMH_KEY,0)),0),IFERROR(INDEX(LMH_PTS,MATCH(P145,LMH_KEY,0)),0)),""))</f>
        <v>0.529411764705882</v>
      </c>
      <c r="R145" s="74">
        <f>IF(K145="","",IFERROR(INDEX(LMH_PTS,MATCH(K145,LMH_KEY,0))/SUM(IFERROR(INDEX(LMH_PTS,MATCH(J145,LMH_KEY,0)),0),IFERROR(INDEX(LMH_PTS,MATCH(K145,LMH_KEY,0)),0),IFERROR(INDEX(LMH_PTS,MATCH(L145,LMH_KEY,0)),0),IFERROR(INDEX(LMH_PTS,MATCH(M145,LMH_KEY,0)),0),IFERROR(INDEX(LMH_PTS,MATCH(N145,LMH_KEY,0)),0),IFERROR(INDEX(LMH_PTS,MATCH(O145,LMH_KEY,0)),0),IFERROR(INDEX(LMH_PTS,MATCH(P145,LMH_KEY,0)),0)),""))</f>
        <v>0.176470588235294</v>
      </c>
      <c r="S145" s="74">
        <f>IF(L145="","",IFERROR(INDEX(LMH_PTS,MATCH(L145,LMH_KEY,0))/SUM(IFERROR(INDEX(LMH_PTS,MATCH(J145,LMH_KEY,0)),0),IFERROR(INDEX(LMH_PTS,MATCH(K145,LMH_KEY,0)),0),IFERROR(INDEX(LMH_PTS,MATCH(L145,LMH_KEY,0)),0),IFERROR(INDEX(LMH_PTS,MATCH(M145,LMH_KEY,0)),0),IFERROR(INDEX(LMH_PTS,MATCH(N145,LMH_KEY,0)),0),IFERROR(INDEX(LMH_PTS,MATCH(O145,LMH_KEY,0)),0),IFERROR(INDEX(LMH_PTS,MATCH(P145,LMH_KEY,0)),0)),""))</f>
        <v>0.0588235294117647</v>
      </c>
      <c r="T145" s="74">
        <f>IF(M145="","",IFERROR(INDEX(LMH_PTS,MATCH(M145,LMH_KEY,0))/SUM(IFERROR(INDEX(LMH_PTS,MATCH(J145,LMH_KEY,0)),0),IFERROR(INDEX(LMH_PTS,MATCH(K145,LMH_KEY,0)),0),IFERROR(INDEX(LMH_PTS,MATCH(L145,LMH_KEY,0)),0),IFERROR(INDEX(LMH_PTS,MATCH(M145,LMH_KEY,0)),0),IFERROR(INDEX(LMH_PTS,MATCH(N145,LMH_KEY,0)),0),IFERROR(INDEX(LMH_PTS,MATCH(O145,LMH_KEY,0)),0),IFERROR(INDEX(LMH_PTS,MATCH(P145,LMH_KEY,0)),0)),""))</f>
        <v>0.0588235294117647</v>
      </c>
      <c r="U145" s="74">
        <f>IF(N145="","",IFERROR(INDEX(LMH_PTS,MATCH(N145,LMH_KEY,0))/SUM(IFERROR(INDEX(LMH_PTS,MATCH(J145,LMH_KEY,0)),0),IFERROR(INDEX(LMH_PTS,MATCH(K145,LMH_KEY,0)),0),IFERROR(INDEX(LMH_PTS,MATCH(L145,LMH_KEY,0)),0),IFERROR(INDEX(LMH_PTS,MATCH(M145,LMH_KEY,0)),0),IFERROR(INDEX(LMH_PTS,MATCH(N145,LMH_KEY,0)),0),IFERROR(INDEX(LMH_PTS,MATCH(O145,LMH_KEY,0)),0),IFERROR(INDEX(LMH_PTS,MATCH(P145,LMH_KEY,0)),0)),""))</f>
        <v>0.0588235294117647</v>
      </c>
      <c r="V145" s="74">
        <f>IF(O145="","",IFERROR(INDEX(LMH_PTS,MATCH(O145,LMH_KEY,0))/SUM(IFERROR(INDEX(LMH_PTS,MATCH(J145,LMH_KEY,0)),0),IFERROR(INDEX(LMH_PTS,MATCH(K145,LMH_KEY,0)),0),IFERROR(INDEX(LMH_PTS,MATCH(L145,LMH_KEY,0)),0),IFERROR(INDEX(LMH_PTS,MATCH(M145,LMH_KEY,0)),0),IFERROR(INDEX(LMH_PTS,MATCH(N145,LMH_KEY,0)),0),IFERROR(INDEX(LMH_PTS,MATCH(O145,LMH_KEY,0)),0),IFERROR(INDEX(LMH_PTS,MATCH(P145,LMH_KEY,0)),0)),""))</f>
        <v>0.0588235294117647</v>
      </c>
      <c r="W145" s="74">
        <f>IF(P145="","",IFERROR(INDEX(LMH_PTS,MATCH(P145,LMH_KEY,0))/SUM(IFERROR(INDEX(LMH_PTS,MATCH(J145,LMH_KEY,0)),0),IFERROR(INDEX(LMH_PTS,MATCH(K145,LMH_KEY,0)),0),IFERROR(INDEX(LMH_PTS,MATCH(L145,LMH_KEY,0)),0),IFERROR(INDEX(LMH_PTS,MATCH(M145,LMH_KEY,0)),0),IFERROR(INDEX(LMH_PTS,MATCH(N145,LMH_KEY,0)),0),IFERROR(INDEX(LMH_PTS,MATCH(O145,LMH_KEY,0)),0),IFERROR(INDEX(LMH_PTS,MATCH(P145,LMH_KEY,0)),0)),""))</f>
        <v>0.0588235294117647</v>
      </c>
      <c r="X145" s="44" t="n"/>
      <c r="Y145" s="38" t="inlineStr">
        <is>
          <t>iFile|Design|UI Specialist – POD Lead|B1|B-IC</t>
        </is>
      </c>
    </row>
    <row r="146" ht="18" customHeight="1">
      <c r="A146" s="28" t="inlineStr">
        <is>
          <t>iFile</t>
        </is>
      </c>
      <c r="B146" s="29" t="inlineStr">
        <is>
          <t>Design</t>
        </is>
      </c>
      <c r="C146" s="75" t="inlineStr">
        <is>
          <t>A3</t>
        </is>
      </c>
      <c r="D146" s="29" t="inlineStr">
        <is>
          <t>Band A · Practitioner</t>
        </is>
      </c>
      <c r="E146" s="29" t="inlineStr">
        <is>
          <t>Senior UI Developer</t>
        </is>
      </c>
      <c r="F146" s="29" t="inlineStr">
        <is>
          <t>Band A · all tracks</t>
        </is>
      </c>
      <c r="G146" s="29" t="inlineStr">
        <is>
          <t>Engineering &amp; Development</t>
        </is>
      </c>
      <c r="H146" s="29" t="n">
        <v>1</v>
      </c>
      <c r="I146" s="29" t="inlineStr">
        <is>
          <t>Kishori Rajigare</t>
        </is>
      </c>
      <c r="J146" s="34" t="str">
        <f>IFERROR(INDEX(RBD_C,MATCH("Engineering &amp; Development|A3|A",RBD_KEY,0)),"M")</f>
        <v>H</v>
      </c>
      <c r="K146" s="35" t="str">
        <f>IFERROR(INDEX(RBD_Au,MATCH("Engineering &amp; Development|A3|A",RBD_KEY,0)),"M")</f>
        <v>M</v>
      </c>
      <c r="L146" s="35" t="str">
        <f>IFERROR(INDEX(RBD_Ac,MATCH("Engineering &amp; Development|A3|A",RBD_KEY,0)),"M")</f>
        <v>L</v>
      </c>
      <c r="M146" s="35" t="str">
        <f>IFERROR(INDEX(RBD_L,MATCH("Engineering &amp; Development|A3|A",RBD_KEY,0)),"M")</f>
        <v>L</v>
      </c>
      <c r="N146" s="35" t="str">
        <f>IFERROR(INDEX(RBD_BI,MATCH("Engineering &amp; Development|A3|A",RBD_KEY,0)),"M")</f>
        <v>L</v>
      </c>
      <c r="O146" s="35" t="str">
        <f>IFERROR(INDEX(RBD_Exp,MATCH("Engineering &amp; Development|A3|A",RBD_KEY,0)),"M")</f>
        <v>L</v>
      </c>
      <c r="P146" s="35" t="str">
        <f>IFERROR(INDEX(RBD_Edu,MATCH("Engineering &amp; Development|A3|A",RBD_KEY,0)),"M")</f>
        <v>L</v>
      </c>
      <c r="Q146" s="73">
        <f>IF(J146="","",IFERROR(INDEX(LMH_PTS,MATCH(J146,LMH_KEY,0))/SUM(IFERROR(INDEX(LMH_PTS,MATCH(J146,LMH_KEY,0)),0),IFERROR(INDEX(LMH_PTS,MATCH(K146,LMH_KEY,0)),0),IFERROR(INDEX(LMH_PTS,MATCH(L146,LMH_KEY,0)),0),IFERROR(INDEX(LMH_PTS,MATCH(M146,LMH_KEY,0)),0),IFERROR(INDEX(LMH_PTS,MATCH(N146,LMH_KEY,0)),0),IFERROR(INDEX(LMH_PTS,MATCH(O146,LMH_KEY,0)),0),IFERROR(INDEX(LMH_PTS,MATCH(P146,LMH_KEY,0)),0)),""))</f>
        <v>0.529411764705882</v>
      </c>
      <c r="R146" s="74">
        <f>IF(K146="","",IFERROR(INDEX(LMH_PTS,MATCH(K146,LMH_KEY,0))/SUM(IFERROR(INDEX(LMH_PTS,MATCH(J146,LMH_KEY,0)),0),IFERROR(INDEX(LMH_PTS,MATCH(K146,LMH_KEY,0)),0),IFERROR(INDEX(LMH_PTS,MATCH(L146,LMH_KEY,0)),0),IFERROR(INDEX(LMH_PTS,MATCH(M146,LMH_KEY,0)),0),IFERROR(INDEX(LMH_PTS,MATCH(N146,LMH_KEY,0)),0),IFERROR(INDEX(LMH_PTS,MATCH(O146,LMH_KEY,0)),0),IFERROR(INDEX(LMH_PTS,MATCH(P146,LMH_KEY,0)),0)),""))</f>
        <v>0.176470588235294</v>
      </c>
      <c r="S146" s="74">
        <f>IF(L146="","",IFERROR(INDEX(LMH_PTS,MATCH(L146,LMH_KEY,0))/SUM(IFERROR(INDEX(LMH_PTS,MATCH(J146,LMH_KEY,0)),0),IFERROR(INDEX(LMH_PTS,MATCH(K146,LMH_KEY,0)),0),IFERROR(INDEX(LMH_PTS,MATCH(L146,LMH_KEY,0)),0),IFERROR(INDEX(LMH_PTS,MATCH(M146,LMH_KEY,0)),0),IFERROR(INDEX(LMH_PTS,MATCH(N146,LMH_KEY,0)),0),IFERROR(INDEX(LMH_PTS,MATCH(O146,LMH_KEY,0)),0),IFERROR(INDEX(LMH_PTS,MATCH(P146,LMH_KEY,0)),0)),""))</f>
        <v>0.0588235294117647</v>
      </c>
      <c r="T146" s="74">
        <f>IF(M146="","",IFERROR(INDEX(LMH_PTS,MATCH(M146,LMH_KEY,0))/SUM(IFERROR(INDEX(LMH_PTS,MATCH(J146,LMH_KEY,0)),0),IFERROR(INDEX(LMH_PTS,MATCH(K146,LMH_KEY,0)),0),IFERROR(INDEX(LMH_PTS,MATCH(L146,LMH_KEY,0)),0),IFERROR(INDEX(LMH_PTS,MATCH(M146,LMH_KEY,0)),0),IFERROR(INDEX(LMH_PTS,MATCH(N146,LMH_KEY,0)),0),IFERROR(INDEX(LMH_PTS,MATCH(O146,LMH_KEY,0)),0),IFERROR(INDEX(LMH_PTS,MATCH(P146,LMH_KEY,0)),0)),""))</f>
        <v>0.0588235294117647</v>
      </c>
      <c r="U146" s="74">
        <f>IF(N146="","",IFERROR(INDEX(LMH_PTS,MATCH(N146,LMH_KEY,0))/SUM(IFERROR(INDEX(LMH_PTS,MATCH(J146,LMH_KEY,0)),0),IFERROR(INDEX(LMH_PTS,MATCH(K146,LMH_KEY,0)),0),IFERROR(INDEX(LMH_PTS,MATCH(L146,LMH_KEY,0)),0),IFERROR(INDEX(LMH_PTS,MATCH(M146,LMH_KEY,0)),0),IFERROR(INDEX(LMH_PTS,MATCH(N146,LMH_KEY,0)),0),IFERROR(INDEX(LMH_PTS,MATCH(O146,LMH_KEY,0)),0),IFERROR(INDEX(LMH_PTS,MATCH(P146,LMH_KEY,0)),0)),""))</f>
        <v>0.0588235294117647</v>
      </c>
      <c r="V146" s="74">
        <f>IF(O146="","",IFERROR(INDEX(LMH_PTS,MATCH(O146,LMH_KEY,0))/SUM(IFERROR(INDEX(LMH_PTS,MATCH(J146,LMH_KEY,0)),0),IFERROR(INDEX(LMH_PTS,MATCH(K146,LMH_KEY,0)),0),IFERROR(INDEX(LMH_PTS,MATCH(L146,LMH_KEY,0)),0),IFERROR(INDEX(LMH_PTS,MATCH(M146,LMH_KEY,0)),0),IFERROR(INDEX(LMH_PTS,MATCH(N146,LMH_KEY,0)),0),IFERROR(INDEX(LMH_PTS,MATCH(O146,LMH_KEY,0)),0),IFERROR(INDEX(LMH_PTS,MATCH(P146,LMH_KEY,0)),0)),""))</f>
        <v>0.0588235294117647</v>
      </c>
      <c r="W146" s="74">
        <f>IF(P146="","",IFERROR(INDEX(LMH_PTS,MATCH(P146,LMH_KEY,0))/SUM(IFERROR(INDEX(LMH_PTS,MATCH(J146,LMH_KEY,0)),0),IFERROR(INDEX(LMH_PTS,MATCH(K146,LMH_KEY,0)),0),IFERROR(INDEX(LMH_PTS,MATCH(L146,LMH_KEY,0)),0),IFERROR(INDEX(LMH_PTS,MATCH(M146,LMH_KEY,0)),0),IFERROR(INDEX(LMH_PTS,MATCH(N146,LMH_KEY,0)),0),IFERROR(INDEX(LMH_PTS,MATCH(O146,LMH_KEY,0)),0),IFERROR(INDEX(LMH_PTS,MATCH(P146,LMH_KEY,0)),0)),""))</f>
        <v>0.0588235294117647</v>
      </c>
      <c r="X146" s="44" t="n"/>
      <c r="Y146" s="38" t="inlineStr">
        <is>
          <t>iFile|Design|Senior UI Developer|A3|A</t>
        </is>
      </c>
    </row>
    <row r="147" ht="28" customHeight="1">
      <c r="A147" s="28" t="inlineStr">
        <is>
          <t>iFile</t>
        </is>
      </c>
      <c r="B147" s="71" t="inlineStr">
        <is>
          <t>Marketing</t>
        </is>
      </c>
      <c r="C147" s="72" t="inlineStr">
        <is>
          <t>B1</t>
        </is>
      </c>
      <c r="D147" s="29" t="inlineStr">
        <is>
          <t>Band B · Specialist / Manager</t>
        </is>
      </c>
      <c r="E147" s="29" t="inlineStr">
        <is>
          <t>Team Lead – Product Marketing</t>
        </is>
      </c>
      <c r="F147" s="29" t="inlineStr">
        <is>
          <t>Band B · People Manager</t>
        </is>
      </c>
      <c r="G147" s="29" t="inlineStr">
        <is>
          <t>Marketing &amp; Communications</t>
        </is>
      </c>
      <c r="H147" s="29" t="n">
        <v>1</v>
      </c>
      <c r="I147" s="29" t="inlineStr">
        <is>
          <t>Abhilash Menon</t>
        </is>
      </c>
      <c r="J147" s="34" t="str">
        <f>IFERROR(INDEX(RBD_C,MATCH("Marketing &amp; Communications|B1|B-M",RBD_KEY,0)),"M")</f>
        <v>H</v>
      </c>
      <c r="K147" s="35" t="str">
        <f>IFERROR(INDEX(RBD_Au,MATCH("Marketing &amp; Communications|B1|B-M",RBD_KEY,0)),"M")</f>
        <v>M</v>
      </c>
      <c r="L147" s="35" t="str">
        <f>IFERROR(INDEX(RBD_Ac,MATCH("Marketing &amp; Communications|B1|B-M",RBD_KEY,0)),"M")</f>
        <v>L</v>
      </c>
      <c r="M147" s="35" t="str">
        <f>IFERROR(INDEX(RBD_L,MATCH("Marketing &amp; Communications|B1|B-M",RBD_KEY,0)),"M")</f>
        <v>M</v>
      </c>
      <c r="N147" s="35" t="str">
        <f>IFERROR(INDEX(RBD_BI,MATCH("Marketing &amp; Communications|B1|B-M",RBD_KEY,0)),"M")</f>
        <v>M</v>
      </c>
      <c r="O147" s="35" t="str">
        <f>IFERROR(INDEX(RBD_Exp,MATCH("Marketing &amp; Communications|B1|B-M",RBD_KEY,0)),"M")</f>
        <v>L</v>
      </c>
      <c r="P147" s="35" t="str">
        <f>IFERROR(INDEX(RBD_Edu,MATCH("Marketing &amp; Communications|B1|B-M",RBD_KEY,0)),"M")</f>
        <v>L</v>
      </c>
      <c r="Q147" s="73">
        <f>IF(J147="","",IFERROR(INDEX(LMH_PTS,MATCH(J147,LMH_KEY,0))/SUM(IFERROR(INDEX(LMH_PTS,MATCH(J147,LMH_KEY,0)),0),IFERROR(INDEX(LMH_PTS,MATCH(K147,LMH_KEY,0)),0),IFERROR(INDEX(LMH_PTS,MATCH(L147,LMH_KEY,0)),0),IFERROR(INDEX(LMH_PTS,MATCH(M147,LMH_KEY,0)),0),IFERROR(INDEX(LMH_PTS,MATCH(N147,LMH_KEY,0)),0),IFERROR(INDEX(LMH_PTS,MATCH(O147,LMH_KEY,0)),0),IFERROR(INDEX(LMH_PTS,MATCH(P147,LMH_KEY,0)),0)),""))</f>
        <v>0.428571428571429</v>
      </c>
      <c r="R147" s="74">
        <f>IF(K147="","",IFERROR(INDEX(LMH_PTS,MATCH(K147,LMH_KEY,0))/SUM(IFERROR(INDEX(LMH_PTS,MATCH(J147,LMH_KEY,0)),0),IFERROR(INDEX(LMH_PTS,MATCH(K147,LMH_KEY,0)),0),IFERROR(INDEX(LMH_PTS,MATCH(L147,LMH_KEY,0)),0),IFERROR(INDEX(LMH_PTS,MATCH(M147,LMH_KEY,0)),0),IFERROR(INDEX(LMH_PTS,MATCH(N147,LMH_KEY,0)),0),IFERROR(INDEX(LMH_PTS,MATCH(O147,LMH_KEY,0)),0),IFERROR(INDEX(LMH_PTS,MATCH(P147,LMH_KEY,0)),0)),""))</f>
        <v>0.142857142857143</v>
      </c>
      <c r="S147" s="74">
        <f>IF(L147="","",IFERROR(INDEX(LMH_PTS,MATCH(L147,LMH_KEY,0))/SUM(IFERROR(INDEX(LMH_PTS,MATCH(J147,LMH_KEY,0)),0),IFERROR(INDEX(LMH_PTS,MATCH(K147,LMH_KEY,0)),0),IFERROR(INDEX(LMH_PTS,MATCH(L147,LMH_KEY,0)),0),IFERROR(INDEX(LMH_PTS,MATCH(M147,LMH_KEY,0)),0),IFERROR(INDEX(LMH_PTS,MATCH(N147,LMH_KEY,0)),0),IFERROR(INDEX(LMH_PTS,MATCH(O147,LMH_KEY,0)),0),IFERROR(INDEX(LMH_PTS,MATCH(P147,LMH_KEY,0)),0)),""))</f>
        <v>0.0476190476190476</v>
      </c>
      <c r="T147" s="74">
        <f>IF(M147="","",IFERROR(INDEX(LMH_PTS,MATCH(M147,LMH_KEY,0))/SUM(IFERROR(INDEX(LMH_PTS,MATCH(J147,LMH_KEY,0)),0),IFERROR(INDEX(LMH_PTS,MATCH(K147,LMH_KEY,0)),0),IFERROR(INDEX(LMH_PTS,MATCH(L147,LMH_KEY,0)),0),IFERROR(INDEX(LMH_PTS,MATCH(M147,LMH_KEY,0)),0),IFERROR(INDEX(LMH_PTS,MATCH(N147,LMH_KEY,0)),0),IFERROR(INDEX(LMH_PTS,MATCH(O147,LMH_KEY,0)),0),IFERROR(INDEX(LMH_PTS,MATCH(P147,LMH_KEY,0)),0)),""))</f>
        <v>0.142857142857143</v>
      </c>
      <c r="U147" s="74">
        <f>IF(N147="","",IFERROR(INDEX(LMH_PTS,MATCH(N147,LMH_KEY,0))/SUM(IFERROR(INDEX(LMH_PTS,MATCH(J147,LMH_KEY,0)),0),IFERROR(INDEX(LMH_PTS,MATCH(K147,LMH_KEY,0)),0),IFERROR(INDEX(LMH_PTS,MATCH(L147,LMH_KEY,0)),0),IFERROR(INDEX(LMH_PTS,MATCH(M147,LMH_KEY,0)),0),IFERROR(INDEX(LMH_PTS,MATCH(N147,LMH_KEY,0)),0),IFERROR(INDEX(LMH_PTS,MATCH(O147,LMH_KEY,0)),0),IFERROR(INDEX(LMH_PTS,MATCH(P147,LMH_KEY,0)),0)),""))</f>
        <v>0.142857142857143</v>
      </c>
      <c r="V147" s="74">
        <f>IF(O147="","",IFERROR(INDEX(LMH_PTS,MATCH(O147,LMH_KEY,0))/SUM(IFERROR(INDEX(LMH_PTS,MATCH(J147,LMH_KEY,0)),0),IFERROR(INDEX(LMH_PTS,MATCH(K147,LMH_KEY,0)),0),IFERROR(INDEX(LMH_PTS,MATCH(L147,LMH_KEY,0)),0),IFERROR(INDEX(LMH_PTS,MATCH(M147,LMH_KEY,0)),0),IFERROR(INDEX(LMH_PTS,MATCH(N147,LMH_KEY,0)),0),IFERROR(INDEX(LMH_PTS,MATCH(O147,LMH_KEY,0)),0),IFERROR(INDEX(LMH_PTS,MATCH(P147,LMH_KEY,0)),0)),""))</f>
        <v>0.0476190476190476</v>
      </c>
      <c r="W147" s="74">
        <f>IF(P147="","",IFERROR(INDEX(LMH_PTS,MATCH(P147,LMH_KEY,0))/SUM(IFERROR(INDEX(LMH_PTS,MATCH(J147,LMH_KEY,0)),0),IFERROR(INDEX(LMH_PTS,MATCH(K147,LMH_KEY,0)),0),IFERROR(INDEX(LMH_PTS,MATCH(L147,LMH_KEY,0)),0),IFERROR(INDEX(LMH_PTS,MATCH(M147,LMH_KEY,0)),0),IFERROR(INDEX(LMH_PTS,MATCH(N147,LMH_KEY,0)),0),IFERROR(INDEX(LMH_PTS,MATCH(O147,LMH_KEY,0)),0),IFERROR(INDEX(LMH_PTS,MATCH(P147,LMH_KEY,0)),0)),""))</f>
        <v>0.0476190476190476</v>
      </c>
      <c r="X147" s="44" t="n"/>
      <c r="Y147" s="38" t="inlineStr">
        <is>
          <t>iFile|Marketing|Team Lead – Product Marketing|B1|B-M</t>
        </is>
      </c>
    </row>
    <row r="148" ht="28" customHeight="1">
      <c r="A148" s="28" t="inlineStr">
        <is>
          <t>iFile</t>
        </is>
      </c>
      <c r="B148" s="29" t="inlineStr">
        <is>
          <t>Marketing</t>
        </is>
      </c>
      <c r="C148" s="75" t="inlineStr">
        <is>
          <t>A3</t>
        </is>
      </c>
      <c r="D148" s="29" t="inlineStr">
        <is>
          <t>Band A · Practitioner</t>
        </is>
      </c>
      <c r="E148" s="29" t="inlineStr">
        <is>
          <t>Senior Marketing Operations Associate</t>
        </is>
      </c>
      <c r="F148" s="29" t="inlineStr">
        <is>
          <t>Band A · all tracks</t>
        </is>
      </c>
      <c r="G148" s="29" t="inlineStr">
        <is>
          <t>Marketing &amp; Communications</t>
        </is>
      </c>
      <c r="H148" s="29" t="n">
        <v>1</v>
      </c>
      <c r="I148" s="29" t="inlineStr">
        <is>
          <t>Shashwat Dikshit</t>
        </is>
      </c>
      <c r="J148" s="34" t="str">
        <f>IFERROR(INDEX(RBD_C,MATCH("Marketing &amp; Communications|A3|A",RBD_KEY,0)),"M")</f>
        <v>H</v>
      </c>
      <c r="K148" s="35" t="str">
        <f>IFERROR(INDEX(RBD_Au,MATCH("Marketing &amp; Communications|A3|A",RBD_KEY,0)),"M")</f>
        <v>M</v>
      </c>
      <c r="L148" s="35" t="str">
        <f>IFERROR(INDEX(RBD_Ac,MATCH("Marketing &amp; Communications|A3|A",RBD_KEY,0)),"M")</f>
        <v>L</v>
      </c>
      <c r="M148" s="35" t="str">
        <f>IFERROR(INDEX(RBD_L,MATCH("Marketing &amp; Communications|A3|A",RBD_KEY,0)),"M")</f>
        <v>L</v>
      </c>
      <c r="N148" s="35" t="str">
        <f>IFERROR(INDEX(RBD_BI,MATCH("Marketing &amp; Communications|A3|A",RBD_KEY,0)),"M")</f>
        <v>M</v>
      </c>
      <c r="O148" s="35" t="str">
        <f>IFERROR(INDEX(RBD_Exp,MATCH("Marketing &amp; Communications|A3|A",RBD_KEY,0)),"M")</f>
        <v>L</v>
      </c>
      <c r="P148" s="35" t="str">
        <f>IFERROR(INDEX(RBD_Edu,MATCH("Marketing &amp; Communications|A3|A",RBD_KEY,0)),"M")</f>
        <v>L</v>
      </c>
      <c r="Q148" s="73">
        <f>IF(J148="","",IFERROR(INDEX(LMH_PTS,MATCH(J148,LMH_KEY,0))/SUM(IFERROR(INDEX(LMH_PTS,MATCH(J148,LMH_KEY,0)),0),IFERROR(INDEX(LMH_PTS,MATCH(K148,LMH_KEY,0)),0),IFERROR(INDEX(LMH_PTS,MATCH(L148,LMH_KEY,0)),0),IFERROR(INDEX(LMH_PTS,MATCH(M148,LMH_KEY,0)),0),IFERROR(INDEX(LMH_PTS,MATCH(N148,LMH_KEY,0)),0),IFERROR(INDEX(LMH_PTS,MATCH(O148,LMH_KEY,0)),0),IFERROR(INDEX(LMH_PTS,MATCH(P148,LMH_KEY,0)),0)),""))</f>
        <v>0.473684210526316</v>
      </c>
      <c r="R148" s="74">
        <f>IF(K148="","",IFERROR(INDEX(LMH_PTS,MATCH(K148,LMH_KEY,0))/SUM(IFERROR(INDEX(LMH_PTS,MATCH(J148,LMH_KEY,0)),0),IFERROR(INDEX(LMH_PTS,MATCH(K148,LMH_KEY,0)),0),IFERROR(INDEX(LMH_PTS,MATCH(L148,LMH_KEY,0)),0),IFERROR(INDEX(LMH_PTS,MATCH(M148,LMH_KEY,0)),0),IFERROR(INDEX(LMH_PTS,MATCH(N148,LMH_KEY,0)),0),IFERROR(INDEX(LMH_PTS,MATCH(O148,LMH_KEY,0)),0),IFERROR(INDEX(LMH_PTS,MATCH(P148,LMH_KEY,0)),0)),""))</f>
        <v>0.157894736842105</v>
      </c>
      <c r="S148" s="74">
        <f>IF(L148="","",IFERROR(INDEX(LMH_PTS,MATCH(L148,LMH_KEY,0))/SUM(IFERROR(INDEX(LMH_PTS,MATCH(J148,LMH_KEY,0)),0),IFERROR(INDEX(LMH_PTS,MATCH(K148,LMH_KEY,0)),0),IFERROR(INDEX(LMH_PTS,MATCH(L148,LMH_KEY,0)),0),IFERROR(INDEX(LMH_PTS,MATCH(M148,LMH_KEY,0)),0),IFERROR(INDEX(LMH_PTS,MATCH(N148,LMH_KEY,0)),0),IFERROR(INDEX(LMH_PTS,MATCH(O148,LMH_KEY,0)),0),IFERROR(INDEX(LMH_PTS,MATCH(P148,LMH_KEY,0)),0)),""))</f>
        <v>0.0526315789473684</v>
      </c>
      <c r="T148" s="74">
        <f>IF(M148="","",IFERROR(INDEX(LMH_PTS,MATCH(M148,LMH_KEY,0))/SUM(IFERROR(INDEX(LMH_PTS,MATCH(J148,LMH_KEY,0)),0),IFERROR(INDEX(LMH_PTS,MATCH(K148,LMH_KEY,0)),0),IFERROR(INDEX(LMH_PTS,MATCH(L148,LMH_KEY,0)),0),IFERROR(INDEX(LMH_PTS,MATCH(M148,LMH_KEY,0)),0),IFERROR(INDEX(LMH_PTS,MATCH(N148,LMH_KEY,0)),0),IFERROR(INDEX(LMH_PTS,MATCH(O148,LMH_KEY,0)),0),IFERROR(INDEX(LMH_PTS,MATCH(P148,LMH_KEY,0)),0)),""))</f>
        <v>0.0526315789473684</v>
      </c>
      <c r="U148" s="74">
        <f>IF(N148="","",IFERROR(INDEX(LMH_PTS,MATCH(N148,LMH_KEY,0))/SUM(IFERROR(INDEX(LMH_PTS,MATCH(J148,LMH_KEY,0)),0),IFERROR(INDEX(LMH_PTS,MATCH(K148,LMH_KEY,0)),0),IFERROR(INDEX(LMH_PTS,MATCH(L148,LMH_KEY,0)),0),IFERROR(INDEX(LMH_PTS,MATCH(M148,LMH_KEY,0)),0),IFERROR(INDEX(LMH_PTS,MATCH(N148,LMH_KEY,0)),0),IFERROR(INDEX(LMH_PTS,MATCH(O148,LMH_KEY,0)),0),IFERROR(INDEX(LMH_PTS,MATCH(P148,LMH_KEY,0)),0)),""))</f>
        <v>0.157894736842105</v>
      </c>
      <c r="V148" s="74">
        <f>IF(O148="","",IFERROR(INDEX(LMH_PTS,MATCH(O148,LMH_KEY,0))/SUM(IFERROR(INDEX(LMH_PTS,MATCH(J148,LMH_KEY,0)),0),IFERROR(INDEX(LMH_PTS,MATCH(K148,LMH_KEY,0)),0),IFERROR(INDEX(LMH_PTS,MATCH(L148,LMH_KEY,0)),0),IFERROR(INDEX(LMH_PTS,MATCH(M148,LMH_KEY,0)),0),IFERROR(INDEX(LMH_PTS,MATCH(N148,LMH_KEY,0)),0),IFERROR(INDEX(LMH_PTS,MATCH(O148,LMH_KEY,0)),0),IFERROR(INDEX(LMH_PTS,MATCH(P148,LMH_KEY,0)),0)),""))</f>
        <v>0.0526315789473684</v>
      </c>
      <c r="W148" s="74">
        <f>IF(P148="","",IFERROR(INDEX(LMH_PTS,MATCH(P148,LMH_KEY,0))/SUM(IFERROR(INDEX(LMH_PTS,MATCH(J148,LMH_KEY,0)),0),IFERROR(INDEX(LMH_PTS,MATCH(K148,LMH_KEY,0)),0),IFERROR(INDEX(LMH_PTS,MATCH(L148,LMH_KEY,0)),0),IFERROR(INDEX(LMH_PTS,MATCH(M148,LMH_KEY,0)),0),IFERROR(INDEX(LMH_PTS,MATCH(N148,LMH_KEY,0)),0),IFERROR(INDEX(LMH_PTS,MATCH(O148,LMH_KEY,0)),0),IFERROR(INDEX(LMH_PTS,MATCH(P148,LMH_KEY,0)),0)),""))</f>
        <v>0.0526315789473684</v>
      </c>
      <c r="X148" s="44" t="n"/>
      <c r="Y148" s="38" t="inlineStr">
        <is>
          <t>iFile|Marketing|Senior Marketing Operations Associate|A3|A</t>
        </is>
      </c>
    </row>
    <row r="149" ht="18" customHeight="1">
      <c r="A149" s="28" t="inlineStr">
        <is>
          <t>iFile</t>
        </is>
      </c>
      <c r="B149" s="71" t="inlineStr">
        <is>
          <t>Product Management</t>
        </is>
      </c>
      <c r="C149" s="72" t="inlineStr">
        <is>
          <t>B3</t>
        </is>
      </c>
      <c r="D149" s="29" t="inlineStr">
        <is>
          <t>Band B · Specialist / Manager</t>
        </is>
      </c>
      <c r="E149" s="29" t="inlineStr">
        <is>
          <t>Senior Product Manager</t>
        </is>
      </c>
      <c r="F149" s="29" t="inlineStr">
        <is>
          <t>Band B · Specialist / POD Lead</t>
        </is>
      </c>
      <c r="G149" s="29" t="inlineStr">
        <is>
          <t>Product Management</t>
        </is>
      </c>
      <c r="H149" s="29" t="n">
        <v>1</v>
      </c>
      <c r="I149" s="29" t="inlineStr">
        <is>
          <t>Sumit Jain</t>
        </is>
      </c>
      <c r="J149" s="34" t="str">
        <f>IFERROR(INDEX(RBD_C,MATCH("Product Management|B3|B-IC",RBD_KEY,0)),"M")</f>
        <v>H</v>
      </c>
      <c r="K149" s="35" t="str">
        <f>IFERROR(INDEX(RBD_Au,MATCH("Product Management|B3|B-IC",RBD_KEY,0)),"M")</f>
        <v>M</v>
      </c>
      <c r="L149" s="35" t="str">
        <f>IFERROR(INDEX(RBD_Ac,MATCH("Product Management|B3|B-IC",RBD_KEY,0)),"M")</f>
        <v>M</v>
      </c>
      <c r="M149" s="35" t="str">
        <f>IFERROR(INDEX(RBD_L,MATCH("Product Management|B3|B-IC",RBD_KEY,0)),"M")</f>
        <v>L</v>
      </c>
      <c r="N149" s="35" t="str">
        <f>IFERROR(INDEX(RBD_BI,MATCH("Product Management|B3|B-IC",RBD_KEY,0)),"M")</f>
        <v>L</v>
      </c>
      <c r="O149" s="35" t="str">
        <f>IFERROR(INDEX(RBD_Exp,MATCH("Product Management|B3|B-IC",RBD_KEY,0)),"M")</f>
        <v>L</v>
      </c>
      <c r="P149" s="35" t="str">
        <f>IFERROR(INDEX(RBD_Edu,MATCH("Product Management|B3|B-IC",RBD_KEY,0)),"M")</f>
        <v>L</v>
      </c>
      <c r="Q149" s="73">
        <f>IF(J149="","",IFERROR(INDEX(LMH_PTS,MATCH(J149,LMH_KEY,0))/SUM(IFERROR(INDEX(LMH_PTS,MATCH(J149,LMH_KEY,0)),0),IFERROR(INDEX(LMH_PTS,MATCH(K149,LMH_KEY,0)),0),IFERROR(INDEX(LMH_PTS,MATCH(L149,LMH_KEY,0)),0),IFERROR(INDEX(LMH_PTS,MATCH(M149,LMH_KEY,0)),0),IFERROR(INDEX(LMH_PTS,MATCH(N149,LMH_KEY,0)),0),IFERROR(INDEX(LMH_PTS,MATCH(O149,LMH_KEY,0)),0),IFERROR(INDEX(LMH_PTS,MATCH(P149,LMH_KEY,0)),0)),""))</f>
        <v>0.473684210526316</v>
      </c>
      <c r="R149" s="74">
        <f>IF(K149="","",IFERROR(INDEX(LMH_PTS,MATCH(K149,LMH_KEY,0))/SUM(IFERROR(INDEX(LMH_PTS,MATCH(J149,LMH_KEY,0)),0),IFERROR(INDEX(LMH_PTS,MATCH(K149,LMH_KEY,0)),0),IFERROR(INDEX(LMH_PTS,MATCH(L149,LMH_KEY,0)),0),IFERROR(INDEX(LMH_PTS,MATCH(M149,LMH_KEY,0)),0),IFERROR(INDEX(LMH_PTS,MATCH(N149,LMH_KEY,0)),0),IFERROR(INDEX(LMH_PTS,MATCH(O149,LMH_KEY,0)),0),IFERROR(INDEX(LMH_PTS,MATCH(P149,LMH_KEY,0)),0)),""))</f>
        <v>0.157894736842105</v>
      </c>
      <c r="S149" s="74">
        <f>IF(L149="","",IFERROR(INDEX(LMH_PTS,MATCH(L149,LMH_KEY,0))/SUM(IFERROR(INDEX(LMH_PTS,MATCH(J149,LMH_KEY,0)),0),IFERROR(INDEX(LMH_PTS,MATCH(K149,LMH_KEY,0)),0),IFERROR(INDEX(LMH_PTS,MATCH(L149,LMH_KEY,0)),0),IFERROR(INDEX(LMH_PTS,MATCH(M149,LMH_KEY,0)),0),IFERROR(INDEX(LMH_PTS,MATCH(N149,LMH_KEY,0)),0),IFERROR(INDEX(LMH_PTS,MATCH(O149,LMH_KEY,0)),0),IFERROR(INDEX(LMH_PTS,MATCH(P149,LMH_KEY,0)),0)),""))</f>
        <v>0.157894736842105</v>
      </c>
      <c r="T149" s="74">
        <f>IF(M149="","",IFERROR(INDEX(LMH_PTS,MATCH(M149,LMH_KEY,0))/SUM(IFERROR(INDEX(LMH_PTS,MATCH(J149,LMH_KEY,0)),0),IFERROR(INDEX(LMH_PTS,MATCH(K149,LMH_KEY,0)),0),IFERROR(INDEX(LMH_PTS,MATCH(L149,LMH_KEY,0)),0),IFERROR(INDEX(LMH_PTS,MATCH(M149,LMH_KEY,0)),0),IFERROR(INDEX(LMH_PTS,MATCH(N149,LMH_KEY,0)),0),IFERROR(INDEX(LMH_PTS,MATCH(O149,LMH_KEY,0)),0),IFERROR(INDEX(LMH_PTS,MATCH(P149,LMH_KEY,0)),0)),""))</f>
        <v>0.0526315789473684</v>
      </c>
      <c r="U149" s="74">
        <f>IF(N149="","",IFERROR(INDEX(LMH_PTS,MATCH(N149,LMH_KEY,0))/SUM(IFERROR(INDEX(LMH_PTS,MATCH(J149,LMH_KEY,0)),0),IFERROR(INDEX(LMH_PTS,MATCH(K149,LMH_KEY,0)),0),IFERROR(INDEX(LMH_PTS,MATCH(L149,LMH_KEY,0)),0),IFERROR(INDEX(LMH_PTS,MATCH(M149,LMH_KEY,0)),0),IFERROR(INDEX(LMH_PTS,MATCH(N149,LMH_KEY,0)),0),IFERROR(INDEX(LMH_PTS,MATCH(O149,LMH_KEY,0)),0),IFERROR(INDEX(LMH_PTS,MATCH(P149,LMH_KEY,0)),0)),""))</f>
        <v>0.0526315789473684</v>
      </c>
      <c r="V149" s="74">
        <f>IF(O149="","",IFERROR(INDEX(LMH_PTS,MATCH(O149,LMH_KEY,0))/SUM(IFERROR(INDEX(LMH_PTS,MATCH(J149,LMH_KEY,0)),0),IFERROR(INDEX(LMH_PTS,MATCH(K149,LMH_KEY,0)),0),IFERROR(INDEX(LMH_PTS,MATCH(L149,LMH_KEY,0)),0),IFERROR(INDEX(LMH_PTS,MATCH(M149,LMH_KEY,0)),0),IFERROR(INDEX(LMH_PTS,MATCH(N149,LMH_KEY,0)),0),IFERROR(INDEX(LMH_PTS,MATCH(O149,LMH_KEY,0)),0),IFERROR(INDEX(LMH_PTS,MATCH(P149,LMH_KEY,0)),0)),""))</f>
        <v>0.0526315789473684</v>
      </c>
      <c r="W149" s="74">
        <f>IF(P149="","",IFERROR(INDEX(LMH_PTS,MATCH(P149,LMH_KEY,0))/SUM(IFERROR(INDEX(LMH_PTS,MATCH(J149,LMH_KEY,0)),0),IFERROR(INDEX(LMH_PTS,MATCH(K149,LMH_KEY,0)),0),IFERROR(INDEX(LMH_PTS,MATCH(L149,LMH_KEY,0)),0),IFERROR(INDEX(LMH_PTS,MATCH(M149,LMH_KEY,0)),0),IFERROR(INDEX(LMH_PTS,MATCH(N149,LMH_KEY,0)),0),IFERROR(INDEX(LMH_PTS,MATCH(O149,LMH_KEY,0)),0),IFERROR(INDEX(LMH_PTS,MATCH(P149,LMH_KEY,0)),0)),""))</f>
        <v>0.0526315789473684</v>
      </c>
      <c r="X149" s="44" t="n"/>
      <c r="Y149" s="38" t="inlineStr">
        <is>
          <t>iFile|Product Management|Senior Product Manager|B3|B-IC</t>
        </is>
      </c>
    </row>
    <row r="150" ht="18" customHeight="1">
      <c r="A150" s="28" t="inlineStr">
        <is>
          <t>iFile</t>
        </is>
      </c>
      <c r="B150" s="71" t="inlineStr">
        <is>
          <t>Quality Assurance</t>
        </is>
      </c>
      <c r="C150" s="72" t="inlineStr">
        <is>
          <t>B2</t>
        </is>
      </c>
      <c r="D150" s="29" t="inlineStr">
        <is>
          <t>Band B · Specialist / Manager</t>
        </is>
      </c>
      <c r="E150" s="29" t="inlineStr">
        <is>
          <t>Senior QA Manager</t>
        </is>
      </c>
      <c r="F150" s="29" t="inlineStr">
        <is>
          <t>Band B · People Manager</t>
        </is>
      </c>
      <c r="G150" s="29" t="inlineStr">
        <is>
          <t>Quality Assurance</t>
        </is>
      </c>
      <c r="H150" s="29" t="n">
        <v>1</v>
      </c>
      <c r="I150" s="29" t="inlineStr">
        <is>
          <t>Davinder Pal Singh</t>
        </is>
      </c>
      <c r="J150" s="34" t="str">
        <f>IFERROR(INDEX(RBD_C,MATCH("Quality Assurance|B2|B-M",RBD_KEY,0)),"M")</f>
        <v>H</v>
      </c>
      <c r="K150" s="35" t="str">
        <f>IFERROR(INDEX(RBD_Au,MATCH("Quality Assurance|B2|B-M",RBD_KEY,0)),"M")</f>
        <v>M</v>
      </c>
      <c r="L150" s="35" t="str">
        <f>IFERROR(INDEX(RBD_Ac,MATCH("Quality Assurance|B2|B-M",RBD_KEY,0)),"M")</f>
        <v>L</v>
      </c>
      <c r="M150" s="35" t="str">
        <f>IFERROR(INDEX(RBD_L,MATCH("Quality Assurance|B2|B-M",RBD_KEY,0)),"M")</f>
        <v>M</v>
      </c>
      <c r="N150" s="35" t="str">
        <f>IFERROR(INDEX(RBD_BI,MATCH("Quality Assurance|B2|B-M",RBD_KEY,0)),"M")</f>
        <v>L</v>
      </c>
      <c r="O150" s="35" t="str">
        <f>IFERROR(INDEX(RBD_Exp,MATCH("Quality Assurance|B2|B-M",RBD_KEY,0)),"M")</f>
        <v>L</v>
      </c>
      <c r="P150" s="35" t="str">
        <f>IFERROR(INDEX(RBD_Edu,MATCH("Quality Assurance|B2|B-M",RBD_KEY,0)),"M")</f>
        <v>L</v>
      </c>
      <c r="Q150" s="73">
        <f>IF(J150="","",IFERROR(INDEX(LMH_PTS,MATCH(J150,LMH_KEY,0))/SUM(IFERROR(INDEX(LMH_PTS,MATCH(J150,LMH_KEY,0)),0),IFERROR(INDEX(LMH_PTS,MATCH(K150,LMH_KEY,0)),0),IFERROR(INDEX(LMH_PTS,MATCH(L150,LMH_KEY,0)),0),IFERROR(INDEX(LMH_PTS,MATCH(M150,LMH_KEY,0)),0),IFERROR(INDEX(LMH_PTS,MATCH(N150,LMH_KEY,0)),0),IFERROR(INDEX(LMH_PTS,MATCH(O150,LMH_KEY,0)),0),IFERROR(INDEX(LMH_PTS,MATCH(P150,LMH_KEY,0)),0)),""))</f>
        <v>0.473684210526316</v>
      </c>
      <c r="R150" s="74">
        <f>IF(K150="","",IFERROR(INDEX(LMH_PTS,MATCH(K150,LMH_KEY,0))/SUM(IFERROR(INDEX(LMH_PTS,MATCH(J150,LMH_KEY,0)),0),IFERROR(INDEX(LMH_PTS,MATCH(K150,LMH_KEY,0)),0),IFERROR(INDEX(LMH_PTS,MATCH(L150,LMH_KEY,0)),0),IFERROR(INDEX(LMH_PTS,MATCH(M150,LMH_KEY,0)),0),IFERROR(INDEX(LMH_PTS,MATCH(N150,LMH_KEY,0)),0),IFERROR(INDEX(LMH_PTS,MATCH(O150,LMH_KEY,0)),0),IFERROR(INDEX(LMH_PTS,MATCH(P150,LMH_KEY,0)),0)),""))</f>
        <v>0.157894736842105</v>
      </c>
      <c r="S150" s="74">
        <f>IF(L150="","",IFERROR(INDEX(LMH_PTS,MATCH(L150,LMH_KEY,0))/SUM(IFERROR(INDEX(LMH_PTS,MATCH(J150,LMH_KEY,0)),0),IFERROR(INDEX(LMH_PTS,MATCH(K150,LMH_KEY,0)),0),IFERROR(INDEX(LMH_PTS,MATCH(L150,LMH_KEY,0)),0),IFERROR(INDEX(LMH_PTS,MATCH(M150,LMH_KEY,0)),0),IFERROR(INDEX(LMH_PTS,MATCH(N150,LMH_KEY,0)),0),IFERROR(INDEX(LMH_PTS,MATCH(O150,LMH_KEY,0)),0),IFERROR(INDEX(LMH_PTS,MATCH(P150,LMH_KEY,0)),0)),""))</f>
        <v>0.0526315789473684</v>
      </c>
      <c r="T150" s="74">
        <f>IF(M150="","",IFERROR(INDEX(LMH_PTS,MATCH(M150,LMH_KEY,0))/SUM(IFERROR(INDEX(LMH_PTS,MATCH(J150,LMH_KEY,0)),0),IFERROR(INDEX(LMH_PTS,MATCH(K150,LMH_KEY,0)),0),IFERROR(INDEX(LMH_PTS,MATCH(L150,LMH_KEY,0)),0),IFERROR(INDEX(LMH_PTS,MATCH(M150,LMH_KEY,0)),0),IFERROR(INDEX(LMH_PTS,MATCH(N150,LMH_KEY,0)),0),IFERROR(INDEX(LMH_PTS,MATCH(O150,LMH_KEY,0)),0),IFERROR(INDEX(LMH_PTS,MATCH(P150,LMH_KEY,0)),0)),""))</f>
        <v>0.157894736842105</v>
      </c>
      <c r="U150" s="74">
        <f>IF(N150="","",IFERROR(INDEX(LMH_PTS,MATCH(N150,LMH_KEY,0))/SUM(IFERROR(INDEX(LMH_PTS,MATCH(J150,LMH_KEY,0)),0),IFERROR(INDEX(LMH_PTS,MATCH(K150,LMH_KEY,0)),0),IFERROR(INDEX(LMH_PTS,MATCH(L150,LMH_KEY,0)),0),IFERROR(INDEX(LMH_PTS,MATCH(M150,LMH_KEY,0)),0),IFERROR(INDEX(LMH_PTS,MATCH(N150,LMH_KEY,0)),0),IFERROR(INDEX(LMH_PTS,MATCH(O150,LMH_KEY,0)),0),IFERROR(INDEX(LMH_PTS,MATCH(P150,LMH_KEY,0)),0)),""))</f>
        <v>0.0526315789473684</v>
      </c>
      <c r="V150" s="74">
        <f>IF(O150="","",IFERROR(INDEX(LMH_PTS,MATCH(O150,LMH_KEY,0))/SUM(IFERROR(INDEX(LMH_PTS,MATCH(J150,LMH_KEY,0)),0),IFERROR(INDEX(LMH_PTS,MATCH(K150,LMH_KEY,0)),0),IFERROR(INDEX(LMH_PTS,MATCH(L150,LMH_KEY,0)),0),IFERROR(INDEX(LMH_PTS,MATCH(M150,LMH_KEY,0)),0),IFERROR(INDEX(LMH_PTS,MATCH(N150,LMH_KEY,0)),0),IFERROR(INDEX(LMH_PTS,MATCH(O150,LMH_KEY,0)),0),IFERROR(INDEX(LMH_PTS,MATCH(P150,LMH_KEY,0)),0)),""))</f>
        <v>0.0526315789473684</v>
      </c>
      <c r="W150" s="74">
        <f>IF(P150="","",IFERROR(INDEX(LMH_PTS,MATCH(P150,LMH_KEY,0))/SUM(IFERROR(INDEX(LMH_PTS,MATCH(J150,LMH_KEY,0)),0),IFERROR(INDEX(LMH_PTS,MATCH(K150,LMH_KEY,0)),0),IFERROR(INDEX(LMH_PTS,MATCH(L150,LMH_KEY,0)),0),IFERROR(INDEX(LMH_PTS,MATCH(M150,LMH_KEY,0)),0),IFERROR(INDEX(LMH_PTS,MATCH(N150,LMH_KEY,0)),0),IFERROR(INDEX(LMH_PTS,MATCH(O150,LMH_KEY,0)),0),IFERROR(INDEX(LMH_PTS,MATCH(P150,LMH_KEY,0)),0)),""))</f>
        <v>0.0526315789473684</v>
      </c>
      <c r="X150" s="44" t="n"/>
      <c r="Y150" s="38" t="inlineStr">
        <is>
          <t>iFile|Quality Assurance|Senior QA Manager|B2|B-M</t>
        </is>
      </c>
    </row>
    <row r="151" ht="28" customHeight="1">
      <c r="A151" s="28" t="inlineStr">
        <is>
          <t>iFile</t>
        </is>
      </c>
      <c r="B151" s="29" t="inlineStr">
        <is>
          <t>Quality Assurance</t>
        </is>
      </c>
      <c r="C151" s="72" t="inlineStr">
        <is>
          <t>B1</t>
        </is>
      </c>
      <c r="D151" s="29" t="inlineStr">
        <is>
          <t>Band B · Specialist / Manager</t>
        </is>
      </c>
      <c r="E151" s="29" t="inlineStr">
        <is>
          <t>QA Specialist – POD Lead</t>
        </is>
      </c>
      <c r="F151" s="29" t="inlineStr">
        <is>
          <t>Band B · Specialist / POD Lead</t>
        </is>
      </c>
      <c r="G151" s="29" t="inlineStr">
        <is>
          <t>Quality Assurance</t>
        </is>
      </c>
      <c r="H151" s="29" t="n">
        <v>3</v>
      </c>
      <c r="I151" s="29" t="inlineStr">
        <is>
          <t>Pallavi Suryavanshi, Ruturaj Kadam, Susan Peter</t>
        </is>
      </c>
      <c r="J151" s="34" t="str">
        <f>IFERROR(INDEX(RBD_C,MATCH("Quality Assurance|B1|B-IC",RBD_KEY,0)),"M")</f>
        <v>H</v>
      </c>
      <c r="K151" s="35" t="str">
        <f>IFERROR(INDEX(RBD_Au,MATCH("Quality Assurance|B1|B-IC",RBD_KEY,0)),"M")</f>
        <v>M</v>
      </c>
      <c r="L151" s="35" t="str">
        <f>IFERROR(INDEX(RBD_Ac,MATCH("Quality Assurance|B1|B-IC",RBD_KEY,0)),"M")</f>
        <v>L</v>
      </c>
      <c r="M151" s="35" t="str">
        <f>IFERROR(INDEX(RBD_L,MATCH("Quality Assurance|B1|B-IC",RBD_KEY,0)),"M")</f>
        <v>L</v>
      </c>
      <c r="N151" s="35" t="str">
        <f>IFERROR(INDEX(RBD_BI,MATCH("Quality Assurance|B1|B-IC",RBD_KEY,0)),"M")</f>
        <v>L</v>
      </c>
      <c r="O151" s="35" t="str">
        <f>IFERROR(INDEX(RBD_Exp,MATCH("Quality Assurance|B1|B-IC",RBD_KEY,0)),"M")</f>
        <v>L</v>
      </c>
      <c r="P151" s="35" t="str">
        <f>IFERROR(INDEX(RBD_Edu,MATCH("Quality Assurance|B1|B-IC",RBD_KEY,0)),"M")</f>
        <v>L</v>
      </c>
      <c r="Q151" s="73">
        <f>IF(J151="","",IFERROR(INDEX(LMH_PTS,MATCH(J151,LMH_KEY,0))/SUM(IFERROR(INDEX(LMH_PTS,MATCH(J151,LMH_KEY,0)),0),IFERROR(INDEX(LMH_PTS,MATCH(K151,LMH_KEY,0)),0),IFERROR(INDEX(LMH_PTS,MATCH(L151,LMH_KEY,0)),0),IFERROR(INDEX(LMH_PTS,MATCH(M151,LMH_KEY,0)),0),IFERROR(INDEX(LMH_PTS,MATCH(N151,LMH_KEY,0)),0),IFERROR(INDEX(LMH_PTS,MATCH(O151,LMH_KEY,0)),0),IFERROR(INDEX(LMH_PTS,MATCH(P151,LMH_KEY,0)),0)),""))</f>
        <v>0.529411764705882</v>
      </c>
      <c r="R151" s="74">
        <f>IF(K151="","",IFERROR(INDEX(LMH_PTS,MATCH(K151,LMH_KEY,0))/SUM(IFERROR(INDEX(LMH_PTS,MATCH(J151,LMH_KEY,0)),0),IFERROR(INDEX(LMH_PTS,MATCH(K151,LMH_KEY,0)),0),IFERROR(INDEX(LMH_PTS,MATCH(L151,LMH_KEY,0)),0),IFERROR(INDEX(LMH_PTS,MATCH(M151,LMH_KEY,0)),0),IFERROR(INDEX(LMH_PTS,MATCH(N151,LMH_KEY,0)),0),IFERROR(INDEX(LMH_PTS,MATCH(O151,LMH_KEY,0)),0),IFERROR(INDEX(LMH_PTS,MATCH(P151,LMH_KEY,0)),0)),""))</f>
        <v>0.176470588235294</v>
      </c>
      <c r="S151" s="74">
        <f>IF(L151="","",IFERROR(INDEX(LMH_PTS,MATCH(L151,LMH_KEY,0))/SUM(IFERROR(INDEX(LMH_PTS,MATCH(J151,LMH_KEY,0)),0),IFERROR(INDEX(LMH_PTS,MATCH(K151,LMH_KEY,0)),0),IFERROR(INDEX(LMH_PTS,MATCH(L151,LMH_KEY,0)),0),IFERROR(INDEX(LMH_PTS,MATCH(M151,LMH_KEY,0)),0),IFERROR(INDEX(LMH_PTS,MATCH(N151,LMH_KEY,0)),0),IFERROR(INDEX(LMH_PTS,MATCH(O151,LMH_KEY,0)),0),IFERROR(INDEX(LMH_PTS,MATCH(P151,LMH_KEY,0)),0)),""))</f>
        <v>0.0588235294117647</v>
      </c>
      <c r="T151" s="74">
        <f>IF(M151="","",IFERROR(INDEX(LMH_PTS,MATCH(M151,LMH_KEY,0))/SUM(IFERROR(INDEX(LMH_PTS,MATCH(J151,LMH_KEY,0)),0),IFERROR(INDEX(LMH_PTS,MATCH(K151,LMH_KEY,0)),0),IFERROR(INDEX(LMH_PTS,MATCH(L151,LMH_KEY,0)),0),IFERROR(INDEX(LMH_PTS,MATCH(M151,LMH_KEY,0)),0),IFERROR(INDEX(LMH_PTS,MATCH(N151,LMH_KEY,0)),0),IFERROR(INDEX(LMH_PTS,MATCH(O151,LMH_KEY,0)),0),IFERROR(INDEX(LMH_PTS,MATCH(P151,LMH_KEY,0)),0)),""))</f>
        <v>0.0588235294117647</v>
      </c>
      <c r="U151" s="74">
        <f>IF(N151="","",IFERROR(INDEX(LMH_PTS,MATCH(N151,LMH_KEY,0))/SUM(IFERROR(INDEX(LMH_PTS,MATCH(J151,LMH_KEY,0)),0),IFERROR(INDEX(LMH_PTS,MATCH(K151,LMH_KEY,0)),0),IFERROR(INDEX(LMH_PTS,MATCH(L151,LMH_KEY,0)),0),IFERROR(INDEX(LMH_PTS,MATCH(M151,LMH_KEY,0)),0),IFERROR(INDEX(LMH_PTS,MATCH(N151,LMH_KEY,0)),0),IFERROR(INDEX(LMH_PTS,MATCH(O151,LMH_KEY,0)),0),IFERROR(INDEX(LMH_PTS,MATCH(P151,LMH_KEY,0)),0)),""))</f>
        <v>0.0588235294117647</v>
      </c>
      <c r="V151" s="74">
        <f>IF(O151="","",IFERROR(INDEX(LMH_PTS,MATCH(O151,LMH_KEY,0))/SUM(IFERROR(INDEX(LMH_PTS,MATCH(J151,LMH_KEY,0)),0),IFERROR(INDEX(LMH_PTS,MATCH(K151,LMH_KEY,0)),0),IFERROR(INDEX(LMH_PTS,MATCH(L151,LMH_KEY,0)),0),IFERROR(INDEX(LMH_PTS,MATCH(M151,LMH_KEY,0)),0),IFERROR(INDEX(LMH_PTS,MATCH(N151,LMH_KEY,0)),0),IFERROR(INDEX(LMH_PTS,MATCH(O151,LMH_KEY,0)),0),IFERROR(INDEX(LMH_PTS,MATCH(P151,LMH_KEY,0)),0)),""))</f>
        <v>0.0588235294117647</v>
      </c>
      <c r="W151" s="74">
        <f>IF(P151="","",IFERROR(INDEX(LMH_PTS,MATCH(P151,LMH_KEY,0))/SUM(IFERROR(INDEX(LMH_PTS,MATCH(J151,LMH_KEY,0)),0),IFERROR(INDEX(LMH_PTS,MATCH(K151,LMH_KEY,0)),0),IFERROR(INDEX(LMH_PTS,MATCH(L151,LMH_KEY,0)),0),IFERROR(INDEX(LMH_PTS,MATCH(M151,LMH_KEY,0)),0),IFERROR(INDEX(LMH_PTS,MATCH(N151,LMH_KEY,0)),0),IFERROR(INDEX(LMH_PTS,MATCH(O151,LMH_KEY,0)),0),IFERROR(INDEX(LMH_PTS,MATCH(P151,LMH_KEY,0)),0)),""))</f>
        <v>0.0588235294117647</v>
      </c>
      <c r="X151" s="44" t="n"/>
      <c r="Y151" s="38" t="inlineStr">
        <is>
          <t>iFile|Quality Assurance|QA Specialist – POD Lead|B1|B-IC</t>
        </is>
      </c>
    </row>
    <row r="152" ht="28" customHeight="1">
      <c r="A152" s="28" t="inlineStr">
        <is>
          <t>iFile</t>
        </is>
      </c>
      <c r="B152" s="29" t="inlineStr">
        <is>
          <t>Quality Assurance</t>
        </is>
      </c>
      <c r="C152" s="72" t="inlineStr">
        <is>
          <t>B1</t>
        </is>
      </c>
      <c r="D152" s="29" t="inlineStr">
        <is>
          <t>Band B · Specialist / Manager</t>
        </is>
      </c>
      <c r="E152" s="29" t="inlineStr">
        <is>
          <t>Senior QA Specialist – POD Lead</t>
        </is>
      </c>
      <c r="F152" s="29" t="inlineStr">
        <is>
          <t>Band B · Specialist / POD Lead</t>
        </is>
      </c>
      <c r="G152" s="29" t="inlineStr">
        <is>
          <t>Quality Assurance</t>
        </is>
      </c>
      <c r="H152" s="29" t="n">
        <v>1</v>
      </c>
      <c r="I152" s="29" t="inlineStr">
        <is>
          <t>Sameer Joshi</t>
        </is>
      </c>
      <c r="J152" s="34" t="str">
        <f>IFERROR(INDEX(RBD_C,MATCH("Quality Assurance|B1|B-IC",RBD_KEY,0)),"M")</f>
        <v>H</v>
      </c>
      <c r="K152" s="35" t="str">
        <f>IFERROR(INDEX(RBD_Au,MATCH("Quality Assurance|B1|B-IC",RBD_KEY,0)),"M")</f>
        <v>M</v>
      </c>
      <c r="L152" s="35" t="str">
        <f>IFERROR(INDEX(RBD_Ac,MATCH("Quality Assurance|B1|B-IC",RBD_KEY,0)),"M")</f>
        <v>L</v>
      </c>
      <c r="M152" s="35" t="str">
        <f>IFERROR(INDEX(RBD_L,MATCH("Quality Assurance|B1|B-IC",RBD_KEY,0)),"M")</f>
        <v>L</v>
      </c>
      <c r="N152" s="35" t="str">
        <f>IFERROR(INDEX(RBD_BI,MATCH("Quality Assurance|B1|B-IC",RBD_KEY,0)),"M")</f>
        <v>L</v>
      </c>
      <c r="O152" s="35" t="str">
        <f>IFERROR(INDEX(RBD_Exp,MATCH("Quality Assurance|B1|B-IC",RBD_KEY,0)),"M")</f>
        <v>L</v>
      </c>
      <c r="P152" s="35" t="str">
        <f>IFERROR(INDEX(RBD_Edu,MATCH("Quality Assurance|B1|B-IC",RBD_KEY,0)),"M")</f>
        <v>L</v>
      </c>
      <c r="Q152" s="73">
        <f>IF(J152="","",IFERROR(INDEX(LMH_PTS,MATCH(J152,LMH_KEY,0))/SUM(IFERROR(INDEX(LMH_PTS,MATCH(J152,LMH_KEY,0)),0),IFERROR(INDEX(LMH_PTS,MATCH(K152,LMH_KEY,0)),0),IFERROR(INDEX(LMH_PTS,MATCH(L152,LMH_KEY,0)),0),IFERROR(INDEX(LMH_PTS,MATCH(M152,LMH_KEY,0)),0),IFERROR(INDEX(LMH_PTS,MATCH(N152,LMH_KEY,0)),0),IFERROR(INDEX(LMH_PTS,MATCH(O152,LMH_KEY,0)),0),IFERROR(INDEX(LMH_PTS,MATCH(P152,LMH_KEY,0)),0)),""))</f>
        <v>0.529411764705882</v>
      </c>
      <c r="R152" s="74">
        <f>IF(K152="","",IFERROR(INDEX(LMH_PTS,MATCH(K152,LMH_KEY,0))/SUM(IFERROR(INDEX(LMH_PTS,MATCH(J152,LMH_KEY,0)),0),IFERROR(INDEX(LMH_PTS,MATCH(K152,LMH_KEY,0)),0),IFERROR(INDEX(LMH_PTS,MATCH(L152,LMH_KEY,0)),0),IFERROR(INDEX(LMH_PTS,MATCH(M152,LMH_KEY,0)),0),IFERROR(INDEX(LMH_PTS,MATCH(N152,LMH_KEY,0)),0),IFERROR(INDEX(LMH_PTS,MATCH(O152,LMH_KEY,0)),0),IFERROR(INDEX(LMH_PTS,MATCH(P152,LMH_KEY,0)),0)),""))</f>
        <v>0.176470588235294</v>
      </c>
      <c r="S152" s="74">
        <f>IF(L152="","",IFERROR(INDEX(LMH_PTS,MATCH(L152,LMH_KEY,0))/SUM(IFERROR(INDEX(LMH_PTS,MATCH(J152,LMH_KEY,0)),0),IFERROR(INDEX(LMH_PTS,MATCH(K152,LMH_KEY,0)),0),IFERROR(INDEX(LMH_PTS,MATCH(L152,LMH_KEY,0)),0),IFERROR(INDEX(LMH_PTS,MATCH(M152,LMH_KEY,0)),0),IFERROR(INDEX(LMH_PTS,MATCH(N152,LMH_KEY,0)),0),IFERROR(INDEX(LMH_PTS,MATCH(O152,LMH_KEY,0)),0),IFERROR(INDEX(LMH_PTS,MATCH(P152,LMH_KEY,0)),0)),""))</f>
        <v>0.0588235294117647</v>
      </c>
      <c r="T152" s="74">
        <f>IF(M152="","",IFERROR(INDEX(LMH_PTS,MATCH(M152,LMH_KEY,0))/SUM(IFERROR(INDEX(LMH_PTS,MATCH(J152,LMH_KEY,0)),0),IFERROR(INDEX(LMH_PTS,MATCH(K152,LMH_KEY,0)),0),IFERROR(INDEX(LMH_PTS,MATCH(L152,LMH_KEY,0)),0),IFERROR(INDEX(LMH_PTS,MATCH(M152,LMH_KEY,0)),0),IFERROR(INDEX(LMH_PTS,MATCH(N152,LMH_KEY,0)),0),IFERROR(INDEX(LMH_PTS,MATCH(O152,LMH_KEY,0)),0),IFERROR(INDEX(LMH_PTS,MATCH(P152,LMH_KEY,0)),0)),""))</f>
        <v>0.0588235294117647</v>
      </c>
      <c r="U152" s="74">
        <f>IF(N152="","",IFERROR(INDEX(LMH_PTS,MATCH(N152,LMH_KEY,0))/SUM(IFERROR(INDEX(LMH_PTS,MATCH(J152,LMH_KEY,0)),0),IFERROR(INDEX(LMH_PTS,MATCH(K152,LMH_KEY,0)),0),IFERROR(INDEX(LMH_PTS,MATCH(L152,LMH_KEY,0)),0),IFERROR(INDEX(LMH_PTS,MATCH(M152,LMH_KEY,0)),0),IFERROR(INDEX(LMH_PTS,MATCH(N152,LMH_KEY,0)),0),IFERROR(INDEX(LMH_PTS,MATCH(O152,LMH_KEY,0)),0),IFERROR(INDEX(LMH_PTS,MATCH(P152,LMH_KEY,0)),0)),""))</f>
        <v>0.0588235294117647</v>
      </c>
      <c r="V152" s="74">
        <f>IF(O152="","",IFERROR(INDEX(LMH_PTS,MATCH(O152,LMH_KEY,0))/SUM(IFERROR(INDEX(LMH_PTS,MATCH(J152,LMH_KEY,0)),0),IFERROR(INDEX(LMH_PTS,MATCH(K152,LMH_KEY,0)),0),IFERROR(INDEX(LMH_PTS,MATCH(L152,LMH_KEY,0)),0),IFERROR(INDEX(LMH_PTS,MATCH(M152,LMH_KEY,0)),0),IFERROR(INDEX(LMH_PTS,MATCH(N152,LMH_KEY,0)),0),IFERROR(INDEX(LMH_PTS,MATCH(O152,LMH_KEY,0)),0),IFERROR(INDEX(LMH_PTS,MATCH(P152,LMH_KEY,0)),0)),""))</f>
        <v>0.0588235294117647</v>
      </c>
      <c r="W152" s="74">
        <f>IF(P152="","",IFERROR(INDEX(LMH_PTS,MATCH(P152,LMH_KEY,0))/SUM(IFERROR(INDEX(LMH_PTS,MATCH(J152,LMH_KEY,0)),0),IFERROR(INDEX(LMH_PTS,MATCH(K152,LMH_KEY,0)),0),IFERROR(INDEX(LMH_PTS,MATCH(L152,LMH_KEY,0)),0),IFERROR(INDEX(LMH_PTS,MATCH(M152,LMH_KEY,0)),0),IFERROR(INDEX(LMH_PTS,MATCH(N152,LMH_KEY,0)),0),IFERROR(INDEX(LMH_PTS,MATCH(O152,LMH_KEY,0)),0),IFERROR(INDEX(LMH_PTS,MATCH(P152,LMH_KEY,0)),0)),""))</f>
        <v>0.0588235294117647</v>
      </c>
      <c r="X152" s="44" t="n"/>
      <c r="Y152" s="38" t="inlineStr">
        <is>
          <t>iFile|Quality Assurance|Senior QA Specialist – POD Lead|B1|B-IC</t>
        </is>
      </c>
    </row>
    <row r="153" ht="18" customHeight="1">
      <c r="A153" s="28" t="inlineStr">
        <is>
          <t>iFile</t>
        </is>
      </c>
      <c r="B153" s="29" t="inlineStr">
        <is>
          <t>Quality Assurance</t>
        </is>
      </c>
      <c r="C153" s="75" t="inlineStr">
        <is>
          <t>A3</t>
        </is>
      </c>
      <c r="D153" s="29" t="inlineStr">
        <is>
          <t>Band A · Practitioner</t>
        </is>
      </c>
      <c r="E153" s="29" t="inlineStr">
        <is>
          <t>QA Specialist</t>
        </is>
      </c>
      <c r="F153" s="29" t="inlineStr">
        <is>
          <t>Band A · all tracks</t>
        </is>
      </c>
      <c r="G153" s="29" t="inlineStr">
        <is>
          <t>Quality Assurance</t>
        </is>
      </c>
      <c r="H153" s="29" t="n">
        <v>1</v>
      </c>
      <c r="I153" s="29" t="inlineStr">
        <is>
          <t>Sakina Rampurawala</t>
        </is>
      </c>
      <c r="J153" s="34" t="str">
        <f>IFERROR(INDEX(RBD_C,MATCH("Quality Assurance|A3|A",RBD_KEY,0)),"M")</f>
        <v>H</v>
      </c>
      <c r="K153" s="35" t="str">
        <f>IFERROR(INDEX(RBD_Au,MATCH("Quality Assurance|A3|A",RBD_KEY,0)),"M")</f>
        <v>M</v>
      </c>
      <c r="L153" s="35" t="str">
        <f>IFERROR(INDEX(RBD_Ac,MATCH("Quality Assurance|A3|A",RBD_KEY,0)),"M")</f>
        <v>L</v>
      </c>
      <c r="M153" s="35" t="str">
        <f>IFERROR(INDEX(RBD_L,MATCH("Quality Assurance|A3|A",RBD_KEY,0)),"M")</f>
        <v>L</v>
      </c>
      <c r="N153" s="35" t="str">
        <f>IFERROR(INDEX(RBD_BI,MATCH("Quality Assurance|A3|A",RBD_KEY,0)),"M")</f>
        <v>L</v>
      </c>
      <c r="O153" s="35" t="str">
        <f>IFERROR(INDEX(RBD_Exp,MATCH("Quality Assurance|A3|A",RBD_KEY,0)),"M")</f>
        <v>L</v>
      </c>
      <c r="P153" s="35" t="str">
        <f>IFERROR(INDEX(RBD_Edu,MATCH("Quality Assurance|A3|A",RBD_KEY,0)),"M")</f>
        <v>L</v>
      </c>
      <c r="Q153" s="73">
        <f>IF(J153="","",IFERROR(INDEX(LMH_PTS,MATCH(J153,LMH_KEY,0))/SUM(IFERROR(INDEX(LMH_PTS,MATCH(J153,LMH_KEY,0)),0),IFERROR(INDEX(LMH_PTS,MATCH(K153,LMH_KEY,0)),0),IFERROR(INDEX(LMH_PTS,MATCH(L153,LMH_KEY,0)),0),IFERROR(INDEX(LMH_PTS,MATCH(M153,LMH_KEY,0)),0),IFERROR(INDEX(LMH_PTS,MATCH(N153,LMH_KEY,0)),0),IFERROR(INDEX(LMH_PTS,MATCH(O153,LMH_KEY,0)),0),IFERROR(INDEX(LMH_PTS,MATCH(P153,LMH_KEY,0)),0)),""))</f>
        <v>0.529411764705882</v>
      </c>
      <c r="R153" s="74">
        <f>IF(K153="","",IFERROR(INDEX(LMH_PTS,MATCH(K153,LMH_KEY,0))/SUM(IFERROR(INDEX(LMH_PTS,MATCH(J153,LMH_KEY,0)),0),IFERROR(INDEX(LMH_PTS,MATCH(K153,LMH_KEY,0)),0),IFERROR(INDEX(LMH_PTS,MATCH(L153,LMH_KEY,0)),0),IFERROR(INDEX(LMH_PTS,MATCH(M153,LMH_KEY,0)),0),IFERROR(INDEX(LMH_PTS,MATCH(N153,LMH_KEY,0)),0),IFERROR(INDEX(LMH_PTS,MATCH(O153,LMH_KEY,0)),0),IFERROR(INDEX(LMH_PTS,MATCH(P153,LMH_KEY,0)),0)),""))</f>
        <v>0.176470588235294</v>
      </c>
      <c r="S153" s="74">
        <f>IF(L153="","",IFERROR(INDEX(LMH_PTS,MATCH(L153,LMH_KEY,0))/SUM(IFERROR(INDEX(LMH_PTS,MATCH(J153,LMH_KEY,0)),0),IFERROR(INDEX(LMH_PTS,MATCH(K153,LMH_KEY,0)),0),IFERROR(INDEX(LMH_PTS,MATCH(L153,LMH_KEY,0)),0),IFERROR(INDEX(LMH_PTS,MATCH(M153,LMH_KEY,0)),0),IFERROR(INDEX(LMH_PTS,MATCH(N153,LMH_KEY,0)),0),IFERROR(INDEX(LMH_PTS,MATCH(O153,LMH_KEY,0)),0),IFERROR(INDEX(LMH_PTS,MATCH(P153,LMH_KEY,0)),0)),""))</f>
        <v>0.0588235294117647</v>
      </c>
      <c r="T153" s="74">
        <f>IF(M153="","",IFERROR(INDEX(LMH_PTS,MATCH(M153,LMH_KEY,0))/SUM(IFERROR(INDEX(LMH_PTS,MATCH(J153,LMH_KEY,0)),0),IFERROR(INDEX(LMH_PTS,MATCH(K153,LMH_KEY,0)),0),IFERROR(INDEX(LMH_PTS,MATCH(L153,LMH_KEY,0)),0),IFERROR(INDEX(LMH_PTS,MATCH(M153,LMH_KEY,0)),0),IFERROR(INDEX(LMH_PTS,MATCH(N153,LMH_KEY,0)),0),IFERROR(INDEX(LMH_PTS,MATCH(O153,LMH_KEY,0)),0),IFERROR(INDEX(LMH_PTS,MATCH(P153,LMH_KEY,0)),0)),""))</f>
        <v>0.0588235294117647</v>
      </c>
      <c r="U153" s="74">
        <f>IF(N153="","",IFERROR(INDEX(LMH_PTS,MATCH(N153,LMH_KEY,0))/SUM(IFERROR(INDEX(LMH_PTS,MATCH(J153,LMH_KEY,0)),0),IFERROR(INDEX(LMH_PTS,MATCH(K153,LMH_KEY,0)),0),IFERROR(INDEX(LMH_PTS,MATCH(L153,LMH_KEY,0)),0),IFERROR(INDEX(LMH_PTS,MATCH(M153,LMH_KEY,0)),0),IFERROR(INDEX(LMH_PTS,MATCH(N153,LMH_KEY,0)),0),IFERROR(INDEX(LMH_PTS,MATCH(O153,LMH_KEY,0)),0),IFERROR(INDEX(LMH_PTS,MATCH(P153,LMH_KEY,0)),0)),""))</f>
        <v>0.0588235294117647</v>
      </c>
      <c r="V153" s="74">
        <f>IF(O153="","",IFERROR(INDEX(LMH_PTS,MATCH(O153,LMH_KEY,0))/SUM(IFERROR(INDEX(LMH_PTS,MATCH(J153,LMH_KEY,0)),0),IFERROR(INDEX(LMH_PTS,MATCH(K153,LMH_KEY,0)),0),IFERROR(INDEX(LMH_PTS,MATCH(L153,LMH_KEY,0)),0),IFERROR(INDEX(LMH_PTS,MATCH(M153,LMH_KEY,0)),0),IFERROR(INDEX(LMH_PTS,MATCH(N153,LMH_KEY,0)),0),IFERROR(INDEX(LMH_PTS,MATCH(O153,LMH_KEY,0)),0),IFERROR(INDEX(LMH_PTS,MATCH(P153,LMH_KEY,0)),0)),""))</f>
        <v>0.0588235294117647</v>
      </c>
      <c r="W153" s="74">
        <f>IF(P153="","",IFERROR(INDEX(LMH_PTS,MATCH(P153,LMH_KEY,0))/SUM(IFERROR(INDEX(LMH_PTS,MATCH(J153,LMH_KEY,0)),0),IFERROR(INDEX(LMH_PTS,MATCH(K153,LMH_KEY,0)),0),IFERROR(INDEX(LMH_PTS,MATCH(L153,LMH_KEY,0)),0),IFERROR(INDEX(LMH_PTS,MATCH(M153,LMH_KEY,0)),0),IFERROR(INDEX(LMH_PTS,MATCH(N153,LMH_KEY,0)),0),IFERROR(INDEX(LMH_PTS,MATCH(O153,LMH_KEY,0)),0),IFERROR(INDEX(LMH_PTS,MATCH(P153,LMH_KEY,0)),0)),""))</f>
        <v>0.0588235294117647</v>
      </c>
      <c r="X153" s="44" t="n"/>
      <c r="Y153" s="38" t="inlineStr">
        <is>
          <t>iFile|Quality Assurance|QA Specialist|A3|A</t>
        </is>
      </c>
    </row>
    <row r="154" ht="28" customHeight="1">
      <c r="A154" s="28" t="inlineStr">
        <is>
          <t>iFile</t>
        </is>
      </c>
      <c r="B154" s="29" t="inlineStr">
        <is>
          <t>Quality Assurance</t>
        </is>
      </c>
      <c r="C154" s="75" t="inlineStr">
        <is>
          <t>A3</t>
        </is>
      </c>
      <c r="D154" s="29" t="inlineStr">
        <is>
          <t>Band A · Practitioner</t>
        </is>
      </c>
      <c r="E154" s="29" t="inlineStr">
        <is>
          <t>Senior QA Automation Engineer</t>
        </is>
      </c>
      <c r="F154" s="29" t="inlineStr">
        <is>
          <t>Band A · all tracks</t>
        </is>
      </c>
      <c r="G154" s="29" t="inlineStr">
        <is>
          <t>Quality Assurance</t>
        </is>
      </c>
      <c r="H154" s="29" t="n">
        <v>1</v>
      </c>
      <c r="I154" s="29" t="inlineStr">
        <is>
          <t>Adnan Yakub Majgaonkar</t>
        </is>
      </c>
      <c r="J154" s="34" t="str">
        <f>IFERROR(INDEX(RBD_C,MATCH("Quality Assurance|A3|A",RBD_KEY,0)),"M")</f>
        <v>H</v>
      </c>
      <c r="K154" s="35" t="str">
        <f>IFERROR(INDEX(RBD_Au,MATCH("Quality Assurance|A3|A",RBD_KEY,0)),"M")</f>
        <v>M</v>
      </c>
      <c r="L154" s="35" t="str">
        <f>IFERROR(INDEX(RBD_Ac,MATCH("Quality Assurance|A3|A",RBD_KEY,0)),"M")</f>
        <v>L</v>
      </c>
      <c r="M154" s="35" t="str">
        <f>IFERROR(INDEX(RBD_L,MATCH("Quality Assurance|A3|A",RBD_KEY,0)),"M")</f>
        <v>L</v>
      </c>
      <c r="N154" s="35" t="str">
        <f>IFERROR(INDEX(RBD_BI,MATCH("Quality Assurance|A3|A",RBD_KEY,0)),"M")</f>
        <v>L</v>
      </c>
      <c r="O154" s="35" t="str">
        <f>IFERROR(INDEX(RBD_Exp,MATCH("Quality Assurance|A3|A",RBD_KEY,0)),"M")</f>
        <v>L</v>
      </c>
      <c r="P154" s="35" t="str">
        <f>IFERROR(INDEX(RBD_Edu,MATCH("Quality Assurance|A3|A",RBD_KEY,0)),"M")</f>
        <v>L</v>
      </c>
      <c r="Q154" s="73">
        <f>IF(J154="","",IFERROR(INDEX(LMH_PTS,MATCH(J154,LMH_KEY,0))/SUM(IFERROR(INDEX(LMH_PTS,MATCH(J154,LMH_KEY,0)),0),IFERROR(INDEX(LMH_PTS,MATCH(K154,LMH_KEY,0)),0),IFERROR(INDEX(LMH_PTS,MATCH(L154,LMH_KEY,0)),0),IFERROR(INDEX(LMH_PTS,MATCH(M154,LMH_KEY,0)),0),IFERROR(INDEX(LMH_PTS,MATCH(N154,LMH_KEY,0)),0),IFERROR(INDEX(LMH_PTS,MATCH(O154,LMH_KEY,0)),0),IFERROR(INDEX(LMH_PTS,MATCH(P154,LMH_KEY,0)),0)),""))</f>
        <v>0.529411764705882</v>
      </c>
      <c r="R154" s="74">
        <f>IF(K154="","",IFERROR(INDEX(LMH_PTS,MATCH(K154,LMH_KEY,0))/SUM(IFERROR(INDEX(LMH_PTS,MATCH(J154,LMH_KEY,0)),0),IFERROR(INDEX(LMH_PTS,MATCH(K154,LMH_KEY,0)),0),IFERROR(INDEX(LMH_PTS,MATCH(L154,LMH_KEY,0)),0),IFERROR(INDEX(LMH_PTS,MATCH(M154,LMH_KEY,0)),0),IFERROR(INDEX(LMH_PTS,MATCH(N154,LMH_KEY,0)),0),IFERROR(INDEX(LMH_PTS,MATCH(O154,LMH_KEY,0)),0),IFERROR(INDEX(LMH_PTS,MATCH(P154,LMH_KEY,0)),0)),""))</f>
        <v>0.176470588235294</v>
      </c>
      <c r="S154" s="74">
        <f>IF(L154="","",IFERROR(INDEX(LMH_PTS,MATCH(L154,LMH_KEY,0))/SUM(IFERROR(INDEX(LMH_PTS,MATCH(J154,LMH_KEY,0)),0),IFERROR(INDEX(LMH_PTS,MATCH(K154,LMH_KEY,0)),0),IFERROR(INDEX(LMH_PTS,MATCH(L154,LMH_KEY,0)),0),IFERROR(INDEX(LMH_PTS,MATCH(M154,LMH_KEY,0)),0),IFERROR(INDEX(LMH_PTS,MATCH(N154,LMH_KEY,0)),0),IFERROR(INDEX(LMH_PTS,MATCH(O154,LMH_KEY,0)),0),IFERROR(INDEX(LMH_PTS,MATCH(P154,LMH_KEY,0)),0)),""))</f>
        <v>0.0588235294117647</v>
      </c>
      <c r="T154" s="74">
        <f>IF(M154="","",IFERROR(INDEX(LMH_PTS,MATCH(M154,LMH_KEY,0))/SUM(IFERROR(INDEX(LMH_PTS,MATCH(J154,LMH_KEY,0)),0),IFERROR(INDEX(LMH_PTS,MATCH(K154,LMH_KEY,0)),0),IFERROR(INDEX(LMH_PTS,MATCH(L154,LMH_KEY,0)),0),IFERROR(INDEX(LMH_PTS,MATCH(M154,LMH_KEY,0)),0),IFERROR(INDEX(LMH_PTS,MATCH(N154,LMH_KEY,0)),0),IFERROR(INDEX(LMH_PTS,MATCH(O154,LMH_KEY,0)),0),IFERROR(INDEX(LMH_PTS,MATCH(P154,LMH_KEY,0)),0)),""))</f>
        <v>0.0588235294117647</v>
      </c>
      <c r="U154" s="74">
        <f>IF(N154="","",IFERROR(INDEX(LMH_PTS,MATCH(N154,LMH_KEY,0))/SUM(IFERROR(INDEX(LMH_PTS,MATCH(J154,LMH_KEY,0)),0),IFERROR(INDEX(LMH_PTS,MATCH(K154,LMH_KEY,0)),0),IFERROR(INDEX(LMH_PTS,MATCH(L154,LMH_KEY,0)),0),IFERROR(INDEX(LMH_PTS,MATCH(M154,LMH_KEY,0)),0),IFERROR(INDEX(LMH_PTS,MATCH(N154,LMH_KEY,0)),0),IFERROR(INDEX(LMH_PTS,MATCH(O154,LMH_KEY,0)),0),IFERROR(INDEX(LMH_PTS,MATCH(P154,LMH_KEY,0)),0)),""))</f>
        <v>0.0588235294117647</v>
      </c>
      <c r="V154" s="74">
        <f>IF(O154="","",IFERROR(INDEX(LMH_PTS,MATCH(O154,LMH_KEY,0))/SUM(IFERROR(INDEX(LMH_PTS,MATCH(J154,LMH_KEY,0)),0),IFERROR(INDEX(LMH_PTS,MATCH(K154,LMH_KEY,0)),0),IFERROR(INDEX(LMH_PTS,MATCH(L154,LMH_KEY,0)),0),IFERROR(INDEX(LMH_PTS,MATCH(M154,LMH_KEY,0)),0),IFERROR(INDEX(LMH_PTS,MATCH(N154,LMH_KEY,0)),0),IFERROR(INDEX(LMH_PTS,MATCH(O154,LMH_KEY,0)),0),IFERROR(INDEX(LMH_PTS,MATCH(P154,LMH_KEY,0)),0)),""))</f>
        <v>0.0588235294117647</v>
      </c>
      <c r="W154" s="74">
        <f>IF(P154="","",IFERROR(INDEX(LMH_PTS,MATCH(P154,LMH_KEY,0))/SUM(IFERROR(INDEX(LMH_PTS,MATCH(J154,LMH_KEY,0)),0),IFERROR(INDEX(LMH_PTS,MATCH(K154,LMH_KEY,0)),0),IFERROR(INDEX(LMH_PTS,MATCH(L154,LMH_KEY,0)),0),IFERROR(INDEX(LMH_PTS,MATCH(M154,LMH_KEY,0)),0),IFERROR(INDEX(LMH_PTS,MATCH(N154,LMH_KEY,0)),0),IFERROR(INDEX(LMH_PTS,MATCH(O154,LMH_KEY,0)),0),IFERROR(INDEX(LMH_PTS,MATCH(P154,LMH_KEY,0)),0)),""))</f>
        <v>0.0588235294117647</v>
      </c>
      <c r="X154" s="44" t="n"/>
      <c r="Y154" s="38" t="inlineStr">
        <is>
          <t>iFile|Quality Assurance|Senior QA Automation Engineer|A3|A</t>
        </is>
      </c>
    </row>
    <row r="155" ht="78" customHeight="1">
      <c r="A155" s="28" t="inlineStr">
        <is>
          <t>iFile</t>
        </is>
      </c>
      <c r="B155" s="29" t="inlineStr">
        <is>
          <t>Quality Assurance</t>
        </is>
      </c>
      <c r="C155" s="75" t="inlineStr">
        <is>
          <t>A3</t>
        </is>
      </c>
      <c r="D155" s="29" t="inlineStr">
        <is>
          <t>Band A · Practitioner</t>
        </is>
      </c>
      <c r="E155" s="29" t="inlineStr">
        <is>
          <t>Senior QA Engineer</t>
        </is>
      </c>
      <c r="F155" s="29" t="inlineStr">
        <is>
          <t>Band A · all tracks</t>
        </is>
      </c>
      <c r="G155" s="29" t="inlineStr">
        <is>
          <t>Quality Assurance</t>
        </is>
      </c>
      <c r="H155" s="29" t="n">
        <v>10</v>
      </c>
      <c r="I155" s="29" t="inlineStr">
        <is>
          <t>Ayush Saurkar, Sandeep Padhi, Suraj Govind Walhekar, Deepika Bartwal, Sandip Potkule, Bhagyshree Khedkar, Rahul Devarkonda, Sanchi Pawaskar, Tejas Rane, Vishal Khare</t>
        </is>
      </c>
      <c r="J155" s="34" t="str">
        <f>IFERROR(INDEX(RBD_C,MATCH("Quality Assurance|A3|A",RBD_KEY,0)),"M")</f>
        <v>H</v>
      </c>
      <c r="K155" s="35" t="str">
        <f>IFERROR(INDEX(RBD_Au,MATCH("Quality Assurance|A3|A",RBD_KEY,0)),"M")</f>
        <v>M</v>
      </c>
      <c r="L155" s="35" t="str">
        <f>IFERROR(INDEX(RBD_Ac,MATCH("Quality Assurance|A3|A",RBD_KEY,0)),"M")</f>
        <v>L</v>
      </c>
      <c r="M155" s="35" t="str">
        <f>IFERROR(INDEX(RBD_L,MATCH("Quality Assurance|A3|A",RBD_KEY,0)),"M")</f>
        <v>L</v>
      </c>
      <c r="N155" s="35" t="str">
        <f>IFERROR(INDEX(RBD_BI,MATCH("Quality Assurance|A3|A",RBD_KEY,0)),"M")</f>
        <v>L</v>
      </c>
      <c r="O155" s="35" t="str">
        <f>IFERROR(INDEX(RBD_Exp,MATCH("Quality Assurance|A3|A",RBD_KEY,0)),"M")</f>
        <v>L</v>
      </c>
      <c r="P155" s="35" t="str">
        <f>IFERROR(INDEX(RBD_Edu,MATCH("Quality Assurance|A3|A",RBD_KEY,0)),"M")</f>
        <v>L</v>
      </c>
      <c r="Q155" s="73">
        <f>IF(J155="","",IFERROR(INDEX(LMH_PTS,MATCH(J155,LMH_KEY,0))/SUM(IFERROR(INDEX(LMH_PTS,MATCH(J155,LMH_KEY,0)),0),IFERROR(INDEX(LMH_PTS,MATCH(K155,LMH_KEY,0)),0),IFERROR(INDEX(LMH_PTS,MATCH(L155,LMH_KEY,0)),0),IFERROR(INDEX(LMH_PTS,MATCH(M155,LMH_KEY,0)),0),IFERROR(INDEX(LMH_PTS,MATCH(N155,LMH_KEY,0)),0),IFERROR(INDEX(LMH_PTS,MATCH(O155,LMH_KEY,0)),0),IFERROR(INDEX(LMH_PTS,MATCH(P155,LMH_KEY,0)),0)),""))</f>
        <v>0.529411764705882</v>
      </c>
      <c r="R155" s="74">
        <f>IF(K155="","",IFERROR(INDEX(LMH_PTS,MATCH(K155,LMH_KEY,0))/SUM(IFERROR(INDEX(LMH_PTS,MATCH(J155,LMH_KEY,0)),0),IFERROR(INDEX(LMH_PTS,MATCH(K155,LMH_KEY,0)),0),IFERROR(INDEX(LMH_PTS,MATCH(L155,LMH_KEY,0)),0),IFERROR(INDEX(LMH_PTS,MATCH(M155,LMH_KEY,0)),0),IFERROR(INDEX(LMH_PTS,MATCH(N155,LMH_KEY,0)),0),IFERROR(INDEX(LMH_PTS,MATCH(O155,LMH_KEY,0)),0),IFERROR(INDEX(LMH_PTS,MATCH(P155,LMH_KEY,0)),0)),""))</f>
        <v>0.176470588235294</v>
      </c>
      <c r="S155" s="74">
        <f>IF(L155="","",IFERROR(INDEX(LMH_PTS,MATCH(L155,LMH_KEY,0))/SUM(IFERROR(INDEX(LMH_PTS,MATCH(J155,LMH_KEY,0)),0),IFERROR(INDEX(LMH_PTS,MATCH(K155,LMH_KEY,0)),0),IFERROR(INDEX(LMH_PTS,MATCH(L155,LMH_KEY,0)),0),IFERROR(INDEX(LMH_PTS,MATCH(M155,LMH_KEY,0)),0),IFERROR(INDEX(LMH_PTS,MATCH(N155,LMH_KEY,0)),0),IFERROR(INDEX(LMH_PTS,MATCH(O155,LMH_KEY,0)),0),IFERROR(INDEX(LMH_PTS,MATCH(P155,LMH_KEY,0)),0)),""))</f>
        <v>0.0588235294117647</v>
      </c>
      <c r="T155" s="74">
        <f>IF(M155="","",IFERROR(INDEX(LMH_PTS,MATCH(M155,LMH_KEY,0))/SUM(IFERROR(INDEX(LMH_PTS,MATCH(J155,LMH_KEY,0)),0),IFERROR(INDEX(LMH_PTS,MATCH(K155,LMH_KEY,0)),0),IFERROR(INDEX(LMH_PTS,MATCH(L155,LMH_KEY,0)),0),IFERROR(INDEX(LMH_PTS,MATCH(M155,LMH_KEY,0)),0),IFERROR(INDEX(LMH_PTS,MATCH(N155,LMH_KEY,0)),0),IFERROR(INDEX(LMH_PTS,MATCH(O155,LMH_KEY,0)),0),IFERROR(INDEX(LMH_PTS,MATCH(P155,LMH_KEY,0)),0)),""))</f>
        <v>0.0588235294117647</v>
      </c>
      <c r="U155" s="74">
        <f>IF(N155="","",IFERROR(INDEX(LMH_PTS,MATCH(N155,LMH_KEY,0))/SUM(IFERROR(INDEX(LMH_PTS,MATCH(J155,LMH_KEY,0)),0),IFERROR(INDEX(LMH_PTS,MATCH(K155,LMH_KEY,0)),0),IFERROR(INDEX(LMH_PTS,MATCH(L155,LMH_KEY,0)),0),IFERROR(INDEX(LMH_PTS,MATCH(M155,LMH_KEY,0)),0),IFERROR(INDEX(LMH_PTS,MATCH(N155,LMH_KEY,0)),0),IFERROR(INDEX(LMH_PTS,MATCH(O155,LMH_KEY,0)),0),IFERROR(INDEX(LMH_PTS,MATCH(P155,LMH_KEY,0)),0)),""))</f>
        <v>0.0588235294117647</v>
      </c>
      <c r="V155" s="74">
        <f>IF(O155="","",IFERROR(INDEX(LMH_PTS,MATCH(O155,LMH_KEY,0))/SUM(IFERROR(INDEX(LMH_PTS,MATCH(J155,LMH_KEY,0)),0),IFERROR(INDEX(LMH_PTS,MATCH(K155,LMH_KEY,0)),0),IFERROR(INDEX(LMH_PTS,MATCH(L155,LMH_KEY,0)),0),IFERROR(INDEX(LMH_PTS,MATCH(M155,LMH_KEY,0)),0),IFERROR(INDEX(LMH_PTS,MATCH(N155,LMH_KEY,0)),0),IFERROR(INDEX(LMH_PTS,MATCH(O155,LMH_KEY,0)),0),IFERROR(INDEX(LMH_PTS,MATCH(P155,LMH_KEY,0)),0)),""))</f>
        <v>0.0588235294117647</v>
      </c>
      <c r="W155" s="74">
        <f>IF(P155="","",IFERROR(INDEX(LMH_PTS,MATCH(P155,LMH_KEY,0))/SUM(IFERROR(INDEX(LMH_PTS,MATCH(J155,LMH_KEY,0)),0),IFERROR(INDEX(LMH_PTS,MATCH(K155,LMH_KEY,0)),0),IFERROR(INDEX(LMH_PTS,MATCH(L155,LMH_KEY,0)),0),IFERROR(INDEX(LMH_PTS,MATCH(M155,LMH_KEY,0)),0),IFERROR(INDEX(LMH_PTS,MATCH(N155,LMH_KEY,0)),0),IFERROR(INDEX(LMH_PTS,MATCH(O155,LMH_KEY,0)),0),IFERROR(INDEX(LMH_PTS,MATCH(P155,LMH_KEY,0)),0)),""))</f>
        <v>0.0588235294117647</v>
      </c>
      <c r="X155" s="44" t="n"/>
      <c r="Y155" s="38" t="inlineStr">
        <is>
          <t>iFile|Quality Assurance|Senior QA Engineer|A3|A</t>
        </is>
      </c>
    </row>
    <row r="156" ht="18" customHeight="1">
      <c r="A156" s="28" t="inlineStr">
        <is>
          <t>iFile</t>
        </is>
      </c>
      <c r="B156" s="29" t="inlineStr">
        <is>
          <t>Quality Assurance</t>
        </is>
      </c>
      <c r="C156" s="75" t="inlineStr">
        <is>
          <t>A2</t>
        </is>
      </c>
      <c r="D156" s="29" t="inlineStr">
        <is>
          <t>Band A · Practitioner</t>
        </is>
      </c>
      <c r="E156" s="29" t="inlineStr">
        <is>
          <t>QA Engineer</t>
        </is>
      </c>
      <c r="F156" s="29" t="inlineStr">
        <is>
          <t>Band A · all tracks</t>
        </is>
      </c>
      <c r="G156" s="29" t="inlineStr">
        <is>
          <t>Quality Assurance</t>
        </is>
      </c>
      <c r="H156" s="29" t="n">
        <v>1</v>
      </c>
      <c r="I156" s="29" t="inlineStr">
        <is>
          <t>Sanskruti Varade</t>
        </is>
      </c>
      <c r="J156" s="34" t="str">
        <f>IFERROR(INDEX(RBD_C,MATCH("Quality Assurance|A2|A",RBD_KEY,0)),"M")</f>
        <v>H</v>
      </c>
      <c r="K156" s="35" t="str">
        <f>IFERROR(INDEX(RBD_Au,MATCH("Quality Assurance|A2|A",RBD_KEY,0)),"M")</f>
        <v>M</v>
      </c>
      <c r="L156" s="35" t="str">
        <f>IFERROR(INDEX(RBD_Ac,MATCH("Quality Assurance|A2|A",RBD_KEY,0)),"M")</f>
        <v>L</v>
      </c>
      <c r="M156" s="35" t="str">
        <f>IFERROR(INDEX(RBD_L,MATCH("Quality Assurance|A2|A",RBD_KEY,0)),"M")</f>
        <v>L</v>
      </c>
      <c r="N156" s="35" t="str">
        <f>IFERROR(INDEX(RBD_BI,MATCH("Quality Assurance|A2|A",RBD_KEY,0)),"M")</f>
        <v>L</v>
      </c>
      <c r="O156" s="35" t="str">
        <f>IFERROR(INDEX(RBD_Exp,MATCH("Quality Assurance|A2|A",RBD_KEY,0)),"M")</f>
        <v>L</v>
      </c>
      <c r="P156" s="35" t="str">
        <f>IFERROR(INDEX(RBD_Edu,MATCH("Quality Assurance|A2|A",RBD_KEY,0)),"M")</f>
        <v>L</v>
      </c>
      <c r="Q156" s="73">
        <f>IF(J156="","",IFERROR(INDEX(LMH_PTS,MATCH(J156,LMH_KEY,0))/SUM(IFERROR(INDEX(LMH_PTS,MATCH(J156,LMH_KEY,0)),0),IFERROR(INDEX(LMH_PTS,MATCH(K156,LMH_KEY,0)),0),IFERROR(INDEX(LMH_PTS,MATCH(L156,LMH_KEY,0)),0),IFERROR(INDEX(LMH_PTS,MATCH(M156,LMH_KEY,0)),0),IFERROR(INDEX(LMH_PTS,MATCH(N156,LMH_KEY,0)),0),IFERROR(INDEX(LMH_PTS,MATCH(O156,LMH_KEY,0)),0),IFERROR(INDEX(LMH_PTS,MATCH(P156,LMH_KEY,0)),0)),""))</f>
        <v>0.529411764705882</v>
      </c>
      <c r="R156" s="74">
        <f>IF(K156="","",IFERROR(INDEX(LMH_PTS,MATCH(K156,LMH_KEY,0))/SUM(IFERROR(INDEX(LMH_PTS,MATCH(J156,LMH_KEY,0)),0),IFERROR(INDEX(LMH_PTS,MATCH(K156,LMH_KEY,0)),0),IFERROR(INDEX(LMH_PTS,MATCH(L156,LMH_KEY,0)),0),IFERROR(INDEX(LMH_PTS,MATCH(M156,LMH_KEY,0)),0),IFERROR(INDEX(LMH_PTS,MATCH(N156,LMH_KEY,0)),0),IFERROR(INDEX(LMH_PTS,MATCH(O156,LMH_KEY,0)),0),IFERROR(INDEX(LMH_PTS,MATCH(P156,LMH_KEY,0)),0)),""))</f>
        <v>0.176470588235294</v>
      </c>
      <c r="S156" s="74">
        <f>IF(L156="","",IFERROR(INDEX(LMH_PTS,MATCH(L156,LMH_KEY,0))/SUM(IFERROR(INDEX(LMH_PTS,MATCH(J156,LMH_KEY,0)),0),IFERROR(INDEX(LMH_PTS,MATCH(K156,LMH_KEY,0)),0),IFERROR(INDEX(LMH_PTS,MATCH(L156,LMH_KEY,0)),0),IFERROR(INDEX(LMH_PTS,MATCH(M156,LMH_KEY,0)),0),IFERROR(INDEX(LMH_PTS,MATCH(N156,LMH_KEY,0)),0),IFERROR(INDEX(LMH_PTS,MATCH(O156,LMH_KEY,0)),0),IFERROR(INDEX(LMH_PTS,MATCH(P156,LMH_KEY,0)),0)),""))</f>
        <v>0.0588235294117647</v>
      </c>
      <c r="T156" s="74">
        <f>IF(M156="","",IFERROR(INDEX(LMH_PTS,MATCH(M156,LMH_KEY,0))/SUM(IFERROR(INDEX(LMH_PTS,MATCH(J156,LMH_KEY,0)),0),IFERROR(INDEX(LMH_PTS,MATCH(K156,LMH_KEY,0)),0),IFERROR(INDEX(LMH_PTS,MATCH(L156,LMH_KEY,0)),0),IFERROR(INDEX(LMH_PTS,MATCH(M156,LMH_KEY,0)),0),IFERROR(INDEX(LMH_PTS,MATCH(N156,LMH_KEY,0)),0),IFERROR(INDEX(LMH_PTS,MATCH(O156,LMH_KEY,0)),0),IFERROR(INDEX(LMH_PTS,MATCH(P156,LMH_KEY,0)),0)),""))</f>
        <v>0.0588235294117647</v>
      </c>
      <c r="U156" s="74">
        <f>IF(N156="","",IFERROR(INDEX(LMH_PTS,MATCH(N156,LMH_KEY,0))/SUM(IFERROR(INDEX(LMH_PTS,MATCH(J156,LMH_KEY,0)),0),IFERROR(INDEX(LMH_PTS,MATCH(K156,LMH_KEY,0)),0),IFERROR(INDEX(LMH_PTS,MATCH(L156,LMH_KEY,0)),0),IFERROR(INDEX(LMH_PTS,MATCH(M156,LMH_KEY,0)),0),IFERROR(INDEX(LMH_PTS,MATCH(N156,LMH_KEY,0)),0),IFERROR(INDEX(LMH_PTS,MATCH(O156,LMH_KEY,0)),0),IFERROR(INDEX(LMH_PTS,MATCH(P156,LMH_KEY,0)),0)),""))</f>
        <v>0.0588235294117647</v>
      </c>
      <c r="V156" s="74">
        <f>IF(O156="","",IFERROR(INDEX(LMH_PTS,MATCH(O156,LMH_KEY,0))/SUM(IFERROR(INDEX(LMH_PTS,MATCH(J156,LMH_KEY,0)),0),IFERROR(INDEX(LMH_PTS,MATCH(K156,LMH_KEY,0)),0),IFERROR(INDEX(LMH_PTS,MATCH(L156,LMH_KEY,0)),0),IFERROR(INDEX(LMH_PTS,MATCH(M156,LMH_KEY,0)),0),IFERROR(INDEX(LMH_PTS,MATCH(N156,LMH_KEY,0)),0),IFERROR(INDEX(LMH_PTS,MATCH(O156,LMH_KEY,0)),0),IFERROR(INDEX(LMH_PTS,MATCH(P156,LMH_KEY,0)),0)),""))</f>
        <v>0.0588235294117647</v>
      </c>
      <c r="W156" s="74">
        <f>IF(P156="","",IFERROR(INDEX(LMH_PTS,MATCH(P156,LMH_KEY,0))/SUM(IFERROR(INDEX(LMH_PTS,MATCH(J156,LMH_KEY,0)),0),IFERROR(INDEX(LMH_PTS,MATCH(K156,LMH_KEY,0)),0),IFERROR(INDEX(LMH_PTS,MATCH(L156,LMH_KEY,0)),0),IFERROR(INDEX(LMH_PTS,MATCH(M156,LMH_KEY,0)),0),IFERROR(INDEX(LMH_PTS,MATCH(N156,LMH_KEY,0)),0),IFERROR(INDEX(LMH_PTS,MATCH(O156,LMH_KEY,0)),0),IFERROR(INDEX(LMH_PTS,MATCH(P156,LMH_KEY,0)),0)),""))</f>
        <v>0.0588235294117647</v>
      </c>
      <c r="X156" s="44" t="n"/>
      <c r="Y156" s="38" t="inlineStr">
        <is>
          <t>iFile|Quality Assurance|QA Engineer|A2|A</t>
        </is>
      </c>
    </row>
    <row r="157" ht="28" customHeight="1">
      <c r="A157" s="28" t="inlineStr">
        <is>
          <t>iFile</t>
        </is>
      </c>
      <c r="B157" s="29" t="inlineStr">
        <is>
          <t>Quality Assurance</t>
        </is>
      </c>
      <c r="C157" s="75" t="inlineStr">
        <is>
          <t>A1</t>
        </is>
      </c>
      <c r="D157" s="29" t="inlineStr">
        <is>
          <t>Band A · Practitioner</t>
        </is>
      </c>
      <c r="E157" s="29" t="inlineStr">
        <is>
          <t>Intern – Functional &amp; Domain Testing</t>
        </is>
      </c>
      <c r="F157" s="29" t="inlineStr">
        <is>
          <t>Band A · all tracks</t>
        </is>
      </c>
      <c r="G157" s="29" t="inlineStr">
        <is>
          <t>Quality Assurance</t>
        </is>
      </c>
      <c r="H157" s="29" t="n">
        <v>1</v>
      </c>
      <c r="I157" s="29" t="inlineStr">
        <is>
          <t>Yugal Kishore Singh</t>
        </is>
      </c>
      <c r="J157" s="34" t="str">
        <f>IFERROR(INDEX(RBD_C,MATCH("Quality Assurance|A1|A",RBD_KEY,0)),"M")</f>
        <v>H</v>
      </c>
      <c r="K157" s="35" t="str">
        <f>IFERROR(INDEX(RBD_Au,MATCH("Quality Assurance|A1|A",RBD_KEY,0)),"M")</f>
        <v>M</v>
      </c>
      <c r="L157" s="35" t="str">
        <f>IFERROR(INDEX(RBD_Ac,MATCH("Quality Assurance|A1|A",RBD_KEY,0)),"M")</f>
        <v>L</v>
      </c>
      <c r="M157" s="35" t="str">
        <f>IFERROR(INDEX(RBD_L,MATCH("Quality Assurance|A1|A",RBD_KEY,0)),"M")</f>
        <v>L</v>
      </c>
      <c r="N157" s="35" t="str">
        <f>IFERROR(INDEX(RBD_BI,MATCH("Quality Assurance|A1|A",RBD_KEY,0)),"M")</f>
        <v>L</v>
      </c>
      <c r="O157" s="35" t="str">
        <f>IFERROR(INDEX(RBD_Exp,MATCH("Quality Assurance|A1|A",RBD_KEY,0)),"M")</f>
        <v>L</v>
      </c>
      <c r="P157" s="35" t="str">
        <f>IFERROR(INDEX(RBD_Edu,MATCH("Quality Assurance|A1|A",RBD_KEY,0)),"M")</f>
        <v>L</v>
      </c>
      <c r="Q157" s="73">
        <f>IF(J157="","",IFERROR(INDEX(LMH_PTS,MATCH(J157,LMH_KEY,0))/SUM(IFERROR(INDEX(LMH_PTS,MATCH(J157,LMH_KEY,0)),0),IFERROR(INDEX(LMH_PTS,MATCH(K157,LMH_KEY,0)),0),IFERROR(INDEX(LMH_PTS,MATCH(L157,LMH_KEY,0)),0),IFERROR(INDEX(LMH_PTS,MATCH(M157,LMH_KEY,0)),0),IFERROR(INDEX(LMH_PTS,MATCH(N157,LMH_KEY,0)),0),IFERROR(INDEX(LMH_PTS,MATCH(O157,LMH_KEY,0)),0),IFERROR(INDEX(LMH_PTS,MATCH(P157,LMH_KEY,0)),0)),""))</f>
        <v>0.529411764705882</v>
      </c>
      <c r="R157" s="74">
        <f>IF(K157="","",IFERROR(INDEX(LMH_PTS,MATCH(K157,LMH_KEY,0))/SUM(IFERROR(INDEX(LMH_PTS,MATCH(J157,LMH_KEY,0)),0),IFERROR(INDEX(LMH_PTS,MATCH(K157,LMH_KEY,0)),0),IFERROR(INDEX(LMH_PTS,MATCH(L157,LMH_KEY,0)),0),IFERROR(INDEX(LMH_PTS,MATCH(M157,LMH_KEY,0)),0),IFERROR(INDEX(LMH_PTS,MATCH(N157,LMH_KEY,0)),0),IFERROR(INDEX(LMH_PTS,MATCH(O157,LMH_KEY,0)),0),IFERROR(INDEX(LMH_PTS,MATCH(P157,LMH_KEY,0)),0)),""))</f>
        <v>0.176470588235294</v>
      </c>
      <c r="S157" s="74">
        <f>IF(L157="","",IFERROR(INDEX(LMH_PTS,MATCH(L157,LMH_KEY,0))/SUM(IFERROR(INDEX(LMH_PTS,MATCH(J157,LMH_KEY,0)),0),IFERROR(INDEX(LMH_PTS,MATCH(K157,LMH_KEY,0)),0),IFERROR(INDEX(LMH_PTS,MATCH(L157,LMH_KEY,0)),0),IFERROR(INDEX(LMH_PTS,MATCH(M157,LMH_KEY,0)),0),IFERROR(INDEX(LMH_PTS,MATCH(N157,LMH_KEY,0)),0),IFERROR(INDEX(LMH_PTS,MATCH(O157,LMH_KEY,0)),0),IFERROR(INDEX(LMH_PTS,MATCH(P157,LMH_KEY,0)),0)),""))</f>
        <v>0.0588235294117647</v>
      </c>
      <c r="T157" s="74">
        <f>IF(M157="","",IFERROR(INDEX(LMH_PTS,MATCH(M157,LMH_KEY,0))/SUM(IFERROR(INDEX(LMH_PTS,MATCH(J157,LMH_KEY,0)),0),IFERROR(INDEX(LMH_PTS,MATCH(K157,LMH_KEY,0)),0),IFERROR(INDEX(LMH_PTS,MATCH(L157,LMH_KEY,0)),0),IFERROR(INDEX(LMH_PTS,MATCH(M157,LMH_KEY,0)),0),IFERROR(INDEX(LMH_PTS,MATCH(N157,LMH_KEY,0)),0),IFERROR(INDEX(LMH_PTS,MATCH(O157,LMH_KEY,0)),0),IFERROR(INDEX(LMH_PTS,MATCH(P157,LMH_KEY,0)),0)),""))</f>
        <v>0.0588235294117647</v>
      </c>
      <c r="U157" s="74">
        <f>IF(N157="","",IFERROR(INDEX(LMH_PTS,MATCH(N157,LMH_KEY,0))/SUM(IFERROR(INDEX(LMH_PTS,MATCH(J157,LMH_KEY,0)),0),IFERROR(INDEX(LMH_PTS,MATCH(K157,LMH_KEY,0)),0),IFERROR(INDEX(LMH_PTS,MATCH(L157,LMH_KEY,0)),0),IFERROR(INDEX(LMH_PTS,MATCH(M157,LMH_KEY,0)),0),IFERROR(INDEX(LMH_PTS,MATCH(N157,LMH_KEY,0)),0),IFERROR(INDEX(LMH_PTS,MATCH(O157,LMH_KEY,0)),0),IFERROR(INDEX(LMH_PTS,MATCH(P157,LMH_KEY,0)),0)),""))</f>
        <v>0.0588235294117647</v>
      </c>
      <c r="V157" s="74">
        <f>IF(O157="","",IFERROR(INDEX(LMH_PTS,MATCH(O157,LMH_KEY,0))/SUM(IFERROR(INDEX(LMH_PTS,MATCH(J157,LMH_KEY,0)),0),IFERROR(INDEX(LMH_PTS,MATCH(K157,LMH_KEY,0)),0),IFERROR(INDEX(LMH_PTS,MATCH(L157,LMH_KEY,0)),0),IFERROR(INDEX(LMH_PTS,MATCH(M157,LMH_KEY,0)),0),IFERROR(INDEX(LMH_PTS,MATCH(N157,LMH_KEY,0)),0),IFERROR(INDEX(LMH_PTS,MATCH(O157,LMH_KEY,0)),0),IFERROR(INDEX(LMH_PTS,MATCH(P157,LMH_KEY,0)),0)),""))</f>
        <v>0.0588235294117647</v>
      </c>
      <c r="W157" s="74">
        <f>IF(P157="","",IFERROR(INDEX(LMH_PTS,MATCH(P157,LMH_KEY,0))/SUM(IFERROR(INDEX(LMH_PTS,MATCH(J157,LMH_KEY,0)),0),IFERROR(INDEX(LMH_PTS,MATCH(K157,LMH_KEY,0)),0),IFERROR(INDEX(LMH_PTS,MATCH(L157,LMH_KEY,0)),0),IFERROR(INDEX(LMH_PTS,MATCH(M157,LMH_KEY,0)),0),IFERROR(INDEX(LMH_PTS,MATCH(N157,LMH_KEY,0)),0),IFERROR(INDEX(LMH_PTS,MATCH(O157,LMH_KEY,0)),0),IFERROR(INDEX(LMH_PTS,MATCH(P157,LMH_KEY,0)),0)),""))</f>
        <v>0.0588235294117647</v>
      </c>
      <c r="X157" s="44" t="n"/>
      <c r="Y157" s="38" t="inlineStr">
        <is>
          <t>iFile|Quality Assurance|Intern – Functional &amp; Domain Testing|A1|A</t>
        </is>
      </c>
    </row>
    <row r="158" ht="28" customHeight="1">
      <c r="A158" s="28" t="inlineStr">
        <is>
          <t>iFile</t>
        </is>
      </c>
      <c r="B158" s="29" t="inlineStr">
        <is>
          <t>Quality Assurance</t>
        </is>
      </c>
      <c r="C158" s="75" t="inlineStr">
        <is>
          <t>A1</t>
        </is>
      </c>
      <c r="D158" s="29" t="inlineStr">
        <is>
          <t>Band A · Practitioner</t>
        </is>
      </c>
      <c r="E158" s="29" t="inlineStr">
        <is>
          <t>Trainee QA Automation Engineer</t>
        </is>
      </c>
      <c r="F158" s="29" t="inlineStr">
        <is>
          <t>Band A · all tracks</t>
        </is>
      </c>
      <c r="G158" s="29" t="inlineStr">
        <is>
          <t>Quality Assurance</t>
        </is>
      </c>
      <c r="H158" s="29" t="n">
        <v>2</v>
      </c>
      <c r="I158" s="29" t="inlineStr">
        <is>
          <t>Mahesh Dhokale, Chinmay Dambe</t>
        </is>
      </c>
      <c r="J158" s="34" t="str">
        <f>IFERROR(INDEX(RBD_C,MATCH("Quality Assurance|A1|A",RBD_KEY,0)),"M")</f>
        <v>H</v>
      </c>
      <c r="K158" s="35" t="str">
        <f>IFERROR(INDEX(RBD_Au,MATCH("Quality Assurance|A1|A",RBD_KEY,0)),"M")</f>
        <v>M</v>
      </c>
      <c r="L158" s="35" t="str">
        <f>IFERROR(INDEX(RBD_Ac,MATCH("Quality Assurance|A1|A",RBD_KEY,0)),"M")</f>
        <v>L</v>
      </c>
      <c r="M158" s="35" t="str">
        <f>IFERROR(INDEX(RBD_L,MATCH("Quality Assurance|A1|A",RBD_KEY,0)),"M")</f>
        <v>L</v>
      </c>
      <c r="N158" s="35" t="str">
        <f>IFERROR(INDEX(RBD_BI,MATCH("Quality Assurance|A1|A",RBD_KEY,0)),"M")</f>
        <v>L</v>
      </c>
      <c r="O158" s="35" t="str">
        <f>IFERROR(INDEX(RBD_Exp,MATCH("Quality Assurance|A1|A",RBD_KEY,0)),"M")</f>
        <v>L</v>
      </c>
      <c r="P158" s="35" t="str">
        <f>IFERROR(INDEX(RBD_Edu,MATCH("Quality Assurance|A1|A",RBD_KEY,0)),"M")</f>
        <v>L</v>
      </c>
      <c r="Q158" s="73">
        <f>IF(J158="","",IFERROR(INDEX(LMH_PTS,MATCH(J158,LMH_KEY,0))/SUM(IFERROR(INDEX(LMH_PTS,MATCH(J158,LMH_KEY,0)),0),IFERROR(INDEX(LMH_PTS,MATCH(K158,LMH_KEY,0)),0),IFERROR(INDEX(LMH_PTS,MATCH(L158,LMH_KEY,0)),0),IFERROR(INDEX(LMH_PTS,MATCH(M158,LMH_KEY,0)),0),IFERROR(INDEX(LMH_PTS,MATCH(N158,LMH_KEY,0)),0),IFERROR(INDEX(LMH_PTS,MATCH(O158,LMH_KEY,0)),0),IFERROR(INDEX(LMH_PTS,MATCH(P158,LMH_KEY,0)),0)),""))</f>
        <v>0.529411764705882</v>
      </c>
      <c r="R158" s="74">
        <f>IF(K158="","",IFERROR(INDEX(LMH_PTS,MATCH(K158,LMH_KEY,0))/SUM(IFERROR(INDEX(LMH_PTS,MATCH(J158,LMH_KEY,0)),0),IFERROR(INDEX(LMH_PTS,MATCH(K158,LMH_KEY,0)),0),IFERROR(INDEX(LMH_PTS,MATCH(L158,LMH_KEY,0)),0),IFERROR(INDEX(LMH_PTS,MATCH(M158,LMH_KEY,0)),0),IFERROR(INDEX(LMH_PTS,MATCH(N158,LMH_KEY,0)),0),IFERROR(INDEX(LMH_PTS,MATCH(O158,LMH_KEY,0)),0),IFERROR(INDEX(LMH_PTS,MATCH(P158,LMH_KEY,0)),0)),""))</f>
        <v>0.176470588235294</v>
      </c>
      <c r="S158" s="74">
        <f>IF(L158="","",IFERROR(INDEX(LMH_PTS,MATCH(L158,LMH_KEY,0))/SUM(IFERROR(INDEX(LMH_PTS,MATCH(J158,LMH_KEY,0)),0),IFERROR(INDEX(LMH_PTS,MATCH(K158,LMH_KEY,0)),0),IFERROR(INDEX(LMH_PTS,MATCH(L158,LMH_KEY,0)),0),IFERROR(INDEX(LMH_PTS,MATCH(M158,LMH_KEY,0)),0),IFERROR(INDEX(LMH_PTS,MATCH(N158,LMH_KEY,0)),0),IFERROR(INDEX(LMH_PTS,MATCH(O158,LMH_KEY,0)),0),IFERROR(INDEX(LMH_PTS,MATCH(P158,LMH_KEY,0)),0)),""))</f>
        <v>0.0588235294117647</v>
      </c>
      <c r="T158" s="74">
        <f>IF(M158="","",IFERROR(INDEX(LMH_PTS,MATCH(M158,LMH_KEY,0))/SUM(IFERROR(INDEX(LMH_PTS,MATCH(J158,LMH_KEY,0)),0),IFERROR(INDEX(LMH_PTS,MATCH(K158,LMH_KEY,0)),0),IFERROR(INDEX(LMH_PTS,MATCH(L158,LMH_KEY,0)),0),IFERROR(INDEX(LMH_PTS,MATCH(M158,LMH_KEY,0)),0),IFERROR(INDEX(LMH_PTS,MATCH(N158,LMH_KEY,0)),0),IFERROR(INDEX(LMH_PTS,MATCH(O158,LMH_KEY,0)),0),IFERROR(INDEX(LMH_PTS,MATCH(P158,LMH_KEY,0)),0)),""))</f>
        <v>0.0588235294117647</v>
      </c>
      <c r="U158" s="74">
        <f>IF(N158="","",IFERROR(INDEX(LMH_PTS,MATCH(N158,LMH_KEY,0))/SUM(IFERROR(INDEX(LMH_PTS,MATCH(J158,LMH_KEY,0)),0),IFERROR(INDEX(LMH_PTS,MATCH(K158,LMH_KEY,0)),0),IFERROR(INDEX(LMH_PTS,MATCH(L158,LMH_KEY,0)),0),IFERROR(INDEX(LMH_PTS,MATCH(M158,LMH_KEY,0)),0),IFERROR(INDEX(LMH_PTS,MATCH(N158,LMH_KEY,0)),0),IFERROR(INDEX(LMH_PTS,MATCH(O158,LMH_KEY,0)),0),IFERROR(INDEX(LMH_PTS,MATCH(P158,LMH_KEY,0)),0)),""))</f>
        <v>0.0588235294117647</v>
      </c>
      <c r="V158" s="74">
        <f>IF(O158="","",IFERROR(INDEX(LMH_PTS,MATCH(O158,LMH_KEY,0))/SUM(IFERROR(INDEX(LMH_PTS,MATCH(J158,LMH_KEY,0)),0),IFERROR(INDEX(LMH_PTS,MATCH(K158,LMH_KEY,0)),0),IFERROR(INDEX(LMH_PTS,MATCH(L158,LMH_KEY,0)),0),IFERROR(INDEX(LMH_PTS,MATCH(M158,LMH_KEY,0)),0),IFERROR(INDEX(LMH_PTS,MATCH(N158,LMH_KEY,0)),0),IFERROR(INDEX(LMH_PTS,MATCH(O158,LMH_KEY,0)),0),IFERROR(INDEX(LMH_PTS,MATCH(P158,LMH_KEY,0)),0)),""))</f>
        <v>0.0588235294117647</v>
      </c>
      <c r="W158" s="74">
        <f>IF(P158="","",IFERROR(INDEX(LMH_PTS,MATCH(P158,LMH_KEY,0))/SUM(IFERROR(INDEX(LMH_PTS,MATCH(J158,LMH_KEY,0)),0),IFERROR(INDEX(LMH_PTS,MATCH(K158,LMH_KEY,0)),0),IFERROR(INDEX(LMH_PTS,MATCH(L158,LMH_KEY,0)),0),IFERROR(INDEX(LMH_PTS,MATCH(M158,LMH_KEY,0)),0),IFERROR(INDEX(LMH_PTS,MATCH(N158,LMH_KEY,0)),0),IFERROR(INDEX(LMH_PTS,MATCH(O158,LMH_KEY,0)),0),IFERROR(INDEX(LMH_PTS,MATCH(P158,LMH_KEY,0)),0)),""))</f>
        <v>0.0588235294117647</v>
      </c>
      <c r="X158" s="44" t="n"/>
      <c r="Y158" s="38" t="inlineStr">
        <is>
          <t>iFile|Quality Assurance|Trainee QA Automation Engineer|A1|A</t>
        </is>
      </c>
    </row>
    <row r="159" ht="28" customHeight="1">
      <c r="A159" s="28" t="inlineStr">
        <is>
          <t>iFile</t>
        </is>
      </c>
      <c r="B159" s="71" t="inlineStr">
        <is>
          <t>Sales</t>
        </is>
      </c>
      <c r="C159" s="79" t="inlineStr">
        <is>
          <t>D2</t>
        </is>
      </c>
      <c r="D159" s="29" t="inlineStr">
        <is>
          <t>Band D · Business leadership</t>
        </is>
      </c>
      <c r="E159" s="29" t="inlineStr">
        <is>
          <t>Business Head – SupTech &amp; Bank-RegTech</t>
        </is>
      </c>
      <c r="F159" s="29" t="inlineStr">
        <is>
          <t>Bands D–E · Leadership</t>
        </is>
      </c>
      <c r="G159" s="29" t="inlineStr">
        <is>
          <t>Executive Leadership</t>
        </is>
      </c>
      <c r="H159" s="29" t="n">
        <v>1</v>
      </c>
      <c r="I159" s="29" t="inlineStr">
        <is>
          <t>Shailesh Gupta</t>
        </is>
      </c>
      <c r="J159" s="34" t="str">
        <f>IFERROR(INDEX(RBD_C,MATCH("Executive Leadership|D2|DE",RBD_KEY,0)),"M")</f>
        <v>H</v>
      </c>
      <c r="K159" s="35" t="str">
        <f>IFERROR(INDEX(RBD_Au,MATCH("Executive Leadership|D2|DE",RBD_KEY,0)),"M")</f>
        <v>M</v>
      </c>
      <c r="L159" s="35" t="str">
        <f>IFERROR(INDEX(RBD_Ac,MATCH("Executive Leadership|D2|DE",RBD_KEY,0)),"M")</f>
        <v>M</v>
      </c>
      <c r="M159" s="35" t="str">
        <f>IFERROR(INDEX(RBD_L,MATCH("Executive Leadership|D2|DE",RBD_KEY,0)),"M")</f>
        <v>M</v>
      </c>
      <c r="N159" s="35" t="str">
        <f>IFERROR(INDEX(RBD_BI,MATCH("Executive Leadership|D2|DE",RBD_KEY,0)),"M")</f>
        <v>L</v>
      </c>
      <c r="O159" s="35" t="str">
        <f>IFERROR(INDEX(RBD_Exp,MATCH("Executive Leadership|D2|DE",RBD_KEY,0)),"M")</f>
        <v>L</v>
      </c>
      <c r="P159" s="35" t="str">
        <f>IFERROR(INDEX(RBD_Edu,MATCH("Executive Leadership|D2|DE",RBD_KEY,0)),"M")</f>
        <v>L</v>
      </c>
      <c r="Q159" s="73">
        <f>IF(J159="","",IFERROR(INDEX(LMH_PTS,MATCH(J159,LMH_KEY,0))/SUM(IFERROR(INDEX(LMH_PTS,MATCH(J159,LMH_KEY,0)),0),IFERROR(INDEX(LMH_PTS,MATCH(K159,LMH_KEY,0)),0),IFERROR(INDEX(LMH_PTS,MATCH(L159,LMH_KEY,0)),0),IFERROR(INDEX(LMH_PTS,MATCH(M159,LMH_KEY,0)),0),IFERROR(INDEX(LMH_PTS,MATCH(N159,LMH_KEY,0)),0),IFERROR(INDEX(LMH_PTS,MATCH(O159,LMH_KEY,0)),0),IFERROR(INDEX(LMH_PTS,MATCH(P159,LMH_KEY,0)),0)),""))</f>
        <v>0.428571428571429</v>
      </c>
      <c r="R159" s="74">
        <f>IF(K159="","",IFERROR(INDEX(LMH_PTS,MATCH(K159,LMH_KEY,0))/SUM(IFERROR(INDEX(LMH_PTS,MATCH(J159,LMH_KEY,0)),0),IFERROR(INDEX(LMH_PTS,MATCH(K159,LMH_KEY,0)),0),IFERROR(INDEX(LMH_PTS,MATCH(L159,LMH_KEY,0)),0),IFERROR(INDEX(LMH_PTS,MATCH(M159,LMH_KEY,0)),0),IFERROR(INDEX(LMH_PTS,MATCH(N159,LMH_KEY,0)),0),IFERROR(INDEX(LMH_PTS,MATCH(O159,LMH_KEY,0)),0),IFERROR(INDEX(LMH_PTS,MATCH(P159,LMH_KEY,0)),0)),""))</f>
        <v>0.142857142857143</v>
      </c>
      <c r="S159" s="74">
        <f>IF(L159="","",IFERROR(INDEX(LMH_PTS,MATCH(L159,LMH_KEY,0))/SUM(IFERROR(INDEX(LMH_PTS,MATCH(J159,LMH_KEY,0)),0),IFERROR(INDEX(LMH_PTS,MATCH(K159,LMH_KEY,0)),0),IFERROR(INDEX(LMH_PTS,MATCH(L159,LMH_KEY,0)),0),IFERROR(INDEX(LMH_PTS,MATCH(M159,LMH_KEY,0)),0),IFERROR(INDEX(LMH_PTS,MATCH(N159,LMH_KEY,0)),0),IFERROR(INDEX(LMH_PTS,MATCH(O159,LMH_KEY,0)),0),IFERROR(INDEX(LMH_PTS,MATCH(P159,LMH_KEY,0)),0)),""))</f>
        <v>0.142857142857143</v>
      </c>
      <c r="T159" s="74">
        <f>IF(M159="","",IFERROR(INDEX(LMH_PTS,MATCH(M159,LMH_KEY,0))/SUM(IFERROR(INDEX(LMH_PTS,MATCH(J159,LMH_KEY,0)),0),IFERROR(INDEX(LMH_PTS,MATCH(K159,LMH_KEY,0)),0),IFERROR(INDEX(LMH_PTS,MATCH(L159,LMH_KEY,0)),0),IFERROR(INDEX(LMH_PTS,MATCH(M159,LMH_KEY,0)),0),IFERROR(INDEX(LMH_PTS,MATCH(N159,LMH_KEY,0)),0),IFERROR(INDEX(LMH_PTS,MATCH(O159,LMH_KEY,0)),0),IFERROR(INDEX(LMH_PTS,MATCH(P159,LMH_KEY,0)),0)),""))</f>
        <v>0.142857142857143</v>
      </c>
      <c r="U159" s="74">
        <f>IF(N159="","",IFERROR(INDEX(LMH_PTS,MATCH(N159,LMH_KEY,0))/SUM(IFERROR(INDEX(LMH_PTS,MATCH(J159,LMH_KEY,0)),0),IFERROR(INDEX(LMH_PTS,MATCH(K159,LMH_KEY,0)),0),IFERROR(INDEX(LMH_PTS,MATCH(L159,LMH_KEY,0)),0),IFERROR(INDEX(LMH_PTS,MATCH(M159,LMH_KEY,0)),0),IFERROR(INDEX(LMH_PTS,MATCH(N159,LMH_KEY,0)),0),IFERROR(INDEX(LMH_PTS,MATCH(O159,LMH_KEY,0)),0),IFERROR(INDEX(LMH_PTS,MATCH(P159,LMH_KEY,0)),0)),""))</f>
        <v>0.0476190476190476</v>
      </c>
      <c r="V159" s="74">
        <f>IF(O159="","",IFERROR(INDEX(LMH_PTS,MATCH(O159,LMH_KEY,0))/SUM(IFERROR(INDEX(LMH_PTS,MATCH(J159,LMH_KEY,0)),0),IFERROR(INDEX(LMH_PTS,MATCH(K159,LMH_KEY,0)),0),IFERROR(INDEX(LMH_PTS,MATCH(L159,LMH_KEY,0)),0),IFERROR(INDEX(LMH_PTS,MATCH(M159,LMH_KEY,0)),0),IFERROR(INDEX(LMH_PTS,MATCH(N159,LMH_KEY,0)),0),IFERROR(INDEX(LMH_PTS,MATCH(O159,LMH_KEY,0)),0),IFERROR(INDEX(LMH_PTS,MATCH(P159,LMH_KEY,0)),0)),""))</f>
        <v>0.0476190476190476</v>
      </c>
      <c r="W159" s="74">
        <f>IF(P159="","",IFERROR(INDEX(LMH_PTS,MATCH(P159,LMH_KEY,0))/SUM(IFERROR(INDEX(LMH_PTS,MATCH(J159,LMH_KEY,0)),0),IFERROR(INDEX(LMH_PTS,MATCH(K159,LMH_KEY,0)),0),IFERROR(INDEX(LMH_PTS,MATCH(L159,LMH_KEY,0)),0),IFERROR(INDEX(LMH_PTS,MATCH(M159,LMH_KEY,0)),0),IFERROR(INDEX(LMH_PTS,MATCH(N159,LMH_KEY,0)),0),IFERROR(INDEX(LMH_PTS,MATCH(O159,LMH_KEY,0)),0),IFERROR(INDEX(LMH_PTS,MATCH(P159,LMH_KEY,0)),0)),""))</f>
        <v>0.0476190476190476</v>
      </c>
      <c r="X159" s="44" t="n"/>
      <c r="Y159" s="38" t="inlineStr">
        <is>
          <t>iFile|Sales|Business Head – SupTech &amp; Bank-RegTech|D2|DE</t>
        </is>
      </c>
    </row>
    <row r="160" ht="18" customHeight="1">
      <c r="A160" s="28" t="inlineStr">
        <is>
          <t>iFile</t>
        </is>
      </c>
      <c r="B160" s="29" t="inlineStr">
        <is>
          <t>Sales</t>
        </is>
      </c>
      <c r="C160" s="78" t="inlineStr">
        <is>
          <t>C2</t>
        </is>
      </c>
      <c r="D160" s="29" t="inlineStr">
        <is>
          <t>Band C · Principal / Head</t>
        </is>
      </c>
      <c r="E160" s="29" t="inlineStr">
        <is>
          <t>Head – Sales</t>
        </is>
      </c>
      <c r="F160" s="29" t="inlineStr">
        <is>
          <t>Band C · Head / manager</t>
        </is>
      </c>
      <c r="G160" s="29" t="inlineStr">
        <is>
          <t>Sales &amp; Business Development</t>
        </is>
      </c>
      <c r="H160" s="29" t="n">
        <v>1</v>
      </c>
      <c r="I160" s="29" t="inlineStr">
        <is>
          <t>Arup Ganguly</t>
        </is>
      </c>
      <c r="J160" s="34" t="str">
        <f>IFERROR(INDEX(RBD_C,MATCH("Sales &amp; Business Development|C2|C-M",RBD_KEY,0)),"M")</f>
        <v>H</v>
      </c>
      <c r="K160" s="35" t="str">
        <f>IFERROR(INDEX(RBD_Au,MATCH("Sales &amp; Business Development|C2|C-M",RBD_KEY,0)),"M")</f>
        <v>M</v>
      </c>
      <c r="L160" s="35" t="str">
        <f>IFERROR(INDEX(RBD_Ac,MATCH("Sales &amp; Business Development|C2|C-M",RBD_KEY,0)),"M")</f>
        <v>L</v>
      </c>
      <c r="M160" s="35" t="str">
        <f>IFERROR(INDEX(RBD_L,MATCH("Sales &amp; Business Development|C2|C-M",RBD_KEY,0)),"M")</f>
        <v>M</v>
      </c>
      <c r="N160" s="35" t="str">
        <f>IFERROR(INDEX(RBD_BI,MATCH("Sales &amp; Business Development|C2|C-M",RBD_KEY,0)),"M")</f>
        <v>M</v>
      </c>
      <c r="O160" s="35" t="str">
        <f>IFERROR(INDEX(RBD_Exp,MATCH("Sales &amp; Business Development|C2|C-M",RBD_KEY,0)),"M")</f>
        <v>L</v>
      </c>
      <c r="P160" s="35" t="str">
        <f>IFERROR(INDEX(RBD_Edu,MATCH("Sales &amp; Business Development|C2|C-M",RBD_KEY,0)),"M")</f>
        <v>L</v>
      </c>
      <c r="Q160" s="73">
        <f>IF(J160="","",IFERROR(INDEX(LMH_PTS,MATCH(J160,LMH_KEY,0))/SUM(IFERROR(INDEX(LMH_PTS,MATCH(J160,LMH_KEY,0)),0),IFERROR(INDEX(LMH_PTS,MATCH(K160,LMH_KEY,0)),0),IFERROR(INDEX(LMH_PTS,MATCH(L160,LMH_KEY,0)),0),IFERROR(INDEX(LMH_PTS,MATCH(M160,LMH_KEY,0)),0),IFERROR(INDEX(LMH_PTS,MATCH(N160,LMH_KEY,0)),0),IFERROR(INDEX(LMH_PTS,MATCH(O160,LMH_KEY,0)),0),IFERROR(INDEX(LMH_PTS,MATCH(P160,LMH_KEY,0)),0)),""))</f>
        <v>0.428571428571429</v>
      </c>
      <c r="R160" s="74">
        <f>IF(K160="","",IFERROR(INDEX(LMH_PTS,MATCH(K160,LMH_KEY,0))/SUM(IFERROR(INDEX(LMH_PTS,MATCH(J160,LMH_KEY,0)),0),IFERROR(INDEX(LMH_PTS,MATCH(K160,LMH_KEY,0)),0),IFERROR(INDEX(LMH_PTS,MATCH(L160,LMH_KEY,0)),0),IFERROR(INDEX(LMH_PTS,MATCH(M160,LMH_KEY,0)),0),IFERROR(INDEX(LMH_PTS,MATCH(N160,LMH_KEY,0)),0),IFERROR(INDEX(LMH_PTS,MATCH(O160,LMH_KEY,0)),0),IFERROR(INDEX(LMH_PTS,MATCH(P160,LMH_KEY,0)),0)),""))</f>
        <v>0.142857142857143</v>
      </c>
      <c r="S160" s="74">
        <f>IF(L160="","",IFERROR(INDEX(LMH_PTS,MATCH(L160,LMH_KEY,0))/SUM(IFERROR(INDEX(LMH_PTS,MATCH(J160,LMH_KEY,0)),0),IFERROR(INDEX(LMH_PTS,MATCH(K160,LMH_KEY,0)),0),IFERROR(INDEX(LMH_PTS,MATCH(L160,LMH_KEY,0)),0),IFERROR(INDEX(LMH_PTS,MATCH(M160,LMH_KEY,0)),0),IFERROR(INDEX(LMH_PTS,MATCH(N160,LMH_KEY,0)),0),IFERROR(INDEX(LMH_PTS,MATCH(O160,LMH_KEY,0)),0),IFERROR(INDEX(LMH_PTS,MATCH(P160,LMH_KEY,0)),0)),""))</f>
        <v>0.0476190476190476</v>
      </c>
      <c r="T160" s="74">
        <f>IF(M160="","",IFERROR(INDEX(LMH_PTS,MATCH(M160,LMH_KEY,0))/SUM(IFERROR(INDEX(LMH_PTS,MATCH(J160,LMH_KEY,0)),0),IFERROR(INDEX(LMH_PTS,MATCH(K160,LMH_KEY,0)),0),IFERROR(INDEX(LMH_PTS,MATCH(L160,LMH_KEY,0)),0),IFERROR(INDEX(LMH_PTS,MATCH(M160,LMH_KEY,0)),0),IFERROR(INDEX(LMH_PTS,MATCH(N160,LMH_KEY,0)),0),IFERROR(INDEX(LMH_PTS,MATCH(O160,LMH_KEY,0)),0),IFERROR(INDEX(LMH_PTS,MATCH(P160,LMH_KEY,0)),0)),""))</f>
        <v>0.142857142857143</v>
      </c>
      <c r="U160" s="74">
        <f>IF(N160="","",IFERROR(INDEX(LMH_PTS,MATCH(N160,LMH_KEY,0))/SUM(IFERROR(INDEX(LMH_PTS,MATCH(J160,LMH_KEY,0)),0),IFERROR(INDEX(LMH_PTS,MATCH(K160,LMH_KEY,0)),0),IFERROR(INDEX(LMH_PTS,MATCH(L160,LMH_KEY,0)),0),IFERROR(INDEX(LMH_PTS,MATCH(M160,LMH_KEY,0)),0),IFERROR(INDEX(LMH_PTS,MATCH(N160,LMH_KEY,0)),0),IFERROR(INDEX(LMH_PTS,MATCH(O160,LMH_KEY,0)),0),IFERROR(INDEX(LMH_PTS,MATCH(P160,LMH_KEY,0)),0)),""))</f>
        <v>0.142857142857143</v>
      </c>
      <c r="V160" s="74">
        <f>IF(O160="","",IFERROR(INDEX(LMH_PTS,MATCH(O160,LMH_KEY,0))/SUM(IFERROR(INDEX(LMH_PTS,MATCH(J160,LMH_KEY,0)),0),IFERROR(INDEX(LMH_PTS,MATCH(K160,LMH_KEY,0)),0),IFERROR(INDEX(LMH_PTS,MATCH(L160,LMH_KEY,0)),0),IFERROR(INDEX(LMH_PTS,MATCH(M160,LMH_KEY,0)),0),IFERROR(INDEX(LMH_PTS,MATCH(N160,LMH_KEY,0)),0),IFERROR(INDEX(LMH_PTS,MATCH(O160,LMH_KEY,0)),0),IFERROR(INDEX(LMH_PTS,MATCH(P160,LMH_KEY,0)),0)),""))</f>
        <v>0.0476190476190476</v>
      </c>
      <c r="W160" s="74">
        <f>IF(P160="","",IFERROR(INDEX(LMH_PTS,MATCH(P160,LMH_KEY,0))/SUM(IFERROR(INDEX(LMH_PTS,MATCH(J160,LMH_KEY,0)),0),IFERROR(INDEX(LMH_PTS,MATCH(K160,LMH_KEY,0)),0),IFERROR(INDEX(LMH_PTS,MATCH(L160,LMH_KEY,0)),0),IFERROR(INDEX(LMH_PTS,MATCH(M160,LMH_KEY,0)),0),IFERROR(INDEX(LMH_PTS,MATCH(N160,LMH_KEY,0)),0),IFERROR(INDEX(LMH_PTS,MATCH(O160,LMH_KEY,0)),0),IFERROR(INDEX(LMH_PTS,MATCH(P160,LMH_KEY,0)),0)),""))</f>
        <v>0.0476190476190476</v>
      </c>
      <c r="X160" s="44" t="n"/>
      <c r="Y160" s="38" t="inlineStr">
        <is>
          <t>iFile|Sales|Head – Sales|C2|C-M</t>
        </is>
      </c>
    </row>
    <row r="161" ht="28" customHeight="1">
      <c r="A161" s="28" t="inlineStr">
        <is>
          <t>iFile</t>
        </is>
      </c>
      <c r="B161" s="29" t="inlineStr">
        <is>
          <t>Sales</t>
        </is>
      </c>
      <c r="C161" s="72" t="inlineStr">
        <is>
          <t>B3</t>
        </is>
      </c>
      <c r="D161" s="29" t="inlineStr">
        <is>
          <t>Band B · Specialist / Manager</t>
        </is>
      </c>
      <c r="E161" s="29" t="inlineStr">
        <is>
          <t>Lead Alliances Specialist – POD Lead</t>
        </is>
      </c>
      <c r="F161" s="29" t="inlineStr">
        <is>
          <t>Band B · Specialist / POD Lead</t>
        </is>
      </c>
      <c r="G161" s="29" t="inlineStr">
        <is>
          <t>Sales &amp; Business Development</t>
        </is>
      </c>
      <c r="H161" s="29" t="n">
        <v>1</v>
      </c>
      <c r="I161" s="29" t="inlineStr">
        <is>
          <t>Amit Jaidka</t>
        </is>
      </c>
      <c r="J161" s="34" t="str">
        <f>IFERROR(INDEX(RBD_C,MATCH("Sales &amp; Business Development|B3|B-IC",RBD_KEY,0)),"M")</f>
        <v>H</v>
      </c>
      <c r="K161" s="35" t="str">
        <f>IFERROR(INDEX(RBD_Au,MATCH("Sales &amp; Business Development|B3|B-IC",RBD_KEY,0)),"M")</f>
        <v>M</v>
      </c>
      <c r="L161" s="35" t="str">
        <f>IFERROR(INDEX(RBD_Ac,MATCH("Sales &amp; Business Development|B3|B-IC",RBD_KEY,0)),"M")</f>
        <v>L</v>
      </c>
      <c r="M161" s="35" t="str">
        <f>IFERROR(INDEX(RBD_L,MATCH("Sales &amp; Business Development|B3|B-IC",RBD_KEY,0)),"M")</f>
        <v>L</v>
      </c>
      <c r="N161" s="35" t="str">
        <f>IFERROR(INDEX(RBD_BI,MATCH("Sales &amp; Business Development|B3|B-IC",RBD_KEY,0)),"M")</f>
        <v>M</v>
      </c>
      <c r="O161" s="35" t="str">
        <f>IFERROR(INDEX(RBD_Exp,MATCH("Sales &amp; Business Development|B3|B-IC",RBD_KEY,0)),"M")</f>
        <v>L</v>
      </c>
      <c r="P161" s="35" t="str">
        <f>IFERROR(INDEX(RBD_Edu,MATCH("Sales &amp; Business Development|B3|B-IC",RBD_KEY,0)),"M")</f>
        <v>L</v>
      </c>
      <c r="Q161" s="73">
        <f>IF(J161="","",IFERROR(INDEX(LMH_PTS,MATCH(J161,LMH_KEY,0))/SUM(IFERROR(INDEX(LMH_PTS,MATCH(J161,LMH_KEY,0)),0),IFERROR(INDEX(LMH_PTS,MATCH(K161,LMH_KEY,0)),0),IFERROR(INDEX(LMH_PTS,MATCH(L161,LMH_KEY,0)),0),IFERROR(INDEX(LMH_PTS,MATCH(M161,LMH_KEY,0)),0),IFERROR(INDEX(LMH_PTS,MATCH(N161,LMH_KEY,0)),0),IFERROR(INDEX(LMH_PTS,MATCH(O161,LMH_KEY,0)),0),IFERROR(INDEX(LMH_PTS,MATCH(P161,LMH_KEY,0)),0)),""))</f>
        <v>0.473684210526316</v>
      </c>
      <c r="R161" s="74">
        <f>IF(K161="","",IFERROR(INDEX(LMH_PTS,MATCH(K161,LMH_KEY,0))/SUM(IFERROR(INDEX(LMH_PTS,MATCH(J161,LMH_KEY,0)),0),IFERROR(INDEX(LMH_PTS,MATCH(K161,LMH_KEY,0)),0),IFERROR(INDEX(LMH_PTS,MATCH(L161,LMH_KEY,0)),0),IFERROR(INDEX(LMH_PTS,MATCH(M161,LMH_KEY,0)),0),IFERROR(INDEX(LMH_PTS,MATCH(N161,LMH_KEY,0)),0),IFERROR(INDEX(LMH_PTS,MATCH(O161,LMH_KEY,0)),0),IFERROR(INDEX(LMH_PTS,MATCH(P161,LMH_KEY,0)),0)),""))</f>
        <v>0.157894736842105</v>
      </c>
      <c r="S161" s="74">
        <f>IF(L161="","",IFERROR(INDEX(LMH_PTS,MATCH(L161,LMH_KEY,0))/SUM(IFERROR(INDEX(LMH_PTS,MATCH(J161,LMH_KEY,0)),0),IFERROR(INDEX(LMH_PTS,MATCH(K161,LMH_KEY,0)),0),IFERROR(INDEX(LMH_PTS,MATCH(L161,LMH_KEY,0)),0),IFERROR(INDEX(LMH_PTS,MATCH(M161,LMH_KEY,0)),0),IFERROR(INDEX(LMH_PTS,MATCH(N161,LMH_KEY,0)),0),IFERROR(INDEX(LMH_PTS,MATCH(O161,LMH_KEY,0)),0),IFERROR(INDEX(LMH_PTS,MATCH(P161,LMH_KEY,0)),0)),""))</f>
        <v>0.0526315789473684</v>
      </c>
      <c r="T161" s="74">
        <f>IF(M161="","",IFERROR(INDEX(LMH_PTS,MATCH(M161,LMH_KEY,0))/SUM(IFERROR(INDEX(LMH_PTS,MATCH(J161,LMH_KEY,0)),0),IFERROR(INDEX(LMH_PTS,MATCH(K161,LMH_KEY,0)),0),IFERROR(INDEX(LMH_PTS,MATCH(L161,LMH_KEY,0)),0),IFERROR(INDEX(LMH_PTS,MATCH(M161,LMH_KEY,0)),0),IFERROR(INDEX(LMH_PTS,MATCH(N161,LMH_KEY,0)),0),IFERROR(INDEX(LMH_PTS,MATCH(O161,LMH_KEY,0)),0),IFERROR(INDEX(LMH_PTS,MATCH(P161,LMH_KEY,0)),0)),""))</f>
        <v>0.0526315789473684</v>
      </c>
      <c r="U161" s="74">
        <f>IF(N161="","",IFERROR(INDEX(LMH_PTS,MATCH(N161,LMH_KEY,0))/SUM(IFERROR(INDEX(LMH_PTS,MATCH(J161,LMH_KEY,0)),0),IFERROR(INDEX(LMH_PTS,MATCH(K161,LMH_KEY,0)),0),IFERROR(INDEX(LMH_PTS,MATCH(L161,LMH_KEY,0)),0),IFERROR(INDEX(LMH_PTS,MATCH(M161,LMH_KEY,0)),0),IFERROR(INDEX(LMH_PTS,MATCH(N161,LMH_KEY,0)),0),IFERROR(INDEX(LMH_PTS,MATCH(O161,LMH_KEY,0)),0),IFERROR(INDEX(LMH_PTS,MATCH(P161,LMH_KEY,0)),0)),""))</f>
        <v>0.157894736842105</v>
      </c>
      <c r="V161" s="74">
        <f>IF(O161="","",IFERROR(INDEX(LMH_PTS,MATCH(O161,LMH_KEY,0))/SUM(IFERROR(INDEX(LMH_PTS,MATCH(J161,LMH_KEY,0)),0),IFERROR(INDEX(LMH_PTS,MATCH(K161,LMH_KEY,0)),0),IFERROR(INDEX(LMH_PTS,MATCH(L161,LMH_KEY,0)),0),IFERROR(INDEX(LMH_PTS,MATCH(M161,LMH_KEY,0)),0),IFERROR(INDEX(LMH_PTS,MATCH(N161,LMH_KEY,0)),0),IFERROR(INDEX(LMH_PTS,MATCH(O161,LMH_KEY,0)),0),IFERROR(INDEX(LMH_PTS,MATCH(P161,LMH_KEY,0)),0)),""))</f>
        <v>0.0526315789473684</v>
      </c>
      <c r="W161" s="74">
        <f>IF(P161="","",IFERROR(INDEX(LMH_PTS,MATCH(P161,LMH_KEY,0))/SUM(IFERROR(INDEX(LMH_PTS,MATCH(J161,LMH_KEY,0)),0),IFERROR(INDEX(LMH_PTS,MATCH(K161,LMH_KEY,0)),0),IFERROR(INDEX(LMH_PTS,MATCH(L161,LMH_KEY,0)),0),IFERROR(INDEX(LMH_PTS,MATCH(M161,LMH_KEY,0)),0),IFERROR(INDEX(LMH_PTS,MATCH(N161,LMH_KEY,0)),0),IFERROR(INDEX(LMH_PTS,MATCH(O161,LMH_KEY,0)),0),IFERROR(INDEX(LMH_PTS,MATCH(P161,LMH_KEY,0)),0)),""))</f>
        <v>0.0526315789473684</v>
      </c>
      <c r="X161" s="44" t="n"/>
      <c r="Y161" s="38" t="inlineStr">
        <is>
          <t>iFile|Sales|Lead Alliances Specialist – POD Lead|B3|B-IC</t>
        </is>
      </c>
    </row>
    <row r="162" ht="28" customHeight="1">
      <c r="A162" s="28" t="inlineStr">
        <is>
          <t>iFile</t>
        </is>
      </c>
      <c r="B162" s="29" t="inlineStr">
        <is>
          <t>Sales</t>
        </is>
      </c>
      <c r="C162" s="72" t="inlineStr">
        <is>
          <t>B3</t>
        </is>
      </c>
      <c r="D162" s="29" t="inlineStr">
        <is>
          <t>Band B · Specialist / Manager</t>
        </is>
      </c>
      <c r="E162" s="29" t="inlineStr">
        <is>
          <t>Principal – Enterprise Sales</t>
        </is>
      </c>
      <c r="F162" s="29" t="inlineStr">
        <is>
          <t>Band B · Specialist / POD Lead</t>
        </is>
      </c>
      <c r="G162" s="29" t="inlineStr">
        <is>
          <t>Sales &amp; Business Development</t>
        </is>
      </c>
      <c r="H162" s="29" t="n">
        <v>1</v>
      </c>
      <c r="I162" s="29" t="inlineStr">
        <is>
          <t>Ajay Singh Chauhan</t>
        </is>
      </c>
      <c r="J162" s="34" t="str">
        <f>IFERROR(INDEX(RBD_C,MATCH("Sales &amp; Business Development|B3|B-IC",RBD_KEY,0)),"M")</f>
        <v>H</v>
      </c>
      <c r="K162" s="35" t="str">
        <f>IFERROR(INDEX(RBD_Au,MATCH("Sales &amp; Business Development|B3|B-IC",RBD_KEY,0)),"M")</f>
        <v>M</v>
      </c>
      <c r="L162" s="35" t="str">
        <f>IFERROR(INDEX(RBD_Ac,MATCH("Sales &amp; Business Development|B3|B-IC",RBD_KEY,0)),"M")</f>
        <v>L</v>
      </c>
      <c r="M162" s="35" t="str">
        <f>IFERROR(INDEX(RBD_L,MATCH("Sales &amp; Business Development|B3|B-IC",RBD_KEY,0)),"M")</f>
        <v>L</v>
      </c>
      <c r="N162" s="35" t="str">
        <f>IFERROR(INDEX(RBD_BI,MATCH("Sales &amp; Business Development|B3|B-IC",RBD_KEY,0)),"M")</f>
        <v>M</v>
      </c>
      <c r="O162" s="35" t="str">
        <f>IFERROR(INDEX(RBD_Exp,MATCH("Sales &amp; Business Development|B3|B-IC",RBD_KEY,0)),"M")</f>
        <v>L</v>
      </c>
      <c r="P162" s="35" t="str">
        <f>IFERROR(INDEX(RBD_Edu,MATCH("Sales &amp; Business Development|B3|B-IC",RBD_KEY,0)),"M")</f>
        <v>L</v>
      </c>
      <c r="Q162" s="73">
        <f>IF(J162="","",IFERROR(INDEX(LMH_PTS,MATCH(J162,LMH_KEY,0))/SUM(IFERROR(INDEX(LMH_PTS,MATCH(J162,LMH_KEY,0)),0),IFERROR(INDEX(LMH_PTS,MATCH(K162,LMH_KEY,0)),0),IFERROR(INDEX(LMH_PTS,MATCH(L162,LMH_KEY,0)),0),IFERROR(INDEX(LMH_PTS,MATCH(M162,LMH_KEY,0)),0),IFERROR(INDEX(LMH_PTS,MATCH(N162,LMH_KEY,0)),0),IFERROR(INDEX(LMH_PTS,MATCH(O162,LMH_KEY,0)),0),IFERROR(INDEX(LMH_PTS,MATCH(P162,LMH_KEY,0)),0)),""))</f>
        <v>0.473684210526316</v>
      </c>
      <c r="R162" s="74">
        <f>IF(K162="","",IFERROR(INDEX(LMH_PTS,MATCH(K162,LMH_KEY,0))/SUM(IFERROR(INDEX(LMH_PTS,MATCH(J162,LMH_KEY,0)),0),IFERROR(INDEX(LMH_PTS,MATCH(K162,LMH_KEY,0)),0),IFERROR(INDEX(LMH_PTS,MATCH(L162,LMH_KEY,0)),0),IFERROR(INDEX(LMH_PTS,MATCH(M162,LMH_KEY,0)),0),IFERROR(INDEX(LMH_PTS,MATCH(N162,LMH_KEY,0)),0),IFERROR(INDEX(LMH_PTS,MATCH(O162,LMH_KEY,0)),0),IFERROR(INDEX(LMH_PTS,MATCH(P162,LMH_KEY,0)),0)),""))</f>
        <v>0.157894736842105</v>
      </c>
      <c r="S162" s="74">
        <f>IF(L162="","",IFERROR(INDEX(LMH_PTS,MATCH(L162,LMH_KEY,0))/SUM(IFERROR(INDEX(LMH_PTS,MATCH(J162,LMH_KEY,0)),0),IFERROR(INDEX(LMH_PTS,MATCH(K162,LMH_KEY,0)),0),IFERROR(INDEX(LMH_PTS,MATCH(L162,LMH_KEY,0)),0),IFERROR(INDEX(LMH_PTS,MATCH(M162,LMH_KEY,0)),0),IFERROR(INDEX(LMH_PTS,MATCH(N162,LMH_KEY,0)),0),IFERROR(INDEX(LMH_PTS,MATCH(O162,LMH_KEY,0)),0),IFERROR(INDEX(LMH_PTS,MATCH(P162,LMH_KEY,0)),0)),""))</f>
        <v>0.0526315789473684</v>
      </c>
      <c r="T162" s="74">
        <f>IF(M162="","",IFERROR(INDEX(LMH_PTS,MATCH(M162,LMH_KEY,0))/SUM(IFERROR(INDEX(LMH_PTS,MATCH(J162,LMH_KEY,0)),0),IFERROR(INDEX(LMH_PTS,MATCH(K162,LMH_KEY,0)),0),IFERROR(INDEX(LMH_PTS,MATCH(L162,LMH_KEY,0)),0),IFERROR(INDEX(LMH_PTS,MATCH(M162,LMH_KEY,0)),0),IFERROR(INDEX(LMH_PTS,MATCH(N162,LMH_KEY,0)),0),IFERROR(INDEX(LMH_PTS,MATCH(O162,LMH_KEY,0)),0),IFERROR(INDEX(LMH_PTS,MATCH(P162,LMH_KEY,0)),0)),""))</f>
        <v>0.0526315789473684</v>
      </c>
      <c r="U162" s="74">
        <f>IF(N162="","",IFERROR(INDEX(LMH_PTS,MATCH(N162,LMH_KEY,0))/SUM(IFERROR(INDEX(LMH_PTS,MATCH(J162,LMH_KEY,0)),0),IFERROR(INDEX(LMH_PTS,MATCH(K162,LMH_KEY,0)),0),IFERROR(INDEX(LMH_PTS,MATCH(L162,LMH_KEY,0)),0),IFERROR(INDEX(LMH_PTS,MATCH(M162,LMH_KEY,0)),0),IFERROR(INDEX(LMH_PTS,MATCH(N162,LMH_KEY,0)),0),IFERROR(INDEX(LMH_PTS,MATCH(O162,LMH_KEY,0)),0),IFERROR(INDEX(LMH_PTS,MATCH(P162,LMH_KEY,0)),0)),""))</f>
        <v>0.157894736842105</v>
      </c>
      <c r="V162" s="74">
        <f>IF(O162="","",IFERROR(INDEX(LMH_PTS,MATCH(O162,LMH_KEY,0))/SUM(IFERROR(INDEX(LMH_PTS,MATCH(J162,LMH_KEY,0)),0),IFERROR(INDEX(LMH_PTS,MATCH(K162,LMH_KEY,0)),0),IFERROR(INDEX(LMH_PTS,MATCH(L162,LMH_KEY,0)),0),IFERROR(INDEX(LMH_PTS,MATCH(M162,LMH_KEY,0)),0),IFERROR(INDEX(LMH_PTS,MATCH(N162,LMH_KEY,0)),0),IFERROR(INDEX(LMH_PTS,MATCH(O162,LMH_KEY,0)),0),IFERROR(INDEX(LMH_PTS,MATCH(P162,LMH_KEY,0)),0)),""))</f>
        <v>0.0526315789473684</v>
      </c>
      <c r="W162" s="74">
        <f>IF(P162="","",IFERROR(INDEX(LMH_PTS,MATCH(P162,LMH_KEY,0))/SUM(IFERROR(INDEX(LMH_PTS,MATCH(J162,LMH_KEY,0)),0),IFERROR(INDEX(LMH_PTS,MATCH(K162,LMH_KEY,0)),0),IFERROR(INDEX(LMH_PTS,MATCH(L162,LMH_KEY,0)),0),IFERROR(INDEX(LMH_PTS,MATCH(M162,LMH_KEY,0)),0),IFERROR(INDEX(LMH_PTS,MATCH(N162,LMH_KEY,0)),0),IFERROR(INDEX(LMH_PTS,MATCH(O162,LMH_KEY,0)),0),IFERROR(INDEX(LMH_PTS,MATCH(P162,LMH_KEY,0)),0)),""))</f>
        <v>0.0526315789473684</v>
      </c>
      <c r="X162" s="44" t="n"/>
      <c r="Y162" s="38" t="inlineStr">
        <is>
          <t>iFile|Sales|Principal – Enterprise Sales|B3|B-IC</t>
        </is>
      </c>
    </row>
    <row r="163" ht="28" customHeight="1">
      <c r="A163" s="28" t="inlineStr">
        <is>
          <t>iFile</t>
        </is>
      </c>
      <c r="B163" s="29" t="inlineStr">
        <is>
          <t>Sales</t>
        </is>
      </c>
      <c r="C163" s="72" t="inlineStr">
        <is>
          <t>B2</t>
        </is>
      </c>
      <c r="D163" s="29" t="inlineStr">
        <is>
          <t>Band B · Specialist / Manager</t>
        </is>
      </c>
      <c r="E163" s="29" t="inlineStr">
        <is>
          <t>Senior Account Executive – POD Lead</t>
        </is>
      </c>
      <c r="F163" s="29" t="inlineStr">
        <is>
          <t>Band B · Specialist / POD Lead</t>
        </is>
      </c>
      <c r="G163" s="29" t="inlineStr">
        <is>
          <t>Sales &amp; Business Development</t>
        </is>
      </c>
      <c r="H163" s="29" t="n">
        <v>1</v>
      </c>
      <c r="I163" s="29" t="inlineStr">
        <is>
          <t>Apurva Kirtikar</t>
        </is>
      </c>
      <c r="J163" s="34" t="str">
        <f>IFERROR(INDEX(RBD_C,MATCH("Sales &amp; Business Development|B2|B-IC",RBD_KEY,0)),"M")</f>
        <v>H</v>
      </c>
      <c r="K163" s="35" t="str">
        <f>IFERROR(INDEX(RBD_Au,MATCH("Sales &amp; Business Development|B2|B-IC",RBD_KEY,0)),"M")</f>
        <v>M</v>
      </c>
      <c r="L163" s="35" t="str">
        <f>IFERROR(INDEX(RBD_Ac,MATCH("Sales &amp; Business Development|B2|B-IC",RBD_KEY,0)),"M")</f>
        <v>L</v>
      </c>
      <c r="M163" s="35" t="str">
        <f>IFERROR(INDEX(RBD_L,MATCH("Sales &amp; Business Development|B2|B-IC",RBD_KEY,0)),"M")</f>
        <v>L</v>
      </c>
      <c r="N163" s="35" t="str">
        <f>IFERROR(INDEX(RBD_BI,MATCH("Sales &amp; Business Development|B2|B-IC",RBD_KEY,0)),"M")</f>
        <v>M</v>
      </c>
      <c r="O163" s="35" t="str">
        <f>IFERROR(INDEX(RBD_Exp,MATCH("Sales &amp; Business Development|B2|B-IC",RBD_KEY,0)),"M")</f>
        <v>L</v>
      </c>
      <c r="P163" s="35" t="str">
        <f>IFERROR(INDEX(RBD_Edu,MATCH("Sales &amp; Business Development|B2|B-IC",RBD_KEY,0)),"M")</f>
        <v>L</v>
      </c>
      <c r="Q163" s="73">
        <f>IF(J163="","",IFERROR(INDEX(LMH_PTS,MATCH(J163,LMH_KEY,0))/SUM(IFERROR(INDEX(LMH_PTS,MATCH(J163,LMH_KEY,0)),0),IFERROR(INDEX(LMH_PTS,MATCH(K163,LMH_KEY,0)),0),IFERROR(INDEX(LMH_PTS,MATCH(L163,LMH_KEY,0)),0),IFERROR(INDEX(LMH_PTS,MATCH(M163,LMH_KEY,0)),0),IFERROR(INDEX(LMH_PTS,MATCH(N163,LMH_KEY,0)),0),IFERROR(INDEX(LMH_PTS,MATCH(O163,LMH_KEY,0)),0),IFERROR(INDEX(LMH_PTS,MATCH(P163,LMH_KEY,0)),0)),""))</f>
        <v>0.473684210526316</v>
      </c>
      <c r="R163" s="74">
        <f>IF(K163="","",IFERROR(INDEX(LMH_PTS,MATCH(K163,LMH_KEY,0))/SUM(IFERROR(INDEX(LMH_PTS,MATCH(J163,LMH_KEY,0)),0),IFERROR(INDEX(LMH_PTS,MATCH(K163,LMH_KEY,0)),0),IFERROR(INDEX(LMH_PTS,MATCH(L163,LMH_KEY,0)),0),IFERROR(INDEX(LMH_PTS,MATCH(M163,LMH_KEY,0)),0),IFERROR(INDEX(LMH_PTS,MATCH(N163,LMH_KEY,0)),0),IFERROR(INDEX(LMH_PTS,MATCH(O163,LMH_KEY,0)),0),IFERROR(INDEX(LMH_PTS,MATCH(P163,LMH_KEY,0)),0)),""))</f>
        <v>0.157894736842105</v>
      </c>
      <c r="S163" s="74">
        <f>IF(L163="","",IFERROR(INDEX(LMH_PTS,MATCH(L163,LMH_KEY,0))/SUM(IFERROR(INDEX(LMH_PTS,MATCH(J163,LMH_KEY,0)),0),IFERROR(INDEX(LMH_PTS,MATCH(K163,LMH_KEY,0)),0),IFERROR(INDEX(LMH_PTS,MATCH(L163,LMH_KEY,0)),0),IFERROR(INDEX(LMH_PTS,MATCH(M163,LMH_KEY,0)),0),IFERROR(INDEX(LMH_PTS,MATCH(N163,LMH_KEY,0)),0),IFERROR(INDEX(LMH_PTS,MATCH(O163,LMH_KEY,0)),0),IFERROR(INDEX(LMH_PTS,MATCH(P163,LMH_KEY,0)),0)),""))</f>
        <v>0.0526315789473684</v>
      </c>
      <c r="T163" s="74">
        <f>IF(M163="","",IFERROR(INDEX(LMH_PTS,MATCH(M163,LMH_KEY,0))/SUM(IFERROR(INDEX(LMH_PTS,MATCH(J163,LMH_KEY,0)),0),IFERROR(INDEX(LMH_PTS,MATCH(K163,LMH_KEY,0)),0),IFERROR(INDEX(LMH_PTS,MATCH(L163,LMH_KEY,0)),0),IFERROR(INDEX(LMH_PTS,MATCH(M163,LMH_KEY,0)),0),IFERROR(INDEX(LMH_PTS,MATCH(N163,LMH_KEY,0)),0),IFERROR(INDEX(LMH_PTS,MATCH(O163,LMH_KEY,0)),0),IFERROR(INDEX(LMH_PTS,MATCH(P163,LMH_KEY,0)),0)),""))</f>
        <v>0.0526315789473684</v>
      </c>
      <c r="U163" s="74">
        <f>IF(N163="","",IFERROR(INDEX(LMH_PTS,MATCH(N163,LMH_KEY,0))/SUM(IFERROR(INDEX(LMH_PTS,MATCH(J163,LMH_KEY,0)),0),IFERROR(INDEX(LMH_PTS,MATCH(K163,LMH_KEY,0)),0),IFERROR(INDEX(LMH_PTS,MATCH(L163,LMH_KEY,0)),0),IFERROR(INDEX(LMH_PTS,MATCH(M163,LMH_KEY,0)),0),IFERROR(INDEX(LMH_PTS,MATCH(N163,LMH_KEY,0)),0),IFERROR(INDEX(LMH_PTS,MATCH(O163,LMH_KEY,0)),0),IFERROR(INDEX(LMH_PTS,MATCH(P163,LMH_KEY,0)),0)),""))</f>
        <v>0.157894736842105</v>
      </c>
      <c r="V163" s="74">
        <f>IF(O163="","",IFERROR(INDEX(LMH_PTS,MATCH(O163,LMH_KEY,0))/SUM(IFERROR(INDEX(LMH_PTS,MATCH(J163,LMH_KEY,0)),0),IFERROR(INDEX(LMH_PTS,MATCH(K163,LMH_KEY,0)),0),IFERROR(INDEX(LMH_PTS,MATCH(L163,LMH_KEY,0)),0),IFERROR(INDEX(LMH_PTS,MATCH(M163,LMH_KEY,0)),0),IFERROR(INDEX(LMH_PTS,MATCH(N163,LMH_KEY,0)),0),IFERROR(INDEX(LMH_PTS,MATCH(O163,LMH_KEY,0)),0),IFERROR(INDEX(LMH_PTS,MATCH(P163,LMH_KEY,0)),0)),""))</f>
        <v>0.0526315789473684</v>
      </c>
      <c r="W163" s="74">
        <f>IF(P163="","",IFERROR(INDEX(LMH_PTS,MATCH(P163,LMH_KEY,0))/SUM(IFERROR(INDEX(LMH_PTS,MATCH(J163,LMH_KEY,0)),0),IFERROR(INDEX(LMH_PTS,MATCH(K163,LMH_KEY,0)),0),IFERROR(INDEX(LMH_PTS,MATCH(L163,LMH_KEY,0)),0),IFERROR(INDEX(LMH_PTS,MATCH(M163,LMH_KEY,0)),0),IFERROR(INDEX(LMH_PTS,MATCH(N163,LMH_KEY,0)),0),IFERROR(INDEX(LMH_PTS,MATCH(O163,LMH_KEY,0)),0),IFERROR(INDEX(LMH_PTS,MATCH(P163,LMH_KEY,0)),0)),""))</f>
        <v>0.0526315789473684</v>
      </c>
      <c r="X163" s="44" t="n"/>
      <c r="Y163" s="38" t="inlineStr">
        <is>
          <t>iFile|Sales|Senior Account Executive – POD Lead|B2|B-IC</t>
        </is>
      </c>
    </row>
    <row r="164" ht="28" customHeight="1">
      <c r="A164" s="28" t="inlineStr">
        <is>
          <t>iFile</t>
        </is>
      </c>
      <c r="B164" s="29" t="inlineStr">
        <is>
          <t>Sales</t>
        </is>
      </c>
      <c r="C164" s="72" t="inlineStr">
        <is>
          <t>B1</t>
        </is>
      </c>
      <c r="D164" s="29" t="inlineStr">
        <is>
          <t>Band B · Specialist / Manager</t>
        </is>
      </c>
      <c r="E164" s="29" t="inlineStr">
        <is>
          <t>Account Executive – POD Lead</t>
        </is>
      </c>
      <c r="F164" s="29" t="inlineStr">
        <is>
          <t>Band B · Specialist / POD Lead</t>
        </is>
      </c>
      <c r="G164" s="29" t="inlineStr">
        <is>
          <t>Sales &amp; Business Development</t>
        </is>
      </c>
      <c r="H164" s="29" t="n">
        <v>1</v>
      </c>
      <c r="I164" s="29" t="inlineStr">
        <is>
          <t>Shreya Jolly</t>
        </is>
      </c>
      <c r="J164" s="34" t="str">
        <f>IFERROR(INDEX(RBD_C,MATCH("Sales &amp; Business Development|B1|B-IC",RBD_KEY,0)),"M")</f>
        <v>H</v>
      </c>
      <c r="K164" s="35" t="str">
        <f>IFERROR(INDEX(RBD_Au,MATCH("Sales &amp; Business Development|B1|B-IC",RBD_KEY,0)),"M")</f>
        <v>M</v>
      </c>
      <c r="L164" s="35" t="str">
        <f>IFERROR(INDEX(RBD_Ac,MATCH("Sales &amp; Business Development|B1|B-IC",RBD_KEY,0)),"M")</f>
        <v>L</v>
      </c>
      <c r="M164" s="35" t="str">
        <f>IFERROR(INDEX(RBD_L,MATCH("Sales &amp; Business Development|B1|B-IC",RBD_KEY,0)),"M")</f>
        <v>L</v>
      </c>
      <c r="N164" s="35" t="str">
        <f>IFERROR(INDEX(RBD_BI,MATCH("Sales &amp; Business Development|B1|B-IC",RBD_KEY,0)),"M")</f>
        <v>M</v>
      </c>
      <c r="O164" s="35" t="str">
        <f>IFERROR(INDEX(RBD_Exp,MATCH("Sales &amp; Business Development|B1|B-IC",RBD_KEY,0)),"M")</f>
        <v>L</v>
      </c>
      <c r="P164" s="35" t="str">
        <f>IFERROR(INDEX(RBD_Edu,MATCH("Sales &amp; Business Development|B1|B-IC",RBD_KEY,0)),"M")</f>
        <v>L</v>
      </c>
      <c r="Q164" s="73">
        <f>IF(J164="","",IFERROR(INDEX(LMH_PTS,MATCH(J164,LMH_KEY,0))/SUM(IFERROR(INDEX(LMH_PTS,MATCH(J164,LMH_KEY,0)),0),IFERROR(INDEX(LMH_PTS,MATCH(K164,LMH_KEY,0)),0),IFERROR(INDEX(LMH_PTS,MATCH(L164,LMH_KEY,0)),0),IFERROR(INDEX(LMH_PTS,MATCH(M164,LMH_KEY,0)),0),IFERROR(INDEX(LMH_PTS,MATCH(N164,LMH_KEY,0)),0),IFERROR(INDEX(LMH_PTS,MATCH(O164,LMH_KEY,0)),0),IFERROR(INDEX(LMH_PTS,MATCH(P164,LMH_KEY,0)),0)),""))</f>
        <v>0.473684210526316</v>
      </c>
      <c r="R164" s="74">
        <f>IF(K164="","",IFERROR(INDEX(LMH_PTS,MATCH(K164,LMH_KEY,0))/SUM(IFERROR(INDEX(LMH_PTS,MATCH(J164,LMH_KEY,0)),0),IFERROR(INDEX(LMH_PTS,MATCH(K164,LMH_KEY,0)),0),IFERROR(INDEX(LMH_PTS,MATCH(L164,LMH_KEY,0)),0),IFERROR(INDEX(LMH_PTS,MATCH(M164,LMH_KEY,0)),0),IFERROR(INDEX(LMH_PTS,MATCH(N164,LMH_KEY,0)),0),IFERROR(INDEX(LMH_PTS,MATCH(O164,LMH_KEY,0)),0),IFERROR(INDEX(LMH_PTS,MATCH(P164,LMH_KEY,0)),0)),""))</f>
        <v>0.157894736842105</v>
      </c>
      <c r="S164" s="74">
        <f>IF(L164="","",IFERROR(INDEX(LMH_PTS,MATCH(L164,LMH_KEY,0))/SUM(IFERROR(INDEX(LMH_PTS,MATCH(J164,LMH_KEY,0)),0),IFERROR(INDEX(LMH_PTS,MATCH(K164,LMH_KEY,0)),0),IFERROR(INDEX(LMH_PTS,MATCH(L164,LMH_KEY,0)),0),IFERROR(INDEX(LMH_PTS,MATCH(M164,LMH_KEY,0)),0),IFERROR(INDEX(LMH_PTS,MATCH(N164,LMH_KEY,0)),0),IFERROR(INDEX(LMH_PTS,MATCH(O164,LMH_KEY,0)),0),IFERROR(INDEX(LMH_PTS,MATCH(P164,LMH_KEY,0)),0)),""))</f>
        <v>0.0526315789473684</v>
      </c>
      <c r="T164" s="74">
        <f>IF(M164="","",IFERROR(INDEX(LMH_PTS,MATCH(M164,LMH_KEY,0))/SUM(IFERROR(INDEX(LMH_PTS,MATCH(J164,LMH_KEY,0)),0),IFERROR(INDEX(LMH_PTS,MATCH(K164,LMH_KEY,0)),0),IFERROR(INDEX(LMH_PTS,MATCH(L164,LMH_KEY,0)),0),IFERROR(INDEX(LMH_PTS,MATCH(M164,LMH_KEY,0)),0),IFERROR(INDEX(LMH_PTS,MATCH(N164,LMH_KEY,0)),0),IFERROR(INDEX(LMH_PTS,MATCH(O164,LMH_KEY,0)),0),IFERROR(INDEX(LMH_PTS,MATCH(P164,LMH_KEY,0)),0)),""))</f>
        <v>0.0526315789473684</v>
      </c>
      <c r="U164" s="74">
        <f>IF(N164="","",IFERROR(INDEX(LMH_PTS,MATCH(N164,LMH_KEY,0))/SUM(IFERROR(INDEX(LMH_PTS,MATCH(J164,LMH_KEY,0)),0),IFERROR(INDEX(LMH_PTS,MATCH(K164,LMH_KEY,0)),0),IFERROR(INDEX(LMH_PTS,MATCH(L164,LMH_KEY,0)),0),IFERROR(INDEX(LMH_PTS,MATCH(M164,LMH_KEY,0)),0),IFERROR(INDEX(LMH_PTS,MATCH(N164,LMH_KEY,0)),0),IFERROR(INDEX(LMH_PTS,MATCH(O164,LMH_KEY,0)),0),IFERROR(INDEX(LMH_PTS,MATCH(P164,LMH_KEY,0)),0)),""))</f>
        <v>0.157894736842105</v>
      </c>
      <c r="V164" s="74">
        <f>IF(O164="","",IFERROR(INDEX(LMH_PTS,MATCH(O164,LMH_KEY,0))/SUM(IFERROR(INDEX(LMH_PTS,MATCH(J164,LMH_KEY,0)),0),IFERROR(INDEX(LMH_PTS,MATCH(K164,LMH_KEY,0)),0),IFERROR(INDEX(LMH_PTS,MATCH(L164,LMH_KEY,0)),0),IFERROR(INDEX(LMH_PTS,MATCH(M164,LMH_KEY,0)),0),IFERROR(INDEX(LMH_PTS,MATCH(N164,LMH_KEY,0)),0),IFERROR(INDEX(LMH_PTS,MATCH(O164,LMH_KEY,0)),0),IFERROR(INDEX(LMH_PTS,MATCH(P164,LMH_KEY,0)),0)),""))</f>
        <v>0.0526315789473684</v>
      </c>
      <c r="W164" s="74">
        <f>IF(P164="","",IFERROR(INDEX(LMH_PTS,MATCH(P164,LMH_KEY,0))/SUM(IFERROR(INDEX(LMH_PTS,MATCH(J164,LMH_KEY,0)),0),IFERROR(INDEX(LMH_PTS,MATCH(K164,LMH_KEY,0)),0),IFERROR(INDEX(LMH_PTS,MATCH(L164,LMH_KEY,0)),0),IFERROR(INDEX(LMH_PTS,MATCH(M164,LMH_KEY,0)),0),IFERROR(INDEX(LMH_PTS,MATCH(N164,LMH_KEY,0)),0),IFERROR(INDEX(LMH_PTS,MATCH(O164,LMH_KEY,0)),0),IFERROR(INDEX(LMH_PTS,MATCH(P164,LMH_KEY,0)),0)),""))</f>
        <v>0.0526315789473684</v>
      </c>
      <c r="X164" s="44" t="n"/>
      <c r="Y164" s="38" t="inlineStr">
        <is>
          <t>iFile|Sales|Account Executive – POD Lead|B1|B-IC</t>
        </is>
      </c>
    </row>
    <row r="165" ht="18" customHeight="1">
      <c r="A165" s="28" t="inlineStr">
        <is>
          <t>iFile</t>
        </is>
      </c>
      <c r="B165" s="29" t="inlineStr">
        <is>
          <t>Sales</t>
        </is>
      </c>
      <c r="C165" s="72" t="inlineStr">
        <is>
          <t>B1</t>
        </is>
      </c>
      <c r="D165" s="29" t="inlineStr">
        <is>
          <t>Band B · Specialist / Manager</t>
        </is>
      </c>
      <c r="E165" s="29" t="inlineStr">
        <is>
          <t>Pre-Sales Specialist</t>
        </is>
      </c>
      <c r="F165" s="29" t="inlineStr">
        <is>
          <t>Band B · Specialist / POD Lead</t>
        </is>
      </c>
      <c r="G165" s="29" t="inlineStr">
        <is>
          <t>Sales &amp; Business Development</t>
        </is>
      </c>
      <c r="H165" s="29" t="n">
        <v>1</v>
      </c>
      <c r="I165" s="29" t="inlineStr">
        <is>
          <t>Devam Khatri</t>
        </is>
      </c>
      <c r="J165" s="34" t="str">
        <f>IFERROR(INDEX(RBD_C,MATCH("Sales &amp; Business Development|B1|B-IC",RBD_KEY,0)),"M")</f>
        <v>H</v>
      </c>
      <c r="K165" s="35" t="str">
        <f>IFERROR(INDEX(RBD_Au,MATCH("Sales &amp; Business Development|B1|B-IC",RBD_KEY,0)),"M")</f>
        <v>M</v>
      </c>
      <c r="L165" s="35" t="str">
        <f>IFERROR(INDEX(RBD_Ac,MATCH("Sales &amp; Business Development|B1|B-IC",RBD_KEY,0)),"M")</f>
        <v>L</v>
      </c>
      <c r="M165" s="35" t="str">
        <f>IFERROR(INDEX(RBD_L,MATCH("Sales &amp; Business Development|B1|B-IC",RBD_KEY,0)),"M")</f>
        <v>L</v>
      </c>
      <c r="N165" s="35" t="str">
        <f>IFERROR(INDEX(RBD_BI,MATCH("Sales &amp; Business Development|B1|B-IC",RBD_KEY,0)),"M")</f>
        <v>M</v>
      </c>
      <c r="O165" s="35" t="str">
        <f>IFERROR(INDEX(RBD_Exp,MATCH("Sales &amp; Business Development|B1|B-IC",RBD_KEY,0)),"M")</f>
        <v>L</v>
      </c>
      <c r="P165" s="35" t="str">
        <f>IFERROR(INDEX(RBD_Edu,MATCH("Sales &amp; Business Development|B1|B-IC",RBD_KEY,0)),"M")</f>
        <v>L</v>
      </c>
      <c r="Q165" s="73">
        <f>IF(J165="","",IFERROR(INDEX(LMH_PTS,MATCH(J165,LMH_KEY,0))/SUM(IFERROR(INDEX(LMH_PTS,MATCH(J165,LMH_KEY,0)),0),IFERROR(INDEX(LMH_PTS,MATCH(K165,LMH_KEY,0)),0),IFERROR(INDEX(LMH_PTS,MATCH(L165,LMH_KEY,0)),0),IFERROR(INDEX(LMH_PTS,MATCH(M165,LMH_KEY,0)),0),IFERROR(INDEX(LMH_PTS,MATCH(N165,LMH_KEY,0)),0),IFERROR(INDEX(LMH_PTS,MATCH(O165,LMH_KEY,0)),0),IFERROR(INDEX(LMH_PTS,MATCH(P165,LMH_KEY,0)),0)),""))</f>
        <v>0.473684210526316</v>
      </c>
      <c r="R165" s="74">
        <f>IF(K165="","",IFERROR(INDEX(LMH_PTS,MATCH(K165,LMH_KEY,0))/SUM(IFERROR(INDEX(LMH_PTS,MATCH(J165,LMH_KEY,0)),0),IFERROR(INDEX(LMH_PTS,MATCH(K165,LMH_KEY,0)),0),IFERROR(INDEX(LMH_PTS,MATCH(L165,LMH_KEY,0)),0),IFERROR(INDEX(LMH_PTS,MATCH(M165,LMH_KEY,0)),0),IFERROR(INDEX(LMH_PTS,MATCH(N165,LMH_KEY,0)),0),IFERROR(INDEX(LMH_PTS,MATCH(O165,LMH_KEY,0)),0),IFERROR(INDEX(LMH_PTS,MATCH(P165,LMH_KEY,0)),0)),""))</f>
        <v>0.157894736842105</v>
      </c>
      <c r="S165" s="74">
        <f>IF(L165="","",IFERROR(INDEX(LMH_PTS,MATCH(L165,LMH_KEY,0))/SUM(IFERROR(INDEX(LMH_PTS,MATCH(J165,LMH_KEY,0)),0),IFERROR(INDEX(LMH_PTS,MATCH(K165,LMH_KEY,0)),0),IFERROR(INDEX(LMH_PTS,MATCH(L165,LMH_KEY,0)),0),IFERROR(INDEX(LMH_PTS,MATCH(M165,LMH_KEY,0)),0),IFERROR(INDEX(LMH_PTS,MATCH(N165,LMH_KEY,0)),0),IFERROR(INDEX(LMH_PTS,MATCH(O165,LMH_KEY,0)),0),IFERROR(INDEX(LMH_PTS,MATCH(P165,LMH_KEY,0)),0)),""))</f>
        <v>0.0526315789473684</v>
      </c>
      <c r="T165" s="74">
        <f>IF(M165="","",IFERROR(INDEX(LMH_PTS,MATCH(M165,LMH_KEY,0))/SUM(IFERROR(INDEX(LMH_PTS,MATCH(J165,LMH_KEY,0)),0),IFERROR(INDEX(LMH_PTS,MATCH(K165,LMH_KEY,0)),0),IFERROR(INDEX(LMH_PTS,MATCH(L165,LMH_KEY,0)),0),IFERROR(INDEX(LMH_PTS,MATCH(M165,LMH_KEY,0)),0),IFERROR(INDEX(LMH_PTS,MATCH(N165,LMH_KEY,0)),0),IFERROR(INDEX(LMH_PTS,MATCH(O165,LMH_KEY,0)),0),IFERROR(INDEX(LMH_PTS,MATCH(P165,LMH_KEY,0)),0)),""))</f>
        <v>0.0526315789473684</v>
      </c>
      <c r="U165" s="74">
        <f>IF(N165="","",IFERROR(INDEX(LMH_PTS,MATCH(N165,LMH_KEY,0))/SUM(IFERROR(INDEX(LMH_PTS,MATCH(J165,LMH_KEY,0)),0),IFERROR(INDEX(LMH_PTS,MATCH(K165,LMH_KEY,0)),0),IFERROR(INDEX(LMH_PTS,MATCH(L165,LMH_KEY,0)),0),IFERROR(INDEX(LMH_PTS,MATCH(M165,LMH_KEY,0)),0),IFERROR(INDEX(LMH_PTS,MATCH(N165,LMH_KEY,0)),0),IFERROR(INDEX(LMH_PTS,MATCH(O165,LMH_KEY,0)),0),IFERROR(INDEX(LMH_PTS,MATCH(P165,LMH_KEY,0)),0)),""))</f>
        <v>0.157894736842105</v>
      </c>
      <c r="V165" s="74">
        <f>IF(O165="","",IFERROR(INDEX(LMH_PTS,MATCH(O165,LMH_KEY,0))/SUM(IFERROR(INDEX(LMH_PTS,MATCH(J165,LMH_KEY,0)),0),IFERROR(INDEX(LMH_PTS,MATCH(K165,LMH_KEY,0)),0),IFERROR(INDEX(LMH_PTS,MATCH(L165,LMH_KEY,0)),0),IFERROR(INDEX(LMH_PTS,MATCH(M165,LMH_KEY,0)),0),IFERROR(INDEX(LMH_PTS,MATCH(N165,LMH_KEY,0)),0),IFERROR(INDEX(LMH_PTS,MATCH(O165,LMH_KEY,0)),0),IFERROR(INDEX(LMH_PTS,MATCH(P165,LMH_KEY,0)),0)),""))</f>
        <v>0.0526315789473684</v>
      </c>
      <c r="W165" s="74">
        <f>IF(P165="","",IFERROR(INDEX(LMH_PTS,MATCH(P165,LMH_KEY,0))/SUM(IFERROR(INDEX(LMH_PTS,MATCH(J165,LMH_KEY,0)),0),IFERROR(INDEX(LMH_PTS,MATCH(K165,LMH_KEY,0)),0),IFERROR(INDEX(LMH_PTS,MATCH(L165,LMH_KEY,0)),0),IFERROR(INDEX(LMH_PTS,MATCH(M165,LMH_KEY,0)),0),IFERROR(INDEX(LMH_PTS,MATCH(N165,LMH_KEY,0)),0),IFERROR(INDEX(LMH_PTS,MATCH(O165,LMH_KEY,0)),0),IFERROR(INDEX(LMH_PTS,MATCH(P165,LMH_KEY,0)),0)),""))</f>
        <v>0.0526315789473684</v>
      </c>
      <c r="X165" s="44" t="n"/>
      <c r="Y165" s="38" t="inlineStr">
        <is>
          <t>iFile|Sales|Pre-Sales Specialist|B1|B-IC</t>
        </is>
      </c>
    </row>
    <row r="166" ht="28" customHeight="1">
      <c r="A166" s="28" t="inlineStr">
        <is>
          <t>iFile</t>
        </is>
      </c>
      <c r="B166" s="29" t="inlineStr">
        <is>
          <t>Sales</t>
        </is>
      </c>
      <c r="C166" s="75" t="inlineStr">
        <is>
          <t>A1</t>
        </is>
      </c>
      <c r="D166" s="29" t="inlineStr">
        <is>
          <t>Band A · Practitioner</t>
        </is>
      </c>
      <c r="E166" s="29" t="inlineStr">
        <is>
          <t>Intern – Application &amp; Product Support</t>
        </is>
      </c>
      <c r="F166" s="29" t="inlineStr">
        <is>
          <t>Band A · all tracks</t>
        </is>
      </c>
      <c r="G166" s="29" t="inlineStr">
        <is>
          <t>Customer Success &amp; Support</t>
        </is>
      </c>
      <c r="H166" s="29" t="n">
        <v>1</v>
      </c>
      <c r="I166" s="29" t="inlineStr">
        <is>
          <t>Anushka Chaturvedi</t>
        </is>
      </c>
      <c r="J166" s="34" t="str">
        <f>IFERROR(INDEX(RBD_C,MATCH("Customer Success &amp; Support|A1|A",RBD_KEY,0)),"M")</f>
        <v>H</v>
      </c>
      <c r="K166" s="35" t="str">
        <f>IFERROR(INDEX(RBD_Au,MATCH("Customer Success &amp; Support|A1|A",RBD_KEY,0)),"M")</f>
        <v>M</v>
      </c>
      <c r="L166" s="35" t="str">
        <f>IFERROR(INDEX(RBD_Ac,MATCH("Customer Success &amp; Support|A1|A",RBD_KEY,0)),"M")</f>
        <v>M</v>
      </c>
      <c r="M166" s="35" t="str">
        <f>IFERROR(INDEX(RBD_L,MATCH("Customer Success &amp; Support|A1|A",RBD_KEY,0)),"M")</f>
        <v>L</v>
      </c>
      <c r="N166" s="35" t="str">
        <f>IFERROR(INDEX(RBD_BI,MATCH("Customer Success &amp; Support|A1|A",RBD_KEY,0)),"M")</f>
        <v>M</v>
      </c>
      <c r="O166" s="35" t="str">
        <f>IFERROR(INDEX(RBD_Exp,MATCH("Customer Success &amp; Support|A1|A",RBD_KEY,0)),"M")</f>
        <v>L</v>
      </c>
      <c r="P166" s="35" t="str">
        <f>IFERROR(INDEX(RBD_Edu,MATCH("Customer Success &amp; Support|A1|A",RBD_KEY,0)),"M")</f>
        <v>L</v>
      </c>
      <c r="Q166" s="73">
        <f>IF(J166="","",IFERROR(INDEX(LMH_PTS,MATCH(J166,LMH_KEY,0))/SUM(IFERROR(INDEX(LMH_PTS,MATCH(J166,LMH_KEY,0)),0),IFERROR(INDEX(LMH_PTS,MATCH(K166,LMH_KEY,0)),0),IFERROR(INDEX(LMH_PTS,MATCH(L166,LMH_KEY,0)),0),IFERROR(INDEX(LMH_PTS,MATCH(M166,LMH_KEY,0)),0),IFERROR(INDEX(LMH_PTS,MATCH(N166,LMH_KEY,0)),0),IFERROR(INDEX(LMH_PTS,MATCH(O166,LMH_KEY,0)),0),IFERROR(INDEX(LMH_PTS,MATCH(P166,LMH_KEY,0)),0)),""))</f>
        <v>0.428571428571429</v>
      </c>
      <c r="R166" s="74">
        <f>IF(K166="","",IFERROR(INDEX(LMH_PTS,MATCH(K166,LMH_KEY,0))/SUM(IFERROR(INDEX(LMH_PTS,MATCH(J166,LMH_KEY,0)),0),IFERROR(INDEX(LMH_PTS,MATCH(K166,LMH_KEY,0)),0),IFERROR(INDEX(LMH_PTS,MATCH(L166,LMH_KEY,0)),0),IFERROR(INDEX(LMH_PTS,MATCH(M166,LMH_KEY,0)),0),IFERROR(INDEX(LMH_PTS,MATCH(N166,LMH_KEY,0)),0),IFERROR(INDEX(LMH_PTS,MATCH(O166,LMH_KEY,0)),0),IFERROR(INDEX(LMH_PTS,MATCH(P166,LMH_KEY,0)),0)),""))</f>
        <v>0.142857142857143</v>
      </c>
      <c r="S166" s="74">
        <f>IF(L166="","",IFERROR(INDEX(LMH_PTS,MATCH(L166,LMH_KEY,0))/SUM(IFERROR(INDEX(LMH_PTS,MATCH(J166,LMH_KEY,0)),0),IFERROR(INDEX(LMH_PTS,MATCH(K166,LMH_KEY,0)),0),IFERROR(INDEX(LMH_PTS,MATCH(L166,LMH_KEY,0)),0),IFERROR(INDEX(LMH_PTS,MATCH(M166,LMH_KEY,0)),0),IFERROR(INDEX(LMH_PTS,MATCH(N166,LMH_KEY,0)),0),IFERROR(INDEX(LMH_PTS,MATCH(O166,LMH_KEY,0)),0),IFERROR(INDEX(LMH_PTS,MATCH(P166,LMH_KEY,0)),0)),""))</f>
        <v>0.142857142857143</v>
      </c>
      <c r="T166" s="74">
        <f>IF(M166="","",IFERROR(INDEX(LMH_PTS,MATCH(M166,LMH_KEY,0))/SUM(IFERROR(INDEX(LMH_PTS,MATCH(J166,LMH_KEY,0)),0),IFERROR(INDEX(LMH_PTS,MATCH(K166,LMH_KEY,0)),0),IFERROR(INDEX(LMH_PTS,MATCH(L166,LMH_KEY,0)),0),IFERROR(INDEX(LMH_PTS,MATCH(M166,LMH_KEY,0)),0),IFERROR(INDEX(LMH_PTS,MATCH(N166,LMH_KEY,0)),0),IFERROR(INDEX(LMH_PTS,MATCH(O166,LMH_KEY,0)),0),IFERROR(INDEX(LMH_PTS,MATCH(P166,LMH_KEY,0)),0)),""))</f>
        <v>0.0476190476190476</v>
      </c>
      <c r="U166" s="74">
        <f>IF(N166="","",IFERROR(INDEX(LMH_PTS,MATCH(N166,LMH_KEY,0))/SUM(IFERROR(INDEX(LMH_PTS,MATCH(J166,LMH_KEY,0)),0),IFERROR(INDEX(LMH_PTS,MATCH(K166,LMH_KEY,0)),0),IFERROR(INDEX(LMH_PTS,MATCH(L166,LMH_KEY,0)),0),IFERROR(INDEX(LMH_PTS,MATCH(M166,LMH_KEY,0)),0),IFERROR(INDEX(LMH_PTS,MATCH(N166,LMH_KEY,0)),0),IFERROR(INDEX(LMH_PTS,MATCH(O166,LMH_KEY,0)),0),IFERROR(INDEX(LMH_PTS,MATCH(P166,LMH_KEY,0)),0)),""))</f>
        <v>0.142857142857143</v>
      </c>
      <c r="V166" s="74">
        <f>IF(O166="","",IFERROR(INDEX(LMH_PTS,MATCH(O166,LMH_KEY,0))/SUM(IFERROR(INDEX(LMH_PTS,MATCH(J166,LMH_KEY,0)),0),IFERROR(INDEX(LMH_PTS,MATCH(K166,LMH_KEY,0)),0),IFERROR(INDEX(LMH_PTS,MATCH(L166,LMH_KEY,0)),0),IFERROR(INDEX(LMH_PTS,MATCH(M166,LMH_KEY,0)),0),IFERROR(INDEX(LMH_PTS,MATCH(N166,LMH_KEY,0)),0),IFERROR(INDEX(LMH_PTS,MATCH(O166,LMH_KEY,0)),0),IFERROR(INDEX(LMH_PTS,MATCH(P166,LMH_KEY,0)),0)),""))</f>
        <v>0.0476190476190476</v>
      </c>
      <c r="W166" s="74">
        <f>IF(P166="","",IFERROR(INDEX(LMH_PTS,MATCH(P166,LMH_KEY,0))/SUM(IFERROR(INDEX(LMH_PTS,MATCH(J166,LMH_KEY,0)),0),IFERROR(INDEX(LMH_PTS,MATCH(K166,LMH_KEY,0)),0),IFERROR(INDEX(LMH_PTS,MATCH(L166,LMH_KEY,0)),0),IFERROR(INDEX(LMH_PTS,MATCH(M166,LMH_KEY,0)),0),IFERROR(INDEX(LMH_PTS,MATCH(N166,LMH_KEY,0)),0),IFERROR(INDEX(LMH_PTS,MATCH(O166,LMH_KEY,0)),0),IFERROR(INDEX(LMH_PTS,MATCH(P166,LMH_KEY,0)),0)),""))</f>
        <v>0.0476190476190476</v>
      </c>
      <c r="X166" s="44" t="n"/>
      <c r="Y166" s="38" t="inlineStr">
        <is>
          <t>iFile|Sales|Intern – Application &amp; Product Support|A1|A</t>
        </is>
      </c>
    </row>
    <row r="167" ht="28" customHeight="1">
      <c r="A167" s="28" t="inlineStr">
        <is>
          <t>iFile</t>
        </is>
      </c>
      <c r="B167" s="29" t="inlineStr">
        <is>
          <t>Sales</t>
        </is>
      </c>
      <c r="C167" s="76" t="inlineStr">
        <is>
          <t>X2</t>
        </is>
      </c>
      <c r="D167" s="29" t="inlineStr">
        <is>
          <t>Band X · Consultant</t>
        </is>
      </c>
      <c r="E167" s="29" t="inlineStr">
        <is>
          <t>Consultant – Enterprise Sales &amp; Account Management</t>
        </is>
      </c>
      <c r="F167" s="29" t="inlineStr">
        <is>
          <t>Consultant</t>
        </is>
      </c>
      <c r="G167" s="29" t="inlineStr">
        <is>
          <t>Sales &amp; Business Development</t>
        </is>
      </c>
      <c r="H167" s="29" t="n">
        <v>1</v>
      </c>
      <c r="I167" s="29" t="inlineStr">
        <is>
          <t>Rajesh Nair</t>
        </is>
      </c>
      <c r="J167" s="34" t="n"/>
      <c r="K167" s="35" t="n"/>
      <c r="L167" s="35" t="n"/>
      <c r="M167" s="35" t="n"/>
      <c r="N167" s="35" t="n"/>
      <c r="O167" s="35" t="n"/>
      <c r="P167" s="35" t="n"/>
      <c r="Q167" s="73" t="str">
        <f>IF(J167="","",IFERROR(INDEX(LMH_PTS,MATCH(J167,LMH_KEY,0))/SUM(IFERROR(INDEX(LMH_PTS,MATCH(J167,LMH_KEY,0)),0),IFERROR(INDEX(LMH_PTS,MATCH(K167,LMH_KEY,0)),0),IFERROR(INDEX(LMH_PTS,MATCH(L167,LMH_KEY,0)),0),IFERROR(INDEX(LMH_PTS,MATCH(M167,LMH_KEY,0)),0),IFERROR(INDEX(LMH_PTS,MATCH(N167,LMH_KEY,0)),0),IFERROR(INDEX(LMH_PTS,MATCH(O167,LMH_KEY,0)),0),IFERROR(INDEX(LMH_PTS,MATCH(P167,LMH_KEY,0)),0)),""))</f>
        <v/>
      </c>
      <c r="R167" s="74" t="str">
        <f>IF(K167="","",IFERROR(INDEX(LMH_PTS,MATCH(K167,LMH_KEY,0))/SUM(IFERROR(INDEX(LMH_PTS,MATCH(J167,LMH_KEY,0)),0),IFERROR(INDEX(LMH_PTS,MATCH(K167,LMH_KEY,0)),0),IFERROR(INDEX(LMH_PTS,MATCH(L167,LMH_KEY,0)),0),IFERROR(INDEX(LMH_PTS,MATCH(M167,LMH_KEY,0)),0),IFERROR(INDEX(LMH_PTS,MATCH(N167,LMH_KEY,0)),0),IFERROR(INDEX(LMH_PTS,MATCH(O167,LMH_KEY,0)),0),IFERROR(INDEX(LMH_PTS,MATCH(P167,LMH_KEY,0)),0)),""))</f>
        <v/>
      </c>
      <c r="S167" s="74" t="str">
        <f>IF(L167="","",IFERROR(INDEX(LMH_PTS,MATCH(L167,LMH_KEY,0))/SUM(IFERROR(INDEX(LMH_PTS,MATCH(J167,LMH_KEY,0)),0),IFERROR(INDEX(LMH_PTS,MATCH(K167,LMH_KEY,0)),0),IFERROR(INDEX(LMH_PTS,MATCH(L167,LMH_KEY,0)),0),IFERROR(INDEX(LMH_PTS,MATCH(M167,LMH_KEY,0)),0),IFERROR(INDEX(LMH_PTS,MATCH(N167,LMH_KEY,0)),0),IFERROR(INDEX(LMH_PTS,MATCH(O167,LMH_KEY,0)),0),IFERROR(INDEX(LMH_PTS,MATCH(P167,LMH_KEY,0)),0)),""))</f>
        <v/>
      </c>
      <c r="T167" s="74" t="str">
        <f>IF(M167="","",IFERROR(INDEX(LMH_PTS,MATCH(M167,LMH_KEY,0))/SUM(IFERROR(INDEX(LMH_PTS,MATCH(J167,LMH_KEY,0)),0),IFERROR(INDEX(LMH_PTS,MATCH(K167,LMH_KEY,0)),0),IFERROR(INDEX(LMH_PTS,MATCH(L167,LMH_KEY,0)),0),IFERROR(INDEX(LMH_PTS,MATCH(M167,LMH_KEY,0)),0),IFERROR(INDEX(LMH_PTS,MATCH(N167,LMH_KEY,0)),0),IFERROR(INDEX(LMH_PTS,MATCH(O167,LMH_KEY,0)),0),IFERROR(INDEX(LMH_PTS,MATCH(P167,LMH_KEY,0)),0)),""))</f>
        <v/>
      </c>
      <c r="U167" s="74" t="str">
        <f>IF(N167="","",IFERROR(INDEX(LMH_PTS,MATCH(N167,LMH_KEY,0))/SUM(IFERROR(INDEX(LMH_PTS,MATCH(J167,LMH_KEY,0)),0),IFERROR(INDEX(LMH_PTS,MATCH(K167,LMH_KEY,0)),0),IFERROR(INDEX(LMH_PTS,MATCH(L167,LMH_KEY,0)),0),IFERROR(INDEX(LMH_PTS,MATCH(M167,LMH_KEY,0)),0),IFERROR(INDEX(LMH_PTS,MATCH(N167,LMH_KEY,0)),0),IFERROR(INDEX(LMH_PTS,MATCH(O167,LMH_KEY,0)),0),IFERROR(INDEX(LMH_PTS,MATCH(P167,LMH_KEY,0)),0)),""))</f>
        <v/>
      </c>
      <c r="V167" s="74" t="str">
        <f>IF(O167="","",IFERROR(INDEX(LMH_PTS,MATCH(O167,LMH_KEY,0))/SUM(IFERROR(INDEX(LMH_PTS,MATCH(J167,LMH_KEY,0)),0),IFERROR(INDEX(LMH_PTS,MATCH(K167,LMH_KEY,0)),0),IFERROR(INDEX(LMH_PTS,MATCH(L167,LMH_KEY,0)),0),IFERROR(INDEX(LMH_PTS,MATCH(M167,LMH_KEY,0)),0),IFERROR(INDEX(LMH_PTS,MATCH(N167,LMH_KEY,0)),0),IFERROR(INDEX(LMH_PTS,MATCH(O167,LMH_KEY,0)),0),IFERROR(INDEX(LMH_PTS,MATCH(P167,LMH_KEY,0)),0)),""))</f>
        <v/>
      </c>
      <c r="W167" s="74" t="str">
        <f>IF(P167="","",IFERROR(INDEX(LMH_PTS,MATCH(P167,LMH_KEY,0))/SUM(IFERROR(INDEX(LMH_PTS,MATCH(J167,LMH_KEY,0)),0),IFERROR(INDEX(LMH_PTS,MATCH(K167,LMH_KEY,0)),0),IFERROR(INDEX(LMH_PTS,MATCH(L167,LMH_KEY,0)),0),IFERROR(INDEX(LMH_PTS,MATCH(M167,LMH_KEY,0)),0),IFERROR(INDEX(LMH_PTS,MATCH(N167,LMH_KEY,0)),0),IFERROR(INDEX(LMH_PTS,MATCH(O167,LMH_KEY,0)),0),IFERROR(INDEX(LMH_PTS,MATCH(P167,LMH_KEY,0)),0)),""))</f>
        <v/>
      </c>
      <c r="X167" s="44" t="n"/>
      <c r="Y167" s="38" t="inlineStr">
        <is>
          <t>iFile|Sales|Consultant – Enterprise Sales &amp; Account Management|X2|X</t>
        </is>
      </c>
    </row>
    <row r="168" ht="28" customHeight="1">
      <c r="A168" s="28" t="inlineStr">
        <is>
          <t>iFile</t>
        </is>
      </c>
      <c r="B168" s="29" t="inlineStr">
        <is>
          <t>Sales</t>
        </is>
      </c>
      <c r="C168" s="76" t="inlineStr">
        <is>
          <t>X3</t>
        </is>
      </c>
      <c r="D168" s="29" t="inlineStr">
        <is>
          <t>Band X · Consultant</t>
        </is>
      </c>
      <c r="E168" s="29" t="inlineStr">
        <is>
          <t>Senior Consultant – Enterprise Leadership</t>
        </is>
      </c>
      <c r="F168" s="29" t="inlineStr">
        <is>
          <t>Consultant</t>
        </is>
      </c>
      <c r="G168" s="29" t="inlineStr">
        <is>
          <t>Executive Leadership</t>
        </is>
      </c>
      <c r="H168" s="29" t="n">
        <v>1</v>
      </c>
      <c r="I168" s="29" t="inlineStr">
        <is>
          <t>Anand Padmanabhan</t>
        </is>
      </c>
      <c r="J168" s="34" t="n"/>
      <c r="K168" s="35" t="n"/>
      <c r="L168" s="35" t="n"/>
      <c r="M168" s="35" t="n"/>
      <c r="N168" s="35" t="n"/>
      <c r="O168" s="35" t="n"/>
      <c r="P168" s="35" t="n"/>
      <c r="Q168" s="73" t="str">
        <f>IF(J168="","",IFERROR(INDEX(LMH_PTS,MATCH(J168,LMH_KEY,0))/SUM(IFERROR(INDEX(LMH_PTS,MATCH(J168,LMH_KEY,0)),0),IFERROR(INDEX(LMH_PTS,MATCH(K168,LMH_KEY,0)),0),IFERROR(INDEX(LMH_PTS,MATCH(L168,LMH_KEY,0)),0),IFERROR(INDEX(LMH_PTS,MATCH(M168,LMH_KEY,0)),0),IFERROR(INDEX(LMH_PTS,MATCH(N168,LMH_KEY,0)),0),IFERROR(INDEX(LMH_PTS,MATCH(O168,LMH_KEY,0)),0),IFERROR(INDEX(LMH_PTS,MATCH(P168,LMH_KEY,0)),0)),""))</f>
        <v/>
      </c>
      <c r="R168" s="74" t="str">
        <f>IF(K168="","",IFERROR(INDEX(LMH_PTS,MATCH(K168,LMH_KEY,0))/SUM(IFERROR(INDEX(LMH_PTS,MATCH(J168,LMH_KEY,0)),0),IFERROR(INDEX(LMH_PTS,MATCH(K168,LMH_KEY,0)),0),IFERROR(INDEX(LMH_PTS,MATCH(L168,LMH_KEY,0)),0),IFERROR(INDEX(LMH_PTS,MATCH(M168,LMH_KEY,0)),0),IFERROR(INDEX(LMH_PTS,MATCH(N168,LMH_KEY,0)),0),IFERROR(INDEX(LMH_PTS,MATCH(O168,LMH_KEY,0)),0),IFERROR(INDEX(LMH_PTS,MATCH(P168,LMH_KEY,0)),0)),""))</f>
        <v/>
      </c>
      <c r="S168" s="74" t="str">
        <f>IF(L168="","",IFERROR(INDEX(LMH_PTS,MATCH(L168,LMH_KEY,0))/SUM(IFERROR(INDEX(LMH_PTS,MATCH(J168,LMH_KEY,0)),0),IFERROR(INDEX(LMH_PTS,MATCH(K168,LMH_KEY,0)),0),IFERROR(INDEX(LMH_PTS,MATCH(L168,LMH_KEY,0)),0),IFERROR(INDEX(LMH_PTS,MATCH(M168,LMH_KEY,0)),0),IFERROR(INDEX(LMH_PTS,MATCH(N168,LMH_KEY,0)),0),IFERROR(INDEX(LMH_PTS,MATCH(O168,LMH_KEY,0)),0),IFERROR(INDEX(LMH_PTS,MATCH(P168,LMH_KEY,0)),0)),""))</f>
        <v/>
      </c>
      <c r="T168" s="74" t="str">
        <f>IF(M168="","",IFERROR(INDEX(LMH_PTS,MATCH(M168,LMH_KEY,0))/SUM(IFERROR(INDEX(LMH_PTS,MATCH(J168,LMH_KEY,0)),0),IFERROR(INDEX(LMH_PTS,MATCH(K168,LMH_KEY,0)),0),IFERROR(INDEX(LMH_PTS,MATCH(L168,LMH_KEY,0)),0),IFERROR(INDEX(LMH_PTS,MATCH(M168,LMH_KEY,0)),0),IFERROR(INDEX(LMH_PTS,MATCH(N168,LMH_KEY,0)),0),IFERROR(INDEX(LMH_PTS,MATCH(O168,LMH_KEY,0)),0),IFERROR(INDEX(LMH_PTS,MATCH(P168,LMH_KEY,0)),0)),""))</f>
        <v/>
      </c>
      <c r="U168" s="74" t="str">
        <f>IF(N168="","",IFERROR(INDEX(LMH_PTS,MATCH(N168,LMH_KEY,0))/SUM(IFERROR(INDEX(LMH_PTS,MATCH(J168,LMH_KEY,0)),0),IFERROR(INDEX(LMH_PTS,MATCH(K168,LMH_KEY,0)),0),IFERROR(INDEX(LMH_PTS,MATCH(L168,LMH_KEY,0)),0),IFERROR(INDEX(LMH_PTS,MATCH(M168,LMH_KEY,0)),0),IFERROR(INDEX(LMH_PTS,MATCH(N168,LMH_KEY,0)),0),IFERROR(INDEX(LMH_PTS,MATCH(O168,LMH_KEY,0)),0),IFERROR(INDEX(LMH_PTS,MATCH(P168,LMH_KEY,0)),0)),""))</f>
        <v/>
      </c>
      <c r="V168" s="74" t="str">
        <f>IF(O168="","",IFERROR(INDEX(LMH_PTS,MATCH(O168,LMH_KEY,0))/SUM(IFERROR(INDEX(LMH_PTS,MATCH(J168,LMH_KEY,0)),0),IFERROR(INDEX(LMH_PTS,MATCH(K168,LMH_KEY,0)),0),IFERROR(INDEX(LMH_PTS,MATCH(L168,LMH_KEY,0)),0),IFERROR(INDEX(LMH_PTS,MATCH(M168,LMH_KEY,0)),0),IFERROR(INDEX(LMH_PTS,MATCH(N168,LMH_KEY,0)),0),IFERROR(INDEX(LMH_PTS,MATCH(O168,LMH_KEY,0)),0),IFERROR(INDEX(LMH_PTS,MATCH(P168,LMH_KEY,0)),0)),""))</f>
        <v/>
      </c>
      <c r="W168" s="74" t="str">
        <f>IF(P168="","",IFERROR(INDEX(LMH_PTS,MATCH(P168,LMH_KEY,0))/SUM(IFERROR(INDEX(LMH_PTS,MATCH(J168,LMH_KEY,0)),0),IFERROR(INDEX(LMH_PTS,MATCH(K168,LMH_KEY,0)),0),IFERROR(INDEX(LMH_PTS,MATCH(L168,LMH_KEY,0)),0),IFERROR(INDEX(LMH_PTS,MATCH(M168,LMH_KEY,0)),0),IFERROR(INDEX(LMH_PTS,MATCH(N168,LMH_KEY,0)),0),IFERROR(INDEX(LMH_PTS,MATCH(O168,LMH_KEY,0)),0),IFERROR(INDEX(LMH_PTS,MATCH(P168,LMH_KEY,0)),0)),""))</f>
        <v/>
      </c>
      <c r="X168" s="44" t="n"/>
      <c r="Y168" s="38" t="inlineStr">
        <is>
          <t>iFile|Sales|Senior Consultant – Enterprise Leadership|X3|X</t>
        </is>
      </c>
    </row>
    <row r="169" ht="18" customHeight="1">
      <c r="A169" s="28" t="inlineStr">
        <is>
          <t>iFile</t>
        </is>
      </c>
      <c r="B169" s="71" t="inlineStr">
        <is>
          <t>Support</t>
        </is>
      </c>
      <c r="C169" s="72" t="inlineStr">
        <is>
          <t>B1</t>
        </is>
      </c>
      <c r="D169" s="29" t="inlineStr">
        <is>
          <t>Band B · Specialist / Manager</t>
        </is>
      </c>
      <c r="E169" s="29" t="inlineStr">
        <is>
          <t>Support Specialist</t>
        </is>
      </c>
      <c r="F169" s="29" t="inlineStr">
        <is>
          <t>Band B · Specialist / POD Lead</t>
        </is>
      </c>
      <c r="G169" s="29" t="inlineStr">
        <is>
          <t>Customer Success &amp; Support</t>
        </is>
      </c>
      <c r="H169" s="29" t="n">
        <v>2</v>
      </c>
      <c r="I169" s="29" t="inlineStr">
        <is>
          <t>Shraddha Gawali, Vijay Sakpal</t>
        </is>
      </c>
      <c r="J169" s="34" t="str">
        <f>IFERROR(INDEX(RBD_C,MATCH("Customer Success &amp; Support|B1|B-IC",RBD_KEY,0)),"M")</f>
        <v>H</v>
      </c>
      <c r="K169" s="35" t="str">
        <f>IFERROR(INDEX(RBD_Au,MATCH("Customer Success &amp; Support|B1|B-IC",RBD_KEY,0)),"M")</f>
        <v>M</v>
      </c>
      <c r="L169" s="35" t="str">
        <f>IFERROR(INDEX(RBD_Ac,MATCH("Customer Success &amp; Support|B1|B-IC",RBD_KEY,0)),"M")</f>
        <v>M</v>
      </c>
      <c r="M169" s="35" t="str">
        <f>IFERROR(INDEX(RBD_L,MATCH("Customer Success &amp; Support|B1|B-IC",RBD_KEY,0)),"M")</f>
        <v>L</v>
      </c>
      <c r="N169" s="35" t="str">
        <f>IFERROR(INDEX(RBD_BI,MATCH("Customer Success &amp; Support|B1|B-IC",RBD_KEY,0)),"M")</f>
        <v>M</v>
      </c>
      <c r="O169" s="35" t="str">
        <f>IFERROR(INDEX(RBD_Exp,MATCH("Customer Success &amp; Support|B1|B-IC",RBD_KEY,0)),"M")</f>
        <v>L</v>
      </c>
      <c r="P169" s="35" t="str">
        <f>IFERROR(INDEX(RBD_Edu,MATCH("Customer Success &amp; Support|B1|B-IC",RBD_KEY,0)),"M")</f>
        <v>L</v>
      </c>
      <c r="Q169" s="73">
        <f>IF(J169="","",IFERROR(INDEX(LMH_PTS,MATCH(J169,LMH_KEY,0))/SUM(IFERROR(INDEX(LMH_PTS,MATCH(J169,LMH_KEY,0)),0),IFERROR(INDEX(LMH_PTS,MATCH(K169,LMH_KEY,0)),0),IFERROR(INDEX(LMH_PTS,MATCH(L169,LMH_KEY,0)),0),IFERROR(INDEX(LMH_PTS,MATCH(M169,LMH_KEY,0)),0),IFERROR(INDEX(LMH_PTS,MATCH(N169,LMH_KEY,0)),0),IFERROR(INDEX(LMH_PTS,MATCH(O169,LMH_KEY,0)),0),IFERROR(INDEX(LMH_PTS,MATCH(P169,LMH_KEY,0)),0)),""))</f>
        <v>0.428571428571429</v>
      </c>
      <c r="R169" s="74">
        <f>IF(K169="","",IFERROR(INDEX(LMH_PTS,MATCH(K169,LMH_KEY,0))/SUM(IFERROR(INDEX(LMH_PTS,MATCH(J169,LMH_KEY,0)),0),IFERROR(INDEX(LMH_PTS,MATCH(K169,LMH_KEY,0)),0),IFERROR(INDEX(LMH_PTS,MATCH(L169,LMH_KEY,0)),0),IFERROR(INDEX(LMH_PTS,MATCH(M169,LMH_KEY,0)),0),IFERROR(INDEX(LMH_PTS,MATCH(N169,LMH_KEY,0)),0),IFERROR(INDEX(LMH_PTS,MATCH(O169,LMH_KEY,0)),0),IFERROR(INDEX(LMH_PTS,MATCH(P169,LMH_KEY,0)),0)),""))</f>
        <v>0.142857142857143</v>
      </c>
      <c r="S169" s="74">
        <f>IF(L169="","",IFERROR(INDEX(LMH_PTS,MATCH(L169,LMH_KEY,0))/SUM(IFERROR(INDEX(LMH_PTS,MATCH(J169,LMH_KEY,0)),0),IFERROR(INDEX(LMH_PTS,MATCH(K169,LMH_KEY,0)),0),IFERROR(INDEX(LMH_PTS,MATCH(L169,LMH_KEY,0)),0),IFERROR(INDEX(LMH_PTS,MATCH(M169,LMH_KEY,0)),0),IFERROR(INDEX(LMH_PTS,MATCH(N169,LMH_KEY,0)),0),IFERROR(INDEX(LMH_PTS,MATCH(O169,LMH_KEY,0)),0),IFERROR(INDEX(LMH_PTS,MATCH(P169,LMH_KEY,0)),0)),""))</f>
        <v>0.142857142857143</v>
      </c>
      <c r="T169" s="74">
        <f>IF(M169="","",IFERROR(INDEX(LMH_PTS,MATCH(M169,LMH_KEY,0))/SUM(IFERROR(INDEX(LMH_PTS,MATCH(J169,LMH_KEY,0)),0),IFERROR(INDEX(LMH_PTS,MATCH(K169,LMH_KEY,0)),0),IFERROR(INDEX(LMH_PTS,MATCH(L169,LMH_KEY,0)),0),IFERROR(INDEX(LMH_PTS,MATCH(M169,LMH_KEY,0)),0),IFERROR(INDEX(LMH_PTS,MATCH(N169,LMH_KEY,0)),0),IFERROR(INDEX(LMH_PTS,MATCH(O169,LMH_KEY,0)),0),IFERROR(INDEX(LMH_PTS,MATCH(P169,LMH_KEY,0)),0)),""))</f>
        <v>0.0476190476190476</v>
      </c>
      <c r="U169" s="74">
        <f>IF(N169="","",IFERROR(INDEX(LMH_PTS,MATCH(N169,LMH_KEY,0))/SUM(IFERROR(INDEX(LMH_PTS,MATCH(J169,LMH_KEY,0)),0),IFERROR(INDEX(LMH_PTS,MATCH(K169,LMH_KEY,0)),0),IFERROR(INDEX(LMH_PTS,MATCH(L169,LMH_KEY,0)),0),IFERROR(INDEX(LMH_PTS,MATCH(M169,LMH_KEY,0)),0),IFERROR(INDEX(LMH_PTS,MATCH(N169,LMH_KEY,0)),0),IFERROR(INDEX(LMH_PTS,MATCH(O169,LMH_KEY,0)),0),IFERROR(INDEX(LMH_PTS,MATCH(P169,LMH_KEY,0)),0)),""))</f>
        <v>0.142857142857143</v>
      </c>
      <c r="V169" s="74">
        <f>IF(O169="","",IFERROR(INDEX(LMH_PTS,MATCH(O169,LMH_KEY,0))/SUM(IFERROR(INDEX(LMH_PTS,MATCH(J169,LMH_KEY,0)),0),IFERROR(INDEX(LMH_PTS,MATCH(K169,LMH_KEY,0)),0),IFERROR(INDEX(LMH_PTS,MATCH(L169,LMH_KEY,0)),0),IFERROR(INDEX(LMH_PTS,MATCH(M169,LMH_KEY,0)),0),IFERROR(INDEX(LMH_PTS,MATCH(N169,LMH_KEY,0)),0),IFERROR(INDEX(LMH_PTS,MATCH(O169,LMH_KEY,0)),0),IFERROR(INDEX(LMH_PTS,MATCH(P169,LMH_KEY,0)),0)),""))</f>
        <v>0.0476190476190476</v>
      </c>
      <c r="W169" s="74">
        <f>IF(P169="","",IFERROR(INDEX(LMH_PTS,MATCH(P169,LMH_KEY,0))/SUM(IFERROR(INDEX(LMH_PTS,MATCH(J169,LMH_KEY,0)),0),IFERROR(INDEX(LMH_PTS,MATCH(K169,LMH_KEY,0)),0),IFERROR(INDEX(LMH_PTS,MATCH(L169,LMH_KEY,0)),0),IFERROR(INDEX(LMH_PTS,MATCH(M169,LMH_KEY,0)),0),IFERROR(INDEX(LMH_PTS,MATCH(N169,LMH_KEY,0)),0),IFERROR(INDEX(LMH_PTS,MATCH(O169,LMH_KEY,0)),0),IFERROR(INDEX(LMH_PTS,MATCH(P169,LMH_KEY,0)),0)),""))</f>
        <v>0.0476190476190476</v>
      </c>
      <c r="X169" s="44" t="n"/>
      <c r="Y169" s="38" t="inlineStr">
        <is>
          <t>iFile|Support|Support Specialist|B1|B-IC</t>
        </is>
      </c>
    </row>
    <row r="170" ht="65.5" customHeight="1">
      <c r="A170" s="28" t="inlineStr">
        <is>
          <t>iFile</t>
        </is>
      </c>
      <c r="B170" s="29" t="inlineStr">
        <is>
          <t>Support</t>
        </is>
      </c>
      <c r="C170" s="75" t="inlineStr">
        <is>
          <t>A3</t>
        </is>
      </c>
      <c r="D170" s="29" t="inlineStr">
        <is>
          <t>Band A · Practitioner</t>
        </is>
      </c>
      <c r="E170" s="29" t="inlineStr">
        <is>
          <t>Senior Support Executive</t>
        </is>
      </c>
      <c r="F170" s="29" t="inlineStr">
        <is>
          <t>Band A · all tracks</t>
        </is>
      </c>
      <c r="G170" s="29" t="inlineStr">
        <is>
          <t>Customer Success &amp; Support</t>
        </is>
      </c>
      <c r="H170" s="29" t="n">
        <v>8</v>
      </c>
      <c r="I170" s="29" t="inlineStr">
        <is>
          <t>Bhagyashree Bauskar, Dipeeka Yewale, Manohar Golbane, Prajakta Mandhare, Jyoti Patil, Shreya Shinde, Varsha Kambale, Sayed Ibrahim</t>
        </is>
      </c>
      <c r="J170" s="34" t="str">
        <f>IFERROR(INDEX(RBD_C,MATCH("Customer Success &amp; Support|A3|A",RBD_KEY,0)),"M")</f>
        <v>H</v>
      </c>
      <c r="K170" s="35" t="str">
        <f>IFERROR(INDEX(RBD_Au,MATCH("Customer Success &amp; Support|A3|A",RBD_KEY,0)),"M")</f>
        <v>M</v>
      </c>
      <c r="L170" s="35" t="str">
        <f>IFERROR(INDEX(RBD_Ac,MATCH("Customer Success &amp; Support|A3|A",RBD_KEY,0)),"M")</f>
        <v>M</v>
      </c>
      <c r="M170" s="35" t="str">
        <f>IFERROR(INDEX(RBD_L,MATCH("Customer Success &amp; Support|A3|A",RBD_KEY,0)),"M")</f>
        <v>L</v>
      </c>
      <c r="N170" s="35" t="str">
        <f>IFERROR(INDEX(RBD_BI,MATCH("Customer Success &amp; Support|A3|A",RBD_KEY,0)),"M")</f>
        <v>M</v>
      </c>
      <c r="O170" s="35" t="str">
        <f>IFERROR(INDEX(RBD_Exp,MATCH("Customer Success &amp; Support|A3|A",RBD_KEY,0)),"M")</f>
        <v>L</v>
      </c>
      <c r="P170" s="35" t="str">
        <f>IFERROR(INDEX(RBD_Edu,MATCH("Customer Success &amp; Support|A3|A",RBD_KEY,0)),"M")</f>
        <v>L</v>
      </c>
      <c r="Q170" s="73">
        <f>IF(J170="","",IFERROR(INDEX(LMH_PTS,MATCH(J170,LMH_KEY,0))/SUM(IFERROR(INDEX(LMH_PTS,MATCH(J170,LMH_KEY,0)),0),IFERROR(INDEX(LMH_PTS,MATCH(K170,LMH_KEY,0)),0),IFERROR(INDEX(LMH_PTS,MATCH(L170,LMH_KEY,0)),0),IFERROR(INDEX(LMH_PTS,MATCH(M170,LMH_KEY,0)),0),IFERROR(INDEX(LMH_PTS,MATCH(N170,LMH_KEY,0)),0),IFERROR(INDEX(LMH_PTS,MATCH(O170,LMH_KEY,0)),0),IFERROR(INDEX(LMH_PTS,MATCH(P170,LMH_KEY,0)),0)),""))</f>
        <v>0.428571428571429</v>
      </c>
      <c r="R170" s="74">
        <f>IF(K170="","",IFERROR(INDEX(LMH_PTS,MATCH(K170,LMH_KEY,0))/SUM(IFERROR(INDEX(LMH_PTS,MATCH(J170,LMH_KEY,0)),0),IFERROR(INDEX(LMH_PTS,MATCH(K170,LMH_KEY,0)),0),IFERROR(INDEX(LMH_PTS,MATCH(L170,LMH_KEY,0)),0),IFERROR(INDEX(LMH_PTS,MATCH(M170,LMH_KEY,0)),0),IFERROR(INDEX(LMH_PTS,MATCH(N170,LMH_KEY,0)),0),IFERROR(INDEX(LMH_PTS,MATCH(O170,LMH_KEY,0)),0),IFERROR(INDEX(LMH_PTS,MATCH(P170,LMH_KEY,0)),0)),""))</f>
        <v>0.142857142857143</v>
      </c>
      <c r="S170" s="74">
        <f>IF(L170="","",IFERROR(INDEX(LMH_PTS,MATCH(L170,LMH_KEY,0))/SUM(IFERROR(INDEX(LMH_PTS,MATCH(J170,LMH_KEY,0)),0),IFERROR(INDEX(LMH_PTS,MATCH(K170,LMH_KEY,0)),0),IFERROR(INDEX(LMH_PTS,MATCH(L170,LMH_KEY,0)),0),IFERROR(INDEX(LMH_PTS,MATCH(M170,LMH_KEY,0)),0),IFERROR(INDEX(LMH_PTS,MATCH(N170,LMH_KEY,0)),0),IFERROR(INDEX(LMH_PTS,MATCH(O170,LMH_KEY,0)),0),IFERROR(INDEX(LMH_PTS,MATCH(P170,LMH_KEY,0)),0)),""))</f>
        <v>0.142857142857143</v>
      </c>
      <c r="T170" s="74">
        <f>IF(M170="","",IFERROR(INDEX(LMH_PTS,MATCH(M170,LMH_KEY,0))/SUM(IFERROR(INDEX(LMH_PTS,MATCH(J170,LMH_KEY,0)),0),IFERROR(INDEX(LMH_PTS,MATCH(K170,LMH_KEY,0)),0),IFERROR(INDEX(LMH_PTS,MATCH(L170,LMH_KEY,0)),0),IFERROR(INDEX(LMH_PTS,MATCH(M170,LMH_KEY,0)),0),IFERROR(INDEX(LMH_PTS,MATCH(N170,LMH_KEY,0)),0),IFERROR(INDEX(LMH_PTS,MATCH(O170,LMH_KEY,0)),0),IFERROR(INDEX(LMH_PTS,MATCH(P170,LMH_KEY,0)),0)),""))</f>
        <v>0.0476190476190476</v>
      </c>
      <c r="U170" s="74">
        <f>IF(N170="","",IFERROR(INDEX(LMH_PTS,MATCH(N170,LMH_KEY,0))/SUM(IFERROR(INDEX(LMH_PTS,MATCH(J170,LMH_KEY,0)),0),IFERROR(INDEX(LMH_PTS,MATCH(K170,LMH_KEY,0)),0),IFERROR(INDEX(LMH_PTS,MATCH(L170,LMH_KEY,0)),0),IFERROR(INDEX(LMH_PTS,MATCH(M170,LMH_KEY,0)),0),IFERROR(INDEX(LMH_PTS,MATCH(N170,LMH_KEY,0)),0),IFERROR(INDEX(LMH_PTS,MATCH(O170,LMH_KEY,0)),0),IFERROR(INDEX(LMH_PTS,MATCH(P170,LMH_KEY,0)),0)),""))</f>
        <v>0.142857142857143</v>
      </c>
      <c r="V170" s="74">
        <f>IF(O170="","",IFERROR(INDEX(LMH_PTS,MATCH(O170,LMH_KEY,0))/SUM(IFERROR(INDEX(LMH_PTS,MATCH(J170,LMH_KEY,0)),0),IFERROR(INDEX(LMH_PTS,MATCH(K170,LMH_KEY,0)),0),IFERROR(INDEX(LMH_PTS,MATCH(L170,LMH_KEY,0)),0),IFERROR(INDEX(LMH_PTS,MATCH(M170,LMH_KEY,0)),0),IFERROR(INDEX(LMH_PTS,MATCH(N170,LMH_KEY,0)),0),IFERROR(INDEX(LMH_PTS,MATCH(O170,LMH_KEY,0)),0),IFERROR(INDEX(LMH_PTS,MATCH(P170,LMH_KEY,0)),0)),""))</f>
        <v>0.0476190476190476</v>
      </c>
      <c r="W170" s="74">
        <f>IF(P170="","",IFERROR(INDEX(LMH_PTS,MATCH(P170,LMH_KEY,0))/SUM(IFERROR(INDEX(LMH_PTS,MATCH(J170,LMH_KEY,0)),0),IFERROR(INDEX(LMH_PTS,MATCH(K170,LMH_KEY,0)),0),IFERROR(INDEX(LMH_PTS,MATCH(L170,LMH_KEY,0)),0),IFERROR(INDEX(LMH_PTS,MATCH(M170,LMH_KEY,0)),0),IFERROR(INDEX(LMH_PTS,MATCH(N170,LMH_KEY,0)),0),IFERROR(INDEX(LMH_PTS,MATCH(O170,LMH_KEY,0)),0),IFERROR(INDEX(LMH_PTS,MATCH(P170,LMH_KEY,0)),0)),""))</f>
        <v>0.0476190476190476</v>
      </c>
      <c r="X170" s="44" t="n"/>
      <c r="Y170" s="38" t="inlineStr">
        <is>
          <t>iFile|Support|Senior Support Executive|A3|A</t>
        </is>
      </c>
    </row>
    <row r="171" ht="18" customHeight="1">
      <c r="A171" s="28" t="inlineStr">
        <is>
          <t>iFile</t>
        </is>
      </c>
      <c r="B171" s="29" t="inlineStr">
        <is>
          <t>Support</t>
        </is>
      </c>
      <c r="C171" s="75" t="inlineStr">
        <is>
          <t>A2</t>
        </is>
      </c>
      <c r="D171" s="29" t="inlineStr">
        <is>
          <t>Band A · Practitioner</t>
        </is>
      </c>
      <c r="E171" s="29" t="inlineStr">
        <is>
          <t>Support Executive</t>
        </is>
      </c>
      <c r="F171" s="29" t="inlineStr">
        <is>
          <t>Band A · all tracks</t>
        </is>
      </c>
      <c r="G171" s="29" t="inlineStr">
        <is>
          <t>Customer Success &amp; Support</t>
        </is>
      </c>
      <c r="H171" s="29" t="n">
        <v>1</v>
      </c>
      <c r="I171" s="29" t="inlineStr">
        <is>
          <t>Uzma Shaikh</t>
        </is>
      </c>
      <c r="J171" s="34" t="str">
        <f>IFERROR(INDEX(RBD_C,MATCH("Customer Success &amp; Support|A2|A",RBD_KEY,0)),"M")</f>
        <v>H</v>
      </c>
      <c r="K171" s="35" t="str">
        <f>IFERROR(INDEX(RBD_Au,MATCH("Customer Success &amp; Support|A2|A",RBD_KEY,0)),"M")</f>
        <v>M</v>
      </c>
      <c r="L171" s="35" t="str">
        <f>IFERROR(INDEX(RBD_Ac,MATCH("Customer Success &amp; Support|A2|A",RBD_KEY,0)),"M")</f>
        <v>M</v>
      </c>
      <c r="M171" s="35" t="str">
        <f>IFERROR(INDEX(RBD_L,MATCH("Customer Success &amp; Support|A2|A",RBD_KEY,0)),"M")</f>
        <v>L</v>
      </c>
      <c r="N171" s="35" t="str">
        <f>IFERROR(INDEX(RBD_BI,MATCH("Customer Success &amp; Support|A2|A",RBD_KEY,0)),"M")</f>
        <v>M</v>
      </c>
      <c r="O171" s="35" t="str">
        <f>IFERROR(INDEX(RBD_Exp,MATCH("Customer Success &amp; Support|A2|A",RBD_KEY,0)),"M")</f>
        <v>L</v>
      </c>
      <c r="P171" s="35" t="str">
        <f>IFERROR(INDEX(RBD_Edu,MATCH("Customer Success &amp; Support|A2|A",RBD_KEY,0)),"M")</f>
        <v>L</v>
      </c>
      <c r="Q171" s="73">
        <f>IF(J171="","",IFERROR(INDEX(LMH_PTS,MATCH(J171,LMH_KEY,0))/SUM(IFERROR(INDEX(LMH_PTS,MATCH(J171,LMH_KEY,0)),0),IFERROR(INDEX(LMH_PTS,MATCH(K171,LMH_KEY,0)),0),IFERROR(INDEX(LMH_PTS,MATCH(L171,LMH_KEY,0)),0),IFERROR(INDEX(LMH_PTS,MATCH(M171,LMH_KEY,0)),0),IFERROR(INDEX(LMH_PTS,MATCH(N171,LMH_KEY,0)),0),IFERROR(INDEX(LMH_PTS,MATCH(O171,LMH_KEY,0)),0),IFERROR(INDEX(LMH_PTS,MATCH(P171,LMH_KEY,0)),0)),""))</f>
        <v>0.428571428571429</v>
      </c>
      <c r="R171" s="74">
        <f>IF(K171="","",IFERROR(INDEX(LMH_PTS,MATCH(K171,LMH_KEY,0))/SUM(IFERROR(INDEX(LMH_PTS,MATCH(J171,LMH_KEY,0)),0),IFERROR(INDEX(LMH_PTS,MATCH(K171,LMH_KEY,0)),0),IFERROR(INDEX(LMH_PTS,MATCH(L171,LMH_KEY,0)),0),IFERROR(INDEX(LMH_PTS,MATCH(M171,LMH_KEY,0)),0),IFERROR(INDEX(LMH_PTS,MATCH(N171,LMH_KEY,0)),0),IFERROR(INDEX(LMH_PTS,MATCH(O171,LMH_KEY,0)),0),IFERROR(INDEX(LMH_PTS,MATCH(P171,LMH_KEY,0)),0)),""))</f>
        <v>0.142857142857143</v>
      </c>
      <c r="S171" s="74">
        <f>IF(L171="","",IFERROR(INDEX(LMH_PTS,MATCH(L171,LMH_KEY,0))/SUM(IFERROR(INDEX(LMH_PTS,MATCH(J171,LMH_KEY,0)),0),IFERROR(INDEX(LMH_PTS,MATCH(K171,LMH_KEY,0)),0),IFERROR(INDEX(LMH_PTS,MATCH(L171,LMH_KEY,0)),0),IFERROR(INDEX(LMH_PTS,MATCH(M171,LMH_KEY,0)),0),IFERROR(INDEX(LMH_PTS,MATCH(N171,LMH_KEY,0)),0),IFERROR(INDEX(LMH_PTS,MATCH(O171,LMH_KEY,0)),0),IFERROR(INDEX(LMH_PTS,MATCH(P171,LMH_KEY,0)),0)),""))</f>
        <v>0.142857142857143</v>
      </c>
      <c r="T171" s="74">
        <f>IF(M171="","",IFERROR(INDEX(LMH_PTS,MATCH(M171,LMH_KEY,0))/SUM(IFERROR(INDEX(LMH_PTS,MATCH(J171,LMH_KEY,0)),0),IFERROR(INDEX(LMH_PTS,MATCH(K171,LMH_KEY,0)),0),IFERROR(INDEX(LMH_PTS,MATCH(L171,LMH_KEY,0)),0),IFERROR(INDEX(LMH_PTS,MATCH(M171,LMH_KEY,0)),0),IFERROR(INDEX(LMH_PTS,MATCH(N171,LMH_KEY,0)),0),IFERROR(INDEX(LMH_PTS,MATCH(O171,LMH_KEY,0)),0),IFERROR(INDEX(LMH_PTS,MATCH(P171,LMH_KEY,0)),0)),""))</f>
        <v>0.0476190476190476</v>
      </c>
      <c r="U171" s="74">
        <f>IF(N171="","",IFERROR(INDEX(LMH_PTS,MATCH(N171,LMH_KEY,0))/SUM(IFERROR(INDEX(LMH_PTS,MATCH(J171,LMH_KEY,0)),0),IFERROR(INDEX(LMH_PTS,MATCH(K171,LMH_KEY,0)),0),IFERROR(INDEX(LMH_PTS,MATCH(L171,LMH_KEY,0)),0),IFERROR(INDEX(LMH_PTS,MATCH(M171,LMH_KEY,0)),0),IFERROR(INDEX(LMH_PTS,MATCH(N171,LMH_KEY,0)),0),IFERROR(INDEX(LMH_PTS,MATCH(O171,LMH_KEY,0)),0),IFERROR(INDEX(LMH_PTS,MATCH(P171,LMH_KEY,0)),0)),""))</f>
        <v>0.142857142857143</v>
      </c>
      <c r="V171" s="74">
        <f>IF(O171="","",IFERROR(INDEX(LMH_PTS,MATCH(O171,LMH_KEY,0))/SUM(IFERROR(INDEX(LMH_PTS,MATCH(J171,LMH_KEY,0)),0),IFERROR(INDEX(LMH_PTS,MATCH(K171,LMH_KEY,0)),0),IFERROR(INDEX(LMH_PTS,MATCH(L171,LMH_KEY,0)),0),IFERROR(INDEX(LMH_PTS,MATCH(M171,LMH_KEY,0)),0),IFERROR(INDEX(LMH_PTS,MATCH(N171,LMH_KEY,0)),0),IFERROR(INDEX(LMH_PTS,MATCH(O171,LMH_KEY,0)),0),IFERROR(INDEX(LMH_PTS,MATCH(P171,LMH_KEY,0)),0)),""))</f>
        <v>0.0476190476190476</v>
      </c>
      <c r="W171" s="74">
        <f>IF(P171="","",IFERROR(INDEX(LMH_PTS,MATCH(P171,LMH_KEY,0))/SUM(IFERROR(INDEX(LMH_PTS,MATCH(J171,LMH_KEY,0)),0),IFERROR(INDEX(LMH_PTS,MATCH(K171,LMH_KEY,0)),0),IFERROR(INDEX(LMH_PTS,MATCH(L171,LMH_KEY,0)),0),IFERROR(INDEX(LMH_PTS,MATCH(M171,LMH_KEY,0)),0),IFERROR(INDEX(LMH_PTS,MATCH(N171,LMH_KEY,0)),0),IFERROR(INDEX(LMH_PTS,MATCH(O171,LMH_KEY,0)),0),IFERROR(INDEX(LMH_PTS,MATCH(P171,LMH_KEY,0)),0)),""))</f>
        <v>0.0476190476190476</v>
      </c>
      <c r="X171" s="44" t="n"/>
      <c r="Y171" s="38" t="inlineStr">
        <is>
          <t>iFile|Support|Support Executive|A2|A</t>
        </is>
      </c>
    </row>
    <row r="172" ht="18" customHeight="1">
      <c r="A172" s="28" t="inlineStr">
        <is>
          <t>iFile</t>
        </is>
      </c>
      <c r="B172" s="71" t="inlineStr">
        <is>
          <t>Technology</t>
        </is>
      </c>
      <c r="C172" s="78" t="inlineStr">
        <is>
          <t>C2</t>
        </is>
      </c>
      <c r="D172" s="29" t="inlineStr">
        <is>
          <t>Band C · Principal / Head</t>
        </is>
      </c>
      <c r="E172" s="29" t="inlineStr">
        <is>
          <t>Head – Delivery</t>
        </is>
      </c>
      <c r="F172" s="29" t="inlineStr">
        <is>
          <t>Band C · Head / manager</t>
        </is>
      </c>
      <c r="G172" s="29" t="inlineStr">
        <is>
          <t>Executive Leadership</t>
        </is>
      </c>
      <c r="H172" s="29" t="n">
        <v>1</v>
      </c>
      <c r="I172" s="29" t="inlineStr">
        <is>
          <t>Pradip Dey</t>
        </is>
      </c>
      <c r="J172" s="34" t="str">
        <f>IFERROR(INDEX(RBD_C,MATCH("Executive Leadership|C2|C-M",RBD_KEY,0)),"M")</f>
        <v>H</v>
      </c>
      <c r="K172" s="35" t="str">
        <f>IFERROR(INDEX(RBD_Au,MATCH("Executive Leadership|C2|C-M",RBD_KEY,0)),"M")</f>
        <v>M</v>
      </c>
      <c r="L172" s="35" t="str">
        <f>IFERROR(INDEX(RBD_Ac,MATCH("Executive Leadership|C2|C-M",RBD_KEY,0)),"M")</f>
        <v>M</v>
      </c>
      <c r="M172" s="35" t="str">
        <f>IFERROR(INDEX(RBD_L,MATCH("Executive Leadership|C2|C-M",RBD_KEY,0)),"M")</f>
        <v>M</v>
      </c>
      <c r="N172" s="35" t="str">
        <f>IFERROR(INDEX(RBD_BI,MATCH("Executive Leadership|C2|C-M",RBD_KEY,0)),"M")</f>
        <v>L</v>
      </c>
      <c r="O172" s="35" t="str">
        <f>IFERROR(INDEX(RBD_Exp,MATCH("Executive Leadership|C2|C-M",RBD_KEY,0)),"M")</f>
        <v>L</v>
      </c>
      <c r="P172" s="35" t="str">
        <f>IFERROR(INDEX(RBD_Edu,MATCH("Executive Leadership|C2|C-M",RBD_KEY,0)),"M")</f>
        <v>L</v>
      </c>
      <c r="Q172" s="73">
        <f>IF(J172="","",IFERROR(INDEX(LMH_PTS,MATCH(J172,LMH_KEY,0))/SUM(IFERROR(INDEX(LMH_PTS,MATCH(J172,LMH_KEY,0)),0),IFERROR(INDEX(LMH_PTS,MATCH(K172,LMH_KEY,0)),0),IFERROR(INDEX(LMH_PTS,MATCH(L172,LMH_KEY,0)),0),IFERROR(INDEX(LMH_PTS,MATCH(M172,LMH_KEY,0)),0),IFERROR(INDEX(LMH_PTS,MATCH(N172,LMH_KEY,0)),0),IFERROR(INDEX(LMH_PTS,MATCH(O172,LMH_KEY,0)),0),IFERROR(INDEX(LMH_PTS,MATCH(P172,LMH_KEY,0)),0)),""))</f>
        <v>0.428571428571429</v>
      </c>
      <c r="R172" s="74">
        <f>IF(K172="","",IFERROR(INDEX(LMH_PTS,MATCH(K172,LMH_KEY,0))/SUM(IFERROR(INDEX(LMH_PTS,MATCH(J172,LMH_KEY,0)),0),IFERROR(INDEX(LMH_PTS,MATCH(K172,LMH_KEY,0)),0),IFERROR(INDEX(LMH_PTS,MATCH(L172,LMH_KEY,0)),0),IFERROR(INDEX(LMH_PTS,MATCH(M172,LMH_KEY,0)),0),IFERROR(INDEX(LMH_PTS,MATCH(N172,LMH_KEY,0)),0),IFERROR(INDEX(LMH_PTS,MATCH(O172,LMH_KEY,0)),0),IFERROR(INDEX(LMH_PTS,MATCH(P172,LMH_KEY,0)),0)),""))</f>
        <v>0.142857142857143</v>
      </c>
      <c r="S172" s="74">
        <f>IF(L172="","",IFERROR(INDEX(LMH_PTS,MATCH(L172,LMH_KEY,0))/SUM(IFERROR(INDEX(LMH_PTS,MATCH(J172,LMH_KEY,0)),0),IFERROR(INDEX(LMH_PTS,MATCH(K172,LMH_KEY,0)),0),IFERROR(INDEX(LMH_PTS,MATCH(L172,LMH_KEY,0)),0),IFERROR(INDEX(LMH_PTS,MATCH(M172,LMH_KEY,0)),0),IFERROR(INDEX(LMH_PTS,MATCH(N172,LMH_KEY,0)),0),IFERROR(INDEX(LMH_PTS,MATCH(O172,LMH_KEY,0)),0),IFERROR(INDEX(LMH_PTS,MATCH(P172,LMH_KEY,0)),0)),""))</f>
        <v>0.142857142857143</v>
      </c>
      <c r="T172" s="74">
        <f>IF(M172="","",IFERROR(INDEX(LMH_PTS,MATCH(M172,LMH_KEY,0))/SUM(IFERROR(INDEX(LMH_PTS,MATCH(J172,LMH_KEY,0)),0),IFERROR(INDEX(LMH_PTS,MATCH(K172,LMH_KEY,0)),0),IFERROR(INDEX(LMH_PTS,MATCH(L172,LMH_KEY,0)),0),IFERROR(INDEX(LMH_PTS,MATCH(M172,LMH_KEY,0)),0),IFERROR(INDEX(LMH_PTS,MATCH(N172,LMH_KEY,0)),0),IFERROR(INDEX(LMH_PTS,MATCH(O172,LMH_KEY,0)),0),IFERROR(INDEX(LMH_PTS,MATCH(P172,LMH_KEY,0)),0)),""))</f>
        <v>0.142857142857143</v>
      </c>
      <c r="U172" s="74">
        <f>IF(N172="","",IFERROR(INDEX(LMH_PTS,MATCH(N172,LMH_KEY,0))/SUM(IFERROR(INDEX(LMH_PTS,MATCH(J172,LMH_KEY,0)),0),IFERROR(INDEX(LMH_PTS,MATCH(K172,LMH_KEY,0)),0),IFERROR(INDEX(LMH_PTS,MATCH(L172,LMH_KEY,0)),0),IFERROR(INDEX(LMH_PTS,MATCH(M172,LMH_KEY,0)),0),IFERROR(INDEX(LMH_PTS,MATCH(N172,LMH_KEY,0)),0),IFERROR(INDEX(LMH_PTS,MATCH(O172,LMH_KEY,0)),0),IFERROR(INDEX(LMH_PTS,MATCH(P172,LMH_KEY,0)),0)),""))</f>
        <v>0.0476190476190476</v>
      </c>
      <c r="V172" s="74">
        <f>IF(O172="","",IFERROR(INDEX(LMH_PTS,MATCH(O172,LMH_KEY,0))/SUM(IFERROR(INDEX(LMH_PTS,MATCH(J172,LMH_KEY,0)),0),IFERROR(INDEX(LMH_PTS,MATCH(K172,LMH_KEY,0)),0),IFERROR(INDEX(LMH_PTS,MATCH(L172,LMH_KEY,0)),0),IFERROR(INDEX(LMH_PTS,MATCH(M172,LMH_KEY,0)),0),IFERROR(INDEX(LMH_PTS,MATCH(N172,LMH_KEY,0)),0),IFERROR(INDEX(LMH_PTS,MATCH(O172,LMH_KEY,0)),0),IFERROR(INDEX(LMH_PTS,MATCH(P172,LMH_KEY,0)),0)),""))</f>
        <v>0.0476190476190476</v>
      </c>
      <c r="W172" s="74">
        <f>IF(P172="","",IFERROR(INDEX(LMH_PTS,MATCH(P172,LMH_KEY,0))/SUM(IFERROR(INDEX(LMH_PTS,MATCH(J172,LMH_KEY,0)),0),IFERROR(INDEX(LMH_PTS,MATCH(K172,LMH_KEY,0)),0),IFERROR(INDEX(LMH_PTS,MATCH(L172,LMH_KEY,0)),0),IFERROR(INDEX(LMH_PTS,MATCH(M172,LMH_KEY,0)),0),IFERROR(INDEX(LMH_PTS,MATCH(N172,LMH_KEY,0)),0),IFERROR(INDEX(LMH_PTS,MATCH(O172,LMH_KEY,0)),0),IFERROR(INDEX(LMH_PTS,MATCH(P172,LMH_KEY,0)),0)),""))</f>
        <v>0.0476190476190476</v>
      </c>
      <c r="X172" s="44" t="n"/>
      <c r="Y172" s="38" t="inlineStr">
        <is>
          <t>iFile|Technology|Head – Delivery|C2|C-M</t>
        </is>
      </c>
    </row>
    <row r="173" ht="40.5" customHeight="1">
      <c r="A173" s="28" t="inlineStr">
        <is>
          <t>iFile</t>
        </is>
      </c>
      <c r="B173" s="29" t="inlineStr">
        <is>
          <t>Technology</t>
        </is>
      </c>
      <c r="C173" s="80" t="inlineStr">
        <is>
          <t>B+</t>
        </is>
      </c>
      <c r="D173" s="29" t="inlineStr">
        <is>
          <t>B+ · Player-Coach</t>
        </is>
      </c>
      <c r="E173" s="29" t="inlineStr">
        <is>
          <t>Practice Lead – Project &amp; Program Delivery · Player-Coach</t>
        </is>
      </c>
      <c r="F173" s="29" t="inlineStr">
        <is>
          <t>B+ · Player-Coach</t>
        </is>
      </c>
      <c r="G173" s="29" t="inlineStr">
        <is>
          <t>Project &amp; Program Management</t>
        </is>
      </c>
      <c r="H173" s="29" t="n">
        <v>1</v>
      </c>
      <c r="I173" s="29" t="inlineStr">
        <is>
          <t>Izharuddin Shaikh</t>
        </is>
      </c>
      <c r="J173" s="34" t="str">
        <f>IFERROR(INDEX(RBD_C,MATCH("Project &amp; Program Management|B+|B+",RBD_KEY,0)),"M")</f>
        <v>H</v>
      </c>
      <c r="K173" s="35" t="str">
        <f>IFERROR(INDEX(RBD_Au,MATCH("Project &amp; Program Management|B+|B+",RBD_KEY,0)),"M")</f>
        <v>M</v>
      </c>
      <c r="L173" s="35" t="str">
        <f>IFERROR(INDEX(RBD_Ac,MATCH("Project &amp; Program Management|B+|B+",RBD_KEY,0)),"M")</f>
        <v>L</v>
      </c>
      <c r="M173" s="35" t="str">
        <f>IFERROR(INDEX(RBD_L,MATCH("Project &amp; Program Management|B+|B+",RBD_KEY,0)),"M")</f>
        <v>M</v>
      </c>
      <c r="N173" s="35" t="str">
        <f>IFERROR(INDEX(RBD_BI,MATCH("Project &amp; Program Management|B+|B+",RBD_KEY,0)),"M")</f>
        <v>L</v>
      </c>
      <c r="O173" s="35" t="str">
        <f>IFERROR(INDEX(RBD_Exp,MATCH("Project &amp; Program Management|B+|B+",RBD_KEY,0)),"M")</f>
        <v>L</v>
      </c>
      <c r="P173" s="35" t="str">
        <f>IFERROR(INDEX(RBD_Edu,MATCH("Project &amp; Program Management|B+|B+",RBD_KEY,0)),"M")</f>
        <v>L</v>
      </c>
      <c r="Q173" s="73">
        <f>IF(J173="","",IFERROR(INDEX(LMH_PTS,MATCH(J173,LMH_KEY,0))/SUM(IFERROR(INDEX(LMH_PTS,MATCH(J173,LMH_KEY,0)),0),IFERROR(INDEX(LMH_PTS,MATCH(K173,LMH_KEY,0)),0),IFERROR(INDEX(LMH_PTS,MATCH(L173,LMH_KEY,0)),0),IFERROR(INDEX(LMH_PTS,MATCH(M173,LMH_KEY,0)),0),IFERROR(INDEX(LMH_PTS,MATCH(N173,LMH_KEY,0)),0),IFERROR(INDEX(LMH_PTS,MATCH(O173,LMH_KEY,0)),0),IFERROR(INDEX(LMH_PTS,MATCH(P173,LMH_KEY,0)),0)),""))</f>
        <v>0.473684210526316</v>
      </c>
      <c r="R173" s="74">
        <f>IF(K173="","",IFERROR(INDEX(LMH_PTS,MATCH(K173,LMH_KEY,0))/SUM(IFERROR(INDEX(LMH_PTS,MATCH(J173,LMH_KEY,0)),0),IFERROR(INDEX(LMH_PTS,MATCH(K173,LMH_KEY,0)),0),IFERROR(INDEX(LMH_PTS,MATCH(L173,LMH_KEY,0)),0),IFERROR(INDEX(LMH_PTS,MATCH(M173,LMH_KEY,0)),0),IFERROR(INDEX(LMH_PTS,MATCH(N173,LMH_KEY,0)),0),IFERROR(INDEX(LMH_PTS,MATCH(O173,LMH_KEY,0)),0),IFERROR(INDEX(LMH_PTS,MATCH(P173,LMH_KEY,0)),0)),""))</f>
        <v>0.157894736842105</v>
      </c>
      <c r="S173" s="74">
        <f>IF(L173="","",IFERROR(INDEX(LMH_PTS,MATCH(L173,LMH_KEY,0))/SUM(IFERROR(INDEX(LMH_PTS,MATCH(J173,LMH_KEY,0)),0),IFERROR(INDEX(LMH_PTS,MATCH(K173,LMH_KEY,0)),0),IFERROR(INDEX(LMH_PTS,MATCH(L173,LMH_KEY,0)),0),IFERROR(INDEX(LMH_PTS,MATCH(M173,LMH_KEY,0)),0),IFERROR(INDEX(LMH_PTS,MATCH(N173,LMH_KEY,0)),0),IFERROR(INDEX(LMH_PTS,MATCH(O173,LMH_KEY,0)),0),IFERROR(INDEX(LMH_PTS,MATCH(P173,LMH_KEY,0)),0)),""))</f>
        <v>0.0526315789473684</v>
      </c>
      <c r="T173" s="74">
        <f>IF(M173="","",IFERROR(INDEX(LMH_PTS,MATCH(M173,LMH_KEY,0))/SUM(IFERROR(INDEX(LMH_PTS,MATCH(J173,LMH_KEY,0)),0),IFERROR(INDEX(LMH_PTS,MATCH(K173,LMH_KEY,0)),0),IFERROR(INDEX(LMH_PTS,MATCH(L173,LMH_KEY,0)),0),IFERROR(INDEX(LMH_PTS,MATCH(M173,LMH_KEY,0)),0),IFERROR(INDEX(LMH_PTS,MATCH(N173,LMH_KEY,0)),0),IFERROR(INDEX(LMH_PTS,MATCH(O173,LMH_KEY,0)),0),IFERROR(INDEX(LMH_PTS,MATCH(P173,LMH_KEY,0)),0)),""))</f>
        <v>0.157894736842105</v>
      </c>
      <c r="U173" s="74">
        <f>IF(N173="","",IFERROR(INDEX(LMH_PTS,MATCH(N173,LMH_KEY,0))/SUM(IFERROR(INDEX(LMH_PTS,MATCH(J173,LMH_KEY,0)),0),IFERROR(INDEX(LMH_PTS,MATCH(K173,LMH_KEY,0)),0),IFERROR(INDEX(LMH_PTS,MATCH(L173,LMH_KEY,0)),0),IFERROR(INDEX(LMH_PTS,MATCH(M173,LMH_KEY,0)),0),IFERROR(INDEX(LMH_PTS,MATCH(N173,LMH_KEY,0)),0),IFERROR(INDEX(LMH_PTS,MATCH(O173,LMH_KEY,0)),0),IFERROR(INDEX(LMH_PTS,MATCH(P173,LMH_KEY,0)),0)),""))</f>
        <v>0.0526315789473684</v>
      </c>
      <c r="V173" s="74">
        <f>IF(O173="","",IFERROR(INDEX(LMH_PTS,MATCH(O173,LMH_KEY,0))/SUM(IFERROR(INDEX(LMH_PTS,MATCH(J173,LMH_KEY,0)),0),IFERROR(INDEX(LMH_PTS,MATCH(K173,LMH_KEY,0)),0),IFERROR(INDEX(LMH_PTS,MATCH(L173,LMH_KEY,0)),0),IFERROR(INDEX(LMH_PTS,MATCH(M173,LMH_KEY,0)),0),IFERROR(INDEX(LMH_PTS,MATCH(N173,LMH_KEY,0)),0),IFERROR(INDEX(LMH_PTS,MATCH(O173,LMH_KEY,0)),0),IFERROR(INDEX(LMH_PTS,MATCH(P173,LMH_KEY,0)),0)),""))</f>
        <v>0.0526315789473684</v>
      </c>
      <c r="W173" s="74">
        <f>IF(P173="","",IFERROR(INDEX(LMH_PTS,MATCH(P173,LMH_KEY,0))/SUM(IFERROR(INDEX(LMH_PTS,MATCH(J173,LMH_KEY,0)),0),IFERROR(INDEX(LMH_PTS,MATCH(K173,LMH_KEY,0)),0),IFERROR(INDEX(LMH_PTS,MATCH(L173,LMH_KEY,0)),0),IFERROR(INDEX(LMH_PTS,MATCH(M173,LMH_KEY,0)),0),IFERROR(INDEX(LMH_PTS,MATCH(N173,LMH_KEY,0)),0),IFERROR(INDEX(LMH_PTS,MATCH(O173,LMH_KEY,0)),0),IFERROR(INDEX(LMH_PTS,MATCH(P173,LMH_KEY,0)),0)),""))</f>
        <v>0.0526315789473684</v>
      </c>
      <c r="X173" s="44" t="n"/>
      <c r="Y173" s="38" t="inlineStr">
        <is>
          <t>iFile|Technology|Practice Lead – Project &amp; Program Delivery · Player-Coach|B+|B+</t>
        </is>
      </c>
    </row>
    <row r="174" ht="40.5" customHeight="1">
      <c r="A174" s="28" t="inlineStr">
        <is>
          <t>iFile</t>
        </is>
      </c>
      <c r="B174" s="29" t="inlineStr">
        <is>
          <t>Technology</t>
        </is>
      </c>
      <c r="C174" s="80" t="inlineStr">
        <is>
          <t>B+</t>
        </is>
      </c>
      <c r="D174" s="29" t="inlineStr">
        <is>
          <t>B+ · Player-Coach</t>
        </is>
      </c>
      <c r="E174" s="29" t="inlineStr">
        <is>
          <t>Practice Lead – Solution &amp; Technical Architecture · Player-Coach</t>
        </is>
      </c>
      <c r="F174" s="29" t="inlineStr">
        <is>
          <t>B+ · Player-Coach</t>
        </is>
      </c>
      <c r="G174" s="29" t="inlineStr">
        <is>
          <t>Engineering &amp; Architecture</t>
        </is>
      </c>
      <c r="H174" s="29" t="n">
        <v>4</v>
      </c>
      <c r="I174" s="29" t="inlineStr">
        <is>
          <t>Brij Kishor Singh, Hemant Trivedi, Pushpendra Singh, Suman Kumar</t>
        </is>
      </c>
      <c r="J174" s="34" t="str">
        <f>IFERROR(INDEX(RBD_C,MATCH("Engineering &amp; Architecture|B+|B+",RBD_KEY,0)),"M")</f>
        <v>H</v>
      </c>
      <c r="K174" s="35" t="str">
        <f>IFERROR(INDEX(RBD_Au,MATCH("Engineering &amp; Architecture|B+|B+",RBD_KEY,0)),"M")</f>
        <v>M</v>
      </c>
      <c r="L174" s="35" t="str">
        <f>IFERROR(INDEX(RBD_Ac,MATCH("Engineering &amp; Architecture|B+|B+",RBD_KEY,0)),"M")</f>
        <v>L</v>
      </c>
      <c r="M174" s="35" t="str">
        <f>IFERROR(INDEX(RBD_L,MATCH("Engineering &amp; Architecture|B+|B+",RBD_KEY,0)),"M")</f>
        <v>M</v>
      </c>
      <c r="N174" s="35" t="str">
        <f>IFERROR(INDEX(RBD_BI,MATCH("Engineering &amp; Architecture|B+|B+",RBD_KEY,0)),"M")</f>
        <v>L</v>
      </c>
      <c r="O174" s="35" t="str">
        <f>IFERROR(INDEX(RBD_Exp,MATCH("Engineering &amp; Architecture|B+|B+",RBD_KEY,0)),"M")</f>
        <v>L</v>
      </c>
      <c r="P174" s="35" t="str">
        <f>IFERROR(INDEX(RBD_Edu,MATCH("Engineering &amp; Architecture|B+|B+",RBD_KEY,0)),"M")</f>
        <v>L</v>
      </c>
      <c r="Q174" s="73">
        <f>IF(J174="","",IFERROR(INDEX(LMH_PTS,MATCH(J174,LMH_KEY,0))/SUM(IFERROR(INDEX(LMH_PTS,MATCH(J174,LMH_KEY,0)),0),IFERROR(INDEX(LMH_PTS,MATCH(K174,LMH_KEY,0)),0),IFERROR(INDEX(LMH_PTS,MATCH(L174,LMH_KEY,0)),0),IFERROR(INDEX(LMH_PTS,MATCH(M174,LMH_KEY,0)),0),IFERROR(INDEX(LMH_PTS,MATCH(N174,LMH_KEY,0)),0),IFERROR(INDEX(LMH_PTS,MATCH(O174,LMH_KEY,0)),0),IFERROR(INDEX(LMH_PTS,MATCH(P174,LMH_KEY,0)),0)),""))</f>
        <v>0.473684210526316</v>
      </c>
      <c r="R174" s="74">
        <f>IF(K174="","",IFERROR(INDEX(LMH_PTS,MATCH(K174,LMH_KEY,0))/SUM(IFERROR(INDEX(LMH_PTS,MATCH(J174,LMH_KEY,0)),0),IFERROR(INDEX(LMH_PTS,MATCH(K174,LMH_KEY,0)),0),IFERROR(INDEX(LMH_PTS,MATCH(L174,LMH_KEY,0)),0),IFERROR(INDEX(LMH_PTS,MATCH(M174,LMH_KEY,0)),0),IFERROR(INDEX(LMH_PTS,MATCH(N174,LMH_KEY,0)),0),IFERROR(INDEX(LMH_PTS,MATCH(O174,LMH_KEY,0)),0),IFERROR(INDEX(LMH_PTS,MATCH(P174,LMH_KEY,0)),0)),""))</f>
        <v>0.157894736842105</v>
      </c>
      <c r="S174" s="74">
        <f>IF(L174="","",IFERROR(INDEX(LMH_PTS,MATCH(L174,LMH_KEY,0))/SUM(IFERROR(INDEX(LMH_PTS,MATCH(J174,LMH_KEY,0)),0),IFERROR(INDEX(LMH_PTS,MATCH(K174,LMH_KEY,0)),0),IFERROR(INDEX(LMH_PTS,MATCH(L174,LMH_KEY,0)),0),IFERROR(INDEX(LMH_PTS,MATCH(M174,LMH_KEY,0)),0),IFERROR(INDEX(LMH_PTS,MATCH(N174,LMH_KEY,0)),0),IFERROR(INDEX(LMH_PTS,MATCH(O174,LMH_KEY,0)),0),IFERROR(INDEX(LMH_PTS,MATCH(P174,LMH_KEY,0)),0)),""))</f>
        <v>0.0526315789473684</v>
      </c>
      <c r="T174" s="74">
        <f>IF(M174="","",IFERROR(INDEX(LMH_PTS,MATCH(M174,LMH_KEY,0))/SUM(IFERROR(INDEX(LMH_PTS,MATCH(J174,LMH_KEY,0)),0),IFERROR(INDEX(LMH_PTS,MATCH(K174,LMH_KEY,0)),0),IFERROR(INDEX(LMH_PTS,MATCH(L174,LMH_KEY,0)),0),IFERROR(INDEX(LMH_PTS,MATCH(M174,LMH_KEY,0)),0),IFERROR(INDEX(LMH_PTS,MATCH(N174,LMH_KEY,0)),0),IFERROR(INDEX(LMH_PTS,MATCH(O174,LMH_KEY,0)),0),IFERROR(INDEX(LMH_PTS,MATCH(P174,LMH_KEY,0)),0)),""))</f>
        <v>0.157894736842105</v>
      </c>
      <c r="U174" s="74">
        <f>IF(N174="","",IFERROR(INDEX(LMH_PTS,MATCH(N174,LMH_KEY,0))/SUM(IFERROR(INDEX(LMH_PTS,MATCH(J174,LMH_KEY,0)),0),IFERROR(INDEX(LMH_PTS,MATCH(K174,LMH_KEY,0)),0),IFERROR(INDEX(LMH_PTS,MATCH(L174,LMH_KEY,0)),0),IFERROR(INDEX(LMH_PTS,MATCH(M174,LMH_KEY,0)),0),IFERROR(INDEX(LMH_PTS,MATCH(N174,LMH_KEY,0)),0),IFERROR(INDEX(LMH_PTS,MATCH(O174,LMH_KEY,0)),0),IFERROR(INDEX(LMH_PTS,MATCH(P174,LMH_KEY,0)),0)),""))</f>
        <v>0.0526315789473684</v>
      </c>
      <c r="V174" s="74">
        <f>IF(O174="","",IFERROR(INDEX(LMH_PTS,MATCH(O174,LMH_KEY,0))/SUM(IFERROR(INDEX(LMH_PTS,MATCH(J174,LMH_KEY,0)),0),IFERROR(INDEX(LMH_PTS,MATCH(K174,LMH_KEY,0)),0),IFERROR(INDEX(LMH_PTS,MATCH(L174,LMH_KEY,0)),0),IFERROR(INDEX(LMH_PTS,MATCH(M174,LMH_KEY,0)),0),IFERROR(INDEX(LMH_PTS,MATCH(N174,LMH_KEY,0)),0),IFERROR(INDEX(LMH_PTS,MATCH(O174,LMH_KEY,0)),0),IFERROR(INDEX(LMH_PTS,MATCH(P174,LMH_KEY,0)),0)),""))</f>
        <v>0.0526315789473684</v>
      </c>
      <c r="W174" s="74">
        <f>IF(P174="","",IFERROR(INDEX(LMH_PTS,MATCH(P174,LMH_KEY,0))/SUM(IFERROR(INDEX(LMH_PTS,MATCH(J174,LMH_KEY,0)),0),IFERROR(INDEX(LMH_PTS,MATCH(K174,LMH_KEY,0)),0),IFERROR(INDEX(LMH_PTS,MATCH(L174,LMH_KEY,0)),0),IFERROR(INDEX(LMH_PTS,MATCH(M174,LMH_KEY,0)),0),IFERROR(INDEX(LMH_PTS,MATCH(N174,LMH_KEY,0)),0),IFERROR(INDEX(LMH_PTS,MATCH(O174,LMH_KEY,0)),0),IFERROR(INDEX(LMH_PTS,MATCH(P174,LMH_KEY,0)),0)),""))</f>
        <v>0.0526315789473684</v>
      </c>
      <c r="X174" s="44" t="n"/>
      <c r="Y174" s="38" t="inlineStr">
        <is>
          <t>iFile|Technology|Practice Lead – Solution &amp; Technical Architecture · Player-Coach|B+|B+</t>
        </is>
      </c>
    </row>
    <row r="175" ht="28" customHeight="1">
      <c r="A175" s="28" t="inlineStr">
        <is>
          <t>iFile</t>
        </is>
      </c>
      <c r="B175" s="29" t="inlineStr">
        <is>
          <t>Technology</t>
        </is>
      </c>
      <c r="C175" s="72" t="inlineStr">
        <is>
          <t>B3</t>
        </is>
      </c>
      <c r="D175" s="29" t="inlineStr">
        <is>
          <t>Band B · Specialist / Manager</t>
        </is>
      </c>
      <c r="E175" s="29" t="inlineStr">
        <is>
          <t>Associate Technical Architect</t>
        </is>
      </c>
      <c r="F175" s="29" t="inlineStr">
        <is>
          <t>Band B · Specialist / POD Lead</t>
        </is>
      </c>
      <c r="G175" s="29" t="inlineStr">
        <is>
          <t>Engineering &amp; Architecture</t>
        </is>
      </c>
      <c r="H175" s="29" t="n">
        <v>1</v>
      </c>
      <c r="I175" s="29" t="inlineStr">
        <is>
          <t>Virendra Kumar Ray</t>
        </is>
      </c>
      <c r="J175" s="34" t="str">
        <f>IFERROR(INDEX(RBD_C,MATCH("Engineering &amp; Architecture|B3|B-IC",RBD_KEY,0)),"M")</f>
        <v>H</v>
      </c>
      <c r="K175" s="35" t="str">
        <f>IFERROR(INDEX(RBD_Au,MATCH("Engineering &amp; Architecture|B3|B-IC",RBD_KEY,0)),"M")</f>
        <v>M</v>
      </c>
      <c r="L175" s="35" t="str">
        <f>IFERROR(INDEX(RBD_Ac,MATCH("Engineering &amp; Architecture|B3|B-IC",RBD_KEY,0)),"M")</f>
        <v>L</v>
      </c>
      <c r="M175" s="35" t="str">
        <f>IFERROR(INDEX(RBD_L,MATCH("Engineering &amp; Architecture|B3|B-IC",RBD_KEY,0)),"M")</f>
        <v>L</v>
      </c>
      <c r="N175" s="35" t="str">
        <f>IFERROR(INDEX(RBD_BI,MATCH("Engineering &amp; Architecture|B3|B-IC",RBD_KEY,0)),"M")</f>
        <v>L</v>
      </c>
      <c r="O175" s="35" t="str">
        <f>IFERROR(INDEX(RBD_Exp,MATCH("Engineering &amp; Architecture|B3|B-IC",RBD_KEY,0)),"M")</f>
        <v>L</v>
      </c>
      <c r="P175" s="35" t="str">
        <f>IFERROR(INDEX(RBD_Edu,MATCH("Engineering &amp; Architecture|B3|B-IC",RBD_KEY,0)),"M")</f>
        <v>L</v>
      </c>
      <c r="Q175" s="73">
        <f>IF(J175="","",IFERROR(INDEX(LMH_PTS,MATCH(J175,LMH_KEY,0))/SUM(IFERROR(INDEX(LMH_PTS,MATCH(J175,LMH_KEY,0)),0),IFERROR(INDEX(LMH_PTS,MATCH(K175,LMH_KEY,0)),0),IFERROR(INDEX(LMH_PTS,MATCH(L175,LMH_KEY,0)),0),IFERROR(INDEX(LMH_PTS,MATCH(M175,LMH_KEY,0)),0),IFERROR(INDEX(LMH_PTS,MATCH(N175,LMH_KEY,0)),0),IFERROR(INDEX(LMH_PTS,MATCH(O175,LMH_KEY,0)),0),IFERROR(INDEX(LMH_PTS,MATCH(P175,LMH_KEY,0)),0)),""))</f>
        <v>0.529411764705882</v>
      </c>
      <c r="R175" s="74">
        <f>IF(K175="","",IFERROR(INDEX(LMH_PTS,MATCH(K175,LMH_KEY,0))/SUM(IFERROR(INDEX(LMH_PTS,MATCH(J175,LMH_KEY,0)),0),IFERROR(INDEX(LMH_PTS,MATCH(K175,LMH_KEY,0)),0),IFERROR(INDEX(LMH_PTS,MATCH(L175,LMH_KEY,0)),0),IFERROR(INDEX(LMH_PTS,MATCH(M175,LMH_KEY,0)),0),IFERROR(INDEX(LMH_PTS,MATCH(N175,LMH_KEY,0)),0),IFERROR(INDEX(LMH_PTS,MATCH(O175,LMH_KEY,0)),0),IFERROR(INDEX(LMH_PTS,MATCH(P175,LMH_KEY,0)),0)),""))</f>
        <v>0.176470588235294</v>
      </c>
      <c r="S175" s="74">
        <f>IF(L175="","",IFERROR(INDEX(LMH_PTS,MATCH(L175,LMH_KEY,0))/SUM(IFERROR(INDEX(LMH_PTS,MATCH(J175,LMH_KEY,0)),0),IFERROR(INDEX(LMH_PTS,MATCH(K175,LMH_KEY,0)),0),IFERROR(INDEX(LMH_PTS,MATCH(L175,LMH_KEY,0)),0),IFERROR(INDEX(LMH_PTS,MATCH(M175,LMH_KEY,0)),0),IFERROR(INDEX(LMH_PTS,MATCH(N175,LMH_KEY,0)),0),IFERROR(INDEX(LMH_PTS,MATCH(O175,LMH_KEY,0)),0),IFERROR(INDEX(LMH_PTS,MATCH(P175,LMH_KEY,0)),0)),""))</f>
        <v>0.0588235294117647</v>
      </c>
      <c r="T175" s="74">
        <f>IF(M175="","",IFERROR(INDEX(LMH_PTS,MATCH(M175,LMH_KEY,0))/SUM(IFERROR(INDEX(LMH_PTS,MATCH(J175,LMH_KEY,0)),0),IFERROR(INDEX(LMH_PTS,MATCH(K175,LMH_KEY,0)),0),IFERROR(INDEX(LMH_PTS,MATCH(L175,LMH_KEY,0)),0),IFERROR(INDEX(LMH_PTS,MATCH(M175,LMH_KEY,0)),0),IFERROR(INDEX(LMH_PTS,MATCH(N175,LMH_KEY,0)),0),IFERROR(INDEX(LMH_PTS,MATCH(O175,LMH_KEY,0)),0),IFERROR(INDEX(LMH_PTS,MATCH(P175,LMH_KEY,0)),0)),""))</f>
        <v>0.0588235294117647</v>
      </c>
      <c r="U175" s="74">
        <f>IF(N175="","",IFERROR(INDEX(LMH_PTS,MATCH(N175,LMH_KEY,0))/SUM(IFERROR(INDEX(LMH_PTS,MATCH(J175,LMH_KEY,0)),0),IFERROR(INDEX(LMH_PTS,MATCH(K175,LMH_KEY,0)),0),IFERROR(INDEX(LMH_PTS,MATCH(L175,LMH_KEY,0)),0),IFERROR(INDEX(LMH_PTS,MATCH(M175,LMH_KEY,0)),0),IFERROR(INDEX(LMH_PTS,MATCH(N175,LMH_KEY,0)),0),IFERROR(INDEX(LMH_PTS,MATCH(O175,LMH_KEY,0)),0),IFERROR(INDEX(LMH_PTS,MATCH(P175,LMH_KEY,0)),0)),""))</f>
        <v>0.0588235294117647</v>
      </c>
      <c r="V175" s="74">
        <f>IF(O175="","",IFERROR(INDEX(LMH_PTS,MATCH(O175,LMH_KEY,0))/SUM(IFERROR(INDEX(LMH_PTS,MATCH(J175,LMH_KEY,0)),0),IFERROR(INDEX(LMH_PTS,MATCH(K175,LMH_KEY,0)),0),IFERROR(INDEX(LMH_PTS,MATCH(L175,LMH_KEY,0)),0),IFERROR(INDEX(LMH_PTS,MATCH(M175,LMH_KEY,0)),0),IFERROR(INDEX(LMH_PTS,MATCH(N175,LMH_KEY,0)),0),IFERROR(INDEX(LMH_PTS,MATCH(O175,LMH_KEY,0)),0),IFERROR(INDEX(LMH_PTS,MATCH(P175,LMH_KEY,0)),0)),""))</f>
        <v>0.0588235294117647</v>
      </c>
      <c r="W175" s="74">
        <f>IF(P175="","",IFERROR(INDEX(LMH_PTS,MATCH(P175,LMH_KEY,0))/SUM(IFERROR(INDEX(LMH_PTS,MATCH(J175,LMH_KEY,0)),0),IFERROR(INDEX(LMH_PTS,MATCH(K175,LMH_KEY,0)),0),IFERROR(INDEX(LMH_PTS,MATCH(L175,LMH_KEY,0)),0),IFERROR(INDEX(LMH_PTS,MATCH(M175,LMH_KEY,0)),0),IFERROR(INDEX(LMH_PTS,MATCH(N175,LMH_KEY,0)),0),IFERROR(INDEX(LMH_PTS,MATCH(O175,LMH_KEY,0)),0),IFERROR(INDEX(LMH_PTS,MATCH(P175,LMH_KEY,0)),0)),""))</f>
        <v>0.0588235294117647</v>
      </c>
      <c r="X175" s="44" t="n"/>
      <c r="Y175" s="38" t="inlineStr">
        <is>
          <t>iFile|Technology|Associate Technical Architect|B3|B-IC</t>
        </is>
      </c>
    </row>
    <row r="176" ht="18" customHeight="1">
      <c r="A176" s="28" t="inlineStr">
        <is>
          <t>iFile</t>
        </is>
      </c>
      <c r="B176" s="29" t="inlineStr">
        <is>
          <t>Technology</t>
        </is>
      </c>
      <c r="C176" s="72" t="inlineStr">
        <is>
          <t>B3</t>
        </is>
      </c>
      <c r="D176" s="29" t="inlineStr">
        <is>
          <t>Band B · Specialist / Manager</t>
        </is>
      </c>
      <c r="E176" s="29" t="inlineStr">
        <is>
          <t>Program Manager</t>
        </is>
      </c>
      <c r="F176" s="29" t="inlineStr">
        <is>
          <t>Band B · Specialist / POD Lead</t>
        </is>
      </c>
      <c r="G176" s="29" t="inlineStr">
        <is>
          <t>Project &amp; Program Management</t>
        </is>
      </c>
      <c r="H176" s="29" t="n">
        <v>1</v>
      </c>
      <c r="I176" s="29" t="inlineStr">
        <is>
          <t>Tarun Kumar Mittal</t>
        </is>
      </c>
      <c r="J176" s="34" t="str">
        <f>IFERROR(INDEX(RBD_C,MATCH("Project &amp; Program Management|B3|B-IC",RBD_KEY,0)),"M")</f>
        <v>H</v>
      </c>
      <c r="K176" s="35" t="str">
        <f>IFERROR(INDEX(RBD_Au,MATCH("Project &amp; Program Management|B3|B-IC",RBD_KEY,0)),"M")</f>
        <v>M</v>
      </c>
      <c r="L176" s="35" t="str">
        <f>IFERROR(INDEX(RBD_Ac,MATCH("Project &amp; Program Management|B3|B-IC",RBD_KEY,0)),"M")</f>
        <v>L</v>
      </c>
      <c r="M176" s="35" t="str">
        <f>IFERROR(INDEX(RBD_L,MATCH("Project &amp; Program Management|B3|B-IC",RBD_KEY,0)),"M")</f>
        <v>L</v>
      </c>
      <c r="N176" s="35" t="str">
        <f>IFERROR(INDEX(RBD_BI,MATCH("Project &amp; Program Management|B3|B-IC",RBD_KEY,0)),"M")</f>
        <v>L</v>
      </c>
      <c r="O176" s="35" t="str">
        <f>IFERROR(INDEX(RBD_Exp,MATCH("Project &amp; Program Management|B3|B-IC",RBD_KEY,0)),"M")</f>
        <v>L</v>
      </c>
      <c r="P176" s="35" t="str">
        <f>IFERROR(INDEX(RBD_Edu,MATCH("Project &amp; Program Management|B3|B-IC",RBD_KEY,0)),"M")</f>
        <v>L</v>
      </c>
      <c r="Q176" s="73">
        <f>IF(J176="","",IFERROR(INDEX(LMH_PTS,MATCH(J176,LMH_KEY,0))/SUM(IFERROR(INDEX(LMH_PTS,MATCH(J176,LMH_KEY,0)),0),IFERROR(INDEX(LMH_PTS,MATCH(K176,LMH_KEY,0)),0),IFERROR(INDEX(LMH_PTS,MATCH(L176,LMH_KEY,0)),0),IFERROR(INDEX(LMH_PTS,MATCH(M176,LMH_KEY,0)),0),IFERROR(INDEX(LMH_PTS,MATCH(N176,LMH_KEY,0)),0),IFERROR(INDEX(LMH_PTS,MATCH(O176,LMH_KEY,0)),0),IFERROR(INDEX(LMH_PTS,MATCH(P176,LMH_KEY,0)),0)),""))</f>
        <v>0.529411764705882</v>
      </c>
      <c r="R176" s="74">
        <f>IF(K176="","",IFERROR(INDEX(LMH_PTS,MATCH(K176,LMH_KEY,0))/SUM(IFERROR(INDEX(LMH_PTS,MATCH(J176,LMH_KEY,0)),0),IFERROR(INDEX(LMH_PTS,MATCH(K176,LMH_KEY,0)),0),IFERROR(INDEX(LMH_PTS,MATCH(L176,LMH_KEY,0)),0),IFERROR(INDEX(LMH_PTS,MATCH(M176,LMH_KEY,0)),0),IFERROR(INDEX(LMH_PTS,MATCH(N176,LMH_KEY,0)),0),IFERROR(INDEX(LMH_PTS,MATCH(O176,LMH_KEY,0)),0),IFERROR(INDEX(LMH_PTS,MATCH(P176,LMH_KEY,0)),0)),""))</f>
        <v>0.176470588235294</v>
      </c>
      <c r="S176" s="74">
        <f>IF(L176="","",IFERROR(INDEX(LMH_PTS,MATCH(L176,LMH_KEY,0))/SUM(IFERROR(INDEX(LMH_PTS,MATCH(J176,LMH_KEY,0)),0),IFERROR(INDEX(LMH_PTS,MATCH(K176,LMH_KEY,0)),0),IFERROR(INDEX(LMH_PTS,MATCH(L176,LMH_KEY,0)),0),IFERROR(INDEX(LMH_PTS,MATCH(M176,LMH_KEY,0)),0),IFERROR(INDEX(LMH_PTS,MATCH(N176,LMH_KEY,0)),0),IFERROR(INDEX(LMH_PTS,MATCH(O176,LMH_KEY,0)),0),IFERROR(INDEX(LMH_PTS,MATCH(P176,LMH_KEY,0)),0)),""))</f>
        <v>0.0588235294117647</v>
      </c>
      <c r="T176" s="74">
        <f>IF(M176="","",IFERROR(INDEX(LMH_PTS,MATCH(M176,LMH_KEY,0))/SUM(IFERROR(INDEX(LMH_PTS,MATCH(J176,LMH_KEY,0)),0),IFERROR(INDEX(LMH_PTS,MATCH(K176,LMH_KEY,0)),0),IFERROR(INDEX(LMH_PTS,MATCH(L176,LMH_KEY,0)),0),IFERROR(INDEX(LMH_PTS,MATCH(M176,LMH_KEY,0)),0),IFERROR(INDEX(LMH_PTS,MATCH(N176,LMH_KEY,0)),0),IFERROR(INDEX(LMH_PTS,MATCH(O176,LMH_KEY,0)),0),IFERROR(INDEX(LMH_PTS,MATCH(P176,LMH_KEY,0)),0)),""))</f>
        <v>0.0588235294117647</v>
      </c>
      <c r="U176" s="74">
        <f>IF(N176="","",IFERROR(INDEX(LMH_PTS,MATCH(N176,LMH_KEY,0))/SUM(IFERROR(INDEX(LMH_PTS,MATCH(J176,LMH_KEY,0)),0),IFERROR(INDEX(LMH_PTS,MATCH(K176,LMH_KEY,0)),0),IFERROR(INDEX(LMH_PTS,MATCH(L176,LMH_KEY,0)),0),IFERROR(INDEX(LMH_PTS,MATCH(M176,LMH_KEY,0)),0),IFERROR(INDEX(LMH_PTS,MATCH(N176,LMH_KEY,0)),0),IFERROR(INDEX(LMH_PTS,MATCH(O176,LMH_KEY,0)),0),IFERROR(INDEX(LMH_PTS,MATCH(P176,LMH_KEY,0)),0)),""))</f>
        <v>0.0588235294117647</v>
      </c>
      <c r="V176" s="74">
        <f>IF(O176="","",IFERROR(INDEX(LMH_PTS,MATCH(O176,LMH_KEY,0))/SUM(IFERROR(INDEX(LMH_PTS,MATCH(J176,LMH_KEY,0)),0),IFERROR(INDEX(LMH_PTS,MATCH(K176,LMH_KEY,0)),0),IFERROR(INDEX(LMH_PTS,MATCH(L176,LMH_KEY,0)),0),IFERROR(INDEX(LMH_PTS,MATCH(M176,LMH_KEY,0)),0),IFERROR(INDEX(LMH_PTS,MATCH(N176,LMH_KEY,0)),0),IFERROR(INDEX(LMH_PTS,MATCH(O176,LMH_KEY,0)),0),IFERROR(INDEX(LMH_PTS,MATCH(P176,LMH_KEY,0)),0)),""))</f>
        <v>0.0588235294117647</v>
      </c>
      <c r="W176" s="74">
        <f>IF(P176="","",IFERROR(INDEX(LMH_PTS,MATCH(P176,LMH_KEY,0))/SUM(IFERROR(INDEX(LMH_PTS,MATCH(J176,LMH_KEY,0)),0),IFERROR(INDEX(LMH_PTS,MATCH(K176,LMH_KEY,0)),0),IFERROR(INDEX(LMH_PTS,MATCH(L176,LMH_KEY,0)),0),IFERROR(INDEX(LMH_PTS,MATCH(M176,LMH_KEY,0)),0),IFERROR(INDEX(LMH_PTS,MATCH(N176,LMH_KEY,0)),0),IFERROR(INDEX(LMH_PTS,MATCH(O176,LMH_KEY,0)),0),IFERROR(INDEX(LMH_PTS,MATCH(P176,LMH_KEY,0)),0)),""))</f>
        <v>0.0588235294117647</v>
      </c>
      <c r="X176" s="44" t="n"/>
      <c r="Y176" s="38" t="inlineStr">
        <is>
          <t>iFile|Technology|Program Manager|B3|B-IC</t>
        </is>
      </c>
    </row>
    <row r="177" ht="28" customHeight="1">
      <c r="A177" s="28" t="inlineStr">
        <is>
          <t>iFile</t>
        </is>
      </c>
      <c r="B177" s="29" t="inlineStr">
        <is>
          <t>Technology</t>
        </is>
      </c>
      <c r="C177" s="72" t="inlineStr">
        <is>
          <t>B3</t>
        </is>
      </c>
      <c r="D177" s="29" t="inlineStr">
        <is>
          <t>Band B · Specialist / Manager</t>
        </is>
      </c>
      <c r="E177" s="29" t="inlineStr">
        <is>
          <t>Technical Architect</t>
        </is>
      </c>
      <c r="F177" s="29" t="inlineStr">
        <is>
          <t>Band B · Specialist / POD Lead</t>
        </is>
      </c>
      <c r="G177" s="29" t="inlineStr">
        <is>
          <t>Engineering &amp; Architecture</t>
        </is>
      </c>
      <c r="H177" s="29" t="n">
        <v>2</v>
      </c>
      <c r="I177" s="29" t="inlineStr">
        <is>
          <t>Sharanagouda Patil, Giridhar Singh</t>
        </is>
      </c>
      <c r="J177" s="34" t="str">
        <f>IFERROR(INDEX(RBD_C,MATCH("Engineering &amp; Architecture|B3|B-IC",RBD_KEY,0)),"M")</f>
        <v>H</v>
      </c>
      <c r="K177" s="35" t="str">
        <f>IFERROR(INDEX(RBD_Au,MATCH("Engineering &amp; Architecture|B3|B-IC",RBD_KEY,0)),"M")</f>
        <v>M</v>
      </c>
      <c r="L177" s="35" t="str">
        <f>IFERROR(INDEX(RBD_Ac,MATCH("Engineering &amp; Architecture|B3|B-IC",RBD_KEY,0)),"M")</f>
        <v>L</v>
      </c>
      <c r="M177" s="35" t="str">
        <f>IFERROR(INDEX(RBD_L,MATCH("Engineering &amp; Architecture|B3|B-IC",RBD_KEY,0)),"M")</f>
        <v>L</v>
      </c>
      <c r="N177" s="35" t="str">
        <f>IFERROR(INDEX(RBD_BI,MATCH("Engineering &amp; Architecture|B3|B-IC",RBD_KEY,0)),"M")</f>
        <v>L</v>
      </c>
      <c r="O177" s="35" t="str">
        <f>IFERROR(INDEX(RBD_Exp,MATCH("Engineering &amp; Architecture|B3|B-IC",RBD_KEY,0)),"M")</f>
        <v>L</v>
      </c>
      <c r="P177" s="35" t="str">
        <f>IFERROR(INDEX(RBD_Edu,MATCH("Engineering &amp; Architecture|B3|B-IC",RBD_KEY,0)),"M")</f>
        <v>L</v>
      </c>
      <c r="Q177" s="73">
        <f>IF(J177="","",IFERROR(INDEX(LMH_PTS,MATCH(J177,LMH_KEY,0))/SUM(IFERROR(INDEX(LMH_PTS,MATCH(J177,LMH_KEY,0)),0),IFERROR(INDEX(LMH_PTS,MATCH(K177,LMH_KEY,0)),0),IFERROR(INDEX(LMH_PTS,MATCH(L177,LMH_KEY,0)),0),IFERROR(INDEX(LMH_PTS,MATCH(M177,LMH_KEY,0)),0),IFERROR(INDEX(LMH_PTS,MATCH(N177,LMH_KEY,0)),0),IFERROR(INDEX(LMH_PTS,MATCH(O177,LMH_KEY,0)),0),IFERROR(INDEX(LMH_PTS,MATCH(P177,LMH_KEY,0)),0)),""))</f>
        <v>0.529411764705882</v>
      </c>
      <c r="R177" s="74">
        <f>IF(K177="","",IFERROR(INDEX(LMH_PTS,MATCH(K177,LMH_KEY,0))/SUM(IFERROR(INDEX(LMH_PTS,MATCH(J177,LMH_KEY,0)),0),IFERROR(INDEX(LMH_PTS,MATCH(K177,LMH_KEY,0)),0),IFERROR(INDEX(LMH_PTS,MATCH(L177,LMH_KEY,0)),0),IFERROR(INDEX(LMH_PTS,MATCH(M177,LMH_KEY,0)),0),IFERROR(INDEX(LMH_PTS,MATCH(N177,LMH_KEY,0)),0),IFERROR(INDEX(LMH_PTS,MATCH(O177,LMH_KEY,0)),0),IFERROR(INDEX(LMH_PTS,MATCH(P177,LMH_KEY,0)),0)),""))</f>
        <v>0.176470588235294</v>
      </c>
      <c r="S177" s="74">
        <f>IF(L177="","",IFERROR(INDEX(LMH_PTS,MATCH(L177,LMH_KEY,0))/SUM(IFERROR(INDEX(LMH_PTS,MATCH(J177,LMH_KEY,0)),0),IFERROR(INDEX(LMH_PTS,MATCH(K177,LMH_KEY,0)),0),IFERROR(INDEX(LMH_PTS,MATCH(L177,LMH_KEY,0)),0),IFERROR(INDEX(LMH_PTS,MATCH(M177,LMH_KEY,0)),0),IFERROR(INDEX(LMH_PTS,MATCH(N177,LMH_KEY,0)),0),IFERROR(INDEX(LMH_PTS,MATCH(O177,LMH_KEY,0)),0),IFERROR(INDEX(LMH_PTS,MATCH(P177,LMH_KEY,0)),0)),""))</f>
        <v>0.0588235294117647</v>
      </c>
      <c r="T177" s="74">
        <f>IF(M177="","",IFERROR(INDEX(LMH_PTS,MATCH(M177,LMH_KEY,0))/SUM(IFERROR(INDEX(LMH_PTS,MATCH(J177,LMH_KEY,0)),0),IFERROR(INDEX(LMH_PTS,MATCH(K177,LMH_KEY,0)),0),IFERROR(INDEX(LMH_PTS,MATCH(L177,LMH_KEY,0)),0),IFERROR(INDEX(LMH_PTS,MATCH(M177,LMH_KEY,0)),0),IFERROR(INDEX(LMH_PTS,MATCH(N177,LMH_KEY,0)),0),IFERROR(INDEX(LMH_PTS,MATCH(O177,LMH_KEY,0)),0),IFERROR(INDEX(LMH_PTS,MATCH(P177,LMH_KEY,0)),0)),""))</f>
        <v>0.0588235294117647</v>
      </c>
      <c r="U177" s="74">
        <f>IF(N177="","",IFERROR(INDEX(LMH_PTS,MATCH(N177,LMH_KEY,0))/SUM(IFERROR(INDEX(LMH_PTS,MATCH(J177,LMH_KEY,0)),0),IFERROR(INDEX(LMH_PTS,MATCH(K177,LMH_KEY,0)),0),IFERROR(INDEX(LMH_PTS,MATCH(L177,LMH_KEY,0)),0),IFERROR(INDEX(LMH_PTS,MATCH(M177,LMH_KEY,0)),0),IFERROR(INDEX(LMH_PTS,MATCH(N177,LMH_KEY,0)),0),IFERROR(INDEX(LMH_PTS,MATCH(O177,LMH_KEY,0)),0),IFERROR(INDEX(LMH_PTS,MATCH(P177,LMH_KEY,0)),0)),""))</f>
        <v>0.0588235294117647</v>
      </c>
      <c r="V177" s="74">
        <f>IF(O177="","",IFERROR(INDEX(LMH_PTS,MATCH(O177,LMH_KEY,0))/SUM(IFERROR(INDEX(LMH_PTS,MATCH(J177,LMH_KEY,0)),0),IFERROR(INDEX(LMH_PTS,MATCH(K177,LMH_KEY,0)),0),IFERROR(INDEX(LMH_PTS,MATCH(L177,LMH_KEY,0)),0),IFERROR(INDEX(LMH_PTS,MATCH(M177,LMH_KEY,0)),0),IFERROR(INDEX(LMH_PTS,MATCH(N177,LMH_KEY,0)),0),IFERROR(INDEX(LMH_PTS,MATCH(O177,LMH_KEY,0)),0),IFERROR(INDEX(LMH_PTS,MATCH(P177,LMH_KEY,0)),0)),""))</f>
        <v>0.0588235294117647</v>
      </c>
      <c r="W177" s="74">
        <f>IF(P177="","",IFERROR(INDEX(LMH_PTS,MATCH(P177,LMH_KEY,0))/SUM(IFERROR(INDEX(LMH_PTS,MATCH(J177,LMH_KEY,0)),0),IFERROR(INDEX(LMH_PTS,MATCH(K177,LMH_KEY,0)),0),IFERROR(INDEX(LMH_PTS,MATCH(L177,LMH_KEY,0)),0),IFERROR(INDEX(LMH_PTS,MATCH(M177,LMH_KEY,0)),0),IFERROR(INDEX(LMH_PTS,MATCH(N177,LMH_KEY,0)),0),IFERROR(INDEX(LMH_PTS,MATCH(O177,LMH_KEY,0)),0),IFERROR(INDEX(LMH_PTS,MATCH(P177,LMH_KEY,0)),0)),""))</f>
        <v>0.0588235294117647</v>
      </c>
      <c r="X177" s="44" t="n"/>
      <c r="Y177" s="38" t="inlineStr">
        <is>
          <t>iFile|Technology|Technical Architect|B3|B-IC</t>
        </is>
      </c>
    </row>
    <row r="178" ht="28" customHeight="1">
      <c r="A178" s="28" t="inlineStr">
        <is>
          <t>iFile</t>
        </is>
      </c>
      <c r="B178" s="29" t="inlineStr">
        <is>
          <t>Technology</t>
        </is>
      </c>
      <c r="C178" s="72" t="inlineStr">
        <is>
          <t>B2</t>
        </is>
      </c>
      <c r="D178" s="29" t="inlineStr">
        <is>
          <t>Band B · Specialist / Manager</t>
        </is>
      </c>
      <c r="E178" s="29" t="inlineStr">
        <is>
          <t>Delivery Manager</t>
        </is>
      </c>
      <c r="F178" s="29" t="inlineStr">
        <is>
          <t>Band B · People Manager</t>
        </is>
      </c>
      <c r="G178" s="29" t="inlineStr">
        <is>
          <t>Project &amp; Program Management</t>
        </is>
      </c>
      <c r="H178" s="29" t="n">
        <v>4</v>
      </c>
      <c r="I178" s="29" t="inlineStr">
        <is>
          <t>Kimaya Mundlye, Yunus Patel, Nikhil Nalawade, Sandeep Dwivedi</t>
        </is>
      </c>
      <c r="J178" s="34" t="str">
        <f>IFERROR(INDEX(RBD_C,MATCH("Project &amp; Program Management|B2|B-M",RBD_KEY,0)),"M")</f>
        <v>H</v>
      </c>
      <c r="K178" s="35" t="str">
        <f>IFERROR(INDEX(RBD_Au,MATCH("Project &amp; Program Management|B2|B-M",RBD_KEY,0)),"M")</f>
        <v>M</v>
      </c>
      <c r="L178" s="35" t="str">
        <f>IFERROR(INDEX(RBD_Ac,MATCH("Project &amp; Program Management|B2|B-M",RBD_KEY,0)),"M")</f>
        <v>L</v>
      </c>
      <c r="M178" s="35" t="str">
        <f>IFERROR(INDEX(RBD_L,MATCH("Project &amp; Program Management|B2|B-M",RBD_KEY,0)),"M")</f>
        <v>M</v>
      </c>
      <c r="N178" s="35" t="str">
        <f>IFERROR(INDEX(RBD_BI,MATCH("Project &amp; Program Management|B2|B-M",RBD_KEY,0)),"M")</f>
        <v>L</v>
      </c>
      <c r="O178" s="35" t="str">
        <f>IFERROR(INDEX(RBD_Exp,MATCH("Project &amp; Program Management|B2|B-M",RBD_KEY,0)),"M")</f>
        <v>L</v>
      </c>
      <c r="P178" s="35" t="str">
        <f>IFERROR(INDEX(RBD_Edu,MATCH("Project &amp; Program Management|B2|B-M",RBD_KEY,0)),"M")</f>
        <v>L</v>
      </c>
      <c r="Q178" s="73">
        <f>IF(J178="","",IFERROR(INDEX(LMH_PTS,MATCH(J178,LMH_KEY,0))/SUM(IFERROR(INDEX(LMH_PTS,MATCH(J178,LMH_KEY,0)),0),IFERROR(INDEX(LMH_PTS,MATCH(K178,LMH_KEY,0)),0),IFERROR(INDEX(LMH_PTS,MATCH(L178,LMH_KEY,0)),0),IFERROR(INDEX(LMH_PTS,MATCH(M178,LMH_KEY,0)),0),IFERROR(INDEX(LMH_PTS,MATCH(N178,LMH_KEY,0)),0),IFERROR(INDEX(LMH_PTS,MATCH(O178,LMH_KEY,0)),0),IFERROR(INDEX(LMH_PTS,MATCH(P178,LMH_KEY,0)),0)),""))</f>
        <v>0.473684210526316</v>
      </c>
      <c r="R178" s="74">
        <f>IF(K178="","",IFERROR(INDEX(LMH_PTS,MATCH(K178,LMH_KEY,0))/SUM(IFERROR(INDEX(LMH_PTS,MATCH(J178,LMH_KEY,0)),0),IFERROR(INDEX(LMH_PTS,MATCH(K178,LMH_KEY,0)),0),IFERROR(INDEX(LMH_PTS,MATCH(L178,LMH_KEY,0)),0),IFERROR(INDEX(LMH_PTS,MATCH(M178,LMH_KEY,0)),0),IFERROR(INDEX(LMH_PTS,MATCH(N178,LMH_KEY,0)),0),IFERROR(INDEX(LMH_PTS,MATCH(O178,LMH_KEY,0)),0),IFERROR(INDEX(LMH_PTS,MATCH(P178,LMH_KEY,0)),0)),""))</f>
        <v>0.157894736842105</v>
      </c>
      <c r="S178" s="74">
        <f>IF(L178="","",IFERROR(INDEX(LMH_PTS,MATCH(L178,LMH_KEY,0))/SUM(IFERROR(INDEX(LMH_PTS,MATCH(J178,LMH_KEY,0)),0),IFERROR(INDEX(LMH_PTS,MATCH(K178,LMH_KEY,0)),0),IFERROR(INDEX(LMH_PTS,MATCH(L178,LMH_KEY,0)),0),IFERROR(INDEX(LMH_PTS,MATCH(M178,LMH_KEY,0)),0),IFERROR(INDEX(LMH_PTS,MATCH(N178,LMH_KEY,0)),0),IFERROR(INDEX(LMH_PTS,MATCH(O178,LMH_KEY,0)),0),IFERROR(INDEX(LMH_PTS,MATCH(P178,LMH_KEY,0)),0)),""))</f>
        <v>0.0526315789473684</v>
      </c>
      <c r="T178" s="74">
        <f>IF(M178="","",IFERROR(INDEX(LMH_PTS,MATCH(M178,LMH_KEY,0))/SUM(IFERROR(INDEX(LMH_PTS,MATCH(J178,LMH_KEY,0)),0),IFERROR(INDEX(LMH_PTS,MATCH(K178,LMH_KEY,0)),0),IFERROR(INDEX(LMH_PTS,MATCH(L178,LMH_KEY,0)),0),IFERROR(INDEX(LMH_PTS,MATCH(M178,LMH_KEY,0)),0),IFERROR(INDEX(LMH_PTS,MATCH(N178,LMH_KEY,0)),0),IFERROR(INDEX(LMH_PTS,MATCH(O178,LMH_KEY,0)),0),IFERROR(INDEX(LMH_PTS,MATCH(P178,LMH_KEY,0)),0)),""))</f>
        <v>0.157894736842105</v>
      </c>
      <c r="U178" s="74">
        <f>IF(N178="","",IFERROR(INDEX(LMH_PTS,MATCH(N178,LMH_KEY,0))/SUM(IFERROR(INDEX(LMH_PTS,MATCH(J178,LMH_KEY,0)),0),IFERROR(INDEX(LMH_PTS,MATCH(K178,LMH_KEY,0)),0),IFERROR(INDEX(LMH_PTS,MATCH(L178,LMH_KEY,0)),0),IFERROR(INDEX(LMH_PTS,MATCH(M178,LMH_KEY,0)),0),IFERROR(INDEX(LMH_PTS,MATCH(N178,LMH_KEY,0)),0),IFERROR(INDEX(LMH_PTS,MATCH(O178,LMH_KEY,0)),0),IFERROR(INDEX(LMH_PTS,MATCH(P178,LMH_KEY,0)),0)),""))</f>
        <v>0.0526315789473684</v>
      </c>
      <c r="V178" s="74">
        <f>IF(O178="","",IFERROR(INDEX(LMH_PTS,MATCH(O178,LMH_KEY,0))/SUM(IFERROR(INDEX(LMH_PTS,MATCH(J178,LMH_KEY,0)),0),IFERROR(INDEX(LMH_PTS,MATCH(K178,LMH_KEY,0)),0),IFERROR(INDEX(LMH_PTS,MATCH(L178,LMH_KEY,0)),0),IFERROR(INDEX(LMH_PTS,MATCH(M178,LMH_KEY,0)),0),IFERROR(INDEX(LMH_PTS,MATCH(N178,LMH_KEY,0)),0),IFERROR(INDEX(LMH_PTS,MATCH(O178,LMH_KEY,0)),0),IFERROR(INDEX(LMH_PTS,MATCH(P178,LMH_KEY,0)),0)),""))</f>
        <v>0.0526315789473684</v>
      </c>
      <c r="W178" s="74">
        <f>IF(P178="","",IFERROR(INDEX(LMH_PTS,MATCH(P178,LMH_KEY,0))/SUM(IFERROR(INDEX(LMH_PTS,MATCH(J178,LMH_KEY,0)),0),IFERROR(INDEX(LMH_PTS,MATCH(K178,LMH_KEY,0)),0),IFERROR(INDEX(LMH_PTS,MATCH(L178,LMH_KEY,0)),0),IFERROR(INDEX(LMH_PTS,MATCH(M178,LMH_KEY,0)),0),IFERROR(INDEX(LMH_PTS,MATCH(N178,LMH_KEY,0)),0),IFERROR(INDEX(LMH_PTS,MATCH(O178,LMH_KEY,0)),0),IFERROR(INDEX(LMH_PTS,MATCH(P178,LMH_KEY,0)),0)),""))</f>
        <v>0.0526315789473684</v>
      </c>
      <c r="X178" s="44" t="n"/>
      <c r="Y178" s="38" t="inlineStr">
        <is>
          <t>iFile|Technology|Delivery Manager|B2|B-M</t>
        </is>
      </c>
    </row>
    <row r="179" ht="18" customHeight="1">
      <c r="A179" s="28" t="inlineStr">
        <is>
          <t>iFile</t>
        </is>
      </c>
      <c r="B179" s="29" t="inlineStr">
        <is>
          <t>Technology</t>
        </is>
      </c>
      <c r="C179" s="72" t="inlineStr">
        <is>
          <t>B2</t>
        </is>
      </c>
      <c r="D179" s="29" t="inlineStr">
        <is>
          <t>Band B · Specialist / Manager</t>
        </is>
      </c>
      <c r="E179" s="29" t="inlineStr">
        <is>
          <t>Engineering Manager</t>
        </is>
      </c>
      <c r="F179" s="29" t="inlineStr">
        <is>
          <t>Band B · People Manager</t>
        </is>
      </c>
      <c r="G179" s="29" t="inlineStr">
        <is>
          <t>Engineering &amp; Development</t>
        </is>
      </c>
      <c r="H179" s="29" t="n">
        <v>1</v>
      </c>
      <c r="I179" s="29" t="inlineStr">
        <is>
          <t>Sagar Jadhav</t>
        </is>
      </c>
      <c r="J179" s="34" t="str">
        <f>IFERROR(INDEX(RBD_C,MATCH("Engineering &amp; Development|B2|B-M",RBD_KEY,0)),"M")</f>
        <v>H</v>
      </c>
      <c r="K179" s="35" t="str">
        <f>IFERROR(INDEX(RBD_Au,MATCH("Engineering &amp; Development|B2|B-M",RBD_KEY,0)),"M")</f>
        <v>M</v>
      </c>
      <c r="L179" s="35" t="str">
        <f>IFERROR(INDEX(RBD_Ac,MATCH("Engineering &amp; Development|B2|B-M",RBD_KEY,0)),"M")</f>
        <v>L</v>
      </c>
      <c r="M179" s="35" t="str">
        <f>IFERROR(INDEX(RBD_L,MATCH("Engineering &amp; Development|B2|B-M",RBD_KEY,0)),"M")</f>
        <v>M</v>
      </c>
      <c r="N179" s="35" t="str">
        <f>IFERROR(INDEX(RBD_BI,MATCH("Engineering &amp; Development|B2|B-M",RBD_KEY,0)),"M")</f>
        <v>L</v>
      </c>
      <c r="O179" s="35" t="str">
        <f>IFERROR(INDEX(RBD_Exp,MATCH("Engineering &amp; Development|B2|B-M",RBD_KEY,0)),"M")</f>
        <v>L</v>
      </c>
      <c r="P179" s="35" t="str">
        <f>IFERROR(INDEX(RBD_Edu,MATCH("Engineering &amp; Development|B2|B-M",RBD_KEY,0)),"M")</f>
        <v>L</v>
      </c>
      <c r="Q179" s="73">
        <f>IF(J179="","",IFERROR(INDEX(LMH_PTS,MATCH(J179,LMH_KEY,0))/SUM(IFERROR(INDEX(LMH_PTS,MATCH(J179,LMH_KEY,0)),0),IFERROR(INDEX(LMH_PTS,MATCH(K179,LMH_KEY,0)),0),IFERROR(INDEX(LMH_PTS,MATCH(L179,LMH_KEY,0)),0),IFERROR(INDEX(LMH_PTS,MATCH(M179,LMH_KEY,0)),0),IFERROR(INDEX(LMH_PTS,MATCH(N179,LMH_KEY,0)),0),IFERROR(INDEX(LMH_PTS,MATCH(O179,LMH_KEY,0)),0),IFERROR(INDEX(LMH_PTS,MATCH(P179,LMH_KEY,0)),0)),""))</f>
        <v>0.473684210526316</v>
      </c>
      <c r="R179" s="74">
        <f>IF(K179="","",IFERROR(INDEX(LMH_PTS,MATCH(K179,LMH_KEY,0))/SUM(IFERROR(INDEX(LMH_PTS,MATCH(J179,LMH_KEY,0)),0),IFERROR(INDEX(LMH_PTS,MATCH(K179,LMH_KEY,0)),0),IFERROR(INDEX(LMH_PTS,MATCH(L179,LMH_KEY,0)),0),IFERROR(INDEX(LMH_PTS,MATCH(M179,LMH_KEY,0)),0),IFERROR(INDEX(LMH_PTS,MATCH(N179,LMH_KEY,0)),0),IFERROR(INDEX(LMH_PTS,MATCH(O179,LMH_KEY,0)),0),IFERROR(INDEX(LMH_PTS,MATCH(P179,LMH_KEY,0)),0)),""))</f>
        <v>0.157894736842105</v>
      </c>
      <c r="S179" s="74">
        <f>IF(L179="","",IFERROR(INDEX(LMH_PTS,MATCH(L179,LMH_KEY,0))/SUM(IFERROR(INDEX(LMH_PTS,MATCH(J179,LMH_KEY,0)),0),IFERROR(INDEX(LMH_PTS,MATCH(K179,LMH_KEY,0)),0),IFERROR(INDEX(LMH_PTS,MATCH(L179,LMH_KEY,0)),0),IFERROR(INDEX(LMH_PTS,MATCH(M179,LMH_KEY,0)),0),IFERROR(INDEX(LMH_PTS,MATCH(N179,LMH_KEY,0)),0),IFERROR(INDEX(LMH_PTS,MATCH(O179,LMH_KEY,0)),0),IFERROR(INDEX(LMH_PTS,MATCH(P179,LMH_KEY,0)),0)),""))</f>
        <v>0.0526315789473684</v>
      </c>
      <c r="T179" s="74">
        <f>IF(M179="","",IFERROR(INDEX(LMH_PTS,MATCH(M179,LMH_KEY,0))/SUM(IFERROR(INDEX(LMH_PTS,MATCH(J179,LMH_KEY,0)),0),IFERROR(INDEX(LMH_PTS,MATCH(K179,LMH_KEY,0)),0),IFERROR(INDEX(LMH_PTS,MATCH(L179,LMH_KEY,0)),0),IFERROR(INDEX(LMH_PTS,MATCH(M179,LMH_KEY,0)),0),IFERROR(INDEX(LMH_PTS,MATCH(N179,LMH_KEY,0)),0),IFERROR(INDEX(LMH_PTS,MATCH(O179,LMH_KEY,0)),0),IFERROR(INDEX(LMH_PTS,MATCH(P179,LMH_KEY,0)),0)),""))</f>
        <v>0.157894736842105</v>
      </c>
      <c r="U179" s="74">
        <f>IF(N179="","",IFERROR(INDEX(LMH_PTS,MATCH(N179,LMH_KEY,0))/SUM(IFERROR(INDEX(LMH_PTS,MATCH(J179,LMH_KEY,0)),0),IFERROR(INDEX(LMH_PTS,MATCH(K179,LMH_KEY,0)),0),IFERROR(INDEX(LMH_PTS,MATCH(L179,LMH_KEY,0)),0),IFERROR(INDEX(LMH_PTS,MATCH(M179,LMH_KEY,0)),0),IFERROR(INDEX(LMH_PTS,MATCH(N179,LMH_KEY,0)),0),IFERROR(INDEX(LMH_PTS,MATCH(O179,LMH_KEY,0)),0),IFERROR(INDEX(LMH_PTS,MATCH(P179,LMH_KEY,0)),0)),""))</f>
        <v>0.0526315789473684</v>
      </c>
      <c r="V179" s="74">
        <f>IF(O179="","",IFERROR(INDEX(LMH_PTS,MATCH(O179,LMH_KEY,0))/SUM(IFERROR(INDEX(LMH_PTS,MATCH(J179,LMH_KEY,0)),0),IFERROR(INDEX(LMH_PTS,MATCH(K179,LMH_KEY,0)),0),IFERROR(INDEX(LMH_PTS,MATCH(L179,LMH_KEY,0)),0),IFERROR(INDEX(LMH_PTS,MATCH(M179,LMH_KEY,0)),0),IFERROR(INDEX(LMH_PTS,MATCH(N179,LMH_KEY,0)),0),IFERROR(INDEX(LMH_PTS,MATCH(O179,LMH_KEY,0)),0),IFERROR(INDEX(LMH_PTS,MATCH(P179,LMH_KEY,0)),0)),""))</f>
        <v>0.0526315789473684</v>
      </c>
      <c r="W179" s="74">
        <f>IF(P179="","",IFERROR(INDEX(LMH_PTS,MATCH(P179,LMH_KEY,0))/SUM(IFERROR(INDEX(LMH_PTS,MATCH(J179,LMH_KEY,0)),0),IFERROR(INDEX(LMH_PTS,MATCH(K179,LMH_KEY,0)),0),IFERROR(INDEX(LMH_PTS,MATCH(L179,LMH_KEY,0)),0),IFERROR(INDEX(LMH_PTS,MATCH(M179,LMH_KEY,0)),0),IFERROR(INDEX(LMH_PTS,MATCH(N179,LMH_KEY,0)),0),IFERROR(INDEX(LMH_PTS,MATCH(O179,LMH_KEY,0)),0),IFERROR(INDEX(LMH_PTS,MATCH(P179,LMH_KEY,0)),0)),""))</f>
        <v>0.0526315789473684</v>
      </c>
      <c r="X179" s="44" t="n"/>
      <c r="Y179" s="38" t="inlineStr">
        <is>
          <t>iFile|Technology|Engineering Manager|B2|B-M</t>
        </is>
      </c>
    </row>
    <row r="180" ht="18" customHeight="1">
      <c r="A180" s="28" t="inlineStr">
        <is>
          <t>iFile</t>
        </is>
      </c>
      <c r="B180" s="29" t="inlineStr">
        <is>
          <t>Technology</t>
        </is>
      </c>
      <c r="C180" s="72" t="inlineStr">
        <is>
          <t>B2</t>
        </is>
      </c>
      <c r="D180" s="29" t="inlineStr">
        <is>
          <t>Band B · Specialist / Manager</t>
        </is>
      </c>
      <c r="E180" s="29" t="inlineStr">
        <is>
          <t>Lead Software Engineer</t>
        </is>
      </c>
      <c r="F180" s="29" t="inlineStr">
        <is>
          <t>Band B · Specialist / POD Lead</t>
        </is>
      </c>
      <c r="G180" s="29" t="inlineStr">
        <is>
          <t>Engineering &amp; Development</t>
        </is>
      </c>
      <c r="H180" s="29" t="n">
        <v>2</v>
      </c>
      <c r="I180" s="29" t="inlineStr">
        <is>
          <t>Himanshu Pawar, Prasad Gavhane</t>
        </is>
      </c>
      <c r="J180" s="34" t="str">
        <f>IFERROR(INDEX(RBD_C,MATCH("Engineering &amp; Development|B2|B-IC",RBD_KEY,0)),"M")</f>
        <v>H</v>
      </c>
      <c r="K180" s="35" t="str">
        <f>IFERROR(INDEX(RBD_Au,MATCH("Engineering &amp; Development|B2|B-IC",RBD_KEY,0)),"M")</f>
        <v>M</v>
      </c>
      <c r="L180" s="35" t="str">
        <f>IFERROR(INDEX(RBD_Ac,MATCH("Engineering &amp; Development|B2|B-IC",RBD_KEY,0)),"M")</f>
        <v>L</v>
      </c>
      <c r="M180" s="35" t="str">
        <f>IFERROR(INDEX(RBD_L,MATCH("Engineering &amp; Development|B2|B-IC",RBD_KEY,0)),"M")</f>
        <v>L</v>
      </c>
      <c r="N180" s="35" t="str">
        <f>IFERROR(INDEX(RBD_BI,MATCH("Engineering &amp; Development|B2|B-IC",RBD_KEY,0)),"M")</f>
        <v>L</v>
      </c>
      <c r="O180" s="35" t="str">
        <f>IFERROR(INDEX(RBD_Exp,MATCH("Engineering &amp; Development|B2|B-IC",RBD_KEY,0)),"M")</f>
        <v>L</v>
      </c>
      <c r="P180" s="35" t="str">
        <f>IFERROR(INDEX(RBD_Edu,MATCH("Engineering &amp; Development|B2|B-IC",RBD_KEY,0)),"M")</f>
        <v>L</v>
      </c>
      <c r="Q180" s="73">
        <f>IF(J180="","",IFERROR(INDEX(LMH_PTS,MATCH(J180,LMH_KEY,0))/SUM(IFERROR(INDEX(LMH_PTS,MATCH(J180,LMH_KEY,0)),0),IFERROR(INDEX(LMH_PTS,MATCH(K180,LMH_KEY,0)),0),IFERROR(INDEX(LMH_PTS,MATCH(L180,LMH_KEY,0)),0),IFERROR(INDEX(LMH_PTS,MATCH(M180,LMH_KEY,0)),0),IFERROR(INDEX(LMH_PTS,MATCH(N180,LMH_KEY,0)),0),IFERROR(INDEX(LMH_PTS,MATCH(O180,LMH_KEY,0)),0),IFERROR(INDEX(LMH_PTS,MATCH(P180,LMH_KEY,0)),0)),""))</f>
        <v>0.529411764705882</v>
      </c>
      <c r="R180" s="74">
        <f>IF(K180="","",IFERROR(INDEX(LMH_PTS,MATCH(K180,LMH_KEY,0))/SUM(IFERROR(INDEX(LMH_PTS,MATCH(J180,LMH_KEY,0)),0),IFERROR(INDEX(LMH_PTS,MATCH(K180,LMH_KEY,0)),0),IFERROR(INDEX(LMH_PTS,MATCH(L180,LMH_KEY,0)),0),IFERROR(INDEX(LMH_PTS,MATCH(M180,LMH_KEY,0)),0),IFERROR(INDEX(LMH_PTS,MATCH(N180,LMH_KEY,0)),0),IFERROR(INDEX(LMH_PTS,MATCH(O180,LMH_KEY,0)),0),IFERROR(INDEX(LMH_PTS,MATCH(P180,LMH_KEY,0)),0)),""))</f>
        <v>0.176470588235294</v>
      </c>
      <c r="S180" s="74">
        <f>IF(L180="","",IFERROR(INDEX(LMH_PTS,MATCH(L180,LMH_KEY,0))/SUM(IFERROR(INDEX(LMH_PTS,MATCH(J180,LMH_KEY,0)),0),IFERROR(INDEX(LMH_PTS,MATCH(K180,LMH_KEY,0)),0),IFERROR(INDEX(LMH_PTS,MATCH(L180,LMH_KEY,0)),0),IFERROR(INDEX(LMH_PTS,MATCH(M180,LMH_KEY,0)),0),IFERROR(INDEX(LMH_PTS,MATCH(N180,LMH_KEY,0)),0),IFERROR(INDEX(LMH_PTS,MATCH(O180,LMH_KEY,0)),0),IFERROR(INDEX(LMH_PTS,MATCH(P180,LMH_KEY,0)),0)),""))</f>
        <v>0.0588235294117647</v>
      </c>
      <c r="T180" s="74">
        <f>IF(M180="","",IFERROR(INDEX(LMH_PTS,MATCH(M180,LMH_KEY,0))/SUM(IFERROR(INDEX(LMH_PTS,MATCH(J180,LMH_KEY,0)),0),IFERROR(INDEX(LMH_PTS,MATCH(K180,LMH_KEY,0)),0),IFERROR(INDEX(LMH_PTS,MATCH(L180,LMH_KEY,0)),0),IFERROR(INDEX(LMH_PTS,MATCH(M180,LMH_KEY,0)),0),IFERROR(INDEX(LMH_PTS,MATCH(N180,LMH_KEY,0)),0),IFERROR(INDEX(LMH_PTS,MATCH(O180,LMH_KEY,0)),0),IFERROR(INDEX(LMH_PTS,MATCH(P180,LMH_KEY,0)),0)),""))</f>
        <v>0.0588235294117647</v>
      </c>
      <c r="U180" s="74">
        <f>IF(N180="","",IFERROR(INDEX(LMH_PTS,MATCH(N180,LMH_KEY,0))/SUM(IFERROR(INDEX(LMH_PTS,MATCH(J180,LMH_KEY,0)),0),IFERROR(INDEX(LMH_PTS,MATCH(K180,LMH_KEY,0)),0),IFERROR(INDEX(LMH_PTS,MATCH(L180,LMH_KEY,0)),0),IFERROR(INDEX(LMH_PTS,MATCH(M180,LMH_KEY,0)),0),IFERROR(INDEX(LMH_PTS,MATCH(N180,LMH_KEY,0)),0),IFERROR(INDEX(LMH_PTS,MATCH(O180,LMH_KEY,0)),0),IFERROR(INDEX(LMH_PTS,MATCH(P180,LMH_KEY,0)),0)),""))</f>
        <v>0.0588235294117647</v>
      </c>
      <c r="V180" s="74">
        <f>IF(O180="","",IFERROR(INDEX(LMH_PTS,MATCH(O180,LMH_KEY,0))/SUM(IFERROR(INDEX(LMH_PTS,MATCH(J180,LMH_KEY,0)),0),IFERROR(INDEX(LMH_PTS,MATCH(K180,LMH_KEY,0)),0),IFERROR(INDEX(LMH_PTS,MATCH(L180,LMH_KEY,0)),0),IFERROR(INDEX(LMH_PTS,MATCH(M180,LMH_KEY,0)),0),IFERROR(INDEX(LMH_PTS,MATCH(N180,LMH_KEY,0)),0),IFERROR(INDEX(LMH_PTS,MATCH(O180,LMH_KEY,0)),0),IFERROR(INDEX(LMH_PTS,MATCH(P180,LMH_KEY,0)),0)),""))</f>
        <v>0.0588235294117647</v>
      </c>
      <c r="W180" s="74">
        <f>IF(P180="","",IFERROR(INDEX(LMH_PTS,MATCH(P180,LMH_KEY,0))/SUM(IFERROR(INDEX(LMH_PTS,MATCH(J180,LMH_KEY,0)),0),IFERROR(INDEX(LMH_PTS,MATCH(K180,LMH_KEY,0)),0),IFERROR(INDEX(LMH_PTS,MATCH(L180,LMH_KEY,0)),0),IFERROR(INDEX(LMH_PTS,MATCH(M180,LMH_KEY,0)),0),IFERROR(INDEX(LMH_PTS,MATCH(N180,LMH_KEY,0)),0),IFERROR(INDEX(LMH_PTS,MATCH(O180,LMH_KEY,0)),0),IFERROR(INDEX(LMH_PTS,MATCH(P180,LMH_KEY,0)),0)),""))</f>
        <v>0.0588235294117647</v>
      </c>
      <c r="X180" s="44" t="n"/>
      <c r="Y180" s="38" t="inlineStr">
        <is>
          <t>iFile|Technology|Lead Software Engineer|B2|B-IC</t>
        </is>
      </c>
    </row>
    <row r="181" ht="28" customHeight="1">
      <c r="A181" s="28" t="inlineStr">
        <is>
          <t>iFile</t>
        </is>
      </c>
      <c r="B181" s="29" t="inlineStr">
        <is>
          <t>Technology</t>
        </is>
      </c>
      <c r="C181" s="72" t="inlineStr">
        <is>
          <t>B2</t>
        </is>
      </c>
      <c r="D181" s="29" t="inlineStr">
        <is>
          <t>Band B · Specialist / Manager</t>
        </is>
      </c>
      <c r="E181" s="29" t="inlineStr">
        <is>
          <t>Lead Software Engineer – POD Lead</t>
        </is>
      </c>
      <c r="F181" s="29" t="inlineStr">
        <is>
          <t>Band B · Specialist / POD Lead</t>
        </is>
      </c>
      <c r="G181" s="29" t="inlineStr">
        <is>
          <t>Engineering &amp; Development</t>
        </is>
      </c>
      <c r="H181" s="29" t="n">
        <v>1</v>
      </c>
      <c r="I181" s="29" t="inlineStr">
        <is>
          <t>Alwina Shaikh</t>
        </is>
      </c>
      <c r="J181" s="34" t="str">
        <f>IFERROR(INDEX(RBD_C,MATCH("Engineering &amp; Development|B2|B-IC",RBD_KEY,0)),"M")</f>
        <v>H</v>
      </c>
      <c r="K181" s="35" t="str">
        <f>IFERROR(INDEX(RBD_Au,MATCH("Engineering &amp; Development|B2|B-IC",RBD_KEY,0)),"M")</f>
        <v>M</v>
      </c>
      <c r="L181" s="35" t="str">
        <f>IFERROR(INDEX(RBD_Ac,MATCH("Engineering &amp; Development|B2|B-IC",RBD_KEY,0)),"M")</f>
        <v>L</v>
      </c>
      <c r="M181" s="35" t="str">
        <f>IFERROR(INDEX(RBD_L,MATCH("Engineering &amp; Development|B2|B-IC",RBD_KEY,0)),"M")</f>
        <v>L</v>
      </c>
      <c r="N181" s="35" t="str">
        <f>IFERROR(INDEX(RBD_BI,MATCH("Engineering &amp; Development|B2|B-IC",RBD_KEY,0)),"M")</f>
        <v>L</v>
      </c>
      <c r="O181" s="35" t="str">
        <f>IFERROR(INDEX(RBD_Exp,MATCH("Engineering &amp; Development|B2|B-IC",RBD_KEY,0)),"M")</f>
        <v>L</v>
      </c>
      <c r="P181" s="35" t="str">
        <f>IFERROR(INDEX(RBD_Edu,MATCH("Engineering &amp; Development|B2|B-IC",RBD_KEY,0)),"M")</f>
        <v>L</v>
      </c>
      <c r="Q181" s="73">
        <f>IF(J181="","",IFERROR(INDEX(LMH_PTS,MATCH(J181,LMH_KEY,0))/SUM(IFERROR(INDEX(LMH_PTS,MATCH(J181,LMH_KEY,0)),0),IFERROR(INDEX(LMH_PTS,MATCH(K181,LMH_KEY,0)),0),IFERROR(INDEX(LMH_PTS,MATCH(L181,LMH_KEY,0)),0),IFERROR(INDEX(LMH_PTS,MATCH(M181,LMH_KEY,0)),0),IFERROR(INDEX(LMH_PTS,MATCH(N181,LMH_KEY,0)),0),IFERROR(INDEX(LMH_PTS,MATCH(O181,LMH_KEY,0)),0),IFERROR(INDEX(LMH_PTS,MATCH(P181,LMH_KEY,0)),0)),""))</f>
        <v>0.529411764705882</v>
      </c>
      <c r="R181" s="74">
        <f>IF(K181="","",IFERROR(INDEX(LMH_PTS,MATCH(K181,LMH_KEY,0))/SUM(IFERROR(INDEX(LMH_PTS,MATCH(J181,LMH_KEY,0)),0),IFERROR(INDEX(LMH_PTS,MATCH(K181,LMH_KEY,0)),0),IFERROR(INDEX(LMH_PTS,MATCH(L181,LMH_KEY,0)),0),IFERROR(INDEX(LMH_PTS,MATCH(M181,LMH_KEY,0)),0),IFERROR(INDEX(LMH_PTS,MATCH(N181,LMH_KEY,0)),0),IFERROR(INDEX(LMH_PTS,MATCH(O181,LMH_KEY,0)),0),IFERROR(INDEX(LMH_PTS,MATCH(P181,LMH_KEY,0)),0)),""))</f>
        <v>0.176470588235294</v>
      </c>
      <c r="S181" s="74">
        <f>IF(L181="","",IFERROR(INDEX(LMH_PTS,MATCH(L181,LMH_KEY,0))/SUM(IFERROR(INDEX(LMH_PTS,MATCH(J181,LMH_KEY,0)),0),IFERROR(INDEX(LMH_PTS,MATCH(K181,LMH_KEY,0)),0),IFERROR(INDEX(LMH_PTS,MATCH(L181,LMH_KEY,0)),0),IFERROR(INDEX(LMH_PTS,MATCH(M181,LMH_KEY,0)),0),IFERROR(INDEX(LMH_PTS,MATCH(N181,LMH_KEY,0)),0),IFERROR(INDEX(LMH_PTS,MATCH(O181,LMH_KEY,0)),0),IFERROR(INDEX(LMH_PTS,MATCH(P181,LMH_KEY,0)),0)),""))</f>
        <v>0.0588235294117647</v>
      </c>
      <c r="T181" s="74">
        <f>IF(M181="","",IFERROR(INDEX(LMH_PTS,MATCH(M181,LMH_KEY,0))/SUM(IFERROR(INDEX(LMH_PTS,MATCH(J181,LMH_KEY,0)),0),IFERROR(INDEX(LMH_PTS,MATCH(K181,LMH_KEY,0)),0),IFERROR(INDEX(LMH_PTS,MATCH(L181,LMH_KEY,0)),0),IFERROR(INDEX(LMH_PTS,MATCH(M181,LMH_KEY,0)),0),IFERROR(INDEX(LMH_PTS,MATCH(N181,LMH_KEY,0)),0),IFERROR(INDEX(LMH_PTS,MATCH(O181,LMH_KEY,0)),0),IFERROR(INDEX(LMH_PTS,MATCH(P181,LMH_KEY,0)),0)),""))</f>
        <v>0.0588235294117647</v>
      </c>
      <c r="U181" s="74">
        <f>IF(N181="","",IFERROR(INDEX(LMH_PTS,MATCH(N181,LMH_KEY,0))/SUM(IFERROR(INDEX(LMH_PTS,MATCH(J181,LMH_KEY,0)),0),IFERROR(INDEX(LMH_PTS,MATCH(K181,LMH_KEY,0)),0),IFERROR(INDEX(LMH_PTS,MATCH(L181,LMH_KEY,0)),0),IFERROR(INDEX(LMH_PTS,MATCH(M181,LMH_KEY,0)),0),IFERROR(INDEX(LMH_PTS,MATCH(N181,LMH_KEY,0)),0),IFERROR(INDEX(LMH_PTS,MATCH(O181,LMH_KEY,0)),0),IFERROR(INDEX(LMH_PTS,MATCH(P181,LMH_KEY,0)),0)),""))</f>
        <v>0.0588235294117647</v>
      </c>
      <c r="V181" s="74">
        <f>IF(O181="","",IFERROR(INDEX(LMH_PTS,MATCH(O181,LMH_KEY,0))/SUM(IFERROR(INDEX(LMH_PTS,MATCH(J181,LMH_KEY,0)),0),IFERROR(INDEX(LMH_PTS,MATCH(K181,LMH_KEY,0)),0),IFERROR(INDEX(LMH_PTS,MATCH(L181,LMH_KEY,0)),0),IFERROR(INDEX(LMH_PTS,MATCH(M181,LMH_KEY,0)),0),IFERROR(INDEX(LMH_PTS,MATCH(N181,LMH_KEY,0)),0),IFERROR(INDEX(LMH_PTS,MATCH(O181,LMH_KEY,0)),0),IFERROR(INDEX(LMH_PTS,MATCH(P181,LMH_KEY,0)),0)),""))</f>
        <v>0.0588235294117647</v>
      </c>
      <c r="W181" s="74">
        <f>IF(P181="","",IFERROR(INDEX(LMH_PTS,MATCH(P181,LMH_KEY,0))/SUM(IFERROR(INDEX(LMH_PTS,MATCH(J181,LMH_KEY,0)),0),IFERROR(INDEX(LMH_PTS,MATCH(K181,LMH_KEY,0)),0),IFERROR(INDEX(LMH_PTS,MATCH(L181,LMH_KEY,0)),0),IFERROR(INDEX(LMH_PTS,MATCH(M181,LMH_KEY,0)),0),IFERROR(INDEX(LMH_PTS,MATCH(N181,LMH_KEY,0)),0),IFERROR(INDEX(LMH_PTS,MATCH(O181,LMH_KEY,0)),0),IFERROR(INDEX(LMH_PTS,MATCH(P181,LMH_KEY,0)),0)),""))</f>
        <v>0.0588235294117647</v>
      </c>
      <c r="X181" s="44" t="n"/>
      <c r="Y181" s="38" t="inlineStr">
        <is>
          <t>iFile|Technology|Lead Software Engineer – POD Lead|B2|B-IC</t>
        </is>
      </c>
    </row>
    <row r="182" ht="18" customHeight="1">
      <c r="A182" s="28" t="inlineStr">
        <is>
          <t>iFile</t>
        </is>
      </c>
      <c r="B182" s="29" t="inlineStr">
        <is>
          <t>Technology</t>
        </is>
      </c>
      <c r="C182" s="72" t="inlineStr">
        <is>
          <t>B2</t>
        </is>
      </c>
      <c r="D182" s="29" t="inlineStr">
        <is>
          <t>Band B · Specialist / Manager</t>
        </is>
      </c>
      <c r="E182" s="29" t="inlineStr">
        <is>
          <t>Project Manager</t>
        </is>
      </c>
      <c r="F182" s="29" t="inlineStr">
        <is>
          <t>Band B · Specialist / POD Lead</t>
        </is>
      </c>
      <c r="G182" s="29" t="inlineStr">
        <is>
          <t>Project &amp; Program Management</t>
        </is>
      </c>
      <c r="H182" s="29" t="n">
        <v>1</v>
      </c>
      <c r="I182" s="29" t="inlineStr">
        <is>
          <t>Deepa Vaman Shinde</t>
        </is>
      </c>
      <c r="J182" s="34" t="str">
        <f>IFERROR(INDEX(RBD_C,MATCH("Project &amp; Program Management|B2|B-IC",RBD_KEY,0)),"M")</f>
        <v>H</v>
      </c>
      <c r="K182" s="35" t="str">
        <f>IFERROR(INDEX(RBD_Au,MATCH("Project &amp; Program Management|B2|B-IC",RBD_KEY,0)),"M")</f>
        <v>M</v>
      </c>
      <c r="L182" s="35" t="str">
        <f>IFERROR(INDEX(RBD_Ac,MATCH("Project &amp; Program Management|B2|B-IC",RBD_KEY,0)),"M")</f>
        <v>L</v>
      </c>
      <c r="M182" s="35" t="str">
        <f>IFERROR(INDEX(RBD_L,MATCH("Project &amp; Program Management|B2|B-IC",RBD_KEY,0)),"M")</f>
        <v>L</v>
      </c>
      <c r="N182" s="35" t="str">
        <f>IFERROR(INDEX(RBD_BI,MATCH("Project &amp; Program Management|B2|B-IC",RBD_KEY,0)),"M")</f>
        <v>L</v>
      </c>
      <c r="O182" s="35" t="str">
        <f>IFERROR(INDEX(RBD_Exp,MATCH("Project &amp; Program Management|B2|B-IC",RBD_KEY,0)),"M")</f>
        <v>L</v>
      </c>
      <c r="P182" s="35" t="str">
        <f>IFERROR(INDEX(RBD_Edu,MATCH("Project &amp; Program Management|B2|B-IC",RBD_KEY,0)),"M")</f>
        <v>L</v>
      </c>
      <c r="Q182" s="73">
        <f>IF(J182="","",IFERROR(INDEX(LMH_PTS,MATCH(J182,LMH_KEY,0))/SUM(IFERROR(INDEX(LMH_PTS,MATCH(J182,LMH_KEY,0)),0),IFERROR(INDEX(LMH_PTS,MATCH(K182,LMH_KEY,0)),0),IFERROR(INDEX(LMH_PTS,MATCH(L182,LMH_KEY,0)),0),IFERROR(INDEX(LMH_PTS,MATCH(M182,LMH_KEY,0)),0),IFERROR(INDEX(LMH_PTS,MATCH(N182,LMH_KEY,0)),0),IFERROR(INDEX(LMH_PTS,MATCH(O182,LMH_KEY,0)),0),IFERROR(INDEX(LMH_PTS,MATCH(P182,LMH_KEY,0)),0)),""))</f>
        <v>0.529411764705882</v>
      </c>
      <c r="R182" s="74">
        <f>IF(K182="","",IFERROR(INDEX(LMH_PTS,MATCH(K182,LMH_KEY,0))/SUM(IFERROR(INDEX(LMH_PTS,MATCH(J182,LMH_KEY,0)),0),IFERROR(INDEX(LMH_PTS,MATCH(K182,LMH_KEY,0)),0),IFERROR(INDEX(LMH_PTS,MATCH(L182,LMH_KEY,0)),0),IFERROR(INDEX(LMH_PTS,MATCH(M182,LMH_KEY,0)),0),IFERROR(INDEX(LMH_PTS,MATCH(N182,LMH_KEY,0)),0),IFERROR(INDEX(LMH_PTS,MATCH(O182,LMH_KEY,0)),0),IFERROR(INDEX(LMH_PTS,MATCH(P182,LMH_KEY,0)),0)),""))</f>
        <v>0.176470588235294</v>
      </c>
      <c r="S182" s="74">
        <f>IF(L182="","",IFERROR(INDEX(LMH_PTS,MATCH(L182,LMH_KEY,0))/SUM(IFERROR(INDEX(LMH_PTS,MATCH(J182,LMH_KEY,0)),0),IFERROR(INDEX(LMH_PTS,MATCH(K182,LMH_KEY,0)),0),IFERROR(INDEX(LMH_PTS,MATCH(L182,LMH_KEY,0)),0),IFERROR(INDEX(LMH_PTS,MATCH(M182,LMH_KEY,0)),0),IFERROR(INDEX(LMH_PTS,MATCH(N182,LMH_KEY,0)),0),IFERROR(INDEX(LMH_PTS,MATCH(O182,LMH_KEY,0)),0),IFERROR(INDEX(LMH_PTS,MATCH(P182,LMH_KEY,0)),0)),""))</f>
        <v>0.0588235294117647</v>
      </c>
      <c r="T182" s="74">
        <f>IF(M182="","",IFERROR(INDEX(LMH_PTS,MATCH(M182,LMH_KEY,0))/SUM(IFERROR(INDEX(LMH_PTS,MATCH(J182,LMH_KEY,0)),0),IFERROR(INDEX(LMH_PTS,MATCH(K182,LMH_KEY,0)),0),IFERROR(INDEX(LMH_PTS,MATCH(L182,LMH_KEY,0)),0),IFERROR(INDEX(LMH_PTS,MATCH(M182,LMH_KEY,0)),0),IFERROR(INDEX(LMH_PTS,MATCH(N182,LMH_KEY,0)),0),IFERROR(INDEX(LMH_PTS,MATCH(O182,LMH_KEY,0)),0),IFERROR(INDEX(LMH_PTS,MATCH(P182,LMH_KEY,0)),0)),""))</f>
        <v>0.0588235294117647</v>
      </c>
      <c r="U182" s="74">
        <f>IF(N182="","",IFERROR(INDEX(LMH_PTS,MATCH(N182,LMH_KEY,0))/SUM(IFERROR(INDEX(LMH_PTS,MATCH(J182,LMH_KEY,0)),0),IFERROR(INDEX(LMH_PTS,MATCH(K182,LMH_KEY,0)),0),IFERROR(INDEX(LMH_PTS,MATCH(L182,LMH_KEY,0)),0),IFERROR(INDEX(LMH_PTS,MATCH(M182,LMH_KEY,0)),0),IFERROR(INDEX(LMH_PTS,MATCH(N182,LMH_KEY,0)),0),IFERROR(INDEX(LMH_PTS,MATCH(O182,LMH_KEY,0)),0),IFERROR(INDEX(LMH_PTS,MATCH(P182,LMH_KEY,0)),0)),""))</f>
        <v>0.0588235294117647</v>
      </c>
      <c r="V182" s="74">
        <f>IF(O182="","",IFERROR(INDEX(LMH_PTS,MATCH(O182,LMH_KEY,0))/SUM(IFERROR(INDEX(LMH_PTS,MATCH(J182,LMH_KEY,0)),0),IFERROR(INDEX(LMH_PTS,MATCH(K182,LMH_KEY,0)),0),IFERROR(INDEX(LMH_PTS,MATCH(L182,LMH_KEY,0)),0),IFERROR(INDEX(LMH_PTS,MATCH(M182,LMH_KEY,0)),0),IFERROR(INDEX(LMH_PTS,MATCH(N182,LMH_KEY,0)),0),IFERROR(INDEX(LMH_PTS,MATCH(O182,LMH_KEY,0)),0),IFERROR(INDEX(LMH_PTS,MATCH(P182,LMH_KEY,0)),0)),""))</f>
        <v>0.0588235294117647</v>
      </c>
      <c r="W182" s="74">
        <f>IF(P182="","",IFERROR(INDEX(LMH_PTS,MATCH(P182,LMH_KEY,0))/SUM(IFERROR(INDEX(LMH_PTS,MATCH(J182,LMH_KEY,0)),0),IFERROR(INDEX(LMH_PTS,MATCH(K182,LMH_KEY,0)),0),IFERROR(INDEX(LMH_PTS,MATCH(L182,LMH_KEY,0)),0),IFERROR(INDEX(LMH_PTS,MATCH(M182,LMH_KEY,0)),0),IFERROR(INDEX(LMH_PTS,MATCH(N182,LMH_KEY,0)),0),IFERROR(INDEX(LMH_PTS,MATCH(O182,LMH_KEY,0)),0),IFERROR(INDEX(LMH_PTS,MATCH(P182,LMH_KEY,0)),0)),""))</f>
        <v>0.0588235294117647</v>
      </c>
      <c r="X182" s="44" t="n"/>
      <c r="Y182" s="38" t="inlineStr">
        <is>
          <t>iFile|Technology|Project Manager|B2|B-IC</t>
        </is>
      </c>
    </row>
    <row r="183" ht="18" customHeight="1">
      <c r="A183" s="28" t="inlineStr">
        <is>
          <t>iFile</t>
        </is>
      </c>
      <c r="B183" s="29" t="inlineStr">
        <is>
          <t>Technology</t>
        </is>
      </c>
      <c r="C183" s="72" t="inlineStr">
        <is>
          <t>B2</t>
        </is>
      </c>
      <c r="D183" s="29" t="inlineStr">
        <is>
          <t>Band B · Specialist / Manager</t>
        </is>
      </c>
      <c r="E183" s="29" t="inlineStr">
        <is>
          <t>Project Manager</t>
        </is>
      </c>
      <c r="F183" s="29" t="inlineStr">
        <is>
          <t>Band B · People Manager</t>
        </is>
      </c>
      <c r="G183" s="29" t="inlineStr">
        <is>
          <t>Project &amp; Program Management</t>
        </is>
      </c>
      <c r="H183" s="29" t="n">
        <v>2</v>
      </c>
      <c r="I183" s="29" t="inlineStr">
        <is>
          <t>Jailesh Bhadra, Saurabh Kadam</t>
        </is>
      </c>
      <c r="J183" s="34" t="str">
        <f>IFERROR(INDEX(RBD_C,MATCH("Project &amp; Program Management|B2|B-M",RBD_KEY,0)),"M")</f>
        <v>H</v>
      </c>
      <c r="K183" s="35" t="str">
        <f>IFERROR(INDEX(RBD_Au,MATCH("Project &amp; Program Management|B2|B-M",RBD_KEY,0)),"M")</f>
        <v>M</v>
      </c>
      <c r="L183" s="35" t="str">
        <f>IFERROR(INDEX(RBD_Ac,MATCH("Project &amp; Program Management|B2|B-M",RBD_KEY,0)),"M")</f>
        <v>L</v>
      </c>
      <c r="M183" s="35" t="str">
        <f>IFERROR(INDEX(RBD_L,MATCH("Project &amp; Program Management|B2|B-M",RBD_KEY,0)),"M")</f>
        <v>M</v>
      </c>
      <c r="N183" s="35" t="str">
        <f>IFERROR(INDEX(RBD_BI,MATCH("Project &amp; Program Management|B2|B-M",RBD_KEY,0)),"M")</f>
        <v>L</v>
      </c>
      <c r="O183" s="35" t="str">
        <f>IFERROR(INDEX(RBD_Exp,MATCH("Project &amp; Program Management|B2|B-M",RBD_KEY,0)),"M")</f>
        <v>L</v>
      </c>
      <c r="P183" s="35" t="str">
        <f>IFERROR(INDEX(RBD_Edu,MATCH("Project &amp; Program Management|B2|B-M",RBD_KEY,0)),"M")</f>
        <v>L</v>
      </c>
      <c r="Q183" s="73">
        <f>IF(J183="","",IFERROR(INDEX(LMH_PTS,MATCH(J183,LMH_KEY,0))/SUM(IFERROR(INDEX(LMH_PTS,MATCH(J183,LMH_KEY,0)),0),IFERROR(INDEX(LMH_PTS,MATCH(K183,LMH_KEY,0)),0),IFERROR(INDEX(LMH_PTS,MATCH(L183,LMH_KEY,0)),0),IFERROR(INDEX(LMH_PTS,MATCH(M183,LMH_KEY,0)),0),IFERROR(INDEX(LMH_PTS,MATCH(N183,LMH_KEY,0)),0),IFERROR(INDEX(LMH_PTS,MATCH(O183,LMH_KEY,0)),0),IFERROR(INDEX(LMH_PTS,MATCH(P183,LMH_KEY,0)),0)),""))</f>
        <v>0.473684210526316</v>
      </c>
      <c r="R183" s="74">
        <f>IF(K183="","",IFERROR(INDEX(LMH_PTS,MATCH(K183,LMH_KEY,0))/SUM(IFERROR(INDEX(LMH_PTS,MATCH(J183,LMH_KEY,0)),0),IFERROR(INDEX(LMH_PTS,MATCH(K183,LMH_KEY,0)),0),IFERROR(INDEX(LMH_PTS,MATCH(L183,LMH_KEY,0)),0),IFERROR(INDEX(LMH_PTS,MATCH(M183,LMH_KEY,0)),0),IFERROR(INDEX(LMH_PTS,MATCH(N183,LMH_KEY,0)),0),IFERROR(INDEX(LMH_PTS,MATCH(O183,LMH_KEY,0)),0),IFERROR(INDEX(LMH_PTS,MATCH(P183,LMH_KEY,0)),0)),""))</f>
        <v>0.157894736842105</v>
      </c>
      <c r="S183" s="74">
        <f>IF(L183="","",IFERROR(INDEX(LMH_PTS,MATCH(L183,LMH_KEY,0))/SUM(IFERROR(INDEX(LMH_PTS,MATCH(J183,LMH_KEY,0)),0),IFERROR(INDEX(LMH_PTS,MATCH(K183,LMH_KEY,0)),0),IFERROR(INDEX(LMH_PTS,MATCH(L183,LMH_KEY,0)),0),IFERROR(INDEX(LMH_PTS,MATCH(M183,LMH_KEY,0)),0),IFERROR(INDEX(LMH_PTS,MATCH(N183,LMH_KEY,0)),0),IFERROR(INDEX(LMH_PTS,MATCH(O183,LMH_KEY,0)),0),IFERROR(INDEX(LMH_PTS,MATCH(P183,LMH_KEY,0)),0)),""))</f>
        <v>0.0526315789473684</v>
      </c>
      <c r="T183" s="74">
        <f>IF(M183="","",IFERROR(INDEX(LMH_PTS,MATCH(M183,LMH_KEY,0))/SUM(IFERROR(INDEX(LMH_PTS,MATCH(J183,LMH_KEY,0)),0),IFERROR(INDEX(LMH_PTS,MATCH(K183,LMH_KEY,0)),0),IFERROR(INDEX(LMH_PTS,MATCH(L183,LMH_KEY,0)),0),IFERROR(INDEX(LMH_PTS,MATCH(M183,LMH_KEY,0)),0),IFERROR(INDEX(LMH_PTS,MATCH(N183,LMH_KEY,0)),0),IFERROR(INDEX(LMH_PTS,MATCH(O183,LMH_KEY,0)),0),IFERROR(INDEX(LMH_PTS,MATCH(P183,LMH_KEY,0)),0)),""))</f>
        <v>0.157894736842105</v>
      </c>
      <c r="U183" s="74">
        <f>IF(N183="","",IFERROR(INDEX(LMH_PTS,MATCH(N183,LMH_KEY,0))/SUM(IFERROR(INDEX(LMH_PTS,MATCH(J183,LMH_KEY,0)),0),IFERROR(INDEX(LMH_PTS,MATCH(K183,LMH_KEY,0)),0),IFERROR(INDEX(LMH_PTS,MATCH(L183,LMH_KEY,0)),0),IFERROR(INDEX(LMH_PTS,MATCH(M183,LMH_KEY,0)),0),IFERROR(INDEX(LMH_PTS,MATCH(N183,LMH_KEY,0)),0),IFERROR(INDEX(LMH_PTS,MATCH(O183,LMH_KEY,0)),0),IFERROR(INDEX(LMH_PTS,MATCH(P183,LMH_KEY,0)),0)),""))</f>
        <v>0.0526315789473684</v>
      </c>
      <c r="V183" s="74">
        <f>IF(O183="","",IFERROR(INDEX(LMH_PTS,MATCH(O183,LMH_KEY,0))/SUM(IFERROR(INDEX(LMH_PTS,MATCH(J183,LMH_KEY,0)),0),IFERROR(INDEX(LMH_PTS,MATCH(K183,LMH_KEY,0)),0),IFERROR(INDEX(LMH_PTS,MATCH(L183,LMH_KEY,0)),0),IFERROR(INDEX(LMH_PTS,MATCH(M183,LMH_KEY,0)),0),IFERROR(INDEX(LMH_PTS,MATCH(N183,LMH_KEY,0)),0),IFERROR(INDEX(LMH_PTS,MATCH(O183,LMH_KEY,0)),0),IFERROR(INDEX(LMH_PTS,MATCH(P183,LMH_KEY,0)),0)),""))</f>
        <v>0.0526315789473684</v>
      </c>
      <c r="W183" s="74">
        <f>IF(P183="","",IFERROR(INDEX(LMH_PTS,MATCH(P183,LMH_KEY,0))/SUM(IFERROR(INDEX(LMH_PTS,MATCH(J183,LMH_KEY,0)),0),IFERROR(INDEX(LMH_PTS,MATCH(K183,LMH_KEY,0)),0),IFERROR(INDEX(LMH_PTS,MATCH(L183,LMH_KEY,0)),0),IFERROR(INDEX(LMH_PTS,MATCH(M183,LMH_KEY,0)),0),IFERROR(INDEX(LMH_PTS,MATCH(N183,LMH_KEY,0)),0),IFERROR(INDEX(LMH_PTS,MATCH(O183,LMH_KEY,0)),0),IFERROR(INDEX(LMH_PTS,MATCH(P183,LMH_KEY,0)),0)),""))</f>
        <v>0.0526315789473684</v>
      </c>
      <c r="X183" s="44" t="n"/>
      <c r="Y183" s="38" t="inlineStr">
        <is>
          <t>iFile|Technology|Project Manager|B2|B-M</t>
        </is>
      </c>
    </row>
    <row r="184" ht="18" customHeight="1">
      <c r="A184" s="28" t="inlineStr">
        <is>
          <t>iFile</t>
        </is>
      </c>
      <c r="B184" s="29" t="inlineStr">
        <is>
          <t>Technology</t>
        </is>
      </c>
      <c r="C184" s="72" t="inlineStr">
        <is>
          <t>B2</t>
        </is>
      </c>
      <c r="D184" s="29" t="inlineStr">
        <is>
          <t>Band B · Specialist / Manager</t>
        </is>
      </c>
      <c r="E184" s="29" t="inlineStr">
        <is>
          <t>Senior Technical Specialist</t>
        </is>
      </c>
      <c r="F184" s="29" t="inlineStr">
        <is>
          <t>Band B · Specialist / POD Lead</t>
        </is>
      </c>
      <c r="G184" s="29" t="inlineStr">
        <is>
          <t>Engineering &amp; Development</t>
        </is>
      </c>
      <c r="H184" s="29" t="n">
        <v>1</v>
      </c>
      <c r="I184" s="29" t="inlineStr">
        <is>
          <t>Monisha Ubriani</t>
        </is>
      </c>
      <c r="J184" s="34" t="str">
        <f>IFERROR(INDEX(RBD_C,MATCH("Engineering &amp; Development|B2|B-IC",RBD_KEY,0)),"M")</f>
        <v>H</v>
      </c>
      <c r="K184" s="35" t="str">
        <f>IFERROR(INDEX(RBD_Au,MATCH("Engineering &amp; Development|B2|B-IC",RBD_KEY,0)),"M")</f>
        <v>M</v>
      </c>
      <c r="L184" s="35" t="str">
        <f>IFERROR(INDEX(RBD_Ac,MATCH("Engineering &amp; Development|B2|B-IC",RBD_KEY,0)),"M")</f>
        <v>L</v>
      </c>
      <c r="M184" s="35" t="str">
        <f>IFERROR(INDEX(RBD_L,MATCH("Engineering &amp; Development|B2|B-IC",RBD_KEY,0)),"M")</f>
        <v>L</v>
      </c>
      <c r="N184" s="35" t="str">
        <f>IFERROR(INDEX(RBD_BI,MATCH("Engineering &amp; Development|B2|B-IC",RBD_KEY,0)),"M")</f>
        <v>L</v>
      </c>
      <c r="O184" s="35" t="str">
        <f>IFERROR(INDEX(RBD_Exp,MATCH("Engineering &amp; Development|B2|B-IC",RBD_KEY,0)),"M")</f>
        <v>L</v>
      </c>
      <c r="P184" s="35" t="str">
        <f>IFERROR(INDEX(RBD_Edu,MATCH("Engineering &amp; Development|B2|B-IC",RBD_KEY,0)),"M")</f>
        <v>L</v>
      </c>
      <c r="Q184" s="73">
        <f>IF(J184="","",IFERROR(INDEX(LMH_PTS,MATCH(J184,LMH_KEY,0))/SUM(IFERROR(INDEX(LMH_PTS,MATCH(J184,LMH_KEY,0)),0),IFERROR(INDEX(LMH_PTS,MATCH(K184,LMH_KEY,0)),0),IFERROR(INDEX(LMH_PTS,MATCH(L184,LMH_KEY,0)),0),IFERROR(INDEX(LMH_PTS,MATCH(M184,LMH_KEY,0)),0),IFERROR(INDEX(LMH_PTS,MATCH(N184,LMH_KEY,0)),0),IFERROR(INDEX(LMH_PTS,MATCH(O184,LMH_KEY,0)),0),IFERROR(INDEX(LMH_PTS,MATCH(P184,LMH_KEY,0)),0)),""))</f>
        <v>0.529411764705882</v>
      </c>
      <c r="R184" s="74">
        <f>IF(K184="","",IFERROR(INDEX(LMH_PTS,MATCH(K184,LMH_KEY,0))/SUM(IFERROR(INDEX(LMH_PTS,MATCH(J184,LMH_KEY,0)),0),IFERROR(INDEX(LMH_PTS,MATCH(K184,LMH_KEY,0)),0),IFERROR(INDEX(LMH_PTS,MATCH(L184,LMH_KEY,0)),0),IFERROR(INDEX(LMH_PTS,MATCH(M184,LMH_KEY,0)),0),IFERROR(INDEX(LMH_PTS,MATCH(N184,LMH_KEY,0)),0),IFERROR(INDEX(LMH_PTS,MATCH(O184,LMH_KEY,0)),0),IFERROR(INDEX(LMH_PTS,MATCH(P184,LMH_KEY,0)),0)),""))</f>
        <v>0.176470588235294</v>
      </c>
      <c r="S184" s="74">
        <f>IF(L184="","",IFERROR(INDEX(LMH_PTS,MATCH(L184,LMH_KEY,0))/SUM(IFERROR(INDEX(LMH_PTS,MATCH(J184,LMH_KEY,0)),0),IFERROR(INDEX(LMH_PTS,MATCH(K184,LMH_KEY,0)),0),IFERROR(INDEX(LMH_PTS,MATCH(L184,LMH_KEY,0)),0),IFERROR(INDEX(LMH_PTS,MATCH(M184,LMH_KEY,0)),0),IFERROR(INDEX(LMH_PTS,MATCH(N184,LMH_KEY,0)),0),IFERROR(INDEX(LMH_PTS,MATCH(O184,LMH_KEY,0)),0),IFERROR(INDEX(LMH_PTS,MATCH(P184,LMH_KEY,0)),0)),""))</f>
        <v>0.0588235294117647</v>
      </c>
      <c r="T184" s="74">
        <f>IF(M184="","",IFERROR(INDEX(LMH_PTS,MATCH(M184,LMH_KEY,0))/SUM(IFERROR(INDEX(LMH_PTS,MATCH(J184,LMH_KEY,0)),0),IFERROR(INDEX(LMH_PTS,MATCH(K184,LMH_KEY,0)),0),IFERROR(INDEX(LMH_PTS,MATCH(L184,LMH_KEY,0)),0),IFERROR(INDEX(LMH_PTS,MATCH(M184,LMH_KEY,0)),0),IFERROR(INDEX(LMH_PTS,MATCH(N184,LMH_KEY,0)),0),IFERROR(INDEX(LMH_PTS,MATCH(O184,LMH_KEY,0)),0),IFERROR(INDEX(LMH_PTS,MATCH(P184,LMH_KEY,0)),0)),""))</f>
        <v>0.0588235294117647</v>
      </c>
      <c r="U184" s="74">
        <f>IF(N184="","",IFERROR(INDEX(LMH_PTS,MATCH(N184,LMH_KEY,0))/SUM(IFERROR(INDEX(LMH_PTS,MATCH(J184,LMH_KEY,0)),0),IFERROR(INDEX(LMH_PTS,MATCH(K184,LMH_KEY,0)),0),IFERROR(INDEX(LMH_PTS,MATCH(L184,LMH_KEY,0)),0),IFERROR(INDEX(LMH_PTS,MATCH(M184,LMH_KEY,0)),0),IFERROR(INDEX(LMH_PTS,MATCH(N184,LMH_KEY,0)),0),IFERROR(INDEX(LMH_PTS,MATCH(O184,LMH_KEY,0)),0),IFERROR(INDEX(LMH_PTS,MATCH(P184,LMH_KEY,0)),0)),""))</f>
        <v>0.0588235294117647</v>
      </c>
      <c r="V184" s="74">
        <f>IF(O184="","",IFERROR(INDEX(LMH_PTS,MATCH(O184,LMH_KEY,0))/SUM(IFERROR(INDEX(LMH_PTS,MATCH(J184,LMH_KEY,0)),0),IFERROR(INDEX(LMH_PTS,MATCH(K184,LMH_KEY,0)),0),IFERROR(INDEX(LMH_PTS,MATCH(L184,LMH_KEY,0)),0),IFERROR(INDEX(LMH_PTS,MATCH(M184,LMH_KEY,0)),0),IFERROR(INDEX(LMH_PTS,MATCH(N184,LMH_KEY,0)),0),IFERROR(INDEX(LMH_PTS,MATCH(O184,LMH_KEY,0)),0),IFERROR(INDEX(LMH_PTS,MATCH(P184,LMH_KEY,0)),0)),""))</f>
        <v>0.0588235294117647</v>
      </c>
      <c r="W184" s="74">
        <f>IF(P184="","",IFERROR(INDEX(LMH_PTS,MATCH(P184,LMH_KEY,0))/SUM(IFERROR(INDEX(LMH_PTS,MATCH(J184,LMH_KEY,0)),0),IFERROR(INDEX(LMH_PTS,MATCH(K184,LMH_KEY,0)),0),IFERROR(INDEX(LMH_PTS,MATCH(L184,LMH_KEY,0)),0),IFERROR(INDEX(LMH_PTS,MATCH(M184,LMH_KEY,0)),0),IFERROR(INDEX(LMH_PTS,MATCH(N184,LMH_KEY,0)),0),IFERROR(INDEX(LMH_PTS,MATCH(O184,LMH_KEY,0)),0),IFERROR(INDEX(LMH_PTS,MATCH(P184,LMH_KEY,0)),0)),""))</f>
        <v>0.0588235294117647</v>
      </c>
      <c r="X184" s="44" t="n"/>
      <c r="Y184" s="38" t="inlineStr">
        <is>
          <t>iFile|Technology|Senior Technical Specialist|B2|B-IC</t>
        </is>
      </c>
    </row>
    <row r="185" ht="28" customHeight="1">
      <c r="A185" s="28" t="inlineStr">
        <is>
          <t>iFile</t>
        </is>
      </c>
      <c r="B185" s="29" t="inlineStr">
        <is>
          <t>Technology</t>
        </is>
      </c>
      <c r="C185" s="72" t="inlineStr">
        <is>
          <t>B2</t>
        </is>
      </c>
      <c r="D185" s="29" t="inlineStr">
        <is>
          <t>Band B · Specialist / Manager</t>
        </is>
      </c>
      <c r="E185" s="29" t="inlineStr">
        <is>
          <t>Senior Technical Specialist – POD Lead</t>
        </is>
      </c>
      <c r="F185" s="29" t="inlineStr">
        <is>
          <t>Band B · Specialist / POD Lead</t>
        </is>
      </c>
      <c r="G185" s="29" t="inlineStr">
        <is>
          <t>Engineering &amp; Development</t>
        </is>
      </c>
      <c r="H185" s="29" t="n">
        <v>1</v>
      </c>
      <c r="I185" s="29" t="inlineStr">
        <is>
          <t>Anup Salve</t>
        </is>
      </c>
      <c r="J185" s="34" t="str">
        <f>IFERROR(INDEX(RBD_C,MATCH("Engineering &amp; Development|B2|B-IC",RBD_KEY,0)),"M")</f>
        <v>H</v>
      </c>
      <c r="K185" s="35" t="str">
        <f>IFERROR(INDEX(RBD_Au,MATCH("Engineering &amp; Development|B2|B-IC",RBD_KEY,0)),"M")</f>
        <v>M</v>
      </c>
      <c r="L185" s="35" t="str">
        <f>IFERROR(INDEX(RBD_Ac,MATCH("Engineering &amp; Development|B2|B-IC",RBD_KEY,0)),"M")</f>
        <v>L</v>
      </c>
      <c r="M185" s="35" t="str">
        <f>IFERROR(INDEX(RBD_L,MATCH("Engineering &amp; Development|B2|B-IC",RBD_KEY,0)),"M")</f>
        <v>L</v>
      </c>
      <c r="N185" s="35" t="str">
        <f>IFERROR(INDEX(RBD_BI,MATCH("Engineering &amp; Development|B2|B-IC",RBD_KEY,0)),"M")</f>
        <v>L</v>
      </c>
      <c r="O185" s="35" t="str">
        <f>IFERROR(INDEX(RBD_Exp,MATCH("Engineering &amp; Development|B2|B-IC",RBD_KEY,0)),"M")</f>
        <v>L</v>
      </c>
      <c r="P185" s="35" t="str">
        <f>IFERROR(INDEX(RBD_Edu,MATCH("Engineering &amp; Development|B2|B-IC",RBD_KEY,0)),"M")</f>
        <v>L</v>
      </c>
      <c r="Q185" s="73">
        <f>IF(J185="","",IFERROR(INDEX(LMH_PTS,MATCH(J185,LMH_KEY,0))/SUM(IFERROR(INDEX(LMH_PTS,MATCH(J185,LMH_KEY,0)),0),IFERROR(INDEX(LMH_PTS,MATCH(K185,LMH_KEY,0)),0),IFERROR(INDEX(LMH_PTS,MATCH(L185,LMH_KEY,0)),0),IFERROR(INDEX(LMH_PTS,MATCH(M185,LMH_KEY,0)),0),IFERROR(INDEX(LMH_PTS,MATCH(N185,LMH_KEY,0)),0),IFERROR(INDEX(LMH_PTS,MATCH(O185,LMH_KEY,0)),0),IFERROR(INDEX(LMH_PTS,MATCH(P185,LMH_KEY,0)),0)),""))</f>
        <v>0.529411764705882</v>
      </c>
      <c r="R185" s="74">
        <f>IF(K185="","",IFERROR(INDEX(LMH_PTS,MATCH(K185,LMH_KEY,0))/SUM(IFERROR(INDEX(LMH_PTS,MATCH(J185,LMH_KEY,0)),0),IFERROR(INDEX(LMH_PTS,MATCH(K185,LMH_KEY,0)),0),IFERROR(INDEX(LMH_PTS,MATCH(L185,LMH_KEY,0)),0),IFERROR(INDEX(LMH_PTS,MATCH(M185,LMH_KEY,0)),0),IFERROR(INDEX(LMH_PTS,MATCH(N185,LMH_KEY,0)),0),IFERROR(INDEX(LMH_PTS,MATCH(O185,LMH_KEY,0)),0),IFERROR(INDEX(LMH_PTS,MATCH(P185,LMH_KEY,0)),0)),""))</f>
        <v>0.176470588235294</v>
      </c>
      <c r="S185" s="74">
        <f>IF(L185="","",IFERROR(INDEX(LMH_PTS,MATCH(L185,LMH_KEY,0))/SUM(IFERROR(INDEX(LMH_PTS,MATCH(J185,LMH_KEY,0)),0),IFERROR(INDEX(LMH_PTS,MATCH(K185,LMH_KEY,0)),0),IFERROR(INDEX(LMH_PTS,MATCH(L185,LMH_KEY,0)),0),IFERROR(INDEX(LMH_PTS,MATCH(M185,LMH_KEY,0)),0),IFERROR(INDEX(LMH_PTS,MATCH(N185,LMH_KEY,0)),0),IFERROR(INDEX(LMH_PTS,MATCH(O185,LMH_KEY,0)),0),IFERROR(INDEX(LMH_PTS,MATCH(P185,LMH_KEY,0)),0)),""))</f>
        <v>0.0588235294117647</v>
      </c>
      <c r="T185" s="74">
        <f>IF(M185="","",IFERROR(INDEX(LMH_PTS,MATCH(M185,LMH_KEY,0))/SUM(IFERROR(INDEX(LMH_PTS,MATCH(J185,LMH_KEY,0)),0),IFERROR(INDEX(LMH_PTS,MATCH(K185,LMH_KEY,0)),0),IFERROR(INDEX(LMH_PTS,MATCH(L185,LMH_KEY,0)),0),IFERROR(INDEX(LMH_PTS,MATCH(M185,LMH_KEY,0)),0),IFERROR(INDEX(LMH_PTS,MATCH(N185,LMH_KEY,0)),0),IFERROR(INDEX(LMH_PTS,MATCH(O185,LMH_KEY,0)),0),IFERROR(INDEX(LMH_PTS,MATCH(P185,LMH_KEY,0)),0)),""))</f>
        <v>0.0588235294117647</v>
      </c>
      <c r="U185" s="74">
        <f>IF(N185="","",IFERROR(INDEX(LMH_PTS,MATCH(N185,LMH_KEY,0))/SUM(IFERROR(INDEX(LMH_PTS,MATCH(J185,LMH_KEY,0)),0),IFERROR(INDEX(LMH_PTS,MATCH(K185,LMH_KEY,0)),0),IFERROR(INDEX(LMH_PTS,MATCH(L185,LMH_KEY,0)),0),IFERROR(INDEX(LMH_PTS,MATCH(M185,LMH_KEY,0)),0),IFERROR(INDEX(LMH_PTS,MATCH(N185,LMH_KEY,0)),0),IFERROR(INDEX(LMH_PTS,MATCH(O185,LMH_KEY,0)),0),IFERROR(INDEX(LMH_PTS,MATCH(P185,LMH_KEY,0)),0)),""))</f>
        <v>0.0588235294117647</v>
      </c>
      <c r="V185" s="74">
        <f>IF(O185="","",IFERROR(INDEX(LMH_PTS,MATCH(O185,LMH_KEY,0))/SUM(IFERROR(INDEX(LMH_PTS,MATCH(J185,LMH_KEY,0)),0),IFERROR(INDEX(LMH_PTS,MATCH(K185,LMH_KEY,0)),0),IFERROR(INDEX(LMH_PTS,MATCH(L185,LMH_KEY,0)),0),IFERROR(INDEX(LMH_PTS,MATCH(M185,LMH_KEY,0)),0),IFERROR(INDEX(LMH_PTS,MATCH(N185,LMH_KEY,0)),0),IFERROR(INDEX(LMH_PTS,MATCH(O185,LMH_KEY,0)),0),IFERROR(INDEX(LMH_PTS,MATCH(P185,LMH_KEY,0)),0)),""))</f>
        <v>0.0588235294117647</v>
      </c>
      <c r="W185" s="74">
        <f>IF(P185="","",IFERROR(INDEX(LMH_PTS,MATCH(P185,LMH_KEY,0))/SUM(IFERROR(INDEX(LMH_PTS,MATCH(J185,LMH_KEY,0)),0),IFERROR(INDEX(LMH_PTS,MATCH(K185,LMH_KEY,0)),0),IFERROR(INDEX(LMH_PTS,MATCH(L185,LMH_KEY,0)),0),IFERROR(INDEX(LMH_PTS,MATCH(M185,LMH_KEY,0)),0),IFERROR(INDEX(LMH_PTS,MATCH(N185,LMH_KEY,0)),0),IFERROR(INDEX(LMH_PTS,MATCH(O185,LMH_KEY,0)),0),IFERROR(INDEX(LMH_PTS,MATCH(P185,LMH_KEY,0)),0)),""))</f>
        <v>0.0588235294117647</v>
      </c>
      <c r="X185" s="44" t="n"/>
      <c r="Y185" s="38" t="inlineStr">
        <is>
          <t>iFile|Technology|Senior Technical Specialist – POD Lead|B2|B-IC</t>
        </is>
      </c>
    </row>
    <row r="186" ht="18" customHeight="1">
      <c r="A186" s="28" t="inlineStr">
        <is>
          <t>iFile</t>
        </is>
      </c>
      <c r="B186" s="29" t="inlineStr">
        <is>
          <t>Technology</t>
        </is>
      </c>
      <c r="C186" s="72" t="inlineStr">
        <is>
          <t>B1</t>
        </is>
      </c>
      <c r="D186" s="29" t="inlineStr">
        <is>
          <t>Band B · Specialist / Manager</t>
        </is>
      </c>
      <c r="E186" s="29" t="inlineStr">
        <is>
          <t>AI/ML Specialist – POD Lead</t>
        </is>
      </c>
      <c r="F186" s="29" t="inlineStr">
        <is>
          <t>Band B · Specialist / POD Lead</t>
        </is>
      </c>
      <c r="G186" s="29" t="inlineStr">
        <is>
          <t>Engineering &amp; Development</t>
        </is>
      </c>
      <c r="H186" s="29" t="n">
        <v>1</v>
      </c>
      <c r="I186" s="29" t="inlineStr">
        <is>
          <t>Prabhakar Mhadse</t>
        </is>
      </c>
      <c r="J186" s="34" t="str">
        <f>IFERROR(INDEX(RBD_C,MATCH("Engineering &amp; Development|B1|B-IC",RBD_KEY,0)),"M")</f>
        <v>H</v>
      </c>
      <c r="K186" s="35" t="str">
        <f>IFERROR(INDEX(RBD_Au,MATCH("Engineering &amp; Development|B1|B-IC",RBD_KEY,0)),"M")</f>
        <v>M</v>
      </c>
      <c r="L186" s="35" t="str">
        <f>IFERROR(INDEX(RBD_Ac,MATCH("Engineering &amp; Development|B1|B-IC",RBD_KEY,0)),"M")</f>
        <v>L</v>
      </c>
      <c r="M186" s="35" t="str">
        <f>IFERROR(INDEX(RBD_L,MATCH("Engineering &amp; Development|B1|B-IC",RBD_KEY,0)),"M")</f>
        <v>L</v>
      </c>
      <c r="N186" s="35" t="str">
        <f>IFERROR(INDEX(RBD_BI,MATCH("Engineering &amp; Development|B1|B-IC",RBD_KEY,0)),"M")</f>
        <v>L</v>
      </c>
      <c r="O186" s="35" t="str">
        <f>IFERROR(INDEX(RBD_Exp,MATCH("Engineering &amp; Development|B1|B-IC",RBD_KEY,0)),"M")</f>
        <v>L</v>
      </c>
      <c r="P186" s="35" t="str">
        <f>IFERROR(INDEX(RBD_Edu,MATCH("Engineering &amp; Development|B1|B-IC",RBD_KEY,0)),"M")</f>
        <v>L</v>
      </c>
      <c r="Q186" s="73">
        <f>IF(J186="","",IFERROR(INDEX(LMH_PTS,MATCH(J186,LMH_KEY,0))/SUM(IFERROR(INDEX(LMH_PTS,MATCH(J186,LMH_KEY,0)),0),IFERROR(INDEX(LMH_PTS,MATCH(K186,LMH_KEY,0)),0),IFERROR(INDEX(LMH_PTS,MATCH(L186,LMH_KEY,0)),0),IFERROR(INDEX(LMH_PTS,MATCH(M186,LMH_KEY,0)),0),IFERROR(INDEX(LMH_PTS,MATCH(N186,LMH_KEY,0)),0),IFERROR(INDEX(LMH_PTS,MATCH(O186,LMH_KEY,0)),0),IFERROR(INDEX(LMH_PTS,MATCH(P186,LMH_KEY,0)),0)),""))</f>
        <v>0.529411764705882</v>
      </c>
      <c r="R186" s="74">
        <f>IF(K186="","",IFERROR(INDEX(LMH_PTS,MATCH(K186,LMH_KEY,0))/SUM(IFERROR(INDEX(LMH_PTS,MATCH(J186,LMH_KEY,0)),0),IFERROR(INDEX(LMH_PTS,MATCH(K186,LMH_KEY,0)),0),IFERROR(INDEX(LMH_PTS,MATCH(L186,LMH_KEY,0)),0),IFERROR(INDEX(LMH_PTS,MATCH(M186,LMH_KEY,0)),0),IFERROR(INDEX(LMH_PTS,MATCH(N186,LMH_KEY,0)),0),IFERROR(INDEX(LMH_PTS,MATCH(O186,LMH_KEY,0)),0),IFERROR(INDEX(LMH_PTS,MATCH(P186,LMH_KEY,0)),0)),""))</f>
        <v>0.176470588235294</v>
      </c>
      <c r="S186" s="74">
        <f>IF(L186="","",IFERROR(INDEX(LMH_PTS,MATCH(L186,LMH_KEY,0))/SUM(IFERROR(INDEX(LMH_PTS,MATCH(J186,LMH_KEY,0)),0),IFERROR(INDEX(LMH_PTS,MATCH(K186,LMH_KEY,0)),0),IFERROR(INDEX(LMH_PTS,MATCH(L186,LMH_KEY,0)),0),IFERROR(INDEX(LMH_PTS,MATCH(M186,LMH_KEY,0)),0),IFERROR(INDEX(LMH_PTS,MATCH(N186,LMH_KEY,0)),0),IFERROR(INDEX(LMH_PTS,MATCH(O186,LMH_KEY,0)),0),IFERROR(INDEX(LMH_PTS,MATCH(P186,LMH_KEY,0)),0)),""))</f>
        <v>0.0588235294117647</v>
      </c>
      <c r="T186" s="74">
        <f>IF(M186="","",IFERROR(INDEX(LMH_PTS,MATCH(M186,LMH_KEY,0))/SUM(IFERROR(INDEX(LMH_PTS,MATCH(J186,LMH_KEY,0)),0),IFERROR(INDEX(LMH_PTS,MATCH(K186,LMH_KEY,0)),0),IFERROR(INDEX(LMH_PTS,MATCH(L186,LMH_KEY,0)),0),IFERROR(INDEX(LMH_PTS,MATCH(M186,LMH_KEY,0)),0),IFERROR(INDEX(LMH_PTS,MATCH(N186,LMH_KEY,0)),0),IFERROR(INDEX(LMH_PTS,MATCH(O186,LMH_KEY,0)),0),IFERROR(INDEX(LMH_PTS,MATCH(P186,LMH_KEY,0)),0)),""))</f>
        <v>0.0588235294117647</v>
      </c>
      <c r="U186" s="74">
        <f>IF(N186="","",IFERROR(INDEX(LMH_PTS,MATCH(N186,LMH_KEY,0))/SUM(IFERROR(INDEX(LMH_PTS,MATCH(J186,LMH_KEY,0)),0),IFERROR(INDEX(LMH_PTS,MATCH(K186,LMH_KEY,0)),0),IFERROR(INDEX(LMH_PTS,MATCH(L186,LMH_KEY,0)),0),IFERROR(INDEX(LMH_PTS,MATCH(M186,LMH_KEY,0)),0),IFERROR(INDEX(LMH_PTS,MATCH(N186,LMH_KEY,0)),0),IFERROR(INDEX(LMH_PTS,MATCH(O186,LMH_KEY,0)),0),IFERROR(INDEX(LMH_PTS,MATCH(P186,LMH_KEY,0)),0)),""))</f>
        <v>0.0588235294117647</v>
      </c>
      <c r="V186" s="74">
        <f>IF(O186="","",IFERROR(INDEX(LMH_PTS,MATCH(O186,LMH_KEY,0))/SUM(IFERROR(INDEX(LMH_PTS,MATCH(J186,LMH_KEY,0)),0),IFERROR(INDEX(LMH_PTS,MATCH(K186,LMH_KEY,0)),0),IFERROR(INDEX(LMH_PTS,MATCH(L186,LMH_KEY,0)),0),IFERROR(INDEX(LMH_PTS,MATCH(M186,LMH_KEY,0)),0),IFERROR(INDEX(LMH_PTS,MATCH(N186,LMH_KEY,0)),0),IFERROR(INDEX(LMH_PTS,MATCH(O186,LMH_KEY,0)),0),IFERROR(INDEX(LMH_PTS,MATCH(P186,LMH_KEY,0)),0)),""))</f>
        <v>0.0588235294117647</v>
      </c>
      <c r="W186" s="74">
        <f>IF(P186="","",IFERROR(INDEX(LMH_PTS,MATCH(P186,LMH_KEY,0))/SUM(IFERROR(INDEX(LMH_PTS,MATCH(J186,LMH_KEY,0)),0),IFERROR(INDEX(LMH_PTS,MATCH(K186,LMH_KEY,0)),0),IFERROR(INDEX(LMH_PTS,MATCH(L186,LMH_KEY,0)),0),IFERROR(INDEX(LMH_PTS,MATCH(M186,LMH_KEY,0)),0),IFERROR(INDEX(LMH_PTS,MATCH(N186,LMH_KEY,0)),0),IFERROR(INDEX(LMH_PTS,MATCH(O186,LMH_KEY,0)),0),IFERROR(INDEX(LMH_PTS,MATCH(P186,LMH_KEY,0)),0)),""))</f>
        <v>0.0588235294117647</v>
      </c>
      <c r="X186" s="44" t="n"/>
      <c r="Y186" s="38" t="inlineStr">
        <is>
          <t>iFile|Technology|AI/ML Specialist – POD Lead|B1|B-IC</t>
        </is>
      </c>
    </row>
    <row r="187" ht="18" customHeight="1">
      <c r="A187" s="28" t="inlineStr">
        <is>
          <t>iFile</t>
        </is>
      </c>
      <c r="B187" s="29" t="inlineStr">
        <is>
          <t>Technology</t>
        </is>
      </c>
      <c r="C187" s="72" t="inlineStr">
        <is>
          <t>B1</t>
        </is>
      </c>
      <c r="D187" s="29" t="inlineStr">
        <is>
          <t>Band B · Specialist / Manager</t>
        </is>
      </c>
      <c r="E187" s="29" t="inlineStr">
        <is>
          <t>Associate Project Manager</t>
        </is>
      </c>
      <c r="F187" s="29" t="inlineStr">
        <is>
          <t>Band B · Specialist / POD Lead</t>
        </is>
      </c>
      <c r="G187" s="29" t="inlineStr">
        <is>
          <t>Project &amp; Program Management</t>
        </is>
      </c>
      <c r="H187" s="29" t="n">
        <v>1</v>
      </c>
      <c r="I187" s="29" t="inlineStr">
        <is>
          <t>Aayushi Sharma</t>
        </is>
      </c>
      <c r="J187" s="34" t="str">
        <f>IFERROR(INDEX(RBD_C,MATCH("Project &amp; Program Management|B1|B-IC",RBD_KEY,0)),"M")</f>
        <v>H</v>
      </c>
      <c r="K187" s="35" t="str">
        <f>IFERROR(INDEX(RBD_Au,MATCH("Project &amp; Program Management|B1|B-IC",RBD_KEY,0)),"M")</f>
        <v>M</v>
      </c>
      <c r="L187" s="35" t="str">
        <f>IFERROR(INDEX(RBD_Ac,MATCH("Project &amp; Program Management|B1|B-IC",RBD_KEY,0)),"M")</f>
        <v>L</v>
      </c>
      <c r="M187" s="35" t="str">
        <f>IFERROR(INDEX(RBD_L,MATCH("Project &amp; Program Management|B1|B-IC",RBD_KEY,0)),"M")</f>
        <v>L</v>
      </c>
      <c r="N187" s="35" t="str">
        <f>IFERROR(INDEX(RBD_BI,MATCH("Project &amp; Program Management|B1|B-IC",RBD_KEY,0)),"M")</f>
        <v>L</v>
      </c>
      <c r="O187" s="35" t="str">
        <f>IFERROR(INDEX(RBD_Exp,MATCH("Project &amp; Program Management|B1|B-IC",RBD_KEY,0)),"M")</f>
        <v>L</v>
      </c>
      <c r="P187" s="35" t="str">
        <f>IFERROR(INDEX(RBD_Edu,MATCH("Project &amp; Program Management|B1|B-IC",RBD_KEY,0)),"M")</f>
        <v>L</v>
      </c>
      <c r="Q187" s="73">
        <f>IF(J187="","",IFERROR(INDEX(LMH_PTS,MATCH(J187,LMH_KEY,0))/SUM(IFERROR(INDEX(LMH_PTS,MATCH(J187,LMH_KEY,0)),0),IFERROR(INDEX(LMH_PTS,MATCH(K187,LMH_KEY,0)),0),IFERROR(INDEX(LMH_PTS,MATCH(L187,LMH_KEY,0)),0),IFERROR(INDEX(LMH_PTS,MATCH(M187,LMH_KEY,0)),0),IFERROR(INDEX(LMH_PTS,MATCH(N187,LMH_KEY,0)),0),IFERROR(INDEX(LMH_PTS,MATCH(O187,LMH_KEY,0)),0),IFERROR(INDEX(LMH_PTS,MATCH(P187,LMH_KEY,0)),0)),""))</f>
        <v>0.529411764705882</v>
      </c>
      <c r="R187" s="74">
        <f>IF(K187="","",IFERROR(INDEX(LMH_PTS,MATCH(K187,LMH_KEY,0))/SUM(IFERROR(INDEX(LMH_PTS,MATCH(J187,LMH_KEY,0)),0),IFERROR(INDEX(LMH_PTS,MATCH(K187,LMH_KEY,0)),0),IFERROR(INDEX(LMH_PTS,MATCH(L187,LMH_KEY,0)),0),IFERROR(INDEX(LMH_PTS,MATCH(M187,LMH_KEY,0)),0),IFERROR(INDEX(LMH_PTS,MATCH(N187,LMH_KEY,0)),0),IFERROR(INDEX(LMH_PTS,MATCH(O187,LMH_KEY,0)),0),IFERROR(INDEX(LMH_PTS,MATCH(P187,LMH_KEY,0)),0)),""))</f>
        <v>0.176470588235294</v>
      </c>
      <c r="S187" s="74">
        <f>IF(L187="","",IFERROR(INDEX(LMH_PTS,MATCH(L187,LMH_KEY,0))/SUM(IFERROR(INDEX(LMH_PTS,MATCH(J187,LMH_KEY,0)),0),IFERROR(INDEX(LMH_PTS,MATCH(K187,LMH_KEY,0)),0),IFERROR(INDEX(LMH_PTS,MATCH(L187,LMH_KEY,0)),0),IFERROR(INDEX(LMH_PTS,MATCH(M187,LMH_KEY,0)),0),IFERROR(INDEX(LMH_PTS,MATCH(N187,LMH_KEY,0)),0),IFERROR(INDEX(LMH_PTS,MATCH(O187,LMH_KEY,0)),0),IFERROR(INDEX(LMH_PTS,MATCH(P187,LMH_KEY,0)),0)),""))</f>
        <v>0.0588235294117647</v>
      </c>
      <c r="T187" s="74">
        <f>IF(M187="","",IFERROR(INDEX(LMH_PTS,MATCH(M187,LMH_KEY,0))/SUM(IFERROR(INDEX(LMH_PTS,MATCH(J187,LMH_KEY,0)),0),IFERROR(INDEX(LMH_PTS,MATCH(K187,LMH_KEY,0)),0),IFERROR(INDEX(LMH_PTS,MATCH(L187,LMH_KEY,0)),0),IFERROR(INDEX(LMH_PTS,MATCH(M187,LMH_KEY,0)),0),IFERROR(INDEX(LMH_PTS,MATCH(N187,LMH_KEY,0)),0),IFERROR(INDEX(LMH_PTS,MATCH(O187,LMH_KEY,0)),0),IFERROR(INDEX(LMH_PTS,MATCH(P187,LMH_KEY,0)),0)),""))</f>
        <v>0.0588235294117647</v>
      </c>
      <c r="U187" s="74">
        <f>IF(N187="","",IFERROR(INDEX(LMH_PTS,MATCH(N187,LMH_KEY,0))/SUM(IFERROR(INDEX(LMH_PTS,MATCH(J187,LMH_KEY,0)),0),IFERROR(INDEX(LMH_PTS,MATCH(K187,LMH_KEY,0)),0),IFERROR(INDEX(LMH_PTS,MATCH(L187,LMH_KEY,0)),0),IFERROR(INDEX(LMH_PTS,MATCH(M187,LMH_KEY,0)),0),IFERROR(INDEX(LMH_PTS,MATCH(N187,LMH_KEY,0)),0),IFERROR(INDEX(LMH_PTS,MATCH(O187,LMH_KEY,0)),0),IFERROR(INDEX(LMH_PTS,MATCH(P187,LMH_KEY,0)),0)),""))</f>
        <v>0.0588235294117647</v>
      </c>
      <c r="V187" s="74">
        <f>IF(O187="","",IFERROR(INDEX(LMH_PTS,MATCH(O187,LMH_KEY,0))/SUM(IFERROR(INDEX(LMH_PTS,MATCH(J187,LMH_KEY,0)),0),IFERROR(INDEX(LMH_PTS,MATCH(K187,LMH_KEY,0)),0),IFERROR(INDEX(LMH_PTS,MATCH(L187,LMH_KEY,0)),0),IFERROR(INDEX(LMH_PTS,MATCH(M187,LMH_KEY,0)),0),IFERROR(INDEX(LMH_PTS,MATCH(N187,LMH_KEY,0)),0),IFERROR(INDEX(LMH_PTS,MATCH(O187,LMH_KEY,0)),0),IFERROR(INDEX(LMH_PTS,MATCH(P187,LMH_KEY,0)),0)),""))</f>
        <v>0.0588235294117647</v>
      </c>
      <c r="W187" s="74">
        <f>IF(P187="","",IFERROR(INDEX(LMH_PTS,MATCH(P187,LMH_KEY,0))/SUM(IFERROR(INDEX(LMH_PTS,MATCH(J187,LMH_KEY,0)),0),IFERROR(INDEX(LMH_PTS,MATCH(K187,LMH_KEY,0)),0),IFERROR(INDEX(LMH_PTS,MATCH(L187,LMH_KEY,0)),0),IFERROR(INDEX(LMH_PTS,MATCH(M187,LMH_KEY,0)),0),IFERROR(INDEX(LMH_PTS,MATCH(N187,LMH_KEY,0)),0),IFERROR(INDEX(LMH_PTS,MATCH(O187,LMH_KEY,0)),0),IFERROR(INDEX(LMH_PTS,MATCH(P187,LMH_KEY,0)),0)),""))</f>
        <v>0.0588235294117647</v>
      </c>
      <c r="X187" s="44" t="n"/>
      <c r="Y187" s="38" t="inlineStr">
        <is>
          <t>iFile|Technology|Associate Project Manager|B1|B-IC</t>
        </is>
      </c>
    </row>
    <row r="188" ht="28" customHeight="1">
      <c r="A188" s="28" t="inlineStr">
        <is>
          <t>iFile</t>
        </is>
      </c>
      <c r="B188" s="29" t="inlineStr">
        <is>
          <t>Technology</t>
        </is>
      </c>
      <c r="C188" s="72" t="inlineStr">
        <is>
          <t>B1</t>
        </is>
      </c>
      <c r="D188" s="29" t="inlineStr">
        <is>
          <t>Band B · Specialist / Manager</t>
        </is>
      </c>
      <c r="E188" s="29" t="inlineStr">
        <is>
          <t>Associate Project Manager – POD Lead</t>
        </is>
      </c>
      <c r="F188" s="29" t="inlineStr">
        <is>
          <t>Band B · Specialist / POD Lead</t>
        </is>
      </c>
      <c r="G188" s="29" t="inlineStr">
        <is>
          <t>Project &amp; Program Management</t>
        </is>
      </c>
      <c r="H188" s="29" t="n">
        <v>1</v>
      </c>
      <c r="I188" s="29" t="inlineStr">
        <is>
          <t>Jerigan Gracias</t>
        </is>
      </c>
      <c r="J188" s="34" t="str">
        <f>IFERROR(INDEX(RBD_C,MATCH("Project &amp; Program Management|B1|B-IC",RBD_KEY,0)),"M")</f>
        <v>H</v>
      </c>
      <c r="K188" s="35" t="str">
        <f>IFERROR(INDEX(RBD_Au,MATCH("Project &amp; Program Management|B1|B-IC",RBD_KEY,0)),"M")</f>
        <v>M</v>
      </c>
      <c r="L188" s="35" t="str">
        <f>IFERROR(INDEX(RBD_Ac,MATCH("Project &amp; Program Management|B1|B-IC",RBD_KEY,0)),"M")</f>
        <v>L</v>
      </c>
      <c r="M188" s="35" t="str">
        <f>IFERROR(INDEX(RBD_L,MATCH("Project &amp; Program Management|B1|B-IC",RBD_KEY,0)),"M")</f>
        <v>L</v>
      </c>
      <c r="N188" s="35" t="str">
        <f>IFERROR(INDEX(RBD_BI,MATCH("Project &amp; Program Management|B1|B-IC",RBD_KEY,0)),"M")</f>
        <v>L</v>
      </c>
      <c r="O188" s="35" t="str">
        <f>IFERROR(INDEX(RBD_Exp,MATCH("Project &amp; Program Management|B1|B-IC",RBD_KEY,0)),"M")</f>
        <v>L</v>
      </c>
      <c r="P188" s="35" t="str">
        <f>IFERROR(INDEX(RBD_Edu,MATCH("Project &amp; Program Management|B1|B-IC",RBD_KEY,0)),"M")</f>
        <v>L</v>
      </c>
      <c r="Q188" s="73">
        <f>IF(J188="","",IFERROR(INDEX(LMH_PTS,MATCH(J188,LMH_KEY,0))/SUM(IFERROR(INDEX(LMH_PTS,MATCH(J188,LMH_KEY,0)),0),IFERROR(INDEX(LMH_PTS,MATCH(K188,LMH_KEY,0)),0),IFERROR(INDEX(LMH_PTS,MATCH(L188,LMH_KEY,0)),0),IFERROR(INDEX(LMH_PTS,MATCH(M188,LMH_KEY,0)),0),IFERROR(INDEX(LMH_PTS,MATCH(N188,LMH_KEY,0)),0),IFERROR(INDEX(LMH_PTS,MATCH(O188,LMH_KEY,0)),0),IFERROR(INDEX(LMH_PTS,MATCH(P188,LMH_KEY,0)),0)),""))</f>
        <v>0.529411764705882</v>
      </c>
      <c r="R188" s="74">
        <f>IF(K188="","",IFERROR(INDEX(LMH_PTS,MATCH(K188,LMH_KEY,0))/SUM(IFERROR(INDEX(LMH_PTS,MATCH(J188,LMH_KEY,0)),0),IFERROR(INDEX(LMH_PTS,MATCH(K188,LMH_KEY,0)),0),IFERROR(INDEX(LMH_PTS,MATCH(L188,LMH_KEY,0)),0),IFERROR(INDEX(LMH_PTS,MATCH(M188,LMH_KEY,0)),0),IFERROR(INDEX(LMH_PTS,MATCH(N188,LMH_KEY,0)),0),IFERROR(INDEX(LMH_PTS,MATCH(O188,LMH_KEY,0)),0),IFERROR(INDEX(LMH_PTS,MATCH(P188,LMH_KEY,0)),0)),""))</f>
        <v>0.176470588235294</v>
      </c>
      <c r="S188" s="74">
        <f>IF(L188="","",IFERROR(INDEX(LMH_PTS,MATCH(L188,LMH_KEY,0))/SUM(IFERROR(INDEX(LMH_PTS,MATCH(J188,LMH_KEY,0)),0),IFERROR(INDEX(LMH_PTS,MATCH(K188,LMH_KEY,0)),0),IFERROR(INDEX(LMH_PTS,MATCH(L188,LMH_KEY,0)),0),IFERROR(INDEX(LMH_PTS,MATCH(M188,LMH_KEY,0)),0),IFERROR(INDEX(LMH_PTS,MATCH(N188,LMH_KEY,0)),0),IFERROR(INDEX(LMH_PTS,MATCH(O188,LMH_KEY,0)),0),IFERROR(INDEX(LMH_PTS,MATCH(P188,LMH_KEY,0)),0)),""))</f>
        <v>0.0588235294117647</v>
      </c>
      <c r="T188" s="74">
        <f>IF(M188="","",IFERROR(INDEX(LMH_PTS,MATCH(M188,LMH_KEY,0))/SUM(IFERROR(INDEX(LMH_PTS,MATCH(J188,LMH_KEY,0)),0),IFERROR(INDEX(LMH_PTS,MATCH(K188,LMH_KEY,0)),0),IFERROR(INDEX(LMH_PTS,MATCH(L188,LMH_KEY,0)),0),IFERROR(INDEX(LMH_PTS,MATCH(M188,LMH_KEY,0)),0),IFERROR(INDEX(LMH_PTS,MATCH(N188,LMH_KEY,0)),0),IFERROR(INDEX(LMH_PTS,MATCH(O188,LMH_KEY,0)),0),IFERROR(INDEX(LMH_PTS,MATCH(P188,LMH_KEY,0)),0)),""))</f>
        <v>0.0588235294117647</v>
      </c>
      <c r="U188" s="74">
        <f>IF(N188="","",IFERROR(INDEX(LMH_PTS,MATCH(N188,LMH_KEY,0))/SUM(IFERROR(INDEX(LMH_PTS,MATCH(J188,LMH_KEY,0)),0),IFERROR(INDEX(LMH_PTS,MATCH(K188,LMH_KEY,0)),0),IFERROR(INDEX(LMH_PTS,MATCH(L188,LMH_KEY,0)),0),IFERROR(INDEX(LMH_PTS,MATCH(M188,LMH_KEY,0)),0),IFERROR(INDEX(LMH_PTS,MATCH(N188,LMH_KEY,0)),0),IFERROR(INDEX(LMH_PTS,MATCH(O188,LMH_KEY,0)),0),IFERROR(INDEX(LMH_PTS,MATCH(P188,LMH_KEY,0)),0)),""))</f>
        <v>0.0588235294117647</v>
      </c>
      <c r="V188" s="74">
        <f>IF(O188="","",IFERROR(INDEX(LMH_PTS,MATCH(O188,LMH_KEY,0))/SUM(IFERROR(INDEX(LMH_PTS,MATCH(J188,LMH_KEY,0)),0),IFERROR(INDEX(LMH_PTS,MATCH(K188,LMH_KEY,0)),0),IFERROR(INDEX(LMH_PTS,MATCH(L188,LMH_KEY,0)),0),IFERROR(INDEX(LMH_PTS,MATCH(M188,LMH_KEY,0)),0),IFERROR(INDEX(LMH_PTS,MATCH(N188,LMH_KEY,0)),0),IFERROR(INDEX(LMH_PTS,MATCH(O188,LMH_KEY,0)),0),IFERROR(INDEX(LMH_PTS,MATCH(P188,LMH_KEY,0)),0)),""))</f>
        <v>0.0588235294117647</v>
      </c>
      <c r="W188" s="74">
        <f>IF(P188="","",IFERROR(INDEX(LMH_PTS,MATCH(P188,LMH_KEY,0))/SUM(IFERROR(INDEX(LMH_PTS,MATCH(J188,LMH_KEY,0)),0),IFERROR(INDEX(LMH_PTS,MATCH(K188,LMH_KEY,0)),0),IFERROR(INDEX(LMH_PTS,MATCH(L188,LMH_KEY,0)),0),IFERROR(INDEX(LMH_PTS,MATCH(M188,LMH_KEY,0)),0),IFERROR(INDEX(LMH_PTS,MATCH(N188,LMH_KEY,0)),0),IFERROR(INDEX(LMH_PTS,MATCH(O188,LMH_KEY,0)),0),IFERROR(INDEX(LMH_PTS,MATCH(P188,LMH_KEY,0)),0)),""))</f>
        <v>0.0588235294117647</v>
      </c>
      <c r="X188" s="44" t="n"/>
      <c r="Y188" s="38" t="inlineStr">
        <is>
          <t>iFile|Technology|Associate Project Manager – POD Lead|B1|B-IC</t>
        </is>
      </c>
    </row>
    <row r="189" ht="28" customHeight="1">
      <c r="A189" s="28" t="inlineStr">
        <is>
          <t>iFile</t>
        </is>
      </c>
      <c r="B189" s="29" t="inlineStr">
        <is>
          <t>Technology</t>
        </is>
      </c>
      <c r="C189" s="72" t="inlineStr">
        <is>
          <t>B1</t>
        </is>
      </c>
      <c r="D189" s="29" t="inlineStr">
        <is>
          <t>Band B · Specialist / Manager</t>
        </is>
      </c>
      <c r="E189" s="29" t="inlineStr">
        <is>
          <t>Associate Technical Architect – POD Lead</t>
        </is>
      </c>
      <c r="F189" s="29" t="inlineStr">
        <is>
          <t>Band B · Specialist / POD Lead</t>
        </is>
      </c>
      <c r="G189" s="29" t="inlineStr">
        <is>
          <t>Engineering &amp; Architecture</t>
        </is>
      </c>
      <c r="H189" s="29" t="n">
        <v>1</v>
      </c>
      <c r="I189" s="29" t="inlineStr">
        <is>
          <t>Shiveshdhar Dubey</t>
        </is>
      </c>
      <c r="J189" s="34" t="str">
        <f>IFERROR(INDEX(RBD_C,MATCH("Engineering &amp; Architecture|B1|B-IC",RBD_KEY,0)),"M")</f>
        <v>H</v>
      </c>
      <c r="K189" s="35" t="str">
        <f>IFERROR(INDEX(RBD_Au,MATCH("Engineering &amp; Architecture|B1|B-IC",RBD_KEY,0)),"M")</f>
        <v>M</v>
      </c>
      <c r="L189" s="35" t="str">
        <f>IFERROR(INDEX(RBD_Ac,MATCH("Engineering &amp; Architecture|B1|B-IC",RBD_KEY,0)),"M")</f>
        <v>L</v>
      </c>
      <c r="M189" s="35" t="str">
        <f>IFERROR(INDEX(RBD_L,MATCH("Engineering &amp; Architecture|B1|B-IC",RBD_KEY,0)),"M")</f>
        <v>L</v>
      </c>
      <c r="N189" s="35" t="str">
        <f>IFERROR(INDEX(RBD_BI,MATCH("Engineering &amp; Architecture|B1|B-IC",RBD_KEY,0)),"M")</f>
        <v>L</v>
      </c>
      <c r="O189" s="35" t="str">
        <f>IFERROR(INDEX(RBD_Exp,MATCH("Engineering &amp; Architecture|B1|B-IC",RBD_KEY,0)),"M")</f>
        <v>L</v>
      </c>
      <c r="P189" s="35" t="str">
        <f>IFERROR(INDEX(RBD_Edu,MATCH("Engineering &amp; Architecture|B1|B-IC",RBD_KEY,0)),"M")</f>
        <v>L</v>
      </c>
      <c r="Q189" s="73">
        <f>IF(J189="","",IFERROR(INDEX(LMH_PTS,MATCH(J189,LMH_KEY,0))/SUM(IFERROR(INDEX(LMH_PTS,MATCH(J189,LMH_KEY,0)),0),IFERROR(INDEX(LMH_PTS,MATCH(K189,LMH_KEY,0)),0),IFERROR(INDEX(LMH_PTS,MATCH(L189,LMH_KEY,0)),0),IFERROR(INDEX(LMH_PTS,MATCH(M189,LMH_KEY,0)),0),IFERROR(INDEX(LMH_PTS,MATCH(N189,LMH_KEY,0)),0),IFERROR(INDEX(LMH_PTS,MATCH(O189,LMH_KEY,0)),0),IFERROR(INDEX(LMH_PTS,MATCH(P189,LMH_KEY,0)),0)),""))</f>
        <v>0.529411764705882</v>
      </c>
      <c r="R189" s="74">
        <f>IF(K189="","",IFERROR(INDEX(LMH_PTS,MATCH(K189,LMH_KEY,0))/SUM(IFERROR(INDEX(LMH_PTS,MATCH(J189,LMH_KEY,0)),0),IFERROR(INDEX(LMH_PTS,MATCH(K189,LMH_KEY,0)),0),IFERROR(INDEX(LMH_PTS,MATCH(L189,LMH_KEY,0)),0),IFERROR(INDEX(LMH_PTS,MATCH(M189,LMH_KEY,0)),0),IFERROR(INDEX(LMH_PTS,MATCH(N189,LMH_KEY,0)),0),IFERROR(INDEX(LMH_PTS,MATCH(O189,LMH_KEY,0)),0),IFERROR(INDEX(LMH_PTS,MATCH(P189,LMH_KEY,0)),0)),""))</f>
        <v>0.176470588235294</v>
      </c>
      <c r="S189" s="74">
        <f>IF(L189="","",IFERROR(INDEX(LMH_PTS,MATCH(L189,LMH_KEY,0))/SUM(IFERROR(INDEX(LMH_PTS,MATCH(J189,LMH_KEY,0)),0),IFERROR(INDEX(LMH_PTS,MATCH(K189,LMH_KEY,0)),0),IFERROR(INDEX(LMH_PTS,MATCH(L189,LMH_KEY,0)),0),IFERROR(INDEX(LMH_PTS,MATCH(M189,LMH_KEY,0)),0),IFERROR(INDEX(LMH_PTS,MATCH(N189,LMH_KEY,0)),0),IFERROR(INDEX(LMH_PTS,MATCH(O189,LMH_KEY,0)),0),IFERROR(INDEX(LMH_PTS,MATCH(P189,LMH_KEY,0)),0)),""))</f>
        <v>0.0588235294117647</v>
      </c>
      <c r="T189" s="74">
        <f>IF(M189="","",IFERROR(INDEX(LMH_PTS,MATCH(M189,LMH_KEY,0))/SUM(IFERROR(INDEX(LMH_PTS,MATCH(J189,LMH_KEY,0)),0),IFERROR(INDEX(LMH_PTS,MATCH(K189,LMH_KEY,0)),0),IFERROR(INDEX(LMH_PTS,MATCH(L189,LMH_KEY,0)),0),IFERROR(INDEX(LMH_PTS,MATCH(M189,LMH_KEY,0)),0),IFERROR(INDEX(LMH_PTS,MATCH(N189,LMH_KEY,0)),0),IFERROR(INDEX(LMH_PTS,MATCH(O189,LMH_KEY,0)),0),IFERROR(INDEX(LMH_PTS,MATCH(P189,LMH_KEY,0)),0)),""))</f>
        <v>0.0588235294117647</v>
      </c>
      <c r="U189" s="74">
        <f>IF(N189="","",IFERROR(INDEX(LMH_PTS,MATCH(N189,LMH_KEY,0))/SUM(IFERROR(INDEX(LMH_PTS,MATCH(J189,LMH_KEY,0)),0),IFERROR(INDEX(LMH_PTS,MATCH(K189,LMH_KEY,0)),0),IFERROR(INDEX(LMH_PTS,MATCH(L189,LMH_KEY,0)),0),IFERROR(INDEX(LMH_PTS,MATCH(M189,LMH_KEY,0)),0),IFERROR(INDEX(LMH_PTS,MATCH(N189,LMH_KEY,0)),0),IFERROR(INDEX(LMH_PTS,MATCH(O189,LMH_KEY,0)),0),IFERROR(INDEX(LMH_PTS,MATCH(P189,LMH_KEY,0)),0)),""))</f>
        <v>0.0588235294117647</v>
      </c>
      <c r="V189" s="74">
        <f>IF(O189="","",IFERROR(INDEX(LMH_PTS,MATCH(O189,LMH_KEY,0))/SUM(IFERROR(INDEX(LMH_PTS,MATCH(J189,LMH_KEY,0)),0),IFERROR(INDEX(LMH_PTS,MATCH(K189,LMH_KEY,0)),0),IFERROR(INDEX(LMH_PTS,MATCH(L189,LMH_KEY,0)),0),IFERROR(INDEX(LMH_PTS,MATCH(M189,LMH_KEY,0)),0),IFERROR(INDEX(LMH_PTS,MATCH(N189,LMH_KEY,0)),0),IFERROR(INDEX(LMH_PTS,MATCH(O189,LMH_KEY,0)),0),IFERROR(INDEX(LMH_PTS,MATCH(P189,LMH_KEY,0)),0)),""))</f>
        <v>0.0588235294117647</v>
      </c>
      <c r="W189" s="74">
        <f>IF(P189="","",IFERROR(INDEX(LMH_PTS,MATCH(P189,LMH_KEY,0))/SUM(IFERROR(INDEX(LMH_PTS,MATCH(J189,LMH_KEY,0)),0),IFERROR(INDEX(LMH_PTS,MATCH(K189,LMH_KEY,0)),0),IFERROR(INDEX(LMH_PTS,MATCH(L189,LMH_KEY,0)),0),IFERROR(INDEX(LMH_PTS,MATCH(M189,LMH_KEY,0)),0),IFERROR(INDEX(LMH_PTS,MATCH(N189,LMH_KEY,0)),0),IFERROR(INDEX(LMH_PTS,MATCH(O189,LMH_KEY,0)),0),IFERROR(INDEX(LMH_PTS,MATCH(P189,LMH_KEY,0)),0)),""))</f>
        <v>0.0588235294117647</v>
      </c>
      <c r="X189" s="44" t="n"/>
      <c r="Y189" s="38" t="inlineStr">
        <is>
          <t>iFile|Technology|Associate Technical Architect – POD Lead|B1|B-IC</t>
        </is>
      </c>
    </row>
    <row r="190" ht="28" customHeight="1">
      <c r="A190" s="28" t="inlineStr">
        <is>
          <t>iFile</t>
        </is>
      </c>
      <c r="B190" s="29" t="inlineStr">
        <is>
          <t>Technology</t>
        </is>
      </c>
      <c r="C190" s="72" t="inlineStr">
        <is>
          <t>B1</t>
        </is>
      </c>
      <c r="D190" s="29" t="inlineStr">
        <is>
          <t>Band B · Specialist / Manager</t>
        </is>
      </c>
      <c r="E190" s="29" t="inlineStr">
        <is>
          <t>Business Analysis Specialist</t>
        </is>
      </c>
      <c r="F190" s="29" t="inlineStr">
        <is>
          <t>Band B · Specialist / POD Lead</t>
        </is>
      </c>
      <c r="G190" s="29" t="inlineStr">
        <is>
          <t>Business Analysis</t>
        </is>
      </c>
      <c r="H190" s="29" t="n">
        <v>2</v>
      </c>
      <c r="I190" s="29" t="inlineStr">
        <is>
          <t>Abhishek Hegde, Tumpa Deb</t>
        </is>
      </c>
      <c r="J190" s="34" t="str">
        <f>IFERROR(INDEX(RBD_C,MATCH("Business Analysis|B1|B-IC",RBD_KEY,0)),"M")</f>
        <v>H</v>
      </c>
      <c r="K190" s="35" t="str">
        <f>IFERROR(INDEX(RBD_Au,MATCH("Business Analysis|B1|B-IC",RBD_KEY,0)),"M")</f>
        <v>M</v>
      </c>
      <c r="L190" s="35" t="str">
        <f>IFERROR(INDEX(RBD_Ac,MATCH("Business Analysis|B1|B-IC",RBD_KEY,0)),"M")</f>
        <v>L</v>
      </c>
      <c r="M190" s="35" t="str">
        <f>IFERROR(INDEX(RBD_L,MATCH("Business Analysis|B1|B-IC",RBD_KEY,0)),"M")</f>
        <v>L</v>
      </c>
      <c r="N190" s="35" t="str">
        <f>IFERROR(INDEX(RBD_BI,MATCH("Business Analysis|B1|B-IC",RBD_KEY,0)),"M")</f>
        <v>L</v>
      </c>
      <c r="O190" s="35" t="str">
        <f>IFERROR(INDEX(RBD_Exp,MATCH("Business Analysis|B1|B-IC",RBD_KEY,0)),"M")</f>
        <v>L</v>
      </c>
      <c r="P190" s="35" t="str">
        <f>IFERROR(INDEX(RBD_Edu,MATCH("Business Analysis|B1|B-IC",RBD_KEY,0)),"M")</f>
        <v>L</v>
      </c>
      <c r="Q190" s="73">
        <f>IF(J190="","",IFERROR(INDEX(LMH_PTS,MATCH(J190,LMH_KEY,0))/SUM(IFERROR(INDEX(LMH_PTS,MATCH(J190,LMH_KEY,0)),0),IFERROR(INDEX(LMH_PTS,MATCH(K190,LMH_KEY,0)),0),IFERROR(INDEX(LMH_PTS,MATCH(L190,LMH_KEY,0)),0),IFERROR(INDEX(LMH_PTS,MATCH(M190,LMH_KEY,0)),0),IFERROR(INDEX(LMH_PTS,MATCH(N190,LMH_KEY,0)),0),IFERROR(INDEX(LMH_PTS,MATCH(O190,LMH_KEY,0)),0),IFERROR(INDEX(LMH_PTS,MATCH(P190,LMH_KEY,0)),0)),""))</f>
        <v>0.529411764705882</v>
      </c>
      <c r="R190" s="74">
        <f>IF(K190="","",IFERROR(INDEX(LMH_PTS,MATCH(K190,LMH_KEY,0))/SUM(IFERROR(INDEX(LMH_PTS,MATCH(J190,LMH_KEY,0)),0),IFERROR(INDEX(LMH_PTS,MATCH(K190,LMH_KEY,0)),0),IFERROR(INDEX(LMH_PTS,MATCH(L190,LMH_KEY,0)),0),IFERROR(INDEX(LMH_PTS,MATCH(M190,LMH_KEY,0)),0),IFERROR(INDEX(LMH_PTS,MATCH(N190,LMH_KEY,0)),0),IFERROR(INDEX(LMH_PTS,MATCH(O190,LMH_KEY,0)),0),IFERROR(INDEX(LMH_PTS,MATCH(P190,LMH_KEY,0)),0)),""))</f>
        <v>0.176470588235294</v>
      </c>
      <c r="S190" s="74">
        <f>IF(L190="","",IFERROR(INDEX(LMH_PTS,MATCH(L190,LMH_KEY,0))/SUM(IFERROR(INDEX(LMH_PTS,MATCH(J190,LMH_KEY,0)),0),IFERROR(INDEX(LMH_PTS,MATCH(K190,LMH_KEY,0)),0),IFERROR(INDEX(LMH_PTS,MATCH(L190,LMH_KEY,0)),0),IFERROR(INDEX(LMH_PTS,MATCH(M190,LMH_KEY,0)),0),IFERROR(INDEX(LMH_PTS,MATCH(N190,LMH_KEY,0)),0),IFERROR(INDEX(LMH_PTS,MATCH(O190,LMH_KEY,0)),0),IFERROR(INDEX(LMH_PTS,MATCH(P190,LMH_KEY,0)),0)),""))</f>
        <v>0.0588235294117647</v>
      </c>
      <c r="T190" s="74">
        <f>IF(M190="","",IFERROR(INDEX(LMH_PTS,MATCH(M190,LMH_KEY,0))/SUM(IFERROR(INDEX(LMH_PTS,MATCH(J190,LMH_KEY,0)),0),IFERROR(INDEX(LMH_PTS,MATCH(K190,LMH_KEY,0)),0),IFERROR(INDEX(LMH_PTS,MATCH(L190,LMH_KEY,0)),0),IFERROR(INDEX(LMH_PTS,MATCH(M190,LMH_KEY,0)),0),IFERROR(INDEX(LMH_PTS,MATCH(N190,LMH_KEY,0)),0),IFERROR(INDEX(LMH_PTS,MATCH(O190,LMH_KEY,0)),0),IFERROR(INDEX(LMH_PTS,MATCH(P190,LMH_KEY,0)),0)),""))</f>
        <v>0.0588235294117647</v>
      </c>
      <c r="U190" s="74">
        <f>IF(N190="","",IFERROR(INDEX(LMH_PTS,MATCH(N190,LMH_KEY,0))/SUM(IFERROR(INDEX(LMH_PTS,MATCH(J190,LMH_KEY,0)),0),IFERROR(INDEX(LMH_PTS,MATCH(K190,LMH_KEY,0)),0),IFERROR(INDEX(LMH_PTS,MATCH(L190,LMH_KEY,0)),0),IFERROR(INDEX(LMH_PTS,MATCH(M190,LMH_KEY,0)),0),IFERROR(INDEX(LMH_PTS,MATCH(N190,LMH_KEY,0)),0),IFERROR(INDEX(LMH_PTS,MATCH(O190,LMH_KEY,0)),0),IFERROR(INDEX(LMH_PTS,MATCH(P190,LMH_KEY,0)),0)),""))</f>
        <v>0.0588235294117647</v>
      </c>
      <c r="V190" s="74">
        <f>IF(O190="","",IFERROR(INDEX(LMH_PTS,MATCH(O190,LMH_KEY,0))/SUM(IFERROR(INDEX(LMH_PTS,MATCH(J190,LMH_KEY,0)),0),IFERROR(INDEX(LMH_PTS,MATCH(K190,LMH_KEY,0)),0),IFERROR(INDEX(LMH_PTS,MATCH(L190,LMH_KEY,0)),0),IFERROR(INDEX(LMH_PTS,MATCH(M190,LMH_KEY,0)),0),IFERROR(INDEX(LMH_PTS,MATCH(N190,LMH_KEY,0)),0),IFERROR(INDEX(LMH_PTS,MATCH(O190,LMH_KEY,0)),0),IFERROR(INDEX(LMH_PTS,MATCH(P190,LMH_KEY,0)),0)),""))</f>
        <v>0.0588235294117647</v>
      </c>
      <c r="W190" s="74">
        <f>IF(P190="","",IFERROR(INDEX(LMH_PTS,MATCH(P190,LMH_KEY,0))/SUM(IFERROR(INDEX(LMH_PTS,MATCH(J190,LMH_KEY,0)),0),IFERROR(INDEX(LMH_PTS,MATCH(K190,LMH_KEY,0)),0),IFERROR(INDEX(LMH_PTS,MATCH(L190,LMH_KEY,0)),0),IFERROR(INDEX(LMH_PTS,MATCH(M190,LMH_KEY,0)),0),IFERROR(INDEX(LMH_PTS,MATCH(N190,LMH_KEY,0)),0),IFERROR(INDEX(LMH_PTS,MATCH(O190,LMH_KEY,0)),0),IFERROR(INDEX(LMH_PTS,MATCH(P190,LMH_KEY,0)),0)),""))</f>
        <v>0.0588235294117647</v>
      </c>
      <c r="X190" s="44" t="n"/>
      <c r="Y190" s="38" t="inlineStr">
        <is>
          <t>iFile|Technology|Business Analysis Specialist|B1|B-IC</t>
        </is>
      </c>
    </row>
    <row r="191" ht="18" customHeight="1">
      <c r="A191" s="28" t="inlineStr">
        <is>
          <t>iFile</t>
        </is>
      </c>
      <c r="B191" s="29" t="inlineStr">
        <is>
          <t>Technology</t>
        </is>
      </c>
      <c r="C191" s="72" t="inlineStr">
        <is>
          <t>B1</t>
        </is>
      </c>
      <c r="D191" s="29" t="inlineStr">
        <is>
          <t>Band B · Specialist / Manager</t>
        </is>
      </c>
      <c r="E191" s="29" t="inlineStr">
        <is>
          <t>Engineering Manager</t>
        </is>
      </c>
      <c r="F191" s="29" t="inlineStr">
        <is>
          <t>Band B · People Manager</t>
        </is>
      </c>
      <c r="G191" s="29" t="inlineStr">
        <is>
          <t>Engineering &amp; Development</t>
        </is>
      </c>
      <c r="H191" s="29" t="n">
        <v>1</v>
      </c>
      <c r="I191" s="29" t="inlineStr">
        <is>
          <t>Amruta Kadam</t>
        </is>
      </c>
      <c r="J191" s="34" t="str">
        <f>IFERROR(INDEX(RBD_C,MATCH("Engineering &amp; Development|B1|B-M",RBD_KEY,0)),"M")</f>
        <v>H</v>
      </c>
      <c r="K191" s="35" t="str">
        <f>IFERROR(INDEX(RBD_Au,MATCH("Engineering &amp; Development|B1|B-M",RBD_KEY,0)),"M")</f>
        <v>M</v>
      </c>
      <c r="L191" s="35" t="str">
        <f>IFERROR(INDEX(RBD_Ac,MATCH("Engineering &amp; Development|B1|B-M",RBD_KEY,0)),"M")</f>
        <v>L</v>
      </c>
      <c r="M191" s="35" t="str">
        <f>IFERROR(INDEX(RBD_L,MATCH("Engineering &amp; Development|B1|B-M",RBD_KEY,0)),"M")</f>
        <v>M</v>
      </c>
      <c r="N191" s="35" t="str">
        <f>IFERROR(INDEX(RBD_BI,MATCH("Engineering &amp; Development|B1|B-M",RBD_KEY,0)),"M")</f>
        <v>L</v>
      </c>
      <c r="O191" s="35" t="str">
        <f>IFERROR(INDEX(RBD_Exp,MATCH("Engineering &amp; Development|B1|B-M",RBD_KEY,0)),"M")</f>
        <v>L</v>
      </c>
      <c r="P191" s="35" t="str">
        <f>IFERROR(INDEX(RBD_Edu,MATCH("Engineering &amp; Development|B1|B-M",RBD_KEY,0)),"M")</f>
        <v>L</v>
      </c>
      <c r="Q191" s="73">
        <f>IF(J191="","",IFERROR(INDEX(LMH_PTS,MATCH(J191,LMH_KEY,0))/SUM(IFERROR(INDEX(LMH_PTS,MATCH(J191,LMH_KEY,0)),0),IFERROR(INDEX(LMH_PTS,MATCH(K191,LMH_KEY,0)),0),IFERROR(INDEX(LMH_PTS,MATCH(L191,LMH_KEY,0)),0),IFERROR(INDEX(LMH_PTS,MATCH(M191,LMH_KEY,0)),0),IFERROR(INDEX(LMH_PTS,MATCH(N191,LMH_KEY,0)),0),IFERROR(INDEX(LMH_PTS,MATCH(O191,LMH_KEY,0)),0),IFERROR(INDEX(LMH_PTS,MATCH(P191,LMH_KEY,0)),0)),""))</f>
        <v>0.473684210526316</v>
      </c>
      <c r="R191" s="74">
        <f>IF(K191="","",IFERROR(INDEX(LMH_PTS,MATCH(K191,LMH_KEY,0))/SUM(IFERROR(INDEX(LMH_PTS,MATCH(J191,LMH_KEY,0)),0),IFERROR(INDEX(LMH_PTS,MATCH(K191,LMH_KEY,0)),0),IFERROR(INDEX(LMH_PTS,MATCH(L191,LMH_KEY,0)),0),IFERROR(INDEX(LMH_PTS,MATCH(M191,LMH_KEY,0)),0),IFERROR(INDEX(LMH_PTS,MATCH(N191,LMH_KEY,0)),0),IFERROR(INDEX(LMH_PTS,MATCH(O191,LMH_KEY,0)),0),IFERROR(INDEX(LMH_PTS,MATCH(P191,LMH_KEY,0)),0)),""))</f>
        <v>0.157894736842105</v>
      </c>
      <c r="S191" s="74">
        <f>IF(L191="","",IFERROR(INDEX(LMH_PTS,MATCH(L191,LMH_KEY,0))/SUM(IFERROR(INDEX(LMH_PTS,MATCH(J191,LMH_KEY,0)),0),IFERROR(INDEX(LMH_PTS,MATCH(K191,LMH_KEY,0)),0),IFERROR(INDEX(LMH_PTS,MATCH(L191,LMH_KEY,0)),0),IFERROR(INDEX(LMH_PTS,MATCH(M191,LMH_KEY,0)),0),IFERROR(INDEX(LMH_PTS,MATCH(N191,LMH_KEY,0)),0),IFERROR(INDEX(LMH_PTS,MATCH(O191,LMH_KEY,0)),0),IFERROR(INDEX(LMH_PTS,MATCH(P191,LMH_KEY,0)),0)),""))</f>
        <v>0.0526315789473684</v>
      </c>
      <c r="T191" s="74">
        <f>IF(M191="","",IFERROR(INDEX(LMH_PTS,MATCH(M191,LMH_KEY,0))/SUM(IFERROR(INDEX(LMH_PTS,MATCH(J191,LMH_KEY,0)),0),IFERROR(INDEX(LMH_PTS,MATCH(K191,LMH_KEY,0)),0),IFERROR(INDEX(LMH_PTS,MATCH(L191,LMH_KEY,0)),0),IFERROR(INDEX(LMH_PTS,MATCH(M191,LMH_KEY,0)),0),IFERROR(INDEX(LMH_PTS,MATCH(N191,LMH_KEY,0)),0),IFERROR(INDEX(LMH_PTS,MATCH(O191,LMH_KEY,0)),0),IFERROR(INDEX(LMH_PTS,MATCH(P191,LMH_KEY,0)),0)),""))</f>
        <v>0.157894736842105</v>
      </c>
      <c r="U191" s="74">
        <f>IF(N191="","",IFERROR(INDEX(LMH_PTS,MATCH(N191,LMH_KEY,0))/SUM(IFERROR(INDEX(LMH_PTS,MATCH(J191,LMH_KEY,0)),0),IFERROR(INDEX(LMH_PTS,MATCH(K191,LMH_KEY,0)),0),IFERROR(INDEX(LMH_PTS,MATCH(L191,LMH_KEY,0)),0),IFERROR(INDEX(LMH_PTS,MATCH(M191,LMH_KEY,0)),0),IFERROR(INDEX(LMH_PTS,MATCH(N191,LMH_KEY,0)),0),IFERROR(INDEX(LMH_PTS,MATCH(O191,LMH_KEY,0)),0),IFERROR(INDEX(LMH_PTS,MATCH(P191,LMH_KEY,0)),0)),""))</f>
        <v>0.0526315789473684</v>
      </c>
      <c r="V191" s="74">
        <f>IF(O191="","",IFERROR(INDEX(LMH_PTS,MATCH(O191,LMH_KEY,0))/SUM(IFERROR(INDEX(LMH_PTS,MATCH(J191,LMH_KEY,0)),0),IFERROR(INDEX(LMH_PTS,MATCH(K191,LMH_KEY,0)),0),IFERROR(INDEX(LMH_PTS,MATCH(L191,LMH_KEY,0)),0),IFERROR(INDEX(LMH_PTS,MATCH(M191,LMH_KEY,0)),0),IFERROR(INDEX(LMH_PTS,MATCH(N191,LMH_KEY,0)),0),IFERROR(INDEX(LMH_PTS,MATCH(O191,LMH_KEY,0)),0),IFERROR(INDEX(LMH_PTS,MATCH(P191,LMH_KEY,0)),0)),""))</f>
        <v>0.0526315789473684</v>
      </c>
      <c r="W191" s="74">
        <f>IF(P191="","",IFERROR(INDEX(LMH_PTS,MATCH(P191,LMH_KEY,0))/SUM(IFERROR(INDEX(LMH_PTS,MATCH(J191,LMH_KEY,0)),0),IFERROR(INDEX(LMH_PTS,MATCH(K191,LMH_KEY,0)),0),IFERROR(INDEX(LMH_PTS,MATCH(L191,LMH_KEY,0)),0),IFERROR(INDEX(LMH_PTS,MATCH(M191,LMH_KEY,0)),0),IFERROR(INDEX(LMH_PTS,MATCH(N191,LMH_KEY,0)),0),IFERROR(INDEX(LMH_PTS,MATCH(O191,LMH_KEY,0)),0),IFERROR(INDEX(LMH_PTS,MATCH(P191,LMH_KEY,0)),0)),""))</f>
        <v>0.0526315789473684</v>
      </c>
      <c r="X191" s="44" t="n"/>
      <c r="Y191" s="38" t="inlineStr">
        <is>
          <t>iFile|Technology|Engineering Manager|B1|B-M</t>
        </is>
      </c>
    </row>
    <row r="192" ht="28" customHeight="1">
      <c r="A192" s="28" t="inlineStr">
        <is>
          <t>iFile</t>
        </is>
      </c>
      <c r="B192" s="29" t="inlineStr">
        <is>
          <t>Technology</t>
        </is>
      </c>
      <c r="C192" s="72" t="inlineStr">
        <is>
          <t>B1</t>
        </is>
      </c>
      <c r="D192" s="29" t="inlineStr">
        <is>
          <t>Band B · Specialist / Manager</t>
        </is>
      </c>
      <c r="E192" s="29" t="inlineStr">
        <is>
          <t>Lead Software Engineer</t>
        </is>
      </c>
      <c r="F192" s="29" t="inlineStr">
        <is>
          <t>Band B · Specialist / POD Lead</t>
        </is>
      </c>
      <c r="G192" s="29" t="inlineStr">
        <is>
          <t>Engineering &amp; Development</t>
        </is>
      </c>
      <c r="H192" s="29" t="n">
        <v>2</v>
      </c>
      <c r="I192" s="29" t="inlineStr">
        <is>
          <t>Deepa Karmarkar, Prathmesh Ramdas Sutar</t>
        </is>
      </c>
      <c r="J192" s="34" t="str">
        <f>IFERROR(INDEX(RBD_C,MATCH("Engineering &amp; Development|B1|B-IC",RBD_KEY,0)),"M")</f>
        <v>H</v>
      </c>
      <c r="K192" s="35" t="str">
        <f>IFERROR(INDEX(RBD_Au,MATCH("Engineering &amp; Development|B1|B-IC",RBD_KEY,0)),"M")</f>
        <v>M</v>
      </c>
      <c r="L192" s="35" t="str">
        <f>IFERROR(INDEX(RBD_Ac,MATCH("Engineering &amp; Development|B1|B-IC",RBD_KEY,0)),"M")</f>
        <v>L</v>
      </c>
      <c r="M192" s="35" t="str">
        <f>IFERROR(INDEX(RBD_L,MATCH("Engineering &amp; Development|B1|B-IC",RBD_KEY,0)),"M")</f>
        <v>L</v>
      </c>
      <c r="N192" s="35" t="str">
        <f>IFERROR(INDEX(RBD_BI,MATCH("Engineering &amp; Development|B1|B-IC",RBD_KEY,0)),"M")</f>
        <v>L</v>
      </c>
      <c r="O192" s="35" t="str">
        <f>IFERROR(INDEX(RBD_Exp,MATCH("Engineering &amp; Development|B1|B-IC",RBD_KEY,0)),"M")</f>
        <v>L</v>
      </c>
      <c r="P192" s="35" t="str">
        <f>IFERROR(INDEX(RBD_Edu,MATCH("Engineering &amp; Development|B1|B-IC",RBD_KEY,0)),"M")</f>
        <v>L</v>
      </c>
      <c r="Q192" s="73">
        <f>IF(J192="","",IFERROR(INDEX(LMH_PTS,MATCH(J192,LMH_KEY,0))/SUM(IFERROR(INDEX(LMH_PTS,MATCH(J192,LMH_KEY,0)),0),IFERROR(INDEX(LMH_PTS,MATCH(K192,LMH_KEY,0)),0),IFERROR(INDEX(LMH_PTS,MATCH(L192,LMH_KEY,0)),0),IFERROR(INDEX(LMH_PTS,MATCH(M192,LMH_KEY,0)),0),IFERROR(INDEX(LMH_PTS,MATCH(N192,LMH_KEY,0)),0),IFERROR(INDEX(LMH_PTS,MATCH(O192,LMH_KEY,0)),0),IFERROR(INDEX(LMH_PTS,MATCH(P192,LMH_KEY,0)),0)),""))</f>
        <v>0.529411764705882</v>
      </c>
      <c r="R192" s="74">
        <f>IF(K192="","",IFERROR(INDEX(LMH_PTS,MATCH(K192,LMH_KEY,0))/SUM(IFERROR(INDEX(LMH_PTS,MATCH(J192,LMH_KEY,0)),0),IFERROR(INDEX(LMH_PTS,MATCH(K192,LMH_KEY,0)),0),IFERROR(INDEX(LMH_PTS,MATCH(L192,LMH_KEY,0)),0),IFERROR(INDEX(LMH_PTS,MATCH(M192,LMH_KEY,0)),0),IFERROR(INDEX(LMH_PTS,MATCH(N192,LMH_KEY,0)),0),IFERROR(INDEX(LMH_PTS,MATCH(O192,LMH_KEY,0)),0),IFERROR(INDEX(LMH_PTS,MATCH(P192,LMH_KEY,0)),0)),""))</f>
        <v>0.176470588235294</v>
      </c>
      <c r="S192" s="74">
        <f>IF(L192="","",IFERROR(INDEX(LMH_PTS,MATCH(L192,LMH_KEY,0))/SUM(IFERROR(INDEX(LMH_PTS,MATCH(J192,LMH_KEY,0)),0),IFERROR(INDEX(LMH_PTS,MATCH(K192,LMH_KEY,0)),0),IFERROR(INDEX(LMH_PTS,MATCH(L192,LMH_KEY,0)),0),IFERROR(INDEX(LMH_PTS,MATCH(M192,LMH_KEY,0)),0),IFERROR(INDEX(LMH_PTS,MATCH(N192,LMH_KEY,0)),0),IFERROR(INDEX(LMH_PTS,MATCH(O192,LMH_KEY,0)),0),IFERROR(INDEX(LMH_PTS,MATCH(P192,LMH_KEY,0)),0)),""))</f>
        <v>0.0588235294117647</v>
      </c>
      <c r="T192" s="74">
        <f>IF(M192="","",IFERROR(INDEX(LMH_PTS,MATCH(M192,LMH_KEY,0))/SUM(IFERROR(INDEX(LMH_PTS,MATCH(J192,LMH_KEY,0)),0),IFERROR(INDEX(LMH_PTS,MATCH(K192,LMH_KEY,0)),0),IFERROR(INDEX(LMH_PTS,MATCH(L192,LMH_KEY,0)),0),IFERROR(INDEX(LMH_PTS,MATCH(M192,LMH_KEY,0)),0),IFERROR(INDEX(LMH_PTS,MATCH(N192,LMH_KEY,0)),0),IFERROR(INDEX(LMH_PTS,MATCH(O192,LMH_KEY,0)),0),IFERROR(INDEX(LMH_PTS,MATCH(P192,LMH_KEY,0)),0)),""))</f>
        <v>0.0588235294117647</v>
      </c>
      <c r="U192" s="74">
        <f>IF(N192="","",IFERROR(INDEX(LMH_PTS,MATCH(N192,LMH_KEY,0))/SUM(IFERROR(INDEX(LMH_PTS,MATCH(J192,LMH_KEY,0)),0),IFERROR(INDEX(LMH_PTS,MATCH(K192,LMH_KEY,0)),0),IFERROR(INDEX(LMH_PTS,MATCH(L192,LMH_KEY,0)),0),IFERROR(INDEX(LMH_PTS,MATCH(M192,LMH_KEY,0)),0),IFERROR(INDEX(LMH_PTS,MATCH(N192,LMH_KEY,0)),0),IFERROR(INDEX(LMH_PTS,MATCH(O192,LMH_KEY,0)),0),IFERROR(INDEX(LMH_PTS,MATCH(P192,LMH_KEY,0)),0)),""))</f>
        <v>0.0588235294117647</v>
      </c>
      <c r="V192" s="74">
        <f>IF(O192="","",IFERROR(INDEX(LMH_PTS,MATCH(O192,LMH_KEY,0))/SUM(IFERROR(INDEX(LMH_PTS,MATCH(J192,LMH_KEY,0)),0),IFERROR(INDEX(LMH_PTS,MATCH(K192,LMH_KEY,0)),0),IFERROR(INDEX(LMH_PTS,MATCH(L192,LMH_KEY,0)),0),IFERROR(INDEX(LMH_PTS,MATCH(M192,LMH_KEY,0)),0),IFERROR(INDEX(LMH_PTS,MATCH(N192,LMH_KEY,0)),0),IFERROR(INDEX(LMH_PTS,MATCH(O192,LMH_KEY,0)),0),IFERROR(INDEX(LMH_PTS,MATCH(P192,LMH_KEY,0)),0)),""))</f>
        <v>0.0588235294117647</v>
      </c>
      <c r="W192" s="74">
        <f>IF(P192="","",IFERROR(INDEX(LMH_PTS,MATCH(P192,LMH_KEY,0))/SUM(IFERROR(INDEX(LMH_PTS,MATCH(J192,LMH_KEY,0)),0),IFERROR(INDEX(LMH_PTS,MATCH(K192,LMH_KEY,0)),0),IFERROR(INDEX(LMH_PTS,MATCH(L192,LMH_KEY,0)),0),IFERROR(INDEX(LMH_PTS,MATCH(M192,LMH_KEY,0)),0),IFERROR(INDEX(LMH_PTS,MATCH(N192,LMH_KEY,0)),0),IFERROR(INDEX(LMH_PTS,MATCH(O192,LMH_KEY,0)),0),IFERROR(INDEX(LMH_PTS,MATCH(P192,LMH_KEY,0)),0)),""))</f>
        <v>0.0588235294117647</v>
      </c>
      <c r="X192" s="44" t="n"/>
      <c r="Y192" s="38" t="inlineStr">
        <is>
          <t>iFile|Technology|Lead Software Engineer|B1|B-IC</t>
        </is>
      </c>
    </row>
    <row r="193" ht="28" customHeight="1">
      <c r="A193" s="28" t="inlineStr">
        <is>
          <t>iFile</t>
        </is>
      </c>
      <c r="B193" s="29" t="inlineStr">
        <is>
          <t>Technology</t>
        </is>
      </c>
      <c r="C193" s="72" t="inlineStr">
        <is>
          <t>B1</t>
        </is>
      </c>
      <c r="D193" s="29" t="inlineStr">
        <is>
          <t>Band B · Specialist / Manager</t>
        </is>
      </c>
      <c r="E193" s="29" t="inlineStr">
        <is>
          <t>Lead Software Engineer – POD Lead</t>
        </is>
      </c>
      <c r="F193" s="29" t="inlineStr">
        <is>
          <t>Band B · Specialist / POD Lead</t>
        </is>
      </c>
      <c r="G193" s="29" t="inlineStr">
        <is>
          <t>Engineering &amp; Development</t>
        </is>
      </c>
      <c r="H193" s="29" t="n">
        <v>1</v>
      </c>
      <c r="I193" s="29" t="inlineStr">
        <is>
          <t>Ravikant Karmoju</t>
        </is>
      </c>
      <c r="J193" s="34" t="str">
        <f>IFERROR(INDEX(RBD_C,MATCH("Engineering &amp; Development|B1|B-IC",RBD_KEY,0)),"M")</f>
        <v>H</v>
      </c>
      <c r="K193" s="35" t="str">
        <f>IFERROR(INDEX(RBD_Au,MATCH("Engineering &amp; Development|B1|B-IC",RBD_KEY,0)),"M")</f>
        <v>M</v>
      </c>
      <c r="L193" s="35" t="str">
        <f>IFERROR(INDEX(RBD_Ac,MATCH("Engineering &amp; Development|B1|B-IC",RBD_KEY,0)),"M")</f>
        <v>L</v>
      </c>
      <c r="M193" s="35" t="str">
        <f>IFERROR(INDEX(RBD_L,MATCH("Engineering &amp; Development|B1|B-IC",RBD_KEY,0)),"M")</f>
        <v>L</v>
      </c>
      <c r="N193" s="35" t="str">
        <f>IFERROR(INDEX(RBD_BI,MATCH("Engineering &amp; Development|B1|B-IC",RBD_KEY,0)),"M")</f>
        <v>L</v>
      </c>
      <c r="O193" s="35" t="str">
        <f>IFERROR(INDEX(RBD_Exp,MATCH("Engineering &amp; Development|B1|B-IC",RBD_KEY,0)),"M")</f>
        <v>L</v>
      </c>
      <c r="P193" s="35" t="str">
        <f>IFERROR(INDEX(RBD_Edu,MATCH("Engineering &amp; Development|B1|B-IC",RBD_KEY,0)),"M")</f>
        <v>L</v>
      </c>
      <c r="Q193" s="73">
        <f>IF(J193="","",IFERROR(INDEX(LMH_PTS,MATCH(J193,LMH_KEY,0))/SUM(IFERROR(INDEX(LMH_PTS,MATCH(J193,LMH_KEY,0)),0),IFERROR(INDEX(LMH_PTS,MATCH(K193,LMH_KEY,0)),0),IFERROR(INDEX(LMH_PTS,MATCH(L193,LMH_KEY,0)),0),IFERROR(INDEX(LMH_PTS,MATCH(M193,LMH_KEY,0)),0),IFERROR(INDEX(LMH_PTS,MATCH(N193,LMH_KEY,0)),0),IFERROR(INDEX(LMH_PTS,MATCH(O193,LMH_KEY,0)),0),IFERROR(INDEX(LMH_PTS,MATCH(P193,LMH_KEY,0)),0)),""))</f>
        <v>0.529411764705882</v>
      </c>
      <c r="R193" s="74">
        <f>IF(K193="","",IFERROR(INDEX(LMH_PTS,MATCH(K193,LMH_KEY,0))/SUM(IFERROR(INDEX(LMH_PTS,MATCH(J193,LMH_KEY,0)),0),IFERROR(INDEX(LMH_PTS,MATCH(K193,LMH_KEY,0)),0),IFERROR(INDEX(LMH_PTS,MATCH(L193,LMH_KEY,0)),0),IFERROR(INDEX(LMH_PTS,MATCH(M193,LMH_KEY,0)),0),IFERROR(INDEX(LMH_PTS,MATCH(N193,LMH_KEY,0)),0),IFERROR(INDEX(LMH_PTS,MATCH(O193,LMH_KEY,0)),0),IFERROR(INDEX(LMH_PTS,MATCH(P193,LMH_KEY,0)),0)),""))</f>
        <v>0.176470588235294</v>
      </c>
      <c r="S193" s="74">
        <f>IF(L193="","",IFERROR(INDEX(LMH_PTS,MATCH(L193,LMH_KEY,0))/SUM(IFERROR(INDEX(LMH_PTS,MATCH(J193,LMH_KEY,0)),0),IFERROR(INDEX(LMH_PTS,MATCH(K193,LMH_KEY,0)),0),IFERROR(INDEX(LMH_PTS,MATCH(L193,LMH_KEY,0)),0),IFERROR(INDEX(LMH_PTS,MATCH(M193,LMH_KEY,0)),0),IFERROR(INDEX(LMH_PTS,MATCH(N193,LMH_KEY,0)),0),IFERROR(INDEX(LMH_PTS,MATCH(O193,LMH_KEY,0)),0),IFERROR(INDEX(LMH_PTS,MATCH(P193,LMH_KEY,0)),0)),""))</f>
        <v>0.0588235294117647</v>
      </c>
      <c r="T193" s="74">
        <f>IF(M193="","",IFERROR(INDEX(LMH_PTS,MATCH(M193,LMH_KEY,0))/SUM(IFERROR(INDEX(LMH_PTS,MATCH(J193,LMH_KEY,0)),0),IFERROR(INDEX(LMH_PTS,MATCH(K193,LMH_KEY,0)),0),IFERROR(INDEX(LMH_PTS,MATCH(L193,LMH_KEY,0)),0),IFERROR(INDEX(LMH_PTS,MATCH(M193,LMH_KEY,0)),0),IFERROR(INDEX(LMH_PTS,MATCH(N193,LMH_KEY,0)),0),IFERROR(INDEX(LMH_PTS,MATCH(O193,LMH_KEY,0)),0),IFERROR(INDEX(LMH_PTS,MATCH(P193,LMH_KEY,0)),0)),""))</f>
        <v>0.0588235294117647</v>
      </c>
      <c r="U193" s="74">
        <f>IF(N193="","",IFERROR(INDEX(LMH_PTS,MATCH(N193,LMH_KEY,0))/SUM(IFERROR(INDEX(LMH_PTS,MATCH(J193,LMH_KEY,0)),0),IFERROR(INDEX(LMH_PTS,MATCH(K193,LMH_KEY,0)),0),IFERROR(INDEX(LMH_PTS,MATCH(L193,LMH_KEY,0)),0),IFERROR(INDEX(LMH_PTS,MATCH(M193,LMH_KEY,0)),0),IFERROR(INDEX(LMH_PTS,MATCH(N193,LMH_KEY,0)),0),IFERROR(INDEX(LMH_PTS,MATCH(O193,LMH_KEY,0)),0),IFERROR(INDEX(LMH_PTS,MATCH(P193,LMH_KEY,0)),0)),""))</f>
        <v>0.0588235294117647</v>
      </c>
      <c r="V193" s="74">
        <f>IF(O193="","",IFERROR(INDEX(LMH_PTS,MATCH(O193,LMH_KEY,0))/SUM(IFERROR(INDEX(LMH_PTS,MATCH(J193,LMH_KEY,0)),0),IFERROR(INDEX(LMH_PTS,MATCH(K193,LMH_KEY,0)),0),IFERROR(INDEX(LMH_PTS,MATCH(L193,LMH_KEY,0)),0),IFERROR(INDEX(LMH_PTS,MATCH(M193,LMH_KEY,0)),0),IFERROR(INDEX(LMH_PTS,MATCH(N193,LMH_KEY,0)),0),IFERROR(INDEX(LMH_PTS,MATCH(O193,LMH_KEY,0)),0),IFERROR(INDEX(LMH_PTS,MATCH(P193,LMH_KEY,0)),0)),""))</f>
        <v>0.0588235294117647</v>
      </c>
      <c r="W193" s="74">
        <f>IF(P193="","",IFERROR(INDEX(LMH_PTS,MATCH(P193,LMH_KEY,0))/SUM(IFERROR(INDEX(LMH_PTS,MATCH(J193,LMH_KEY,0)),0),IFERROR(INDEX(LMH_PTS,MATCH(K193,LMH_KEY,0)),0),IFERROR(INDEX(LMH_PTS,MATCH(L193,LMH_KEY,0)),0),IFERROR(INDEX(LMH_PTS,MATCH(M193,LMH_KEY,0)),0),IFERROR(INDEX(LMH_PTS,MATCH(N193,LMH_KEY,0)),0),IFERROR(INDEX(LMH_PTS,MATCH(O193,LMH_KEY,0)),0),IFERROR(INDEX(LMH_PTS,MATCH(P193,LMH_KEY,0)),0)),""))</f>
        <v>0.0588235294117647</v>
      </c>
      <c r="X193" s="44" t="n"/>
      <c r="Y193" s="38" t="inlineStr">
        <is>
          <t>iFile|Technology|Lead Software Engineer – POD Lead|B1|B-IC</t>
        </is>
      </c>
    </row>
    <row r="194" ht="18" customHeight="1">
      <c r="A194" s="28" t="inlineStr">
        <is>
          <t>iFile</t>
        </is>
      </c>
      <c r="B194" s="29" t="inlineStr">
        <is>
          <t>Technology</t>
        </is>
      </c>
      <c r="C194" s="72" t="inlineStr">
        <is>
          <t>B1</t>
        </is>
      </c>
      <c r="D194" s="29" t="inlineStr">
        <is>
          <t>Band B · Specialist / Manager</t>
        </is>
      </c>
      <c r="E194" s="29" t="inlineStr">
        <is>
          <t>Project Manager – POD Lead</t>
        </is>
      </c>
      <c r="F194" s="29" t="inlineStr">
        <is>
          <t>Band B · Specialist / POD Lead</t>
        </is>
      </c>
      <c r="G194" s="29" t="inlineStr">
        <is>
          <t>Project &amp; Program Management</t>
        </is>
      </c>
      <c r="H194" s="29" t="n">
        <v>1</v>
      </c>
      <c r="I194" s="29" t="inlineStr">
        <is>
          <t>Nivedita Wagh</t>
        </is>
      </c>
      <c r="J194" s="34" t="str">
        <f>IFERROR(INDEX(RBD_C,MATCH("Project &amp; Program Management|B1|B-IC",RBD_KEY,0)),"M")</f>
        <v>H</v>
      </c>
      <c r="K194" s="35" t="str">
        <f>IFERROR(INDEX(RBD_Au,MATCH("Project &amp; Program Management|B1|B-IC",RBD_KEY,0)),"M")</f>
        <v>M</v>
      </c>
      <c r="L194" s="35" t="str">
        <f>IFERROR(INDEX(RBD_Ac,MATCH("Project &amp; Program Management|B1|B-IC",RBD_KEY,0)),"M")</f>
        <v>L</v>
      </c>
      <c r="M194" s="35" t="str">
        <f>IFERROR(INDEX(RBD_L,MATCH("Project &amp; Program Management|B1|B-IC",RBD_KEY,0)),"M")</f>
        <v>L</v>
      </c>
      <c r="N194" s="35" t="str">
        <f>IFERROR(INDEX(RBD_BI,MATCH("Project &amp; Program Management|B1|B-IC",RBD_KEY,0)),"M")</f>
        <v>L</v>
      </c>
      <c r="O194" s="35" t="str">
        <f>IFERROR(INDEX(RBD_Exp,MATCH("Project &amp; Program Management|B1|B-IC",RBD_KEY,0)),"M")</f>
        <v>L</v>
      </c>
      <c r="P194" s="35" t="str">
        <f>IFERROR(INDEX(RBD_Edu,MATCH("Project &amp; Program Management|B1|B-IC",RBD_KEY,0)),"M")</f>
        <v>L</v>
      </c>
      <c r="Q194" s="73">
        <f>IF(J194="","",IFERROR(INDEX(LMH_PTS,MATCH(J194,LMH_KEY,0))/SUM(IFERROR(INDEX(LMH_PTS,MATCH(J194,LMH_KEY,0)),0),IFERROR(INDEX(LMH_PTS,MATCH(K194,LMH_KEY,0)),0),IFERROR(INDEX(LMH_PTS,MATCH(L194,LMH_KEY,0)),0),IFERROR(INDEX(LMH_PTS,MATCH(M194,LMH_KEY,0)),0),IFERROR(INDEX(LMH_PTS,MATCH(N194,LMH_KEY,0)),0),IFERROR(INDEX(LMH_PTS,MATCH(O194,LMH_KEY,0)),0),IFERROR(INDEX(LMH_PTS,MATCH(P194,LMH_KEY,0)),0)),""))</f>
        <v>0.529411764705882</v>
      </c>
      <c r="R194" s="74">
        <f>IF(K194="","",IFERROR(INDEX(LMH_PTS,MATCH(K194,LMH_KEY,0))/SUM(IFERROR(INDEX(LMH_PTS,MATCH(J194,LMH_KEY,0)),0),IFERROR(INDEX(LMH_PTS,MATCH(K194,LMH_KEY,0)),0),IFERROR(INDEX(LMH_PTS,MATCH(L194,LMH_KEY,0)),0),IFERROR(INDEX(LMH_PTS,MATCH(M194,LMH_KEY,0)),0),IFERROR(INDEX(LMH_PTS,MATCH(N194,LMH_KEY,0)),0),IFERROR(INDEX(LMH_PTS,MATCH(O194,LMH_KEY,0)),0),IFERROR(INDEX(LMH_PTS,MATCH(P194,LMH_KEY,0)),0)),""))</f>
        <v>0.176470588235294</v>
      </c>
      <c r="S194" s="74">
        <f>IF(L194="","",IFERROR(INDEX(LMH_PTS,MATCH(L194,LMH_KEY,0))/SUM(IFERROR(INDEX(LMH_PTS,MATCH(J194,LMH_KEY,0)),0),IFERROR(INDEX(LMH_PTS,MATCH(K194,LMH_KEY,0)),0),IFERROR(INDEX(LMH_PTS,MATCH(L194,LMH_KEY,0)),0),IFERROR(INDEX(LMH_PTS,MATCH(M194,LMH_KEY,0)),0),IFERROR(INDEX(LMH_PTS,MATCH(N194,LMH_KEY,0)),0),IFERROR(INDEX(LMH_PTS,MATCH(O194,LMH_KEY,0)),0),IFERROR(INDEX(LMH_PTS,MATCH(P194,LMH_KEY,0)),0)),""))</f>
        <v>0.0588235294117647</v>
      </c>
      <c r="T194" s="74">
        <f>IF(M194="","",IFERROR(INDEX(LMH_PTS,MATCH(M194,LMH_KEY,0))/SUM(IFERROR(INDEX(LMH_PTS,MATCH(J194,LMH_KEY,0)),0),IFERROR(INDEX(LMH_PTS,MATCH(K194,LMH_KEY,0)),0),IFERROR(INDEX(LMH_PTS,MATCH(L194,LMH_KEY,0)),0),IFERROR(INDEX(LMH_PTS,MATCH(M194,LMH_KEY,0)),0),IFERROR(INDEX(LMH_PTS,MATCH(N194,LMH_KEY,0)),0),IFERROR(INDEX(LMH_PTS,MATCH(O194,LMH_KEY,0)),0),IFERROR(INDEX(LMH_PTS,MATCH(P194,LMH_KEY,0)),0)),""))</f>
        <v>0.0588235294117647</v>
      </c>
      <c r="U194" s="74">
        <f>IF(N194="","",IFERROR(INDEX(LMH_PTS,MATCH(N194,LMH_KEY,0))/SUM(IFERROR(INDEX(LMH_PTS,MATCH(J194,LMH_KEY,0)),0),IFERROR(INDEX(LMH_PTS,MATCH(K194,LMH_KEY,0)),0),IFERROR(INDEX(LMH_PTS,MATCH(L194,LMH_KEY,0)),0),IFERROR(INDEX(LMH_PTS,MATCH(M194,LMH_KEY,0)),0),IFERROR(INDEX(LMH_PTS,MATCH(N194,LMH_KEY,0)),0),IFERROR(INDEX(LMH_PTS,MATCH(O194,LMH_KEY,0)),0),IFERROR(INDEX(LMH_PTS,MATCH(P194,LMH_KEY,0)),0)),""))</f>
        <v>0.0588235294117647</v>
      </c>
      <c r="V194" s="74">
        <f>IF(O194="","",IFERROR(INDEX(LMH_PTS,MATCH(O194,LMH_KEY,0))/SUM(IFERROR(INDEX(LMH_PTS,MATCH(J194,LMH_KEY,0)),0),IFERROR(INDEX(LMH_PTS,MATCH(K194,LMH_KEY,0)),0),IFERROR(INDEX(LMH_PTS,MATCH(L194,LMH_KEY,0)),0),IFERROR(INDEX(LMH_PTS,MATCH(M194,LMH_KEY,0)),0),IFERROR(INDEX(LMH_PTS,MATCH(N194,LMH_KEY,0)),0),IFERROR(INDEX(LMH_PTS,MATCH(O194,LMH_KEY,0)),0),IFERROR(INDEX(LMH_PTS,MATCH(P194,LMH_KEY,0)),0)),""))</f>
        <v>0.0588235294117647</v>
      </c>
      <c r="W194" s="74">
        <f>IF(P194="","",IFERROR(INDEX(LMH_PTS,MATCH(P194,LMH_KEY,0))/SUM(IFERROR(INDEX(LMH_PTS,MATCH(J194,LMH_KEY,0)),0),IFERROR(INDEX(LMH_PTS,MATCH(K194,LMH_KEY,0)),0),IFERROR(INDEX(LMH_PTS,MATCH(L194,LMH_KEY,0)),0),IFERROR(INDEX(LMH_PTS,MATCH(M194,LMH_KEY,0)),0),IFERROR(INDEX(LMH_PTS,MATCH(N194,LMH_KEY,0)),0),IFERROR(INDEX(LMH_PTS,MATCH(O194,LMH_KEY,0)),0),IFERROR(INDEX(LMH_PTS,MATCH(P194,LMH_KEY,0)),0)),""))</f>
        <v>0.0588235294117647</v>
      </c>
      <c r="X194" s="44" t="n"/>
      <c r="Y194" s="38" t="inlineStr">
        <is>
          <t>iFile|Technology|Project Manager – POD Lead|B1|B-IC</t>
        </is>
      </c>
    </row>
    <row r="195" ht="18" customHeight="1">
      <c r="A195" s="28" t="inlineStr">
        <is>
          <t>iFile</t>
        </is>
      </c>
      <c r="B195" s="29" t="inlineStr">
        <is>
          <t>Technology</t>
        </is>
      </c>
      <c r="C195" s="72" t="inlineStr">
        <is>
          <t>B1</t>
        </is>
      </c>
      <c r="D195" s="29" t="inlineStr">
        <is>
          <t>Band B · Specialist / Manager</t>
        </is>
      </c>
      <c r="E195" s="29" t="inlineStr">
        <is>
          <t>Senior Business Analyst</t>
        </is>
      </c>
      <c r="F195" s="29" t="inlineStr">
        <is>
          <t>Band B · Specialist / POD Lead</t>
        </is>
      </c>
      <c r="G195" s="29" t="inlineStr">
        <is>
          <t>Business Analysis</t>
        </is>
      </c>
      <c r="H195" s="29" t="n">
        <v>1</v>
      </c>
      <c r="I195" s="29" t="inlineStr">
        <is>
          <t>Srikant Mishra</t>
        </is>
      </c>
      <c r="J195" s="34" t="str">
        <f>IFERROR(INDEX(RBD_C,MATCH("Business Analysis|B1|B-IC",RBD_KEY,0)),"M")</f>
        <v>H</v>
      </c>
      <c r="K195" s="35" t="str">
        <f>IFERROR(INDEX(RBD_Au,MATCH("Business Analysis|B1|B-IC",RBD_KEY,0)),"M")</f>
        <v>M</v>
      </c>
      <c r="L195" s="35" t="str">
        <f>IFERROR(INDEX(RBD_Ac,MATCH("Business Analysis|B1|B-IC",RBD_KEY,0)),"M")</f>
        <v>L</v>
      </c>
      <c r="M195" s="35" t="str">
        <f>IFERROR(INDEX(RBD_L,MATCH("Business Analysis|B1|B-IC",RBD_KEY,0)),"M")</f>
        <v>L</v>
      </c>
      <c r="N195" s="35" t="str">
        <f>IFERROR(INDEX(RBD_BI,MATCH("Business Analysis|B1|B-IC",RBD_KEY,0)),"M")</f>
        <v>L</v>
      </c>
      <c r="O195" s="35" t="str">
        <f>IFERROR(INDEX(RBD_Exp,MATCH("Business Analysis|B1|B-IC",RBD_KEY,0)),"M")</f>
        <v>L</v>
      </c>
      <c r="P195" s="35" t="str">
        <f>IFERROR(INDEX(RBD_Edu,MATCH("Business Analysis|B1|B-IC",RBD_KEY,0)),"M")</f>
        <v>L</v>
      </c>
      <c r="Q195" s="73">
        <f>IF(J195="","",IFERROR(INDEX(LMH_PTS,MATCH(J195,LMH_KEY,0))/SUM(IFERROR(INDEX(LMH_PTS,MATCH(J195,LMH_KEY,0)),0),IFERROR(INDEX(LMH_PTS,MATCH(K195,LMH_KEY,0)),0),IFERROR(INDEX(LMH_PTS,MATCH(L195,LMH_KEY,0)),0),IFERROR(INDEX(LMH_PTS,MATCH(M195,LMH_KEY,0)),0),IFERROR(INDEX(LMH_PTS,MATCH(N195,LMH_KEY,0)),0),IFERROR(INDEX(LMH_PTS,MATCH(O195,LMH_KEY,0)),0),IFERROR(INDEX(LMH_PTS,MATCH(P195,LMH_KEY,0)),0)),""))</f>
        <v>0.529411764705882</v>
      </c>
      <c r="R195" s="74">
        <f>IF(K195="","",IFERROR(INDEX(LMH_PTS,MATCH(K195,LMH_KEY,0))/SUM(IFERROR(INDEX(LMH_PTS,MATCH(J195,LMH_KEY,0)),0),IFERROR(INDEX(LMH_PTS,MATCH(K195,LMH_KEY,0)),0),IFERROR(INDEX(LMH_PTS,MATCH(L195,LMH_KEY,0)),0),IFERROR(INDEX(LMH_PTS,MATCH(M195,LMH_KEY,0)),0),IFERROR(INDEX(LMH_PTS,MATCH(N195,LMH_KEY,0)),0),IFERROR(INDEX(LMH_PTS,MATCH(O195,LMH_KEY,0)),0),IFERROR(INDEX(LMH_PTS,MATCH(P195,LMH_KEY,0)),0)),""))</f>
        <v>0.176470588235294</v>
      </c>
      <c r="S195" s="74">
        <f>IF(L195="","",IFERROR(INDEX(LMH_PTS,MATCH(L195,LMH_KEY,0))/SUM(IFERROR(INDEX(LMH_PTS,MATCH(J195,LMH_KEY,0)),0),IFERROR(INDEX(LMH_PTS,MATCH(K195,LMH_KEY,0)),0),IFERROR(INDEX(LMH_PTS,MATCH(L195,LMH_KEY,0)),0),IFERROR(INDEX(LMH_PTS,MATCH(M195,LMH_KEY,0)),0),IFERROR(INDEX(LMH_PTS,MATCH(N195,LMH_KEY,0)),0),IFERROR(INDEX(LMH_PTS,MATCH(O195,LMH_KEY,0)),0),IFERROR(INDEX(LMH_PTS,MATCH(P195,LMH_KEY,0)),0)),""))</f>
        <v>0.0588235294117647</v>
      </c>
      <c r="T195" s="74">
        <f>IF(M195="","",IFERROR(INDEX(LMH_PTS,MATCH(M195,LMH_KEY,0))/SUM(IFERROR(INDEX(LMH_PTS,MATCH(J195,LMH_KEY,0)),0),IFERROR(INDEX(LMH_PTS,MATCH(K195,LMH_KEY,0)),0),IFERROR(INDEX(LMH_PTS,MATCH(L195,LMH_KEY,0)),0),IFERROR(INDEX(LMH_PTS,MATCH(M195,LMH_KEY,0)),0),IFERROR(INDEX(LMH_PTS,MATCH(N195,LMH_KEY,0)),0),IFERROR(INDEX(LMH_PTS,MATCH(O195,LMH_KEY,0)),0),IFERROR(INDEX(LMH_PTS,MATCH(P195,LMH_KEY,0)),0)),""))</f>
        <v>0.0588235294117647</v>
      </c>
      <c r="U195" s="74">
        <f>IF(N195="","",IFERROR(INDEX(LMH_PTS,MATCH(N195,LMH_KEY,0))/SUM(IFERROR(INDEX(LMH_PTS,MATCH(J195,LMH_KEY,0)),0),IFERROR(INDEX(LMH_PTS,MATCH(K195,LMH_KEY,0)),0),IFERROR(INDEX(LMH_PTS,MATCH(L195,LMH_KEY,0)),0),IFERROR(INDEX(LMH_PTS,MATCH(M195,LMH_KEY,0)),0),IFERROR(INDEX(LMH_PTS,MATCH(N195,LMH_KEY,0)),0),IFERROR(INDEX(LMH_PTS,MATCH(O195,LMH_KEY,0)),0),IFERROR(INDEX(LMH_PTS,MATCH(P195,LMH_KEY,0)),0)),""))</f>
        <v>0.0588235294117647</v>
      </c>
      <c r="V195" s="74">
        <f>IF(O195="","",IFERROR(INDEX(LMH_PTS,MATCH(O195,LMH_KEY,0))/SUM(IFERROR(INDEX(LMH_PTS,MATCH(J195,LMH_KEY,0)),0),IFERROR(INDEX(LMH_PTS,MATCH(K195,LMH_KEY,0)),0),IFERROR(INDEX(LMH_PTS,MATCH(L195,LMH_KEY,0)),0),IFERROR(INDEX(LMH_PTS,MATCH(M195,LMH_KEY,0)),0),IFERROR(INDEX(LMH_PTS,MATCH(N195,LMH_KEY,0)),0),IFERROR(INDEX(LMH_PTS,MATCH(O195,LMH_KEY,0)),0),IFERROR(INDEX(LMH_PTS,MATCH(P195,LMH_KEY,0)),0)),""))</f>
        <v>0.0588235294117647</v>
      </c>
      <c r="W195" s="74">
        <f>IF(P195="","",IFERROR(INDEX(LMH_PTS,MATCH(P195,LMH_KEY,0))/SUM(IFERROR(INDEX(LMH_PTS,MATCH(J195,LMH_KEY,0)),0),IFERROR(INDEX(LMH_PTS,MATCH(K195,LMH_KEY,0)),0),IFERROR(INDEX(LMH_PTS,MATCH(L195,LMH_KEY,0)),0),IFERROR(INDEX(LMH_PTS,MATCH(M195,LMH_KEY,0)),0),IFERROR(INDEX(LMH_PTS,MATCH(N195,LMH_KEY,0)),0),IFERROR(INDEX(LMH_PTS,MATCH(O195,LMH_KEY,0)),0),IFERROR(INDEX(LMH_PTS,MATCH(P195,LMH_KEY,0)),0)),""))</f>
        <v>0.0588235294117647</v>
      </c>
      <c r="X195" s="44" t="n"/>
      <c r="Y195" s="38" t="inlineStr">
        <is>
          <t>iFile|Technology|Senior Business Analyst|B1|B-IC</t>
        </is>
      </c>
    </row>
    <row r="196" ht="28" customHeight="1">
      <c r="A196" s="28" t="inlineStr">
        <is>
          <t>iFile</t>
        </is>
      </c>
      <c r="B196" s="29" t="inlineStr">
        <is>
          <t>Technology</t>
        </is>
      </c>
      <c r="C196" s="72" t="inlineStr">
        <is>
          <t>B1</t>
        </is>
      </c>
      <c r="D196" s="29" t="inlineStr">
        <is>
          <t>Band B · Specialist / Manager</t>
        </is>
      </c>
      <c r="E196" s="29" t="inlineStr">
        <is>
          <t>Senior Technical Specialist – POD Lead</t>
        </is>
      </c>
      <c r="F196" s="29" t="inlineStr">
        <is>
          <t>Band B · Specialist / POD Lead</t>
        </is>
      </c>
      <c r="G196" s="29" t="inlineStr">
        <is>
          <t>Engineering &amp; Development</t>
        </is>
      </c>
      <c r="H196" s="29" t="n">
        <v>3</v>
      </c>
      <c r="I196" s="29" t="inlineStr">
        <is>
          <t>Manish Chouhan, Arpit Pagaria, Bhavana Thakare</t>
        </is>
      </c>
      <c r="J196" s="34" t="str">
        <f>IFERROR(INDEX(RBD_C,MATCH("Engineering &amp; Development|B1|B-IC",RBD_KEY,0)),"M")</f>
        <v>H</v>
      </c>
      <c r="K196" s="35" t="str">
        <f>IFERROR(INDEX(RBD_Au,MATCH("Engineering &amp; Development|B1|B-IC",RBD_KEY,0)),"M")</f>
        <v>M</v>
      </c>
      <c r="L196" s="35" t="str">
        <f>IFERROR(INDEX(RBD_Ac,MATCH("Engineering &amp; Development|B1|B-IC",RBD_KEY,0)),"M")</f>
        <v>L</v>
      </c>
      <c r="M196" s="35" t="str">
        <f>IFERROR(INDEX(RBD_L,MATCH("Engineering &amp; Development|B1|B-IC",RBD_KEY,0)),"M")</f>
        <v>L</v>
      </c>
      <c r="N196" s="35" t="str">
        <f>IFERROR(INDEX(RBD_BI,MATCH("Engineering &amp; Development|B1|B-IC",RBD_KEY,0)),"M")</f>
        <v>L</v>
      </c>
      <c r="O196" s="35" t="str">
        <f>IFERROR(INDEX(RBD_Exp,MATCH("Engineering &amp; Development|B1|B-IC",RBD_KEY,0)),"M")</f>
        <v>L</v>
      </c>
      <c r="P196" s="35" t="str">
        <f>IFERROR(INDEX(RBD_Edu,MATCH("Engineering &amp; Development|B1|B-IC",RBD_KEY,0)),"M")</f>
        <v>L</v>
      </c>
      <c r="Q196" s="73">
        <f>IF(J196="","",IFERROR(INDEX(LMH_PTS,MATCH(J196,LMH_KEY,0))/SUM(IFERROR(INDEX(LMH_PTS,MATCH(J196,LMH_KEY,0)),0),IFERROR(INDEX(LMH_PTS,MATCH(K196,LMH_KEY,0)),0),IFERROR(INDEX(LMH_PTS,MATCH(L196,LMH_KEY,0)),0),IFERROR(INDEX(LMH_PTS,MATCH(M196,LMH_KEY,0)),0),IFERROR(INDEX(LMH_PTS,MATCH(N196,LMH_KEY,0)),0),IFERROR(INDEX(LMH_PTS,MATCH(O196,LMH_KEY,0)),0),IFERROR(INDEX(LMH_PTS,MATCH(P196,LMH_KEY,0)),0)),""))</f>
        <v>0.529411764705882</v>
      </c>
      <c r="R196" s="74">
        <f>IF(K196="","",IFERROR(INDEX(LMH_PTS,MATCH(K196,LMH_KEY,0))/SUM(IFERROR(INDEX(LMH_PTS,MATCH(J196,LMH_KEY,0)),0),IFERROR(INDEX(LMH_PTS,MATCH(K196,LMH_KEY,0)),0),IFERROR(INDEX(LMH_PTS,MATCH(L196,LMH_KEY,0)),0),IFERROR(INDEX(LMH_PTS,MATCH(M196,LMH_KEY,0)),0),IFERROR(INDEX(LMH_PTS,MATCH(N196,LMH_KEY,0)),0),IFERROR(INDEX(LMH_PTS,MATCH(O196,LMH_KEY,0)),0),IFERROR(INDEX(LMH_PTS,MATCH(P196,LMH_KEY,0)),0)),""))</f>
        <v>0.176470588235294</v>
      </c>
      <c r="S196" s="74">
        <f>IF(L196="","",IFERROR(INDEX(LMH_PTS,MATCH(L196,LMH_KEY,0))/SUM(IFERROR(INDEX(LMH_PTS,MATCH(J196,LMH_KEY,0)),0),IFERROR(INDEX(LMH_PTS,MATCH(K196,LMH_KEY,0)),0),IFERROR(INDEX(LMH_PTS,MATCH(L196,LMH_KEY,0)),0),IFERROR(INDEX(LMH_PTS,MATCH(M196,LMH_KEY,0)),0),IFERROR(INDEX(LMH_PTS,MATCH(N196,LMH_KEY,0)),0),IFERROR(INDEX(LMH_PTS,MATCH(O196,LMH_KEY,0)),0),IFERROR(INDEX(LMH_PTS,MATCH(P196,LMH_KEY,0)),0)),""))</f>
        <v>0.0588235294117647</v>
      </c>
      <c r="T196" s="74">
        <f>IF(M196="","",IFERROR(INDEX(LMH_PTS,MATCH(M196,LMH_KEY,0))/SUM(IFERROR(INDEX(LMH_PTS,MATCH(J196,LMH_KEY,0)),0),IFERROR(INDEX(LMH_PTS,MATCH(K196,LMH_KEY,0)),0),IFERROR(INDEX(LMH_PTS,MATCH(L196,LMH_KEY,0)),0),IFERROR(INDEX(LMH_PTS,MATCH(M196,LMH_KEY,0)),0),IFERROR(INDEX(LMH_PTS,MATCH(N196,LMH_KEY,0)),0),IFERROR(INDEX(LMH_PTS,MATCH(O196,LMH_KEY,0)),0),IFERROR(INDEX(LMH_PTS,MATCH(P196,LMH_KEY,0)),0)),""))</f>
        <v>0.0588235294117647</v>
      </c>
      <c r="U196" s="74">
        <f>IF(N196="","",IFERROR(INDEX(LMH_PTS,MATCH(N196,LMH_KEY,0))/SUM(IFERROR(INDEX(LMH_PTS,MATCH(J196,LMH_KEY,0)),0),IFERROR(INDEX(LMH_PTS,MATCH(K196,LMH_KEY,0)),0),IFERROR(INDEX(LMH_PTS,MATCH(L196,LMH_KEY,0)),0),IFERROR(INDEX(LMH_PTS,MATCH(M196,LMH_KEY,0)),0),IFERROR(INDEX(LMH_PTS,MATCH(N196,LMH_KEY,0)),0),IFERROR(INDEX(LMH_PTS,MATCH(O196,LMH_KEY,0)),0),IFERROR(INDEX(LMH_PTS,MATCH(P196,LMH_KEY,0)),0)),""))</f>
        <v>0.0588235294117647</v>
      </c>
      <c r="V196" s="74">
        <f>IF(O196="","",IFERROR(INDEX(LMH_PTS,MATCH(O196,LMH_KEY,0))/SUM(IFERROR(INDEX(LMH_PTS,MATCH(J196,LMH_KEY,0)),0),IFERROR(INDEX(LMH_PTS,MATCH(K196,LMH_KEY,0)),0),IFERROR(INDEX(LMH_PTS,MATCH(L196,LMH_KEY,0)),0),IFERROR(INDEX(LMH_PTS,MATCH(M196,LMH_KEY,0)),0),IFERROR(INDEX(LMH_PTS,MATCH(N196,LMH_KEY,0)),0),IFERROR(INDEX(LMH_PTS,MATCH(O196,LMH_KEY,0)),0),IFERROR(INDEX(LMH_PTS,MATCH(P196,LMH_KEY,0)),0)),""))</f>
        <v>0.0588235294117647</v>
      </c>
      <c r="W196" s="74">
        <f>IF(P196="","",IFERROR(INDEX(LMH_PTS,MATCH(P196,LMH_KEY,0))/SUM(IFERROR(INDEX(LMH_PTS,MATCH(J196,LMH_KEY,0)),0),IFERROR(INDEX(LMH_PTS,MATCH(K196,LMH_KEY,0)),0),IFERROR(INDEX(LMH_PTS,MATCH(L196,LMH_KEY,0)),0),IFERROR(INDEX(LMH_PTS,MATCH(M196,LMH_KEY,0)),0),IFERROR(INDEX(LMH_PTS,MATCH(N196,LMH_KEY,0)),0),IFERROR(INDEX(LMH_PTS,MATCH(O196,LMH_KEY,0)),0),IFERROR(INDEX(LMH_PTS,MATCH(P196,LMH_KEY,0)),0)),""))</f>
        <v>0.0588235294117647</v>
      </c>
      <c r="X196" s="44" t="n"/>
      <c r="Y196" s="38" t="inlineStr">
        <is>
          <t>iFile|Technology|Senior Technical Specialist – POD Lead|B1|B-IC</t>
        </is>
      </c>
    </row>
    <row r="197" ht="28" customHeight="1">
      <c r="A197" s="28" t="inlineStr">
        <is>
          <t>iFile</t>
        </is>
      </c>
      <c r="B197" s="29" t="inlineStr">
        <is>
          <t>Technology</t>
        </is>
      </c>
      <c r="C197" s="72" t="inlineStr">
        <is>
          <t>B1</t>
        </is>
      </c>
      <c r="D197" s="29" t="inlineStr">
        <is>
          <t>Band B · Specialist / Manager</t>
        </is>
      </c>
      <c r="E197" s="29" t="inlineStr">
        <is>
          <t>Team Lead – Business Analysis</t>
        </is>
      </c>
      <c r="F197" s="29" t="inlineStr">
        <is>
          <t>Band B · People Manager</t>
        </is>
      </c>
      <c r="G197" s="29" t="inlineStr">
        <is>
          <t>Business Analysis</t>
        </is>
      </c>
      <c r="H197" s="29" t="n">
        <v>1</v>
      </c>
      <c r="I197" s="29" t="inlineStr">
        <is>
          <t>Shruti Patil</t>
        </is>
      </c>
      <c r="J197" s="34" t="str">
        <f>IFERROR(INDEX(RBD_C,MATCH("Business Analysis|B1|B-M",RBD_KEY,0)),"M")</f>
        <v>H</v>
      </c>
      <c r="K197" s="35" t="str">
        <f>IFERROR(INDEX(RBD_Au,MATCH("Business Analysis|B1|B-M",RBD_KEY,0)),"M")</f>
        <v>M</v>
      </c>
      <c r="L197" s="35" t="str">
        <f>IFERROR(INDEX(RBD_Ac,MATCH("Business Analysis|B1|B-M",RBD_KEY,0)),"M")</f>
        <v>L</v>
      </c>
      <c r="M197" s="35" t="str">
        <f>IFERROR(INDEX(RBD_L,MATCH("Business Analysis|B1|B-M",RBD_KEY,0)),"M")</f>
        <v>M</v>
      </c>
      <c r="N197" s="35" t="str">
        <f>IFERROR(INDEX(RBD_BI,MATCH("Business Analysis|B1|B-M",RBD_KEY,0)),"M")</f>
        <v>L</v>
      </c>
      <c r="O197" s="35" t="str">
        <f>IFERROR(INDEX(RBD_Exp,MATCH("Business Analysis|B1|B-M",RBD_KEY,0)),"M")</f>
        <v>L</v>
      </c>
      <c r="P197" s="35" t="str">
        <f>IFERROR(INDEX(RBD_Edu,MATCH("Business Analysis|B1|B-M",RBD_KEY,0)),"M")</f>
        <v>L</v>
      </c>
      <c r="Q197" s="73">
        <f>IF(J197="","",IFERROR(INDEX(LMH_PTS,MATCH(J197,LMH_KEY,0))/SUM(IFERROR(INDEX(LMH_PTS,MATCH(J197,LMH_KEY,0)),0),IFERROR(INDEX(LMH_PTS,MATCH(K197,LMH_KEY,0)),0),IFERROR(INDEX(LMH_PTS,MATCH(L197,LMH_KEY,0)),0),IFERROR(INDEX(LMH_PTS,MATCH(M197,LMH_KEY,0)),0),IFERROR(INDEX(LMH_PTS,MATCH(N197,LMH_KEY,0)),0),IFERROR(INDEX(LMH_PTS,MATCH(O197,LMH_KEY,0)),0),IFERROR(INDEX(LMH_PTS,MATCH(P197,LMH_KEY,0)),0)),""))</f>
        <v>0.473684210526316</v>
      </c>
      <c r="R197" s="74">
        <f>IF(K197="","",IFERROR(INDEX(LMH_PTS,MATCH(K197,LMH_KEY,0))/SUM(IFERROR(INDEX(LMH_PTS,MATCH(J197,LMH_KEY,0)),0),IFERROR(INDEX(LMH_PTS,MATCH(K197,LMH_KEY,0)),0),IFERROR(INDEX(LMH_PTS,MATCH(L197,LMH_KEY,0)),0),IFERROR(INDEX(LMH_PTS,MATCH(M197,LMH_KEY,0)),0),IFERROR(INDEX(LMH_PTS,MATCH(N197,LMH_KEY,0)),0),IFERROR(INDEX(LMH_PTS,MATCH(O197,LMH_KEY,0)),0),IFERROR(INDEX(LMH_PTS,MATCH(P197,LMH_KEY,0)),0)),""))</f>
        <v>0.157894736842105</v>
      </c>
      <c r="S197" s="74">
        <f>IF(L197="","",IFERROR(INDEX(LMH_PTS,MATCH(L197,LMH_KEY,0))/SUM(IFERROR(INDEX(LMH_PTS,MATCH(J197,LMH_KEY,0)),0),IFERROR(INDEX(LMH_PTS,MATCH(K197,LMH_KEY,0)),0),IFERROR(INDEX(LMH_PTS,MATCH(L197,LMH_KEY,0)),0),IFERROR(INDEX(LMH_PTS,MATCH(M197,LMH_KEY,0)),0),IFERROR(INDEX(LMH_PTS,MATCH(N197,LMH_KEY,0)),0),IFERROR(INDEX(LMH_PTS,MATCH(O197,LMH_KEY,0)),0),IFERROR(INDEX(LMH_PTS,MATCH(P197,LMH_KEY,0)),0)),""))</f>
        <v>0.0526315789473684</v>
      </c>
      <c r="T197" s="74">
        <f>IF(M197="","",IFERROR(INDEX(LMH_PTS,MATCH(M197,LMH_KEY,0))/SUM(IFERROR(INDEX(LMH_PTS,MATCH(J197,LMH_KEY,0)),0),IFERROR(INDEX(LMH_PTS,MATCH(K197,LMH_KEY,0)),0),IFERROR(INDEX(LMH_PTS,MATCH(L197,LMH_KEY,0)),0),IFERROR(INDEX(LMH_PTS,MATCH(M197,LMH_KEY,0)),0),IFERROR(INDEX(LMH_PTS,MATCH(N197,LMH_KEY,0)),0),IFERROR(INDEX(LMH_PTS,MATCH(O197,LMH_KEY,0)),0),IFERROR(INDEX(LMH_PTS,MATCH(P197,LMH_KEY,0)),0)),""))</f>
        <v>0.157894736842105</v>
      </c>
      <c r="U197" s="74">
        <f>IF(N197="","",IFERROR(INDEX(LMH_PTS,MATCH(N197,LMH_KEY,0))/SUM(IFERROR(INDEX(LMH_PTS,MATCH(J197,LMH_KEY,0)),0),IFERROR(INDEX(LMH_PTS,MATCH(K197,LMH_KEY,0)),0),IFERROR(INDEX(LMH_PTS,MATCH(L197,LMH_KEY,0)),0),IFERROR(INDEX(LMH_PTS,MATCH(M197,LMH_KEY,0)),0),IFERROR(INDEX(LMH_PTS,MATCH(N197,LMH_KEY,0)),0),IFERROR(INDEX(LMH_PTS,MATCH(O197,LMH_KEY,0)),0),IFERROR(INDEX(LMH_PTS,MATCH(P197,LMH_KEY,0)),0)),""))</f>
        <v>0.0526315789473684</v>
      </c>
      <c r="V197" s="74">
        <f>IF(O197="","",IFERROR(INDEX(LMH_PTS,MATCH(O197,LMH_KEY,0))/SUM(IFERROR(INDEX(LMH_PTS,MATCH(J197,LMH_KEY,0)),0),IFERROR(INDEX(LMH_PTS,MATCH(K197,LMH_KEY,0)),0),IFERROR(INDEX(LMH_PTS,MATCH(L197,LMH_KEY,0)),0),IFERROR(INDEX(LMH_PTS,MATCH(M197,LMH_KEY,0)),0),IFERROR(INDEX(LMH_PTS,MATCH(N197,LMH_KEY,0)),0),IFERROR(INDEX(LMH_PTS,MATCH(O197,LMH_KEY,0)),0),IFERROR(INDEX(LMH_PTS,MATCH(P197,LMH_KEY,0)),0)),""))</f>
        <v>0.0526315789473684</v>
      </c>
      <c r="W197" s="74">
        <f>IF(P197="","",IFERROR(INDEX(LMH_PTS,MATCH(P197,LMH_KEY,0))/SUM(IFERROR(INDEX(LMH_PTS,MATCH(J197,LMH_KEY,0)),0),IFERROR(INDEX(LMH_PTS,MATCH(K197,LMH_KEY,0)),0),IFERROR(INDEX(LMH_PTS,MATCH(L197,LMH_KEY,0)),0),IFERROR(INDEX(LMH_PTS,MATCH(M197,LMH_KEY,0)),0),IFERROR(INDEX(LMH_PTS,MATCH(N197,LMH_KEY,0)),0),IFERROR(INDEX(LMH_PTS,MATCH(O197,LMH_KEY,0)),0),IFERROR(INDEX(LMH_PTS,MATCH(P197,LMH_KEY,0)),0)),""))</f>
        <v>0.0526315789473684</v>
      </c>
      <c r="X197" s="44" t="n"/>
      <c r="Y197" s="38" t="inlineStr">
        <is>
          <t>iFile|Technology|Team Lead – Business Analysis|B1|B-M</t>
        </is>
      </c>
    </row>
    <row r="198" ht="18" customHeight="1">
      <c r="A198" s="28" t="inlineStr">
        <is>
          <t>iFile</t>
        </is>
      </c>
      <c r="B198" s="29" t="inlineStr">
        <is>
          <t>Technology</t>
        </is>
      </c>
      <c r="C198" s="72" t="inlineStr">
        <is>
          <t>B1</t>
        </is>
      </c>
      <c r="D198" s="29" t="inlineStr">
        <is>
          <t>Band B · Specialist / Manager</t>
        </is>
      </c>
      <c r="E198" s="29" t="inlineStr">
        <is>
          <t>Technical Specialist</t>
        </is>
      </c>
      <c r="F198" s="29" t="inlineStr">
        <is>
          <t>Band B · Specialist / POD Lead</t>
        </is>
      </c>
      <c r="G198" s="29" t="inlineStr">
        <is>
          <t>Engineering &amp; Development</t>
        </is>
      </c>
      <c r="H198" s="29" t="n">
        <v>2</v>
      </c>
      <c r="I198" s="29" t="inlineStr">
        <is>
          <t>Sarvesh Yadav, Vikash Gupta</t>
        </is>
      </c>
      <c r="J198" s="34" t="str">
        <f>IFERROR(INDEX(RBD_C,MATCH("Engineering &amp; Development|B1|B-IC",RBD_KEY,0)),"M")</f>
        <v>H</v>
      </c>
      <c r="K198" s="35" t="str">
        <f>IFERROR(INDEX(RBD_Au,MATCH("Engineering &amp; Development|B1|B-IC",RBD_KEY,0)),"M")</f>
        <v>M</v>
      </c>
      <c r="L198" s="35" t="str">
        <f>IFERROR(INDEX(RBD_Ac,MATCH("Engineering &amp; Development|B1|B-IC",RBD_KEY,0)),"M")</f>
        <v>L</v>
      </c>
      <c r="M198" s="35" t="str">
        <f>IFERROR(INDEX(RBD_L,MATCH("Engineering &amp; Development|B1|B-IC",RBD_KEY,0)),"M")</f>
        <v>L</v>
      </c>
      <c r="N198" s="35" t="str">
        <f>IFERROR(INDEX(RBD_BI,MATCH("Engineering &amp; Development|B1|B-IC",RBD_KEY,0)),"M")</f>
        <v>L</v>
      </c>
      <c r="O198" s="35" t="str">
        <f>IFERROR(INDEX(RBD_Exp,MATCH("Engineering &amp; Development|B1|B-IC",RBD_KEY,0)),"M")</f>
        <v>L</v>
      </c>
      <c r="P198" s="35" t="str">
        <f>IFERROR(INDEX(RBD_Edu,MATCH("Engineering &amp; Development|B1|B-IC",RBD_KEY,0)),"M")</f>
        <v>L</v>
      </c>
      <c r="Q198" s="73">
        <f>IF(J198="","",IFERROR(INDEX(LMH_PTS,MATCH(J198,LMH_KEY,0))/SUM(IFERROR(INDEX(LMH_PTS,MATCH(J198,LMH_KEY,0)),0),IFERROR(INDEX(LMH_PTS,MATCH(K198,LMH_KEY,0)),0),IFERROR(INDEX(LMH_PTS,MATCH(L198,LMH_KEY,0)),0),IFERROR(INDEX(LMH_PTS,MATCH(M198,LMH_KEY,0)),0),IFERROR(INDEX(LMH_PTS,MATCH(N198,LMH_KEY,0)),0),IFERROR(INDEX(LMH_PTS,MATCH(O198,LMH_KEY,0)),0),IFERROR(INDEX(LMH_PTS,MATCH(P198,LMH_KEY,0)),0)),""))</f>
        <v>0.529411764705882</v>
      </c>
      <c r="R198" s="74">
        <f>IF(K198="","",IFERROR(INDEX(LMH_PTS,MATCH(K198,LMH_KEY,0))/SUM(IFERROR(INDEX(LMH_PTS,MATCH(J198,LMH_KEY,0)),0),IFERROR(INDEX(LMH_PTS,MATCH(K198,LMH_KEY,0)),0),IFERROR(INDEX(LMH_PTS,MATCH(L198,LMH_KEY,0)),0),IFERROR(INDEX(LMH_PTS,MATCH(M198,LMH_KEY,0)),0),IFERROR(INDEX(LMH_PTS,MATCH(N198,LMH_KEY,0)),0),IFERROR(INDEX(LMH_PTS,MATCH(O198,LMH_KEY,0)),0),IFERROR(INDEX(LMH_PTS,MATCH(P198,LMH_KEY,0)),0)),""))</f>
        <v>0.176470588235294</v>
      </c>
      <c r="S198" s="74">
        <f>IF(L198="","",IFERROR(INDEX(LMH_PTS,MATCH(L198,LMH_KEY,0))/SUM(IFERROR(INDEX(LMH_PTS,MATCH(J198,LMH_KEY,0)),0),IFERROR(INDEX(LMH_PTS,MATCH(K198,LMH_KEY,0)),0),IFERROR(INDEX(LMH_PTS,MATCH(L198,LMH_KEY,0)),0),IFERROR(INDEX(LMH_PTS,MATCH(M198,LMH_KEY,0)),0),IFERROR(INDEX(LMH_PTS,MATCH(N198,LMH_KEY,0)),0),IFERROR(INDEX(LMH_PTS,MATCH(O198,LMH_KEY,0)),0),IFERROR(INDEX(LMH_PTS,MATCH(P198,LMH_KEY,0)),0)),""))</f>
        <v>0.0588235294117647</v>
      </c>
      <c r="T198" s="74">
        <f>IF(M198="","",IFERROR(INDEX(LMH_PTS,MATCH(M198,LMH_KEY,0))/SUM(IFERROR(INDEX(LMH_PTS,MATCH(J198,LMH_KEY,0)),0),IFERROR(INDEX(LMH_PTS,MATCH(K198,LMH_KEY,0)),0),IFERROR(INDEX(LMH_PTS,MATCH(L198,LMH_KEY,0)),0),IFERROR(INDEX(LMH_PTS,MATCH(M198,LMH_KEY,0)),0),IFERROR(INDEX(LMH_PTS,MATCH(N198,LMH_KEY,0)),0),IFERROR(INDEX(LMH_PTS,MATCH(O198,LMH_KEY,0)),0),IFERROR(INDEX(LMH_PTS,MATCH(P198,LMH_KEY,0)),0)),""))</f>
        <v>0.0588235294117647</v>
      </c>
      <c r="U198" s="74">
        <f>IF(N198="","",IFERROR(INDEX(LMH_PTS,MATCH(N198,LMH_KEY,0))/SUM(IFERROR(INDEX(LMH_PTS,MATCH(J198,LMH_KEY,0)),0),IFERROR(INDEX(LMH_PTS,MATCH(K198,LMH_KEY,0)),0),IFERROR(INDEX(LMH_PTS,MATCH(L198,LMH_KEY,0)),0),IFERROR(INDEX(LMH_PTS,MATCH(M198,LMH_KEY,0)),0),IFERROR(INDEX(LMH_PTS,MATCH(N198,LMH_KEY,0)),0),IFERROR(INDEX(LMH_PTS,MATCH(O198,LMH_KEY,0)),0),IFERROR(INDEX(LMH_PTS,MATCH(P198,LMH_KEY,0)),0)),""))</f>
        <v>0.0588235294117647</v>
      </c>
      <c r="V198" s="74">
        <f>IF(O198="","",IFERROR(INDEX(LMH_PTS,MATCH(O198,LMH_KEY,0))/SUM(IFERROR(INDEX(LMH_PTS,MATCH(J198,LMH_KEY,0)),0),IFERROR(INDEX(LMH_PTS,MATCH(K198,LMH_KEY,0)),0),IFERROR(INDEX(LMH_PTS,MATCH(L198,LMH_KEY,0)),0),IFERROR(INDEX(LMH_PTS,MATCH(M198,LMH_KEY,0)),0),IFERROR(INDEX(LMH_PTS,MATCH(N198,LMH_KEY,0)),0),IFERROR(INDEX(LMH_PTS,MATCH(O198,LMH_KEY,0)),0),IFERROR(INDEX(LMH_PTS,MATCH(P198,LMH_KEY,0)),0)),""))</f>
        <v>0.0588235294117647</v>
      </c>
      <c r="W198" s="74">
        <f>IF(P198="","",IFERROR(INDEX(LMH_PTS,MATCH(P198,LMH_KEY,0))/SUM(IFERROR(INDEX(LMH_PTS,MATCH(J198,LMH_KEY,0)),0),IFERROR(INDEX(LMH_PTS,MATCH(K198,LMH_KEY,0)),0),IFERROR(INDEX(LMH_PTS,MATCH(L198,LMH_KEY,0)),0),IFERROR(INDEX(LMH_PTS,MATCH(M198,LMH_KEY,0)),0),IFERROR(INDEX(LMH_PTS,MATCH(N198,LMH_KEY,0)),0),IFERROR(INDEX(LMH_PTS,MATCH(O198,LMH_KEY,0)),0),IFERROR(INDEX(LMH_PTS,MATCH(P198,LMH_KEY,0)),0)),""))</f>
        <v>0.0588235294117647</v>
      </c>
      <c r="X198" s="44" t="n"/>
      <c r="Y198" s="38" t="inlineStr">
        <is>
          <t>iFile|Technology|Technical Specialist|B1|B-IC</t>
        </is>
      </c>
    </row>
    <row r="199" ht="40.5" customHeight="1">
      <c r="A199" s="28" t="inlineStr">
        <is>
          <t>iFile</t>
        </is>
      </c>
      <c r="B199" s="29" t="inlineStr">
        <is>
          <t>Technology</t>
        </is>
      </c>
      <c r="C199" s="72" t="inlineStr">
        <is>
          <t>B1</t>
        </is>
      </c>
      <c r="D199" s="29" t="inlineStr">
        <is>
          <t>Band B · Specialist / Manager</t>
        </is>
      </c>
      <c r="E199" s="29" t="inlineStr">
        <is>
          <t>Technical Specialist – POD Lead</t>
        </is>
      </c>
      <c r="F199" s="29" t="inlineStr">
        <is>
          <t>Band B · Specialist / POD Lead</t>
        </is>
      </c>
      <c r="G199" s="29" t="inlineStr">
        <is>
          <t>Engineering &amp; Development</t>
        </is>
      </c>
      <c r="H199" s="29" t="n">
        <v>5</v>
      </c>
      <c r="I199" s="29" t="inlineStr">
        <is>
          <t>Paresh Patil, Rajneesh Patel, Pradnya Mhatre, Pragati Raskar, Vivek Shinde</t>
        </is>
      </c>
      <c r="J199" s="34" t="str">
        <f>IFERROR(INDEX(RBD_C,MATCH("Engineering &amp; Development|B1|B-IC",RBD_KEY,0)),"M")</f>
        <v>H</v>
      </c>
      <c r="K199" s="35" t="str">
        <f>IFERROR(INDEX(RBD_Au,MATCH("Engineering &amp; Development|B1|B-IC",RBD_KEY,0)),"M")</f>
        <v>M</v>
      </c>
      <c r="L199" s="35" t="str">
        <f>IFERROR(INDEX(RBD_Ac,MATCH("Engineering &amp; Development|B1|B-IC",RBD_KEY,0)),"M")</f>
        <v>L</v>
      </c>
      <c r="M199" s="35" t="str">
        <f>IFERROR(INDEX(RBD_L,MATCH("Engineering &amp; Development|B1|B-IC",RBD_KEY,0)),"M")</f>
        <v>L</v>
      </c>
      <c r="N199" s="35" t="str">
        <f>IFERROR(INDEX(RBD_BI,MATCH("Engineering &amp; Development|B1|B-IC",RBD_KEY,0)),"M")</f>
        <v>L</v>
      </c>
      <c r="O199" s="35" t="str">
        <f>IFERROR(INDEX(RBD_Exp,MATCH("Engineering &amp; Development|B1|B-IC",RBD_KEY,0)),"M")</f>
        <v>L</v>
      </c>
      <c r="P199" s="35" t="str">
        <f>IFERROR(INDEX(RBD_Edu,MATCH("Engineering &amp; Development|B1|B-IC",RBD_KEY,0)),"M")</f>
        <v>L</v>
      </c>
      <c r="Q199" s="73">
        <f>IF(J199="","",IFERROR(INDEX(LMH_PTS,MATCH(J199,LMH_KEY,0))/SUM(IFERROR(INDEX(LMH_PTS,MATCH(J199,LMH_KEY,0)),0),IFERROR(INDEX(LMH_PTS,MATCH(K199,LMH_KEY,0)),0),IFERROR(INDEX(LMH_PTS,MATCH(L199,LMH_KEY,0)),0),IFERROR(INDEX(LMH_PTS,MATCH(M199,LMH_KEY,0)),0),IFERROR(INDEX(LMH_PTS,MATCH(N199,LMH_KEY,0)),0),IFERROR(INDEX(LMH_PTS,MATCH(O199,LMH_KEY,0)),0),IFERROR(INDEX(LMH_PTS,MATCH(P199,LMH_KEY,0)),0)),""))</f>
        <v>0.529411764705882</v>
      </c>
      <c r="R199" s="74">
        <f>IF(K199="","",IFERROR(INDEX(LMH_PTS,MATCH(K199,LMH_KEY,0))/SUM(IFERROR(INDEX(LMH_PTS,MATCH(J199,LMH_KEY,0)),0),IFERROR(INDEX(LMH_PTS,MATCH(K199,LMH_KEY,0)),0),IFERROR(INDEX(LMH_PTS,MATCH(L199,LMH_KEY,0)),0),IFERROR(INDEX(LMH_PTS,MATCH(M199,LMH_KEY,0)),0),IFERROR(INDEX(LMH_PTS,MATCH(N199,LMH_KEY,0)),0),IFERROR(INDEX(LMH_PTS,MATCH(O199,LMH_KEY,0)),0),IFERROR(INDEX(LMH_PTS,MATCH(P199,LMH_KEY,0)),0)),""))</f>
        <v>0.176470588235294</v>
      </c>
      <c r="S199" s="74">
        <f>IF(L199="","",IFERROR(INDEX(LMH_PTS,MATCH(L199,LMH_KEY,0))/SUM(IFERROR(INDEX(LMH_PTS,MATCH(J199,LMH_KEY,0)),0),IFERROR(INDEX(LMH_PTS,MATCH(K199,LMH_KEY,0)),0),IFERROR(INDEX(LMH_PTS,MATCH(L199,LMH_KEY,0)),0),IFERROR(INDEX(LMH_PTS,MATCH(M199,LMH_KEY,0)),0),IFERROR(INDEX(LMH_PTS,MATCH(N199,LMH_KEY,0)),0),IFERROR(INDEX(LMH_PTS,MATCH(O199,LMH_KEY,0)),0),IFERROR(INDEX(LMH_PTS,MATCH(P199,LMH_KEY,0)),0)),""))</f>
        <v>0.0588235294117647</v>
      </c>
      <c r="T199" s="74">
        <f>IF(M199="","",IFERROR(INDEX(LMH_PTS,MATCH(M199,LMH_KEY,0))/SUM(IFERROR(INDEX(LMH_PTS,MATCH(J199,LMH_KEY,0)),0),IFERROR(INDEX(LMH_PTS,MATCH(K199,LMH_KEY,0)),0),IFERROR(INDEX(LMH_PTS,MATCH(L199,LMH_KEY,0)),0),IFERROR(INDEX(LMH_PTS,MATCH(M199,LMH_KEY,0)),0),IFERROR(INDEX(LMH_PTS,MATCH(N199,LMH_KEY,0)),0),IFERROR(INDEX(LMH_PTS,MATCH(O199,LMH_KEY,0)),0),IFERROR(INDEX(LMH_PTS,MATCH(P199,LMH_KEY,0)),0)),""))</f>
        <v>0.0588235294117647</v>
      </c>
      <c r="U199" s="74">
        <f>IF(N199="","",IFERROR(INDEX(LMH_PTS,MATCH(N199,LMH_KEY,0))/SUM(IFERROR(INDEX(LMH_PTS,MATCH(J199,LMH_KEY,0)),0),IFERROR(INDEX(LMH_PTS,MATCH(K199,LMH_KEY,0)),0),IFERROR(INDEX(LMH_PTS,MATCH(L199,LMH_KEY,0)),0),IFERROR(INDEX(LMH_PTS,MATCH(M199,LMH_KEY,0)),0),IFERROR(INDEX(LMH_PTS,MATCH(N199,LMH_KEY,0)),0),IFERROR(INDEX(LMH_PTS,MATCH(O199,LMH_KEY,0)),0),IFERROR(INDEX(LMH_PTS,MATCH(P199,LMH_KEY,0)),0)),""))</f>
        <v>0.0588235294117647</v>
      </c>
      <c r="V199" s="74">
        <f>IF(O199="","",IFERROR(INDEX(LMH_PTS,MATCH(O199,LMH_KEY,0))/SUM(IFERROR(INDEX(LMH_PTS,MATCH(J199,LMH_KEY,0)),0),IFERROR(INDEX(LMH_PTS,MATCH(K199,LMH_KEY,0)),0),IFERROR(INDEX(LMH_PTS,MATCH(L199,LMH_KEY,0)),0),IFERROR(INDEX(LMH_PTS,MATCH(M199,LMH_KEY,0)),0),IFERROR(INDEX(LMH_PTS,MATCH(N199,LMH_KEY,0)),0),IFERROR(INDEX(LMH_PTS,MATCH(O199,LMH_KEY,0)),0),IFERROR(INDEX(LMH_PTS,MATCH(P199,LMH_KEY,0)),0)),""))</f>
        <v>0.0588235294117647</v>
      </c>
      <c r="W199" s="74">
        <f>IF(P199="","",IFERROR(INDEX(LMH_PTS,MATCH(P199,LMH_KEY,0))/SUM(IFERROR(INDEX(LMH_PTS,MATCH(J199,LMH_KEY,0)),0),IFERROR(INDEX(LMH_PTS,MATCH(K199,LMH_KEY,0)),0),IFERROR(INDEX(LMH_PTS,MATCH(L199,LMH_KEY,0)),0),IFERROR(INDEX(LMH_PTS,MATCH(M199,LMH_KEY,0)),0),IFERROR(INDEX(LMH_PTS,MATCH(N199,LMH_KEY,0)),0),IFERROR(INDEX(LMH_PTS,MATCH(O199,LMH_KEY,0)),0),IFERROR(INDEX(LMH_PTS,MATCH(P199,LMH_KEY,0)),0)),""))</f>
        <v>0.0588235294117647</v>
      </c>
      <c r="X199" s="44" t="n"/>
      <c r="Y199" s="38" t="inlineStr">
        <is>
          <t>iFile|Technology|Technical Specialist – POD Lead|B1|B-IC</t>
        </is>
      </c>
    </row>
    <row r="200" ht="18" customHeight="1">
      <c r="A200" s="28" t="inlineStr">
        <is>
          <t>iFile</t>
        </is>
      </c>
      <c r="B200" s="29" t="inlineStr">
        <is>
          <t>Technology</t>
        </is>
      </c>
      <c r="C200" s="75" t="inlineStr">
        <is>
          <t>A3</t>
        </is>
      </c>
      <c r="D200" s="29" t="inlineStr">
        <is>
          <t>Band A · Practitioner</t>
        </is>
      </c>
      <c r="E200" s="29" t="inlineStr">
        <is>
          <t>Database Specialist</t>
        </is>
      </c>
      <c r="F200" s="29" t="inlineStr">
        <is>
          <t>Band A · all tracks</t>
        </is>
      </c>
      <c r="G200" s="29" t="inlineStr">
        <is>
          <t>Engineering &amp; Development</t>
        </is>
      </c>
      <c r="H200" s="29" t="n">
        <v>1</v>
      </c>
      <c r="I200" s="29" t="inlineStr">
        <is>
          <t>Chaitanya Vadagabhaktula</t>
        </is>
      </c>
      <c r="J200" s="34" t="str">
        <f>IFERROR(INDEX(RBD_C,MATCH("Engineering &amp; Development|A3|A",RBD_KEY,0)),"M")</f>
        <v>H</v>
      </c>
      <c r="K200" s="35" t="str">
        <f>IFERROR(INDEX(RBD_Au,MATCH("Engineering &amp; Development|A3|A",RBD_KEY,0)),"M")</f>
        <v>M</v>
      </c>
      <c r="L200" s="35" t="str">
        <f>IFERROR(INDEX(RBD_Ac,MATCH("Engineering &amp; Development|A3|A",RBD_KEY,0)),"M")</f>
        <v>L</v>
      </c>
      <c r="M200" s="35" t="str">
        <f>IFERROR(INDEX(RBD_L,MATCH("Engineering &amp; Development|A3|A",RBD_KEY,0)),"M")</f>
        <v>L</v>
      </c>
      <c r="N200" s="35" t="str">
        <f>IFERROR(INDEX(RBD_BI,MATCH("Engineering &amp; Development|A3|A",RBD_KEY,0)),"M")</f>
        <v>L</v>
      </c>
      <c r="O200" s="35" t="str">
        <f>IFERROR(INDEX(RBD_Exp,MATCH("Engineering &amp; Development|A3|A",RBD_KEY,0)),"M")</f>
        <v>L</v>
      </c>
      <c r="P200" s="35" t="str">
        <f>IFERROR(INDEX(RBD_Edu,MATCH("Engineering &amp; Development|A3|A",RBD_KEY,0)),"M")</f>
        <v>L</v>
      </c>
      <c r="Q200" s="73">
        <f>IF(J200="","",IFERROR(INDEX(LMH_PTS,MATCH(J200,LMH_KEY,0))/SUM(IFERROR(INDEX(LMH_PTS,MATCH(J200,LMH_KEY,0)),0),IFERROR(INDEX(LMH_PTS,MATCH(K200,LMH_KEY,0)),0),IFERROR(INDEX(LMH_PTS,MATCH(L200,LMH_KEY,0)),0),IFERROR(INDEX(LMH_PTS,MATCH(M200,LMH_KEY,0)),0),IFERROR(INDEX(LMH_PTS,MATCH(N200,LMH_KEY,0)),0),IFERROR(INDEX(LMH_PTS,MATCH(O200,LMH_KEY,0)),0),IFERROR(INDEX(LMH_PTS,MATCH(P200,LMH_KEY,0)),0)),""))</f>
        <v>0.529411764705882</v>
      </c>
      <c r="R200" s="74">
        <f>IF(K200="","",IFERROR(INDEX(LMH_PTS,MATCH(K200,LMH_KEY,0))/SUM(IFERROR(INDEX(LMH_PTS,MATCH(J200,LMH_KEY,0)),0),IFERROR(INDEX(LMH_PTS,MATCH(K200,LMH_KEY,0)),0),IFERROR(INDEX(LMH_PTS,MATCH(L200,LMH_KEY,0)),0),IFERROR(INDEX(LMH_PTS,MATCH(M200,LMH_KEY,0)),0),IFERROR(INDEX(LMH_PTS,MATCH(N200,LMH_KEY,0)),0),IFERROR(INDEX(LMH_PTS,MATCH(O200,LMH_KEY,0)),0),IFERROR(INDEX(LMH_PTS,MATCH(P200,LMH_KEY,0)),0)),""))</f>
        <v>0.176470588235294</v>
      </c>
      <c r="S200" s="74">
        <f>IF(L200="","",IFERROR(INDEX(LMH_PTS,MATCH(L200,LMH_KEY,0))/SUM(IFERROR(INDEX(LMH_PTS,MATCH(J200,LMH_KEY,0)),0),IFERROR(INDEX(LMH_PTS,MATCH(K200,LMH_KEY,0)),0),IFERROR(INDEX(LMH_PTS,MATCH(L200,LMH_KEY,0)),0),IFERROR(INDEX(LMH_PTS,MATCH(M200,LMH_KEY,0)),0),IFERROR(INDEX(LMH_PTS,MATCH(N200,LMH_KEY,0)),0),IFERROR(INDEX(LMH_PTS,MATCH(O200,LMH_KEY,0)),0),IFERROR(INDEX(LMH_PTS,MATCH(P200,LMH_KEY,0)),0)),""))</f>
        <v>0.0588235294117647</v>
      </c>
      <c r="T200" s="74">
        <f>IF(M200="","",IFERROR(INDEX(LMH_PTS,MATCH(M200,LMH_KEY,0))/SUM(IFERROR(INDEX(LMH_PTS,MATCH(J200,LMH_KEY,0)),0),IFERROR(INDEX(LMH_PTS,MATCH(K200,LMH_KEY,0)),0),IFERROR(INDEX(LMH_PTS,MATCH(L200,LMH_KEY,0)),0),IFERROR(INDEX(LMH_PTS,MATCH(M200,LMH_KEY,0)),0),IFERROR(INDEX(LMH_PTS,MATCH(N200,LMH_KEY,0)),0),IFERROR(INDEX(LMH_PTS,MATCH(O200,LMH_KEY,0)),0),IFERROR(INDEX(LMH_PTS,MATCH(P200,LMH_KEY,0)),0)),""))</f>
        <v>0.0588235294117647</v>
      </c>
      <c r="U200" s="74">
        <f>IF(N200="","",IFERROR(INDEX(LMH_PTS,MATCH(N200,LMH_KEY,0))/SUM(IFERROR(INDEX(LMH_PTS,MATCH(J200,LMH_KEY,0)),0),IFERROR(INDEX(LMH_PTS,MATCH(K200,LMH_KEY,0)),0),IFERROR(INDEX(LMH_PTS,MATCH(L200,LMH_KEY,0)),0),IFERROR(INDEX(LMH_PTS,MATCH(M200,LMH_KEY,0)),0),IFERROR(INDEX(LMH_PTS,MATCH(N200,LMH_KEY,0)),0),IFERROR(INDEX(LMH_PTS,MATCH(O200,LMH_KEY,0)),0),IFERROR(INDEX(LMH_PTS,MATCH(P200,LMH_KEY,0)),0)),""))</f>
        <v>0.0588235294117647</v>
      </c>
      <c r="V200" s="74">
        <f>IF(O200="","",IFERROR(INDEX(LMH_PTS,MATCH(O200,LMH_KEY,0))/SUM(IFERROR(INDEX(LMH_PTS,MATCH(J200,LMH_KEY,0)),0),IFERROR(INDEX(LMH_PTS,MATCH(K200,LMH_KEY,0)),0),IFERROR(INDEX(LMH_PTS,MATCH(L200,LMH_KEY,0)),0),IFERROR(INDEX(LMH_PTS,MATCH(M200,LMH_KEY,0)),0),IFERROR(INDEX(LMH_PTS,MATCH(N200,LMH_KEY,0)),0),IFERROR(INDEX(LMH_PTS,MATCH(O200,LMH_KEY,0)),0),IFERROR(INDEX(LMH_PTS,MATCH(P200,LMH_KEY,0)),0)),""))</f>
        <v>0.0588235294117647</v>
      </c>
      <c r="W200" s="74">
        <f>IF(P200="","",IFERROR(INDEX(LMH_PTS,MATCH(P200,LMH_KEY,0))/SUM(IFERROR(INDEX(LMH_PTS,MATCH(J200,LMH_KEY,0)),0),IFERROR(INDEX(LMH_PTS,MATCH(K200,LMH_KEY,0)),0),IFERROR(INDEX(LMH_PTS,MATCH(L200,LMH_KEY,0)),0),IFERROR(INDEX(LMH_PTS,MATCH(M200,LMH_KEY,0)),0),IFERROR(INDEX(LMH_PTS,MATCH(N200,LMH_KEY,0)),0),IFERROR(INDEX(LMH_PTS,MATCH(O200,LMH_KEY,0)),0),IFERROR(INDEX(LMH_PTS,MATCH(P200,LMH_KEY,0)),0)),""))</f>
        <v>0.0588235294117647</v>
      </c>
      <c r="X200" s="44" t="n"/>
      <c r="Y200" s="38" t="inlineStr">
        <is>
          <t>iFile|Technology|Database Specialist|A3|A</t>
        </is>
      </c>
    </row>
    <row r="201" ht="18" customHeight="1">
      <c r="A201" s="28" t="inlineStr">
        <is>
          <t>iFile</t>
        </is>
      </c>
      <c r="B201" s="29" t="inlineStr">
        <is>
          <t>Technology</t>
        </is>
      </c>
      <c r="C201" s="75" t="inlineStr">
        <is>
          <t>A3</t>
        </is>
      </c>
      <c r="D201" s="29" t="inlineStr">
        <is>
          <t>Band A · Practitioner</t>
        </is>
      </c>
      <c r="E201" s="29" t="inlineStr">
        <is>
          <t>Senior AI/ML Engineer</t>
        </is>
      </c>
      <c r="F201" s="29" t="inlineStr">
        <is>
          <t>Band A · all tracks</t>
        </is>
      </c>
      <c r="G201" s="29" t="inlineStr">
        <is>
          <t>Engineering &amp; Development</t>
        </is>
      </c>
      <c r="H201" s="29" t="n">
        <v>2</v>
      </c>
      <c r="I201" s="29" t="inlineStr">
        <is>
          <t>Saurabh Padalkar, Yash Chikane</t>
        </is>
      </c>
      <c r="J201" s="34" t="str">
        <f>IFERROR(INDEX(RBD_C,MATCH("Engineering &amp; Development|A3|A",RBD_KEY,0)),"M")</f>
        <v>H</v>
      </c>
      <c r="K201" s="35" t="str">
        <f>IFERROR(INDEX(RBD_Au,MATCH("Engineering &amp; Development|A3|A",RBD_KEY,0)),"M")</f>
        <v>M</v>
      </c>
      <c r="L201" s="35" t="str">
        <f>IFERROR(INDEX(RBD_Ac,MATCH("Engineering &amp; Development|A3|A",RBD_KEY,0)),"M")</f>
        <v>L</v>
      </c>
      <c r="M201" s="35" t="str">
        <f>IFERROR(INDEX(RBD_L,MATCH("Engineering &amp; Development|A3|A",RBD_KEY,0)),"M")</f>
        <v>L</v>
      </c>
      <c r="N201" s="35" t="str">
        <f>IFERROR(INDEX(RBD_BI,MATCH("Engineering &amp; Development|A3|A",RBD_KEY,0)),"M")</f>
        <v>L</v>
      </c>
      <c r="O201" s="35" t="str">
        <f>IFERROR(INDEX(RBD_Exp,MATCH("Engineering &amp; Development|A3|A",RBD_KEY,0)),"M")</f>
        <v>L</v>
      </c>
      <c r="P201" s="35" t="str">
        <f>IFERROR(INDEX(RBD_Edu,MATCH("Engineering &amp; Development|A3|A",RBD_KEY,0)),"M")</f>
        <v>L</v>
      </c>
      <c r="Q201" s="73">
        <f>IF(J201="","",IFERROR(INDEX(LMH_PTS,MATCH(J201,LMH_KEY,0))/SUM(IFERROR(INDEX(LMH_PTS,MATCH(J201,LMH_KEY,0)),0),IFERROR(INDEX(LMH_PTS,MATCH(K201,LMH_KEY,0)),0),IFERROR(INDEX(LMH_PTS,MATCH(L201,LMH_KEY,0)),0),IFERROR(INDEX(LMH_PTS,MATCH(M201,LMH_KEY,0)),0),IFERROR(INDEX(LMH_PTS,MATCH(N201,LMH_KEY,0)),0),IFERROR(INDEX(LMH_PTS,MATCH(O201,LMH_KEY,0)),0),IFERROR(INDEX(LMH_PTS,MATCH(P201,LMH_KEY,0)),0)),""))</f>
        <v>0.529411764705882</v>
      </c>
      <c r="R201" s="74">
        <f>IF(K201="","",IFERROR(INDEX(LMH_PTS,MATCH(K201,LMH_KEY,0))/SUM(IFERROR(INDEX(LMH_PTS,MATCH(J201,LMH_KEY,0)),0),IFERROR(INDEX(LMH_PTS,MATCH(K201,LMH_KEY,0)),0),IFERROR(INDEX(LMH_PTS,MATCH(L201,LMH_KEY,0)),0),IFERROR(INDEX(LMH_PTS,MATCH(M201,LMH_KEY,0)),0),IFERROR(INDEX(LMH_PTS,MATCH(N201,LMH_KEY,0)),0),IFERROR(INDEX(LMH_PTS,MATCH(O201,LMH_KEY,0)),0),IFERROR(INDEX(LMH_PTS,MATCH(P201,LMH_KEY,0)),0)),""))</f>
        <v>0.176470588235294</v>
      </c>
      <c r="S201" s="74">
        <f>IF(L201="","",IFERROR(INDEX(LMH_PTS,MATCH(L201,LMH_KEY,0))/SUM(IFERROR(INDEX(LMH_PTS,MATCH(J201,LMH_KEY,0)),0),IFERROR(INDEX(LMH_PTS,MATCH(K201,LMH_KEY,0)),0),IFERROR(INDEX(LMH_PTS,MATCH(L201,LMH_KEY,0)),0),IFERROR(INDEX(LMH_PTS,MATCH(M201,LMH_KEY,0)),0),IFERROR(INDEX(LMH_PTS,MATCH(N201,LMH_KEY,0)),0),IFERROR(INDEX(LMH_PTS,MATCH(O201,LMH_KEY,0)),0),IFERROR(INDEX(LMH_PTS,MATCH(P201,LMH_KEY,0)),0)),""))</f>
        <v>0.0588235294117647</v>
      </c>
      <c r="T201" s="74">
        <f>IF(M201="","",IFERROR(INDEX(LMH_PTS,MATCH(M201,LMH_KEY,0))/SUM(IFERROR(INDEX(LMH_PTS,MATCH(J201,LMH_KEY,0)),0),IFERROR(INDEX(LMH_PTS,MATCH(K201,LMH_KEY,0)),0),IFERROR(INDEX(LMH_PTS,MATCH(L201,LMH_KEY,0)),0),IFERROR(INDEX(LMH_PTS,MATCH(M201,LMH_KEY,0)),0),IFERROR(INDEX(LMH_PTS,MATCH(N201,LMH_KEY,0)),0),IFERROR(INDEX(LMH_PTS,MATCH(O201,LMH_KEY,0)),0),IFERROR(INDEX(LMH_PTS,MATCH(P201,LMH_KEY,0)),0)),""))</f>
        <v>0.0588235294117647</v>
      </c>
      <c r="U201" s="74">
        <f>IF(N201="","",IFERROR(INDEX(LMH_PTS,MATCH(N201,LMH_KEY,0))/SUM(IFERROR(INDEX(LMH_PTS,MATCH(J201,LMH_KEY,0)),0),IFERROR(INDEX(LMH_PTS,MATCH(K201,LMH_KEY,0)),0),IFERROR(INDEX(LMH_PTS,MATCH(L201,LMH_KEY,0)),0),IFERROR(INDEX(LMH_PTS,MATCH(M201,LMH_KEY,0)),0),IFERROR(INDEX(LMH_PTS,MATCH(N201,LMH_KEY,0)),0),IFERROR(INDEX(LMH_PTS,MATCH(O201,LMH_KEY,0)),0),IFERROR(INDEX(LMH_PTS,MATCH(P201,LMH_KEY,0)),0)),""))</f>
        <v>0.0588235294117647</v>
      </c>
      <c r="V201" s="74">
        <f>IF(O201="","",IFERROR(INDEX(LMH_PTS,MATCH(O201,LMH_KEY,0))/SUM(IFERROR(INDEX(LMH_PTS,MATCH(J201,LMH_KEY,0)),0),IFERROR(INDEX(LMH_PTS,MATCH(K201,LMH_KEY,0)),0),IFERROR(INDEX(LMH_PTS,MATCH(L201,LMH_KEY,0)),0),IFERROR(INDEX(LMH_PTS,MATCH(M201,LMH_KEY,0)),0),IFERROR(INDEX(LMH_PTS,MATCH(N201,LMH_KEY,0)),0),IFERROR(INDEX(LMH_PTS,MATCH(O201,LMH_KEY,0)),0),IFERROR(INDEX(LMH_PTS,MATCH(P201,LMH_KEY,0)),0)),""))</f>
        <v>0.0588235294117647</v>
      </c>
      <c r="W201" s="74">
        <f>IF(P201="","",IFERROR(INDEX(LMH_PTS,MATCH(P201,LMH_KEY,0))/SUM(IFERROR(INDEX(LMH_PTS,MATCH(J201,LMH_KEY,0)),0),IFERROR(INDEX(LMH_PTS,MATCH(K201,LMH_KEY,0)),0),IFERROR(INDEX(LMH_PTS,MATCH(L201,LMH_KEY,0)),0),IFERROR(INDEX(LMH_PTS,MATCH(M201,LMH_KEY,0)),0),IFERROR(INDEX(LMH_PTS,MATCH(N201,LMH_KEY,0)),0),IFERROR(INDEX(LMH_PTS,MATCH(O201,LMH_KEY,0)),0),IFERROR(INDEX(LMH_PTS,MATCH(P201,LMH_KEY,0)),0)),""))</f>
        <v>0.0588235294117647</v>
      </c>
      <c r="X201" s="44" t="n"/>
      <c r="Y201" s="38" t="inlineStr">
        <is>
          <t>iFile|Technology|Senior AI/ML Engineer|A3|A</t>
        </is>
      </c>
    </row>
    <row r="202" ht="28" customHeight="1">
      <c r="A202" s="28" t="inlineStr">
        <is>
          <t>iFile</t>
        </is>
      </c>
      <c r="B202" s="29" t="inlineStr">
        <is>
          <t>Technology</t>
        </is>
      </c>
      <c r="C202" s="75" t="inlineStr">
        <is>
          <t>A3</t>
        </is>
      </c>
      <c r="D202" s="29" t="inlineStr">
        <is>
          <t>Band A · Practitioner</t>
        </is>
      </c>
      <c r="E202" s="29" t="inlineStr">
        <is>
          <t>Senior Business Analyst</t>
        </is>
      </c>
      <c r="F202" s="29" t="inlineStr">
        <is>
          <t>Band A · all tracks</t>
        </is>
      </c>
      <c r="G202" s="29" t="inlineStr">
        <is>
          <t>Business Analysis</t>
        </is>
      </c>
      <c r="H202" s="29" t="n">
        <v>4</v>
      </c>
      <c r="I202" s="29" t="inlineStr">
        <is>
          <t>Neha Singh, Prajakta Chavan, Angitha A, Ankita Karale</t>
        </is>
      </c>
      <c r="J202" s="34" t="str">
        <f>IFERROR(INDEX(RBD_C,MATCH("Business Analysis|A3|A",RBD_KEY,0)),"M")</f>
        <v>H</v>
      </c>
      <c r="K202" s="35" t="str">
        <f>IFERROR(INDEX(RBD_Au,MATCH("Business Analysis|A3|A",RBD_KEY,0)),"M")</f>
        <v>M</v>
      </c>
      <c r="L202" s="35" t="str">
        <f>IFERROR(INDEX(RBD_Ac,MATCH("Business Analysis|A3|A",RBD_KEY,0)),"M")</f>
        <v>L</v>
      </c>
      <c r="M202" s="35" t="str">
        <f>IFERROR(INDEX(RBD_L,MATCH("Business Analysis|A3|A",RBD_KEY,0)),"M")</f>
        <v>L</v>
      </c>
      <c r="N202" s="35" t="str">
        <f>IFERROR(INDEX(RBD_BI,MATCH("Business Analysis|A3|A",RBD_KEY,0)),"M")</f>
        <v>L</v>
      </c>
      <c r="O202" s="35" t="str">
        <f>IFERROR(INDEX(RBD_Exp,MATCH("Business Analysis|A3|A",RBD_KEY,0)),"M")</f>
        <v>L</v>
      </c>
      <c r="P202" s="35" t="str">
        <f>IFERROR(INDEX(RBD_Edu,MATCH("Business Analysis|A3|A",RBD_KEY,0)),"M")</f>
        <v>L</v>
      </c>
      <c r="Q202" s="73">
        <f>IF(J202="","",IFERROR(INDEX(LMH_PTS,MATCH(J202,LMH_KEY,0))/SUM(IFERROR(INDEX(LMH_PTS,MATCH(J202,LMH_KEY,0)),0),IFERROR(INDEX(LMH_PTS,MATCH(K202,LMH_KEY,0)),0),IFERROR(INDEX(LMH_PTS,MATCH(L202,LMH_KEY,0)),0),IFERROR(INDEX(LMH_PTS,MATCH(M202,LMH_KEY,0)),0),IFERROR(INDEX(LMH_PTS,MATCH(N202,LMH_KEY,0)),0),IFERROR(INDEX(LMH_PTS,MATCH(O202,LMH_KEY,0)),0),IFERROR(INDEX(LMH_PTS,MATCH(P202,LMH_KEY,0)),0)),""))</f>
        <v>0.529411764705882</v>
      </c>
      <c r="R202" s="74">
        <f>IF(K202="","",IFERROR(INDEX(LMH_PTS,MATCH(K202,LMH_KEY,0))/SUM(IFERROR(INDEX(LMH_PTS,MATCH(J202,LMH_KEY,0)),0),IFERROR(INDEX(LMH_PTS,MATCH(K202,LMH_KEY,0)),0),IFERROR(INDEX(LMH_PTS,MATCH(L202,LMH_KEY,0)),0),IFERROR(INDEX(LMH_PTS,MATCH(M202,LMH_KEY,0)),0),IFERROR(INDEX(LMH_PTS,MATCH(N202,LMH_KEY,0)),0),IFERROR(INDEX(LMH_PTS,MATCH(O202,LMH_KEY,0)),0),IFERROR(INDEX(LMH_PTS,MATCH(P202,LMH_KEY,0)),0)),""))</f>
        <v>0.176470588235294</v>
      </c>
      <c r="S202" s="74">
        <f>IF(L202="","",IFERROR(INDEX(LMH_PTS,MATCH(L202,LMH_KEY,0))/SUM(IFERROR(INDEX(LMH_PTS,MATCH(J202,LMH_KEY,0)),0),IFERROR(INDEX(LMH_PTS,MATCH(K202,LMH_KEY,0)),0),IFERROR(INDEX(LMH_PTS,MATCH(L202,LMH_KEY,0)),0),IFERROR(INDEX(LMH_PTS,MATCH(M202,LMH_KEY,0)),0),IFERROR(INDEX(LMH_PTS,MATCH(N202,LMH_KEY,0)),0),IFERROR(INDEX(LMH_PTS,MATCH(O202,LMH_KEY,0)),0),IFERROR(INDEX(LMH_PTS,MATCH(P202,LMH_KEY,0)),0)),""))</f>
        <v>0.0588235294117647</v>
      </c>
      <c r="T202" s="74">
        <f>IF(M202="","",IFERROR(INDEX(LMH_PTS,MATCH(M202,LMH_KEY,0))/SUM(IFERROR(INDEX(LMH_PTS,MATCH(J202,LMH_KEY,0)),0),IFERROR(INDEX(LMH_PTS,MATCH(K202,LMH_KEY,0)),0),IFERROR(INDEX(LMH_PTS,MATCH(L202,LMH_KEY,0)),0),IFERROR(INDEX(LMH_PTS,MATCH(M202,LMH_KEY,0)),0),IFERROR(INDEX(LMH_PTS,MATCH(N202,LMH_KEY,0)),0),IFERROR(INDEX(LMH_PTS,MATCH(O202,LMH_KEY,0)),0),IFERROR(INDEX(LMH_PTS,MATCH(P202,LMH_KEY,0)),0)),""))</f>
        <v>0.0588235294117647</v>
      </c>
      <c r="U202" s="74">
        <f>IF(N202="","",IFERROR(INDEX(LMH_PTS,MATCH(N202,LMH_KEY,0))/SUM(IFERROR(INDEX(LMH_PTS,MATCH(J202,LMH_KEY,0)),0),IFERROR(INDEX(LMH_PTS,MATCH(K202,LMH_KEY,0)),0),IFERROR(INDEX(LMH_PTS,MATCH(L202,LMH_KEY,0)),0),IFERROR(INDEX(LMH_PTS,MATCH(M202,LMH_KEY,0)),0),IFERROR(INDEX(LMH_PTS,MATCH(N202,LMH_KEY,0)),0),IFERROR(INDEX(LMH_PTS,MATCH(O202,LMH_KEY,0)),0),IFERROR(INDEX(LMH_PTS,MATCH(P202,LMH_KEY,0)),0)),""))</f>
        <v>0.0588235294117647</v>
      </c>
      <c r="V202" s="74">
        <f>IF(O202="","",IFERROR(INDEX(LMH_PTS,MATCH(O202,LMH_KEY,0))/SUM(IFERROR(INDEX(LMH_PTS,MATCH(J202,LMH_KEY,0)),0),IFERROR(INDEX(LMH_PTS,MATCH(K202,LMH_KEY,0)),0),IFERROR(INDEX(LMH_PTS,MATCH(L202,LMH_KEY,0)),0),IFERROR(INDEX(LMH_PTS,MATCH(M202,LMH_KEY,0)),0),IFERROR(INDEX(LMH_PTS,MATCH(N202,LMH_KEY,0)),0),IFERROR(INDEX(LMH_PTS,MATCH(O202,LMH_KEY,0)),0),IFERROR(INDEX(LMH_PTS,MATCH(P202,LMH_KEY,0)),0)),""))</f>
        <v>0.0588235294117647</v>
      </c>
      <c r="W202" s="74">
        <f>IF(P202="","",IFERROR(INDEX(LMH_PTS,MATCH(P202,LMH_KEY,0))/SUM(IFERROR(INDEX(LMH_PTS,MATCH(J202,LMH_KEY,0)),0),IFERROR(INDEX(LMH_PTS,MATCH(K202,LMH_KEY,0)),0),IFERROR(INDEX(LMH_PTS,MATCH(L202,LMH_KEY,0)),0),IFERROR(INDEX(LMH_PTS,MATCH(M202,LMH_KEY,0)),0),IFERROR(INDEX(LMH_PTS,MATCH(N202,LMH_KEY,0)),0),IFERROR(INDEX(LMH_PTS,MATCH(O202,LMH_KEY,0)),0),IFERROR(INDEX(LMH_PTS,MATCH(P202,LMH_KEY,0)),0)),""))</f>
        <v>0.0588235294117647</v>
      </c>
      <c r="X202" s="44" t="n"/>
      <c r="Y202" s="38" t="inlineStr">
        <is>
          <t>iFile|Technology|Senior Business Analyst|A3|A</t>
        </is>
      </c>
    </row>
    <row r="203" ht="18" customHeight="1">
      <c r="A203" s="28" t="inlineStr">
        <is>
          <t>iFile</t>
        </is>
      </c>
      <c r="B203" s="29" t="inlineStr">
        <is>
          <t>Technology</t>
        </is>
      </c>
      <c r="C203" s="75" t="inlineStr">
        <is>
          <t>A3</t>
        </is>
      </c>
      <c r="D203" s="29" t="inlineStr">
        <is>
          <t>Band A · Practitioner</t>
        </is>
      </c>
      <c r="E203" s="29" t="inlineStr">
        <is>
          <t>Senior Database Engineer</t>
        </is>
      </c>
      <c r="F203" s="29" t="inlineStr">
        <is>
          <t>Band A · all tracks</t>
        </is>
      </c>
      <c r="G203" s="29" t="inlineStr">
        <is>
          <t>Engineering &amp; Development</t>
        </is>
      </c>
      <c r="H203" s="29" t="n">
        <v>2</v>
      </c>
      <c r="I203" s="29" t="inlineStr">
        <is>
          <t>Yash Raj, Akbar Basha</t>
        </is>
      </c>
      <c r="J203" s="34" t="str">
        <f>IFERROR(INDEX(RBD_C,MATCH("Engineering &amp; Development|A3|A",RBD_KEY,0)),"M")</f>
        <v>H</v>
      </c>
      <c r="K203" s="35" t="str">
        <f>IFERROR(INDEX(RBD_Au,MATCH("Engineering &amp; Development|A3|A",RBD_KEY,0)),"M")</f>
        <v>M</v>
      </c>
      <c r="L203" s="35" t="str">
        <f>IFERROR(INDEX(RBD_Ac,MATCH("Engineering &amp; Development|A3|A",RBD_KEY,0)),"M")</f>
        <v>L</v>
      </c>
      <c r="M203" s="35" t="str">
        <f>IFERROR(INDEX(RBD_L,MATCH("Engineering &amp; Development|A3|A",RBD_KEY,0)),"M")</f>
        <v>L</v>
      </c>
      <c r="N203" s="35" t="str">
        <f>IFERROR(INDEX(RBD_BI,MATCH("Engineering &amp; Development|A3|A",RBD_KEY,0)),"M")</f>
        <v>L</v>
      </c>
      <c r="O203" s="35" t="str">
        <f>IFERROR(INDEX(RBD_Exp,MATCH("Engineering &amp; Development|A3|A",RBD_KEY,0)),"M")</f>
        <v>L</v>
      </c>
      <c r="P203" s="35" t="str">
        <f>IFERROR(INDEX(RBD_Edu,MATCH("Engineering &amp; Development|A3|A",RBD_KEY,0)),"M")</f>
        <v>L</v>
      </c>
      <c r="Q203" s="73">
        <f>IF(J203="","",IFERROR(INDEX(LMH_PTS,MATCH(J203,LMH_KEY,0))/SUM(IFERROR(INDEX(LMH_PTS,MATCH(J203,LMH_KEY,0)),0),IFERROR(INDEX(LMH_PTS,MATCH(K203,LMH_KEY,0)),0),IFERROR(INDEX(LMH_PTS,MATCH(L203,LMH_KEY,0)),0),IFERROR(INDEX(LMH_PTS,MATCH(M203,LMH_KEY,0)),0),IFERROR(INDEX(LMH_PTS,MATCH(N203,LMH_KEY,0)),0),IFERROR(INDEX(LMH_PTS,MATCH(O203,LMH_KEY,0)),0),IFERROR(INDEX(LMH_PTS,MATCH(P203,LMH_KEY,0)),0)),""))</f>
        <v>0.529411764705882</v>
      </c>
      <c r="R203" s="74">
        <f>IF(K203="","",IFERROR(INDEX(LMH_PTS,MATCH(K203,LMH_KEY,0))/SUM(IFERROR(INDEX(LMH_PTS,MATCH(J203,LMH_KEY,0)),0),IFERROR(INDEX(LMH_PTS,MATCH(K203,LMH_KEY,0)),0),IFERROR(INDEX(LMH_PTS,MATCH(L203,LMH_KEY,0)),0),IFERROR(INDEX(LMH_PTS,MATCH(M203,LMH_KEY,0)),0),IFERROR(INDEX(LMH_PTS,MATCH(N203,LMH_KEY,0)),0),IFERROR(INDEX(LMH_PTS,MATCH(O203,LMH_KEY,0)),0),IFERROR(INDEX(LMH_PTS,MATCH(P203,LMH_KEY,0)),0)),""))</f>
        <v>0.176470588235294</v>
      </c>
      <c r="S203" s="74">
        <f>IF(L203="","",IFERROR(INDEX(LMH_PTS,MATCH(L203,LMH_KEY,0))/SUM(IFERROR(INDEX(LMH_PTS,MATCH(J203,LMH_KEY,0)),0),IFERROR(INDEX(LMH_PTS,MATCH(K203,LMH_KEY,0)),0),IFERROR(INDEX(LMH_PTS,MATCH(L203,LMH_KEY,0)),0),IFERROR(INDEX(LMH_PTS,MATCH(M203,LMH_KEY,0)),0),IFERROR(INDEX(LMH_PTS,MATCH(N203,LMH_KEY,0)),0),IFERROR(INDEX(LMH_PTS,MATCH(O203,LMH_KEY,0)),0),IFERROR(INDEX(LMH_PTS,MATCH(P203,LMH_KEY,0)),0)),""))</f>
        <v>0.0588235294117647</v>
      </c>
      <c r="T203" s="74">
        <f>IF(M203="","",IFERROR(INDEX(LMH_PTS,MATCH(M203,LMH_KEY,0))/SUM(IFERROR(INDEX(LMH_PTS,MATCH(J203,LMH_KEY,0)),0),IFERROR(INDEX(LMH_PTS,MATCH(K203,LMH_KEY,0)),0),IFERROR(INDEX(LMH_PTS,MATCH(L203,LMH_KEY,0)),0),IFERROR(INDEX(LMH_PTS,MATCH(M203,LMH_KEY,0)),0),IFERROR(INDEX(LMH_PTS,MATCH(N203,LMH_KEY,0)),0),IFERROR(INDEX(LMH_PTS,MATCH(O203,LMH_KEY,0)),0),IFERROR(INDEX(LMH_PTS,MATCH(P203,LMH_KEY,0)),0)),""))</f>
        <v>0.0588235294117647</v>
      </c>
      <c r="U203" s="74">
        <f>IF(N203="","",IFERROR(INDEX(LMH_PTS,MATCH(N203,LMH_KEY,0))/SUM(IFERROR(INDEX(LMH_PTS,MATCH(J203,LMH_KEY,0)),0),IFERROR(INDEX(LMH_PTS,MATCH(K203,LMH_KEY,0)),0),IFERROR(INDEX(LMH_PTS,MATCH(L203,LMH_KEY,0)),0),IFERROR(INDEX(LMH_PTS,MATCH(M203,LMH_KEY,0)),0),IFERROR(INDEX(LMH_PTS,MATCH(N203,LMH_KEY,0)),0),IFERROR(INDEX(LMH_PTS,MATCH(O203,LMH_KEY,0)),0),IFERROR(INDEX(LMH_PTS,MATCH(P203,LMH_KEY,0)),0)),""))</f>
        <v>0.0588235294117647</v>
      </c>
      <c r="V203" s="74">
        <f>IF(O203="","",IFERROR(INDEX(LMH_PTS,MATCH(O203,LMH_KEY,0))/SUM(IFERROR(INDEX(LMH_PTS,MATCH(J203,LMH_KEY,0)),0),IFERROR(INDEX(LMH_PTS,MATCH(K203,LMH_KEY,0)),0),IFERROR(INDEX(LMH_PTS,MATCH(L203,LMH_KEY,0)),0),IFERROR(INDEX(LMH_PTS,MATCH(M203,LMH_KEY,0)),0),IFERROR(INDEX(LMH_PTS,MATCH(N203,LMH_KEY,0)),0),IFERROR(INDEX(LMH_PTS,MATCH(O203,LMH_KEY,0)),0),IFERROR(INDEX(LMH_PTS,MATCH(P203,LMH_KEY,0)),0)),""))</f>
        <v>0.0588235294117647</v>
      </c>
      <c r="W203" s="74">
        <f>IF(P203="","",IFERROR(INDEX(LMH_PTS,MATCH(P203,LMH_KEY,0))/SUM(IFERROR(INDEX(LMH_PTS,MATCH(J203,LMH_KEY,0)),0),IFERROR(INDEX(LMH_PTS,MATCH(K203,LMH_KEY,0)),0),IFERROR(INDEX(LMH_PTS,MATCH(L203,LMH_KEY,0)),0),IFERROR(INDEX(LMH_PTS,MATCH(M203,LMH_KEY,0)),0),IFERROR(INDEX(LMH_PTS,MATCH(N203,LMH_KEY,0)),0),IFERROR(INDEX(LMH_PTS,MATCH(O203,LMH_KEY,0)),0),IFERROR(INDEX(LMH_PTS,MATCH(P203,LMH_KEY,0)),0)),""))</f>
        <v>0.0588235294117647</v>
      </c>
      <c r="X203" s="44" t="n"/>
      <c r="Y203" s="38" t="inlineStr">
        <is>
          <t>iFile|Technology|Senior Database Engineer|A3|A</t>
        </is>
      </c>
    </row>
    <row r="204" ht="18" customHeight="1">
      <c r="A204" s="28" t="inlineStr">
        <is>
          <t>iFile</t>
        </is>
      </c>
      <c r="B204" s="29" t="inlineStr">
        <is>
          <t>Technology</t>
        </is>
      </c>
      <c r="C204" s="75" t="inlineStr">
        <is>
          <t>A3</t>
        </is>
      </c>
      <c r="D204" s="29" t="inlineStr">
        <is>
          <t>Band A · Practitioner</t>
        </is>
      </c>
      <c r="E204" s="29" t="inlineStr">
        <is>
          <t>Senior DevOps Engineer</t>
        </is>
      </c>
      <c r="F204" s="29" t="inlineStr">
        <is>
          <t>Band A · all tracks</t>
        </is>
      </c>
      <c r="G204" s="29" t="inlineStr">
        <is>
          <t>Engineering &amp; Development</t>
        </is>
      </c>
      <c r="H204" s="29" t="n">
        <v>1</v>
      </c>
      <c r="I204" s="29" t="inlineStr">
        <is>
          <t>Akhilesh Gore</t>
        </is>
      </c>
      <c r="J204" s="34" t="str">
        <f>IFERROR(INDEX(RBD_C,MATCH("Engineering &amp; Development|A3|A",RBD_KEY,0)),"M")</f>
        <v>H</v>
      </c>
      <c r="K204" s="35" t="str">
        <f>IFERROR(INDEX(RBD_Au,MATCH("Engineering &amp; Development|A3|A",RBD_KEY,0)),"M")</f>
        <v>M</v>
      </c>
      <c r="L204" s="35" t="str">
        <f>IFERROR(INDEX(RBD_Ac,MATCH("Engineering &amp; Development|A3|A",RBD_KEY,0)),"M")</f>
        <v>L</v>
      </c>
      <c r="M204" s="35" t="str">
        <f>IFERROR(INDEX(RBD_L,MATCH("Engineering &amp; Development|A3|A",RBD_KEY,0)),"M")</f>
        <v>L</v>
      </c>
      <c r="N204" s="35" t="str">
        <f>IFERROR(INDEX(RBD_BI,MATCH("Engineering &amp; Development|A3|A",RBD_KEY,0)),"M")</f>
        <v>L</v>
      </c>
      <c r="O204" s="35" t="str">
        <f>IFERROR(INDEX(RBD_Exp,MATCH("Engineering &amp; Development|A3|A",RBD_KEY,0)),"M")</f>
        <v>L</v>
      </c>
      <c r="P204" s="35" t="str">
        <f>IFERROR(INDEX(RBD_Edu,MATCH("Engineering &amp; Development|A3|A",RBD_KEY,0)),"M")</f>
        <v>L</v>
      </c>
      <c r="Q204" s="73">
        <f>IF(J204="","",IFERROR(INDEX(LMH_PTS,MATCH(J204,LMH_KEY,0))/SUM(IFERROR(INDEX(LMH_PTS,MATCH(J204,LMH_KEY,0)),0),IFERROR(INDEX(LMH_PTS,MATCH(K204,LMH_KEY,0)),0),IFERROR(INDEX(LMH_PTS,MATCH(L204,LMH_KEY,0)),0),IFERROR(INDEX(LMH_PTS,MATCH(M204,LMH_KEY,0)),0),IFERROR(INDEX(LMH_PTS,MATCH(N204,LMH_KEY,0)),0),IFERROR(INDEX(LMH_PTS,MATCH(O204,LMH_KEY,0)),0),IFERROR(INDEX(LMH_PTS,MATCH(P204,LMH_KEY,0)),0)),""))</f>
        <v>0.529411764705882</v>
      </c>
      <c r="R204" s="74">
        <f>IF(K204="","",IFERROR(INDEX(LMH_PTS,MATCH(K204,LMH_KEY,0))/SUM(IFERROR(INDEX(LMH_PTS,MATCH(J204,LMH_KEY,0)),0),IFERROR(INDEX(LMH_PTS,MATCH(K204,LMH_KEY,0)),0),IFERROR(INDEX(LMH_PTS,MATCH(L204,LMH_KEY,0)),0),IFERROR(INDEX(LMH_PTS,MATCH(M204,LMH_KEY,0)),0),IFERROR(INDEX(LMH_PTS,MATCH(N204,LMH_KEY,0)),0),IFERROR(INDEX(LMH_PTS,MATCH(O204,LMH_KEY,0)),0),IFERROR(INDEX(LMH_PTS,MATCH(P204,LMH_KEY,0)),0)),""))</f>
        <v>0.176470588235294</v>
      </c>
      <c r="S204" s="74">
        <f>IF(L204="","",IFERROR(INDEX(LMH_PTS,MATCH(L204,LMH_KEY,0))/SUM(IFERROR(INDEX(LMH_PTS,MATCH(J204,LMH_KEY,0)),0),IFERROR(INDEX(LMH_PTS,MATCH(K204,LMH_KEY,0)),0),IFERROR(INDEX(LMH_PTS,MATCH(L204,LMH_KEY,0)),0),IFERROR(INDEX(LMH_PTS,MATCH(M204,LMH_KEY,0)),0),IFERROR(INDEX(LMH_PTS,MATCH(N204,LMH_KEY,0)),0),IFERROR(INDEX(LMH_PTS,MATCH(O204,LMH_KEY,0)),0),IFERROR(INDEX(LMH_PTS,MATCH(P204,LMH_KEY,0)),0)),""))</f>
        <v>0.0588235294117647</v>
      </c>
      <c r="T204" s="74">
        <f>IF(M204="","",IFERROR(INDEX(LMH_PTS,MATCH(M204,LMH_KEY,0))/SUM(IFERROR(INDEX(LMH_PTS,MATCH(J204,LMH_KEY,0)),0),IFERROR(INDEX(LMH_PTS,MATCH(K204,LMH_KEY,0)),0),IFERROR(INDEX(LMH_PTS,MATCH(L204,LMH_KEY,0)),0),IFERROR(INDEX(LMH_PTS,MATCH(M204,LMH_KEY,0)),0),IFERROR(INDEX(LMH_PTS,MATCH(N204,LMH_KEY,0)),0),IFERROR(INDEX(LMH_PTS,MATCH(O204,LMH_KEY,0)),0),IFERROR(INDEX(LMH_PTS,MATCH(P204,LMH_KEY,0)),0)),""))</f>
        <v>0.0588235294117647</v>
      </c>
      <c r="U204" s="74">
        <f>IF(N204="","",IFERROR(INDEX(LMH_PTS,MATCH(N204,LMH_KEY,0))/SUM(IFERROR(INDEX(LMH_PTS,MATCH(J204,LMH_KEY,0)),0),IFERROR(INDEX(LMH_PTS,MATCH(K204,LMH_KEY,0)),0),IFERROR(INDEX(LMH_PTS,MATCH(L204,LMH_KEY,0)),0),IFERROR(INDEX(LMH_PTS,MATCH(M204,LMH_KEY,0)),0),IFERROR(INDEX(LMH_PTS,MATCH(N204,LMH_KEY,0)),0),IFERROR(INDEX(LMH_PTS,MATCH(O204,LMH_KEY,0)),0),IFERROR(INDEX(LMH_PTS,MATCH(P204,LMH_KEY,0)),0)),""))</f>
        <v>0.0588235294117647</v>
      </c>
      <c r="V204" s="74">
        <f>IF(O204="","",IFERROR(INDEX(LMH_PTS,MATCH(O204,LMH_KEY,0))/SUM(IFERROR(INDEX(LMH_PTS,MATCH(J204,LMH_KEY,0)),0),IFERROR(INDEX(LMH_PTS,MATCH(K204,LMH_KEY,0)),0),IFERROR(INDEX(LMH_PTS,MATCH(L204,LMH_KEY,0)),0),IFERROR(INDEX(LMH_PTS,MATCH(M204,LMH_KEY,0)),0),IFERROR(INDEX(LMH_PTS,MATCH(N204,LMH_KEY,0)),0),IFERROR(INDEX(LMH_PTS,MATCH(O204,LMH_KEY,0)),0),IFERROR(INDEX(LMH_PTS,MATCH(P204,LMH_KEY,0)),0)),""))</f>
        <v>0.0588235294117647</v>
      </c>
      <c r="W204" s="74">
        <f>IF(P204="","",IFERROR(INDEX(LMH_PTS,MATCH(P204,LMH_KEY,0))/SUM(IFERROR(INDEX(LMH_PTS,MATCH(J204,LMH_KEY,0)),0),IFERROR(INDEX(LMH_PTS,MATCH(K204,LMH_KEY,0)),0),IFERROR(INDEX(LMH_PTS,MATCH(L204,LMH_KEY,0)),0),IFERROR(INDEX(LMH_PTS,MATCH(M204,LMH_KEY,0)),0),IFERROR(INDEX(LMH_PTS,MATCH(N204,LMH_KEY,0)),0),IFERROR(INDEX(LMH_PTS,MATCH(O204,LMH_KEY,0)),0),IFERROR(INDEX(LMH_PTS,MATCH(P204,LMH_KEY,0)),0)),""))</f>
        <v>0.0588235294117647</v>
      </c>
      <c r="X204" s="44" t="n"/>
      <c r="Y204" s="38" t="inlineStr">
        <is>
          <t>iFile|Technology|Senior DevOps Engineer|A3|A</t>
        </is>
      </c>
    </row>
    <row r="205" ht="120" customHeight="1">
      <c r="A205" s="28" t="inlineStr">
        <is>
          <t>iFile</t>
        </is>
      </c>
      <c r="B205" s="29" t="inlineStr">
        <is>
          <t>Technology</t>
        </is>
      </c>
      <c r="C205" s="75" t="inlineStr">
        <is>
          <t>A3</t>
        </is>
      </c>
      <c r="D205" s="29" t="inlineStr">
        <is>
          <t>Band A · Practitioner</t>
        </is>
      </c>
      <c r="E205" s="29" t="inlineStr">
        <is>
          <t>Senior Software Engineer</t>
        </is>
      </c>
      <c r="F205" s="29" t="inlineStr">
        <is>
          <t>Band A · all tracks</t>
        </is>
      </c>
      <c r="G205" s="29" t="inlineStr">
        <is>
          <t>Engineering &amp; Development</t>
        </is>
      </c>
      <c r="H205" s="29" t="n">
        <v>39</v>
      </c>
      <c r="I205" s="29" t="inlineStr">
        <is>
          <t>Hemalatha Visamsetti, Shubhangi Vaidya, Devkumar Nishad, Prajwal Chitode, Abhishek Patil, Kunal Sanjay Prasad, Pranay Usatkar, Harshal Chaudhari, Priyadarshini Naidu, Ritesh Gadekar, Mukesh Babulal Suthar, Abhishek Kadam, Govind Chidrawar, Siddharth Dhone, Nilesh Mohite, Sadhna Sahu, Sagar Soni, Sonal Bagul, Swati Patil, Rudransh Nemade, Saikiran Rowlo, Sandeep Mehta, Aaqib Ahmad, Ajay Chauhan, Amiz Azad, Balram Mahato, Gaurav Ghare, Khelendra Pratap Singh, Mahtab Shah, Pankaj Sharma, Saurabh Jaykumar Wanjari, Shubham Shrikhande, Viranchi Suresh Bhure, Amol Pawar, Harshal Wadode, Chetan Yerpude, Sahil Chavan, Shubham Mhadgut, Sourav Moharana</t>
        </is>
      </c>
      <c r="J205" s="34" t="str">
        <f>IFERROR(INDEX(RBD_C,MATCH("Engineering &amp; Development|A3|A",RBD_KEY,0)),"M")</f>
        <v>H</v>
      </c>
      <c r="K205" s="35" t="str">
        <f>IFERROR(INDEX(RBD_Au,MATCH("Engineering &amp; Development|A3|A",RBD_KEY,0)),"M")</f>
        <v>M</v>
      </c>
      <c r="L205" s="35" t="str">
        <f>IFERROR(INDEX(RBD_Ac,MATCH("Engineering &amp; Development|A3|A",RBD_KEY,0)),"M")</f>
        <v>L</v>
      </c>
      <c r="M205" s="35" t="str">
        <f>IFERROR(INDEX(RBD_L,MATCH("Engineering &amp; Development|A3|A",RBD_KEY,0)),"M")</f>
        <v>L</v>
      </c>
      <c r="N205" s="35" t="str">
        <f>IFERROR(INDEX(RBD_BI,MATCH("Engineering &amp; Development|A3|A",RBD_KEY,0)),"M")</f>
        <v>L</v>
      </c>
      <c r="O205" s="35" t="str">
        <f>IFERROR(INDEX(RBD_Exp,MATCH("Engineering &amp; Development|A3|A",RBD_KEY,0)),"M")</f>
        <v>L</v>
      </c>
      <c r="P205" s="35" t="str">
        <f>IFERROR(INDEX(RBD_Edu,MATCH("Engineering &amp; Development|A3|A",RBD_KEY,0)),"M")</f>
        <v>L</v>
      </c>
      <c r="Q205" s="73">
        <f>IF(J205="","",IFERROR(INDEX(LMH_PTS,MATCH(J205,LMH_KEY,0))/SUM(IFERROR(INDEX(LMH_PTS,MATCH(J205,LMH_KEY,0)),0),IFERROR(INDEX(LMH_PTS,MATCH(K205,LMH_KEY,0)),0),IFERROR(INDEX(LMH_PTS,MATCH(L205,LMH_KEY,0)),0),IFERROR(INDEX(LMH_PTS,MATCH(M205,LMH_KEY,0)),0),IFERROR(INDEX(LMH_PTS,MATCH(N205,LMH_KEY,0)),0),IFERROR(INDEX(LMH_PTS,MATCH(O205,LMH_KEY,0)),0),IFERROR(INDEX(LMH_PTS,MATCH(P205,LMH_KEY,0)),0)),""))</f>
        <v>0.529411764705882</v>
      </c>
      <c r="R205" s="74">
        <f>IF(K205="","",IFERROR(INDEX(LMH_PTS,MATCH(K205,LMH_KEY,0))/SUM(IFERROR(INDEX(LMH_PTS,MATCH(J205,LMH_KEY,0)),0),IFERROR(INDEX(LMH_PTS,MATCH(K205,LMH_KEY,0)),0),IFERROR(INDEX(LMH_PTS,MATCH(L205,LMH_KEY,0)),0),IFERROR(INDEX(LMH_PTS,MATCH(M205,LMH_KEY,0)),0),IFERROR(INDEX(LMH_PTS,MATCH(N205,LMH_KEY,0)),0),IFERROR(INDEX(LMH_PTS,MATCH(O205,LMH_KEY,0)),0),IFERROR(INDEX(LMH_PTS,MATCH(P205,LMH_KEY,0)),0)),""))</f>
        <v>0.176470588235294</v>
      </c>
      <c r="S205" s="74">
        <f>IF(L205="","",IFERROR(INDEX(LMH_PTS,MATCH(L205,LMH_KEY,0))/SUM(IFERROR(INDEX(LMH_PTS,MATCH(J205,LMH_KEY,0)),0),IFERROR(INDEX(LMH_PTS,MATCH(K205,LMH_KEY,0)),0),IFERROR(INDEX(LMH_PTS,MATCH(L205,LMH_KEY,0)),0),IFERROR(INDEX(LMH_PTS,MATCH(M205,LMH_KEY,0)),0),IFERROR(INDEX(LMH_PTS,MATCH(N205,LMH_KEY,0)),0),IFERROR(INDEX(LMH_PTS,MATCH(O205,LMH_KEY,0)),0),IFERROR(INDEX(LMH_PTS,MATCH(P205,LMH_KEY,0)),0)),""))</f>
        <v>0.0588235294117647</v>
      </c>
      <c r="T205" s="74">
        <f>IF(M205="","",IFERROR(INDEX(LMH_PTS,MATCH(M205,LMH_KEY,0))/SUM(IFERROR(INDEX(LMH_PTS,MATCH(J205,LMH_KEY,0)),0),IFERROR(INDEX(LMH_PTS,MATCH(K205,LMH_KEY,0)),0),IFERROR(INDEX(LMH_PTS,MATCH(L205,LMH_KEY,0)),0),IFERROR(INDEX(LMH_PTS,MATCH(M205,LMH_KEY,0)),0),IFERROR(INDEX(LMH_PTS,MATCH(N205,LMH_KEY,0)),0),IFERROR(INDEX(LMH_PTS,MATCH(O205,LMH_KEY,0)),0),IFERROR(INDEX(LMH_PTS,MATCH(P205,LMH_KEY,0)),0)),""))</f>
        <v>0.0588235294117647</v>
      </c>
      <c r="U205" s="74">
        <f>IF(N205="","",IFERROR(INDEX(LMH_PTS,MATCH(N205,LMH_KEY,0))/SUM(IFERROR(INDEX(LMH_PTS,MATCH(J205,LMH_KEY,0)),0),IFERROR(INDEX(LMH_PTS,MATCH(K205,LMH_KEY,0)),0),IFERROR(INDEX(LMH_PTS,MATCH(L205,LMH_KEY,0)),0),IFERROR(INDEX(LMH_PTS,MATCH(M205,LMH_KEY,0)),0),IFERROR(INDEX(LMH_PTS,MATCH(N205,LMH_KEY,0)),0),IFERROR(INDEX(LMH_PTS,MATCH(O205,LMH_KEY,0)),0),IFERROR(INDEX(LMH_PTS,MATCH(P205,LMH_KEY,0)),0)),""))</f>
        <v>0.0588235294117647</v>
      </c>
      <c r="V205" s="74">
        <f>IF(O205="","",IFERROR(INDEX(LMH_PTS,MATCH(O205,LMH_KEY,0))/SUM(IFERROR(INDEX(LMH_PTS,MATCH(J205,LMH_KEY,0)),0),IFERROR(INDEX(LMH_PTS,MATCH(K205,LMH_KEY,0)),0),IFERROR(INDEX(LMH_PTS,MATCH(L205,LMH_KEY,0)),0),IFERROR(INDEX(LMH_PTS,MATCH(M205,LMH_KEY,0)),0),IFERROR(INDEX(LMH_PTS,MATCH(N205,LMH_KEY,0)),0),IFERROR(INDEX(LMH_PTS,MATCH(O205,LMH_KEY,0)),0),IFERROR(INDEX(LMH_PTS,MATCH(P205,LMH_KEY,0)),0)),""))</f>
        <v>0.0588235294117647</v>
      </c>
      <c r="W205" s="74">
        <f>IF(P205="","",IFERROR(INDEX(LMH_PTS,MATCH(P205,LMH_KEY,0))/SUM(IFERROR(INDEX(LMH_PTS,MATCH(J205,LMH_KEY,0)),0),IFERROR(INDEX(LMH_PTS,MATCH(K205,LMH_KEY,0)),0),IFERROR(INDEX(LMH_PTS,MATCH(L205,LMH_KEY,0)),0),IFERROR(INDEX(LMH_PTS,MATCH(M205,LMH_KEY,0)),0),IFERROR(INDEX(LMH_PTS,MATCH(N205,LMH_KEY,0)),0),IFERROR(INDEX(LMH_PTS,MATCH(O205,LMH_KEY,0)),0),IFERROR(INDEX(LMH_PTS,MATCH(P205,LMH_KEY,0)),0)),""))</f>
        <v>0.0588235294117647</v>
      </c>
      <c r="X205" s="44" t="n"/>
      <c r="Y205" s="38" t="inlineStr">
        <is>
          <t>iFile|Technology|Senior Software Engineer|A3|A</t>
        </is>
      </c>
    </row>
    <row r="206" ht="40.5" customHeight="1">
      <c r="A206" s="28" t="inlineStr">
        <is>
          <t>iFile</t>
        </is>
      </c>
      <c r="B206" s="29" t="inlineStr">
        <is>
          <t>Technology</t>
        </is>
      </c>
      <c r="C206" s="75" t="inlineStr">
        <is>
          <t>A3</t>
        </is>
      </c>
      <c r="D206" s="29" t="inlineStr">
        <is>
          <t>Band A · Practitioner</t>
        </is>
      </c>
      <c r="E206" s="29" t="inlineStr">
        <is>
          <t>Senior UI Developer</t>
        </is>
      </c>
      <c r="F206" s="29" t="inlineStr">
        <is>
          <t>Band A · all tracks</t>
        </is>
      </c>
      <c r="G206" s="29" t="inlineStr">
        <is>
          <t>Engineering &amp; Development</t>
        </is>
      </c>
      <c r="H206" s="29" t="n">
        <v>4</v>
      </c>
      <c r="I206" s="29" t="inlineStr">
        <is>
          <t>Shritesh Aher, Shubham Yadav, Ghanshyam L Desale, Rajshree Bhosale</t>
        </is>
      </c>
      <c r="J206" s="34" t="str">
        <f>IFERROR(INDEX(RBD_C,MATCH("Engineering &amp; Development|A3|A",RBD_KEY,0)),"M")</f>
        <v>H</v>
      </c>
      <c r="K206" s="35" t="str">
        <f>IFERROR(INDEX(RBD_Au,MATCH("Engineering &amp; Development|A3|A",RBD_KEY,0)),"M")</f>
        <v>M</v>
      </c>
      <c r="L206" s="35" t="str">
        <f>IFERROR(INDEX(RBD_Ac,MATCH("Engineering &amp; Development|A3|A",RBD_KEY,0)),"M")</f>
        <v>L</v>
      </c>
      <c r="M206" s="35" t="str">
        <f>IFERROR(INDEX(RBD_L,MATCH("Engineering &amp; Development|A3|A",RBD_KEY,0)),"M")</f>
        <v>L</v>
      </c>
      <c r="N206" s="35" t="str">
        <f>IFERROR(INDEX(RBD_BI,MATCH("Engineering &amp; Development|A3|A",RBD_KEY,0)),"M")</f>
        <v>L</v>
      </c>
      <c r="O206" s="35" t="str">
        <f>IFERROR(INDEX(RBD_Exp,MATCH("Engineering &amp; Development|A3|A",RBD_KEY,0)),"M")</f>
        <v>L</v>
      </c>
      <c r="P206" s="35" t="str">
        <f>IFERROR(INDEX(RBD_Edu,MATCH("Engineering &amp; Development|A3|A",RBD_KEY,0)),"M")</f>
        <v>L</v>
      </c>
      <c r="Q206" s="73">
        <f>IF(J206="","",IFERROR(INDEX(LMH_PTS,MATCH(J206,LMH_KEY,0))/SUM(IFERROR(INDEX(LMH_PTS,MATCH(J206,LMH_KEY,0)),0),IFERROR(INDEX(LMH_PTS,MATCH(K206,LMH_KEY,0)),0),IFERROR(INDEX(LMH_PTS,MATCH(L206,LMH_KEY,0)),0),IFERROR(INDEX(LMH_PTS,MATCH(M206,LMH_KEY,0)),0),IFERROR(INDEX(LMH_PTS,MATCH(N206,LMH_KEY,0)),0),IFERROR(INDEX(LMH_PTS,MATCH(O206,LMH_KEY,0)),0),IFERROR(INDEX(LMH_PTS,MATCH(P206,LMH_KEY,0)),0)),""))</f>
        <v>0.529411764705882</v>
      </c>
      <c r="R206" s="74">
        <f>IF(K206="","",IFERROR(INDEX(LMH_PTS,MATCH(K206,LMH_KEY,0))/SUM(IFERROR(INDEX(LMH_PTS,MATCH(J206,LMH_KEY,0)),0),IFERROR(INDEX(LMH_PTS,MATCH(K206,LMH_KEY,0)),0),IFERROR(INDEX(LMH_PTS,MATCH(L206,LMH_KEY,0)),0),IFERROR(INDEX(LMH_PTS,MATCH(M206,LMH_KEY,0)),0),IFERROR(INDEX(LMH_PTS,MATCH(N206,LMH_KEY,0)),0),IFERROR(INDEX(LMH_PTS,MATCH(O206,LMH_KEY,0)),0),IFERROR(INDEX(LMH_PTS,MATCH(P206,LMH_KEY,0)),0)),""))</f>
        <v>0.176470588235294</v>
      </c>
      <c r="S206" s="74">
        <f>IF(L206="","",IFERROR(INDEX(LMH_PTS,MATCH(L206,LMH_KEY,0))/SUM(IFERROR(INDEX(LMH_PTS,MATCH(J206,LMH_KEY,0)),0),IFERROR(INDEX(LMH_PTS,MATCH(K206,LMH_KEY,0)),0),IFERROR(INDEX(LMH_PTS,MATCH(L206,LMH_KEY,0)),0),IFERROR(INDEX(LMH_PTS,MATCH(M206,LMH_KEY,0)),0),IFERROR(INDEX(LMH_PTS,MATCH(N206,LMH_KEY,0)),0),IFERROR(INDEX(LMH_PTS,MATCH(O206,LMH_KEY,0)),0),IFERROR(INDEX(LMH_PTS,MATCH(P206,LMH_KEY,0)),0)),""))</f>
        <v>0.0588235294117647</v>
      </c>
      <c r="T206" s="74">
        <f>IF(M206="","",IFERROR(INDEX(LMH_PTS,MATCH(M206,LMH_KEY,0))/SUM(IFERROR(INDEX(LMH_PTS,MATCH(J206,LMH_KEY,0)),0),IFERROR(INDEX(LMH_PTS,MATCH(K206,LMH_KEY,0)),0),IFERROR(INDEX(LMH_PTS,MATCH(L206,LMH_KEY,0)),0),IFERROR(INDEX(LMH_PTS,MATCH(M206,LMH_KEY,0)),0),IFERROR(INDEX(LMH_PTS,MATCH(N206,LMH_KEY,0)),0),IFERROR(INDEX(LMH_PTS,MATCH(O206,LMH_KEY,0)),0),IFERROR(INDEX(LMH_PTS,MATCH(P206,LMH_KEY,0)),0)),""))</f>
        <v>0.0588235294117647</v>
      </c>
      <c r="U206" s="74">
        <f>IF(N206="","",IFERROR(INDEX(LMH_PTS,MATCH(N206,LMH_KEY,0))/SUM(IFERROR(INDEX(LMH_PTS,MATCH(J206,LMH_KEY,0)),0),IFERROR(INDEX(LMH_PTS,MATCH(K206,LMH_KEY,0)),0),IFERROR(INDEX(LMH_PTS,MATCH(L206,LMH_KEY,0)),0),IFERROR(INDEX(LMH_PTS,MATCH(M206,LMH_KEY,0)),0),IFERROR(INDEX(LMH_PTS,MATCH(N206,LMH_KEY,0)),0),IFERROR(INDEX(LMH_PTS,MATCH(O206,LMH_KEY,0)),0),IFERROR(INDEX(LMH_PTS,MATCH(P206,LMH_KEY,0)),0)),""))</f>
        <v>0.0588235294117647</v>
      </c>
      <c r="V206" s="74">
        <f>IF(O206="","",IFERROR(INDEX(LMH_PTS,MATCH(O206,LMH_KEY,0))/SUM(IFERROR(INDEX(LMH_PTS,MATCH(J206,LMH_KEY,0)),0),IFERROR(INDEX(LMH_PTS,MATCH(K206,LMH_KEY,0)),0),IFERROR(INDEX(LMH_PTS,MATCH(L206,LMH_KEY,0)),0),IFERROR(INDEX(LMH_PTS,MATCH(M206,LMH_KEY,0)),0),IFERROR(INDEX(LMH_PTS,MATCH(N206,LMH_KEY,0)),0),IFERROR(INDEX(LMH_PTS,MATCH(O206,LMH_KEY,0)),0),IFERROR(INDEX(LMH_PTS,MATCH(P206,LMH_KEY,0)),0)),""))</f>
        <v>0.0588235294117647</v>
      </c>
      <c r="W206" s="74">
        <f>IF(P206="","",IFERROR(INDEX(LMH_PTS,MATCH(P206,LMH_KEY,0))/SUM(IFERROR(INDEX(LMH_PTS,MATCH(J206,LMH_KEY,0)),0),IFERROR(INDEX(LMH_PTS,MATCH(K206,LMH_KEY,0)),0),IFERROR(INDEX(LMH_PTS,MATCH(L206,LMH_KEY,0)),0),IFERROR(INDEX(LMH_PTS,MATCH(M206,LMH_KEY,0)),0),IFERROR(INDEX(LMH_PTS,MATCH(N206,LMH_KEY,0)),0),IFERROR(INDEX(LMH_PTS,MATCH(O206,LMH_KEY,0)),0),IFERROR(INDEX(LMH_PTS,MATCH(P206,LMH_KEY,0)),0)),""))</f>
        <v>0.0588235294117647</v>
      </c>
      <c r="X206" s="44" t="n"/>
      <c r="Y206" s="38" t="inlineStr">
        <is>
          <t>iFile|Technology|Senior UI Developer|A3|A</t>
        </is>
      </c>
    </row>
    <row r="207" ht="28" customHeight="1">
      <c r="A207" s="28" t="inlineStr">
        <is>
          <t>iFile</t>
        </is>
      </c>
      <c r="B207" s="29" t="inlineStr">
        <is>
          <t>Technology</t>
        </is>
      </c>
      <c r="C207" s="75" t="inlineStr">
        <is>
          <t>A3</t>
        </is>
      </c>
      <c r="D207" s="29" t="inlineStr">
        <is>
          <t>Band A · Practitioner</t>
        </is>
      </c>
      <c r="E207" s="29" t="inlineStr">
        <is>
          <t>Technical Specialist</t>
        </is>
      </c>
      <c r="F207" s="29" t="inlineStr">
        <is>
          <t>Band A · all tracks</t>
        </is>
      </c>
      <c r="G207" s="29" t="inlineStr">
        <is>
          <t>Engineering &amp; Development</t>
        </is>
      </c>
      <c r="H207" s="29" t="n">
        <v>3</v>
      </c>
      <c r="I207" s="29" t="inlineStr">
        <is>
          <t>Arun Kumar, Ateef Ansari, Anilkumar Aarumughan</t>
        </is>
      </c>
      <c r="J207" s="34" t="str">
        <f>IFERROR(INDEX(RBD_C,MATCH("Engineering &amp; Development|A3|A",RBD_KEY,0)),"M")</f>
        <v>H</v>
      </c>
      <c r="K207" s="35" t="str">
        <f>IFERROR(INDEX(RBD_Au,MATCH("Engineering &amp; Development|A3|A",RBD_KEY,0)),"M")</f>
        <v>M</v>
      </c>
      <c r="L207" s="35" t="str">
        <f>IFERROR(INDEX(RBD_Ac,MATCH("Engineering &amp; Development|A3|A",RBD_KEY,0)),"M")</f>
        <v>L</v>
      </c>
      <c r="M207" s="35" t="str">
        <f>IFERROR(INDEX(RBD_L,MATCH("Engineering &amp; Development|A3|A",RBD_KEY,0)),"M")</f>
        <v>L</v>
      </c>
      <c r="N207" s="35" t="str">
        <f>IFERROR(INDEX(RBD_BI,MATCH("Engineering &amp; Development|A3|A",RBD_KEY,0)),"M")</f>
        <v>L</v>
      </c>
      <c r="O207" s="35" t="str">
        <f>IFERROR(INDEX(RBD_Exp,MATCH("Engineering &amp; Development|A3|A",RBD_KEY,0)),"M")</f>
        <v>L</v>
      </c>
      <c r="P207" s="35" t="str">
        <f>IFERROR(INDEX(RBD_Edu,MATCH("Engineering &amp; Development|A3|A",RBD_KEY,0)),"M")</f>
        <v>L</v>
      </c>
      <c r="Q207" s="73">
        <f>IF(J207="","",IFERROR(INDEX(LMH_PTS,MATCH(J207,LMH_KEY,0))/SUM(IFERROR(INDEX(LMH_PTS,MATCH(J207,LMH_KEY,0)),0),IFERROR(INDEX(LMH_PTS,MATCH(K207,LMH_KEY,0)),0),IFERROR(INDEX(LMH_PTS,MATCH(L207,LMH_KEY,0)),0),IFERROR(INDEX(LMH_PTS,MATCH(M207,LMH_KEY,0)),0),IFERROR(INDEX(LMH_PTS,MATCH(N207,LMH_KEY,0)),0),IFERROR(INDEX(LMH_PTS,MATCH(O207,LMH_KEY,0)),0),IFERROR(INDEX(LMH_PTS,MATCH(P207,LMH_KEY,0)),0)),""))</f>
        <v>0.529411764705882</v>
      </c>
      <c r="R207" s="74">
        <f>IF(K207="","",IFERROR(INDEX(LMH_PTS,MATCH(K207,LMH_KEY,0))/SUM(IFERROR(INDEX(LMH_PTS,MATCH(J207,LMH_KEY,0)),0),IFERROR(INDEX(LMH_PTS,MATCH(K207,LMH_KEY,0)),0),IFERROR(INDEX(LMH_PTS,MATCH(L207,LMH_KEY,0)),0),IFERROR(INDEX(LMH_PTS,MATCH(M207,LMH_KEY,0)),0),IFERROR(INDEX(LMH_PTS,MATCH(N207,LMH_KEY,0)),0),IFERROR(INDEX(LMH_PTS,MATCH(O207,LMH_KEY,0)),0),IFERROR(INDEX(LMH_PTS,MATCH(P207,LMH_KEY,0)),0)),""))</f>
        <v>0.176470588235294</v>
      </c>
      <c r="S207" s="74">
        <f>IF(L207="","",IFERROR(INDEX(LMH_PTS,MATCH(L207,LMH_KEY,0))/SUM(IFERROR(INDEX(LMH_PTS,MATCH(J207,LMH_KEY,0)),0),IFERROR(INDEX(LMH_PTS,MATCH(K207,LMH_KEY,0)),0),IFERROR(INDEX(LMH_PTS,MATCH(L207,LMH_KEY,0)),0),IFERROR(INDEX(LMH_PTS,MATCH(M207,LMH_KEY,0)),0),IFERROR(INDEX(LMH_PTS,MATCH(N207,LMH_KEY,0)),0),IFERROR(INDEX(LMH_PTS,MATCH(O207,LMH_KEY,0)),0),IFERROR(INDEX(LMH_PTS,MATCH(P207,LMH_KEY,0)),0)),""))</f>
        <v>0.0588235294117647</v>
      </c>
      <c r="T207" s="74">
        <f>IF(M207="","",IFERROR(INDEX(LMH_PTS,MATCH(M207,LMH_KEY,0))/SUM(IFERROR(INDEX(LMH_PTS,MATCH(J207,LMH_KEY,0)),0),IFERROR(INDEX(LMH_PTS,MATCH(K207,LMH_KEY,0)),0),IFERROR(INDEX(LMH_PTS,MATCH(L207,LMH_KEY,0)),0),IFERROR(INDEX(LMH_PTS,MATCH(M207,LMH_KEY,0)),0),IFERROR(INDEX(LMH_PTS,MATCH(N207,LMH_KEY,0)),0),IFERROR(INDEX(LMH_PTS,MATCH(O207,LMH_KEY,0)),0),IFERROR(INDEX(LMH_PTS,MATCH(P207,LMH_KEY,0)),0)),""))</f>
        <v>0.0588235294117647</v>
      </c>
      <c r="U207" s="74">
        <f>IF(N207="","",IFERROR(INDEX(LMH_PTS,MATCH(N207,LMH_KEY,0))/SUM(IFERROR(INDEX(LMH_PTS,MATCH(J207,LMH_KEY,0)),0),IFERROR(INDEX(LMH_PTS,MATCH(K207,LMH_KEY,0)),0),IFERROR(INDEX(LMH_PTS,MATCH(L207,LMH_KEY,0)),0),IFERROR(INDEX(LMH_PTS,MATCH(M207,LMH_KEY,0)),0),IFERROR(INDEX(LMH_PTS,MATCH(N207,LMH_KEY,0)),0),IFERROR(INDEX(LMH_PTS,MATCH(O207,LMH_KEY,0)),0),IFERROR(INDEX(LMH_PTS,MATCH(P207,LMH_KEY,0)),0)),""))</f>
        <v>0.0588235294117647</v>
      </c>
      <c r="V207" s="74">
        <f>IF(O207="","",IFERROR(INDEX(LMH_PTS,MATCH(O207,LMH_KEY,0))/SUM(IFERROR(INDEX(LMH_PTS,MATCH(J207,LMH_KEY,0)),0),IFERROR(INDEX(LMH_PTS,MATCH(K207,LMH_KEY,0)),0),IFERROR(INDEX(LMH_PTS,MATCH(L207,LMH_KEY,0)),0),IFERROR(INDEX(LMH_PTS,MATCH(M207,LMH_KEY,0)),0),IFERROR(INDEX(LMH_PTS,MATCH(N207,LMH_KEY,0)),0),IFERROR(INDEX(LMH_PTS,MATCH(O207,LMH_KEY,0)),0),IFERROR(INDEX(LMH_PTS,MATCH(P207,LMH_KEY,0)),0)),""))</f>
        <v>0.0588235294117647</v>
      </c>
      <c r="W207" s="74">
        <f>IF(P207="","",IFERROR(INDEX(LMH_PTS,MATCH(P207,LMH_KEY,0))/SUM(IFERROR(INDEX(LMH_PTS,MATCH(J207,LMH_KEY,0)),0),IFERROR(INDEX(LMH_PTS,MATCH(K207,LMH_KEY,0)),0),IFERROR(INDEX(LMH_PTS,MATCH(L207,LMH_KEY,0)),0),IFERROR(INDEX(LMH_PTS,MATCH(M207,LMH_KEY,0)),0),IFERROR(INDEX(LMH_PTS,MATCH(N207,LMH_KEY,0)),0),IFERROR(INDEX(LMH_PTS,MATCH(O207,LMH_KEY,0)),0),IFERROR(INDEX(LMH_PTS,MATCH(P207,LMH_KEY,0)),0)),""))</f>
        <v>0.0588235294117647</v>
      </c>
      <c r="X207" s="44" t="n"/>
      <c r="Y207" s="38" t="inlineStr">
        <is>
          <t>iFile|Technology|Technical Specialist|A3|A</t>
        </is>
      </c>
    </row>
    <row r="208" ht="18" customHeight="1">
      <c r="A208" s="28" t="inlineStr">
        <is>
          <t>iFile</t>
        </is>
      </c>
      <c r="B208" s="29" t="inlineStr">
        <is>
          <t>Technology</t>
        </is>
      </c>
      <c r="C208" s="75" t="inlineStr">
        <is>
          <t>A2</t>
        </is>
      </c>
      <c r="D208" s="29" t="inlineStr">
        <is>
          <t>Band A · Practitioner</t>
        </is>
      </c>
      <c r="E208" s="29" t="inlineStr">
        <is>
          <t>AI/ML Engineer</t>
        </is>
      </c>
      <c r="F208" s="29" t="inlineStr">
        <is>
          <t>Band A · all tracks</t>
        </is>
      </c>
      <c r="G208" s="29" t="inlineStr">
        <is>
          <t>Engineering &amp; Development</t>
        </is>
      </c>
      <c r="H208" s="29" t="n">
        <v>1</v>
      </c>
      <c r="I208" s="29" t="inlineStr">
        <is>
          <t>Soham Narsinge</t>
        </is>
      </c>
      <c r="J208" s="34" t="str">
        <f>IFERROR(INDEX(RBD_C,MATCH("Engineering &amp; Development|A2|A",RBD_KEY,0)),"M")</f>
        <v>H</v>
      </c>
      <c r="K208" s="35" t="str">
        <f>IFERROR(INDEX(RBD_Au,MATCH("Engineering &amp; Development|A2|A",RBD_KEY,0)),"M")</f>
        <v>M</v>
      </c>
      <c r="L208" s="35" t="str">
        <f>IFERROR(INDEX(RBD_Ac,MATCH("Engineering &amp; Development|A2|A",RBD_KEY,0)),"M")</f>
        <v>L</v>
      </c>
      <c r="M208" s="35" t="str">
        <f>IFERROR(INDEX(RBD_L,MATCH("Engineering &amp; Development|A2|A",RBD_KEY,0)),"M")</f>
        <v>L</v>
      </c>
      <c r="N208" s="35" t="str">
        <f>IFERROR(INDEX(RBD_BI,MATCH("Engineering &amp; Development|A2|A",RBD_KEY,0)),"M")</f>
        <v>L</v>
      </c>
      <c r="O208" s="35" t="str">
        <f>IFERROR(INDEX(RBD_Exp,MATCH("Engineering &amp; Development|A2|A",RBD_KEY,0)),"M")</f>
        <v>L</v>
      </c>
      <c r="P208" s="35" t="str">
        <f>IFERROR(INDEX(RBD_Edu,MATCH("Engineering &amp; Development|A2|A",RBD_KEY,0)),"M")</f>
        <v>L</v>
      </c>
      <c r="Q208" s="73">
        <f>IF(J208="","",IFERROR(INDEX(LMH_PTS,MATCH(J208,LMH_KEY,0))/SUM(IFERROR(INDEX(LMH_PTS,MATCH(J208,LMH_KEY,0)),0),IFERROR(INDEX(LMH_PTS,MATCH(K208,LMH_KEY,0)),0),IFERROR(INDEX(LMH_PTS,MATCH(L208,LMH_KEY,0)),0),IFERROR(INDEX(LMH_PTS,MATCH(M208,LMH_KEY,0)),0),IFERROR(INDEX(LMH_PTS,MATCH(N208,LMH_KEY,0)),0),IFERROR(INDEX(LMH_PTS,MATCH(O208,LMH_KEY,0)),0),IFERROR(INDEX(LMH_PTS,MATCH(P208,LMH_KEY,0)),0)),""))</f>
        <v>0.529411764705882</v>
      </c>
      <c r="R208" s="74">
        <f>IF(K208="","",IFERROR(INDEX(LMH_PTS,MATCH(K208,LMH_KEY,0))/SUM(IFERROR(INDEX(LMH_PTS,MATCH(J208,LMH_KEY,0)),0),IFERROR(INDEX(LMH_PTS,MATCH(K208,LMH_KEY,0)),0),IFERROR(INDEX(LMH_PTS,MATCH(L208,LMH_KEY,0)),0),IFERROR(INDEX(LMH_PTS,MATCH(M208,LMH_KEY,0)),0),IFERROR(INDEX(LMH_PTS,MATCH(N208,LMH_KEY,0)),0),IFERROR(INDEX(LMH_PTS,MATCH(O208,LMH_KEY,0)),0),IFERROR(INDEX(LMH_PTS,MATCH(P208,LMH_KEY,0)),0)),""))</f>
        <v>0.176470588235294</v>
      </c>
      <c r="S208" s="74">
        <f>IF(L208="","",IFERROR(INDEX(LMH_PTS,MATCH(L208,LMH_KEY,0))/SUM(IFERROR(INDEX(LMH_PTS,MATCH(J208,LMH_KEY,0)),0),IFERROR(INDEX(LMH_PTS,MATCH(K208,LMH_KEY,0)),0),IFERROR(INDEX(LMH_PTS,MATCH(L208,LMH_KEY,0)),0),IFERROR(INDEX(LMH_PTS,MATCH(M208,LMH_KEY,0)),0),IFERROR(INDEX(LMH_PTS,MATCH(N208,LMH_KEY,0)),0),IFERROR(INDEX(LMH_PTS,MATCH(O208,LMH_KEY,0)),0),IFERROR(INDEX(LMH_PTS,MATCH(P208,LMH_KEY,0)),0)),""))</f>
        <v>0.0588235294117647</v>
      </c>
      <c r="T208" s="74">
        <f>IF(M208="","",IFERROR(INDEX(LMH_PTS,MATCH(M208,LMH_KEY,0))/SUM(IFERROR(INDEX(LMH_PTS,MATCH(J208,LMH_KEY,0)),0),IFERROR(INDEX(LMH_PTS,MATCH(K208,LMH_KEY,0)),0),IFERROR(INDEX(LMH_PTS,MATCH(L208,LMH_KEY,0)),0),IFERROR(INDEX(LMH_PTS,MATCH(M208,LMH_KEY,0)),0),IFERROR(INDEX(LMH_PTS,MATCH(N208,LMH_KEY,0)),0),IFERROR(INDEX(LMH_PTS,MATCH(O208,LMH_KEY,0)),0),IFERROR(INDEX(LMH_PTS,MATCH(P208,LMH_KEY,0)),0)),""))</f>
        <v>0.0588235294117647</v>
      </c>
      <c r="U208" s="74">
        <f>IF(N208="","",IFERROR(INDEX(LMH_PTS,MATCH(N208,LMH_KEY,0))/SUM(IFERROR(INDEX(LMH_PTS,MATCH(J208,LMH_KEY,0)),0),IFERROR(INDEX(LMH_PTS,MATCH(K208,LMH_KEY,0)),0),IFERROR(INDEX(LMH_PTS,MATCH(L208,LMH_KEY,0)),0),IFERROR(INDEX(LMH_PTS,MATCH(M208,LMH_KEY,0)),0),IFERROR(INDEX(LMH_PTS,MATCH(N208,LMH_KEY,0)),0),IFERROR(INDEX(LMH_PTS,MATCH(O208,LMH_KEY,0)),0),IFERROR(INDEX(LMH_PTS,MATCH(P208,LMH_KEY,0)),0)),""))</f>
        <v>0.0588235294117647</v>
      </c>
      <c r="V208" s="74">
        <f>IF(O208="","",IFERROR(INDEX(LMH_PTS,MATCH(O208,LMH_KEY,0))/SUM(IFERROR(INDEX(LMH_PTS,MATCH(J208,LMH_KEY,0)),0),IFERROR(INDEX(LMH_PTS,MATCH(K208,LMH_KEY,0)),0),IFERROR(INDEX(LMH_PTS,MATCH(L208,LMH_KEY,0)),0),IFERROR(INDEX(LMH_PTS,MATCH(M208,LMH_KEY,0)),0),IFERROR(INDEX(LMH_PTS,MATCH(N208,LMH_KEY,0)),0),IFERROR(INDEX(LMH_PTS,MATCH(O208,LMH_KEY,0)),0),IFERROR(INDEX(LMH_PTS,MATCH(P208,LMH_KEY,0)),0)),""))</f>
        <v>0.0588235294117647</v>
      </c>
      <c r="W208" s="74">
        <f>IF(P208="","",IFERROR(INDEX(LMH_PTS,MATCH(P208,LMH_KEY,0))/SUM(IFERROR(INDEX(LMH_PTS,MATCH(J208,LMH_KEY,0)),0),IFERROR(INDEX(LMH_PTS,MATCH(K208,LMH_KEY,0)),0),IFERROR(INDEX(LMH_PTS,MATCH(L208,LMH_KEY,0)),0),IFERROR(INDEX(LMH_PTS,MATCH(M208,LMH_KEY,0)),0),IFERROR(INDEX(LMH_PTS,MATCH(N208,LMH_KEY,0)),0),IFERROR(INDEX(LMH_PTS,MATCH(O208,LMH_KEY,0)),0),IFERROR(INDEX(LMH_PTS,MATCH(P208,LMH_KEY,0)),0)),""))</f>
        <v>0.0588235294117647</v>
      </c>
      <c r="X208" s="44" t="n"/>
      <c r="Y208" s="38" t="inlineStr">
        <is>
          <t>iFile|Technology|AI/ML Engineer|A2|A</t>
        </is>
      </c>
    </row>
    <row r="209" ht="28" customHeight="1">
      <c r="A209" s="28" t="inlineStr">
        <is>
          <t>iFile</t>
        </is>
      </c>
      <c r="B209" s="29" t="inlineStr">
        <is>
          <t>Technology</t>
        </is>
      </c>
      <c r="C209" s="75" t="inlineStr">
        <is>
          <t>A2</t>
        </is>
      </c>
      <c r="D209" s="29" t="inlineStr">
        <is>
          <t>Band A · Practitioner</t>
        </is>
      </c>
      <c r="E209" s="29" t="inlineStr">
        <is>
          <t>Business Analysis Specialist</t>
        </is>
      </c>
      <c r="F209" s="29" t="inlineStr">
        <is>
          <t>Band A · all tracks</t>
        </is>
      </c>
      <c r="G209" s="29" t="inlineStr">
        <is>
          <t>Business Analysis</t>
        </is>
      </c>
      <c r="H209" s="29" t="n">
        <v>1</v>
      </c>
      <c r="I209" s="29" t="inlineStr">
        <is>
          <t>Chetan Galande</t>
        </is>
      </c>
      <c r="J209" s="34" t="str">
        <f>IFERROR(INDEX(RBD_C,MATCH("Business Analysis|A2|A",RBD_KEY,0)),"M")</f>
        <v>H</v>
      </c>
      <c r="K209" s="35" t="str">
        <f>IFERROR(INDEX(RBD_Au,MATCH("Business Analysis|A2|A",RBD_KEY,0)),"M")</f>
        <v>M</v>
      </c>
      <c r="L209" s="35" t="str">
        <f>IFERROR(INDEX(RBD_Ac,MATCH("Business Analysis|A2|A",RBD_KEY,0)),"M")</f>
        <v>L</v>
      </c>
      <c r="M209" s="35" t="str">
        <f>IFERROR(INDEX(RBD_L,MATCH("Business Analysis|A2|A",RBD_KEY,0)),"M")</f>
        <v>L</v>
      </c>
      <c r="N209" s="35" t="str">
        <f>IFERROR(INDEX(RBD_BI,MATCH("Business Analysis|A2|A",RBD_KEY,0)),"M")</f>
        <v>L</v>
      </c>
      <c r="O209" s="35" t="str">
        <f>IFERROR(INDEX(RBD_Exp,MATCH("Business Analysis|A2|A",RBD_KEY,0)),"M")</f>
        <v>L</v>
      </c>
      <c r="P209" s="35" t="str">
        <f>IFERROR(INDEX(RBD_Edu,MATCH("Business Analysis|A2|A",RBD_KEY,0)),"M")</f>
        <v>L</v>
      </c>
      <c r="Q209" s="73">
        <f>IF(J209="","",IFERROR(INDEX(LMH_PTS,MATCH(J209,LMH_KEY,0))/SUM(IFERROR(INDEX(LMH_PTS,MATCH(J209,LMH_KEY,0)),0),IFERROR(INDEX(LMH_PTS,MATCH(K209,LMH_KEY,0)),0),IFERROR(INDEX(LMH_PTS,MATCH(L209,LMH_KEY,0)),0),IFERROR(INDEX(LMH_PTS,MATCH(M209,LMH_KEY,0)),0),IFERROR(INDEX(LMH_PTS,MATCH(N209,LMH_KEY,0)),0),IFERROR(INDEX(LMH_PTS,MATCH(O209,LMH_KEY,0)),0),IFERROR(INDEX(LMH_PTS,MATCH(P209,LMH_KEY,0)),0)),""))</f>
        <v>0.529411764705882</v>
      </c>
      <c r="R209" s="74">
        <f>IF(K209="","",IFERROR(INDEX(LMH_PTS,MATCH(K209,LMH_KEY,0))/SUM(IFERROR(INDEX(LMH_PTS,MATCH(J209,LMH_KEY,0)),0),IFERROR(INDEX(LMH_PTS,MATCH(K209,LMH_KEY,0)),0),IFERROR(INDEX(LMH_PTS,MATCH(L209,LMH_KEY,0)),0),IFERROR(INDEX(LMH_PTS,MATCH(M209,LMH_KEY,0)),0),IFERROR(INDEX(LMH_PTS,MATCH(N209,LMH_KEY,0)),0),IFERROR(INDEX(LMH_PTS,MATCH(O209,LMH_KEY,0)),0),IFERROR(INDEX(LMH_PTS,MATCH(P209,LMH_KEY,0)),0)),""))</f>
        <v>0.176470588235294</v>
      </c>
      <c r="S209" s="74">
        <f>IF(L209="","",IFERROR(INDEX(LMH_PTS,MATCH(L209,LMH_KEY,0))/SUM(IFERROR(INDEX(LMH_PTS,MATCH(J209,LMH_KEY,0)),0),IFERROR(INDEX(LMH_PTS,MATCH(K209,LMH_KEY,0)),0),IFERROR(INDEX(LMH_PTS,MATCH(L209,LMH_KEY,0)),0),IFERROR(INDEX(LMH_PTS,MATCH(M209,LMH_KEY,0)),0),IFERROR(INDEX(LMH_PTS,MATCH(N209,LMH_KEY,0)),0),IFERROR(INDEX(LMH_PTS,MATCH(O209,LMH_KEY,0)),0),IFERROR(INDEX(LMH_PTS,MATCH(P209,LMH_KEY,0)),0)),""))</f>
        <v>0.0588235294117647</v>
      </c>
      <c r="T209" s="74">
        <f>IF(M209="","",IFERROR(INDEX(LMH_PTS,MATCH(M209,LMH_KEY,0))/SUM(IFERROR(INDEX(LMH_PTS,MATCH(J209,LMH_KEY,0)),0),IFERROR(INDEX(LMH_PTS,MATCH(K209,LMH_KEY,0)),0),IFERROR(INDEX(LMH_PTS,MATCH(L209,LMH_KEY,0)),0),IFERROR(INDEX(LMH_PTS,MATCH(M209,LMH_KEY,0)),0),IFERROR(INDEX(LMH_PTS,MATCH(N209,LMH_KEY,0)),0),IFERROR(INDEX(LMH_PTS,MATCH(O209,LMH_KEY,0)),0),IFERROR(INDEX(LMH_PTS,MATCH(P209,LMH_KEY,0)),0)),""))</f>
        <v>0.0588235294117647</v>
      </c>
      <c r="U209" s="74">
        <f>IF(N209="","",IFERROR(INDEX(LMH_PTS,MATCH(N209,LMH_KEY,0))/SUM(IFERROR(INDEX(LMH_PTS,MATCH(J209,LMH_KEY,0)),0),IFERROR(INDEX(LMH_PTS,MATCH(K209,LMH_KEY,0)),0),IFERROR(INDEX(LMH_PTS,MATCH(L209,LMH_KEY,0)),0),IFERROR(INDEX(LMH_PTS,MATCH(M209,LMH_KEY,0)),0),IFERROR(INDEX(LMH_PTS,MATCH(N209,LMH_KEY,0)),0),IFERROR(INDEX(LMH_PTS,MATCH(O209,LMH_KEY,0)),0),IFERROR(INDEX(LMH_PTS,MATCH(P209,LMH_KEY,0)),0)),""))</f>
        <v>0.0588235294117647</v>
      </c>
      <c r="V209" s="74">
        <f>IF(O209="","",IFERROR(INDEX(LMH_PTS,MATCH(O209,LMH_KEY,0))/SUM(IFERROR(INDEX(LMH_PTS,MATCH(J209,LMH_KEY,0)),0),IFERROR(INDEX(LMH_PTS,MATCH(K209,LMH_KEY,0)),0),IFERROR(INDEX(LMH_PTS,MATCH(L209,LMH_KEY,0)),0),IFERROR(INDEX(LMH_PTS,MATCH(M209,LMH_KEY,0)),0),IFERROR(INDEX(LMH_PTS,MATCH(N209,LMH_KEY,0)),0),IFERROR(INDEX(LMH_PTS,MATCH(O209,LMH_KEY,0)),0),IFERROR(INDEX(LMH_PTS,MATCH(P209,LMH_KEY,0)),0)),""))</f>
        <v>0.0588235294117647</v>
      </c>
      <c r="W209" s="74">
        <f>IF(P209="","",IFERROR(INDEX(LMH_PTS,MATCH(P209,LMH_KEY,0))/SUM(IFERROR(INDEX(LMH_PTS,MATCH(J209,LMH_KEY,0)),0),IFERROR(INDEX(LMH_PTS,MATCH(K209,LMH_KEY,0)),0),IFERROR(INDEX(LMH_PTS,MATCH(L209,LMH_KEY,0)),0),IFERROR(INDEX(LMH_PTS,MATCH(M209,LMH_KEY,0)),0),IFERROR(INDEX(LMH_PTS,MATCH(N209,LMH_KEY,0)),0),IFERROR(INDEX(LMH_PTS,MATCH(O209,LMH_KEY,0)),0),IFERROR(INDEX(LMH_PTS,MATCH(P209,LMH_KEY,0)),0)),""))</f>
        <v>0.0588235294117647</v>
      </c>
      <c r="X209" s="44" t="n"/>
      <c r="Y209" s="38" t="inlineStr">
        <is>
          <t>iFile|Technology|Business Analysis Specialist|A2|A</t>
        </is>
      </c>
    </row>
    <row r="210" ht="18" customHeight="1">
      <c r="A210" s="28" t="inlineStr">
        <is>
          <t>iFile</t>
        </is>
      </c>
      <c r="B210" s="29" t="inlineStr">
        <is>
          <t>Technology</t>
        </is>
      </c>
      <c r="C210" s="75" t="inlineStr">
        <is>
          <t>A2</t>
        </is>
      </c>
      <c r="D210" s="29" t="inlineStr">
        <is>
          <t>Band A · Practitioner</t>
        </is>
      </c>
      <c r="E210" s="29" t="inlineStr">
        <is>
          <t>Business Analyst</t>
        </is>
      </c>
      <c r="F210" s="29" t="inlineStr">
        <is>
          <t>Band A · all tracks</t>
        </is>
      </c>
      <c r="G210" s="29" t="inlineStr">
        <is>
          <t>Business Analysis</t>
        </is>
      </c>
      <c r="H210" s="29" t="n">
        <v>1</v>
      </c>
      <c r="I210" s="29" t="inlineStr">
        <is>
          <t>Tanishq Gupta</t>
        </is>
      </c>
      <c r="J210" s="34" t="str">
        <f>IFERROR(INDEX(RBD_C,MATCH("Business Analysis|A2|A",RBD_KEY,0)),"M")</f>
        <v>H</v>
      </c>
      <c r="K210" s="35" t="str">
        <f>IFERROR(INDEX(RBD_Au,MATCH("Business Analysis|A2|A",RBD_KEY,0)),"M")</f>
        <v>M</v>
      </c>
      <c r="L210" s="35" t="str">
        <f>IFERROR(INDEX(RBD_Ac,MATCH("Business Analysis|A2|A",RBD_KEY,0)),"M")</f>
        <v>L</v>
      </c>
      <c r="M210" s="35" t="str">
        <f>IFERROR(INDEX(RBD_L,MATCH("Business Analysis|A2|A",RBD_KEY,0)),"M")</f>
        <v>L</v>
      </c>
      <c r="N210" s="35" t="str">
        <f>IFERROR(INDEX(RBD_BI,MATCH("Business Analysis|A2|A",RBD_KEY,0)),"M")</f>
        <v>L</v>
      </c>
      <c r="O210" s="35" t="str">
        <f>IFERROR(INDEX(RBD_Exp,MATCH("Business Analysis|A2|A",RBD_KEY,0)),"M")</f>
        <v>L</v>
      </c>
      <c r="P210" s="35" t="str">
        <f>IFERROR(INDEX(RBD_Edu,MATCH("Business Analysis|A2|A",RBD_KEY,0)),"M")</f>
        <v>L</v>
      </c>
      <c r="Q210" s="73">
        <f>IF(J210="","",IFERROR(INDEX(LMH_PTS,MATCH(J210,LMH_KEY,0))/SUM(IFERROR(INDEX(LMH_PTS,MATCH(J210,LMH_KEY,0)),0),IFERROR(INDEX(LMH_PTS,MATCH(K210,LMH_KEY,0)),0),IFERROR(INDEX(LMH_PTS,MATCH(L210,LMH_KEY,0)),0),IFERROR(INDEX(LMH_PTS,MATCH(M210,LMH_KEY,0)),0),IFERROR(INDEX(LMH_PTS,MATCH(N210,LMH_KEY,0)),0),IFERROR(INDEX(LMH_PTS,MATCH(O210,LMH_KEY,0)),0),IFERROR(INDEX(LMH_PTS,MATCH(P210,LMH_KEY,0)),0)),""))</f>
        <v>0.529411764705882</v>
      </c>
      <c r="R210" s="74">
        <f>IF(K210="","",IFERROR(INDEX(LMH_PTS,MATCH(K210,LMH_KEY,0))/SUM(IFERROR(INDEX(LMH_PTS,MATCH(J210,LMH_KEY,0)),0),IFERROR(INDEX(LMH_PTS,MATCH(K210,LMH_KEY,0)),0),IFERROR(INDEX(LMH_PTS,MATCH(L210,LMH_KEY,0)),0),IFERROR(INDEX(LMH_PTS,MATCH(M210,LMH_KEY,0)),0),IFERROR(INDEX(LMH_PTS,MATCH(N210,LMH_KEY,0)),0),IFERROR(INDEX(LMH_PTS,MATCH(O210,LMH_KEY,0)),0),IFERROR(INDEX(LMH_PTS,MATCH(P210,LMH_KEY,0)),0)),""))</f>
        <v>0.176470588235294</v>
      </c>
      <c r="S210" s="74">
        <f>IF(L210="","",IFERROR(INDEX(LMH_PTS,MATCH(L210,LMH_KEY,0))/SUM(IFERROR(INDEX(LMH_PTS,MATCH(J210,LMH_KEY,0)),0),IFERROR(INDEX(LMH_PTS,MATCH(K210,LMH_KEY,0)),0),IFERROR(INDEX(LMH_PTS,MATCH(L210,LMH_KEY,0)),0),IFERROR(INDEX(LMH_PTS,MATCH(M210,LMH_KEY,0)),0),IFERROR(INDEX(LMH_PTS,MATCH(N210,LMH_KEY,0)),0),IFERROR(INDEX(LMH_PTS,MATCH(O210,LMH_KEY,0)),0),IFERROR(INDEX(LMH_PTS,MATCH(P210,LMH_KEY,0)),0)),""))</f>
        <v>0.0588235294117647</v>
      </c>
      <c r="T210" s="74">
        <f>IF(M210="","",IFERROR(INDEX(LMH_PTS,MATCH(M210,LMH_KEY,0))/SUM(IFERROR(INDEX(LMH_PTS,MATCH(J210,LMH_KEY,0)),0),IFERROR(INDEX(LMH_PTS,MATCH(K210,LMH_KEY,0)),0),IFERROR(INDEX(LMH_PTS,MATCH(L210,LMH_KEY,0)),0),IFERROR(INDEX(LMH_PTS,MATCH(M210,LMH_KEY,0)),0),IFERROR(INDEX(LMH_PTS,MATCH(N210,LMH_KEY,0)),0),IFERROR(INDEX(LMH_PTS,MATCH(O210,LMH_KEY,0)),0),IFERROR(INDEX(LMH_PTS,MATCH(P210,LMH_KEY,0)),0)),""))</f>
        <v>0.0588235294117647</v>
      </c>
      <c r="U210" s="74">
        <f>IF(N210="","",IFERROR(INDEX(LMH_PTS,MATCH(N210,LMH_KEY,0))/SUM(IFERROR(INDEX(LMH_PTS,MATCH(J210,LMH_KEY,0)),0),IFERROR(INDEX(LMH_PTS,MATCH(K210,LMH_KEY,0)),0),IFERROR(INDEX(LMH_PTS,MATCH(L210,LMH_KEY,0)),0),IFERROR(INDEX(LMH_PTS,MATCH(M210,LMH_KEY,0)),0),IFERROR(INDEX(LMH_PTS,MATCH(N210,LMH_KEY,0)),0),IFERROR(INDEX(LMH_PTS,MATCH(O210,LMH_KEY,0)),0),IFERROR(INDEX(LMH_PTS,MATCH(P210,LMH_KEY,0)),0)),""))</f>
        <v>0.0588235294117647</v>
      </c>
      <c r="V210" s="74">
        <f>IF(O210="","",IFERROR(INDEX(LMH_PTS,MATCH(O210,LMH_KEY,0))/SUM(IFERROR(INDEX(LMH_PTS,MATCH(J210,LMH_KEY,0)),0),IFERROR(INDEX(LMH_PTS,MATCH(K210,LMH_KEY,0)),0),IFERROR(INDEX(LMH_PTS,MATCH(L210,LMH_KEY,0)),0),IFERROR(INDEX(LMH_PTS,MATCH(M210,LMH_KEY,0)),0),IFERROR(INDEX(LMH_PTS,MATCH(N210,LMH_KEY,0)),0),IFERROR(INDEX(LMH_PTS,MATCH(O210,LMH_KEY,0)),0),IFERROR(INDEX(LMH_PTS,MATCH(P210,LMH_KEY,0)),0)),""))</f>
        <v>0.0588235294117647</v>
      </c>
      <c r="W210" s="74">
        <f>IF(P210="","",IFERROR(INDEX(LMH_PTS,MATCH(P210,LMH_KEY,0))/SUM(IFERROR(INDEX(LMH_PTS,MATCH(J210,LMH_KEY,0)),0),IFERROR(INDEX(LMH_PTS,MATCH(K210,LMH_KEY,0)),0),IFERROR(INDEX(LMH_PTS,MATCH(L210,LMH_KEY,0)),0),IFERROR(INDEX(LMH_PTS,MATCH(M210,LMH_KEY,0)),0),IFERROR(INDEX(LMH_PTS,MATCH(N210,LMH_KEY,0)),0),IFERROR(INDEX(LMH_PTS,MATCH(O210,LMH_KEY,0)),0),IFERROR(INDEX(LMH_PTS,MATCH(P210,LMH_KEY,0)),0)),""))</f>
        <v>0.0588235294117647</v>
      </c>
      <c r="X210" s="44" t="n"/>
      <c r="Y210" s="38" t="inlineStr">
        <is>
          <t>iFile|Technology|Business Analyst|A2|A</t>
        </is>
      </c>
    </row>
    <row r="211" ht="18" customHeight="1">
      <c r="A211" s="28" t="inlineStr">
        <is>
          <t>iFile</t>
        </is>
      </c>
      <c r="B211" s="29" t="inlineStr">
        <is>
          <t>Technology</t>
        </is>
      </c>
      <c r="C211" s="75" t="inlineStr">
        <is>
          <t>A2</t>
        </is>
      </c>
      <c r="D211" s="29" t="inlineStr">
        <is>
          <t>Band A · Practitioner</t>
        </is>
      </c>
      <c r="E211" s="29" t="inlineStr">
        <is>
          <t>Senior Business Analyst</t>
        </is>
      </c>
      <c r="F211" s="29" t="inlineStr">
        <is>
          <t>Band A · all tracks</t>
        </is>
      </c>
      <c r="G211" s="29" t="inlineStr">
        <is>
          <t>Business Analysis</t>
        </is>
      </c>
      <c r="H211" s="29" t="n">
        <v>2</v>
      </c>
      <c r="I211" s="29" t="inlineStr">
        <is>
          <t>Darshit Vora, Saurabh Dutta</t>
        </is>
      </c>
      <c r="J211" s="34" t="str">
        <f>IFERROR(INDEX(RBD_C,MATCH("Business Analysis|A2|A",RBD_KEY,0)),"M")</f>
        <v>H</v>
      </c>
      <c r="K211" s="35" t="str">
        <f>IFERROR(INDEX(RBD_Au,MATCH("Business Analysis|A2|A",RBD_KEY,0)),"M")</f>
        <v>M</v>
      </c>
      <c r="L211" s="35" t="str">
        <f>IFERROR(INDEX(RBD_Ac,MATCH("Business Analysis|A2|A",RBD_KEY,0)),"M")</f>
        <v>L</v>
      </c>
      <c r="M211" s="35" t="str">
        <f>IFERROR(INDEX(RBD_L,MATCH("Business Analysis|A2|A",RBD_KEY,0)),"M")</f>
        <v>L</v>
      </c>
      <c r="N211" s="35" t="str">
        <f>IFERROR(INDEX(RBD_BI,MATCH("Business Analysis|A2|A",RBD_KEY,0)),"M")</f>
        <v>L</v>
      </c>
      <c r="O211" s="35" t="str">
        <f>IFERROR(INDEX(RBD_Exp,MATCH("Business Analysis|A2|A",RBD_KEY,0)),"M")</f>
        <v>L</v>
      </c>
      <c r="P211" s="35" t="str">
        <f>IFERROR(INDEX(RBD_Edu,MATCH("Business Analysis|A2|A",RBD_KEY,0)),"M")</f>
        <v>L</v>
      </c>
      <c r="Q211" s="73">
        <f>IF(J211="","",IFERROR(INDEX(LMH_PTS,MATCH(J211,LMH_KEY,0))/SUM(IFERROR(INDEX(LMH_PTS,MATCH(J211,LMH_KEY,0)),0),IFERROR(INDEX(LMH_PTS,MATCH(K211,LMH_KEY,0)),0),IFERROR(INDEX(LMH_PTS,MATCH(L211,LMH_KEY,0)),0),IFERROR(INDEX(LMH_PTS,MATCH(M211,LMH_KEY,0)),0),IFERROR(INDEX(LMH_PTS,MATCH(N211,LMH_KEY,0)),0),IFERROR(INDEX(LMH_PTS,MATCH(O211,LMH_KEY,0)),0),IFERROR(INDEX(LMH_PTS,MATCH(P211,LMH_KEY,0)),0)),""))</f>
        <v>0.529411764705882</v>
      </c>
      <c r="R211" s="74">
        <f>IF(K211="","",IFERROR(INDEX(LMH_PTS,MATCH(K211,LMH_KEY,0))/SUM(IFERROR(INDEX(LMH_PTS,MATCH(J211,LMH_KEY,0)),0),IFERROR(INDEX(LMH_PTS,MATCH(K211,LMH_KEY,0)),0),IFERROR(INDEX(LMH_PTS,MATCH(L211,LMH_KEY,0)),0),IFERROR(INDEX(LMH_PTS,MATCH(M211,LMH_KEY,0)),0),IFERROR(INDEX(LMH_PTS,MATCH(N211,LMH_KEY,0)),0),IFERROR(INDEX(LMH_PTS,MATCH(O211,LMH_KEY,0)),0),IFERROR(INDEX(LMH_PTS,MATCH(P211,LMH_KEY,0)),0)),""))</f>
        <v>0.176470588235294</v>
      </c>
      <c r="S211" s="74">
        <f>IF(L211="","",IFERROR(INDEX(LMH_PTS,MATCH(L211,LMH_KEY,0))/SUM(IFERROR(INDEX(LMH_PTS,MATCH(J211,LMH_KEY,0)),0),IFERROR(INDEX(LMH_PTS,MATCH(K211,LMH_KEY,0)),0),IFERROR(INDEX(LMH_PTS,MATCH(L211,LMH_KEY,0)),0),IFERROR(INDEX(LMH_PTS,MATCH(M211,LMH_KEY,0)),0),IFERROR(INDEX(LMH_PTS,MATCH(N211,LMH_KEY,0)),0),IFERROR(INDEX(LMH_PTS,MATCH(O211,LMH_KEY,0)),0),IFERROR(INDEX(LMH_PTS,MATCH(P211,LMH_KEY,0)),0)),""))</f>
        <v>0.0588235294117647</v>
      </c>
      <c r="T211" s="74">
        <f>IF(M211="","",IFERROR(INDEX(LMH_PTS,MATCH(M211,LMH_KEY,0))/SUM(IFERROR(INDEX(LMH_PTS,MATCH(J211,LMH_KEY,0)),0),IFERROR(INDEX(LMH_PTS,MATCH(K211,LMH_KEY,0)),0),IFERROR(INDEX(LMH_PTS,MATCH(L211,LMH_KEY,0)),0),IFERROR(INDEX(LMH_PTS,MATCH(M211,LMH_KEY,0)),0),IFERROR(INDEX(LMH_PTS,MATCH(N211,LMH_KEY,0)),0),IFERROR(INDEX(LMH_PTS,MATCH(O211,LMH_KEY,0)),0),IFERROR(INDEX(LMH_PTS,MATCH(P211,LMH_KEY,0)),0)),""))</f>
        <v>0.0588235294117647</v>
      </c>
      <c r="U211" s="74">
        <f>IF(N211="","",IFERROR(INDEX(LMH_PTS,MATCH(N211,LMH_KEY,0))/SUM(IFERROR(INDEX(LMH_PTS,MATCH(J211,LMH_KEY,0)),0),IFERROR(INDEX(LMH_PTS,MATCH(K211,LMH_KEY,0)),0),IFERROR(INDEX(LMH_PTS,MATCH(L211,LMH_KEY,0)),0),IFERROR(INDEX(LMH_PTS,MATCH(M211,LMH_KEY,0)),0),IFERROR(INDEX(LMH_PTS,MATCH(N211,LMH_KEY,0)),0),IFERROR(INDEX(LMH_PTS,MATCH(O211,LMH_KEY,0)),0),IFERROR(INDEX(LMH_PTS,MATCH(P211,LMH_KEY,0)),0)),""))</f>
        <v>0.0588235294117647</v>
      </c>
      <c r="V211" s="74">
        <f>IF(O211="","",IFERROR(INDEX(LMH_PTS,MATCH(O211,LMH_KEY,0))/SUM(IFERROR(INDEX(LMH_PTS,MATCH(J211,LMH_KEY,0)),0),IFERROR(INDEX(LMH_PTS,MATCH(K211,LMH_KEY,0)),0),IFERROR(INDEX(LMH_PTS,MATCH(L211,LMH_KEY,0)),0),IFERROR(INDEX(LMH_PTS,MATCH(M211,LMH_KEY,0)),0),IFERROR(INDEX(LMH_PTS,MATCH(N211,LMH_KEY,0)),0),IFERROR(INDEX(LMH_PTS,MATCH(O211,LMH_KEY,0)),0),IFERROR(INDEX(LMH_PTS,MATCH(P211,LMH_KEY,0)),0)),""))</f>
        <v>0.0588235294117647</v>
      </c>
      <c r="W211" s="74">
        <f>IF(P211="","",IFERROR(INDEX(LMH_PTS,MATCH(P211,LMH_KEY,0))/SUM(IFERROR(INDEX(LMH_PTS,MATCH(J211,LMH_KEY,0)),0),IFERROR(INDEX(LMH_PTS,MATCH(K211,LMH_KEY,0)),0),IFERROR(INDEX(LMH_PTS,MATCH(L211,LMH_KEY,0)),0),IFERROR(INDEX(LMH_PTS,MATCH(M211,LMH_KEY,0)),0),IFERROR(INDEX(LMH_PTS,MATCH(N211,LMH_KEY,0)),0),IFERROR(INDEX(LMH_PTS,MATCH(O211,LMH_KEY,0)),0),IFERROR(INDEX(LMH_PTS,MATCH(P211,LMH_KEY,0)),0)),""))</f>
        <v>0.0588235294117647</v>
      </c>
      <c r="X211" s="44" t="n"/>
      <c r="Y211" s="38" t="inlineStr">
        <is>
          <t>iFile|Technology|Senior Business Analyst|A2|A</t>
        </is>
      </c>
    </row>
    <row r="212" ht="53" customHeight="1">
      <c r="A212" s="28" t="inlineStr">
        <is>
          <t>iFile</t>
        </is>
      </c>
      <c r="B212" s="29" t="inlineStr">
        <is>
          <t>Technology</t>
        </is>
      </c>
      <c r="C212" s="75" t="inlineStr">
        <is>
          <t>A2</t>
        </is>
      </c>
      <c r="D212" s="29" t="inlineStr">
        <is>
          <t>Band A · Practitioner</t>
        </is>
      </c>
      <c r="E212" s="29" t="inlineStr">
        <is>
          <t>Software Engineer</t>
        </is>
      </c>
      <c r="F212" s="29" t="inlineStr">
        <is>
          <t>Band A · all tracks</t>
        </is>
      </c>
      <c r="G212" s="29" t="inlineStr">
        <is>
          <t>Engineering &amp; Development</t>
        </is>
      </c>
      <c r="H212" s="29" t="n">
        <v>7</v>
      </c>
      <c r="I212" s="29" t="inlineStr">
        <is>
          <t>Subham Chakrabertty, Shubham Nimse, Chetna Vijay Nile, Hemant Sakunde, Aquib Shah, Chirag Suryawanshi, Tanay Hisariya</t>
        </is>
      </c>
      <c r="J212" s="34" t="str">
        <f>IFERROR(INDEX(RBD_C,MATCH("Engineering &amp; Development|A2|A",RBD_KEY,0)),"M")</f>
        <v>H</v>
      </c>
      <c r="K212" s="35" t="str">
        <f>IFERROR(INDEX(RBD_Au,MATCH("Engineering &amp; Development|A2|A",RBD_KEY,0)),"M")</f>
        <v>M</v>
      </c>
      <c r="L212" s="35" t="str">
        <f>IFERROR(INDEX(RBD_Ac,MATCH("Engineering &amp; Development|A2|A",RBD_KEY,0)),"M")</f>
        <v>L</v>
      </c>
      <c r="M212" s="35" t="str">
        <f>IFERROR(INDEX(RBD_L,MATCH("Engineering &amp; Development|A2|A",RBD_KEY,0)),"M")</f>
        <v>L</v>
      </c>
      <c r="N212" s="35" t="str">
        <f>IFERROR(INDEX(RBD_BI,MATCH("Engineering &amp; Development|A2|A",RBD_KEY,0)),"M")</f>
        <v>L</v>
      </c>
      <c r="O212" s="35" t="str">
        <f>IFERROR(INDEX(RBD_Exp,MATCH("Engineering &amp; Development|A2|A",RBD_KEY,0)),"M")</f>
        <v>L</v>
      </c>
      <c r="P212" s="35" t="str">
        <f>IFERROR(INDEX(RBD_Edu,MATCH("Engineering &amp; Development|A2|A",RBD_KEY,0)),"M")</f>
        <v>L</v>
      </c>
      <c r="Q212" s="73">
        <f>IF(J212="","",IFERROR(INDEX(LMH_PTS,MATCH(J212,LMH_KEY,0))/SUM(IFERROR(INDEX(LMH_PTS,MATCH(J212,LMH_KEY,0)),0),IFERROR(INDEX(LMH_PTS,MATCH(K212,LMH_KEY,0)),0),IFERROR(INDEX(LMH_PTS,MATCH(L212,LMH_KEY,0)),0),IFERROR(INDEX(LMH_PTS,MATCH(M212,LMH_KEY,0)),0),IFERROR(INDEX(LMH_PTS,MATCH(N212,LMH_KEY,0)),0),IFERROR(INDEX(LMH_PTS,MATCH(O212,LMH_KEY,0)),0),IFERROR(INDEX(LMH_PTS,MATCH(P212,LMH_KEY,0)),0)),""))</f>
        <v>0.529411764705882</v>
      </c>
      <c r="R212" s="74">
        <f>IF(K212="","",IFERROR(INDEX(LMH_PTS,MATCH(K212,LMH_KEY,0))/SUM(IFERROR(INDEX(LMH_PTS,MATCH(J212,LMH_KEY,0)),0),IFERROR(INDEX(LMH_PTS,MATCH(K212,LMH_KEY,0)),0),IFERROR(INDEX(LMH_PTS,MATCH(L212,LMH_KEY,0)),0),IFERROR(INDEX(LMH_PTS,MATCH(M212,LMH_KEY,0)),0),IFERROR(INDEX(LMH_PTS,MATCH(N212,LMH_KEY,0)),0),IFERROR(INDEX(LMH_PTS,MATCH(O212,LMH_KEY,0)),0),IFERROR(INDEX(LMH_PTS,MATCH(P212,LMH_KEY,0)),0)),""))</f>
        <v>0.176470588235294</v>
      </c>
      <c r="S212" s="74">
        <f>IF(L212="","",IFERROR(INDEX(LMH_PTS,MATCH(L212,LMH_KEY,0))/SUM(IFERROR(INDEX(LMH_PTS,MATCH(J212,LMH_KEY,0)),0),IFERROR(INDEX(LMH_PTS,MATCH(K212,LMH_KEY,0)),0),IFERROR(INDEX(LMH_PTS,MATCH(L212,LMH_KEY,0)),0),IFERROR(INDEX(LMH_PTS,MATCH(M212,LMH_KEY,0)),0),IFERROR(INDEX(LMH_PTS,MATCH(N212,LMH_KEY,0)),0),IFERROR(INDEX(LMH_PTS,MATCH(O212,LMH_KEY,0)),0),IFERROR(INDEX(LMH_PTS,MATCH(P212,LMH_KEY,0)),0)),""))</f>
        <v>0.0588235294117647</v>
      </c>
      <c r="T212" s="74">
        <f>IF(M212="","",IFERROR(INDEX(LMH_PTS,MATCH(M212,LMH_KEY,0))/SUM(IFERROR(INDEX(LMH_PTS,MATCH(J212,LMH_KEY,0)),0),IFERROR(INDEX(LMH_PTS,MATCH(K212,LMH_KEY,0)),0),IFERROR(INDEX(LMH_PTS,MATCH(L212,LMH_KEY,0)),0),IFERROR(INDEX(LMH_PTS,MATCH(M212,LMH_KEY,0)),0),IFERROR(INDEX(LMH_PTS,MATCH(N212,LMH_KEY,0)),0),IFERROR(INDEX(LMH_PTS,MATCH(O212,LMH_KEY,0)),0),IFERROR(INDEX(LMH_PTS,MATCH(P212,LMH_KEY,0)),0)),""))</f>
        <v>0.0588235294117647</v>
      </c>
      <c r="U212" s="74">
        <f>IF(N212="","",IFERROR(INDEX(LMH_PTS,MATCH(N212,LMH_KEY,0))/SUM(IFERROR(INDEX(LMH_PTS,MATCH(J212,LMH_KEY,0)),0),IFERROR(INDEX(LMH_PTS,MATCH(K212,LMH_KEY,0)),0),IFERROR(INDEX(LMH_PTS,MATCH(L212,LMH_KEY,0)),0),IFERROR(INDEX(LMH_PTS,MATCH(M212,LMH_KEY,0)),0),IFERROR(INDEX(LMH_PTS,MATCH(N212,LMH_KEY,0)),0),IFERROR(INDEX(LMH_PTS,MATCH(O212,LMH_KEY,0)),0),IFERROR(INDEX(LMH_PTS,MATCH(P212,LMH_KEY,0)),0)),""))</f>
        <v>0.0588235294117647</v>
      </c>
      <c r="V212" s="74">
        <f>IF(O212="","",IFERROR(INDEX(LMH_PTS,MATCH(O212,LMH_KEY,0))/SUM(IFERROR(INDEX(LMH_PTS,MATCH(J212,LMH_KEY,0)),0),IFERROR(INDEX(LMH_PTS,MATCH(K212,LMH_KEY,0)),0),IFERROR(INDEX(LMH_PTS,MATCH(L212,LMH_KEY,0)),0),IFERROR(INDEX(LMH_PTS,MATCH(M212,LMH_KEY,0)),0),IFERROR(INDEX(LMH_PTS,MATCH(N212,LMH_KEY,0)),0),IFERROR(INDEX(LMH_PTS,MATCH(O212,LMH_KEY,0)),0),IFERROR(INDEX(LMH_PTS,MATCH(P212,LMH_KEY,0)),0)),""))</f>
        <v>0.0588235294117647</v>
      </c>
      <c r="W212" s="74">
        <f>IF(P212="","",IFERROR(INDEX(LMH_PTS,MATCH(P212,LMH_KEY,0))/SUM(IFERROR(INDEX(LMH_PTS,MATCH(J212,LMH_KEY,0)),0),IFERROR(INDEX(LMH_PTS,MATCH(K212,LMH_KEY,0)),0),IFERROR(INDEX(LMH_PTS,MATCH(L212,LMH_KEY,0)),0),IFERROR(INDEX(LMH_PTS,MATCH(M212,LMH_KEY,0)),0),IFERROR(INDEX(LMH_PTS,MATCH(N212,LMH_KEY,0)),0),IFERROR(INDEX(LMH_PTS,MATCH(O212,LMH_KEY,0)),0),IFERROR(INDEX(LMH_PTS,MATCH(P212,LMH_KEY,0)),0)),""))</f>
        <v>0.0588235294117647</v>
      </c>
      <c r="X212" s="44" t="n"/>
      <c r="Y212" s="38" t="inlineStr">
        <is>
          <t>iFile|Technology|Software Engineer|A2|A</t>
        </is>
      </c>
    </row>
    <row r="213" ht="40.5" customHeight="1">
      <c r="A213" s="28" t="inlineStr">
        <is>
          <t>iFile</t>
        </is>
      </c>
      <c r="B213" s="29" t="inlineStr">
        <is>
          <t>Technology</t>
        </is>
      </c>
      <c r="C213" s="75" t="inlineStr">
        <is>
          <t>A2</t>
        </is>
      </c>
      <c r="D213" s="29" t="inlineStr">
        <is>
          <t>Band A · Practitioner</t>
        </is>
      </c>
      <c r="E213" s="29" t="inlineStr">
        <is>
          <t>UI Developer</t>
        </is>
      </c>
      <c r="F213" s="29" t="inlineStr">
        <is>
          <t>Band A · all tracks</t>
        </is>
      </c>
      <c r="G213" s="29" t="inlineStr">
        <is>
          <t>Engineering &amp; Development</t>
        </is>
      </c>
      <c r="H213" s="29" t="n">
        <v>5</v>
      </c>
      <c r="I213" s="29" t="inlineStr">
        <is>
          <t>Rajeev Gupta, Anurag Gupta, Chandani Gusain, Faisal Pathan, Lalita Dixit</t>
        </is>
      </c>
      <c r="J213" s="34" t="str">
        <f>IFERROR(INDEX(RBD_C,MATCH("Engineering &amp; Development|A2|A",RBD_KEY,0)),"M")</f>
        <v>H</v>
      </c>
      <c r="K213" s="35" t="str">
        <f>IFERROR(INDEX(RBD_Au,MATCH("Engineering &amp; Development|A2|A",RBD_KEY,0)),"M")</f>
        <v>M</v>
      </c>
      <c r="L213" s="35" t="str">
        <f>IFERROR(INDEX(RBD_Ac,MATCH("Engineering &amp; Development|A2|A",RBD_KEY,0)),"M")</f>
        <v>L</v>
      </c>
      <c r="M213" s="35" t="str">
        <f>IFERROR(INDEX(RBD_L,MATCH("Engineering &amp; Development|A2|A",RBD_KEY,0)),"M")</f>
        <v>L</v>
      </c>
      <c r="N213" s="35" t="str">
        <f>IFERROR(INDEX(RBD_BI,MATCH("Engineering &amp; Development|A2|A",RBD_KEY,0)),"M")</f>
        <v>L</v>
      </c>
      <c r="O213" s="35" t="str">
        <f>IFERROR(INDEX(RBD_Exp,MATCH("Engineering &amp; Development|A2|A",RBD_KEY,0)),"M")</f>
        <v>L</v>
      </c>
      <c r="P213" s="35" t="str">
        <f>IFERROR(INDEX(RBD_Edu,MATCH("Engineering &amp; Development|A2|A",RBD_KEY,0)),"M")</f>
        <v>L</v>
      </c>
      <c r="Q213" s="73">
        <f>IF(J213="","",IFERROR(INDEX(LMH_PTS,MATCH(J213,LMH_KEY,0))/SUM(IFERROR(INDEX(LMH_PTS,MATCH(J213,LMH_KEY,0)),0),IFERROR(INDEX(LMH_PTS,MATCH(K213,LMH_KEY,0)),0),IFERROR(INDEX(LMH_PTS,MATCH(L213,LMH_KEY,0)),0),IFERROR(INDEX(LMH_PTS,MATCH(M213,LMH_KEY,0)),0),IFERROR(INDEX(LMH_PTS,MATCH(N213,LMH_KEY,0)),0),IFERROR(INDEX(LMH_PTS,MATCH(O213,LMH_KEY,0)),0),IFERROR(INDEX(LMH_PTS,MATCH(P213,LMH_KEY,0)),0)),""))</f>
        <v>0.529411764705882</v>
      </c>
      <c r="R213" s="74">
        <f>IF(K213="","",IFERROR(INDEX(LMH_PTS,MATCH(K213,LMH_KEY,0))/SUM(IFERROR(INDEX(LMH_PTS,MATCH(J213,LMH_KEY,0)),0),IFERROR(INDEX(LMH_PTS,MATCH(K213,LMH_KEY,0)),0),IFERROR(INDEX(LMH_PTS,MATCH(L213,LMH_KEY,0)),0),IFERROR(INDEX(LMH_PTS,MATCH(M213,LMH_KEY,0)),0),IFERROR(INDEX(LMH_PTS,MATCH(N213,LMH_KEY,0)),0),IFERROR(INDEX(LMH_PTS,MATCH(O213,LMH_KEY,0)),0),IFERROR(INDEX(LMH_PTS,MATCH(P213,LMH_KEY,0)),0)),""))</f>
        <v>0.176470588235294</v>
      </c>
      <c r="S213" s="74">
        <f>IF(L213="","",IFERROR(INDEX(LMH_PTS,MATCH(L213,LMH_KEY,0))/SUM(IFERROR(INDEX(LMH_PTS,MATCH(J213,LMH_KEY,0)),0),IFERROR(INDEX(LMH_PTS,MATCH(K213,LMH_KEY,0)),0),IFERROR(INDEX(LMH_PTS,MATCH(L213,LMH_KEY,0)),0),IFERROR(INDEX(LMH_PTS,MATCH(M213,LMH_KEY,0)),0),IFERROR(INDEX(LMH_PTS,MATCH(N213,LMH_KEY,0)),0),IFERROR(INDEX(LMH_PTS,MATCH(O213,LMH_KEY,0)),0),IFERROR(INDEX(LMH_PTS,MATCH(P213,LMH_KEY,0)),0)),""))</f>
        <v>0.0588235294117647</v>
      </c>
      <c r="T213" s="74">
        <f>IF(M213="","",IFERROR(INDEX(LMH_PTS,MATCH(M213,LMH_KEY,0))/SUM(IFERROR(INDEX(LMH_PTS,MATCH(J213,LMH_KEY,0)),0),IFERROR(INDEX(LMH_PTS,MATCH(K213,LMH_KEY,0)),0),IFERROR(INDEX(LMH_PTS,MATCH(L213,LMH_KEY,0)),0),IFERROR(INDEX(LMH_PTS,MATCH(M213,LMH_KEY,0)),0),IFERROR(INDEX(LMH_PTS,MATCH(N213,LMH_KEY,0)),0),IFERROR(INDEX(LMH_PTS,MATCH(O213,LMH_KEY,0)),0),IFERROR(INDEX(LMH_PTS,MATCH(P213,LMH_KEY,0)),0)),""))</f>
        <v>0.0588235294117647</v>
      </c>
      <c r="U213" s="74">
        <f>IF(N213="","",IFERROR(INDEX(LMH_PTS,MATCH(N213,LMH_KEY,0))/SUM(IFERROR(INDEX(LMH_PTS,MATCH(J213,LMH_KEY,0)),0),IFERROR(INDEX(LMH_PTS,MATCH(K213,LMH_KEY,0)),0),IFERROR(INDEX(LMH_PTS,MATCH(L213,LMH_KEY,0)),0),IFERROR(INDEX(LMH_PTS,MATCH(M213,LMH_KEY,0)),0),IFERROR(INDEX(LMH_PTS,MATCH(N213,LMH_KEY,0)),0),IFERROR(INDEX(LMH_PTS,MATCH(O213,LMH_KEY,0)),0),IFERROR(INDEX(LMH_PTS,MATCH(P213,LMH_KEY,0)),0)),""))</f>
        <v>0.0588235294117647</v>
      </c>
      <c r="V213" s="74">
        <f>IF(O213="","",IFERROR(INDEX(LMH_PTS,MATCH(O213,LMH_KEY,0))/SUM(IFERROR(INDEX(LMH_PTS,MATCH(J213,LMH_KEY,0)),0),IFERROR(INDEX(LMH_PTS,MATCH(K213,LMH_KEY,0)),0),IFERROR(INDEX(LMH_PTS,MATCH(L213,LMH_KEY,0)),0),IFERROR(INDEX(LMH_PTS,MATCH(M213,LMH_KEY,0)),0),IFERROR(INDEX(LMH_PTS,MATCH(N213,LMH_KEY,0)),0),IFERROR(INDEX(LMH_PTS,MATCH(O213,LMH_KEY,0)),0),IFERROR(INDEX(LMH_PTS,MATCH(P213,LMH_KEY,0)),0)),""))</f>
        <v>0.0588235294117647</v>
      </c>
      <c r="W213" s="74">
        <f>IF(P213="","",IFERROR(INDEX(LMH_PTS,MATCH(P213,LMH_KEY,0))/SUM(IFERROR(INDEX(LMH_PTS,MATCH(J213,LMH_KEY,0)),0),IFERROR(INDEX(LMH_PTS,MATCH(K213,LMH_KEY,0)),0),IFERROR(INDEX(LMH_PTS,MATCH(L213,LMH_KEY,0)),0),IFERROR(INDEX(LMH_PTS,MATCH(M213,LMH_KEY,0)),0),IFERROR(INDEX(LMH_PTS,MATCH(N213,LMH_KEY,0)),0),IFERROR(INDEX(LMH_PTS,MATCH(O213,LMH_KEY,0)),0),IFERROR(INDEX(LMH_PTS,MATCH(P213,LMH_KEY,0)),0)),""))</f>
        <v>0.0588235294117647</v>
      </c>
      <c r="X213" s="44" t="n"/>
      <c r="Y213" s="38" t="inlineStr">
        <is>
          <t>iFile|Technology|UI Developer|A2|A</t>
        </is>
      </c>
    </row>
    <row r="214" ht="28" customHeight="1">
      <c r="A214" s="28" t="inlineStr">
        <is>
          <t>iFile</t>
        </is>
      </c>
      <c r="B214" s="29" t="inlineStr">
        <is>
          <t>Technology</t>
        </is>
      </c>
      <c r="C214" s="75" t="inlineStr">
        <is>
          <t>A1</t>
        </is>
      </c>
      <c r="D214" s="29" t="inlineStr">
        <is>
          <t>Band A · Practitioner</t>
        </is>
      </c>
      <c r="E214" s="29" t="inlineStr">
        <is>
          <t>Intern – Front-End / UI Development</t>
        </is>
      </c>
      <c r="F214" s="29" t="inlineStr">
        <is>
          <t>Band A · all tracks</t>
        </is>
      </c>
      <c r="G214" s="29" t="inlineStr">
        <is>
          <t>Engineering &amp; Development</t>
        </is>
      </c>
      <c r="H214" s="29" t="n">
        <v>1</v>
      </c>
      <c r="I214" s="29" t="inlineStr">
        <is>
          <t>Pradnya Shindhe</t>
        </is>
      </c>
      <c r="J214" s="34" t="str">
        <f>IFERROR(INDEX(RBD_C,MATCH("Engineering &amp; Development|A1|A",RBD_KEY,0)),"M")</f>
        <v>H</v>
      </c>
      <c r="K214" s="35" t="str">
        <f>IFERROR(INDEX(RBD_Au,MATCH("Engineering &amp; Development|A1|A",RBD_KEY,0)),"M")</f>
        <v>M</v>
      </c>
      <c r="L214" s="35" t="str">
        <f>IFERROR(INDEX(RBD_Ac,MATCH("Engineering &amp; Development|A1|A",RBD_KEY,0)),"M")</f>
        <v>L</v>
      </c>
      <c r="M214" s="35" t="str">
        <f>IFERROR(INDEX(RBD_L,MATCH("Engineering &amp; Development|A1|A",RBD_KEY,0)),"M")</f>
        <v>L</v>
      </c>
      <c r="N214" s="35" t="str">
        <f>IFERROR(INDEX(RBD_BI,MATCH("Engineering &amp; Development|A1|A",RBD_KEY,0)),"M")</f>
        <v>L</v>
      </c>
      <c r="O214" s="35" t="str">
        <f>IFERROR(INDEX(RBD_Exp,MATCH("Engineering &amp; Development|A1|A",RBD_KEY,0)),"M")</f>
        <v>L</v>
      </c>
      <c r="P214" s="35" t="str">
        <f>IFERROR(INDEX(RBD_Edu,MATCH("Engineering &amp; Development|A1|A",RBD_KEY,0)),"M")</f>
        <v>L</v>
      </c>
      <c r="Q214" s="73">
        <f>IF(J214="","",IFERROR(INDEX(LMH_PTS,MATCH(J214,LMH_KEY,0))/SUM(IFERROR(INDEX(LMH_PTS,MATCH(J214,LMH_KEY,0)),0),IFERROR(INDEX(LMH_PTS,MATCH(K214,LMH_KEY,0)),0),IFERROR(INDEX(LMH_PTS,MATCH(L214,LMH_KEY,0)),0),IFERROR(INDEX(LMH_PTS,MATCH(M214,LMH_KEY,0)),0),IFERROR(INDEX(LMH_PTS,MATCH(N214,LMH_KEY,0)),0),IFERROR(INDEX(LMH_PTS,MATCH(O214,LMH_KEY,0)),0),IFERROR(INDEX(LMH_PTS,MATCH(P214,LMH_KEY,0)),0)),""))</f>
        <v>0.529411764705882</v>
      </c>
      <c r="R214" s="74">
        <f>IF(K214="","",IFERROR(INDEX(LMH_PTS,MATCH(K214,LMH_KEY,0))/SUM(IFERROR(INDEX(LMH_PTS,MATCH(J214,LMH_KEY,0)),0),IFERROR(INDEX(LMH_PTS,MATCH(K214,LMH_KEY,0)),0),IFERROR(INDEX(LMH_PTS,MATCH(L214,LMH_KEY,0)),0),IFERROR(INDEX(LMH_PTS,MATCH(M214,LMH_KEY,0)),0),IFERROR(INDEX(LMH_PTS,MATCH(N214,LMH_KEY,0)),0),IFERROR(INDEX(LMH_PTS,MATCH(O214,LMH_KEY,0)),0),IFERROR(INDEX(LMH_PTS,MATCH(P214,LMH_KEY,0)),0)),""))</f>
        <v>0.176470588235294</v>
      </c>
      <c r="S214" s="74">
        <f>IF(L214="","",IFERROR(INDEX(LMH_PTS,MATCH(L214,LMH_KEY,0))/SUM(IFERROR(INDEX(LMH_PTS,MATCH(J214,LMH_KEY,0)),0),IFERROR(INDEX(LMH_PTS,MATCH(K214,LMH_KEY,0)),0),IFERROR(INDEX(LMH_PTS,MATCH(L214,LMH_KEY,0)),0),IFERROR(INDEX(LMH_PTS,MATCH(M214,LMH_KEY,0)),0),IFERROR(INDEX(LMH_PTS,MATCH(N214,LMH_KEY,0)),0),IFERROR(INDEX(LMH_PTS,MATCH(O214,LMH_KEY,0)),0),IFERROR(INDEX(LMH_PTS,MATCH(P214,LMH_KEY,0)),0)),""))</f>
        <v>0.0588235294117647</v>
      </c>
      <c r="T214" s="74">
        <f>IF(M214="","",IFERROR(INDEX(LMH_PTS,MATCH(M214,LMH_KEY,0))/SUM(IFERROR(INDEX(LMH_PTS,MATCH(J214,LMH_KEY,0)),0),IFERROR(INDEX(LMH_PTS,MATCH(K214,LMH_KEY,0)),0),IFERROR(INDEX(LMH_PTS,MATCH(L214,LMH_KEY,0)),0),IFERROR(INDEX(LMH_PTS,MATCH(M214,LMH_KEY,0)),0),IFERROR(INDEX(LMH_PTS,MATCH(N214,LMH_KEY,0)),0),IFERROR(INDEX(LMH_PTS,MATCH(O214,LMH_KEY,0)),0),IFERROR(INDEX(LMH_PTS,MATCH(P214,LMH_KEY,0)),0)),""))</f>
        <v>0.0588235294117647</v>
      </c>
      <c r="U214" s="74">
        <f>IF(N214="","",IFERROR(INDEX(LMH_PTS,MATCH(N214,LMH_KEY,0))/SUM(IFERROR(INDEX(LMH_PTS,MATCH(J214,LMH_KEY,0)),0),IFERROR(INDEX(LMH_PTS,MATCH(K214,LMH_KEY,0)),0),IFERROR(INDEX(LMH_PTS,MATCH(L214,LMH_KEY,0)),0),IFERROR(INDEX(LMH_PTS,MATCH(M214,LMH_KEY,0)),0),IFERROR(INDEX(LMH_PTS,MATCH(N214,LMH_KEY,0)),0),IFERROR(INDEX(LMH_PTS,MATCH(O214,LMH_KEY,0)),0),IFERROR(INDEX(LMH_PTS,MATCH(P214,LMH_KEY,0)),0)),""))</f>
        <v>0.0588235294117647</v>
      </c>
      <c r="V214" s="74">
        <f>IF(O214="","",IFERROR(INDEX(LMH_PTS,MATCH(O214,LMH_KEY,0))/SUM(IFERROR(INDEX(LMH_PTS,MATCH(J214,LMH_KEY,0)),0),IFERROR(INDEX(LMH_PTS,MATCH(K214,LMH_KEY,0)),0),IFERROR(INDEX(LMH_PTS,MATCH(L214,LMH_KEY,0)),0),IFERROR(INDEX(LMH_PTS,MATCH(M214,LMH_KEY,0)),0),IFERROR(INDEX(LMH_PTS,MATCH(N214,LMH_KEY,0)),0),IFERROR(INDEX(LMH_PTS,MATCH(O214,LMH_KEY,0)),0),IFERROR(INDEX(LMH_PTS,MATCH(P214,LMH_KEY,0)),0)),""))</f>
        <v>0.0588235294117647</v>
      </c>
      <c r="W214" s="74">
        <f>IF(P214="","",IFERROR(INDEX(LMH_PTS,MATCH(P214,LMH_KEY,0))/SUM(IFERROR(INDEX(LMH_PTS,MATCH(J214,LMH_KEY,0)),0),IFERROR(INDEX(LMH_PTS,MATCH(K214,LMH_KEY,0)),0),IFERROR(INDEX(LMH_PTS,MATCH(L214,LMH_KEY,0)),0),IFERROR(INDEX(LMH_PTS,MATCH(M214,LMH_KEY,0)),0),IFERROR(INDEX(LMH_PTS,MATCH(N214,LMH_KEY,0)),0),IFERROR(INDEX(LMH_PTS,MATCH(O214,LMH_KEY,0)),0),IFERROR(INDEX(LMH_PTS,MATCH(P214,LMH_KEY,0)),0)),""))</f>
        <v>0.0588235294117647</v>
      </c>
      <c r="X214" s="44" t="n"/>
      <c r="Y214" s="38" t="inlineStr">
        <is>
          <t>iFile|Technology|Intern – Front-End / UI Development|A1|A</t>
        </is>
      </c>
    </row>
    <row r="215" ht="28" customHeight="1">
      <c r="A215" s="28" t="inlineStr">
        <is>
          <t>iFile</t>
        </is>
      </c>
      <c r="B215" s="29" t="inlineStr">
        <is>
          <t>Technology</t>
        </is>
      </c>
      <c r="C215" s="75" t="inlineStr">
        <is>
          <t>A1</t>
        </is>
      </c>
      <c r="D215" s="29" t="inlineStr">
        <is>
          <t>Band A · Practitioner</t>
        </is>
      </c>
      <c r="E215" s="29" t="inlineStr">
        <is>
          <t>Intern – Software Development</t>
        </is>
      </c>
      <c r="F215" s="29" t="inlineStr">
        <is>
          <t>Band A · all tracks</t>
        </is>
      </c>
      <c r="G215" s="29" t="inlineStr">
        <is>
          <t>Engineering &amp; Development</t>
        </is>
      </c>
      <c r="H215" s="29" t="n">
        <v>1</v>
      </c>
      <c r="I215" s="29" t="inlineStr">
        <is>
          <t>Samiksha Sawant</t>
        </is>
      </c>
      <c r="J215" s="34" t="str">
        <f>IFERROR(INDEX(RBD_C,MATCH("Engineering &amp; Development|A1|A",RBD_KEY,0)),"M")</f>
        <v>H</v>
      </c>
      <c r="K215" s="35" t="str">
        <f>IFERROR(INDEX(RBD_Au,MATCH("Engineering &amp; Development|A1|A",RBD_KEY,0)),"M")</f>
        <v>M</v>
      </c>
      <c r="L215" s="35" t="str">
        <f>IFERROR(INDEX(RBD_Ac,MATCH("Engineering &amp; Development|A1|A",RBD_KEY,0)),"M")</f>
        <v>L</v>
      </c>
      <c r="M215" s="35" t="str">
        <f>IFERROR(INDEX(RBD_L,MATCH("Engineering &amp; Development|A1|A",RBD_KEY,0)),"M")</f>
        <v>L</v>
      </c>
      <c r="N215" s="35" t="str">
        <f>IFERROR(INDEX(RBD_BI,MATCH("Engineering &amp; Development|A1|A",RBD_KEY,0)),"M")</f>
        <v>L</v>
      </c>
      <c r="O215" s="35" t="str">
        <f>IFERROR(INDEX(RBD_Exp,MATCH("Engineering &amp; Development|A1|A",RBD_KEY,0)),"M")</f>
        <v>L</v>
      </c>
      <c r="P215" s="35" t="str">
        <f>IFERROR(INDEX(RBD_Edu,MATCH("Engineering &amp; Development|A1|A",RBD_KEY,0)),"M")</f>
        <v>L</v>
      </c>
      <c r="Q215" s="73">
        <f>IF(J215="","",IFERROR(INDEX(LMH_PTS,MATCH(J215,LMH_KEY,0))/SUM(IFERROR(INDEX(LMH_PTS,MATCH(J215,LMH_KEY,0)),0),IFERROR(INDEX(LMH_PTS,MATCH(K215,LMH_KEY,0)),0),IFERROR(INDEX(LMH_PTS,MATCH(L215,LMH_KEY,0)),0),IFERROR(INDEX(LMH_PTS,MATCH(M215,LMH_KEY,0)),0),IFERROR(INDEX(LMH_PTS,MATCH(N215,LMH_KEY,0)),0),IFERROR(INDEX(LMH_PTS,MATCH(O215,LMH_KEY,0)),0),IFERROR(INDEX(LMH_PTS,MATCH(P215,LMH_KEY,0)),0)),""))</f>
        <v>0.529411764705882</v>
      </c>
      <c r="R215" s="74">
        <f>IF(K215="","",IFERROR(INDEX(LMH_PTS,MATCH(K215,LMH_KEY,0))/SUM(IFERROR(INDEX(LMH_PTS,MATCH(J215,LMH_KEY,0)),0),IFERROR(INDEX(LMH_PTS,MATCH(K215,LMH_KEY,0)),0),IFERROR(INDEX(LMH_PTS,MATCH(L215,LMH_KEY,0)),0),IFERROR(INDEX(LMH_PTS,MATCH(M215,LMH_KEY,0)),0),IFERROR(INDEX(LMH_PTS,MATCH(N215,LMH_KEY,0)),0),IFERROR(INDEX(LMH_PTS,MATCH(O215,LMH_KEY,0)),0),IFERROR(INDEX(LMH_PTS,MATCH(P215,LMH_KEY,0)),0)),""))</f>
        <v>0.176470588235294</v>
      </c>
      <c r="S215" s="74">
        <f>IF(L215="","",IFERROR(INDEX(LMH_PTS,MATCH(L215,LMH_KEY,0))/SUM(IFERROR(INDEX(LMH_PTS,MATCH(J215,LMH_KEY,0)),0),IFERROR(INDEX(LMH_PTS,MATCH(K215,LMH_KEY,0)),0),IFERROR(INDEX(LMH_PTS,MATCH(L215,LMH_KEY,0)),0),IFERROR(INDEX(LMH_PTS,MATCH(M215,LMH_KEY,0)),0),IFERROR(INDEX(LMH_PTS,MATCH(N215,LMH_KEY,0)),0),IFERROR(INDEX(LMH_PTS,MATCH(O215,LMH_KEY,0)),0),IFERROR(INDEX(LMH_PTS,MATCH(P215,LMH_KEY,0)),0)),""))</f>
        <v>0.0588235294117647</v>
      </c>
      <c r="T215" s="74">
        <f>IF(M215="","",IFERROR(INDEX(LMH_PTS,MATCH(M215,LMH_KEY,0))/SUM(IFERROR(INDEX(LMH_PTS,MATCH(J215,LMH_KEY,0)),0),IFERROR(INDEX(LMH_PTS,MATCH(K215,LMH_KEY,0)),0),IFERROR(INDEX(LMH_PTS,MATCH(L215,LMH_KEY,0)),0),IFERROR(INDEX(LMH_PTS,MATCH(M215,LMH_KEY,0)),0),IFERROR(INDEX(LMH_PTS,MATCH(N215,LMH_KEY,0)),0),IFERROR(INDEX(LMH_PTS,MATCH(O215,LMH_KEY,0)),0),IFERROR(INDEX(LMH_PTS,MATCH(P215,LMH_KEY,0)),0)),""))</f>
        <v>0.0588235294117647</v>
      </c>
      <c r="U215" s="74">
        <f>IF(N215="","",IFERROR(INDEX(LMH_PTS,MATCH(N215,LMH_KEY,0))/SUM(IFERROR(INDEX(LMH_PTS,MATCH(J215,LMH_KEY,0)),0),IFERROR(INDEX(LMH_PTS,MATCH(K215,LMH_KEY,0)),0),IFERROR(INDEX(LMH_PTS,MATCH(L215,LMH_KEY,0)),0),IFERROR(INDEX(LMH_PTS,MATCH(M215,LMH_KEY,0)),0),IFERROR(INDEX(LMH_PTS,MATCH(N215,LMH_KEY,0)),0),IFERROR(INDEX(LMH_PTS,MATCH(O215,LMH_KEY,0)),0),IFERROR(INDEX(LMH_PTS,MATCH(P215,LMH_KEY,0)),0)),""))</f>
        <v>0.0588235294117647</v>
      </c>
      <c r="V215" s="74">
        <f>IF(O215="","",IFERROR(INDEX(LMH_PTS,MATCH(O215,LMH_KEY,0))/SUM(IFERROR(INDEX(LMH_PTS,MATCH(J215,LMH_KEY,0)),0),IFERROR(INDEX(LMH_PTS,MATCH(K215,LMH_KEY,0)),0),IFERROR(INDEX(LMH_PTS,MATCH(L215,LMH_KEY,0)),0),IFERROR(INDEX(LMH_PTS,MATCH(M215,LMH_KEY,0)),0),IFERROR(INDEX(LMH_PTS,MATCH(N215,LMH_KEY,0)),0),IFERROR(INDEX(LMH_PTS,MATCH(O215,LMH_KEY,0)),0),IFERROR(INDEX(LMH_PTS,MATCH(P215,LMH_KEY,0)),0)),""))</f>
        <v>0.0588235294117647</v>
      </c>
      <c r="W215" s="74">
        <f>IF(P215="","",IFERROR(INDEX(LMH_PTS,MATCH(P215,LMH_KEY,0))/SUM(IFERROR(INDEX(LMH_PTS,MATCH(J215,LMH_KEY,0)),0),IFERROR(INDEX(LMH_PTS,MATCH(K215,LMH_KEY,0)),0),IFERROR(INDEX(LMH_PTS,MATCH(L215,LMH_KEY,0)),0),IFERROR(INDEX(LMH_PTS,MATCH(M215,LMH_KEY,0)),0),IFERROR(INDEX(LMH_PTS,MATCH(N215,LMH_KEY,0)),0),IFERROR(INDEX(LMH_PTS,MATCH(O215,LMH_KEY,0)),0),IFERROR(INDEX(LMH_PTS,MATCH(P215,LMH_KEY,0)),0)),""))</f>
        <v>0.0588235294117647</v>
      </c>
      <c r="X215" s="44" t="n"/>
      <c r="Y215" s="38" t="inlineStr">
        <is>
          <t>iFile|Technology|Intern – Software Development|A1|A</t>
        </is>
      </c>
    </row>
    <row r="216" ht="18" customHeight="1">
      <c r="A216" s="28" t="inlineStr">
        <is>
          <t>iFile</t>
        </is>
      </c>
      <c r="B216" s="29" t="inlineStr">
        <is>
          <t>Technology</t>
        </is>
      </c>
      <c r="C216" s="75" t="inlineStr">
        <is>
          <t>A1</t>
        </is>
      </c>
      <c r="D216" s="29" t="inlineStr">
        <is>
          <t>Band A · Practitioner</t>
        </is>
      </c>
      <c r="E216" s="29" t="inlineStr">
        <is>
          <t>Trainee AI/ML Engineer</t>
        </is>
      </c>
      <c r="F216" s="29" t="inlineStr">
        <is>
          <t>Band A · all tracks</t>
        </is>
      </c>
      <c r="G216" s="29" t="inlineStr">
        <is>
          <t>Engineering &amp; Development</t>
        </is>
      </c>
      <c r="H216" s="29" t="n">
        <v>1</v>
      </c>
      <c r="I216" s="29" t="inlineStr">
        <is>
          <t>Vinay Gajula</t>
        </is>
      </c>
      <c r="J216" s="34" t="str">
        <f>IFERROR(INDEX(RBD_C,MATCH("Engineering &amp; Development|A1|A",RBD_KEY,0)),"M")</f>
        <v>H</v>
      </c>
      <c r="K216" s="35" t="str">
        <f>IFERROR(INDEX(RBD_Au,MATCH("Engineering &amp; Development|A1|A",RBD_KEY,0)),"M")</f>
        <v>M</v>
      </c>
      <c r="L216" s="35" t="str">
        <f>IFERROR(INDEX(RBD_Ac,MATCH("Engineering &amp; Development|A1|A",RBD_KEY,0)),"M")</f>
        <v>L</v>
      </c>
      <c r="M216" s="35" t="str">
        <f>IFERROR(INDEX(RBD_L,MATCH("Engineering &amp; Development|A1|A",RBD_KEY,0)),"M")</f>
        <v>L</v>
      </c>
      <c r="N216" s="35" t="str">
        <f>IFERROR(INDEX(RBD_BI,MATCH("Engineering &amp; Development|A1|A",RBD_KEY,0)),"M")</f>
        <v>L</v>
      </c>
      <c r="O216" s="35" t="str">
        <f>IFERROR(INDEX(RBD_Exp,MATCH("Engineering &amp; Development|A1|A",RBD_KEY,0)),"M")</f>
        <v>L</v>
      </c>
      <c r="P216" s="35" t="str">
        <f>IFERROR(INDEX(RBD_Edu,MATCH("Engineering &amp; Development|A1|A",RBD_KEY,0)),"M")</f>
        <v>L</v>
      </c>
      <c r="Q216" s="73">
        <f>IF(J216="","",IFERROR(INDEX(LMH_PTS,MATCH(J216,LMH_KEY,0))/SUM(IFERROR(INDEX(LMH_PTS,MATCH(J216,LMH_KEY,0)),0),IFERROR(INDEX(LMH_PTS,MATCH(K216,LMH_KEY,0)),0),IFERROR(INDEX(LMH_PTS,MATCH(L216,LMH_KEY,0)),0),IFERROR(INDEX(LMH_PTS,MATCH(M216,LMH_KEY,0)),0),IFERROR(INDEX(LMH_PTS,MATCH(N216,LMH_KEY,0)),0),IFERROR(INDEX(LMH_PTS,MATCH(O216,LMH_KEY,0)),0),IFERROR(INDEX(LMH_PTS,MATCH(P216,LMH_KEY,0)),0)),""))</f>
        <v>0.529411764705882</v>
      </c>
      <c r="R216" s="74">
        <f>IF(K216="","",IFERROR(INDEX(LMH_PTS,MATCH(K216,LMH_KEY,0))/SUM(IFERROR(INDEX(LMH_PTS,MATCH(J216,LMH_KEY,0)),0),IFERROR(INDEX(LMH_PTS,MATCH(K216,LMH_KEY,0)),0),IFERROR(INDEX(LMH_PTS,MATCH(L216,LMH_KEY,0)),0),IFERROR(INDEX(LMH_PTS,MATCH(M216,LMH_KEY,0)),0),IFERROR(INDEX(LMH_PTS,MATCH(N216,LMH_KEY,0)),0),IFERROR(INDEX(LMH_PTS,MATCH(O216,LMH_KEY,0)),0),IFERROR(INDEX(LMH_PTS,MATCH(P216,LMH_KEY,0)),0)),""))</f>
        <v>0.176470588235294</v>
      </c>
      <c r="S216" s="74">
        <f>IF(L216="","",IFERROR(INDEX(LMH_PTS,MATCH(L216,LMH_KEY,0))/SUM(IFERROR(INDEX(LMH_PTS,MATCH(J216,LMH_KEY,0)),0),IFERROR(INDEX(LMH_PTS,MATCH(K216,LMH_KEY,0)),0),IFERROR(INDEX(LMH_PTS,MATCH(L216,LMH_KEY,0)),0),IFERROR(INDEX(LMH_PTS,MATCH(M216,LMH_KEY,0)),0),IFERROR(INDEX(LMH_PTS,MATCH(N216,LMH_KEY,0)),0),IFERROR(INDEX(LMH_PTS,MATCH(O216,LMH_KEY,0)),0),IFERROR(INDEX(LMH_PTS,MATCH(P216,LMH_KEY,0)),0)),""))</f>
        <v>0.0588235294117647</v>
      </c>
      <c r="T216" s="74">
        <f>IF(M216="","",IFERROR(INDEX(LMH_PTS,MATCH(M216,LMH_KEY,0))/SUM(IFERROR(INDEX(LMH_PTS,MATCH(J216,LMH_KEY,0)),0),IFERROR(INDEX(LMH_PTS,MATCH(K216,LMH_KEY,0)),0),IFERROR(INDEX(LMH_PTS,MATCH(L216,LMH_KEY,0)),0),IFERROR(INDEX(LMH_PTS,MATCH(M216,LMH_KEY,0)),0),IFERROR(INDEX(LMH_PTS,MATCH(N216,LMH_KEY,0)),0),IFERROR(INDEX(LMH_PTS,MATCH(O216,LMH_KEY,0)),0),IFERROR(INDEX(LMH_PTS,MATCH(P216,LMH_KEY,0)),0)),""))</f>
        <v>0.0588235294117647</v>
      </c>
      <c r="U216" s="74">
        <f>IF(N216="","",IFERROR(INDEX(LMH_PTS,MATCH(N216,LMH_KEY,0))/SUM(IFERROR(INDEX(LMH_PTS,MATCH(J216,LMH_KEY,0)),0),IFERROR(INDEX(LMH_PTS,MATCH(K216,LMH_KEY,0)),0),IFERROR(INDEX(LMH_PTS,MATCH(L216,LMH_KEY,0)),0),IFERROR(INDEX(LMH_PTS,MATCH(M216,LMH_KEY,0)),0),IFERROR(INDEX(LMH_PTS,MATCH(N216,LMH_KEY,0)),0),IFERROR(INDEX(LMH_PTS,MATCH(O216,LMH_KEY,0)),0),IFERROR(INDEX(LMH_PTS,MATCH(P216,LMH_KEY,0)),0)),""))</f>
        <v>0.0588235294117647</v>
      </c>
      <c r="V216" s="74">
        <f>IF(O216="","",IFERROR(INDEX(LMH_PTS,MATCH(O216,LMH_KEY,0))/SUM(IFERROR(INDEX(LMH_PTS,MATCH(J216,LMH_KEY,0)),0),IFERROR(INDEX(LMH_PTS,MATCH(K216,LMH_KEY,0)),0),IFERROR(INDEX(LMH_PTS,MATCH(L216,LMH_KEY,0)),0),IFERROR(INDEX(LMH_PTS,MATCH(M216,LMH_KEY,0)),0),IFERROR(INDEX(LMH_PTS,MATCH(N216,LMH_KEY,0)),0),IFERROR(INDEX(LMH_PTS,MATCH(O216,LMH_KEY,0)),0),IFERROR(INDEX(LMH_PTS,MATCH(P216,LMH_KEY,0)),0)),""))</f>
        <v>0.0588235294117647</v>
      </c>
      <c r="W216" s="74">
        <f>IF(P216="","",IFERROR(INDEX(LMH_PTS,MATCH(P216,LMH_KEY,0))/SUM(IFERROR(INDEX(LMH_PTS,MATCH(J216,LMH_KEY,0)),0),IFERROR(INDEX(LMH_PTS,MATCH(K216,LMH_KEY,0)),0),IFERROR(INDEX(LMH_PTS,MATCH(L216,LMH_KEY,0)),0),IFERROR(INDEX(LMH_PTS,MATCH(M216,LMH_KEY,0)),0),IFERROR(INDEX(LMH_PTS,MATCH(N216,LMH_KEY,0)),0),IFERROR(INDEX(LMH_PTS,MATCH(O216,LMH_KEY,0)),0),IFERROR(INDEX(LMH_PTS,MATCH(P216,LMH_KEY,0)),0)),""))</f>
        <v>0.0588235294117647</v>
      </c>
      <c r="X216" s="44" t="n"/>
      <c r="Y216" s="38" t="inlineStr">
        <is>
          <t>iFile|Technology|Trainee AI/ML Engineer|A1|A</t>
        </is>
      </c>
    </row>
    <row r="217" ht="18" customHeight="1">
      <c r="A217" s="28" t="inlineStr">
        <is>
          <t>iFile</t>
        </is>
      </c>
      <c r="B217" s="29" t="inlineStr">
        <is>
          <t>Technology</t>
        </is>
      </c>
      <c r="C217" s="75" t="inlineStr">
        <is>
          <t>A1</t>
        </is>
      </c>
      <c r="D217" s="29" t="inlineStr">
        <is>
          <t>Band A · Practitioner</t>
        </is>
      </c>
      <c r="E217" s="29" t="inlineStr">
        <is>
          <t>Trainee Business Analyst</t>
        </is>
      </c>
      <c r="F217" s="29" t="inlineStr">
        <is>
          <t>Band A · all tracks</t>
        </is>
      </c>
      <c r="G217" s="29" t="inlineStr">
        <is>
          <t>Business Analysis</t>
        </is>
      </c>
      <c r="H217" s="29" t="n">
        <v>1</v>
      </c>
      <c r="I217" s="29" t="inlineStr">
        <is>
          <t>Parmesh Vala</t>
        </is>
      </c>
      <c r="J217" s="34" t="str">
        <f>IFERROR(INDEX(RBD_C,MATCH("Business Analysis|A1|A",RBD_KEY,0)),"M")</f>
        <v>H</v>
      </c>
      <c r="K217" s="35" t="str">
        <f>IFERROR(INDEX(RBD_Au,MATCH("Business Analysis|A1|A",RBD_KEY,0)),"M")</f>
        <v>M</v>
      </c>
      <c r="L217" s="35" t="str">
        <f>IFERROR(INDEX(RBD_Ac,MATCH("Business Analysis|A1|A",RBD_KEY,0)),"M")</f>
        <v>L</v>
      </c>
      <c r="M217" s="35" t="str">
        <f>IFERROR(INDEX(RBD_L,MATCH("Business Analysis|A1|A",RBD_KEY,0)),"M")</f>
        <v>L</v>
      </c>
      <c r="N217" s="35" t="str">
        <f>IFERROR(INDEX(RBD_BI,MATCH("Business Analysis|A1|A",RBD_KEY,0)),"M")</f>
        <v>L</v>
      </c>
      <c r="O217" s="35" t="str">
        <f>IFERROR(INDEX(RBD_Exp,MATCH("Business Analysis|A1|A",RBD_KEY,0)),"M")</f>
        <v>L</v>
      </c>
      <c r="P217" s="35" t="str">
        <f>IFERROR(INDEX(RBD_Edu,MATCH("Business Analysis|A1|A",RBD_KEY,0)),"M")</f>
        <v>L</v>
      </c>
      <c r="Q217" s="73">
        <f>IF(J217="","",IFERROR(INDEX(LMH_PTS,MATCH(J217,LMH_KEY,0))/SUM(IFERROR(INDEX(LMH_PTS,MATCH(J217,LMH_KEY,0)),0),IFERROR(INDEX(LMH_PTS,MATCH(K217,LMH_KEY,0)),0),IFERROR(INDEX(LMH_PTS,MATCH(L217,LMH_KEY,0)),0),IFERROR(INDEX(LMH_PTS,MATCH(M217,LMH_KEY,0)),0),IFERROR(INDEX(LMH_PTS,MATCH(N217,LMH_KEY,0)),0),IFERROR(INDEX(LMH_PTS,MATCH(O217,LMH_KEY,0)),0),IFERROR(INDEX(LMH_PTS,MATCH(P217,LMH_KEY,0)),0)),""))</f>
        <v>0.529411764705882</v>
      </c>
      <c r="R217" s="74">
        <f>IF(K217="","",IFERROR(INDEX(LMH_PTS,MATCH(K217,LMH_KEY,0))/SUM(IFERROR(INDEX(LMH_PTS,MATCH(J217,LMH_KEY,0)),0),IFERROR(INDEX(LMH_PTS,MATCH(K217,LMH_KEY,0)),0),IFERROR(INDEX(LMH_PTS,MATCH(L217,LMH_KEY,0)),0),IFERROR(INDEX(LMH_PTS,MATCH(M217,LMH_KEY,0)),0),IFERROR(INDEX(LMH_PTS,MATCH(N217,LMH_KEY,0)),0),IFERROR(INDEX(LMH_PTS,MATCH(O217,LMH_KEY,0)),0),IFERROR(INDEX(LMH_PTS,MATCH(P217,LMH_KEY,0)),0)),""))</f>
        <v>0.176470588235294</v>
      </c>
      <c r="S217" s="74">
        <f>IF(L217="","",IFERROR(INDEX(LMH_PTS,MATCH(L217,LMH_KEY,0))/SUM(IFERROR(INDEX(LMH_PTS,MATCH(J217,LMH_KEY,0)),0),IFERROR(INDEX(LMH_PTS,MATCH(K217,LMH_KEY,0)),0),IFERROR(INDEX(LMH_PTS,MATCH(L217,LMH_KEY,0)),0),IFERROR(INDEX(LMH_PTS,MATCH(M217,LMH_KEY,0)),0),IFERROR(INDEX(LMH_PTS,MATCH(N217,LMH_KEY,0)),0),IFERROR(INDEX(LMH_PTS,MATCH(O217,LMH_KEY,0)),0),IFERROR(INDEX(LMH_PTS,MATCH(P217,LMH_KEY,0)),0)),""))</f>
        <v>0.0588235294117647</v>
      </c>
      <c r="T217" s="74">
        <f>IF(M217="","",IFERROR(INDEX(LMH_PTS,MATCH(M217,LMH_KEY,0))/SUM(IFERROR(INDEX(LMH_PTS,MATCH(J217,LMH_KEY,0)),0),IFERROR(INDEX(LMH_PTS,MATCH(K217,LMH_KEY,0)),0),IFERROR(INDEX(LMH_PTS,MATCH(L217,LMH_KEY,0)),0),IFERROR(INDEX(LMH_PTS,MATCH(M217,LMH_KEY,0)),0),IFERROR(INDEX(LMH_PTS,MATCH(N217,LMH_KEY,0)),0),IFERROR(INDEX(LMH_PTS,MATCH(O217,LMH_KEY,0)),0),IFERROR(INDEX(LMH_PTS,MATCH(P217,LMH_KEY,0)),0)),""))</f>
        <v>0.0588235294117647</v>
      </c>
      <c r="U217" s="74">
        <f>IF(N217="","",IFERROR(INDEX(LMH_PTS,MATCH(N217,LMH_KEY,0))/SUM(IFERROR(INDEX(LMH_PTS,MATCH(J217,LMH_KEY,0)),0),IFERROR(INDEX(LMH_PTS,MATCH(K217,LMH_KEY,0)),0),IFERROR(INDEX(LMH_PTS,MATCH(L217,LMH_KEY,0)),0),IFERROR(INDEX(LMH_PTS,MATCH(M217,LMH_KEY,0)),0),IFERROR(INDEX(LMH_PTS,MATCH(N217,LMH_KEY,0)),0),IFERROR(INDEX(LMH_PTS,MATCH(O217,LMH_KEY,0)),0),IFERROR(INDEX(LMH_PTS,MATCH(P217,LMH_KEY,0)),0)),""))</f>
        <v>0.0588235294117647</v>
      </c>
      <c r="V217" s="74">
        <f>IF(O217="","",IFERROR(INDEX(LMH_PTS,MATCH(O217,LMH_KEY,0))/SUM(IFERROR(INDEX(LMH_PTS,MATCH(J217,LMH_KEY,0)),0),IFERROR(INDEX(LMH_PTS,MATCH(K217,LMH_KEY,0)),0),IFERROR(INDEX(LMH_PTS,MATCH(L217,LMH_KEY,0)),0),IFERROR(INDEX(LMH_PTS,MATCH(M217,LMH_KEY,0)),0),IFERROR(INDEX(LMH_PTS,MATCH(N217,LMH_KEY,0)),0),IFERROR(INDEX(LMH_PTS,MATCH(O217,LMH_KEY,0)),0),IFERROR(INDEX(LMH_PTS,MATCH(P217,LMH_KEY,0)),0)),""))</f>
        <v>0.0588235294117647</v>
      </c>
      <c r="W217" s="74">
        <f>IF(P217="","",IFERROR(INDEX(LMH_PTS,MATCH(P217,LMH_KEY,0))/SUM(IFERROR(INDEX(LMH_PTS,MATCH(J217,LMH_KEY,0)),0),IFERROR(INDEX(LMH_PTS,MATCH(K217,LMH_KEY,0)),0),IFERROR(INDEX(LMH_PTS,MATCH(L217,LMH_KEY,0)),0),IFERROR(INDEX(LMH_PTS,MATCH(M217,LMH_KEY,0)),0),IFERROR(INDEX(LMH_PTS,MATCH(N217,LMH_KEY,0)),0),IFERROR(INDEX(LMH_PTS,MATCH(O217,LMH_KEY,0)),0),IFERROR(INDEX(LMH_PTS,MATCH(P217,LMH_KEY,0)),0)),""))</f>
        <v>0.0588235294117647</v>
      </c>
      <c r="X217" s="44" t="n"/>
      <c r="Y217" s="38" t="inlineStr">
        <is>
          <t>iFile|Technology|Trainee Business Analyst|A1|A</t>
        </is>
      </c>
    </row>
    <row r="218" ht="28" customHeight="1">
      <c r="A218" s="28" t="inlineStr">
        <is>
          <t>iFile</t>
        </is>
      </c>
      <c r="B218" s="29" t="inlineStr">
        <is>
          <t>Technology</t>
        </is>
      </c>
      <c r="C218" s="75" t="inlineStr">
        <is>
          <t>A1</t>
        </is>
      </c>
      <c r="D218" s="29" t="inlineStr">
        <is>
          <t>Band A · Practitioner</t>
        </is>
      </c>
      <c r="E218" s="29" t="inlineStr">
        <is>
          <t>Trainee Software Engineer</t>
        </is>
      </c>
      <c r="F218" s="29" t="inlineStr">
        <is>
          <t>Band A · all tracks</t>
        </is>
      </c>
      <c r="G218" s="29" t="inlineStr">
        <is>
          <t>Engineering &amp; Development</t>
        </is>
      </c>
      <c r="H218" s="29" t="n">
        <v>3</v>
      </c>
      <c r="I218" s="29" t="inlineStr">
        <is>
          <t>Mayuresh Raghunath Mahale, Rushikesh Shrikhande, Amaan Ullah</t>
        </is>
      </c>
      <c r="J218" s="34" t="str">
        <f>IFERROR(INDEX(RBD_C,MATCH("Engineering &amp; Development|A1|A",RBD_KEY,0)),"M")</f>
        <v>H</v>
      </c>
      <c r="K218" s="35" t="str">
        <f>IFERROR(INDEX(RBD_Au,MATCH("Engineering &amp; Development|A1|A",RBD_KEY,0)),"M")</f>
        <v>M</v>
      </c>
      <c r="L218" s="35" t="str">
        <f>IFERROR(INDEX(RBD_Ac,MATCH("Engineering &amp; Development|A1|A",RBD_KEY,0)),"M")</f>
        <v>L</v>
      </c>
      <c r="M218" s="35" t="str">
        <f>IFERROR(INDEX(RBD_L,MATCH("Engineering &amp; Development|A1|A",RBD_KEY,0)),"M")</f>
        <v>L</v>
      </c>
      <c r="N218" s="35" t="str">
        <f>IFERROR(INDEX(RBD_BI,MATCH("Engineering &amp; Development|A1|A",RBD_KEY,0)),"M")</f>
        <v>L</v>
      </c>
      <c r="O218" s="35" t="str">
        <f>IFERROR(INDEX(RBD_Exp,MATCH("Engineering &amp; Development|A1|A",RBD_KEY,0)),"M")</f>
        <v>L</v>
      </c>
      <c r="P218" s="35" t="str">
        <f>IFERROR(INDEX(RBD_Edu,MATCH("Engineering &amp; Development|A1|A",RBD_KEY,0)),"M")</f>
        <v>L</v>
      </c>
      <c r="Q218" s="73">
        <f>IF(J218="","",IFERROR(INDEX(LMH_PTS,MATCH(J218,LMH_KEY,0))/SUM(IFERROR(INDEX(LMH_PTS,MATCH(J218,LMH_KEY,0)),0),IFERROR(INDEX(LMH_PTS,MATCH(K218,LMH_KEY,0)),0),IFERROR(INDEX(LMH_PTS,MATCH(L218,LMH_KEY,0)),0),IFERROR(INDEX(LMH_PTS,MATCH(M218,LMH_KEY,0)),0),IFERROR(INDEX(LMH_PTS,MATCH(N218,LMH_KEY,0)),0),IFERROR(INDEX(LMH_PTS,MATCH(O218,LMH_KEY,0)),0),IFERROR(INDEX(LMH_PTS,MATCH(P218,LMH_KEY,0)),0)),""))</f>
        <v>0.529411764705882</v>
      </c>
      <c r="R218" s="74">
        <f>IF(K218="","",IFERROR(INDEX(LMH_PTS,MATCH(K218,LMH_KEY,0))/SUM(IFERROR(INDEX(LMH_PTS,MATCH(J218,LMH_KEY,0)),0),IFERROR(INDEX(LMH_PTS,MATCH(K218,LMH_KEY,0)),0),IFERROR(INDEX(LMH_PTS,MATCH(L218,LMH_KEY,0)),0),IFERROR(INDEX(LMH_PTS,MATCH(M218,LMH_KEY,0)),0),IFERROR(INDEX(LMH_PTS,MATCH(N218,LMH_KEY,0)),0),IFERROR(INDEX(LMH_PTS,MATCH(O218,LMH_KEY,0)),0),IFERROR(INDEX(LMH_PTS,MATCH(P218,LMH_KEY,0)),0)),""))</f>
        <v>0.176470588235294</v>
      </c>
      <c r="S218" s="74">
        <f>IF(L218="","",IFERROR(INDEX(LMH_PTS,MATCH(L218,LMH_KEY,0))/SUM(IFERROR(INDEX(LMH_PTS,MATCH(J218,LMH_KEY,0)),0),IFERROR(INDEX(LMH_PTS,MATCH(K218,LMH_KEY,0)),0),IFERROR(INDEX(LMH_PTS,MATCH(L218,LMH_KEY,0)),0),IFERROR(INDEX(LMH_PTS,MATCH(M218,LMH_KEY,0)),0),IFERROR(INDEX(LMH_PTS,MATCH(N218,LMH_KEY,0)),0),IFERROR(INDEX(LMH_PTS,MATCH(O218,LMH_KEY,0)),0),IFERROR(INDEX(LMH_PTS,MATCH(P218,LMH_KEY,0)),0)),""))</f>
        <v>0.0588235294117647</v>
      </c>
      <c r="T218" s="74">
        <f>IF(M218="","",IFERROR(INDEX(LMH_PTS,MATCH(M218,LMH_KEY,0))/SUM(IFERROR(INDEX(LMH_PTS,MATCH(J218,LMH_KEY,0)),0),IFERROR(INDEX(LMH_PTS,MATCH(K218,LMH_KEY,0)),0),IFERROR(INDEX(LMH_PTS,MATCH(L218,LMH_KEY,0)),0),IFERROR(INDEX(LMH_PTS,MATCH(M218,LMH_KEY,0)),0),IFERROR(INDEX(LMH_PTS,MATCH(N218,LMH_KEY,0)),0),IFERROR(INDEX(LMH_PTS,MATCH(O218,LMH_KEY,0)),0),IFERROR(INDEX(LMH_PTS,MATCH(P218,LMH_KEY,0)),0)),""))</f>
        <v>0.0588235294117647</v>
      </c>
      <c r="U218" s="74">
        <f>IF(N218="","",IFERROR(INDEX(LMH_PTS,MATCH(N218,LMH_KEY,0))/SUM(IFERROR(INDEX(LMH_PTS,MATCH(J218,LMH_KEY,0)),0),IFERROR(INDEX(LMH_PTS,MATCH(K218,LMH_KEY,0)),0),IFERROR(INDEX(LMH_PTS,MATCH(L218,LMH_KEY,0)),0),IFERROR(INDEX(LMH_PTS,MATCH(M218,LMH_KEY,0)),0),IFERROR(INDEX(LMH_PTS,MATCH(N218,LMH_KEY,0)),0),IFERROR(INDEX(LMH_PTS,MATCH(O218,LMH_KEY,0)),0),IFERROR(INDEX(LMH_PTS,MATCH(P218,LMH_KEY,0)),0)),""))</f>
        <v>0.0588235294117647</v>
      </c>
      <c r="V218" s="74">
        <f>IF(O218="","",IFERROR(INDEX(LMH_PTS,MATCH(O218,LMH_KEY,0))/SUM(IFERROR(INDEX(LMH_PTS,MATCH(J218,LMH_KEY,0)),0),IFERROR(INDEX(LMH_PTS,MATCH(K218,LMH_KEY,0)),0),IFERROR(INDEX(LMH_PTS,MATCH(L218,LMH_KEY,0)),0),IFERROR(INDEX(LMH_PTS,MATCH(M218,LMH_KEY,0)),0),IFERROR(INDEX(LMH_PTS,MATCH(N218,LMH_KEY,0)),0),IFERROR(INDEX(LMH_PTS,MATCH(O218,LMH_KEY,0)),0),IFERROR(INDEX(LMH_PTS,MATCH(P218,LMH_KEY,0)),0)),""))</f>
        <v>0.0588235294117647</v>
      </c>
      <c r="W218" s="74">
        <f>IF(P218="","",IFERROR(INDEX(LMH_PTS,MATCH(P218,LMH_KEY,0))/SUM(IFERROR(INDEX(LMH_PTS,MATCH(J218,LMH_KEY,0)),0),IFERROR(INDEX(LMH_PTS,MATCH(K218,LMH_KEY,0)),0),IFERROR(INDEX(LMH_PTS,MATCH(L218,LMH_KEY,0)),0),IFERROR(INDEX(LMH_PTS,MATCH(M218,LMH_KEY,0)),0),IFERROR(INDEX(LMH_PTS,MATCH(N218,LMH_KEY,0)),0),IFERROR(INDEX(LMH_PTS,MATCH(O218,LMH_KEY,0)),0),IFERROR(INDEX(LMH_PTS,MATCH(P218,LMH_KEY,0)),0)),""))</f>
        <v>0.0588235294117647</v>
      </c>
      <c r="X218" s="44" t="n"/>
      <c r="Y218" s="38" t="inlineStr">
        <is>
          <t>iFile|Technology|Trainee Software Engineer|A1|A</t>
        </is>
      </c>
    </row>
    <row r="219" ht="90.5" customHeight="1">
      <c r="A219" s="28" t="inlineStr">
        <is>
          <t>iFile</t>
        </is>
      </c>
      <c r="B219" s="29" t="inlineStr">
        <is>
          <t>Technology</t>
        </is>
      </c>
      <c r="C219" s="76" t="inlineStr">
        <is>
          <t>X1</t>
        </is>
      </c>
      <c r="D219" s="29" t="inlineStr">
        <is>
          <t>Band X · Consultant</t>
        </is>
      </c>
      <c r="E219" s="29" t="inlineStr">
        <is>
          <t>Associate Consultant – Software Development</t>
        </is>
      </c>
      <c r="F219" s="29" t="inlineStr">
        <is>
          <t>Consultant</t>
        </is>
      </c>
      <c r="G219" s="29" t="inlineStr">
        <is>
          <t>Engineering &amp; Development</t>
        </is>
      </c>
      <c r="H219" s="29" t="n">
        <v>13</v>
      </c>
      <c r="I219" s="29" t="inlineStr">
        <is>
          <t>Aloke Chatterjee, Bhumika Viroja, Dhruv Patel, Dinesh Choudhary, Falguni, Hardikraja, Jay Kalariya, Nilimesh Baruah, Peshal Jha, Poonam Rajput, Shifa Salheen, Snnehasis Debyans, Vivek Kumar Singh</t>
        </is>
      </c>
      <c r="J219" s="34" t="n"/>
      <c r="K219" s="35" t="n"/>
      <c r="L219" s="35" t="n"/>
      <c r="M219" s="35" t="n"/>
      <c r="N219" s="35" t="n"/>
      <c r="O219" s="35" t="n"/>
      <c r="P219" s="35" t="n"/>
      <c r="Q219" s="73" t="str">
        <f>IF(J219="","",IFERROR(INDEX(LMH_PTS,MATCH(J219,LMH_KEY,0))/SUM(IFERROR(INDEX(LMH_PTS,MATCH(J219,LMH_KEY,0)),0),IFERROR(INDEX(LMH_PTS,MATCH(K219,LMH_KEY,0)),0),IFERROR(INDEX(LMH_PTS,MATCH(L219,LMH_KEY,0)),0),IFERROR(INDEX(LMH_PTS,MATCH(M219,LMH_KEY,0)),0),IFERROR(INDEX(LMH_PTS,MATCH(N219,LMH_KEY,0)),0),IFERROR(INDEX(LMH_PTS,MATCH(O219,LMH_KEY,0)),0),IFERROR(INDEX(LMH_PTS,MATCH(P219,LMH_KEY,0)),0)),""))</f>
        <v/>
      </c>
      <c r="R219" s="74" t="str">
        <f>IF(K219="","",IFERROR(INDEX(LMH_PTS,MATCH(K219,LMH_KEY,0))/SUM(IFERROR(INDEX(LMH_PTS,MATCH(J219,LMH_KEY,0)),0),IFERROR(INDEX(LMH_PTS,MATCH(K219,LMH_KEY,0)),0),IFERROR(INDEX(LMH_PTS,MATCH(L219,LMH_KEY,0)),0),IFERROR(INDEX(LMH_PTS,MATCH(M219,LMH_KEY,0)),0),IFERROR(INDEX(LMH_PTS,MATCH(N219,LMH_KEY,0)),0),IFERROR(INDEX(LMH_PTS,MATCH(O219,LMH_KEY,0)),0),IFERROR(INDEX(LMH_PTS,MATCH(P219,LMH_KEY,0)),0)),""))</f>
        <v/>
      </c>
      <c r="S219" s="74" t="str">
        <f>IF(L219="","",IFERROR(INDEX(LMH_PTS,MATCH(L219,LMH_KEY,0))/SUM(IFERROR(INDEX(LMH_PTS,MATCH(J219,LMH_KEY,0)),0),IFERROR(INDEX(LMH_PTS,MATCH(K219,LMH_KEY,0)),0),IFERROR(INDEX(LMH_PTS,MATCH(L219,LMH_KEY,0)),0),IFERROR(INDEX(LMH_PTS,MATCH(M219,LMH_KEY,0)),0),IFERROR(INDEX(LMH_PTS,MATCH(N219,LMH_KEY,0)),0),IFERROR(INDEX(LMH_PTS,MATCH(O219,LMH_KEY,0)),0),IFERROR(INDEX(LMH_PTS,MATCH(P219,LMH_KEY,0)),0)),""))</f>
        <v/>
      </c>
      <c r="T219" s="74" t="str">
        <f>IF(M219="","",IFERROR(INDEX(LMH_PTS,MATCH(M219,LMH_KEY,0))/SUM(IFERROR(INDEX(LMH_PTS,MATCH(J219,LMH_KEY,0)),0),IFERROR(INDEX(LMH_PTS,MATCH(K219,LMH_KEY,0)),0),IFERROR(INDEX(LMH_PTS,MATCH(L219,LMH_KEY,0)),0),IFERROR(INDEX(LMH_PTS,MATCH(M219,LMH_KEY,0)),0),IFERROR(INDEX(LMH_PTS,MATCH(N219,LMH_KEY,0)),0),IFERROR(INDEX(LMH_PTS,MATCH(O219,LMH_KEY,0)),0),IFERROR(INDEX(LMH_PTS,MATCH(P219,LMH_KEY,0)),0)),""))</f>
        <v/>
      </c>
      <c r="U219" s="74" t="str">
        <f>IF(N219="","",IFERROR(INDEX(LMH_PTS,MATCH(N219,LMH_KEY,0))/SUM(IFERROR(INDEX(LMH_PTS,MATCH(J219,LMH_KEY,0)),0),IFERROR(INDEX(LMH_PTS,MATCH(K219,LMH_KEY,0)),0),IFERROR(INDEX(LMH_PTS,MATCH(L219,LMH_KEY,0)),0),IFERROR(INDEX(LMH_PTS,MATCH(M219,LMH_KEY,0)),0),IFERROR(INDEX(LMH_PTS,MATCH(N219,LMH_KEY,0)),0),IFERROR(INDEX(LMH_PTS,MATCH(O219,LMH_KEY,0)),0),IFERROR(INDEX(LMH_PTS,MATCH(P219,LMH_KEY,0)),0)),""))</f>
        <v/>
      </c>
      <c r="V219" s="74" t="str">
        <f>IF(O219="","",IFERROR(INDEX(LMH_PTS,MATCH(O219,LMH_KEY,0))/SUM(IFERROR(INDEX(LMH_PTS,MATCH(J219,LMH_KEY,0)),0),IFERROR(INDEX(LMH_PTS,MATCH(K219,LMH_KEY,0)),0),IFERROR(INDEX(LMH_PTS,MATCH(L219,LMH_KEY,0)),0),IFERROR(INDEX(LMH_PTS,MATCH(M219,LMH_KEY,0)),0),IFERROR(INDEX(LMH_PTS,MATCH(N219,LMH_KEY,0)),0),IFERROR(INDEX(LMH_PTS,MATCH(O219,LMH_KEY,0)),0),IFERROR(INDEX(LMH_PTS,MATCH(P219,LMH_KEY,0)),0)),""))</f>
        <v/>
      </c>
      <c r="W219" s="74" t="str">
        <f>IF(P219="","",IFERROR(INDEX(LMH_PTS,MATCH(P219,LMH_KEY,0))/SUM(IFERROR(INDEX(LMH_PTS,MATCH(J219,LMH_KEY,0)),0),IFERROR(INDEX(LMH_PTS,MATCH(K219,LMH_KEY,0)),0),IFERROR(INDEX(LMH_PTS,MATCH(L219,LMH_KEY,0)),0),IFERROR(INDEX(LMH_PTS,MATCH(M219,LMH_KEY,0)),0),IFERROR(INDEX(LMH_PTS,MATCH(N219,LMH_KEY,0)),0),IFERROR(INDEX(LMH_PTS,MATCH(O219,LMH_KEY,0)),0),IFERROR(INDEX(LMH_PTS,MATCH(P219,LMH_KEY,0)),0)),""))</f>
        <v/>
      </c>
      <c r="X219" s="44" t="n"/>
      <c r="Y219" s="38" t="inlineStr">
        <is>
          <t>iFile|Technology|Associate Consultant – Software Development|X1|X</t>
        </is>
      </c>
    </row>
    <row r="220" ht="18" customHeight="1">
      <c r="A220" s="28" t="inlineStr">
        <is>
          <t>iFile</t>
        </is>
      </c>
      <c r="B220" s="71" t="inlineStr">
        <is>
          <t>XBRL Consulting</t>
        </is>
      </c>
      <c r="C220" s="78" t="inlineStr">
        <is>
          <t>C2</t>
        </is>
      </c>
      <c r="D220" s="29" t="inlineStr">
        <is>
          <t>Band C · Principal / Head</t>
        </is>
      </c>
      <c r="E220" s="29" t="inlineStr">
        <is>
          <t>Head – Consulting</t>
        </is>
      </c>
      <c r="F220" s="29" t="inlineStr">
        <is>
          <t>Band C · Head / manager</t>
        </is>
      </c>
      <c r="G220" s="29" t="inlineStr">
        <is>
          <t>Executive Leadership</t>
        </is>
      </c>
      <c r="H220" s="29" t="n">
        <v>1</v>
      </c>
      <c r="I220" s="29" t="inlineStr">
        <is>
          <t>Rahul Dhamne</t>
        </is>
      </c>
      <c r="J220" s="34" t="str">
        <f>IFERROR(INDEX(RBD_C,MATCH("Executive Leadership|C2|C-M",RBD_KEY,0)),"M")</f>
        <v>H</v>
      </c>
      <c r="K220" s="35" t="str">
        <f>IFERROR(INDEX(RBD_Au,MATCH("Executive Leadership|C2|C-M",RBD_KEY,0)),"M")</f>
        <v>M</v>
      </c>
      <c r="L220" s="35" t="str">
        <f>IFERROR(INDEX(RBD_Ac,MATCH("Executive Leadership|C2|C-M",RBD_KEY,0)),"M")</f>
        <v>M</v>
      </c>
      <c r="M220" s="35" t="str">
        <f>IFERROR(INDEX(RBD_L,MATCH("Executive Leadership|C2|C-M",RBD_KEY,0)),"M")</f>
        <v>M</v>
      </c>
      <c r="N220" s="35" t="str">
        <f>IFERROR(INDEX(RBD_BI,MATCH("Executive Leadership|C2|C-M",RBD_KEY,0)),"M")</f>
        <v>L</v>
      </c>
      <c r="O220" s="35" t="str">
        <f>IFERROR(INDEX(RBD_Exp,MATCH("Executive Leadership|C2|C-M",RBD_KEY,0)),"M")</f>
        <v>L</v>
      </c>
      <c r="P220" s="35" t="str">
        <f>IFERROR(INDEX(RBD_Edu,MATCH("Executive Leadership|C2|C-M",RBD_KEY,0)),"M")</f>
        <v>L</v>
      </c>
      <c r="Q220" s="73">
        <f>IF(J220="","",IFERROR(INDEX(LMH_PTS,MATCH(J220,LMH_KEY,0))/SUM(IFERROR(INDEX(LMH_PTS,MATCH(J220,LMH_KEY,0)),0),IFERROR(INDEX(LMH_PTS,MATCH(K220,LMH_KEY,0)),0),IFERROR(INDEX(LMH_PTS,MATCH(L220,LMH_KEY,0)),0),IFERROR(INDEX(LMH_PTS,MATCH(M220,LMH_KEY,0)),0),IFERROR(INDEX(LMH_PTS,MATCH(N220,LMH_KEY,0)),0),IFERROR(INDEX(LMH_PTS,MATCH(O220,LMH_KEY,0)),0),IFERROR(INDEX(LMH_PTS,MATCH(P220,LMH_KEY,0)),0)),""))</f>
        <v>0.428571428571429</v>
      </c>
      <c r="R220" s="74">
        <f>IF(K220="","",IFERROR(INDEX(LMH_PTS,MATCH(K220,LMH_KEY,0))/SUM(IFERROR(INDEX(LMH_PTS,MATCH(J220,LMH_KEY,0)),0),IFERROR(INDEX(LMH_PTS,MATCH(K220,LMH_KEY,0)),0),IFERROR(INDEX(LMH_PTS,MATCH(L220,LMH_KEY,0)),0),IFERROR(INDEX(LMH_PTS,MATCH(M220,LMH_KEY,0)),0),IFERROR(INDEX(LMH_PTS,MATCH(N220,LMH_KEY,0)),0),IFERROR(INDEX(LMH_PTS,MATCH(O220,LMH_KEY,0)),0),IFERROR(INDEX(LMH_PTS,MATCH(P220,LMH_KEY,0)),0)),""))</f>
        <v>0.142857142857143</v>
      </c>
      <c r="S220" s="74">
        <f>IF(L220="","",IFERROR(INDEX(LMH_PTS,MATCH(L220,LMH_KEY,0))/SUM(IFERROR(INDEX(LMH_PTS,MATCH(J220,LMH_KEY,0)),0),IFERROR(INDEX(LMH_PTS,MATCH(K220,LMH_KEY,0)),0),IFERROR(INDEX(LMH_PTS,MATCH(L220,LMH_KEY,0)),0),IFERROR(INDEX(LMH_PTS,MATCH(M220,LMH_KEY,0)),0),IFERROR(INDEX(LMH_PTS,MATCH(N220,LMH_KEY,0)),0),IFERROR(INDEX(LMH_PTS,MATCH(O220,LMH_KEY,0)),0),IFERROR(INDEX(LMH_PTS,MATCH(P220,LMH_KEY,0)),0)),""))</f>
        <v>0.142857142857143</v>
      </c>
      <c r="T220" s="74">
        <f>IF(M220="","",IFERROR(INDEX(LMH_PTS,MATCH(M220,LMH_KEY,0))/SUM(IFERROR(INDEX(LMH_PTS,MATCH(J220,LMH_KEY,0)),0),IFERROR(INDEX(LMH_PTS,MATCH(K220,LMH_KEY,0)),0),IFERROR(INDEX(LMH_PTS,MATCH(L220,LMH_KEY,0)),0),IFERROR(INDEX(LMH_PTS,MATCH(M220,LMH_KEY,0)),0),IFERROR(INDEX(LMH_PTS,MATCH(N220,LMH_KEY,0)),0),IFERROR(INDEX(LMH_PTS,MATCH(O220,LMH_KEY,0)),0),IFERROR(INDEX(LMH_PTS,MATCH(P220,LMH_KEY,0)),0)),""))</f>
        <v>0.142857142857143</v>
      </c>
      <c r="U220" s="74">
        <f>IF(N220="","",IFERROR(INDEX(LMH_PTS,MATCH(N220,LMH_KEY,0))/SUM(IFERROR(INDEX(LMH_PTS,MATCH(J220,LMH_KEY,0)),0),IFERROR(INDEX(LMH_PTS,MATCH(K220,LMH_KEY,0)),0),IFERROR(INDEX(LMH_PTS,MATCH(L220,LMH_KEY,0)),0),IFERROR(INDEX(LMH_PTS,MATCH(M220,LMH_KEY,0)),0),IFERROR(INDEX(LMH_PTS,MATCH(N220,LMH_KEY,0)),0),IFERROR(INDEX(LMH_PTS,MATCH(O220,LMH_KEY,0)),0),IFERROR(INDEX(LMH_PTS,MATCH(P220,LMH_KEY,0)),0)),""))</f>
        <v>0.0476190476190476</v>
      </c>
      <c r="V220" s="74">
        <f>IF(O220="","",IFERROR(INDEX(LMH_PTS,MATCH(O220,LMH_KEY,0))/SUM(IFERROR(INDEX(LMH_PTS,MATCH(J220,LMH_KEY,0)),0),IFERROR(INDEX(LMH_PTS,MATCH(K220,LMH_KEY,0)),0),IFERROR(INDEX(LMH_PTS,MATCH(L220,LMH_KEY,0)),0),IFERROR(INDEX(LMH_PTS,MATCH(M220,LMH_KEY,0)),0),IFERROR(INDEX(LMH_PTS,MATCH(N220,LMH_KEY,0)),0),IFERROR(INDEX(LMH_PTS,MATCH(O220,LMH_KEY,0)),0),IFERROR(INDEX(LMH_PTS,MATCH(P220,LMH_KEY,0)),0)),""))</f>
        <v>0.0476190476190476</v>
      </c>
      <c r="W220" s="74">
        <f>IF(P220="","",IFERROR(INDEX(LMH_PTS,MATCH(P220,LMH_KEY,0))/SUM(IFERROR(INDEX(LMH_PTS,MATCH(J220,LMH_KEY,0)),0),IFERROR(INDEX(LMH_PTS,MATCH(K220,LMH_KEY,0)),0),IFERROR(INDEX(LMH_PTS,MATCH(L220,LMH_KEY,0)),0),IFERROR(INDEX(LMH_PTS,MATCH(M220,LMH_KEY,0)),0),IFERROR(INDEX(LMH_PTS,MATCH(N220,LMH_KEY,0)),0),IFERROR(INDEX(LMH_PTS,MATCH(O220,LMH_KEY,0)),0),IFERROR(INDEX(LMH_PTS,MATCH(P220,LMH_KEY,0)),0)),""))</f>
        <v>0.0476190476190476</v>
      </c>
      <c r="X220" s="44" t="n"/>
      <c r="Y220" s="38" t="inlineStr">
        <is>
          <t>iFile|XBRL Consulting|Head – Consulting|C2|C-M</t>
        </is>
      </c>
    </row>
    <row r="221" ht="28" customHeight="1">
      <c r="A221" s="28" t="inlineStr">
        <is>
          <t>iFile</t>
        </is>
      </c>
      <c r="B221" s="29" t="inlineStr">
        <is>
          <t>XBRL Consulting</t>
        </is>
      </c>
      <c r="C221" s="72" t="inlineStr">
        <is>
          <t>B2</t>
        </is>
      </c>
      <c r="D221" s="29" t="inlineStr">
        <is>
          <t>Band B · Specialist / Manager</t>
        </is>
      </c>
      <c r="E221" s="29" t="inlineStr">
        <is>
          <t>Manager – Taxonomy Consulting</t>
        </is>
      </c>
      <c r="F221" s="29" t="inlineStr">
        <is>
          <t>Band B · People Manager</t>
        </is>
      </c>
      <c r="G221" s="29" t="inlineStr">
        <is>
          <t>Consulting &amp; Professional Services</t>
        </is>
      </c>
      <c r="H221" s="29" t="n">
        <v>1</v>
      </c>
      <c r="I221" s="29" t="inlineStr">
        <is>
          <t>Sujeet Rathod</t>
        </is>
      </c>
      <c r="J221" s="34" t="str">
        <f>IFERROR(INDEX(RBD_C,MATCH("Consulting &amp; Professional Services|B2|B-M",RBD_KEY,0)),"M")</f>
        <v>H</v>
      </c>
      <c r="K221" s="35" t="str">
        <f>IFERROR(INDEX(RBD_Au,MATCH("Consulting &amp; Professional Services|B2|B-M",RBD_KEY,0)),"M")</f>
        <v>M</v>
      </c>
      <c r="L221" s="35" t="str">
        <f>IFERROR(INDEX(RBD_Ac,MATCH("Consulting &amp; Professional Services|B2|B-M",RBD_KEY,0)),"M")</f>
        <v>M</v>
      </c>
      <c r="M221" s="35" t="str">
        <f>IFERROR(INDEX(RBD_L,MATCH("Consulting &amp; Professional Services|B2|B-M",RBD_KEY,0)),"M")</f>
        <v>M</v>
      </c>
      <c r="N221" s="35" t="str">
        <f>IFERROR(INDEX(RBD_BI,MATCH("Consulting &amp; Professional Services|B2|B-M",RBD_KEY,0)),"M")</f>
        <v>L</v>
      </c>
      <c r="O221" s="35" t="str">
        <f>IFERROR(INDEX(RBD_Exp,MATCH("Consulting &amp; Professional Services|B2|B-M",RBD_KEY,0)),"M")</f>
        <v>L</v>
      </c>
      <c r="P221" s="35" t="str">
        <f>IFERROR(INDEX(RBD_Edu,MATCH("Consulting &amp; Professional Services|B2|B-M",RBD_KEY,0)),"M")</f>
        <v>L</v>
      </c>
      <c r="Q221" s="73">
        <f>IF(J221="","",IFERROR(INDEX(LMH_PTS,MATCH(J221,LMH_KEY,0))/SUM(IFERROR(INDEX(LMH_PTS,MATCH(J221,LMH_KEY,0)),0),IFERROR(INDEX(LMH_PTS,MATCH(K221,LMH_KEY,0)),0),IFERROR(INDEX(LMH_PTS,MATCH(L221,LMH_KEY,0)),0),IFERROR(INDEX(LMH_PTS,MATCH(M221,LMH_KEY,0)),0),IFERROR(INDEX(LMH_PTS,MATCH(N221,LMH_KEY,0)),0),IFERROR(INDEX(LMH_PTS,MATCH(O221,LMH_KEY,0)),0),IFERROR(INDEX(LMH_PTS,MATCH(P221,LMH_KEY,0)),0)),""))</f>
        <v>0.428571428571429</v>
      </c>
      <c r="R221" s="74">
        <f>IF(K221="","",IFERROR(INDEX(LMH_PTS,MATCH(K221,LMH_KEY,0))/SUM(IFERROR(INDEX(LMH_PTS,MATCH(J221,LMH_KEY,0)),0),IFERROR(INDEX(LMH_PTS,MATCH(K221,LMH_KEY,0)),0),IFERROR(INDEX(LMH_PTS,MATCH(L221,LMH_KEY,0)),0),IFERROR(INDEX(LMH_PTS,MATCH(M221,LMH_KEY,0)),0),IFERROR(INDEX(LMH_PTS,MATCH(N221,LMH_KEY,0)),0),IFERROR(INDEX(LMH_PTS,MATCH(O221,LMH_KEY,0)),0),IFERROR(INDEX(LMH_PTS,MATCH(P221,LMH_KEY,0)),0)),""))</f>
        <v>0.142857142857143</v>
      </c>
      <c r="S221" s="74">
        <f>IF(L221="","",IFERROR(INDEX(LMH_PTS,MATCH(L221,LMH_KEY,0))/SUM(IFERROR(INDEX(LMH_PTS,MATCH(J221,LMH_KEY,0)),0),IFERROR(INDEX(LMH_PTS,MATCH(K221,LMH_KEY,0)),0),IFERROR(INDEX(LMH_PTS,MATCH(L221,LMH_KEY,0)),0),IFERROR(INDEX(LMH_PTS,MATCH(M221,LMH_KEY,0)),0),IFERROR(INDEX(LMH_PTS,MATCH(N221,LMH_KEY,0)),0),IFERROR(INDEX(LMH_PTS,MATCH(O221,LMH_KEY,0)),0),IFERROR(INDEX(LMH_PTS,MATCH(P221,LMH_KEY,0)),0)),""))</f>
        <v>0.142857142857143</v>
      </c>
      <c r="T221" s="74">
        <f>IF(M221="","",IFERROR(INDEX(LMH_PTS,MATCH(M221,LMH_KEY,0))/SUM(IFERROR(INDEX(LMH_PTS,MATCH(J221,LMH_KEY,0)),0),IFERROR(INDEX(LMH_PTS,MATCH(K221,LMH_KEY,0)),0),IFERROR(INDEX(LMH_PTS,MATCH(L221,LMH_KEY,0)),0),IFERROR(INDEX(LMH_PTS,MATCH(M221,LMH_KEY,0)),0),IFERROR(INDEX(LMH_PTS,MATCH(N221,LMH_KEY,0)),0),IFERROR(INDEX(LMH_PTS,MATCH(O221,LMH_KEY,0)),0),IFERROR(INDEX(LMH_PTS,MATCH(P221,LMH_KEY,0)),0)),""))</f>
        <v>0.142857142857143</v>
      </c>
      <c r="U221" s="74">
        <f>IF(N221="","",IFERROR(INDEX(LMH_PTS,MATCH(N221,LMH_KEY,0))/SUM(IFERROR(INDEX(LMH_PTS,MATCH(J221,LMH_KEY,0)),0),IFERROR(INDEX(LMH_PTS,MATCH(K221,LMH_KEY,0)),0),IFERROR(INDEX(LMH_PTS,MATCH(L221,LMH_KEY,0)),0),IFERROR(INDEX(LMH_PTS,MATCH(M221,LMH_KEY,0)),0),IFERROR(INDEX(LMH_PTS,MATCH(N221,LMH_KEY,0)),0),IFERROR(INDEX(LMH_PTS,MATCH(O221,LMH_KEY,0)),0),IFERROR(INDEX(LMH_PTS,MATCH(P221,LMH_KEY,0)),0)),""))</f>
        <v>0.0476190476190476</v>
      </c>
      <c r="V221" s="74">
        <f>IF(O221="","",IFERROR(INDEX(LMH_PTS,MATCH(O221,LMH_KEY,0))/SUM(IFERROR(INDEX(LMH_PTS,MATCH(J221,LMH_KEY,0)),0),IFERROR(INDEX(LMH_PTS,MATCH(K221,LMH_KEY,0)),0),IFERROR(INDEX(LMH_PTS,MATCH(L221,LMH_KEY,0)),0),IFERROR(INDEX(LMH_PTS,MATCH(M221,LMH_KEY,0)),0),IFERROR(INDEX(LMH_PTS,MATCH(N221,LMH_KEY,0)),0),IFERROR(INDEX(LMH_PTS,MATCH(O221,LMH_KEY,0)),0),IFERROR(INDEX(LMH_PTS,MATCH(P221,LMH_KEY,0)),0)),""))</f>
        <v>0.0476190476190476</v>
      </c>
      <c r="W221" s="74">
        <f>IF(P221="","",IFERROR(INDEX(LMH_PTS,MATCH(P221,LMH_KEY,0))/SUM(IFERROR(INDEX(LMH_PTS,MATCH(J221,LMH_KEY,0)),0),IFERROR(INDEX(LMH_PTS,MATCH(K221,LMH_KEY,0)),0),IFERROR(INDEX(LMH_PTS,MATCH(L221,LMH_KEY,0)),0),IFERROR(INDEX(LMH_PTS,MATCH(M221,LMH_KEY,0)),0),IFERROR(INDEX(LMH_PTS,MATCH(N221,LMH_KEY,0)),0),IFERROR(INDEX(LMH_PTS,MATCH(O221,LMH_KEY,0)),0),IFERROR(INDEX(LMH_PTS,MATCH(P221,LMH_KEY,0)),0)),""))</f>
        <v>0.0476190476190476</v>
      </c>
      <c r="X221" s="44" t="n"/>
      <c r="Y221" s="38" t="inlineStr">
        <is>
          <t>iFile|XBRL Consulting|Manager – Taxonomy Consulting|B2|B-M</t>
        </is>
      </c>
    </row>
    <row r="222" ht="28" customHeight="1">
      <c r="A222" s="28" t="inlineStr">
        <is>
          <t>iFile</t>
        </is>
      </c>
      <c r="B222" s="29" t="inlineStr">
        <is>
          <t>XBRL Consulting</t>
        </is>
      </c>
      <c r="C222" s="72" t="inlineStr">
        <is>
          <t>B2</t>
        </is>
      </c>
      <c r="D222" s="29" t="inlineStr">
        <is>
          <t>Band B · Specialist / Manager</t>
        </is>
      </c>
      <c r="E222" s="29" t="inlineStr">
        <is>
          <t>Senior Manager – Taxonomy Consulting</t>
        </is>
      </c>
      <c r="F222" s="29" t="inlineStr">
        <is>
          <t>Band B · People Manager</t>
        </is>
      </c>
      <c r="G222" s="29" t="inlineStr">
        <is>
          <t>Consulting &amp; Professional Services</t>
        </is>
      </c>
      <c r="H222" s="29" t="n">
        <v>1</v>
      </c>
      <c r="I222" s="29" t="inlineStr">
        <is>
          <t>Shraddha Bagul</t>
        </is>
      </c>
      <c r="J222" s="34" t="str">
        <f>IFERROR(INDEX(RBD_C,MATCH("Consulting &amp; Professional Services|B2|B-M",RBD_KEY,0)),"M")</f>
        <v>H</v>
      </c>
      <c r="K222" s="35" t="str">
        <f>IFERROR(INDEX(RBD_Au,MATCH("Consulting &amp; Professional Services|B2|B-M",RBD_KEY,0)),"M")</f>
        <v>M</v>
      </c>
      <c r="L222" s="35" t="str">
        <f>IFERROR(INDEX(RBD_Ac,MATCH("Consulting &amp; Professional Services|B2|B-M",RBD_KEY,0)),"M")</f>
        <v>M</v>
      </c>
      <c r="M222" s="35" t="str">
        <f>IFERROR(INDEX(RBD_L,MATCH("Consulting &amp; Professional Services|B2|B-M",RBD_KEY,0)),"M")</f>
        <v>M</v>
      </c>
      <c r="N222" s="35" t="str">
        <f>IFERROR(INDEX(RBD_BI,MATCH("Consulting &amp; Professional Services|B2|B-M",RBD_KEY,0)),"M")</f>
        <v>L</v>
      </c>
      <c r="O222" s="35" t="str">
        <f>IFERROR(INDEX(RBD_Exp,MATCH("Consulting &amp; Professional Services|B2|B-M",RBD_KEY,0)),"M")</f>
        <v>L</v>
      </c>
      <c r="P222" s="35" t="str">
        <f>IFERROR(INDEX(RBD_Edu,MATCH("Consulting &amp; Professional Services|B2|B-M",RBD_KEY,0)),"M")</f>
        <v>L</v>
      </c>
      <c r="Q222" s="73">
        <f>IF(J222="","",IFERROR(INDEX(LMH_PTS,MATCH(J222,LMH_KEY,0))/SUM(IFERROR(INDEX(LMH_PTS,MATCH(J222,LMH_KEY,0)),0),IFERROR(INDEX(LMH_PTS,MATCH(K222,LMH_KEY,0)),0),IFERROR(INDEX(LMH_PTS,MATCH(L222,LMH_KEY,0)),0),IFERROR(INDEX(LMH_PTS,MATCH(M222,LMH_KEY,0)),0),IFERROR(INDEX(LMH_PTS,MATCH(N222,LMH_KEY,0)),0),IFERROR(INDEX(LMH_PTS,MATCH(O222,LMH_KEY,0)),0),IFERROR(INDEX(LMH_PTS,MATCH(P222,LMH_KEY,0)),0)),""))</f>
        <v>0.428571428571429</v>
      </c>
      <c r="R222" s="74">
        <f>IF(K222="","",IFERROR(INDEX(LMH_PTS,MATCH(K222,LMH_KEY,0))/SUM(IFERROR(INDEX(LMH_PTS,MATCH(J222,LMH_KEY,0)),0),IFERROR(INDEX(LMH_PTS,MATCH(K222,LMH_KEY,0)),0),IFERROR(INDEX(LMH_PTS,MATCH(L222,LMH_KEY,0)),0),IFERROR(INDEX(LMH_PTS,MATCH(M222,LMH_KEY,0)),0),IFERROR(INDEX(LMH_PTS,MATCH(N222,LMH_KEY,0)),0),IFERROR(INDEX(LMH_PTS,MATCH(O222,LMH_KEY,0)),0),IFERROR(INDEX(LMH_PTS,MATCH(P222,LMH_KEY,0)),0)),""))</f>
        <v>0.142857142857143</v>
      </c>
      <c r="S222" s="74">
        <f>IF(L222="","",IFERROR(INDEX(LMH_PTS,MATCH(L222,LMH_KEY,0))/SUM(IFERROR(INDEX(LMH_PTS,MATCH(J222,LMH_KEY,0)),0),IFERROR(INDEX(LMH_PTS,MATCH(K222,LMH_KEY,0)),0),IFERROR(INDEX(LMH_PTS,MATCH(L222,LMH_KEY,0)),0),IFERROR(INDEX(LMH_PTS,MATCH(M222,LMH_KEY,0)),0),IFERROR(INDEX(LMH_PTS,MATCH(N222,LMH_KEY,0)),0),IFERROR(INDEX(LMH_PTS,MATCH(O222,LMH_KEY,0)),0),IFERROR(INDEX(LMH_PTS,MATCH(P222,LMH_KEY,0)),0)),""))</f>
        <v>0.142857142857143</v>
      </c>
      <c r="T222" s="74">
        <f>IF(M222="","",IFERROR(INDEX(LMH_PTS,MATCH(M222,LMH_KEY,0))/SUM(IFERROR(INDEX(LMH_PTS,MATCH(J222,LMH_KEY,0)),0),IFERROR(INDEX(LMH_PTS,MATCH(K222,LMH_KEY,0)),0),IFERROR(INDEX(LMH_PTS,MATCH(L222,LMH_KEY,0)),0),IFERROR(INDEX(LMH_PTS,MATCH(M222,LMH_KEY,0)),0),IFERROR(INDEX(LMH_PTS,MATCH(N222,LMH_KEY,0)),0),IFERROR(INDEX(LMH_PTS,MATCH(O222,LMH_KEY,0)),0),IFERROR(INDEX(LMH_PTS,MATCH(P222,LMH_KEY,0)),0)),""))</f>
        <v>0.142857142857143</v>
      </c>
      <c r="U222" s="74">
        <f>IF(N222="","",IFERROR(INDEX(LMH_PTS,MATCH(N222,LMH_KEY,0))/SUM(IFERROR(INDEX(LMH_PTS,MATCH(J222,LMH_KEY,0)),0),IFERROR(INDEX(LMH_PTS,MATCH(K222,LMH_KEY,0)),0),IFERROR(INDEX(LMH_PTS,MATCH(L222,LMH_KEY,0)),0),IFERROR(INDEX(LMH_PTS,MATCH(M222,LMH_KEY,0)),0),IFERROR(INDEX(LMH_PTS,MATCH(N222,LMH_KEY,0)),0),IFERROR(INDEX(LMH_PTS,MATCH(O222,LMH_KEY,0)),0),IFERROR(INDEX(LMH_PTS,MATCH(P222,LMH_KEY,0)),0)),""))</f>
        <v>0.0476190476190476</v>
      </c>
      <c r="V222" s="74">
        <f>IF(O222="","",IFERROR(INDEX(LMH_PTS,MATCH(O222,LMH_KEY,0))/SUM(IFERROR(INDEX(LMH_PTS,MATCH(J222,LMH_KEY,0)),0),IFERROR(INDEX(LMH_PTS,MATCH(K222,LMH_KEY,0)),0),IFERROR(INDEX(LMH_PTS,MATCH(L222,LMH_KEY,0)),0),IFERROR(INDEX(LMH_PTS,MATCH(M222,LMH_KEY,0)),0),IFERROR(INDEX(LMH_PTS,MATCH(N222,LMH_KEY,0)),0),IFERROR(INDEX(LMH_PTS,MATCH(O222,LMH_KEY,0)),0),IFERROR(INDEX(LMH_PTS,MATCH(P222,LMH_KEY,0)),0)),""))</f>
        <v>0.0476190476190476</v>
      </c>
      <c r="W222" s="74">
        <f>IF(P222="","",IFERROR(INDEX(LMH_PTS,MATCH(P222,LMH_KEY,0))/SUM(IFERROR(INDEX(LMH_PTS,MATCH(J222,LMH_KEY,0)),0),IFERROR(INDEX(LMH_PTS,MATCH(K222,LMH_KEY,0)),0),IFERROR(INDEX(LMH_PTS,MATCH(L222,LMH_KEY,0)),0),IFERROR(INDEX(LMH_PTS,MATCH(M222,LMH_KEY,0)),0),IFERROR(INDEX(LMH_PTS,MATCH(N222,LMH_KEY,0)),0),IFERROR(INDEX(LMH_PTS,MATCH(O222,LMH_KEY,0)),0),IFERROR(INDEX(LMH_PTS,MATCH(P222,LMH_KEY,0)),0)),""))</f>
        <v>0.0476190476190476</v>
      </c>
      <c r="X222" s="44" t="n"/>
      <c r="Y222" s="38" t="inlineStr">
        <is>
          <t>iFile|XBRL Consulting|Senior Manager – Taxonomy Consulting|B2|B-M</t>
        </is>
      </c>
    </row>
    <row r="223" ht="28" customHeight="1">
      <c r="A223" s="28" t="inlineStr">
        <is>
          <t>iFile</t>
        </is>
      </c>
      <c r="B223" s="29" t="inlineStr">
        <is>
          <t>XBRL Consulting</t>
        </is>
      </c>
      <c r="C223" s="72" t="inlineStr">
        <is>
          <t>B2</t>
        </is>
      </c>
      <c r="D223" s="29" t="inlineStr">
        <is>
          <t>Band B · Specialist / Manager</t>
        </is>
      </c>
      <c r="E223" s="29" t="inlineStr">
        <is>
          <t>Senior Taxonomy Specialist</t>
        </is>
      </c>
      <c r="F223" s="29" t="inlineStr">
        <is>
          <t>Band B · Specialist / POD Lead</t>
        </is>
      </c>
      <c r="G223" s="29" t="inlineStr">
        <is>
          <t>Consulting &amp; Professional Services</t>
        </is>
      </c>
      <c r="H223" s="29" t="n">
        <v>3</v>
      </c>
      <c r="I223" s="29" t="inlineStr">
        <is>
          <t>Akshay Jain, Kulanand Rupani, Vishram Modak</t>
        </is>
      </c>
      <c r="J223" s="34" t="str">
        <f>IFERROR(INDEX(RBD_C,MATCH("Consulting &amp; Professional Services|B2|B-IC",RBD_KEY,0)),"M")</f>
        <v>H</v>
      </c>
      <c r="K223" s="35" t="str">
        <f>IFERROR(INDEX(RBD_Au,MATCH("Consulting &amp; Professional Services|B2|B-IC",RBD_KEY,0)),"M")</f>
        <v>M</v>
      </c>
      <c r="L223" s="35" t="str">
        <f>IFERROR(INDEX(RBD_Ac,MATCH("Consulting &amp; Professional Services|B2|B-IC",RBD_KEY,0)),"M")</f>
        <v>M</v>
      </c>
      <c r="M223" s="35" t="str">
        <f>IFERROR(INDEX(RBD_L,MATCH("Consulting &amp; Professional Services|B2|B-IC",RBD_KEY,0)),"M")</f>
        <v>L</v>
      </c>
      <c r="N223" s="35" t="str">
        <f>IFERROR(INDEX(RBD_BI,MATCH("Consulting &amp; Professional Services|B2|B-IC",RBD_KEY,0)),"M")</f>
        <v>L</v>
      </c>
      <c r="O223" s="35" t="str">
        <f>IFERROR(INDEX(RBD_Exp,MATCH("Consulting &amp; Professional Services|B2|B-IC",RBD_KEY,0)),"M")</f>
        <v>L</v>
      </c>
      <c r="P223" s="35" t="str">
        <f>IFERROR(INDEX(RBD_Edu,MATCH("Consulting &amp; Professional Services|B2|B-IC",RBD_KEY,0)),"M")</f>
        <v>L</v>
      </c>
      <c r="Q223" s="73">
        <f>IF(J223="","",IFERROR(INDEX(LMH_PTS,MATCH(J223,LMH_KEY,0))/SUM(IFERROR(INDEX(LMH_PTS,MATCH(J223,LMH_KEY,0)),0),IFERROR(INDEX(LMH_PTS,MATCH(K223,LMH_KEY,0)),0),IFERROR(INDEX(LMH_PTS,MATCH(L223,LMH_KEY,0)),0),IFERROR(INDEX(LMH_PTS,MATCH(M223,LMH_KEY,0)),0),IFERROR(INDEX(LMH_PTS,MATCH(N223,LMH_KEY,0)),0),IFERROR(INDEX(LMH_PTS,MATCH(O223,LMH_KEY,0)),0),IFERROR(INDEX(LMH_PTS,MATCH(P223,LMH_KEY,0)),0)),""))</f>
        <v>0.473684210526316</v>
      </c>
      <c r="R223" s="74">
        <f>IF(K223="","",IFERROR(INDEX(LMH_PTS,MATCH(K223,LMH_KEY,0))/SUM(IFERROR(INDEX(LMH_PTS,MATCH(J223,LMH_KEY,0)),0),IFERROR(INDEX(LMH_PTS,MATCH(K223,LMH_KEY,0)),0),IFERROR(INDEX(LMH_PTS,MATCH(L223,LMH_KEY,0)),0),IFERROR(INDEX(LMH_PTS,MATCH(M223,LMH_KEY,0)),0),IFERROR(INDEX(LMH_PTS,MATCH(N223,LMH_KEY,0)),0),IFERROR(INDEX(LMH_PTS,MATCH(O223,LMH_KEY,0)),0),IFERROR(INDEX(LMH_PTS,MATCH(P223,LMH_KEY,0)),0)),""))</f>
        <v>0.157894736842105</v>
      </c>
      <c r="S223" s="74">
        <f>IF(L223="","",IFERROR(INDEX(LMH_PTS,MATCH(L223,LMH_KEY,0))/SUM(IFERROR(INDEX(LMH_PTS,MATCH(J223,LMH_KEY,0)),0),IFERROR(INDEX(LMH_PTS,MATCH(K223,LMH_KEY,0)),0),IFERROR(INDEX(LMH_PTS,MATCH(L223,LMH_KEY,0)),0),IFERROR(INDEX(LMH_PTS,MATCH(M223,LMH_KEY,0)),0),IFERROR(INDEX(LMH_PTS,MATCH(N223,LMH_KEY,0)),0),IFERROR(INDEX(LMH_PTS,MATCH(O223,LMH_KEY,0)),0),IFERROR(INDEX(LMH_PTS,MATCH(P223,LMH_KEY,0)),0)),""))</f>
        <v>0.157894736842105</v>
      </c>
      <c r="T223" s="74">
        <f>IF(M223="","",IFERROR(INDEX(LMH_PTS,MATCH(M223,LMH_KEY,0))/SUM(IFERROR(INDEX(LMH_PTS,MATCH(J223,LMH_KEY,0)),0),IFERROR(INDEX(LMH_PTS,MATCH(K223,LMH_KEY,0)),0),IFERROR(INDEX(LMH_PTS,MATCH(L223,LMH_KEY,0)),0),IFERROR(INDEX(LMH_PTS,MATCH(M223,LMH_KEY,0)),0),IFERROR(INDEX(LMH_PTS,MATCH(N223,LMH_KEY,0)),0),IFERROR(INDEX(LMH_PTS,MATCH(O223,LMH_KEY,0)),0),IFERROR(INDEX(LMH_PTS,MATCH(P223,LMH_KEY,0)),0)),""))</f>
        <v>0.0526315789473684</v>
      </c>
      <c r="U223" s="74">
        <f>IF(N223="","",IFERROR(INDEX(LMH_PTS,MATCH(N223,LMH_KEY,0))/SUM(IFERROR(INDEX(LMH_PTS,MATCH(J223,LMH_KEY,0)),0),IFERROR(INDEX(LMH_PTS,MATCH(K223,LMH_KEY,0)),0),IFERROR(INDEX(LMH_PTS,MATCH(L223,LMH_KEY,0)),0),IFERROR(INDEX(LMH_PTS,MATCH(M223,LMH_KEY,0)),0),IFERROR(INDEX(LMH_PTS,MATCH(N223,LMH_KEY,0)),0),IFERROR(INDEX(LMH_PTS,MATCH(O223,LMH_KEY,0)),0),IFERROR(INDEX(LMH_PTS,MATCH(P223,LMH_KEY,0)),0)),""))</f>
        <v>0.0526315789473684</v>
      </c>
      <c r="V223" s="74">
        <f>IF(O223="","",IFERROR(INDEX(LMH_PTS,MATCH(O223,LMH_KEY,0))/SUM(IFERROR(INDEX(LMH_PTS,MATCH(J223,LMH_KEY,0)),0),IFERROR(INDEX(LMH_PTS,MATCH(K223,LMH_KEY,0)),0),IFERROR(INDEX(LMH_PTS,MATCH(L223,LMH_KEY,0)),0),IFERROR(INDEX(LMH_PTS,MATCH(M223,LMH_KEY,0)),0),IFERROR(INDEX(LMH_PTS,MATCH(N223,LMH_KEY,0)),0),IFERROR(INDEX(LMH_PTS,MATCH(O223,LMH_KEY,0)),0),IFERROR(INDEX(LMH_PTS,MATCH(P223,LMH_KEY,0)),0)),""))</f>
        <v>0.0526315789473684</v>
      </c>
      <c r="W223" s="74">
        <f>IF(P223="","",IFERROR(INDEX(LMH_PTS,MATCH(P223,LMH_KEY,0))/SUM(IFERROR(INDEX(LMH_PTS,MATCH(J223,LMH_KEY,0)),0),IFERROR(INDEX(LMH_PTS,MATCH(K223,LMH_KEY,0)),0),IFERROR(INDEX(LMH_PTS,MATCH(L223,LMH_KEY,0)),0),IFERROR(INDEX(LMH_PTS,MATCH(M223,LMH_KEY,0)),0),IFERROR(INDEX(LMH_PTS,MATCH(N223,LMH_KEY,0)),0),IFERROR(INDEX(LMH_PTS,MATCH(O223,LMH_KEY,0)),0),IFERROR(INDEX(LMH_PTS,MATCH(P223,LMH_KEY,0)),0)),""))</f>
        <v>0.0526315789473684</v>
      </c>
      <c r="X223" s="44" t="n"/>
      <c r="Y223" s="38" t="inlineStr">
        <is>
          <t>iFile|XBRL Consulting|Senior Taxonomy Specialist|B2|B-IC</t>
        </is>
      </c>
    </row>
    <row r="224" ht="18" customHeight="1">
      <c r="A224" s="28" t="inlineStr">
        <is>
          <t>iFile</t>
        </is>
      </c>
      <c r="B224" s="29" t="inlineStr">
        <is>
          <t>XBRL Consulting</t>
        </is>
      </c>
      <c r="C224" s="72" t="inlineStr">
        <is>
          <t>B1</t>
        </is>
      </c>
      <c r="D224" s="29" t="inlineStr">
        <is>
          <t>Band B · Specialist / Manager</t>
        </is>
      </c>
      <c r="E224" s="29" t="inlineStr">
        <is>
          <t>Senior Taxonomy Specialist</t>
        </is>
      </c>
      <c r="F224" s="29" t="inlineStr">
        <is>
          <t>Band B · Specialist / POD Lead</t>
        </is>
      </c>
      <c r="G224" s="29" t="inlineStr">
        <is>
          <t>Consulting &amp; Professional Services</t>
        </is>
      </c>
      <c r="H224" s="29" t="n">
        <v>1</v>
      </c>
      <c r="I224" s="29" t="inlineStr">
        <is>
          <t>Anirudh Singh Bartwal</t>
        </is>
      </c>
      <c r="J224" s="34" t="str">
        <f>IFERROR(INDEX(RBD_C,MATCH("Consulting &amp; Professional Services|B1|B-IC",RBD_KEY,0)),"M")</f>
        <v>H</v>
      </c>
      <c r="K224" s="35" t="str">
        <f>IFERROR(INDEX(RBD_Au,MATCH("Consulting &amp; Professional Services|B1|B-IC",RBD_KEY,0)),"M")</f>
        <v>M</v>
      </c>
      <c r="L224" s="35" t="str">
        <f>IFERROR(INDEX(RBD_Ac,MATCH("Consulting &amp; Professional Services|B1|B-IC",RBD_KEY,0)),"M")</f>
        <v>M</v>
      </c>
      <c r="M224" s="35" t="str">
        <f>IFERROR(INDEX(RBD_L,MATCH("Consulting &amp; Professional Services|B1|B-IC",RBD_KEY,0)),"M")</f>
        <v>L</v>
      </c>
      <c r="N224" s="35" t="str">
        <f>IFERROR(INDEX(RBD_BI,MATCH("Consulting &amp; Professional Services|B1|B-IC",RBD_KEY,0)),"M")</f>
        <v>L</v>
      </c>
      <c r="O224" s="35" t="str">
        <f>IFERROR(INDEX(RBD_Exp,MATCH("Consulting &amp; Professional Services|B1|B-IC",RBD_KEY,0)),"M")</f>
        <v>L</v>
      </c>
      <c r="P224" s="35" t="str">
        <f>IFERROR(INDEX(RBD_Edu,MATCH("Consulting &amp; Professional Services|B1|B-IC",RBD_KEY,0)),"M")</f>
        <v>L</v>
      </c>
      <c r="Q224" s="73">
        <f>IF(J224="","",IFERROR(INDEX(LMH_PTS,MATCH(J224,LMH_KEY,0))/SUM(IFERROR(INDEX(LMH_PTS,MATCH(J224,LMH_KEY,0)),0),IFERROR(INDEX(LMH_PTS,MATCH(K224,LMH_KEY,0)),0),IFERROR(INDEX(LMH_PTS,MATCH(L224,LMH_KEY,0)),0),IFERROR(INDEX(LMH_PTS,MATCH(M224,LMH_KEY,0)),0),IFERROR(INDEX(LMH_PTS,MATCH(N224,LMH_KEY,0)),0),IFERROR(INDEX(LMH_PTS,MATCH(O224,LMH_KEY,0)),0),IFERROR(INDEX(LMH_PTS,MATCH(P224,LMH_KEY,0)),0)),""))</f>
        <v>0.473684210526316</v>
      </c>
      <c r="R224" s="74">
        <f>IF(K224="","",IFERROR(INDEX(LMH_PTS,MATCH(K224,LMH_KEY,0))/SUM(IFERROR(INDEX(LMH_PTS,MATCH(J224,LMH_KEY,0)),0),IFERROR(INDEX(LMH_PTS,MATCH(K224,LMH_KEY,0)),0),IFERROR(INDEX(LMH_PTS,MATCH(L224,LMH_KEY,0)),0),IFERROR(INDEX(LMH_PTS,MATCH(M224,LMH_KEY,0)),0),IFERROR(INDEX(LMH_PTS,MATCH(N224,LMH_KEY,0)),0),IFERROR(INDEX(LMH_PTS,MATCH(O224,LMH_KEY,0)),0),IFERROR(INDEX(LMH_PTS,MATCH(P224,LMH_KEY,0)),0)),""))</f>
        <v>0.157894736842105</v>
      </c>
      <c r="S224" s="74">
        <f>IF(L224="","",IFERROR(INDEX(LMH_PTS,MATCH(L224,LMH_KEY,0))/SUM(IFERROR(INDEX(LMH_PTS,MATCH(J224,LMH_KEY,0)),0),IFERROR(INDEX(LMH_PTS,MATCH(K224,LMH_KEY,0)),0),IFERROR(INDEX(LMH_PTS,MATCH(L224,LMH_KEY,0)),0),IFERROR(INDEX(LMH_PTS,MATCH(M224,LMH_KEY,0)),0),IFERROR(INDEX(LMH_PTS,MATCH(N224,LMH_KEY,0)),0),IFERROR(INDEX(LMH_PTS,MATCH(O224,LMH_KEY,0)),0),IFERROR(INDEX(LMH_PTS,MATCH(P224,LMH_KEY,0)),0)),""))</f>
        <v>0.157894736842105</v>
      </c>
      <c r="T224" s="74">
        <f>IF(M224="","",IFERROR(INDEX(LMH_PTS,MATCH(M224,LMH_KEY,0))/SUM(IFERROR(INDEX(LMH_PTS,MATCH(J224,LMH_KEY,0)),0),IFERROR(INDEX(LMH_PTS,MATCH(K224,LMH_KEY,0)),0),IFERROR(INDEX(LMH_PTS,MATCH(L224,LMH_KEY,0)),0),IFERROR(INDEX(LMH_PTS,MATCH(M224,LMH_KEY,0)),0),IFERROR(INDEX(LMH_PTS,MATCH(N224,LMH_KEY,0)),0),IFERROR(INDEX(LMH_PTS,MATCH(O224,LMH_KEY,0)),0),IFERROR(INDEX(LMH_PTS,MATCH(P224,LMH_KEY,0)),0)),""))</f>
        <v>0.0526315789473684</v>
      </c>
      <c r="U224" s="74">
        <f>IF(N224="","",IFERROR(INDEX(LMH_PTS,MATCH(N224,LMH_KEY,0))/SUM(IFERROR(INDEX(LMH_PTS,MATCH(J224,LMH_KEY,0)),0),IFERROR(INDEX(LMH_PTS,MATCH(K224,LMH_KEY,0)),0),IFERROR(INDEX(LMH_PTS,MATCH(L224,LMH_KEY,0)),0),IFERROR(INDEX(LMH_PTS,MATCH(M224,LMH_KEY,0)),0),IFERROR(INDEX(LMH_PTS,MATCH(N224,LMH_KEY,0)),0),IFERROR(INDEX(LMH_PTS,MATCH(O224,LMH_KEY,0)),0),IFERROR(INDEX(LMH_PTS,MATCH(P224,LMH_KEY,0)),0)),""))</f>
        <v>0.0526315789473684</v>
      </c>
      <c r="V224" s="74">
        <f>IF(O224="","",IFERROR(INDEX(LMH_PTS,MATCH(O224,LMH_KEY,0))/SUM(IFERROR(INDEX(LMH_PTS,MATCH(J224,LMH_KEY,0)),0),IFERROR(INDEX(LMH_PTS,MATCH(K224,LMH_KEY,0)),0),IFERROR(INDEX(LMH_PTS,MATCH(L224,LMH_KEY,0)),0),IFERROR(INDEX(LMH_PTS,MATCH(M224,LMH_KEY,0)),0),IFERROR(INDEX(LMH_PTS,MATCH(N224,LMH_KEY,0)),0),IFERROR(INDEX(LMH_PTS,MATCH(O224,LMH_KEY,0)),0),IFERROR(INDEX(LMH_PTS,MATCH(P224,LMH_KEY,0)),0)),""))</f>
        <v>0.0526315789473684</v>
      </c>
      <c r="W224" s="74">
        <f>IF(P224="","",IFERROR(INDEX(LMH_PTS,MATCH(P224,LMH_KEY,0))/SUM(IFERROR(INDEX(LMH_PTS,MATCH(J224,LMH_KEY,0)),0),IFERROR(INDEX(LMH_PTS,MATCH(K224,LMH_KEY,0)),0),IFERROR(INDEX(LMH_PTS,MATCH(L224,LMH_KEY,0)),0),IFERROR(INDEX(LMH_PTS,MATCH(M224,LMH_KEY,0)),0),IFERROR(INDEX(LMH_PTS,MATCH(N224,LMH_KEY,0)),0),IFERROR(INDEX(LMH_PTS,MATCH(O224,LMH_KEY,0)),0),IFERROR(INDEX(LMH_PTS,MATCH(P224,LMH_KEY,0)),0)),""))</f>
        <v>0.0526315789473684</v>
      </c>
      <c r="X224" s="44" t="n"/>
      <c r="Y224" s="38" t="inlineStr">
        <is>
          <t>iFile|XBRL Consulting|Senior Taxonomy Specialist|B1|B-IC</t>
        </is>
      </c>
    </row>
    <row r="225" ht="28" customHeight="1">
      <c r="A225" s="28" t="inlineStr">
        <is>
          <t>iFile</t>
        </is>
      </c>
      <c r="B225" s="29" t="inlineStr">
        <is>
          <t>XBRL Consulting</t>
        </is>
      </c>
      <c r="C225" s="72" t="inlineStr">
        <is>
          <t>B1</t>
        </is>
      </c>
      <c r="D225" s="29" t="inlineStr">
        <is>
          <t>Band B · Specialist / Manager</t>
        </is>
      </c>
      <c r="E225" s="29" t="inlineStr">
        <is>
          <t>Taxonomy Specialist</t>
        </is>
      </c>
      <c r="F225" s="29" t="inlineStr">
        <is>
          <t>Band B · Specialist / POD Lead</t>
        </is>
      </c>
      <c r="G225" s="29" t="inlineStr">
        <is>
          <t>Consulting &amp; Professional Services</t>
        </is>
      </c>
      <c r="H225" s="29" t="n">
        <v>2</v>
      </c>
      <c r="I225" s="29" t="inlineStr">
        <is>
          <t>Prashant Ramakant Wagh, Shrinidhi Shetty</t>
        </is>
      </c>
      <c r="J225" s="34" t="str">
        <f>IFERROR(INDEX(RBD_C,MATCH("Consulting &amp; Professional Services|B1|B-IC",RBD_KEY,0)),"M")</f>
        <v>H</v>
      </c>
      <c r="K225" s="35" t="str">
        <f>IFERROR(INDEX(RBD_Au,MATCH("Consulting &amp; Professional Services|B1|B-IC",RBD_KEY,0)),"M")</f>
        <v>M</v>
      </c>
      <c r="L225" s="35" t="str">
        <f>IFERROR(INDEX(RBD_Ac,MATCH("Consulting &amp; Professional Services|B1|B-IC",RBD_KEY,0)),"M")</f>
        <v>M</v>
      </c>
      <c r="M225" s="35" t="str">
        <f>IFERROR(INDEX(RBD_L,MATCH("Consulting &amp; Professional Services|B1|B-IC",RBD_KEY,0)),"M")</f>
        <v>L</v>
      </c>
      <c r="N225" s="35" t="str">
        <f>IFERROR(INDEX(RBD_BI,MATCH("Consulting &amp; Professional Services|B1|B-IC",RBD_KEY,0)),"M")</f>
        <v>L</v>
      </c>
      <c r="O225" s="35" t="str">
        <f>IFERROR(INDEX(RBD_Exp,MATCH("Consulting &amp; Professional Services|B1|B-IC",RBD_KEY,0)),"M")</f>
        <v>L</v>
      </c>
      <c r="P225" s="35" t="str">
        <f>IFERROR(INDEX(RBD_Edu,MATCH("Consulting &amp; Professional Services|B1|B-IC",RBD_KEY,0)),"M")</f>
        <v>L</v>
      </c>
      <c r="Q225" s="73">
        <f>IF(J225="","",IFERROR(INDEX(LMH_PTS,MATCH(J225,LMH_KEY,0))/SUM(IFERROR(INDEX(LMH_PTS,MATCH(J225,LMH_KEY,0)),0),IFERROR(INDEX(LMH_PTS,MATCH(K225,LMH_KEY,0)),0),IFERROR(INDEX(LMH_PTS,MATCH(L225,LMH_KEY,0)),0),IFERROR(INDEX(LMH_PTS,MATCH(M225,LMH_KEY,0)),0),IFERROR(INDEX(LMH_PTS,MATCH(N225,LMH_KEY,0)),0),IFERROR(INDEX(LMH_PTS,MATCH(O225,LMH_KEY,0)),0),IFERROR(INDEX(LMH_PTS,MATCH(P225,LMH_KEY,0)),0)),""))</f>
        <v>0.473684210526316</v>
      </c>
      <c r="R225" s="74">
        <f>IF(K225="","",IFERROR(INDEX(LMH_PTS,MATCH(K225,LMH_KEY,0))/SUM(IFERROR(INDEX(LMH_PTS,MATCH(J225,LMH_KEY,0)),0),IFERROR(INDEX(LMH_PTS,MATCH(K225,LMH_KEY,0)),0),IFERROR(INDEX(LMH_PTS,MATCH(L225,LMH_KEY,0)),0),IFERROR(INDEX(LMH_PTS,MATCH(M225,LMH_KEY,0)),0),IFERROR(INDEX(LMH_PTS,MATCH(N225,LMH_KEY,0)),0),IFERROR(INDEX(LMH_PTS,MATCH(O225,LMH_KEY,0)),0),IFERROR(INDEX(LMH_PTS,MATCH(P225,LMH_KEY,0)),0)),""))</f>
        <v>0.157894736842105</v>
      </c>
      <c r="S225" s="74">
        <f>IF(L225="","",IFERROR(INDEX(LMH_PTS,MATCH(L225,LMH_KEY,0))/SUM(IFERROR(INDEX(LMH_PTS,MATCH(J225,LMH_KEY,0)),0),IFERROR(INDEX(LMH_PTS,MATCH(K225,LMH_KEY,0)),0),IFERROR(INDEX(LMH_PTS,MATCH(L225,LMH_KEY,0)),0),IFERROR(INDEX(LMH_PTS,MATCH(M225,LMH_KEY,0)),0),IFERROR(INDEX(LMH_PTS,MATCH(N225,LMH_KEY,0)),0),IFERROR(INDEX(LMH_PTS,MATCH(O225,LMH_KEY,0)),0),IFERROR(INDEX(LMH_PTS,MATCH(P225,LMH_KEY,0)),0)),""))</f>
        <v>0.157894736842105</v>
      </c>
      <c r="T225" s="74">
        <f>IF(M225="","",IFERROR(INDEX(LMH_PTS,MATCH(M225,LMH_KEY,0))/SUM(IFERROR(INDEX(LMH_PTS,MATCH(J225,LMH_KEY,0)),0),IFERROR(INDEX(LMH_PTS,MATCH(K225,LMH_KEY,0)),0),IFERROR(INDEX(LMH_PTS,MATCH(L225,LMH_KEY,0)),0),IFERROR(INDEX(LMH_PTS,MATCH(M225,LMH_KEY,0)),0),IFERROR(INDEX(LMH_PTS,MATCH(N225,LMH_KEY,0)),0),IFERROR(INDEX(LMH_PTS,MATCH(O225,LMH_KEY,0)),0),IFERROR(INDEX(LMH_PTS,MATCH(P225,LMH_KEY,0)),0)),""))</f>
        <v>0.0526315789473684</v>
      </c>
      <c r="U225" s="74">
        <f>IF(N225="","",IFERROR(INDEX(LMH_PTS,MATCH(N225,LMH_KEY,0))/SUM(IFERROR(INDEX(LMH_PTS,MATCH(J225,LMH_KEY,0)),0),IFERROR(INDEX(LMH_PTS,MATCH(K225,LMH_KEY,0)),0),IFERROR(INDEX(LMH_PTS,MATCH(L225,LMH_KEY,0)),0),IFERROR(INDEX(LMH_PTS,MATCH(M225,LMH_KEY,0)),0),IFERROR(INDEX(LMH_PTS,MATCH(N225,LMH_KEY,0)),0),IFERROR(INDEX(LMH_PTS,MATCH(O225,LMH_KEY,0)),0),IFERROR(INDEX(LMH_PTS,MATCH(P225,LMH_KEY,0)),0)),""))</f>
        <v>0.0526315789473684</v>
      </c>
      <c r="V225" s="74">
        <f>IF(O225="","",IFERROR(INDEX(LMH_PTS,MATCH(O225,LMH_KEY,0))/SUM(IFERROR(INDEX(LMH_PTS,MATCH(J225,LMH_KEY,0)),0),IFERROR(INDEX(LMH_PTS,MATCH(K225,LMH_KEY,0)),0),IFERROR(INDEX(LMH_PTS,MATCH(L225,LMH_KEY,0)),0),IFERROR(INDEX(LMH_PTS,MATCH(M225,LMH_KEY,0)),0),IFERROR(INDEX(LMH_PTS,MATCH(N225,LMH_KEY,0)),0),IFERROR(INDEX(LMH_PTS,MATCH(O225,LMH_KEY,0)),0),IFERROR(INDEX(LMH_PTS,MATCH(P225,LMH_KEY,0)),0)),""))</f>
        <v>0.0526315789473684</v>
      </c>
      <c r="W225" s="74">
        <f>IF(P225="","",IFERROR(INDEX(LMH_PTS,MATCH(P225,LMH_KEY,0))/SUM(IFERROR(INDEX(LMH_PTS,MATCH(J225,LMH_KEY,0)),0),IFERROR(INDEX(LMH_PTS,MATCH(K225,LMH_KEY,0)),0),IFERROR(INDEX(LMH_PTS,MATCH(L225,LMH_KEY,0)),0),IFERROR(INDEX(LMH_PTS,MATCH(M225,LMH_KEY,0)),0),IFERROR(INDEX(LMH_PTS,MATCH(N225,LMH_KEY,0)),0),IFERROR(INDEX(LMH_PTS,MATCH(O225,LMH_KEY,0)),0),IFERROR(INDEX(LMH_PTS,MATCH(P225,LMH_KEY,0)),0)),""))</f>
        <v>0.0526315789473684</v>
      </c>
      <c r="X225" s="44" t="n"/>
      <c r="Y225" s="38" t="inlineStr">
        <is>
          <t>iFile|XBRL Consulting|Taxonomy Specialist|B1|B-IC</t>
        </is>
      </c>
    </row>
    <row r="226" ht="28" customHeight="1">
      <c r="A226" s="28" t="inlineStr">
        <is>
          <t>iFile</t>
        </is>
      </c>
      <c r="B226" s="29" t="inlineStr">
        <is>
          <t>XBRL Consulting</t>
        </is>
      </c>
      <c r="C226" s="75" t="inlineStr">
        <is>
          <t>A3</t>
        </is>
      </c>
      <c r="D226" s="29" t="inlineStr">
        <is>
          <t>Band A · Practitioner</t>
        </is>
      </c>
      <c r="E226" s="29" t="inlineStr">
        <is>
          <t>Senior Financial Analyst</t>
        </is>
      </c>
      <c r="F226" s="29" t="inlineStr">
        <is>
          <t>Band A · all tracks</t>
        </is>
      </c>
      <c r="G226" s="29" t="inlineStr">
        <is>
          <t>Consulting &amp; Professional Services</t>
        </is>
      </c>
      <c r="H226" s="29" t="n">
        <v>3</v>
      </c>
      <c r="I226" s="29" t="inlineStr">
        <is>
          <t>Mayuri Ashok Mhetar, Musaf Shaikh, Tuku Deb</t>
        </is>
      </c>
      <c r="J226" s="34" t="str">
        <f>IFERROR(INDEX(RBD_C,MATCH("Consulting &amp; Professional Services|A3|A",RBD_KEY,0)),"M")</f>
        <v>H</v>
      </c>
      <c r="K226" s="35" t="str">
        <f>IFERROR(INDEX(RBD_Au,MATCH("Consulting &amp; Professional Services|A3|A",RBD_KEY,0)),"M")</f>
        <v>M</v>
      </c>
      <c r="L226" s="35" t="str">
        <f>IFERROR(INDEX(RBD_Ac,MATCH("Consulting &amp; Professional Services|A3|A",RBD_KEY,0)),"M")</f>
        <v>M</v>
      </c>
      <c r="M226" s="35" t="str">
        <f>IFERROR(INDEX(RBD_L,MATCH("Consulting &amp; Professional Services|A3|A",RBD_KEY,0)),"M")</f>
        <v>L</v>
      </c>
      <c r="N226" s="35" t="str">
        <f>IFERROR(INDEX(RBD_BI,MATCH("Consulting &amp; Professional Services|A3|A",RBD_KEY,0)),"M")</f>
        <v>L</v>
      </c>
      <c r="O226" s="35" t="str">
        <f>IFERROR(INDEX(RBD_Exp,MATCH("Consulting &amp; Professional Services|A3|A",RBD_KEY,0)),"M")</f>
        <v>L</v>
      </c>
      <c r="P226" s="35" t="str">
        <f>IFERROR(INDEX(RBD_Edu,MATCH("Consulting &amp; Professional Services|A3|A",RBD_KEY,0)),"M")</f>
        <v>L</v>
      </c>
      <c r="Q226" s="73">
        <f>IF(J226="","",IFERROR(INDEX(LMH_PTS,MATCH(J226,LMH_KEY,0))/SUM(IFERROR(INDEX(LMH_PTS,MATCH(J226,LMH_KEY,0)),0),IFERROR(INDEX(LMH_PTS,MATCH(K226,LMH_KEY,0)),0),IFERROR(INDEX(LMH_PTS,MATCH(L226,LMH_KEY,0)),0),IFERROR(INDEX(LMH_PTS,MATCH(M226,LMH_KEY,0)),0),IFERROR(INDEX(LMH_PTS,MATCH(N226,LMH_KEY,0)),0),IFERROR(INDEX(LMH_PTS,MATCH(O226,LMH_KEY,0)),0),IFERROR(INDEX(LMH_PTS,MATCH(P226,LMH_KEY,0)),0)),""))</f>
        <v>0.473684210526316</v>
      </c>
      <c r="R226" s="74">
        <f>IF(K226="","",IFERROR(INDEX(LMH_PTS,MATCH(K226,LMH_KEY,0))/SUM(IFERROR(INDEX(LMH_PTS,MATCH(J226,LMH_KEY,0)),0),IFERROR(INDEX(LMH_PTS,MATCH(K226,LMH_KEY,0)),0),IFERROR(INDEX(LMH_PTS,MATCH(L226,LMH_KEY,0)),0),IFERROR(INDEX(LMH_PTS,MATCH(M226,LMH_KEY,0)),0),IFERROR(INDEX(LMH_PTS,MATCH(N226,LMH_KEY,0)),0),IFERROR(INDEX(LMH_PTS,MATCH(O226,LMH_KEY,0)),0),IFERROR(INDEX(LMH_PTS,MATCH(P226,LMH_KEY,0)),0)),""))</f>
        <v>0.157894736842105</v>
      </c>
      <c r="S226" s="74">
        <f>IF(L226="","",IFERROR(INDEX(LMH_PTS,MATCH(L226,LMH_KEY,0))/SUM(IFERROR(INDEX(LMH_PTS,MATCH(J226,LMH_KEY,0)),0),IFERROR(INDEX(LMH_PTS,MATCH(K226,LMH_KEY,0)),0),IFERROR(INDEX(LMH_PTS,MATCH(L226,LMH_KEY,0)),0),IFERROR(INDEX(LMH_PTS,MATCH(M226,LMH_KEY,0)),0),IFERROR(INDEX(LMH_PTS,MATCH(N226,LMH_KEY,0)),0),IFERROR(INDEX(LMH_PTS,MATCH(O226,LMH_KEY,0)),0),IFERROR(INDEX(LMH_PTS,MATCH(P226,LMH_KEY,0)),0)),""))</f>
        <v>0.157894736842105</v>
      </c>
      <c r="T226" s="74">
        <f>IF(M226="","",IFERROR(INDEX(LMH_PTS,MATCH(M226,LMH_KEY,0))/SUM(IFERROR(INDEX(LMH_PTS,MATCH(J226,LMH_KEY,0)),0),IFERROR(INDEX(LMH_PTS,MATCH(K226,LMH_KEY,0)),0),IFERROR(INDEX(LMH_PTS,MATCH(L226,LMH_KEY,0)),0),IFERROR(INDEX(LMH_PTS,MATCH(M226,LMH_KEY,0)),0),IFERROR(INDEX(LMH_PTS,MATCH(N226,LMH_KEY,0)),0),IFERROR(INDEX(LMH_PTS,MATCH(O226,LMH_KEY,0)),0),IFERROR(INDEX(LMH_PTS,MATCH(P226,LMH_KEY,0)),0)),""))</f>
        <v>0.0526315789473684</v>
      </c>
      <c r="U226" s="74">
        <f>IF(N226="","",IFERROR(INDEX(LMH_PTS,MATCH(N226,LMH_KEY,0))/SUM(IFERROR(INDEX(LMH_PTS,MATCH(J226,LMH_KEY,0)),0),IFERROR(INDEX(LMH_PTS,MATCH(K226,LMH_KEY,0)),0),IFERROR(INDEX(LMH_PTS,MATCH(L226,LMH_KEY,0)),0),IFERROR(INDEX(LMH_PTS,MATCH(M226,LMH_KEY,0)),0),IFERROR(INDEX(LMH_PTS,MATCH(N226,LMH_KEY,0)),0),IFERROR(INDEX(LMH_PTS,MATCH(O226,LMH_KEY,0)),0),IFERROR(INDEX(LMH_PTS,MATCH(P226,LMH_KEY,0)),0)),""))</f>
        <v>0.0526315789473684</v>
      </c>
      <c r="V226" s="74">
        <f>IF(O226="","",IFERROR(INDEX(LMH_PTS,MATCH(O226,LMH_KEY,0))/SUM(IFERROR(INDEX(LMH_PTS,MATCH(J226,LMH_KEY,0)),0),IFERROR(INDEX(LMH_PTS,MATCH(K226,LMH_KEY,0)),0),IFERROR(INDEX(LMH_PTS,MATCH(L226,LMH_KEY,0)),0),IFERROR(INDEX(LMH_PTS,MATCH(M226,LMH_KEY,0)),0),IFERROR(INDEX(LMH_PTS,MATCH(N226,LMH_KEY,0)),0),IFERROR(INDEX(LMH_PTS,MATCH(O226,LMH_KEY,0)),0),IFERROR(INDEX(LMH_PTS,MATCH(P226,LMH_KEY,0)),0)),""))</f>
        <v>0.0526315789473684</v>
      </c>
      <c r="W226" s="74">
        <f>IF(P226="","",IFERROR(INDEX(LMH_PTS,MATCH(P226,LMH_KEY,0))/SUM(IFERROR(INDEX(LMH_PTS,MATCH(J226,LMH_KEY,0)),0),IFERROR(INDEX(LMH_PTS,MATCH(K226,LMH_KEY,0)),0),IFERROR(INDEX(LMH_PTS,MATCH(L226,LMH_KEY,0)),0),IFERROR(INDEX(LMH_PTS,MATCH(M226,LMH_KEY,0)),0),IFERROR(INDEX(LMH_PTS,MATCH(N226,LMH_KEY,0)),0),IFERROR(INDEX(LMH_PTS,MATCH(O226,LMH_KEY,0)),0),IFERROR(INDEX(LMH_PTS,MATCH(P226,LMH_KEY,0)),0)),""))</f>
        <v>0.0526315789473684</v>
      </c>
      <c r="X226" s="44" t="n"/>
      <c r="Y226" s="38" t="inlineStr">
        <is>
          <t>iFile|XBRL Consulting|Senior Financial Analyst|A3|A</t>
        </is>
      </c>
    </row>
    <row r="227" ht="90.5" customHeight="1">
      <c r="A227" s="28" t="inlineStr">
        <is>
          <t>iFile</t>
        </is>
      </c>
      <c r="B227" s="29" t="inlineStr">
        <is>
          <t>XBRL Consulting</t>
        </is>
      </c>
      <c r="C227" s="75" t="inlineStr">
        <is>
          <t>A3</t>
        </is>
      </c>
      <c r="D227" s="29" t="inlineStr">
        <is>
          <t>Band A · Practitioner</t>
        </is>
      </c>
      <c r="E227" s="29" t="inlineStr">
        <is>
          <t>Senior Taxonomy Analyst</t>
        </is>
      </c>
      <c r="F227" s="29" t="inlineStr">
        <is>
          <t>Band A · all tracks</t>
        </is>
      </c>
      <c r="G227" s="29" t="inlineStr">
        <is>
          <t>Consulting &amp; Professional Services</t>
        </is>
      </c>
      <c r="H227" s="29" t="n">
        <v>12</v>
      </c>
      <c r="I227" s="29" t="inlineStr">
        <is>
          <t>Pawan Khot, Pranali Khanavkar, Unnati Kamble, Bhushan Patkar, Isheekka Gupta, Prasad Chavan, Shashank Poipkar, Bhagyashree Kamble, Bhakti Gosavi, Neha Periwal, Surekha Ghadigaonkar, Yogesh Patil</t>
        </is>
      </c>
      <c r="J227" s="34" t="str">
        <f>IFERROR(INDEX(RBD_C,MATCH("Consulting &amp; Professional Services|A3|A",RBD_KEY,0)),"M")</f>
        <v>H</v>
      </c>
      <c r="K227" s="35" t="str">
        <f>IFERROR(INDEX(RBD_Au,MATCH("Consulting &amp; Professional Services|A3|A",RBD_KEY,0)),"M")</f>
        <v>M</v>
      </c>
      <c r="L227" s="35" t="str">
        <f>IFERROR(INDEX(RBD_Ac,MATCH("Consulting &amp; Professional Services|A3|A",RBD_KEY,0)),"M")</f>
        <v>M</v>
      </c>
      <c r="M227" s="35" t="str">
        <f>IFERROR(INDEX(RBD_L,MATCH("Consulting &amp; Professional Services|A3|A",RBD_KEY,0)),"M")</f>
        <v>L</v>
      </c>
      <c r="N227" s="35" t="str">
        <f>IFERROR(INDEX(RBD_BI,MATCH("Consulting &amp; Professional Services|A3|A",RBD_KEY,0)),"M")</f>
        <v>L</v>
      </c>
      <c r="O227" s="35" t="str">
        <f>IFERROR(INDEX(RBD_Exp,MATCH("Consulting &amp; Professional Services|A3|A",RBD_KEY,0)),"M")</f>
        <v>L</v>
      </c>
      <c r="P227" s="35" t="str">
        <f>IFERROR(INDEX(RBD_Edu,MATCH("Consulting &amp; Professional Services|A3|A",RBD_KEY,0)),"M")</f>
        <v>L</v>
      </c>
      <c r="Q227" s="73">
        <f>IF(J227="","",IFERROR(INDEX(LMH_PTS,MATCH(J227,LMH_KEY,0))/SUM(IFERROR(INDEX(LMH_PTS,MATCH(J227,LMH_KEY,0)),0),IFERROR(INDEX(LMH_PTS,MATCH(K227,LMH_KEY,0)),0),IFERROR(INDEX(LMH_PTS,MATCH(L227,LMH_KEY,0)),0),IFERROR(INDEX(LMH_PTS,MATCH(M227,LMH_KEY,0)),0),IFERROR(INDEX(LMH_PTS,MATCH(N227,LMH_KEY,0)),0),IFERROR(INDEX(LMH_PTS,MATCH(O227,LMH_KEY,0)),0),IFERROR(INDEX(LMH_PTS,MATCH(P227,LMH_KEY,0)),0)),""))</f>
        <v>0.473684210526316</v>
      </c>
      <c r="R227" s="74">
        <f>IF(K227="","",IFERROR(INDEX(LMH_PTS,MATCH(K227,LMH_KEY,0))/SUM(IFERROR(INDEX(LMH_PTS,MATCH(J227,LMH_KEY,0)),0),IFERROR(INDEX(LMH_PTS,MATCH(K227,LMH_KEY,0)),0),IFERROR(INDEX(LMH_PTS,MATCH(L227,LMH_KEY,0)),0),IFERROR(INDEX(LMH_PTS,MATCH(M227,LMH_KEY,0)),0),IFERROR(INDEX(LMH_PTS,MATCH(N227,LMH_KEY,0)),0),IFERROR(INDEX(LMH_PTS,MATCH(O227,LMH_KEY,0)),0),IFERROR(INDEX(LMH_PTS,MATCH(P227,LMH_KEY,0)),0)),""))</f>
        <v>0.157894736842105</v>
      </c>
      <c r="S227" s="74">
        <f>IF(L227="","",IFERROR(INDEX(LMH_PTS,MATCH(L227,LMH_KEY,0))/SUM(IFERROR(INDEX(LMH_PTS,MATCH(J227,LMH_KEY,0)),0),IFERROR(INDEX(LMH_PTS,MATCH(K227,LMH_KEY,0)),0),IFERROR(INDEX(LMH_PTS,MATCH(L227,LMH_KEY,0)),0),IFERROR(INDEX(LMH_PTS,MATCH(M227,LMH_KEY,0)),0),IFERROR(INDEX(LMH_PTS,MATCH(N227,LMH_KEY,0)),0),IFERROR(INDEX(LMH_PTS,MATCH(O227,LMH_KEY,0)),0),IFERROR(INDEX(LMH_PTS,MATCH(P227,LMH_KEY,0)),0)),""))</f>
        <v>0.157894736842105</v>
      </c>
      <c r="T227" s="74">
        <f>IF(M227="","",IFERROR(INDEX(LMH_PTS,MATCH(M227,LMH_KEY,0))/SUM(IFERROR(INDEX(LMH_PTS,MATCH(J227,LMH_KEY,0)),0),IFERROR(INDEX(LMH_PTS,MATCH(K227,LMH_KEY,0)),0),IFERROR(INDEX(LMH_PTS,MATCH(L227,LMH_KEY,0)),0),IFERROR(INDEX(LMH_PTS,MATCH(M227,LMH_KEY,0)),0),IFERROR(INDEX(LMH_PTS,MATCH(N227,LMH_KEY,0)),0),IFERROR(INDEX(LMH_PTS,MATCH(O227,LMH_KEY,0)),0),IFERROR(INDEX(LMH_PTS,MATCH(P227,LMH_KEY,0)),0)),""))</f>
        <v>0.0526315789473684</v>
      </c>
      <c r="U227" s="74">
        <f>IF(N227="","",IFERROR(INDEX(LMH_PTS,MATCH(N227,LMH_KEY,0))/SUM(IFERROR(INDEX(LMH_PTS,MATCH(J227,LMH_KEY,0)),0),IFERROR(INDEX(LMH_PTS,MATCH(K227,LMH_KEY,0)),0),IFERROR(INDEX(LMH_PTS,MATCH(L227,LMH_KEY,0)),0),IFERROR(INDEX(LMH_PTS,MATCH(M227,LMH_KEY,0)),0),IFERROR(INDEX(LMH_PTS,MATCH(N227,LMH_KEY,0)),0),IFERROR(INDEX(LMH_PTS,MATCH(O227,LMH_KEY,0)),0),IFERROR(INDEX(LMH_PTS,MATCH(P227,LMH_KEY,0)),0)),""))</f>
        <v>0.0526315789473684</v>
      </c>
      <c r="V227" s="74">
        <f>IF(O227="","",IFERROR(INDEX(LMH_PTS,MATCH(O227,LMH_KEY,0))/SUM(IFERROR(INDEX(LMH_PTS,MATCH(J227,LMH_KEY,0)),0),IFERROR(INDEX(LMH_PTS,MATCH(K227,LMH_KEY,0)),0),IFERROR(INDEX(LMH_PTS,MATCH(L227,LMH_KEY,0)),0),IFERROR(INDEX(LMH_PTS,MATCH(M227,LMH_KEY,0)),0),IFERROR(INDEX(LMH_PTS,MATCH(N227,LMH_KEY,0)),0),IFERROR(INDEX(LMH_PTS,MATCH(O227,LMH_KEY,0)),0),IFERROR(INDEX(LMH_PTS,MATCH(P227,LMH_KEY,0)),0)),""))</f>
        <v>0.0526315789473684</v>
      </c>
      <c r="W227" s="74">
        <f>IF(P227="","",IFERROR(INDEX(LMH_PTS,MATCH(P227,LMH_KEY,0))/SUM(IFERROR(INDEX(LMH_PTS,MATCH(J227,LMH_KEY,0)),0),IFERROR(INDEX(LMH_PTS,MATCH(K227,LMH_KEY,0)),0),IFERROR(INDEX(LMH_PTS,MATCH(L227,LMH_KEY,0)),0),IFERROR(INDEX(LMH_PTS,MATCH(M227,LMH_KEY,0)),0),IFERROR(INDEX(LMH_PTS,MATCH(N227,LMH_KEY,0)),0),IFERROR(INDEX(LMH_PTS,MATCH(O227,LMH_KEY,0)),0),IFERROR(INDEX(LMH_PTS,MATCH(P227,LMH_KEY,0)),0)),""))</f>
        <v>0.0526315789473684</v>
      </c>
      <c r="X227" s="44" t="n"/>
      <c r="Y227" s="38" t="inlineStr">
        <is>
          <t>iFile|XBRL Consulting|Senior Taxonomy Analyst|A3|A</t>
        </is>
      </c>
    </row>
    <row r="228" ht="28" customHeight="1">
      <c r="A228" s="28" t="inlineStr">
        <is>
          <t>iFile</t>
        </is>
      </c>
      <c r="B228" s="29" t="inlineStr">
        <is>
          <t>XBRL Consulting</t>
        </is>
      </c>
      <c r="C228" s="75" t="inlineStr">
        <is>
          <t>A3</t>
        </is>
      </c>
      <c r="D228" s="29" t="inlineStr">
        <is>
          <t>Band A · Practitioner</t>
        </is>
      </c>
      <c r="E228" s="29" t="inlineStr">
        <is>
          <t>Taxonomy Specialist</t>
        </is>
      </c>
      <c r="F228" s="29" t="inlineStr">
        <is>
          <t>Band A · all tracks</t>
        </is>
      </c>
      <c r="G228" s="29" t="inlineStr">
        <is>
          <t>Consulting &amp; Professional Services</t>
        </is>
      </c>
      <c r="H228" s="29" t="n">
        <v>2</v>
      </c>
      <c r="I228" s="29" t="inlineStr">
        <is>
          <t>Vaishnavi Deshpande, Kalyani Sunil Nagap</t>
        </is>
      </c>
      <c r="J228" s="34" t="str">
        <f>IFERROR(INDEX(RBD_C,MATCH("Consulting &amp; Professional Services|A3|A",RBD_KEY,0)),"M")</f>
        <v>H</v>
      </c>
      <c r="K228" s="35" t="str">
        <f>IFERROR(INDEX(RBD_Au,MATCH("Consulting &amp; Professional Services|A3|A",RBD_KEY,0)),"M")</f>
        <v>M</v>
      </c>
      <c r="L228" s="35" t="str">
        <f>IFERROR(INDEX(RBD_Ac,MATCH("Consulting &amp; Professional Services|A3|A",RBD_KEY,0)),"M")</f>
        <v>M</v>
      </c>
      <c r="M228" s="35" t="str">
        <f>IFERROR(INDEX(RBD_L,MATCH("Consulting &amp; Professional Services|A3|A",RBD_KEY,0)),"M")</f>
        <v>L</v>
      </c>
      <c r="N228" s="35" t="str">
        <f>IFERROR(INDEX(RBD_BI,MATCH("Consulting &amp; Professional Services|A3|A",RBD_KEY,0)),"M")</f>
        <v>L</v>
      </c>
      <c r="O228" s="35" t="str">
        <f>IFERROR(INDEX(RBD_Exp,MATCH("Consulting &amp; Professional Services|A3|A",RBD_KEY,0)),"M")</f>
        <v>L</v>
      </c>
      <c r="P228" s="35" t="str">
        <f>IFERROR(INDEX(RBD_Edu,MATCH("Consulting &amp; Professional Services|A3|A",RBD_KEY,0)),"M")</f>
        <v>L</v>
      </c>
      <c r="Q228" s="73">
        <f>IF(J228="","",IFERROR(INDEX(LMH_PTS,MATCH(J228,LMH_KEY,0))/SUM(IFERROR(INDEX(LMH_PTS,MATCH(J228,LMH_KEY,0)),0),IFERROR(INDEX(LMH_PTS,MATCH(K228,LMH_KEY,0)),0),IFERROR(INDEX(LMH_PTS,MATCH(L228,LMH_KEY,0)),0),IFERROR(INDEX(LMH_PTS,MATCH(M228,LMH_KEY,0)),0),IFERROR(INDEX(LMH_PTS,MATCH(N228,LMH_KEY,0)),0),IFERROR(INDEX(LMH_PTS,MATCH(O228,LMH_KEY,0)),0),IFERROR(INDEX(LMH_PTS,MATCH(P228,LMH_KEY,0)),0)),""))</f>
        <v>0.473684210526316</v>
      </c>
      <c r="R228" s="74">
        <f>IF(K228="","",IFERROR(INDEX(LMH_PTS,MATCH(K228,LMH_KEY,0))/SUM(IFERROR(INDEX(LMH_PTS,MATCH(J228,LMH_KEY,0)),0),IFERROR(INDEX(LMH_PTS,MATCH(K228,LMH_KEY,0)),0),IFERROR(INDEX(LMH_PTS,MATCH(L228,LMH_KEY,0)),0),IFERROR(INDEX(LMH_PTS,MATCH(M228,LMH_KEY,0)),0),IFERROR(INDEX(LMH_PTS,MATCH(N228,LMH_KEY,0)),0),IFERROR(INDEX(LMH_PTS,MATCH(O228,LMH_KEY,0)),0),IFERROR(INDEX(LMH_PTS,MATCH(P228,LMH_KEY,0)),0)),""))</f>
        <v>0.157894736842105</v>
      </c>
      <c r="S228" s="74">
        <f>IF(L228="","",IFERROR(INDEX(LMH_PTS,MATCH(L228,LMH_KEY,0))/SUM(IFERROR(INDEX(LMH_PTS,MATCH(J228,LMH_KEY,0)),0),IFERROR(INDEX(LMH_PTS,MATCH(K228,LMH_KEY,0)),0),IFERROR(INDEX(LMH_PTS,MATCH(L228,LMH_KEY,0)),0),IFERROR(INDEX(LMH_PTS,MATCH(M228,LMH_KEY,0)),0),IFERROR(INDEX(LMH_PTS,MATCH(N228,LMH_KEY,0)),0),IFERROR(INDEX(LMH_PTS,MATCH(O228,LMH_KEY,0)),0),IFERROR(INDEX(LMH_PTS,MATCH(P228,LMH_KEY,0)),0)),""))</f>
        <v>0.157894736842105</v>
      </c>
      <c r="T228" s="74">
        <f>IF(M228="","",IFERROR(INDEX(LMH_PTS,MATCH(M228,LMH_KEY,0))/SUM(IFERROR(INDEX(LMH_PTS,MATCH(J228,LMH_KEY,0)),0),IFERROR(INDEX(LMH_PTS,MATCH(K228,LMH_KEY,0)),0),IFERROR(INDEX(LMH_PTS,MATCH(L228,LMH_KEY,0)),0),IFERROR(INDEX(LMH_PTS,MATCH(M228,LMH_KEY,0)),0),IFERROR(INDEX(LMH_PTS,MATCH(N228,LMH_KEY,0)),0),IFERROR(INDEX(LMH_PTS,MATCH(O228,LMH_KEY,0)),0),IFERROR(INDEX(LMH_PTS,MATCH(P228,LMH_KEY,0)),0)),""))</f>
        <v>0.0526315789473684</v>
      </c>
      <c r="U228" s="74">
        <f>IF(N228="","",IFERROR(INDEX(LMH_PTS,MATCH(N228,LMH_KEY,0))/SUM(IFERROR(INDEX(LMH_PTS,MATCH(J228,LMH_KEY,0)),0),IFERROR(INDEX(LMH_PTS,MATCH(K228,LMH_KEY,0)),0),IFERROR(INDEX(LMH_PTS,MATCH(L228,LMH_KEY,0)),0),IFERROR(INDEX(LMH_PTS,MATCH(M228,LMH_KEY,0)),0),IFERROR(INDEX(LMH_PTS,MATCH(N228,LMH_KEY,0)),0),IFERROR(INDEX(LMH_PTS,MATCH(O228,LMH_KEY,0)),0),IFERROR(INDEX(LMH_PTS,MATCH(P228,LMH_KEY,0)),0)),""))</f>
        <v>0.0526315789473684</v>
      </c>
      <c r="V228" s="74">
        <f>IF(O228="","",IFERROR(INDEX(LMH_PTS,MATCH(O228,LMH_KEY,0))/SUM(IFERROR(INDEX(LMH_PTS,MATCH(J228,LMH_KEY,0)),0),IFERROR(INDEX(LMH_PTS,MATCH(K228,LMH_KEY,0)),0),IFERROR(INDEX(LMH_PTS,MATCH(L228,LMH_KEY,0)),0),IFERROR(INDEX(LMH_PTS,MATCH(M228,LMH_KEY,0)),0),IFERROR(INDEX(LMH_PTS,MATCH(N228,LMH_KEY,0)),0),IFERROR(INDEX(LMH_PTS,MATCH(O228,LMH_KEY,0)),0),IFERROR(INDEX(LMH_PTS,MATCH(P228,LMH_KEY,0)),0)),""))</f>
        <v>0.0526315789473684</v>
      </c>
      <c r="W228" s="74">
        <f>IF(P228="","",IFERROR(INDEX(LMH_PTS,MATCH(P228,LMH_KEY,0))/SUM(IFERROR(INDEX(LMH_PTS,MATCH(J228,LMH_KEY,0)),0),IFERROR(INDEX(LMH_PTS,MATCH(K228,LMH_KEY,0)),0),IFERROR(INDEX(LMH_PTS,MATCH(L228,LMH_KEY,0)),0),IFERROR(INDEX(LMH_PTS,MATCH(M228,LMH_KEY,0)),0),IFERROR(INDEX(LMH_PTS,MATCH(N228,LMH_KEY,0)),0),IFERROR(INDEX(LMH_PTS,MATCH(O228,LMH_KEY,0)),0),IFERROR(INDEX(LMH_PTS,MATCH(P228,LMH_KEY,0)),0)),""))</f>
        <v>0.0526315789473684</v>
      </c>
      <c r="X228" s="44" t="n"/>
      <c r="Y228" s="38" t="inlineStr">
        <is>
          <t>iFile|XBRL Consulting|Taxonomy Specialist|A3|A</t>
        </is>
      </c>
    </row>
    <row r="229" ht="40.5" customHeight="1">
      <c r="A229" s="28" t="inlineStr">
        <is>
          <t>iFile</t>
        </is>
      </c>
      <c r="B229" s="29" t="inlineStr">
        <is>
          <t>XBRL Consulting</t>
        </is>
      </c>
      <c r="C229" s="75" t="inlineStr">
        <is>
          <t>A2</t>
        </is>
      </c>
      <c r="D229" s="29" t="inlineStr">
        <is>
          <t>Band A · Practitioner</t>
        </is>
      </c>
      <c r="E229" s="29" t="inlineStr">
        <is>
          <t>Financial Analyst</t>
        </is>
      </c>
      <c r="F229" s="29" t="inlineStr">
        <is>
          <t>Band A · all tracks</t>
        </is>
      </c>
      <c r="G229" s="29" t="inlineStr">
        <is>
          <t>Consulting &amp; Professional Services</t>
        </is>
      </c>
      <c r="H229" s="29" t="n">
        <v>3</v>
      </c>
      <c r="I229" s="29" t="inlineStr">
        <is>
          <t>Bhanu Vardhan Nelly, Prajakta Athalye, Rinku Pukharam Choudhary</t>
        </is>
      </c>
      <c r="J229" s="34" t="str">
        <f>IFERROR(INDEX(RBD_C,MATCH("Consulting &amp; Professional Services|A2|A",RBD_KEY,0)),"M")</f>
        <v>H</v>
      </c>
      <c r="K229" s="35" t="str">
        <f>IFERROR(INDEX(RBD_Au,MATCH("Consulting &amp; Professional Services|A2|A",RBD_KEY,0)),"M")</f>
        <v>M</v>
      </c>
      <c r="L229" s="35" t="str">
        <f>IFERROR(INDEX(RBD_Ac,MATCH("Consulting &amp; Professional Services|A2|A",RBD_KEY,0)),"M")</f>
        <v>M</v>
      </c>
      <c r="M229" s="35" t="str">
        <f>IFERROR(INDEX(RBD_L,MATCH("Consulting &amp; Professional Services|A2|A",RBD_KEY,0)),"M")</f>
        <v>L</v>
      </c>
      <c r="N229" s="35" t="str">
        <f>IFERROR(INDEX(RBD_BI,MATCH("Consulting &amp; Professional Services|A2|A",RBD_KEY,0)),"M")</f>
        <v>L</v>
      </c>
      <c r="O229" s="35" t="str">
        <f>IFERROR(INDEX(RBD_Exp,MATCH("Consulting &amp; Professional Services|A2|A",RBD_KEY,0)),"M")</f>
        <v>L</v>
      </c>
      <c r="P229" s="35" t="str">
        <f>IFERROR(INDEX(RBD_Edu,MATCH("Consulting &amp; Professional Services|A2|A",RBD_KEY,0)),"M")</f>
        <v>L</v>
      </c>
      <c r="Q229" s="73">
        <f>IF(J229="","",IFERROR(INDEX(LMH_PTS,MATCH(J229,LMH_KEY,0))/SUM(IFERROR(INDEX(LMH_PTS,MATCH(J229,LMH_KEY,0)),0),IFERROR(INDEX(LMH_PTS,MATCH(K229,LMH_KEY,0)),0),IFERROR(INDEX(LMH_PTS,MATCH(L229,LMH_KEY,0)),0),IFERROR(INDEX(LMH_PTS,MATCH(M229,LMH_KEY,0)),0),IFERROR(INDEX(LMH_PTS,MATCH(N229,LMH_KEY,0)),0),IFERROR(INDEX(LMH_PTS,MATCH(O229,LMH_KEY,0)),0),IFERROR(INDEX(LMH_PTS,MATCH(P229,LMH_KEY,0)),0)),""))</f>
        <v>0.473684210526316</v>
      </c>
      <c r="R229" s="74">
        <f>IF(K229="","",IFERROR(INDEX(LMH_PTS,MATCH(K229,LMH_KEY,0))/SUM(IFERROR(INDEX(LMH_PTS,MATCH(J229,LMH_KEY,0)),0),IFERROR(INDEX(LMH_PTS,MATCH(K229,LMH_KEY,0)),0),IFERROR(INDEX(LMH_PTS,MATCH(L229,LMH_KEY,0)),0),IFERROR(INDEX(LMH_PTS,MATCH(M229,LMH_KEY,0)),0),IFERROR(INDEX(LMH_PTS,MATCH(N229,LMH_KEY,0)),0),IFERROR(INDEX(LMH_PTS,MATCH(O229,LMH_KEY,0)),0),IFERROR(INDEX(LMH_PTS,MATCH(P229,LMH_KEY,0)),0)),""))</f>
        <v>0.157894736842105</v>
      </c>
      <c r="S229" s="74">
        <f>IF(L229="","",IFERROR(INDEX(LMH_PTS,MATCH(L229,LMH_KEY,0))/SUM(IFERROR(INDEX(LMH_PTS,MATCH(J229,LMH_KEY,0)),0),IFERROR(INDEX(LMH_PTS,MATCH(K229,LMH_KEY,0)),0),IFERROR(INDEX(LMH_PTS,MATCH(L229,LMH_KEY,0)),0),IFERROR(INDEX(LMH_PTS,MATCH(M229,LMH_KEY,0)),0),IFERROR(INDEX(LMH_PTS,MATCH(N229,LMH_KEY,0)),0),IFERROR(INDEX(LMH_PTS,MATCH(O229,LMH_KEY,0)),0),IFERROR(INDEX(LMH_PTS,MATCH(P229,LMH_KEY,0)),0)),""))</f>
        <v>0.157894736842105</v>
      </c>
      <c r="T229" s="74">
        <f>IF(M229="","",IFERROR(INDEX(LMH_PTS,MATCH(M229,LMH_KEY,0))/SUM(IFERROR(INDEX(LMH_PTS,MATCH(J229,LMH_KEY,0)),0),IFERROR(INDEX(LMH_PTS,MATCH(K229,LMH_KEY,0)),0),IFERROR(INDEX(LMH_PTS,MATCH(L229,LMH_KEY,0)),0),IFERROR(INDEX(LMH_PTS,MATCH(M229,LMH_KEY,0)),0),IFERROR(INDEX(LMH_PTS,MATCH(N229,LMH_KEY,0)),0),IFERROR(INDEX(LMH_PTS,MATCH(O229,LMH_KEY,0)),0),IFERROR(INDEX(LMH_PTS,MATCH(P229,LMH_KEY,0)),0)),""))</f>
        <v>0.0526315789473684</v>
      </c>
      <c r="U229" s="74">
        <f>IF(N229="","",IFERROR(INDEX(LMH_PTS,MATCH(N229,LMH_KEY,0))/SUM(IFERROR(INDEX(LMH_PTS,MATCH(J229,LMH_KEY,0)),0),IFERROR(INDEX(LMH_PTS,MATCH(K229,LMH_KEY,0)),0),IFERROR(INDEX(LMH_PTS,MATCH(L229,LMH_KEY,0)),0),IFERROR(INDEX(LMH_PTS,MATCH(M229,LMH_KEY,0)),0),IFERROR(INDEX(LMH_PTS,MATCH(N229,LMH_KEY,0)),0),IFERROR(INDEX(LMH_PTS,MATCH(O229,LMH_KEY,0)),0),IFERROR(INDEX(LMH_PTS,MATCH(P229,LMH_KEY,0)),0)),""))</f>
        <v>0.0526315789473684</v>
      </c>
      <c r="V229" s="74">
        <f>IF(O229="","",IFERROR(INDEX(LMH_PTS,MATCH(O229,LMH_KEY,0))/SUM(IFERROR(INDEX(LMH_PTS,MATCH(J229,LMH_KEY,0)),0),IFERROR(INDEX(LMH_PTS,MATCH(K229,LMH_KEY,0)),0),IFERROR(INDEX(LMH_PTS,MATCH(L229,LMH_KEY,0)),0),IFERROR(INDEX(LMH_PTS,MATCH(M229,LMH_KEY,0)),0),IFERROR(INDEX(LMH_PTS,MATCH(N229,LMH_KEY,0)),0),IFERROR(INDEX(LMH_PTS,MATCH(O229,LMH_KEY,0)),0),IFERROR(INDEX(LMH_PTS,MATCH(P229,LMH_KEY,0)),0)),""))</f>
        <v>0.0526315789473684</v>
      </c>
      <c r="W229" s="74">
        <f>IF(P229="","",IFERROR(INDEX(LMH_PTS,MATCH(P229,LMH_KEY,0))/SUM(IFERROR(INDEX(LMH_PTS,MATCH(J229,LMH_KEY,0)),0),IFERROR(INDEX(LMH_PTS,MATCH(K229,LMH_KEY,0)),0),IFERROR(INDEX(LMH_PTS,MATCH(L229,LMH_KEY,0)),0),IFERROR(INDEX(LMH_PTS,MATCH(M229,LMH_KEY,0)),0),IFERROR(INDEX(LMH_PTS,MATCH(N229,LMH_KEY,0)),0),IFERROR(INDEX(LMH_PTS,MATCH(O229,LMH_KEY,0)),0),IFERROR(INDEX(LMH_PTS,MATCH(P229,LMH_KEY,0)),0)),""))</f>
        <v>0.0526315789473684</v>
      </c>
      <c r="X229" s="44" t="n"/>
      <c r="Y229" s="38" t="inlineStr">
        <is>
          <t>iFile|XBRL Consulting|Financial Analyst|A2|A</t>
        </is>
      </c>
    </row>
    <row r="230" ht="18" customHeight="1">
      <c r="A230" s="28" t="inlineStr">
        <is>
          <t>iFile</t>
        </is>
      </c>
      <c r="B230" s="29" t="inlineStr">
        <is>
          <t>XBRL Consulting</t>
        </is>
      </c>
      <c r="C230" s="75" t="inlineStr">
        <is>
          <t>A2</t>
        </is>
      </c>
      <c r="D230" s="29" t="inlineStr">
        <is>
          <t>Band A · Practitioner</t>
        </is>
      </c>
      <c r="E230" s="29" t="inlineStr">
        <is>
          <t>Taxonomy Analyst</t>
        </is>
      </c>
      <c r="F230" s="29" t="inlineStr">
        <is>
          <t>Band A · all tracks</t>
        </is>
      </c>
      <c r="G230" s="29" t="inlineStr">
        <is>
          <t>Consulting &amp; Professional Services</t>
        </is>
      </c>
      <c r="H230" s="29" t="n">
        <v>2</v>
      </c>
      <c r="I230" s="29" t="inlineStr">
        <is>
          <t>Omkar Parab, Prabhash Rajput</t>
        </is>
      </c>
      <c r="J230" s="34" t="str">
        <f>IFERROR(INDEX(RBD_C,MATCH("Consulting &amp; Professional Services|A2|A",RBD_KEY,0)),"M")</f>
        <v>H</v>
      </c>
      <c r="K230" s="35" t="str">
        <f>IFERROR(INDEX(RBD_Au,MATCH("Consulting &amp; Professional Services|A2|A",RBD_KEY,0)),"M")</f>
        <v>M</v>
      </c>
      <c r="L230" s="35" t="str">
        <f>IFERROR(INDEX(RBD_Ac,MATCH("Consulting &amp; Professional Services|A2|A",RBD_KEY,0)),"M")</f>
        <v>M</v>
      </c>
      <c r="M230" s="35" t="str">
        <f>IFERROR(INDEX(RBD_L,MATCH("Consulting &amp; Professional Services|A2|A",RBD_KEY,0)),"M")</f>
        <v>L</v>
      </c>
      <c r="N230" s="35" t="str">
        <f>IFERROR(INDEX(RBD_BI,MATCH("Consulting &amp; Professional Services|A2|A",RBD_KEY,0)),"M")</f>
        <v>L</v>
      </c>
      <c r="O230" s="35" t="str">
        <f>IFERROR(INDEX(RBD_Exp,MATCH("Consulting &amp; Professional Services|A2|A",RBD_KEY,0)),"M")</f>
        <v>L</v>
      </c>
      <c r="P230" s="35" t="str">
        <f>IFERROR(INDEX(RBD_Edu,MATCH("Consulting &amp; Professional Services|A2|A",RBD_KEY,0)),"M")</f>
        <v>L</v>
      </c>
      <c r="Q230" s="73">
        <f>IF(J230="","",IFERROR(INDEX(LMH_PTS,MATCH(J230,LMH_KEY,0))/SUM(IFERROR(INDEX(LMH_PTS,MATCH(J230,LMH_KEY,0)),0),IFERROR(INDEX(LMH_PTS,MATCH(K230,LMH_KEY,0)),0),IFERROR(INDEX(LMH_PTS,MATCH(L230,LMH_KEY,0)),0),IFERROR(INDEX(LMH_PTS,MATCH(M230,LMH_KEY,0)),0),IFERROR(INDEX(LMH_PTS,MATCH(N230,LMH_KEY,0)),0),IFERROR(INDEX(LMH_PTS,MATCH(O230,LMH_KEY,0)),0),IFERROR(INDEX(LMH_PTS,MATCH(P230,LMH_KEY,0)),0)),""))</f>
        <v>0.473684210526316</v>
      </c>
      <c r="R230" s="74">
        <f>IF(K230="","",IFERROR(INDEX(LMH_PTS,MATCH(K230,LMH_KEY,0))/SUM(IFERROR(INDEX(LMH_PTS,MATCH(J230,LMH_KEY,0)),0),IFERROR(INDEX(LMH_PTS,MATCH(K230,LMH_KEY,0)),0),IFERROR(INDEX(LMH_PTS,MATCH(L230,LMH_KEY,0)),0),IFERROR(INDEX(LMH_PTS,MATCH(M230,LMH_KEY,0)),0),IFERROR(INDEX(LMH_PTS,MATCH(N230,LMH_KEY,0)),0),IFERROR(INDEX(LMH_PTS,MATCH(O230,LMH_KEY,0)),0),IFERROR(INDEX(LMH_PTS,MATCH(P230,LMH_KEY,0)),0)),""))</f>
        <v>0.157894736842105</v>
      </c>
      <c r="S230" s="74">
        <f>IF(L230="","",IFERROR(INDEX(LMH_PTS,MATCH(L230,LMH_KEY,0))/SUM(IFERROR(INDEX(LMH_PTS,MATCH(J230,LMH_KEY,0)),0),IFERROR(INDEX(LMH_PTS,MATCH(K230,LMH_KEY,0)),0),IFERROR(INDEX(LMH_PTS,MATCH(L230,LMH_KEY,0)),0),IFERROR(INDEX(LMH_PTS,MATCH(M230,LMH_KEY,0)),0),IFERROR(INDEX(LMH_PTS,MATCH(N230,LMH_KEY,0)),0),IFERROR(INDEX(LMH_PTS,MATCH(O230,LMH_KEY,0)),0),IFERROR(INDEX(LMH_PTS,MATCH(P230,LMH_KEY,0)),0)),""))</f>
        <v>0.157894736842105</v>
      </c>
      <c r="T230" s="74">
        <f>IF(M230="","",IFERROR(INDEX(LMH_PTS,MATCH(M230,LMH_KEY,0))/SUM(IFERROR(INDEX(LMH_PTS,MATCH(J230,LMH_KEY,0)),0),IFERROR(INDEX(LMH_PTS,MATCH(K230,LMH_KEY,0)),0),IFERROR(INDEX(LMH_PTS,MATCH(L230,LMH_KEY,0)),0),IFERROR(INDEX(LMH_PTS,MATCH(M230,LMH_KEY,0)),0),IFERROR(INDEX(LMH_PTS,MATCH(N230,LMH_KEY,0)),0),IFERROR(INDEX(LMH_PTS,MATCH(O230,LMH_KEY,0)),0),IFERROR(INDEX(LMH_PTS,MATCH(P230,LMH_KEY,0)),0)),""))</f>
        <v>0.0526315789473684</v>
      </c>
      <c r="U230" s="74">
        <f>IF(N230="","",IFERROR(INDEX(LMH_PTS,MATCH(N230,LMH_KEY,0))/SUM(IFERROR(INDEX(LMH_PTS,MATCH(J230,LMH_KEY,0)),0),IFERROR(INDEX(LMH_PTS,MATCH(K230,LMH_KEY,0)),0),IFERROR(INDEX(LMH_PTS,MATCH(L230,LMH_KEY,0)),0),IFERROR(INDEX(LMH_PTS,MATCH(M230,LMH_KEY,0)),0),IFERROR(INDEX(LMH_PTS,MATCH(N230,LMH_KEY,0)),0),IFERROR(INDEX(LMH_PTS,MATCH(O230,LMH_KEY,0)),0),IFERROR(INDEX(LMH_PTS,MATCH(P230,LMH_KEY,0)),0)),""))</f>
        <v>0.0526315789473684</v>
      </c>
      <c r="V230" s="74">
        <f>IF(O230="","",IFERROR(INDEX(LMH_PTS,MATCH(O230,LMH_KEY,0))/SUM(IFERROR(INDEX(LMH_PTS,MATCH(J230,LMH_KEY,0)),0),IFERROR(INDEX(LMH_PTS,MATCH(K230,LMH_KEY,0)),0),IFERROR(INDEX(LMH_PTS,MATCH(L230,LMH_KEY,0)),0),IFERROR(INDEX(LMH_PTS,MATCH(M230,LMH_KEY,0)),0),IFERROR(INDEX(LMH_PTS,MATCH(N230,LMH_KEY,0)),0),IFERROR(INDEX(LMH_PTS,MATCH(O230,LMH_KEY,0)),0),IFERROR(INDEX(LMH_PTS,MATCH(P230,LMH_KEY,0)),0)),""))</f>
        <v>0.0526315789473684</v>
      </c>
      <c r="W230" s="74">
        <f>IF(P230="","",IFERROR(INDEX(LMH_PTS,MATCH(P230,LMH_KEY,0))/SUM(IFERROR(INDEX(LMH_PTS,MATCH(J230,LMH_KEY,0)),0),IFERROR(INDEX(LMH_PTS,MATCH(K230,LMH_KEY,0)),0),IFERROR(INDEX(LMH_PTS,MATCH(L230,LMH_KEY,0)),0),IFERROR(INDEX(LMH_PTS,MATCH(M230,LMH_KEY,0)),0),IFERROR(INDEX(LMH_PTS,MATCH(N230,LMH_KEY,0)),0),IFERROR(INDEX(LMH_PTS,MATCH(O230,LMH_KEY,0)),0),IFERROR(INDEX(LMH_PTS,MATCH(P230,LMH_KEY,0)),0)),""))</f>
        <v>0.0526315789473684</v>
      </c>
      <c r="X230" s="44" t="n"/>
      <c r="Y230" s="38" t="inlineStr">
        <is>
          <t>iFile|XBRL Consulting|Taxonomy Analyst|A2|A</t>
        </is>
      </c>
    </row>
    <row r="231" ht="40.5" customHeight="1">
      <c r="A231" s="28" t="inlineStr">
        <is>
          <t>iFile</t>
        </is>
      </c>
      <c r="B231" s="29" t="inlineStr">
        <is>
          <t>XBRL Consulting</t>
        </is>
      </c>
      <c r="C231" s="76" t="inlineStr">
        <is>
          <t>X1</t>
        </is>
      </c>
      <c r="D231" s="29" t="inlineStr">
        <is>
          <t>Band X · Consultant</t>
        </is>
      </c>
      <c r="E231" s="29" t="inlineStr">
        <is>
          <t>Associate Consultant – Taxonomy Design &amp; Regulatory Consulting</t>
        </is>
      </c>
      <c r="F231" s="29" t="inlineStr">
        <is>
          <t>Consultant</t>
        </is>
      </c>
      <c r="G231" s="29" t="inlineStr">
        <is>
          <t>Consulting &amp; Professional Services</t>
        </is>
      </c>
      <c r="H231" s="29" t="n">
        <v>1</v>
      </c>
      <c r="I231" s="29" t="inlineStr">
        <is>
          <t>Sunita Joshi</t>
        </is>
      </c>
      <c r="J231" s="34" t="n"/>
      <c r="K231" s="35" t="n"/>
      <c r="L231" s="35" t="n"/>
      <c r="M231" s="35" t="n"/>
      <c r="N231" s="35" t="n"/>
      <c r="O231" s="35" t="n"/>
      <c r="P231" s="35" t="n"/>
      <c r="Q231" s="73" t="str">
        <f>IF(J231="","",IFERROR(INDEX(LMH_PTS,MATCH(J231,LMH_KEY,0))/SUM(IFERROR(INDEX(LMH_PTS,MATCH(J231,LMH_KEY,0)),0),IFERROR(INDEX(LMH_PTS,MATCH(K231,LMH_KEY,0)),0),IFERROR(INDEX(LMH_PTS,MATCH(L231,LMH_KEY,0)),0),IFERROR(INDEX(LMH_PTS,MATCH(M231,LMH_KEY,0)),0),IFERROR(INDEX(LMH_PTS,MATCH(N231,LMH_KEY,0)),0),IFERROR(INDEX(LMH_PTS,MATCH(O231,LMH_KEY,0)),0),IFERROR(INDEX(LMH_PTS,MATCH(P231,LMH_KEY,0)),0)),""))</f>
        <v/>
      </c>
      <c r="R231" s="74" t="str">
        <f>IF(K231="","",IFERROR(INDEX(LMH_PTS,MATCH(K231,LMH_KEY,0))/SUM(IFERROR(INDEX(LMH_PTS,MATCH(J231,LMH_KEY,0)),0),IFERROR(INDEX(LMH_PTS,MATCH(K231,LMH_KEY,0)),0),IFERROR(INDEX(LMH_PTS,MATCH(L231,LMH_KEY,0)),0),IFERROR(INDEX(LMH_PTS,MATCH(M231,LMH_KEY,0)),0),IFERROR(INDEX(LMH_PTS,MATCH(N231,LMH_KEY,0)),0),IFERROR(INDEX(LMH_PTS,MATCH(O231,LMH_KEY,0)),0),IFERROR(INDEX(LMH_PTS,MATCH(P231,LMH_KEY,0)),0)),""))</f>
        <v/>
      </c>
      <c r="S231" s="74" t="str">
        <f>IF(L231="","",IFERROR(INDEX(LMH_PTS,MATCH(L231,LMH_KEY,0))/SUM(IFERROR(INDEX(LMH_PTS,MATCH(J231,LMH_KEY,0)),0),IFERROR(INDEX(LMH_PTS,MATCH(K231,LMH_KEY,0)),0),IFERROR(INDEX(LMH_PTS,MATCH(L231,LMH_KEY,0)),0),IFERROR(INDEX(LMH_PTS,MATCH(M231,LMH_KEY,0)),0),IFERROR(INDEX(LMH_PTS,MATCH(N231,LMH_KEY,0)),0),IFERROR(INDEX(LMH_PTS,MATCH(O231,LMH_KEY,0)),0),IFERROR(INDEX(LMH_PTS,MATCH(P231,LMH_KEY,0)),0)),""))</f>
        <v/>
      </c>
      <c r="T231" s="74" t="str">
        <f>IF(M231="","",IFERROR(INDEX(LMH_PTS,MATCH(M231,LMH_KEY,0))/SUM(IFERROR(INDEX(LMH_PTS,MATCH(J231,LMH_KEY,0)),0),IFERROR(INDEX(LMH_PTS,MATCH(K231,LMH_KEY,0)),0),IFERROR(INDEX(LMH_PTS,MATCH(L231,LMH_KEY,0)),0),IFERROR(INDEX(LMH_PTS,MATCH(M231,LMH_KEY,0)),0),IFERROR(INDEX(LMH_PTS,MATCH(N231,LMH_KEY,0)),0),IFERROR(INDEX(LMH_PTS,MATCH(O231,LMH_KEY,0)),0),IFERROR(INDEX(LMH_PTS,MATCH(P231,LMH_KEY,0)),0)),""))</f>
        <v/>
      </c>
      <c r="U231" s="74" t="str">
        <f>IF(N231="","",IFERROR(INDEX(LMH_PTS,MATCH(N231,LMH_KEY,0))/SUM(IFERROR(INDEX(LMH_PTS,MATCH(J231,LMH_KEY,0)),0),IFERROR(INDEX(LMH_PTS,MATCH(K231,LMH_KEY,0)),0),IFERROR(INDEX(LMH_PTS,MATCH(L231,LMH_KEY,0)),0),IFERROR(INDEX(LMH_PTS,MATCH(M231,LMH_KEY,0)),0),IFERROR(INDEX(LMH_PTS,MATCH(N231,LMH_KEY,0)),0),IFERROR(INDEX(LMH_PTS,MATCH(O231,LMH_KEY,0)),0),IFERROR(INDEX(LMH_PTS,MATCH(P231,LMH_KEY,0)),0)),""))</f>
        <v/>
      </c>
      <c r="V231" s="74" t="str">
        <f>IF(O231="","",IFERROR(INDEX(LMH_PTS,MATCH(O231,LMH_KEY,0))/SUM(IFERROR(INDEX(LMH_PTS,MATCH(J231,LMH_KEY,0)),0),IFERROR(INDEX(LMH_PTS,MATCH(K231,LMH_KEY,0)),0),IFERROR(INDEX(LMH_PTS,MATCH(L231,LMH_KEY,0)),0),IFERROR(INDEX(LMH_PTS,MATCH(M231,LMH_KEY,0)),0),IFERROR(INDEX(LMH_PTS,MATCH(N231,LMH_KEY,0)),0),IFERROR(INDEX(LMH_PTS,MATCH(O231,LMH_KEY,0)),0),IFERROR(INDEX(LMH_PTS,MATCH(P231,LMH_KEY,0)),0)),""))</f>
        <v/>
      </c>
      <c r="W231" s="74" t="str">
        <f>IF(P231="","",IFERROR(INDEX(LMH_PTS,MATCH(P231,LMH_KEY,0))/SUM(IFERROR(INDEX(LMH_PTS,MATCH(J231,LMH_KEY,0)),0),IFERROR(INDEX(LMH_PTS,MATCH(K231,LMH_KEY,0)),0),IFERROR(INDEX(LMH_PTS,MATCH(L231,LMH_KEY,0)),0),IFERROR(INDEX(LMH_PTS,MATCH(M231,LMH_KEY,0)),0),IFERROR(INDEX(LMH_PTS,MATCH(N231,LMH_KEY,0)),0),IFERROR(INDEX(LMH_PTS,MATCH(O231,LMH_KEY,0)),0),IFERROR(INDEX(LMH_PTS,MATCH(P231,LMH_KEY,0)),0)),""))</f>
        <v/>
      </c>
      <c r="X231" s="44" t="n"/>
      <c r="Y231" s="38" t="inlineStr">
        <is>
          <t>iFile|XBRL Consulting|Associate Consultant – Taxonomy Design &amp; Regulatory Consulting|X1|X</t>
        </is>
      </c>
    </row>
    <row r="232" ht="18" customHeight="1">
      <c r="A232" s="28" t="inlineStr">
        <is>
          <t>iDEAL</t>
        </is>
      </c>
      <c r="B232" s="71" t="inlineStr">
        <is>
          <t>Marketing</t>
        </is>
      </c>
      <c r="C232" s="75" t="inlineStr">
        <is>
          <t>A2</t>
        </is>
      </c>
      <c r="D232" s="29" t="inlineStr">
        <is>
          <t>Band A · Practitioner</t>
        </is>
      </c>
      <c r="E232" s="29" t="inlineStr">
        <is>
          <t>Content Marketing Associate</t>
        </is>
      </c>
      <c r="F232" s="29" t="inlineStr">
        <is>
          <t>Band A · all tracks</t>
        </is>
      </c>
      <c r="G232" s="29" t="inlineStr">
        <is>
          <t>Marketing &amp; Communications</t>
        </is>
      </c>
      <c r="H232" s="29" t="n">
        <v>1</v>
      </c>
      <c r="I232" s="29" t="inlineStr">
        <is>
          <t>Muskan Jain</t>
        </is>
      </c>
      <c r="J232" s="34" t="str">
        <f>IFERROR(INDEX(RBD_C,MATCH("Marketing &amp; Communications|A2|A",RBD_KEY,0)),"M")</f>
        <v>H</v>
      </c>
      <c r="K232" s="35" t="str">
        <f>IFERROR(INDEX(RBD_Au,MATCH("Marketing &amp; Communications|A2|A",RBD_KEY,0)),"M")</f>
        <v>M</v>
      </c>
      <c r="L232" s="35" t="str">
        <f>IFERROR(INDEX(RBD_Ac,MATCH("Marketing &amp; Communications|A2|A",RBD_KEY,0)),"M")</f>
        <v>L</v>
      </c>
      <c r="M232" s="35" t="str">
        <f>IFERROR(INDEX(RBD_L,MATCH("Marketing &amp; Communications|A2|A",RBD_KEY,0)),"M")</f>
        <v>L</v>
      </c>
      <c r="N232" s="35" t="str">
        <f>IFERROR(INDEX(RBD_BI,MATCH("Marketing &amp; Communications|A2|A",RBD_KEY,0)),"M")</f>
        <v>M</v>
      </c>
      <c r="O232" s="35" t="str">
        <f>IFERROR(INDEX(RBD_Exp,MATCH("Marketing &amp; Communications|A2|A",RBD_KEY,0)),"M")</f>
        <v>L</v>
      </c>
      <c r="P232" s="35" t="str">
        <f>IFERROR(INDEX(RBD_Edu,MATCH("Marketing &amp; Communications|A2|A",RBD_KEY,0)),"M")</f>
        <v>L</v>
      </c>
      <c r="Q232" s="73">
        <f>IF(J232="","",IFERROR(INDEX(LMH_PTS,MATCH(J232,LMH_KEY,0))/SUM(IFERROR(INDEX(LMH_PTS,MATCH(J232,LMH_KEY,0)),0),IFERROR(INDEX(LMH_PTS,MATCH(K232,LMH_KEY,0)),0),IFERROR(INDEX(LMH_PTS,MATCH(L232,LMH_KEY,0)),0),IFERROR(INDEX(LMH_PTS,MATCH(M232,LMH_KEY,0)),0),IFERROR(INDEX(LMH_PTS,MATCH(N232,LMH_KEY,0)),0),IFERROR(INDEX(LMH_PTS,MATCH(O232,LMH_KEY,0)),0),IFERROR(INDEX(LMH_PTS,MATCH(P232,LMH_KEY,0)),0)),""))</f>
        <v>0.473684210526316</v>
      </c>
      <c r="R232" s="74">
        <f>IF(K232="","",IFERROR(INDEX(LMH_PTS,MATCH(K232,LMH_KEY,0))/SUM(IFERROR(INDEX(LMH_PTS,MATCH(J232,LMH_KEY,0)),0),IFERROR(INDEX(LMH_PTS,MATCH(K232,LMH_KEY,0)),0),IFERROR(INDEX(LMH_PTS,MATCH(L232,LMH_KEY,0)),0),IFERROR(INDEX(LMH_PTS,MATCH(M232,LMH_KEY,0)),0),IFERROR(INDEX(LMH_PTS,MATCH(N232,LMH_KEY,0)),0),IFERROR(INDEX(LMH_PTS,MATCH(O232,LMH_KEY,0)),0),IFERROR(INDEX(LMH_PTS,MATCH(P232,LMH_KEY,0)),0)),""))</f>
        <v>0.157894736842105</v>
      </c>
      <c r="S232" s="74">
        <f>IF(L232="","",IFERROR(INDEX(LMH_PTS,MATCH(L232,LMH_KEY,0))/SUM(IFERROR(INDEX(LMH_PTS,MATCH(J232,LMH_KEY,0)),0),IFERROR(INDEX(LMH_PTS,MATCH(K232,LMH_KEY,0)),0),IFERROR(INDEX(LMH_PTS,MATCH(L232,LMH_KEY,0)),0),IFERROR(INDEX(LMH_PTS,MATCH(M232,LMH_KEY,0)),0),IFERROR(INDEX(LMH_PTS,MATCH(N232,LMH_KEY,0)),0),IFERROR(INDEX(LMH_PTS,MATCH(O232,LMH_KEY,0)),0),IFERROR(INDEX(LMH_PTS,MATCH(P232,LMH_KEY,0)),0)),""))</f>
        <v>0.0526315789473684</v>
      </c>
      <c r="T232" s="74">
        <f>IF(M232="","",IFERROR(INDEX(LMH_PTS,MATCH(M232,LMH_KEY,0))/SUM(IFERROR(INDEX(LMH_PTS,MATCH(J232,LMH_KEY,0)),0),IFERROR(INDEX(LMH_PTS,MATCH(K232,LMH_KEY,0)),0),IFERROR(INDEX(LMH_PTS,MATCH(L232,LMH_KEY,0)),0),IFERROR(INDEX(LMH_PTS,MATCH(M232,LMH_KEY,0)),0),IFERROR(INDEX(LMH_PTS,MATCH(N232,LMH_KEY,0)),0),IFERROR(INDEX(LMH_PTS,MATCH(O232,LMH_KEY,0)),0),IFERROR(INDEX(LMH_PTS,MATCH(P232,LMH_KEY,0)),0)),""))</f>
        <v>0.0526315789473684</v>
      </c>
      <c r="U232" s="74">
        <f>IF(N232="","",IFERROR(INDEX(LMH_PTS,MATCH(N232,LMH_KEY,0))/SUM(IFERROR(INDEX(LMH_PTS,MATCH(J232,LMH_KEY,0)),0),IFERROR(INDEX(LMH_PTS,MATCH(K232,LMH_KEY,0)),0),IFERROR(INDEX(LMH_PTS,MATCH(L232,LMH_KEY,0)),0),IFERROR(INDEX(LMH_PTS,MATCH(M232,LMH_KEY,0)),0),IFERROR(INDEX(LMH_PTS,MATCH(N232,LMH_KEY,0)),0),IFERROR(INDEX(LMH_PTS,MATCH(O232,LMH_KEY,0)),0),IFERROR(INDEX(LMH_PTS,MATCH(P232,LMH_KEY,0)),0)),""))</f>
        <v>0.157894736842105</v>
      </c>
      <c r="V232" s="74">
        <f>IF(O232="","",IFERROR(INDEX(LMH_PTS,MATCH(O232,LMH_KEY,0))/SUM(IFERROR(INDEX(LMH_PTS,MATCH(J232,LMH_KEY,0)),0),IFERROR(INDEX(LMH_PTS,MATCH(K232,LMH_KEY,0)),0),IFERROR(INDEX(LMH_PTS,MATCH(L232,LMH_KEY,0)),0),IFERROR(INDEX(LMH_PTS,MATCH(M232,LMH_KEY,0)),0),IFERROR(INDEX(LMH_PTS,MATCH(N232,LMH_KEY,0)),0),IFERROR(INDEX(LMH_PTS,MATCH(O232,LMH_KEY,0)),0),IFERROR(INDEX(LMH_PTS,MATCH(P232,LMH_KEY,0)),0)),""))</f>
        <v>0.0526315789473684</v>
      </c>
      <c r="W232" s="74">
        <f>IF(P232="","",IFERROR(INDEX(LMH_PTS,MATCH(P232,LMH_KEY,0))/SUM(IFERROR(INDEX(LMH_PTS,MATCH(J232,LMH_KEY,0)),0),IFERROR(INDEX(LMH_PTS,MATCH(K232,LMH_KEY,0)),0),IFERROR(INDEX(LMH_PTS,MATCH(L232,LMH_KEY,0)),0),IFERROR(INDEX(LMH_PTS,MATCH(M232,LMH_KEY,0)),0),IFERROR(INDEX(LMH_PTS,MATCH(N232,LMH_KEY,0)),0),IFERROR(INDEX(LMH_PTS,MATCH(O232,LMH_KEY,0)),0),IFERROR(INDEX(LMH_PTS,MATCH(P232,LMH_KEY,0)),0)),""))</f>
        <v>0.0526315789473684</v>
      </c>
      <c r="X232" s="44" t="n"/>
      <c r="Y232" s="38" t="inlineStr">
        <is>
          <t>iDEAL|Marketing|Content Marketing Associate|A2|A</t>
        </is>
      </c>
    </row>
    <row r="233" ht="28" customHeight="1">
      <c r="A233" s="28" t="inlineStr">
        <is>
          <t>iDEAL</t>
        </is>
      </c>
      <c r="B233" s="71" t="inlineStr">
        <is>
          <t>Product Management</t>
        </is>
      </c>
      <c r="C233" s="72" t="inlineStr">
        <is>
          <t>B2</t>
        </is>
      </c>
      <c r="D233" s="29" t="inlineStr">
        <is>
          <t>Band B · Specialist / Manager</t>
        </is>
      </c>
      <c r="E233" s="29" t="inlineStr">
        <is>
          <t>Product Manager</t>
        </is>
      </c>
      <c r="F233" s="29" t="inlineStr">
        <is>
          <t>Band B · People Manager</t>
        </is>
      </c>
      <c r="G233" s="29" t="inlineStr">
        <is>
          <t>Product Management</t>
        </is>
      </c>
      <c r="H233" s="29" t="n">
        <v>2</v>
      </c>
      <c r="I233" s="29" t="inlineStr">
        <is>
          <t>Dnyaneshwar Daund, Yuvraj Kharchane</t>
        </is>
      </c>
      <c r="J233" s="34" t="str">
        <f>IFERROR(INDEX(RBD_C,MATCH("Product Management|B2|B-M",RBD_KEY,0)),"M")</f>
        <v>H</v>
      </c>
      <c r="K233" s="35" t="str">
        <f>IFERROR(INDEX(RBD_Au,MATCH("Product Management|B2|B-M",RBD_KEY,0)),"M")</f>
        <v>M</v>
      </c>
      <c r="L233" s="35" t="str">
        <f>IFERROR(INDEX(RBD_Ac,MATCH("Product Management|B2|B-M",RBD_KEY,0)),"M")</f>
        <v>M</v>
      </c>
      <c r="M233" s="35" t="str">
        <f>IFERROR(INDEX(RBD_L,MATCH("Product Management|B2|B-M",RBD_KEY,0)),"M")</f>
        <v>M</v>
      </c>
      <c r="N233" s="35" t="str">
        <f>IFERROR(INDEX(RBD_BI,MATCH("Product Management|B2|B-M",RBD_KEY,0)),"M")</f>
        <v>L</v>
      </c>
      <c r="O233" s="35" t="str">
        <f>IFERROR(INDEX(RBD_Exp,MATCH("Product Management|B2|B-M",RBD_KEY,0)),"M")</f>
        <v>L</v>
      </c>
      <c r="P233" s="35" t="str">
        <f>IFERROR(INDEX(RBD_Edu,MATCH("Product Management|B2|B-M",RBD_KEY,0)),"M")</f>
        <v>L</v>
      </c>
      <c r="Q233" s="73">
        <f>IF(J233="","",IFERROR(INDEX(LMH_PTS,MATCH(J233,LMH_KEY,0))/SUM(IFERROR(INDEX(LMH_PTS,MATCH(J233,LMH_KEY,0)),0),IFERROR(INDEX(LMH_PTS,MATCH(K233,LMH_KEY,0)),0),IFERROR(INDEX(LMH_PTS,MATCH(L233,LMH_KEY,0)),0),IFERROR(INDEX(LMH_PTS,MATCH(M233,LMH_KEY,0)),0),IFERROR(INDEX(LMH_PTS,MATCH(N233,LMH_KEY,0)),0),IFERROR(INDEX(LMH_PTS,MATCH(O233,LMH_KEY,0)),0),IFERROR(INDEX(LMH_PTS,MATCH(P233,LMH_KEY,0)),0)),""))</f>
        <v>0.428571428571429</v>
      </c>
      <c r="R233" s="74">
        <f>IF(K233="","",IFERROR(INDEX(LMH_PTS,MATCH(K233,LMH_KEY,0))/SUM(IFERROR(INDEX(LMH_PTS,MATCH(J233,LMH_KEY,0)),0),IFERROR(INDEX(LMH_PTS,MATCH(K233,LMH_KEY,0)),0),IFERROR(INDEX(LMH_PTS,MATCH(L233,LMH_KEY,0)),0),IFERROR(INDEX(LMH_PTS,MATCH(M233,LMH_KEY,0)),0),IFERROR(INDEX(LMH_PTS,MATCH(N233,LMH_KEY,0)),0),IFERROR(INDEX(LMH_PTS,MATCH(O233,LMH_KEY,0)),0),IFERROR(INDEX(LMH_PTS,MATCH(P233,LMH_KEY,0)),0)),""))</f>
        <v>0.142857142857143</v>
      </c>
      <c r="S233" s="74">
        <f>IF(L233="","",IFERROR(INDEX(LMH_PTS,MATCH(L233,LMH_KEY,0))/SUM(IFERROR(INDEX(LMH_PTS,MATCH(J233,LMH_KEY,0)),0),IFERROR(INDEX(LMH_PTS,MATCH(K233,LMH_KEY,0)),0),IFERROR(INDEX(LMH_PTS,MATCH(L233,LMH_KEY,0)),0),IFERROR(INDEX(LMH_PTS,MATCH(M233,LMH_KEY,0)),0),IFERROR(INDEX(LMH_PTS,MATCH(N233,LMH_KEY,0)),0),IFERROR(INDEX(LMH_PTS,MATCH(O233,LMH_KEY,0)),0),IFERROR(INDEX(LMH_PTS,MATCH(P233,LMH_KEY,0)),0)),""))</f>
        <v>0.142857142857143</v>
      </c>
      <c r="T233" s="74">
        <f>IF(M233="","",IFERROR(INDEX(LMH_PTS,MATCH(M233,LMH_KEY,0))/SUM(IFERROR(INDEX(LMH_PTS,MATCH(J233,LMH_KEY,0)),0),IFERROR(INDEX(LMH_PTS,MATCH(K233,LMH_KEY,0)),0),IFERROR(INDEX(LMH_PTS,MATCH(L233,LMH_KEY,0)),0),IFERROR(INDEX(LMH_PTS,MATCH(M233,LMH_KEY,0)),0),IFERROR(INDEX(LMH_PTS,MATCH(N233,LMH_KEY,0)),0),IFERROR(INDEX(LMH_PTS,MATCH(O233,LMH_KEY,0)),0),IFERROR(INDEX(LMH_PTS,MATCH(P233,LMH_KEY,0)),0)),""))</f>
        <v>0.142857142857143</v>
      </c>
      <c r="U233" s="74">
        <f>IF(N233="","",IFERROR(INDEX(LMH_PTS,MATCH(N233,LMH_KEY,0))/SUM(IFERROR(INDEX(LMH_PTS,MATCH(J233,LMH_KEY,0)),0),IFERROR(INDEX(LMH_PTS,MATCH(K233,LMH_KEY,0)),0),IFERROR(INDEX(LMH_PTS,MATCH(L233,LMH_KEY,0)),0),IFERROR(INDEX(LMH_PTS,MATCH(M233,LMH_KEY,0)),0),IFERROR(INDEX(LMH_PTS,MATCH(N233,LMH_KEY,0)),0),IFERROR(INDEX(LMH_PTS,MATCH(O233,LMH_KEY,0)),0),IFERROR(INDEX(LMH_PTS,MATCH(P233,LMH_KEY,0)),0)),""))</f>
        <v>0.0476190476190476</v>
      </c>
      <c r="V233" s="74">
        <f>IF(O233="","",IFERROR(INDEX(LMH_PTS,MATCH(O233,LMH_KEY,0))/SUM(IFERROR(INDEX(LMH_PTS,MATCH(J233,LMH_KEY,0)),0),IFERROR(INDEX(LMH_PTS,MATCH(K233,LMH_KEY,0)),0),IFERROR(INDEX(LMH_PTS,MATCH(L233,LMH_KEY,0)),0),IFERROR(INDEX(LMH_PTS,MATCH(M233,LMH_KEY,0)),0),IFERROR(INDEX(LMH_PTS,MATCH(N233,LMH_KEY,0)),0),IFERROR(INDEX(LMH_PTS,MATCH(O233,LMH_KEY,0)),0),IFERROR(INDEX(LMH_PTS,MATCH(P233,LMH_KEY,0)),0)),""))</f>
        <v>0.0476190476190476</v>
      </c>
      <c r="W233" s="74">
        <f>IF(P233="","",IFERROR(INDEX(LMH_PTS,MATCH(P233,LMH_KEY,0))/SUM(IFERROR(INDEX(LMH_PTS,MATCH(J233,LMH_KEY,0)),0),IFERROR(INDEX(LMH_PTS,MATCH(K233,LMH_KEY,0)),0),IFERROR(INDEX(LMH_PTS,MATCH(L233,LMH_KEY,0)),0),IFERROR(INDEX(LMH_PTS,MATCH(M233,LMH_KEY,0)),0),IFERROR(INDEX(LMH_PTS,MATCH(N233,LMH_KEY,0)),0),IFERROR(INDEX(LMH_PTS,MATCH(O233,LMH_KEY,0)),0),IFERROR(INDEX(LMH_PTS,MATCH(P233,LMH_KEY,0)),0)),""))</f>
        <v>0.0476190476190476</v>
      </c>
      <c r="X233" s="44" t="n"/>
      <c r="Y233" s="38" t="inlineStr">
        <is>
          <t>iDEAL|Product Management|Product Manager|B2|B-M</t>
        </is>
      </c>
    </row>
    <row r="234" ht="18" customHeight="1">
      <c r="A234" s="28" t="inlineStr">
        <is>
          <t>iDEAL</t>
        </is>
      </c>
      <c r="B234" s="29" t="inlineStr">
        <is>
          <t>Product Management</t>
        </is>
      </c>
      <c r="C234" s="75" t="inlineStr">
        <is>
          <t>A3</t>
        </is>
      </c>
      <c r="D234" s="29" t="inlineStr">
        <is>
          <t>Band A · Practitioner</t>
        </is>
      </c>
      <c r="E234" s="29" t="inlineStr">
        <is>
          <t>Senior Product Analyst</t>
        </is>
      </c>
      <c r="F234" s="29" t="inlineStr">
        <is>
          <t>Band A · all tracks</t>
        </is>
      </c>
      <c r="G234" s="29" t="inlineStr">
        <is>
          <t>Product Management</t>
        </is>
      </c>
      <c r="H234" s="29" t="n">
        <v>1</v>
      </c>
      <c r="I234" s="29" t="inlineStr">
        <is>
          <t>Srijith Menon</t>
        </is>
      </c>
      <c r="J234" s="34" t="str">
        <f>IFERROR(INDEX(RBD_C,MATCH("Product Management|A3|A",RBD_KEY,0)),"M")</f>
        <v>H</v>
      </c>
      <c r="K234" s="35" t="str">
        <f>IFERROR(INDEX(RBD_Au,MATCH("Product Management|A3|A",RBD_KEY,0)),"M")</f>
        <v>M</v>
      </c>
      <c r="L234" s="35" t="str">
        <f>IFERROR(INDEX(RBD_Ac,MATCH("Product Management|A3|A",RBD_KEY,0)),"M")</f>
        <v>M</v>
      </c>
      <c r="M234" s="35" t="str">
        <f>IFERROR(INDEX(RBD_L,MATCH("Product Management|A3|A",RBD_KEY,0)),"M")</f>
        <v>L</v>
      </c>
      <c r="N234" s="35" t="str">
        <f>IFERROR(INDEX(RBD_BI,MATCH("Product Management|A3|A",RBD_KEY,0)),"M")</f>
        <v>L</v>
      </c>
      <c r="O234" s="35" t="str">
        <f>IFERROR(INDEX(RBD_Exp,MATCH("Product Management|A3|A",RBD_KEY,0)),"M")</f>
        <v>L</v>
      </c>
      <c r="P234" s="35" t="str">
        <f>IFERROR(INDEX(RBD_Edu,MATCH("Product Management|A3|A",RBD_KEY,0)),"M")</f>
        <v>L</v>
      </c>
      <c r="Q234" s="73">
        <f>IF(J234="","",IFERROR(INDEX(LMH_PTS,MATCH(J234,LMH_KEY,0))/SUM(IFERROR(INDEX(LMH_PTS,MATCH(J234,LMH_KEY,0)),0),IFERROR(INDEX(LMH_PTS,MATCH(K234,LMH_KEY,0)),0),IFERROR(INDEX(LMH_PTS,MATCH(L234,LMH_KEY,0)),0),IFERROR(INDEX(LMH_PTS,MATCH(M234,LMH_KEY,0)),0),IFERROR(INDEX(LMH_PTS,MATCH(N234,LMH_KEY,0)),0),IFERROR(INDEX(LMH_PTS,MATCH(O234,LMH_KEY,0)),0),IFERROR(INDEX(LMH_PTS,MATCH(P234,LMH_KEY,0)),0)),""))</f>
        <v>0.473684210526316</v>
      </c>
      <c r="R234" s="74">
        <f>IF(K234="","",IFERROR(INDEX(LMH_PTS,MATCH(K234,LMH_KEY,0))/SUM(IFERROR(INDEX(LMH_PTS,MATCH(J234,LMH_KEY,0)),0),IFERROR(INDEX(LMH_PTS,MATCH(K234,LMH_KEY,0)),0),IFERROR(INDEX(LMH_PTS,MATCH(L234,LMH_KEY,0)),0),IFERROR(INDEX(LMH_PTS,MATCH(M234,LMH_KEY,0)),0),IFERROR(INDEX(LMH_PTS,MATCH(N234,LMH_KEY,0)),0),IFERROR(INDEX(LMH_PTS,MATCH(O234,LMH_KEY,0)),0),IFERROR(INDEX(LMH_PTS,MATCH(P234,LMH_KEY,0)),0)),""))</f>
        <v>0.157894736842105</v>
      </c>
      <c r="S234" s="74">
        <f>IF(L234="","",IFERROR(INDEX(LMH_PTS,MATCH(L234,LMH_KEY,0))/SUM(IFERROR(INDEX(LMH_PTS,MATCH(J234,LMH_KEY,0)),0),IFERROR(INDEX(LMH_PTS,MATCH(K234,LMH_KEY,0)),0),IFERROR(INDEX(LMH_PTS,MATCH(L234,LMH_KEY,0)),0),IFERROR(INDEX(LMH_PTS,MATCH(M234,LMH_KEY,0)),0),IFERROR(INDEX(LMH_PTS,MATCH(N234,LMH_KEY,0)),0),IFERROR(INDEX(LMH_PTS,MATCH(O234,LMH_KEY,0)),0),IFERROR(INDEX(LMH_PTS,MATCH(P234,LMH_KEY,0)),0)),""))</f>
        <v>0.157894736842105</v>
      </c>
      <c r="T234" s="74">
        <f>IF(M234="","",IFERROR(INDEX(LMH_PTS,MATCH(M234,LMH_KEY,0))/SUM(IFERROR(INDEX(LMH_PTS,MATCH(J234,LMH_KEY,0)),0),IFERROR(INDEX(LMH_PTS,MATCH(K234,LMH_KEY,0)),0),IFERROR(INDEX(LMH_PTS,MATCH(L234,LMH_KEY,0)),0),IFERROR(INDEX(LMH_PTS,MATCH(M234,LMH_KEY,0)),0),IFERROR(INDEX(LMH_PTS,MATCH(N234,LMH_KEY,0)),0),IFERROR(INDEX(LMH_PTS,MATCH(O234,LMH_KEY,0)),0),IFERROR(INDEX(LMH_PTS,MATCH(P234,LMH_KEY,0)),0)),""))</f>
        <v>0.0526315789473684</v>
      </c>
      <c r="U234" s="74">
        <f>IF(N234="","",IFERROR(INDEX(LMH_PTS,MATCH(N234,LMH_KEY,0))/SUM(IFERROR(INDEX(LMH_PTS,MATCH(J234,LMH_KEY,0)),0),IFERROR(INDEX(LMH_PTS,MATCH(K234,LMH_KEY,0)),0),IFERROR(INDEX(LMH_PTS,MATCH(L234,LMH_KEY,0)),0),IFERROR(INDEX(LMH_PTS,MATCH(M234,LMH_KEY,0)),0),IFERROR(INDEX(LMH_PTS,MATCH(N234,LMH_KEY,0)),0),IFERROR(INDEX(LMH_PTS,MATCH(O234,LMH_KEY,0)),0),IFERROR(INDEX(LMH_PTS,MATCH(P234,LMH_KEY,0)),0)),""))</f>
        <v>0.0526315789473684</v>
      </c>
      <c r="V234" s="74">
        <f>IF(O234="","",IFERROR(INDEX(LMH_PTS,MATCH(O234,LMH_KEY,0))/SUM(IFERROR(INDEX(LMH_PTS,MATCH(J234,LMH_KEY,0)),0),IFERROR(INDEX(LMH_PTS,MATCH(K234,LMH_KEY,0)),0),IFERROR(INDEX(LMH_PTS,MATCH(L234,LMH_KEY,0)),0),IFERROR(INDEX(LMH_PTS,MATCH(M234,LMH_KEY,0)),0),IFERROR(INDEX(LMH_PTS,MATCH(N234,LMH_KEY,0)),0),IFERROR(INDEX(LMH_PTS,MATCH(O234,LMH_KEY,0)),0),IFERROR(INDEX(LMH_PTS,MATCH(P234,LMH_KEY,0)),0)),""))</f>
        <v>0.0526315789473684</v>
      </c>
      <c r="W234" s="74">
        <f>IF(P234="","",IFERROR(INDEX(LMH_PTS,MATCH(P234,LMH_KEY,0))/SUM(IFERROR(INDEX(LMH_PTS,MATCH(J234,LMH_KEY,0)),0),IFERROR(INDEX(LMH_PTS,MATCH(K234,LMH_KEY,0)),0),IFERROR(INDEX(LMH_PTS,MATCH(L234,LMH_KEY,0)),0),IFERROR(INDEX(LMH_PTS,MATCH(M234,LMH_KEY,0)),0),IFERROR(INDEX(LMH_PTS,MATCH(N234,LMH_KEY,0)),0),IFERROR(INDEX(LMH_PTS,MATCH(O234,LMH_KEY,0)),0),IFERROR(INDEX(LMH_PTS,MATCH(P234,LMH_KEY,0)),0)),""))</f>
        <v>0.0526315789473684</v>
      </c>
      <c r="X234" s="44" t="n"/>
      <c r="Y234" s="38" t="inlineStr">
        <is>
          <t>iDEAL|Product Management|Senior Product Analyst|A3|A</t>
        </is>
      </c>
    </row>
    <row r="235" ht="18" customHeight="1">
      <c r="A235" s="28" t="inlineStr">
        <is>
          <t>iDEAL</t>
        </is>
      </c>
      <c r="B235" s="71" t="inlineStr">
        <is>
          <t>Quality Assurance</t>
        </is>
      </c>
      <c r="C235" s="72" t="inlineStr">
        <is>
          <t>B1</t>
        </is>
      </c>
      <c r="D235" s="29" t="inlineStr">
        <is>
          <t>Band B · Specialist / Manager</t>
        </is>
      </c>
      <c r="E235" s="29" t="inlineStr">
        <is>
          <t>QA Manager</t>
        </is>
      </c>
      <c r="F235" s="29" t="inlineStr">
        <is>
          <t>Band B · People Manager</t>
        </is>
      </c>
      <c r="G235" s="29" t="inlineStr">
        <is>
          <t>Quality Assurance</t>
        </is>
      </c>
      <c r="H235" s="29" t="n">
        <v>1</v>
      </c>
      <c r="I235" s="29" t="inlineStr">
        <is>
          <t>Reena Gotal</t>
        </is>
      </c>
      <c r="J235" s="34" t="str">
        <f>IFERROR(INDEX(RBD_C,MATCH("Quality Assurance|B1|B-M",RBD_KEY,0)),"M")</f>
        <v>H</v>
      </c>
      <c r="K235" s="35" t="str">
        <f>IFERROR(INDEX(RBD_Au,MATCH("Quality Assurance|B1|B-M",RBD_KEY,0)),"M")</f>
        <v>M</v>
      </c>
      <c r="L235" s="35" t="str">
        <f>IFERROR(INDEX(RBD_Ac,MATCH("Quality Assurance|B1|B-M",RBD_KEY,0)),"M")</f>
        <v>L</v>
      </c>
      <c r="M235" s="35" t="str">
        <f>IFERROR(INDEX(RBD_L,MATCH("Quality Assurance|B1|B-M",RBD_KEY,0)),"M")</f>
        <v>M</v>
      </c>
      <c r="N235" s="35" t="str">
        <f>IFERROR(INDEX(RBD_BI,MATCH("Quality Assurance|B1|B-M",RBD_KEY,0)),"M")</f>
        <v>L</v>
      </c>
      <c r="O235" s="35" t="str">
        <f>IFERROR(INDEX(RBD_Exp,MATCH("Quality Assurance|B1|B-M",RBD_KEY,0)),"M")</f>
        <v>L</v>
      </c>
      <c r="P235" s="35" t="str">
        <f>IFERROR(INDEX(RBD_Edu,MATCH("Quality Assurance|B1|B-M",RBD_KEY,0)),"M")</f>
        <v>L</v>
      </c>
      <c r="Q235" s="73">
        <f>IF(J235="","",IFERROR(INDEX(LMH_PTS,MATCH(J235,LMH_KEY,0))/SUM(IFERROR(INDEX(LMH_PTS,MATCH(J235,LMH_KEY,0)),0),IFERROR(INDEX(LMH_PTS,MATCH(K235,LMH_KEY,0)),0),IFERROR(INDEX(LMH_PTS,MATCH(L235,LMH_KEY,0)),0),IFERROR(INDEX(LMH_PTS,MATCH(M235,LMH_KEY,0)),0),IFERROR(INDEX(LMH_PTS,MATCH(N235,LMH_KEY,0)),0),IFERROR(INDEX(LMH_PTS,MATCH(O235,LMH_KEY,0)),0),IFERROR(INDEX(LMH_PTS,MATCH(P235,LMH_KEY,0)),0)),""))</f>
        <v>0.473684210526316</v>
      </c>
      <c r="R235" s="74">
        <f>IF(K235="","",IFERROR(INDEX(LMH_PTS,MATCH(K235,LMH_KEY,0))/SUM(IFERROR(INDEX(LMH_PTS,MATCH(J235,LMH_KEY,0)),0),IFERROR(INDEX(LMH_PTS,MATCH(K235,LMH_KEY,0)),0),IFERROR(INDEX(LMH_PTS,MATCH(L235,LMH_KEY,0)),0),IFERROR(INDEX(LMH_PTS,MATCH(M235,LMH_KEY,0)),0),IFERROR(INDEX(LMH_PTS,MATCH(N235,LMH_KEY,0)),0),IFERROR(INDEX(LMH_PTS,MATCH(O235,LMH_KEY,0)),0),IFERROR(INDEX(LMH_PTS,MATCH(P235,LMH_KEY,0)),0)),""))</f>
        <v>0.157894736842105</v>
      </c>
      <c r="S235" s="74">
        <f>IF(L235="","",IFERROR(INDEX(LMH_PTS,MATCH(L235,LMH_KEY,0))/SUM(IFERROR(INDEX(LMH_PTS,MATCH(J235,LMH_KEY,0)),0),IFERROR(INDEX(LMH_PTS,MATCH(K235,LMH_KEY,0)),0),IFERROR(INDEX(LMH_PTS,MATCH(L235,LMH_KEY,0)),0),IFERROR(INDEX(LMH_PTS,MATCH(M235,LMH_KEY,0)),0),IFERROR(INDEX(LMH_PTS,MATCH(N235,LMH_KEY,0)),0),IFERROR(INDEX(LMH_PTS,MATCH(O235,LMH_KEY,0)),0),IFERROR(INDEX(LMH_PTS,MATCH(P235,LMH_KEY,0)),0)),""))</f>
        <v>0.0526315789473684</v>
      </c>
      <c r="T235" s="74">
        <f>IF(M235="","",IFERROR(INDEX(LMH_PTS,MATCH(M235,LMH_KEY,0))/SUM(IFERROR(INDEX(LMH_PTS,MATCH(J235,LMH_KEY,0)),0),IFERROR(INDEX(LMH_PTS,MATCH(K235,LMH_KEY,0)),0),IFERROR(INDEX(LMH_PTS,MATCH(L235,LMH_KEY,0)),0),IFERROR(INDEX(LMH_PTS,MATCH(M235,LMH_KEY,0)),0),IFERROR(INDEX(LMH_PTS,MATCH(N235,LMH_KEY,0)),0),IFERROR(INDEX(LMH_PTS,MATCH(O235,LMH_KEY,0)),0),IFERROR(INDEX(LMH_PTS,MATCH(P235,LMH_KEY,0)),0)),""))</f>
        <v>0.157894736842105</v>
      </c>
      <c r="U235" s="74">
        <f>IF(N235="","",IFERROR(INDEX(LMH_PTS,MATCH(N235,LMH_KEY,0))/SUM(IFERROR(INDEX(LMH_PTS,MATCH(J235,LMH_KEY,0)),0),IFERROR(INDEX(LMH_PTS,MATCH(K235,LMH_KEY,0)),0),IFERROR(INDEX(LMH_PTS,MATCH(L235,LMH_KEY,0)),0),IFERROR(INDEX(LMH_PTS,MATCH(M235,LMH_KEY,0)),0),IFERROR(INDEX(LMH_PTS,MATCH(N235,LMH_KEY,0)),0),IFERROR(INDEX(LMH_PTS,MATCH(O235,LMH_KEY,0)),0),IFERROR(INDEX(LMH_PTS,MATCH(P235,LMH_KEY,0)),0)),""))</f>
        <v>0.0526315789473684</v>
      </c>
      <c r="V235" s="74">
        <f>IF(O235="","",IFERROR(INDEX(LMH_PTS,MATCH(O235,LMH_KEY,0))/SUM(IFERROR(INDEX(LMH_PTS,MATCH(J235,LMH_KEY,0)),0),IFERROR(INDEX(LMH_PTS,MATCH(K235,LMH_KEY,0)),0),IFERROR(INDEX(LMH_PTS,MATCH(L235,LMH_KEY,0)),0),IFERROR(INDEX(LMH_PTS,MATCH(M235,LMH_KEY,0)),0),IFERROR(INDEX(LMH_PTS,MATCH(N235,LMH_KEY,0)),0),IFERROR(INDEX(LMH_PTS,MATCH(O235,LMH_KEY,0)),0),IFERROR(INDEX(LMH_PTS,MATCH(P235,LMH_KEY,0)),0)),""))</f>
        <v>0.0526315789473684</v>
      </c>
      <c r="W235" s="74">
        <f>IF(P235="","",IFERROR(INDEX(LMH_PTS,MATCH(P235,LMH_KEY,0))/SUM(IFERROR(INDEX(LMH_PTS,MATCH(J235,LMH_KEY,0)),0),IFERROR(INDEX(LMH_PTS,MATCH(K235,LMH_KEY,0)),0),IFERROR(INDEX(LMH_PTS,MATCH(L235,LMH_KEY,0)),0),IFERROR(INDEX(LMH_PTS,MATCH(M235,LMH_KEY,0)),0),IFERROR(INDEX(LMH_PTS,MATCH(N235,LMH_KEY,0)),0),IFERROR(INDEX(LMH_PTS,MATCH(O235,LMH_KEY,0)),0),IFERROR(INDEX(LMH_PTS,MATCH(P235,LMH_KEY,0)),0)),""))</f>
        <v>0.0526315789473684</v>
      </c>
      <c r="X235" s="44" t="n"/>
      <c r="Y235" s="38" t="inlineStr">
        <is>
          <t>iDEAL|Quality Assurance|QA Manager|B1|B-M</t>
        </is>
      </c>
    </row>
    <row r="236" ht="28" customHeight="1">
      <c r="A236" s="28" t="inlineStr">
        <is>
          <t>iDEAL</t>
        </is>
      </c>
      <c r="B236" s="29" t="inlineStr">
        <is>
          <t>Quality Assurance</t>
        </is>
      </c>
      <c r="C236" s="75" t="inlineStr">
        <is>
          <t>A3</t>
        </is>
      </c>
      <c r="D236" s="29" t="inlineStr">
        <is>
          <t>Band A · Practitioner</t>
        </is>
      </c>
      <c r="E236" s="29" t="inlineStr">
        <is>
          <t>Senior QA Automation Engineer</t>
        </is>
      </c>
      <c r="F236" s="29" t="inlineStr">
        <is>
          <t>Band A · all tracks</t>
        </is>
      </c>
      <c r="G236" s="29" t="inlineStr">
        <is>
          <t>Quality Assurance</t>
        </is>
      </c>
      <c r="H236" s="29" t="n">
        <v>3</v>
      </c>
      <c r="I236" s="29" t="inlineStr">
        <is>
          <t>Atharv Ravindra Bokade, Shubham Kamble, Tulasiram Chand</t>
        </is>
      </c>
      <c r="J236" s="34" t="str">
        <f>IFERROR(INDEX(RBD_C,MATCH("Quality Assurance|A3|A",RBD_KEY,0)),"M")</f>
        <v>H</v>
      </c>
      <c r="K236" s="35" t="str">
        <f>IFERROR(INDEX(RBD_Au,MATCH("Quality Assurance|A3|A",RBD_KEY,0)),"M")</f>
        <v>M</v>
      </c>
      <c r="L236" s="35" t="str">
        <f>IFERROR(INDEX(RBD_Ac,MATCH("Quality Assurance|A3|A",RBD_KEY,0)),"M")</f>
        <v>L</v>
      </c>
      <c r="M236" s="35" t="str">
        <f>IFERROR(INDEX(RBD_L,MATCH("Quality Assurance|A3|A",RBD_KEY,0)),"M")</f>
        <v>L</v>
      </c>
      <c r="N236" s="35" t="str">
        <f>IFERROR(INDEX(RBD_BI,MATCH("Quality Assurance|A3|A",RBD_KEY,0)),"M")</f>
        <v>L</v>
      </c>
      <c r="O236" s="35" t="str">
        <f>IFERROR(INDEX(RBD_Exp,MATCH("Quality Assurance|A3|A",RBD_KEY,0)),"M")</f>
        <v>L</v>
      </c>
      <c r="P236" s="35" t="str">
        <f>IFERROR(INDEX(RBD_Edu,MATCH("Quality Assurance|A3|A",RBD_KEY,0)),"M")</f>
        <v>L</v>
      </c>
      <c r="Q236" s="73">
        <f>IF(J236="","",IFERROR(INDEX(LMH_PTS,MATCH(J236,LMH_KEY,0))/SUM(IFERROR(INDEX(LMH_PTS,MATCH(J236,LMH_KEY,0)),0),IFERROR(INDEX(LMH_PTS,MATCH(K236,LMH_KEY,0)),0),IFERROR(INDEX(LMH_PTS,MATCH(L236,LMH_KEY,0)),0),IFERROR(INDEX(LMH_PTS,MATCH(M236,LMH_KEY,0)),0),IFERROR(INDEX(LMH_PTS,MATCH(N236,LMH_KEY,0)),0),IFERROR(INDEX(LMH_PTS,MATCH(O236,LMH_KEY,0)),0),IFERROR(INDEX(LMH_PTS,MATCH(P236,LMH_KEY,0)),0)),""))</f>
        <v>0.529411764705882</v>
      </c>
      <c r="R236" s="74">
        <f>IF(K236="","",IFERROR(INDEX(LMH_PTS,MATCH(K236,LMH_KEY,0))/SUM(IFERROR(INDEX(LMH_PTS,MATCH(J236,LMH_KEY,0)),0),IFERROR(INDEX(LMH_PTS,MATCH(K236,LMH_KEY,0)),0),IFERROR(INDEX(LMH_PTS,MATCH(L236,LMH_KEY,0)),0),IFERROR(INDEX(LMH_PTS,MATCH(M236,LMH_KEY,0)),0),IFERROR(INDEX(LMH_PTS,MATCH(N236,LMH_KEY,0)),0),IFERROR(INDEX(LMH_PTS,MATCH(O236,LMH_KEY,0)),0),IFERROR(INDEX(LMH_PTS,MATCH(P236,LMH_KEY,0)),0)),""))</f>
        <v>0.176470588235294</v>
      </c>
      <c r="S236" s="74">
        <f>IF(L236="","",IFERROR(INDEX(LMH_PTS,MATCH(L236,LMH_KEY,0))/SUM(IFERROR(INDEX(LMH_PTS,MATCH(J236,LMH_KEY,0)),0),IFERROR(INDEX(LMH_PTS,MATCH(K236,LMH_KEY,0)),0),IFERROR(INDEX(LMH_PTS,MATCH(L236,LMH_KEY,0)),0),IFERROR(INDEX(LMH_PTS,MATCH(M236,LMH_KEY,0)),0),IFERROR(INDEX(LMH_PTS,MATCH(N236,LMH_KEY,0)),0),IFERROR(INDEX(LMH_PTS,MATCH(O236,LMH_KEY,0)),0),IFERROR(INDEX(LMH_PTS,MATCH(P236,LMH_KEY,0)),0)),""))</f>
        <v>0.0588235294117647</v>
      </c>
      <c r="T236" s="74">
        <f>IF(M236="","",IFERROR(INDEX(LMH_PTS,MATCH(M236,LMH_KEY,0))/SUM(IFERROR(INDEX(LMH_PTS,MATCH(J236,LMH_KEY,0)),0),IFERROR(INDEX(LMH_PTS,MATCH(K236,LMH_KEY,0)),0),IFERROR(INDEX(LMH_PTS,MATCH(L236,LMH_KEY,0)),0),IFERROR(INDEX(LMH_PTS,MATCH(M236,LMH_KEY,0)),0),IFERROR(INDEX(LMH_PTS,MATCH(N236,LMH_KEY,0)),0),IFERROR(INDEX(LMH_PTS,MATCH(O236,LMH_KEY,0)),0),IFERROR(INDEX(LMH_PTS,MATCH(P236,LMH_KEY,0)),0)),""))</f>
        <v>0.0588235294117647</v>
      </c>
      <c r="U236" s="74">
        <f>IF(N236="","",IFERROR(INDEX(LMH_PTS,MATCH(N236,LMH_KEY,0))/SUM(IFERROR(INDEX(LMH_PTS,MATCH(J236,LMH_KEY,0)),0),IFERROR(INDEX(LMH_PTS,MATCH(K236,LMH_KEY,0)),0),IFERROR(INDEX(LMH_PTS,MATCH(L236,LMH_KEY,0)),0),IFERROR(INDEX(LMH_PTS,MATCH(M236,LMH_KEY,0)),0),IFERROR(INDEX(LMH_PTS,MATCH(N236,LMH_KEY,0)),0),IFERROR(INDEX(LMH_PTS,MATCH(O236,LMH_KEY,0)),0),IFERROR(INDEX(LMH_PTS,MATCH(P236,LMH_KEY,0)),0)),""))</f>
        <v>0.0588235294117647</v>
      </c>
      <c r="V236" s="74">
        <f>IF(O236="","",IFERROR(INDEX(LMH_PTS,MATCH(O236,LMH_KEY,0))/SUM(IFERROR(INDEX(LMH_PTS,MATCH(J236,LMH_KEY,0)),0),IFERROR(INDEX(LMH_PTS,MATCH(K236,LMH_KEY,0)),0),IFERROR(INDEX(LMH_PTS,MATCH(L236,LMH_KEY,0)),0),IFERROR(INDEX(LMH_PTS,MATCH(M236,LMH_KEY,0)),0),IFERROR(INDEX(LMH_PTS,MATCH(N236,LMH_KEY,0)),0),IFERROR(INDEX(LMH_PTS,MATCH(O236,LMH_KEY,0)),0),IFERROR(INDEX(LMH_PTS,MATCH(P236,LMH_KEY,0)),0)),""))</f>
        <v>0.0588235294117647</v>
      </c>
      <c r="W236" s="74">
        <f>IF(P236="","",IFERROR(INDEX(LMH_PTS,MATCH(P236,LMH_KEY,0))/SUM(IFERROR(INDEX(LMH_PTS,MATCH(J236,LMH_KEY,0)),0),IFERROR(INDEX(LMH_PTS,MATCH(K236,LMH_KEY,0)),0),IFERROR(INDEX(LMH_PTS,MATCH(L236,LMH_KEY,0)),0),IFERROR(INDEX(LMH_PTS,MATCH(M236,LMH_KEY,0)),0),IFERROR(INDEX(LMH_PTS,MATCH(N236,LMH_KEY,0)),0),IFERROR(INDEX(LMH_PTS,MATCH(O236,LMH_KEY,0)),0),IFERROR(INDEX(LMH_PTS,MATCH(P236,LMH_KEY,0)),0)),""))</f>
        <v>0.0588235294117647</v>
      </c>
      <c r="X236" s="44" t="n"/>
      <c r="Y236" s="38" t="inlineStr">
        <is>
          <t>iDEAL|Quality Assurance|Senior QA Automation Engineer|A3|A</t>
        </is>
      </c>
    </row>
    <row r="237" ht="18" customHeight="1">
      <c r="A237" s="28" t="inlineStr">
        <is>
          <t>iDEAL</t>
        </is>
      </c>
      <c r="B237" s="29" t="inlineStr">
        <is>
          <t>Quality Assurance</t>
        </is>
      </c>
      <c r="C237" s="75" t="inlineStr">
        <is>
          <t>A3</t>
        </is>
      </c>
      <c r="D237" s="29" t="inlineStr">
        <is>
          <t>Band A · Practitioner</t>
        </is>
      </c>
      <c r="E237" s="29" t="inlineStr">
        <is>
          <t>Senior QA Engineer</t>
        </is>
      </c>
      <c r="F237" s="29" t="inlineStr">
        <is>
          <t>Band A · all tracks</t>
        </is>
      </c>
      <c r="G237" s="29" t="inlineStr">
        <is>
          <t>Quality Assurance</t>
        </is>
      </c>
      <c r="H237" s="29" t="n">
        <v>1</v>
      </c>
      <c r="I237" s="29" t="inlineStr">
        <is>
          <t>Rohan Kailas Aher</t>
        </is>
      </c>
      <c r="J237" s="34" t="str">
        <f>IFERROR(INDEX(RBD_C,MATCH("Quality Assurance|A3|A",RBD_KEY,0)),"M")</f>
        <v>H</v>
      </c>
      <c r="K237" s="35" t="str">
        <f>IFERROR(INDEX(RBD_Au,MATCH("Quality Assurance|A3|A",RBD_KEY,0)),"M")</f>
        <v>M</v>
      </c>
      <c r="L237" s="35" t="str">
        <f>IFERROR(INDEX(RBD_Ac,MATCH("Quality Assurance|A3|A",RBD_KEY,0)),"M")</f>
        <v>L</v>
      </c>
      <c r="M237" s="35" t="str">
        <f>IFERROR(INDEX(RBD_L,MATCH("Quality Assurance|A3|A",RBD_KEY,0)),"M")</f>
        <v>L</v>
      </c>
      <c r="N237" s="35" t="str">
        <f>IFERROR(INDEX(RBD_BI,MATCH("Quality Assurance|A3|A",RBD_KEY,0)),"M")</f>
        <v>L</v>
      </c>
      <c r="O237" s="35" t="str">
        <f>IFERROR(INDEX(RBD_Exp,MATCH("Quality Assurance|A3|A",RBD_KEY,0)),"M")</f>
        <v>L</v>
      </c>
      <c r="P237" s="35" t="str">
        <f>IFERROR(INDEX(RBD_Edu,MATCH("Quality Assurance|A3|A",RBD_KEY,0)),"M")</f>
        <v>L</v>
      </c>
      <c r="Q237" s="73">
        <f>IF(J237="","",IFERROR(INDEX(LMH_PTS,MATCH(J237,LMH_KEY,0))/SUM(IFERROR(INDEX(LMH_PTS,MATCH(J237,LMH_KEY,0)),0),IFERROR(INDEX(LMH_PTS,MATCH(K237,LMH_KEY,0)),0),IFERROR(INDEX(LMH_PTS,MATCH(L237,LMH_KEY,0)),0),IFERROR(INDEX(LMH_PTS,MATCH(M237,LMH_KEY,0)),0),IFERROR(INDEX(LMH_PTS,MATCH(N237,LMH_KEY,0)),0),IFERROR(INDEX(LMH_PTS,MATCH(O237,LMH_KEY,0)),0),IFERROR(INDEX(LMH_PTS,MATCH(P237,LMH_KEY,0)),0)),""))</f>
        <v>0.529411764705882</v>
      </c>
      <c r="R237" s="74">
        <f>IF(K237="","",IFERROR(INDEX(LMH_PTS,MATCH(K237,LMH_KEY,0))/SUM(IFERROR(INDEX(LMH_PTS,MATCH(J237,LMH_KEY,0)),0),IFERROR(INDEX(LMH_PTS,MATCH(K237,LMH_KEY,0)),0),IFERROR(INDEX(LMH_PTS,MATCH(L237,LMH_KEY,0)),0),IFERROR(INDEX(LMH_PTS,MATCH(M237,LMH_KEY,0)),0),IFERROR(INDEX(LMH_PTS,MATCH(N237,LMH_KEY,0)),0),IFERROR(INDEX(LMH_PTS,MATCH(O237,LMH_KEY,0)),0),IFERROR(INDEX(LMH_PTS,MATCH(P237,LMH_KEY,0)),0)),""))</f>
        <v>0.176470588235294</v>
      </c>
      <c r="S237" s="74">
        <f>IF(L237="","",IFERROR(INDEX(LMH_PTS,MATCH(L237,LMH_KEY,0))/SUM(IFERROR(INDEX(LMH_PTS,MATCH(J237,LMH_KEY,0)),0),IFERROR(INDEX(LMH_PTS,MATCH(K237,LMH_KEY,0)),0),IFERROR(INDEX(LMH_PTS,MATCH(L237,LMH_KEY,0)),0),IFERROR(INDEX(LMH_PTS,MATCH(M237,LMH_KEY,0)),0),IFERROR(INDEX(LMH_PTS,MATCH(N237,LMH_KEY,0)),0),IFERROR(INDEX(LMH_PTS,MATCH(O237,LMH_KEY,0)),0),IFERROR(INDEX(LMH_PTS,MATCH(P237,LMH_KEY,0)),0)),""))</f>
        <v>0.0588235294117647</v>
      </c>
      <c r="T237" s="74">
        <f>IF(M237="","",IFERROR(INDEX(LMH_PTS,MATCH(M237,LMH_KEY,0))/SUM(IFERROR(INDEX(LMH_PTS,MATCH(J237,LMH_KEY,0)),0),IFERROR(INDEX(LMH_PTS,MATCH(K237,LMH_KEY,0)),0),IFERROR(INDEX(LMH_PTS,MATCH(L237,LMH_KEY,0)),0),IFERROR(INDEX(LMH_PTS,MATCH(M237,LMH_KEY,0)),0),IFERROR(INDEX(LMH_PTS,MATCH(N237,LMH_KEY,0)),0),IFERROR(INDEX(LMH_PTS,MATCH(O237,LMH_KEY,0)),0),IFERROR(INDEX(LMH_PTS,MATCH(P237,LMH_KEY,0)),0)),""))</f>
        <v>0.0588235294117647</v>
      </c>
      <c r="U237" s="74">
        <f>IF(N237="","",IFERROR(INDEX(LMH_PTS,MATCH(N237,LMH_KEY,0))/SUM(IFERROR(INDEX(LMH_PTS,MATCH(J237,LMH_KEY,0)),0),IFERROR(INDEX(LMH_PTS,MATCH(K237,LMH_KEY,0)),0),IFERROR(INDEX(LMH_PTS,MATCH(L237,LMH_KEY,0)),0),IFERROR(INDEX(LMH_PTS,MATCH(M237,LMH_KEY,0)),0),IFERROR(INDEX(LMH_PTS,MATCH(N237,LMH_KEY,0)),0),IFERROR(INDEX(LMH_PTS,MATCH(O237,LMH_KEY,0)),0),IFERROR(INDEX(LMH_PTS,MATCH(P237,LMH_KEY,0)),0)),""))</f>
        <v>0.0588235294117647</v>
      </c>
      <c r="V237" s="74">
        <f>IF(O237="","",IFERROR(INDEX(LMH_PTS,MATCH(O237,LMH_KEY,0))/SUM(IFERROR(INDEX(LMH_PTS,MATCH(J237,LMH_KEY,0)),0),IFERROR(INDEX(LMH_PTS,MATCH(K237,LMH_KEY,0)),0),IFERROR(INDEX(LMH_PTS,MATCH(L237,LMH_KEY,0)),0),IFERROR(INDEX(LMH_PTS,MATCH(M237,LMH_KEY,0)),0),IFERROR(INDEX(LMH_PTS,MATCH(N237,LMH_KEY,0)),0),IFERROR(INDEX(LMH_PTS,MATCH(O237,LMH_KEY,0)),0),IFERROR(INDEX(LMH_PTS,MATCH(P237,LMH_KEY,0)),0)),""))</f>
        <v>0.0588235294117647</v>
      </c>
      <c r="W237" s="74">
        <f>IF(P237="","",IFERROR(INDEX(LMH_PTS,MATCH(P237,LMH_KEY,0))/SUM(IFERROR(INDEX(LMH_PTS,MATCH(J237,LMH_KEY,0)),0),IFERROR(INDEX(LMH_PTS,MATCH(K237,LMH_KEY,0)),0),IFERROR(INDEX(LMH_PTS,MATCH(L237,LMH_KEY,0)),0),IFERROR(INDEX(LMH_PTS,MATCH(M237,LMH_KEY,0)),0),IFERROR(INDEX(LMH_PTS,MATCH(N237,LMH_KEY,0)),0),IFERROR(INDEX(LMH_PTS,MATCH(O237,LMH_KEY,0)),0),IFERROR(INDEX(LMH_PTS,MATCH(P237,LMH_KEY,0)),0)),""))</f>
        <v>0.0588235294117647</v>
      </c>
      <c r="X237" s="44" t="n"/>
      <c r="Y237" s="38" t="inlineStr">
        <is>
          <t>iDEAL|Quality Assurance|Senior QA Engineer|A3|A</t>
        </is>
      </c>
    </row>
    <row r="238" ht="18" customHeight="1">
      <c r="A238" s="28" t="inlineStr">
        <is>
          <t>iDEAL</t>
        </is>
      </c>
      <c r="B238" s="71" t="inlineStr">
        <is>
          <t>Sales</t>
        </is>
      </c>
      <c r="C238" s="72" t="inlineStr">
        <is>
          <t>B2</t>
        </is>
      </c>
      <c r="D238" s="29" t="inlineStr">
        <is>
          <t>Band B · Specialist / Manager</t>
        </is>
      </c>
      <c r="E238" s="29" t="inlineStr">
        <is>
          <t>Senior Account Executive</t>
        </is>
      </c>
      <c r="F238" s="29" t="inlineStr">
        <is>
          <t>Band B · Specialist / POD Lead</t>
        </is>
      </c>
      <c r="G238" s="29" t="inlineStr">
        <is>
          <t>Sales &amp; Business Development</t>
        </is>
      </c>
      <c r="H238" s="29" t="n">
        <v>1</v>
      </c>
      <c r="I238" s="29" t="inlineStr">
        <is>
          <t>Rohit Patil</t>
        </is>
      </c>
      <c r="J238" s="34" t="str">
        <f>IFERROR(INDEX(RBD_C,MATCH("Sales &amp; Business Development|B2|B-IC",RBD_KEY,0)),"M")</f>
        <v>H</v>
      </c>
      <c r="K238" s="35" t="str">
        <f>IFERROR(INDEX(RBD_Au,MATCH("Sales &amp; Business Development|B2|B-IC",RBD_KEY,0)),"M")</f>
        <v>M</v>
      </c>
      <c r="L238" s="35" t="str">
        <f>IFERROR(INDEX(RBD_Ac,MATCH("Sales &amp; Business Development|B2|B-IC",RBD_KEY,0)),"M")</f>
        <v>L</v>
      </c>
      <c r="M238" s="35" t="str">
        <f>IFERROR(INDEX(RBD_L,MATCH("Sales &amp; Business Development|B2|B-IC",RBD_KEY,0)),"M")</f>
        <v>L</v>
      </c>
      <c r="N238" s="35" t="str">
        <f>IFERROR(INDEX(RBD_BI,MATCH("Sales &amp; Business Development|B2|B-IC",RBD_KEY,0)),"M")</f>
        <v>M</v>
      </c>
      <c r="O238" s="35" t="str">
        <f>IFERROR(INDEX(RBD_Exp,MATCH("Sales &amp; Business Development|B2|B-IC",RBD_KEY,0)),"M")</f>
        <v>L</v>
      </c>
      <c r="P238" s="35" t="str">
        <f>IFERROR(INDEX(RBD_Edu,MATCH("Sales &amp; Business Development|B2|B-IC",RBD_KEY,0)),"M")</f>
        <v>L</v>
      </c>
      <c r="Q238" s="73">
        <f>IF(J238="","",IFERROR(INDEX(LMH_PTS,MATCH(J238,LMH_KEY,0))/SUM(IFERROR(INDEX(LMH_PTS,MATCH(J238,LMH_KEY,0)),0),IFERROR(INDEX(LMH_PTS,MATCH(K238,LMH_KEY,0)),0),IFERROR(INDEX(LMH_PTS,MATCH(L238,LMH_KEY,0)),0),IFERROR(INDEX(LMH_PTS,MATCH(M238,LMH_KEY,0)),0),IFERROR(INDEX(LMH_PTS,MATCH(N238,LMH_KEY,0)),0),IFERROR(INDEX(LMH_PTS,MATCH(O238,LMH_KEY,0)),0),IFERROR(INDEX(LMH_PTS,MATCH(P238,LMH_KEY,0)),0)),""))</f>
        <v>0.473684210526316</v>
      </c>
      <c r="R238" s="74">
        <f>IF(K238="","",IFERROR(INDEX(LMH_PTS,MATCH(K238,LMH_KEY,0))/SUM(IFERROR(INDEX(LMH_PTS,MATCH(J238,LMH_KEY,0)),0),IFERROR(INDEX(LMH_PTS,MATCH(K238,LMH_KEY,0)),0),IFERROR(INDEX(LMH_PTS,MATCH(L238,LMH_KEY,0)),0),IFERROR(INDEX(LMH_PTS,MATCH(M238,LMH_KEY,0)),0),IFERROR(INDEX(LMH_PTS,MATCH(N238,LMH_KEY,0)),0),IFERROR(INDEX(LMH_PTS,MATCH(O238,LMH_KEY,0)),0),IFERROR(INDEX(LMH_PTS,MATCH(P238,LMH_KEY,0)),0)),""))</f>
        <v>0.157894736842105</v>
      </c>
      <c r="S238" s="74">
        <f>IF(L238="","",IFERROR(INDEX(LMH_PTS,MATCH(L238,LMH_KEY,0))/SUM(IFERROR(INDEX(LMH_PTS,MATCH(J238,LMH_KEY,0)),0),IFERROR(INDEX(LMH_PTS,MATCH(K238,LMH_KEY,0)),0),IFERROR(INDEX(LMH_PTS,MATCH(L238,LMH_KEY,0)),0),IFERROR(INDEX(LMH_PTS,MATCH(M238,LMH_KEY,0)),0),IFERROR(INDEX(LMH_PTS,MATCH(N238,LMH_KEY,0)),0),IFERROR(INDEX(LMH_PTS,MATCH(O238,LMH_KEY,0)),0),IFERROR(INDEX(LMH_PTS,MATCH(P238,LMH_KEY,0)),0)),""))</f>
        <v>0.0526315789473684</v>
      </c>
      <c r="T238" s="74">
        <f>IF(M238="","",IFERROR(INDEX(LMH_PTS,MATCH(M238,LMH_KEY,0))/SUM(IFERROR(INDEX(LMH_PTS,MATCH(J238,LMH_KEY,0)),0),IFERROR(INDEX(LMH_PTS,MATCH(K238,LMH_KEY,0)),0),IFERROR(INDEX(LMH_PTS,MATCH(L238,LMH_KEY,0)),0),IFERROR(INDEX(LMH_PTS,MATCH(M238,LMH_KEY,0)),0),IFERROR(INDEX(LMH_PTS,MATCH(N238,LMH_KEY,0)),0),IFERROR(INDEX(LMH_PTS,MATCH(O238,LMH_KEY,0)),0),IFERROR(INDEX(LMH_PTS,MATCH(P238,LMH_KEY,0)),0)),""))</f>
        <v>0.0526315789473684</v>
      </c>
      <c r="U238" s="74">
        <f>IF(N238="","",IFERROR(INDEX(LMH_PTS,MATCH(N238,LMH_KEY,0))/SUM(IFERROR(INDEX(LMH_PTS,MATCH(J238,LMH_KEY,0)),0),IFERROR(INDEX(LMH_PTS,MATCH(K238,LMH_KEY,0)),0),IFERROR(INDEX(LMH_PTS,MATCH(L238,LMH_KEY,0)),0),IFERROR(INDEX(LMH_PTS,MATCH(M238,LMH_KEY,0)),0),IFERROR(INDEX(LMH_PTS,MATCH(N238,LMH_KEY,0)),0),IFERROR(INDEX(LMH_PTS,MATCH(O238,LMH_KEY,0)),0),IFERROR(INDEX(LMH_PTS,MATCH(P238,LMH_KEY,0)),0)),""))</f>
        <v>0.157894736842105</v>
      </c>
      <c r="V238" s="74">
        <f>IF(O238="","",IFERROR(INDEX(LMH_PTS,MATCH(O238,LMH_KEY,0))/SUM(IFERROR(INDEX(LMH_PTS,MATCH(J238,LMH_KEY,0)),0),IFERROR(INDEX(LMH_PTS,MATCH(K238,LMH_KEY,0)),0),IFERROR(INDEX(LMH_PTS,MATCH(L238,LMH_KEY,0)),0),IFERROR(INDEX(LMH_PTS,MATCH(M238,LMH_KEY,0)),0),IFERROR(INDEX(LMH_PTS,MATCH(N238,LMH_KEY,0)),0),IFERROR(INDEX(LMH_PTS,MATCH(O238,LMH_KEY,0)),0),IFERROR(INDEX(LMH_PTS,MATCH(P238,LMH_KEY,0)),0)),""))</f>
        <v>0.0526315789473684</v>
      </c>
      <c r="W238" s="74">
        <f>IF(P238="","",IFERROR(INDEX(LMH_PTS,MATCH(P238,LMH_KEY,0))/SUM(IFERROR(INDEX(LMH_PTS,MATCH(J238,LMH_KEY,0)),0),IFERROR(INDEX(LMH_PTS,MATCH(K238,LMH_KEY,0)),0),IFERROR(INDEX(LMH_PTS,MATCH(L238,LMH_KEY,0)),0),IFERROR(INDEX(LMH_PTS,MATCH(M238,LMH_KEY,0)),0),IFERROR(INDEX(LMH_PTS,MATCH(N238,LMH_KEY,0)),0),IFERROR(INDEX(LMH_PTS,MATCH(O238,LMH_KEY,0)),0),IFERROR(INDEX(LMH_PTS,MATCH(P238,LMH_KEY,0)),0)),""))</f>
        <v>0.0526315789473684</v>
      </c>
      <c r="X238" s="44" t="n"/>
      <c r="Y238" s="38" t="inlineStr">
        <is>
          <t>iDEAL|Sales|Senior Account Executive|B2|B-IC</t>
        </is>
      </c>
    </row>
    <row r="239" ht="18" customHeight="1">
      <c r="A239" s="28" t="inlineStr">
        <is>
          <t>iDEAL</t>
        </is>
      </c>
      <c r="B239" s="29" t="inlineStr">
        <is>
          <t>Sales</t>
        </is>
      </c>
      <c r="C239" s="75" t="inlineStr">
        <is>
          <t>A3</t>
        </is>
      </c>
      <c r="D239" s="29" t="inlineStr">
        <is>
          <t>Band A · Practitioner</t>
        </is>
      </c>
      <c r="E239" s="29" t="inlineStr">
        <is>
          <t>Account Executive</t>
        </is>
      </c>
      <c r="F239" s="29" t="inlineStr">
        <is>
          <t>Band A · all tracks</t>
        </is>
      </c>
      <c r="G239" s="29" t="inlineStr">
        <is>
          <t>Sales &amp; Business Development</t>
        </is>
      </c>
      <c r="H239" s="29" t="n">
        <v>1</v>
      </c>
      <c r="I239" s="29" t="inlineStr">
        <is>
          <t>Deepali Barai</t>
        </is>
      </c>
      <c r="J239" s="34" t="str">
        <f>IFERROR(INDEX(RBD_C,MATCH("Sales &amp; Business Development|A3|A",RBD_KEY,0)),"M")</f>
        <v>H</v>
      </c>
      <c r="K239" s="35" t="str">
        <f>IFERROR(INDEX(RBD_Au,MATCH("Sales &amp; Business Development|A3|A",RBD_KEY,0)),"M")</f>
        <v>M</v>
      </c>
      <c r="L239" s="35" t="str">
        <f>IFERROR(INDEX(RBD_Ac,MATCH("Sales &amp; Business Development|A3|A",RBD_KEY,0)),"M")</f>
        <v>L</v>
      </c>
      <c r="M239" s="35" t="str">
        <f>IFERROR(INDEX(RBD_L,MATCH("Sales &amp; Business Development|A3|A",RBD_KEY,0)),"M")</f>
        <v>L</v>
      </c>
      <c r="N239" s="35" t="str">
        <f>IFERROR(INDEX(RBD_BI,MATCH("Sales &amp; Business Development|A3|A",RBD_KEY,0)),"M")</f>
        <v>M</v>
      </c>
      <c r="O239" s="35" t="str">
        <f>IFERROR(INDEX(RBD_Exp,MATCH("Sales &amp; Business Development|A3|A",RBD_KEY,0)),"M")</f>
        <v>L</v>
      </c>
      <c r="P239" s="35" t="str">
        <f>IFERROR(INDEX(RBD_Edu,MATCH("Sales &amp; Business Development|A3|A",RBD_KEY,0)),"M")</f>
        <v>L</v>
      </c>
      <c r="Q239" s="73">
        <f>IF(J239="","",IFERROR(INDEX(LMH_PTS,MATCH(J239,LMH_KEY,0))/SUM(IFERROR(INDEX(LMH_PTS,MATCH(J239,LMH_KEY,0)),0),IFERROR(INDEX(LMH_PTS,MATCH(K239,LMH_KEY,0)),0),IFERROR(INDEX(LMH_PTS,MATCH(L239,LMH_KEY,0)),0),IFERROR(INDEX(LMH_PTS,MATCH(M239,LMH_KEY,0)),0),IFERROR(INDEX(LMH_PTS,MATCH(N239,LMH_KEY,0)),0),IFERROR(INDEX(LMH_PTS,MATCH(O239,LMH_KEY,0)),0),IFERROR(INDEX(LMH_PTS,MATCH(P239,LMH_KEY,0)),0)),""))</f>
        <v>0.473684210526316</v>
      </c>
      <c r="R239" s="74">
        <f>IF(K239="","",IFERROR(INDEX(LMH_PTS,MATCH(K239,LMH_KEY,0))/SUM(IFERROR(INDEX(LMH_PTS,MATCH(J239,LMH_KEY,0)),0),IFERROR(INDEX(LMH_PTS,MATCH(K239,LMH_KEY,0)),0),IFERROR(INDEX(LMH_PTS,MATCH(L239,LMH_KEY,0)),0),IFERROR(INDEX(LMH_PTS,MATCH(M239,LMH_KEY,0)),0),IFERROR(INDEX(LMH_PTS,MATCH(N239,LMH_KEY,0)),0),IFERROR(INDEX(LMH_PTS,MATCH(O239,LMH_KEY,0)),0),IFERROR(INDEX(LMH_PTS,MATCH(P239,LMH_KEY,0)),0)),""))</f>
        <v>0.157894736842105</v>
      </c>
      <c r="S239" s="74">
        <f>IF(L239="","",IFERROR(INDEX(LMH_PTS,MATCH(L239,LMH_KEY,0))/SUM(IFERROR(INDEX(LMH_PTS,MATCH(J239,LMH_KEY,0)),0),IFERROR(INDEX(LMH_PTS,MATCH(K239,LMH_KEY,0)),0),IFERROR(INDEX(LMH_PTS,MATCH(L239,LMH_KEY,0)),0),IFERROR(INDEX(LMH_PTS,MATCH(M239,LMH_KEY,0)),0),IFERROR(INDEX(LMH_PTS,MATCH(N239,LMH_KEY,0)),0),IFERROR(INDEX(LMH_PTS,MATCH(O239,LMH_KEY,0)),0),IFERROR(INDEX(LMH_PTS,MATCH(P239,LMH_KEY,0)),0)),""))</f>
        <v>0.0526315789473684</v>
      </c>
      <c r="T239" s="74">
        <f>IF(M239="","",IFERROR(INDEX(LMH_PTS,MATCH(M239,LMH_KEY,0))/SUM(IFERROR(INDEX(LMH_PTS,MATCH(J239,LMH_KEY,0)),0),IFERROR(INDEX(LMH_PTS,MATCH(K239,LMH_KEY,0)),0),IFERROR(INDEX(LMH_PTS,MATCH(L239,LMH_KEY,0)),0),IFERROR(INDEX(LMH_PTS,MATCH(M239,LMH_KEY,0)),0),IFERROR(INDEX(LMH_PTS,MATCH(N239,LMH_KEY,0)),0),IFERROR(INDEX(LMH_PTS,MATCH(O239,LMH_KEY,0)),0),IFERROR(INDEX(LMH_PTS,MATCH(P239,LMH_KEY,0)),0)),""))</f>
        <v>0.0526315789473684</v>
      </c>
      <c r="U239" s="74">
        <f>IF(N239="","",IFERROR(INDEX(LMH_PTS,MATCH(N239,LMH_KEY,0))/SUM(IFERROR(INDEX(LMH_PTS,MATCH(J239,LMH_KEY,0)),0),IFERROR(INDEX(LMH_PTS,MATCH(K239,LMH_KEY,0)),0),IFERROR(INDEX(LMH_PTS,MATCH(L239,LMH_KEY,0)),0),IFERROR(INDEX(LMH_PTS,MATCH(M239,LMH_KEY,0)),0),IFERROR(INDEX(LMH_PTS,MATCH(N239,LMH_KEY,0)),0),IFERROR(INDEX(LMH_PTS,MATCH(O239,LMH_KEY,0)),0),IFERROR(INDEX(LMH_PTS,MATCH(P239,LMH_KEY,0)),0)),""))</f>
        <v>0.157894736842105</v>
      </c>
      <c r="V239" s="74">
        <f>IF(O239="","",IFERROR(INDEX(LMH_PTS,MATCH(O239,LMH_KEY,0))/SUM(IFERROR(INDEX(LMH_PTS,MATCH(J239,LMH_KEY,0)),0),IFERROR(INDEX(LMH_PTS,MATCH(K239,LMH_KEY,0)),0),IFERROR(INDEX(LMH_PTS,MATCH(L239,LMH_KEY,0)),0),IFERROR(INDEX(LMH_PTS,MATCH(M239,LMH_KEY,0)),0),IFERROR(INDEX(LMH_PTS,MATCH(N239,LMH_KEY,0)),0),IFERROR(INDEX(LMH_PTS,MATCH(O239,LMH_KEY,0)),0),IFERROR(INDEX(LMH_PTS,MATCH(P239,LMH_KEY,0)),0)),""))</f>
        <v>0.0526315789473684</v>
      </c>
      <c r="W239" s="74">
        <f>IF(P239="","",IFERROR(INDEX(LMH_PTS,MATCH(P239,LMH_KEY,0))/SUM(IFERROR(INDEX(LMH_PTS,MATCH(J239,LMH_KEY,0)),0),IFERROR(INDEX(LMH_PTS,MATCH(K239,LMH_KEY,0)),0),IFERROR(INDEX(LMH_PTS,MATCH(L239,LMH_KEY,0)),0),IFERROR(INDEX(LMH_PTS,MATCH(M239,LMH_KEY,0)),0),IFERROR(INDEX(LMH_PTS,MATCH(N239,LMH_KEY,0)),0),IFERROR(INDEX(LMH_PTS,MATCH(O239,LMH_KEY,0)),0),IFERROR(INDEX(LMH_PTS,MATCH(P239,LMH_KEY,0)),0)),""))</f>
        <v>0.0526315789473684</v>
      </c>
      <c r="X239" s="44" t="n"/>
      <c r="Y239" s="38" t="inlineStr">
        <is>
          <t>iDEAL|Sales|Account Executive|A3|A</t>
        </is>
      </c>
    </row>
    <row r="240" ht="18" customHeight="1">
      <c r="A240" s="28" t="inlineStr">
        <is>
          <t>iDEAL</t>
        </is>
      </c>
      <c r="B240" s="29" t="inlineStr">
        <is>
          <t>Sales</t>
        </is>
      </c>
      <c r="C240" s="75" t="inlineStr">
        <is>
          <t>A3</t>
        </is>
      </c>
      <c r="D240" s="29" t="inlineStr">
        <is>
          <t>Band A · Practitioner</t>
        </is>
      </c>
      <c r="E240" s="29" t="inlineStr">
        <is>
          <t>Senior Alliances Executive</t>
        </is>
      </c>
      <c r="F240" s="29" t="inlineStr">
        <is>
          <t>Band A · all tracks</t>
        </is>
      </c>
      <c r="G240" s="29" t="inlineStr">
        <is>
          <t>Sales &amp; Business Development</t>
        </is>
      </c>
      <c r="H240" s="29" t="n">
        <v>1</v>
      </c>
      <c r="I240" s="29" t="inlineStr">
        <is>
          <t>Shreya Sharma</t>
        </is>
      </c>
      <c r="J240" s="34" t="str">
        <f>IFERROR(INDEX(RBD_C,MATCH("Sales &amp; Business Development|A3|A",RBD_KEY,0)),"M")</f>
        <v>H</v>
      </c>
      <c r="K240" s="35" t="str">
        <f>IFERROR(INDEX(RBD_Au,MATCH("Sales &amp; Business Development|A3|A",RBD_KEY,0)),"M")</f>
        <v>M</v>
      </c>
      <c r="L240" s="35" t="str">
        <f>IFERROR(INDEX(RBD_Ac,MATCH("Sales &amp; Business Development|A3|A",RBD_KEY,0)),"M")</f>
        <v>L</v>
      </c>
      <c r="M240" s="35" t="str">
        <f>IFERROR(INDEX(RBD_L,MATCH("Sales &amp; Business Development|A3|A",RBD_KEY,0)),"M")</f>
        <v>L</v>
      </c>
      <c r="N240" s="35" t="str">
        <f>IFERROR(INDEX(RBD_BI,MATCH("Sales &amp; Business Development|A3|A",RBD_KEY,0)),"M")</f>
        <v>M</v>
      </c>
      <c r="O240" s="35" t="str">
        <f>IFERROR(INDEX(RBD_Exp,MATCH("Sales &amp; Business Development|A3|A",RBD_KEY,0)),"M")</f>
        <v>L</v>
      </c>
      <c r="P240" s="35" t="str">
        <f>IFERROR(INDEX(RBD_Edu,MATCH("Sales &amp; Business Development|A3|A",RBD_KEY,0)),"M")</f>
        <v>L</v>
      </c>
      <c r="Q240" s="73">
        <f>IF(J240="","",IFERROR(INDEX(LMH_PTS,MATCH(J240,LMH_KEY,0))/SUM(IFERROR(INDEX(LMH_PTS,MATCH(J240,LMH_KEY,0)),0),IFERROR(INDEX(LMH_PTS,MATCH(K240,LMH_KEY,0)),0),IFERROR(INDEX(LMH_PTS,MATCH(L240,LMH_KEY,0)),0),IFERROR(INDEX(LMH_PTS,MATCH(M240,LMH_KEY,0)),0),IFERROR(INDEX(LMH_PTS,MATCH(N240,LMH_KEY,0)),0),IFERROR(INDEX(LMH_PTS,MATCH(O240,LMH_KEY,0)),0),IFERROR(INDEX(LMH_PTS,MATCH(P240,LMH_KEY,0)),0)),""))</f>
        <v>0.473684210526316</v>
      </c>
      <c r="R240" s="74">
        <f>IF(K240="","",IFERROR(INDEX(LMH_PTS,MATCH(K240,LMH_KEY,0))/SUM(IFERROR(INDEX(LMH_PTS,MATCH(J240,LMH_KEY,0)),0),IFERROR(INDEX(LMH_PTS,MATCH(K240,LMH_KEY,0)),0),IFERROR(INDEX(LMH_PTS,MATCH(L240,LMH_KEY,0)),0),IFERROR(INDEX(LMH_PTS,MATCH(M240,LMH_KEY,0)),0),IFERROR(INDEX(LMH_PTS,MATCH(N240,LMH_KEY,0)),0),IFERROR(INDEX(LMH_PTS,MATCH(O240,LMH_KEY,0)),0),IFERROR(INDEX(LMH_PTS,MATCH(P240,LMH_KEY,0)),0)),""))</f>
        <v>0.157894736842105</v>
      </c>
      <c r="S240" s="74">
        <f>IF(L240="","",IFERROR(INDEX(LMH_PTS,MATCH(L240,LMH_KEY,0))/SUM(IFERROR(INDEX(LMH_PTS,MATCH(J240,LMH_KEY,0)),0),IFERROR(INDEX(LMH_PTS,MATCH(K240,LMH_KEY,0)),0),IFERROR(INDEX(LMH_PTS,MATCH(L240,LMH_KEY,0)),0),IFERROR(INDEX(LMH_PTS,MATCH(M240,LMH_KEY,0)),0),IFERROR(INDEX(LMH_PTS,MATCH(N240,LMH_KEY,0)),0),IFERROR(INDEX(LMH_PTS,MATCH(O240,LMH_KEY,0)),0),IFERROR(INDEX(LMH_PTS,MATCH(P240,LMH_KEY,0)),0)),""))</f>
        <v>0.0526315789473684</v>
      </c>
      <c r="T240" s="74">
        <f>IF(M240="","",IFERROR(INDEX(LMH_PTS,MATCH(M240,LMH_KEY,0))/SUM(IFERROR(INDEX(LMH_PTS,MATCH(J240,LMH_KEY,0)),0),IFERROR(INDEX(LMH_PTS,MATCH(K240,LMH_KEY,0)),0),IFERROR(INDEX(LMH_PTS,MATCH(L240,LMH_KEY,0)),0),IFERROR(INDEX(LMH_PTS,MATCH(M240,LMH_KEY,0)),0),IFERROR(INDEX(LMH_PTS,MATCH(N240,LMH_KEY,0)),0),IFERROR(INDEX(LMH_PTS,MATCH(O240,LMH_KEY,0)),0),IFERROR(INDEX(LMH_PTS,MATCH(P240,LMH_KEY,0)),0)),""))</f>
        <v>0.0526315789473684</v>
      </c>
      <c r="U240" s="74">
        <f>IF(N240="","",IFERROR(INDEX(LMH_PTS,MATCH(N240,LMH_KEY,0))/SUM(IFERROR(INDEX(LMH_PTS,MATCH(J240,LMH_KEY,0)),0),IFERROR(INDEX(LMH_PTS,MATCH(K240,LMH_KEY,0)),0),IFERROR(INDEX(LMH_PTS,MATCH(L240,LMH_KEY,0)),0),IFERROR(INDEX(LMH_PTS,MATCH(M240,LMH_KEY,0)),0),IFERROR(INDEX(LMH_PTS,MATCH(N240,LMH_KEY,0)),0),IFERROR(INDEX(LMH_PTS,MATCH(O240,LMH_KEY,0)),0),IFERROR(INDEX(LMH_PTS,MATCH(P240,LMH_KEY,0)),0)),""))</f>
        <v>0.157894736842105</v>
      </c>
      <c r="V240" s="74">
        <f>IF(O240="","",IFERROR(INDEX(LMH_PTS,MATCH(O240,LMH_KEY,0))/SUM(IFERROR(INDEX(LMH_PTS,MATCH(J240,LMH_KEY,0)),0),IFERROR(INDEX(LMH_PTS,MATCH(K240,LMH_KEY,0)),0),IFERROR(INDEX(LMH_PTS,MATCH(L240,LMH_KEY,0)),0),IFERROR(INDEX(LMH_PTS,MATCH(M240,LMH_KEY,0)),0),IFERROR(INDEX(LMH_PTS,MATCH(N240,LMH_KEY,0)),0),IFERROR(INDEX(LMH_PTS,MATCH(O240,LMH_KEY,0)),0),IFERROR(INDEX(LMH_PTS,MATCH(P240,LMH_KEY,0)),0)),""))</f>
        <v>0.0526315789473684</v>
      </c>
      <c r="W240" s="74">
        <f>IF(P240="","",IFERROR(INDEX(LMH_PTS,MATCH(P240,LMH_KEY,0))/SUM(IFERROR(INDEX(LMH_PTS,MATCH(J240,LMH_KEY,0)),0),IFERROR(INDEX(LMH_PTS,MATCH(K240,LMH_KEY,0)),0),IFERROR(INDEX(LMH_PTS,MATCH(L240,LMH_KEY,0)),0),IFERROR(INDEX(LMH_PTS,MATCH(M240,LMH_KEY,0)),0),IFERROR(INDEX(LMH_PTS,MATCH(N240,LMH_KEY,0)),0),IFERROR(INDEX(LMH_PTS,MATCH(O240,LMH_KEY,0)),0),IFERROR(INDEX(LMH_PTS,MATCH(P240,LMH_KEY,0)),0)),""))</f>
        <v>0.0526315789473684</v>
      </c>
      <c r="X240" s="44" t="n"/>
      <c r="Y240" s="38" t="inlineStr">
        <is>
          <t>iDEAL|Sales|Senior Alliances Executive|A3|A</t>
        </is>
      </c>
    </row>
    <row r="241" ht="28" customHeight="1">
      <c r="A241" s="28" t="inlineStr">
        <is>
          <t>iDEAL</t>
        </is>
      </c>
      <c r="B241" s="29" t="inlineStr">
        <is>
          <t>Sales</t>
        </is>
      </c>
      <c r="C241" s="75" t="inlineStr">
        <is>
          <t>A1</t>
        </is>
      </c>
      <c r="D241" s="29" t="inlineStr">
        <is>
          <t>Band A · Practitioner</t>
        </is>
      </c>
      <c r="E241" s="29" t="inlineStr">
        <is>
          <t>Intern – Application &amp; Product Support</t>
        </is>
      </c>
      <c r="F241" s="29" t="inlineStr">
        <is>
          <t>Band A · all tracks</t>
        </is>
      </c>
      <c r="G241" s="29" t="inlineStr">
        <is>
          <t>Customer Success &amp; Support</t>
        </is>
      </c>
      <c r="H241" s="29" t="n">
        <v>1</v>
      </c>
      <c r="I241" s="29" t="inlineStr">
        <is>
          <t>Nehal Bohra</t>
        </is>
      </c>
      <c r="J241" s="34" t="str">
        <f>IFERROR(INDEX(RBD_C,MATCH("Customer Success &amp; Support|A1|A",RBD_KEY,0)),"M")</f>
        <v>H</v>
      </c>
      <c r="K241" s="35" t="str">
        <f>IFERROR(INDEX(RBD_Au,MATCH("Customer Success &amp; Support|A1|A",RBD_KEY,0)),"M")</f>
        <v>M</v>
      </c>
      <c r="L241" s="35" t="str">
        <f>IFERROR(INDEX(RBD_Ac,MATCH("Customer Success &amp; Support|A1|A",RBD_KEY,0)),"M")</f>
        <v>M</v>
      </c>
      <c r="M241" s="35" t="str">
        <f>IFERROR(INDEX(RBD_L,MATCH("Customer Success &amp; Support|A1|A",RBD_KEY,0)),"M")</f>
        <v>L</v>
      </c>
      <c r="N241" s="35" t="str">
        <f>IFERROR(INDEX(RBD_BI,MATCH("Customer Success &amp; Support|A1|A",RBD_KEY,0)),"M")</f>
        <v>M</v>
      </c>
      <c r="O241" s="35" t="str">
        <f>IFERROR(INDEX(RBD_Exp,MATCH("Customer Success &amp; Support|A1|A",RBD_KEY,0)),"M")</f>
        <v>L</v>
      </c>
      <c r="P241" s="35" t="str">
        <f>IFERROR(INDEX(RBD_Edu,MATCH("Customer Success &amp; Support|A1|A",RBD_KEY,0)),"M")</f>
        <v>L</v>
      </c>
      <c r="Q241" s="73">
        <f>IF(J241="","",IFERROR(INDEX(LMH_PTS,MATCH(J241,LMH_KEY,0))/SUM(IFERROR(INDEX(LMH_PTS,MATCH(J241,LMH_KEY,0)),0),IFERROR(INDEX(LMH_PTS,MATCH(K241,LMH_KEY,0)),0),IFERROR(INDEX(LMH_PTS,MATCH(L241,LMH_KEY,0)),0),IFERROR(INDEX(LMH_PTS,MATCH(M241,LMH_KEY,0)),0),IFERROR(INDEX(LMH_PTS,MATCH(N241,LMH_KEY,0)),0),IFERROR(INDEX(LMH_PTS,MATCH(O241,LMH_KEY,0)),0),IFERROR(INDEX(LMH_PTS,MATCH(P241,LMH_KEY,0)),0)),""))</f>
        <v>0.428571428571429</v>
      </c>
      <c r="R241" s="74">
        <f>IF(K241="","",IFERROR(INDEX(LMH_PTS,MATCH(K241,LMH_KEY,0))/SUM(IFERROR(INDEX(LMH_PTS,MATCH(J241,LMH_KEY,0)),0),IFERROR(INDEX(LMH_PTS,MATCH(K241,LMH_KEY,0)),0),IFERROR(INDEX(LMH_PTS,MATCH(L241,LMH_KEY,0)),0),IFERROR(INDEX(LMH_PTS,MATCH(M241,LMH_KEY,0)),0),IFERROR(INDEX(LMH_PTS,MATCH(N241,LMH_KEY,0)),0),IFERROR(INDEX(LMH_PTS,MATCH(O241,LMH_KEY,0)),0),IFERROR(INDEX(LMH_PTS,MATCH(P241,LMH_KEY,0)),0)),""))</f>
        <v>0.142857142857143</v>
      </c>
      <c r="S241" s="74">
        <f>IF(L241="","",IFERROR(INDEX(LMH_PTS,MATCH(L241,LMH_KEY,0))/SUM(IFERROR(INDEX(LMH_PTS,MATCH(J241,LMH_KEY,0)),0),IFERROR(INDEX(LMH_PTS,MATCH(K241,LMH_KEY,0)),0),IFERROR(INDEX(LMH_PTS,MATCH(L241,LMH_KEY,0)),0),IFERROR(INDEX(LMH_PTS,MATCH(M241,LMH_KEY,0)),0),IFERROR(INDEX(LMH_PTS,MATCH(N241,LMH_KEY,0)),0),IFERROR(INDEX(LMH_PTS,MATCH(O241,LMH_KEY,0)),0),IFERROR(INDEX(LMH_PTS,MATCH(P241,LMH_KEY,0)),0)),""))</f>
        <v>0.142857142857143</v>
      </c>
      <c r="T241" s="74">
        <f>IF(M241="","",IFERROR(INDEX(LMH_PTS,MATCH(M241,LMH_KEY,0))/SUM(IFERROR(INDEX(LMH_PTS,MATCH(J241,LMH_KEY,0)),0),IFERROR(INDEX(LMH_PTS,MATCH(K241,LMH_KEY,0)),0),IFERROR(INDEX(LMH_PTS,MATCH(L241,LMH_KEY,0)),0),IFERROR(INDEX(LMH_PTS,MATCH(M241,LMH_KEY,0)),0),IFERROR(INDEX(LMH_PTS,MATCH(N241,LMH_KEY,0)),0),IFERROR(INDEX(LMH_PTS,MATCH(O241,LMH_KEY,0)),0),IFERROR(INDEX(LMH_PTS,MATCH(P241,LMH_KEY,0)),0)),""))</f>
        <v>0.0476190476190476</v>
      </c>
      <c r="U241" s="74">
        <f>IF(N241="","",IFERROR(INDEX(LMH_PTS,MATCH(N241,LMH_KEY,0))/SUM(IFERROR(INDEX(LMH_PTS,MATCH(J241,LMH_KEY,0)),0),IFERROR(INDEX(LMH_PTS,MATCH(K241,LMH_KEY,0)),0),IFERROR(INDEX(LMH_PTS,MATCH(L241,LMH_KEY,0)),0),IFERROR(INDEX(LMH_PTS,MATCH(M241,LMH_KEY,0)),0),IFERROR(INDEX(LMH_PTS,MATCH(N241,LMH_KEY,0)),0),IFERROR(INDEX(LMH_PTS,MATCH(O241,LMH_KEY,0)),0),IFERROR(INDEX(LMH_PTS,MATCH(P241,LMH_KEY,0)),0)),""))</f>
        <v>0.142857142857143</v>
      </c>
      <c r="V241" s="74">
        <f>IF(O241="","",IFERROR(INDEX(LMH_PTS,MATCH(O241,LMH_KEY,0))/SUM(IFERROR(INDEX(LMH_PTS,MATCH(J241,LMH_KEY,0)),0),IFERROR(INDEX(LMH_PTS,MATCH(K241,LMH_KEY,0)),0),IFERROR(INDEX(LMH_PTS,MATCH(L241,LMH_KEY,0)),0),IFERROR(INDEX(LMH_PTS,MATCH(M241,LMH_KEY,0)),0),IFERROR(INDEX(LMH_PTS,MATCH(N241,LMH_KEY,0)),0),IFERROR(INDEX(LMH_PTS,MATCH(O241,LMH_KEY,0)),0),IFERROR(INDEX(LMH_PTS,MATCH(P241,LMH_KEY,0)),0)),""))</f>
        <v>0.0476190476190476</v>
      </c>
      <c r="W241" s="74">
        <f>IF(P241="","",IFERROR(INDEX(LMH_PTS,MATCH(P241,LMH_KEY,0))/SUM(IFERROR(INDEX(LMH_PTS,MATCH(J241,LMH_KEY,0)),0),IFERROR(INDEX(LMH_PTS,MATCH(K241,LMH_KEY,0)),0),IFERROR(INDEX(LMH_PTS,MATCH(L241,LMH_KEY,0)),0),IFERROR(INDEX(LMH_PTS,MATCH(M241,LMH_KEY,0)),0),IFERROR(INDEX(LMH_PTS,MATCH(N241,LMH_KEY,0)),0),IFERROR(INDEX(LMH_PTS,MATCH(O241,LMH_KEY,0)),0),IFERROR(INDEX(LMH_PTS,MATCH(P241,LMH_KEY,0)),0)),""))</f>
        <v>0.0476190476190476</v>
      </c>
      <c r="X241" s="44" t="n"/>
      <c r="Y241" s="38" t="inlineStr">
        <is>
          <t>iDEAL|Sales|Intern – Application &amp; Product Support|A1|A</t>
        </is>
      </c>
    </row>
    <row r="242" ht="40.5" customHeight="1">
      <c r="A242" s="28" t="inlineStr">
        <is>
          <t>iDEAL</t>
        </is>
      </c>
      <c r="B242" s="71" t="inlineStr">
        <is>
          <t>Technology</t>
        </is>
      </c>
      <c r="C242" s="80" t="inlineStr">
        <is>
          <t>B+</t>
        </is>
      </c>
      <c r="D242" s="29" t="inlineStr">
        <is>
          <t>B+ · Player-Coach</t>
        </is>
      </c>
      <c r="E242" s="29" t="inlineStr">
        <is>
          <t>Practice Lead – Solution &amp; Technical Architecture · Player-Coach</t>
        </is>
      </c>
      <c r="F242" s="29" t="inlineStr">
        <is>
          <t>B+ · Player-Coach</t>
        </is>
      </c>
      <c r="G242" s="29" t="inlineStr">
        <is>
          <t>Engineering &amp; Architecture</t>
        </is>
      </c>
      <c r="H242" s="29" t="n">
        <v>1</v>
      </c>
      <c r="I242" s="29" t="inlineStr">
        <is>
          <t>Jitendra Kumar</t>
        </is>
      </c>
      <c r="J242" s="34" t="str">
        <f>IFERROR(INDEX(RBD_C,MATCH("Engineering &amp; Architecture|B+|B+",RBD_KEY,0)),"M")</f>
        <v>H</v>
      </c>
      <c r="K242" s="35" t="str">
        <f>IFERROR(INDEX(RBD_Au,MATCH("Engineering &amp; Architecture|B+|B+",RBD_KEY,0)),"M")</f>
        <v>M</v>
      </c>
      <c r="L242" s="35" t="str">
        <f>IFERROR(INDEX(RBD_Ac,MATCH("Engineering &amp; Architecture|B+|B+",RBD_KEY,0)),"M")</f>
        <v>L</v>
      </c>
      <c r="M242" s="35" t="str">
        <f>IFERROR(INDEX(RBD_L,MATCH("Engineering &amp; Architecture|B+|B+",RBD_KEY,0)),"M")</f>
        <v>M</v>
      </c>
      <c r="N242" s="35" t="str">
        <f>IFERROR(INDEX(RBD_BI,MATCH("Engineering &amp; Architecture|B+|B+",RBD_KEY,0)),"M")</f>
        <v>L</v>
      </c>
      <c r="O242" s="35" t="str">
        <f>IFERROR(INDEX(RBD_Exp,MATCH("Engineering &amp; Architecture|B+|B+",RBD_KEY,0)),"M")</f>
        <v>L</v>
      </c>
      <c r="P242" s="35" t="str">
        <f>IFERROR(INDEX(RBD_Edu,MATCH("Engineering &amp; Architecture|B+|B+",RBD_KEY,0)),"M")</f>
        <v>L</v>
      </c>
      <c r="Q242" s="73">
        <f>IF(J242="","",IFERROR(INDEX(LMH_PTS,MATCH(J242,LMH_KEY,0))/SUM(IFERROR(INDEX(LMH_PTS,MATCH(J242,LMH_KEY,0)),0),IFERROR(INDEX(LMH_PTS,MATCH(K242,LMH_KEY,0)),0),IFERROR(INDEX(LMH_PTS,MATCH(L242,LMH_KEY,0)),0),IFERROR(INDEX(LMH_PTS,MATCH(M242,LMH_KEY,0)),0),IFERROR(INDEX(LMH_PTS,MATCH(N242,LMH_KEY,0)),0),IFERROR(INDEX(LMH_PTS,MATCH(O242,LMH_KEY,0)),0),IFERROR(INDEX(LMH_PTS,MATCH(P242,LMH_KEY,0)),0)),""))</f>
        <v>0.473684210526316</v>
      </c>
      <c r="R242" s="74">
        <f>IF(K242="","",IFERROR(INDEX(LMH_PTS,MATCH(K242,LMH_KEY,0))/SUM(IFERROR(INDEX(LMH_PTS,MATCH(J242,LMH_KEY,0)),0),IFERROR(INDEX(LMH_PTS,MATCH(K242,LMH_KEY,0)),0),IFERROR(INDEX(LMH_PTS,MATCH(L242,LMH_KEY,0)),0),IFERROR(INDEX(LMH_PTS,MATCH(M242,LMH_KEY,0)),0),IFERROR(INDEX(LMH_PTS,MATCH(N242,LMH_KEY,0)),0),IFERROR(INDEX(LMH_PTS,MATCH(O242,LMH_KEY,0)),0),IFERROR(INDEX(LMH_PTS,MATCH(P242,LMH_KEY,0)),0)),""))</f>
        <v>0.157894736842105</v>
      </c>
      <c r="S242" s="74">
        <f>IF(L242="","",IFERROR(INDEX(LMH_PTS,MATCH(L242,LMH_KEY,0))/SUM(IFERROR(INDEX(LMH_PTS,MATCH(J242,LMH_KEY,0)),0),IFERROR(INDEX(LMH_PTS,MATCH(K242,LMH_KEY,0)),0),IFERROR(INDEX(LMH_PTS,MATCH(L242,LMH_KEY,0)),0),IFERROR(INDEX(LMH_PTS,MATCH(M242,LMH_KEY,0)),0),IFERROR(INDEX(LMH_PTS,MATCH(N242,LMH_KEY,0)),0),IFERROR(INDEX(LMH_PTS,MATCH(O242,LMH_KEY,0)),0),IFERROR(INDEX(LMH_PTS,MATCH(P242,LMH_KEY,0)),0)),""))</f>
        <v>0.0526315789473684</v>
      </c>
      <c r="T242" s="74">
        <f>IF(M242="","",IFERROR(INDEX(LMH_PTS,MATCH(M242,LMH_KEY,0))/SUM(IFERROR(INDEX(LMH_PTS,MATCH(J242,LMH_KEY,0)),0),IFERROR(INDEX(LMH_PTS,MATCH(K242,LMH_KEY,0)),0),IFERROR(INDEX(LMH_PTS,MATCH(L242,LMH_KEY,0)),0),IFERROR(INDEX(LMH_PTS,MATCH(M242,LMH_KEY,0)),0),IFERROR(INDEX(LMH_PTS,MATCH(N242,LMH_KEY,0)),0),IFERROR(INDEX(LMH_PTS,MATCH(O242,LMH_KEY,0)),0),IFERROR(INDEX(LMH_PTS,MATCH(P242,LMH_KEY,0)),0)),""))</f>
        <v>0.157894736842105</v>
      </c>
      <c r="U242" s="74">
        <f>IF(N242="","",IFERROR(INDEX(LMH_PTS,MATCH(N242,LMH_KEY,0))/SUM(IFERROR(INDEX(LMH_PTS,MATCH(J242,LMH_KEY,0)),0),IFERROR(INDEX(LMH_PTS,MATCH(K242,LMH_KEY,0)),0),IFERROR(INDEX(LMH_PTS,MATCH(L242,LMH_KEY,0)),0),IFERROR(INDEX(LMH_PTS,MATCH(M242,LMH_KEY,0)),0),IFERROR(INDEX(LMH_PTS,MATCH(N242,LMH_KEY,0)),0),IFERROR(INDEX(LMH_PTS,MATCH(O242,LMH_KEY,0)),0),IFERROR(INDEX(LMH_PTS,MATCH(P242,LMH_KEY,0)),0)),""))</f>
        <v>0.0526315789473684</v>
      </c>
      <c r="V242" s="74">
        <f>IF(O242="","",IFERROR(INDEX(LMH_PTS,MATCH(O242,LMH_KEY,0))/SUM(IFERROR(INDEX(LMH_PTS,MATCH(J242,LMH_KEY,0)),0),IFERROR(INDEX(LMH_PTS,MATCH(K242,LMH_KEY,0)),0),IFERROR(INDEX(LMH_PTS,MATCH(L242,LMH_KEY,0)),0),IFERROR(INDEX(LMH_PTS,MATCH(M242,LMH_KEY,0)),0),IFERROR(INDEX(LMH_PTS,MATCH(N242,LMH_KEY,0)),0),IFERROR(INDEX(LMH_PTS,MATCH(O242,LMH_KEY,0)),0),IFERROR(INDEX(LMH_PTS,MATCH(P242,LMH_KEY,0)),0)),""))</f>
        <v>0.0526315789473684</v>
      </c>
      <c r="W242" s="74">
        <f>IF(P242="","",IFERROR(INDEX(LMH_PTS,MATCH(P242,LMH_KEY,0))/SUM(IFERROR(INDEX(LMH_PTS,MATCH(J242,LMH_KEY,0)),0),IFERROR(INDEX(LMH_PTS,MATCH(K242,LMH_KEY,0)),0),IFERROR(INDEX(LMH_PTS,MATCH(L242,LMH_KEY,0)),0),IFERROR(INDEX(LMH_PTS,MATCH(M242,LMH_KEY,0)),0),IFERROR(INDEX(LMH_PTS,MATCH(N242,LMH_KEY,0)),0),IFERROR(INDEX(LMH_PTS,MATCH(O242,LMH_KEY,0)),0),IFERROR(INDEX(LMH_PTS,MATCH(P242,LMH_KEY,0)),0)),""))</f>
        <v>0.0526315789473684</v>
      </c>
      <c r="X242" s="44" t="n"/>
      <c r="Y242" s="38" t="inlineStr">
        <is>
          <t>iDEAL|Technology|Practice Lead – Solution &amp; Technical Architecture · Player-Coach|B+|B+</t>
        </is>
      </c>
    </row>
    <row r="243" ht="18" customHeight="1">
      <c r="A243" s="28" t="inlineStr">
        <is>
          <t>iDEAL</t>
        </is>
      </c>
      <c r="B243" s="29" t="inlineStr">
        <is>
          <t>Technology</t>
        </is>
      </c>
      <c r="C243" s="72" t="inlineStr">
        <is>
          <t>B3</t>
        </is>
      </c>
      <c r="D243" s="29" t="inlineStr">
        <is>
          <t>Band B · Specialist / Manager</t>
        </is>
      </c>
      <c r="E243" s="29" t="inlineStr">
        <is>
          <t>Lead Software Engineer</t>
        </is>
      </c>
      <c r="F243" s="29" t="inlineStr">
        <is>
          <t>Band B · Specialist / POD Lead</t>
        </is>
      </c>
      <c r="G243" s="29" t="inlineStr">
        <is>
          <t>Engineering &amp; Development</t>
        </is>
      </c>
      <c r="H243" s="29" t="n">
        <v>1</v>
      </c>
      <c r="I243" s="29" t="inlineStr">
        <is>
          <t>Ravi Ranjan</t>
        </is>
      </c>
      <c r="J243" s="34" t="str">
        <f>IFERROR(INDEX(RBD_C,MATCH("Engineering &amp; Development|B3|B-IC",RBD_KEY,0)),"M")</f>
        <v>H</v>
      </c>
      <c r="K243" s="35" t="str">
        <f>IFERROR(INDEX(RBD_Au,MATCH("Engineering &amp; Development|B3|B-IC",RBD_KEY,0)),"M")</f>
        <v>M</v>
      </c>
      <c r="L243" s="35" t="str">
        <f>IFERROR(INDEX(RBD_Ac,MATCH("Engineering &amp; Development|B3|B-IC",RBD_KEY,0)),"M")</f>
        <v>L</v>
      </c>
      <c r="M243" s="35" t="str">
        <f>IFERROR(INDEX(RBD_L,MATCH("Engineering &amp; Development|B3|B-IC",RBD_KEY,0)),"M")</f>
        <v>L</v>
      </c>
      <c r="N243" s="35" t="str">
        <f>IFERROR(INDEX(RBD_BI,MATCH("Engineering &amp; Development|B3|B-IC",RBD_KEY,0)),"M")</f>
        <v>L</v>
      </c>
      <c r="O243" s="35" t="str">
        <f>IFERROR(INDEX(RBD_Exp,MATCH("Engineering &amp; Development|B3|B-IC",RBD_KEY,0)),"M")</f>
        <v>L</v>
      </c>
      <c r="P243" s="35" t="str">
        <f>IFERROR(INDEX(RBD_Edu,MATCH("Engineering &amp; Development|B3|B-IC",RBD_KEY,0)),"M")</f>
        <v>L</v>
      </c>
      <c r="Q243" s="73">
        <f>IF(J243="","",IFERROR(INDEX(LMH_PTS,MATCH(J243,LMH_KEY,0))/SUM(IFERROR(INDEX(LMH_PTS,MATCH(J243,LMH_KEY,0)),0),IFERROR(INDEX(LMH_PTS,MATCH(K243,LMH_KEY,0)),0),IFERROR(INDEX(LMH_PTS,MATCH(L243,LMH_KEY,0)),0),IFERROR(INDEX(LMH_PTS,MATCH(M243,LMH_KEY,0)),0),IFERROR(INDEX(LMH_PTS,MATCH(N243,LMH_KEY,0)),0),IFERROR(INDEX(LMH_PTS,MATCH(O243,LMH_KEY,0)),0),IFERROR(INDEX(LMH_PTS,MATCH(P243,LMH_KEY,0)),0)),""))</f>
        <v>0.529411764705882</v>
      </c>
      <c r="R243" s="74">
        <f>IF(K243="","",IFERROR(INDEX(LMH_PTS,MATCH(K243,LMH_KEY,0))/SUM(IFERROR(INDEX(LMH_PTS,MATCH(J243,LMH_KEY,0)),0),IFERROR(INDEX(LMH_PTS,MATCH(K243,LMH_KEY,0)),0),IFERROR(INDEX(LMH_PTS,MATCH(L243,LMH_KEY,0)),0),IFERROR(INDEX(LMH_PTS,MATCH(M243,LMH_KEY,0)),0),IFERROR(INDEX(LMH_PTS,MATCH(N243,LMH_KEY,0)),0),IFERROR(INDEX(LMH_PTS,MATCH(O243,LMH_KEY,0)),0),IFERROR(INDEX(LMH_PTS,MATCH(P243,LMH_KEY,0)),0)),""))</f>
        <v>0.176470588235294</v>
      </c>
      <c r="S243" s="74">
        <f>IF(L243="","",IFERROR(INDEX(LMH_PTS,MATCH(L243,LMH_KEY,0))/SUM(IFERROR(INDEX(LMH_PTS,MATCH(J243,LMH_KEY,0)),0),IFERROR(INDEX(LMH_PTS,MATCH(K243,LMH_KEY,0)),0),IFERROR(INDEX(LMH_PTS,MATCH(L243,LMH_KEY,0)),0),IFERROR(INDEX(LMH_PTS,MATCH(M243,LMH_KEY,0)),0),IFERROR(INDEX(LMH_PTS,MATCH(N243,LMH_KEY,0)),0),IFERROR(INDEX(LMH_PTS,MATCH(O243,LMH_KEY,0)),0),IFERROR(INDEX(LMH_PTS,MATCH(P243,LMH_KEY,0)),0)),""))</f>
        <v>0.0588235294117647</v>
      </c>
      <c r="T243" s="74">
        <f>IF(M243="","",IFERROR(INDEX(LMH_PTS,MATCH(M243,LMH_KEY,0))/SUM(IFERROR(INDEX(LMH_PTS,MATCH(J243,LMH_KEY,0)),0),IFERROR(INDEX(LMH_PTS,MATCH(K243,LMH_KEY,0)),0),IFERROR(INDEX(LMH_PTS,MATCH(L243,LMH_KEY,0)),0),IFERROR(INDEX(LMH_PTS,MATCH(M243,LMH_KEY,0)),0),IFERROR(INDEX(LMH_PTS,MATCH(N243,LMH_KEY,0)),0),IFERROR(INDEX(LMH_PTS,MATCH(O243,LMH_KEY,0)),0),IFERROR(INDEX(LMH_PTS,MATCH(P243,LMH_KEY,0)),0)),""))</f>
        <v>0.0588235294117647</v>
      </c>
      <c r="U243" s="74">
        <f>IF(N243="","",IFERROR(INDEX(LMH_PTS,MATCH(N243,LMH_KEY,0))/SUM(IFERROR(INDEX(LMH_PTS,MATCH(J243,LMH_KEY,0)),0),IFERROR(INDEX(LMH_PTS,MATCH(K243,LMH_KEY,0)),0),IFERROR(INDEX(LMH_PTS,MATCH(L243,LMH_KEY,0)),0),IFERROR(INDEX(LMH_PTS,MATCH(M243,LMH_KEY,0)),0),IFERROR(INDEX(LMH_PTS,MATCH(N243,LMH_KEY,0)),0),IFERROR(INDEX(LMH_PTS,MATCH(O243,LMH_KEY,0)),0),IFERROR(INDEX(LMH_PTS,MATCH(P243,LMH_KEY,0)),0)),""))</f>
        <v>0.0588235294117647</v>
      </c>
      <c r="V243" s="74">
        <f>IF(O243="","",IFERROR(INDEX(LMH_PTS,MATCH(O243,LMH_KEY,0))/SUM(IFERROR(INDEX(LMH_PTS,MATCH(J243,LMH_KEY,0)),0),IFERROR(INDEX(LMH_PTS,MATCH(K243,LMH_KEY,0)),0),IFERROR(INDEX(LMH_PTS,MATCH(L243,LMH_KEY,0)),0),IFERROR(INDEX(LMH_PTS,MATCH(M243,LMH_KEY,0)),0),IFERROR(INDEX(LMH_PTS,MATCH(N243,LMH_KEY,0)),0),IFERROR(INDEX(LMH_PTS,MATCH(O243,LMH_KEY,0)),0),IFERROR(INDEX(LMH_PTS,MATCH(P243,LMH_KEY,0)),0)),""))</f>
        <v>0.0588235294117647</v>
      </c>
      <c r="W243" s="74">
        <f>IF(P243="","",IFERROR(INDEX(LMH_PTS,MATCH(P243,LMH_KEY,0))/SUM(IFERROR(INDEX(LMH_PTS,MATCH(J243,LMH_KEY,0)),0),IFERROR(INDEX(LMH_PTS,MATCH(K243,LMH_KEY,0)),0),IFERROR(INDEX(LMH_PTS,MATCH(L243,LMH_KEY,0)),0),IFERROR(INDEX(LMH_PTS,MATCH(M243,LMH_KEY,0)),0),IFERROR(INDEX(LMH_PTS,MATCH(N243,LMH_KEY,0)),0),IFERROR(INDEX(LMH_PTS,MATCH(O243,LMH_KEY,0)),0),IFERROR(INDEX(LMH_PTS,MATCH(P243,LMH_KEY,0)),0)),""))</f>
        <v>0.0588235294117647</v>
      </c>
      <c r="X243" s="44" t="n"/>
      <c r="Y243" s="38" t="inlineStr">
        <is>
          <t>iDEAL|Technology|Lead Software Engineer|B3|B-IC</t>
        </is>
      </c>
    </row>
    <row r="244" ht="18" customHeight="1">
      <c r="A244" s="28" t="inlineStr">
        <is>
          <t>iDEAL</t>
        </is>
      </c>
      <c r="B244" s="29" t="inlineStr">
        <is>
          <t>Technology</t>
        </is>
      </c>
      <c r="C244" s="72" t="inlineStr">
        <is>
          <t>B1</t>
        </is>
      </c>
      <c r="D244" s="29" t="inlineStr">
        <is>
          <t>Band B · Specialist / Manager</t>
        </is>
      </c>
      <c r="E244" s="29" t="inlineStr">
        <is>
          <t>Associate Project Manager</t>
        </is>
      </c>
      <c r="F244" s="29" t="inlineStr">
        <is>
          <t>Band B · Specialist / POD Lead</t>
        </is>
      </c>
      <c r="G244" s="29" t="inlineStr">
        <is>
          <t>Project &amp; Program Management</t>
        </is>
      </c>
      <c r="H244" s="29" t="n">
        <v>1</v>
      </c>
      <c r="I244" s="29" t="inlineStr">
        <is>
          <t>Anand Usakoyal</t>
        </is>
      </c>
      <c r="J244" s="34" t="str">
        <f>IFERROR(INDEX(RBD_C,MATCH("Project &amp; Program Management|B1|B-IC",RBD_KEY,0)),"M")</f>
        <v>H</v>
      </c>
      <c r="K244" s="35" t="str">
        <f>IFERROR(INDEX(RBD_Au,MATCH("Project &amp; Program Management|B1|B-IC",RBD_KEY,0)),"M")</f>
        <v>M</v>
      </c>
      <c r="L244" s="35" t="str">
        <f>IFERROR(INDEX(RBD_Ac,MATCH("Project &amp; Program Management|B1|B-IC",RBD_KEY,0)),"M")</f>
        <v>L</v>
      </c>
      <c r="M244" s="35" t="str">
        <f>IFERROR(INDEX(RBD_L,MATCH("Project &amp; Program Management|B1|B-IC",RBD_KEY,0)),"M")</f>
        <v>L</v>
      </c>
      <c r="N244" s="35" t="str">
        <f>IFERROR(INDEX(RBD_BI,MATCH("Project &amp; Program Management|B1|B-IC",RBD_KEY,0)),"M")</f>
        <v>L</v>
      </c>
      <c r="O244" s="35" t="str">
        <f>IFERROR(INDEX(RBD_Exp,MATCH("Project &amp; Program Management|B1|B-IC",RBD_KEY,0)),"M")</f>
        <v>L</v>
      </c>
      <c r="P244" s="35" t="str">
        <f>IFERROR(INDEX(RBD_Edu,MATCH("Project &amp; Program Management|B1|B-IC",RBD_KEY,0)),"M")</f>
        <v>L</v>
      </c>
      <c r="Q244" s="73">
        <f>IF(J244="","",IFERROR(INDEX(LMH_PTS,MATCH(J244,LMH_KEY,0))/SUM(IFERROR(INDEX(LMH_PTS,MATCH(J244,LMH_KEY,0)),0),IFERROR(INDEX(LMH_PTS,MATCH(K244,LMH_KEY,0)),0),IFERROR(INDEX(LMH_PTS,MATCH(L244,LMH_KEY,0)),0),IFERROR(INDEX(LMH_PTS,MATCH(M244,LMH_KEY,0)),0),IFERROR(INDEX(LMH_PTS,MATCH(N244,LMH_KEY,0)),0),IFERROR(INDEX(LMH_PTS,MATCH(O244,LMH_KEY,0)),0),IFERROR(INDEX(LMH_PTS,MATCH(P244,LMH_KEY,0)),0)),""))</f>
        <v>0.529411764705882</v>
      </c>
      <c r="R244" s="74">
        <f>IF(K244="","",IFERROR(INDEX(LMH_PTS,MATCH(K244,LMH_KEY,0))/SUM(IFERROR(INDEX(LMH_PTS,MATCH(J244,LMH_KEY,0)),0),IFERROR(INDEX(LMH_PTS,MATCH(K244,LMH_KEY,0)),0),IFERROR(INDEX(LMH_PTS,MATCH(L244,LMH_KEY,0)),0),IFERROR(INDEX(LMH_PTS,MATCH(M244,LMH_KEY,0)),0),IFERROR(INDEX(LMH_PTS,MATCH(N244,LMH_KEY,0)),0),IFERROR(INDEX(LMH_PTS,MATCH(O244,LMH_KEY,0)),0),IFERROR(INDEX(LMH_PTS,MATCH(P244,LMH_KEY,0)),0)),""))</f>
        <v>0.176470588235294</v>
      </c>
      <c r="S244" s="74">
        <f>IF(L244="","",IFERROR(INDEX(LMH_PTS,MATCH(L244,LMH_KEY,0))/SUM(IFERROR(INDEX(LMH_PTS,MATCH(J244,LMH_KEY,0)),0),IFERROR(INDEX(LMH_PTS,MATCH(K244,LMH_KEY,0)),0),IFERROR(INDEX(LMH_PTS,MATCH(L244,LMH_KEY,0)),0),IFERROR(INDEX(LMH_PTS,MATCH(M244,LMH_KEY,0)),0),IFERROR(INDEX(LMH_PTS,MATCH(N244,LMH_KEY,0)),0),IFERROR(INDEX(LMH_PTS,MATCH(O244,LMH_KEY,0)),0),IFERROR(INDEX(LMH_PTS,MATCH(P244,LMH_KEY,0)),0)),""))</f>
        <v>0.0588235294117647</v>
      </c>
      <c r="T244" s="74">
        <f>IF(M244="","",IFERROR(INDEX(LMH_PTS,MATCH(M244,LMH_KEY,0))/SUM(IFERROR(INDEX(LMH_PTS,MATCH(J244,LMH_KEY,0)),0),IFERROR(INDEX(LMH_PTS,MATCH(K244,LMH_KEY,0)),0),IFERROR(INDEX(LMH_PTS,MATCH(L244,LMH_KEY,0)),0),IFERROR(INDEX(LMH_PTS,MATCH(M244,LMH_KEY,0)),0),IFERROR(INDEX(LMH_PTS,MATCH(N244,LMH_KEY,0)),0),IFERROR(INDEX(LMH_PTS,MATCH(O244,LMH_KEY,0)),0),IFERROR(INDEX(LMH_PTS,MATCH(P244,LMH_KEY,0)),0)),""))</f>
        <v>0.0588235294117647</v>
      </c>
      <c r="U244" s="74">
        <f>IF(N244="","",IFERROR(INDEX(LMH_PTS,MATCH(N244,LMH_KEY,0))/SUM(IFERROR(INDEX(LMH_PTS,MATCH(J244,LMH_KEY,0)),0),IFERROR(INDEX(LMH_PTS,MATCH(K244,LMH_KEY,0)),0),IFERROR(INDEX(LMH_PTS,MATCH(L244,LMH_KEY,0)),0),IFERROR(INDEX(LMH_PTS,MATCH(M244,LMH_KEY,0)),0),IFERROR(INDEX(LMH_PTS,MATCH(N244,LMH_KEY,0)),0),IFERROR(INDEX(LMH_PTS,MATCH(O244,LMH_KEY,0)),0),IFERROR(INDEX(LMH_PTS,MATCH(P244,LMH_KEY,0)),0)),""))</f>
        <v>0.0588235294117647</v>
      </c>
      <c r="V244" s="74">
        <f>IF(O244="","",IFERROR(INDEX(LMH_PTS,MATCH(O244,LMH_KEY,0))/SUM(IFERROR(INDEX(LMH_PTS,MATCH(J244,LMH_KEY,0)),0),IFERROR(INDEX(LMH_PTS,MATCH(K244,LMH_KEY,0)),0),IFERROR(INDEX(LMH_PTS,MATCH(L244,LMH_KEY,0)),0),IFERROR(INDEX(LMH_PTS,MATCH(M244,LMH_KEY,0)),0),IFERROR(INDEX(LMH_PTS,MATCH(N244,LMH_KEY,0)),0),IFERROR(INDEX(LMH_PTS,MATCH(O244,LMH_KEY,0)),0),IFERROR(INDEX(LMH_PTS,MATCH(P244,LMH_KEY,0)),0)),""))</f>
        <v>0.0588235294117647</v>
      </c>
      <c r="W244" s="74">
        <f>IF(P244="","",IFERROR(INDEX(LMH_PTS,MATCH(P244,LMH_KEY,0))/SUM(IFERROR(INDEX(LMH_PTS,MATCH(J244,LMH_KEY,0)),0),IFERROR(INDEX(LMH_PTS,MATCH(K244,LMH_KEY,0)),0),IFERROR(INDEX(LMH_PTS,MATCH(L244,LMH_KEY,0)),0),IFERROR(INDEX(LMH_PTS,MATCH(M244,LMH_KEY,0)),0),IFERROR(INDEX(LMH_PTS,MATCH(N244,LMH_KEY,0)),0),IFERROR(INDEX(LMH_PTS,MATCH(O244,LMH_KEY,0)),0),IFERROR(INDEX(LMH_PTS,MATCH(P244,LMH_KEY,0)),0)),""))</f>
        <v>0.0588235294117647</v>
      </c>
      <c r="X244" s="44" t="n"/>
      <c r="Y244" s="38" t="inlineStr">
        <is>
          <t>iDEAL|Technology|Associate Project Manager|B1|B-IC</t>
        </is>
      </c>
    </row>
    <row r="245" ht="28" customHeight="1">
      <c r="A245" s="28" t="inlineStr">
        <is>
          <t>iDEAL</t>
        </is>
      </c>
      <c r="B245" s="29" t="inlineStr">
        <is>
          <t>Technology</t>
        </is>
      </c>
      <c r="C245" s="72" t="inlineStr">
        <is>
          <t>B1</t>
        </is>
      </c>
      <c r="D245" s="29" t="inlineStr">
        <is>
          <t>Band B · Specialist / Manager</t>
        </is>
      </c>
      <c r="E245" s="29" t="inlineStr">
        <is>
          <t>Business Analysis Specialist</t>
        </is>
      </c>
      <c r="F245" s="29" t="inlineStr">
        <is>
          <t>Band B · Specialist / POD Lead</t>
        </is>
      </c>
      <c r="G245" s="29" t="inlineStr">
        <is>
          <t>Business Analysis</t>
        </is>
      </c>
      <c r="H245" s="29" t="n">
        <v>2</v>
      </c>
      <c r="I245" s="29" t="inlineStr">
        <is>
          <t>Anand Shinde, Kailash Sahu</t>
        </is>
      </c>
      <c r="J245" s="34" t="str">
        <f>IFERROR(INDEX(RBD_C,MATCH("Business Analysis|B1|B-IC",RBD_KEY,0)),"M")</f>
        <v>H</v>
      </c>
      <c r="K245" s="35" t="str">
        <f>IFERROR(INDEX(RBD_Au,MATCH("Business Analysis|B1|B-IC",RBD_KEY,0)),"M")</f>
        <v>M</v>
      </c>
      <c r="L245" s="35" t="str">
        <f>IFERROR(INDEX(RBD_Ac,MATCH("Business Analysis|B1|B-IC",RBD_KEY,0)),"M")</f>
        <v>L</v>
      </c>
      <c r="M245" s="35" t="str">
        <f>IFERROR(INDEX(RBD_L,MATCH("Business Analysis|B1|B-IC",RBD_KEY,0)),"M")</f>
        <v>L</v>
      </c>
      <c r="N245" s="35" t="str">
        <f>IFERROR(INDEX(RBD_BI,MATCH("Business Analysis|B1|B-IC",RBD_KEY,0)),"M")</f>
        <v>L</v>
      </c>
      <c r="O245" s="35" t="str">
        <f>IFERROR(INDEX(RBD_Exp,MATCH("Business Analysis|B1|B-IC",RBD_KEY,0)),"M")</f>
        <v>L</v>
      </c>
      <c r="P245" s="35" t="str">
        <f>IFERROR(INDEX(RBD_Edu,MATCH("Business Analysis|B1|B-IC",RBD_KEY,0)),"M")</f>
        <v>L</v>
      </c>
      <c r="Q245" s="73">
        <f>IF(J245="","",IFERROR(INDEX(LMH_PTS,MATCH(J245,LMH_KEY,0))/SUM(IFERROR(INDEX(LMH_PTS,MATCH(J245,LMH_KEY,0)),0),IFERROR(INDEX(LMH_PTS,MATCH(K245,LMH_KEY,0)),0),IFERROR(INDEX(LMH_PTS,MATCH(L245,LMH_KEY,0)),0),IFERROR(INDEX(LMH_PTS,MATCH(M245,LMH_KEY,0)),0),IFERROR(INDEX(LMH_PTS,MATCH(N245,LMH_KEY,0)),0),IFERROR(INDEX(LMH_PTS,MATCH(O245,LMH_KEY,0)),0),IFERROR(INDEX(LMH_PTS,MATCH(P245,LMH_KEY,0)),0)),""))</f>
        <v>0.529411764705882</v>
      </c>
      <c r="R245" s="74">
        <f>IF(K245="","",IFERROR(INDEX(LMH_PTS,MATCH(K245,LMH_KEY,0))/SUM(IFERROR(INDEX(LMH_PTS,MATCH(J245,LMH_KEY,0)),0),IFERROR(INDEX(LMH_PTS,MATCH(K245,LMH_KEY,0)),0),IFERROR(INDEX(LMH_PTS,MATCH(L245,LMH_KEY,0)),0),IFERROR(INDEX(LMH_PTS,MATCH(M245,LMH_KEY,0)),0),IFERROR(INDEX(LMH_PTS,MATCH(N245,LMH_KEY,0)),0),IFERROR(INDEX(LMH_PTS,MATCH(O245,LMH_KEY,0)),0),IFERROR(INDEX(LMH_PTS,MATCH(P245,LMH_KEY,0)),0)),""))</f>
        <v>0.176470588235294</v>
      </c>
      <c r="S245" s="74">
        <f>IF(L245="","",IFERROR(INDEX(LMH_PTS,MATCH(L245,LMH_KEY,0))/SUM(IFERROR(INDEX(LMH_PTS,MATCH(J245,LMH_KEY,0)),0),IFERROR(INDEX(LMH_PTS,MATCH(K245,LMH_KEY,0)),0),IFERROR(INDEX(LMH_PTS,MATCH(L245,LMH_KEY,0)),0),IFERROR(INDEX(LMH_PTS,MATCH(M245,LMH_KEY,0)),0),IFERROR(INDEX(LMH_PTS,MATCH(N245,LMH_KEY,0)),0),IFERROR(INDEX(LMH_PTS,MATCH(O245,LMH_KEY,0)),0),IFERROR(INDEX(LMH_PTS,MATCH(P245,LMH_KEY,0)),0)),""))</f>
        <v>0.0588235294117647</v>
      </c>
      <c r="T245" s="74">
        <f>IF(M245="","",IFERROR(INDEX(LMH_PTS,MATCH(M245,LMH_KEY,0))/SUM(IFERROR(INDEX(LMH_PTS,MATCH(J245,LMH_KEY,0)),0),IFERROR(INDEX(LMH_PTS,MATCH(K245,LMH_KEY,0)),0),IFERROR(INDEX(LMH_PTS,MATCH(L245,LMH_KEY,0)),0),IFERROR(INDEX(LMH_PTS,MATCH(M245,LMH_KEY,0)),0),IFERROR(INDEX(LMH_PTS,MATCH(N245,LMH_KEY,0)),0),IFERROR(INDEX(LMH_PTS,MATCH(O245,LMH_KEY,0)),0),IFERROR(INDEX(LMH_PTS,MATCH(P245,LMH_KEY,0)),0)),""))</f>
        <v>0.0588235294117647</v>
      </c>
      <c r="U245" s="74">
        <f>IF(N245="","",IFERROR(INDEX(LMH_PTS,MATCH(N245,LMH_KEY,0))/SUM(IFERROR(INDEX(LMH_PTS,MATCH(J245,LMH_KEY,0)),0),IFERROR(INDEX(LMH_PTS,MATCH(K245,LMH_KEY,0)),0),IFERROR(INDEX(LMH_PTS,MATCH(L245,LMH_KEY,0)),0),IFERROR(INDEX(LMH_PTS,MATCH(M245,LMH_KEY,0)),0),IFERROR(INDEX(LMH_PTS,MATCH(N245,LMH_KEY,0)),0),IFERROR(INDEX(LMH_PTS,MATCH(O245,LMH_KEY,0)),0),IFERROR(INDEX(LMH_PTS,MATCH(P245,LMH_KEY,0)),0)),""))</f>
        <v>0.0588235294117647</v>
      </c>
      <c r="V245" s="74">
        <f>IF(O245="","",IFERROR(INDEX(LMH_PTS,MATCH(O245,LMH_KEY,0))/SUM(IFERROR(INDEX(LMH_PTS,MATCH(J245,LMH_KEY,0)),0),IFERROR(INDEX(LMH_PTS,MATCH(K245,LMH_KEY,0)),0),IFERROR(INDEX(LMH_PTS,MATCH(L245,LMH_KEY,0)),0),IFERROR(INDEX(LMH_PTS,MATCH(M245,LMH_KEY,0)),0),IFERROR(INDEX(LMH_PTS,MATCH(N245,LMH_KEY,0)),0),IFERROR(INDEX(LMH_PTS,MATCH(O245,LMH_KEY,0)),0),IFERROR(INDEX(LMH_PTS,MATCH(P245,LMH_KEY,0)),0)),""))</f>
        <v>0.0588235294117647</v>
      </c>
      <c r="W245" s="74">
        <f>IF(P245="","",IFERROR(INDEX(LMH_PTS,MATCH(P245,LMH_KEY,0))/SUM(IFERROR(INDEX(LMH_PTS,MATCH(J245,LMH_KEY,0)),0),IFERROR(INDEX(LMH_PTS,MATCH(K245,LMH_KEY,0)),0),IFERROR(INDEX(LMH_PTS,MATCH(L245,LMH_KEY,0)),0),IFERROR(INDEX(LMH_PTS,MATCH(M245,LMH_KEY,0)),0),IFERROR(INDEX(LMH_PTS,MATCH(N245,LMH_KEY,0)),0),IFERROR(INDEX(LMH_PTS,MATCH(O245,LMH_KEY,0)),0),IFERROR(INDEX(LMH_PTS,MATCH(P245,LMH_KEY,0)),0)),""))</f>
        <v>0.0588235294117647</v>
      </c>
      <c r="X245" s="44" t="n"/>
      <c r="Y245" s="38" t="inlineStr">
        <is>
          <t>iDEAL|Technology|Business Analysis Specialist|B1|B-IC</t>
        </is>
      </c>
    </row>
    <row r="246" ht="28" customHeight="1">
      <c r="A246" s="28" t="inlineStr">
        <is>
          <t>iDEAL</t>
        </is>
      </c>
      <c r="B246" s="29" t="inlineStr">
        <is>
          <t>Technology</t>
        </is>
      </c>
      <c r="C246" s="72" t="inlineStr">
        <is>
          <t>B1</t>
        </is>
      </c>
      <c r="D246" s="29" t="inlineStr">
        <is>
          <t>Band B · Specialist / Manager</t>
        </is>
      </c>
      <c r="E246" s="29" t="inlineStr">
        <is>
          <t>Business Analysis Specialist – POD Lead</t>
        </is>
      </c>
      <c r="F246" s="29" t="inlineStr">
        <is>
          <t>Band B · Specialist / POD Lead</t>
        </is>
      </c>
      <c r="G246" s="29" t="inlineStr">
        <is>
          <t>Business Analysis</t>
        </is>
      </c>
      <c r="H246" s="29" t="n">
        <v>1</v>
      </c>
      <c r="I246" s="29" t="inlineStr">
        <is>
          <t>Phuzel Siddiqui</t>
        </is>
      </c>
      <c r="J246" s="34" t="str">
        <f>IFERROR(INDEX(RBD_C,MATCH("Business Analysis|B1|B-IC",RBD_KEY,0)),"M")</f>
        <v>H</v>
      </c>
      <c r="K246" s="35" t="str">
        <f>IFERROR(INDEX(RBD_Au,MATCH("Business Analysis|B1|B-IC",RBD_KEY,0)),"M")</f>
        <v>M</v>
      </c>
      <c r="L246" s="35" t="str">
        <f>IFERROR(INDEX(RBD_Ac,MATCH("Business Analysis|B1|B-IC",RBD_KEY,0)),"M")</f>
        <v>L</v>
      </c>
      <c r="M246" s="35" t="str">
        <f>IFERROR(INDEX(RBD_L,MATCH("Business Analysis|B1|B-IC",RBD_KEY,0)),"M")</f>
        <v>L</v>
      </c>
      <c r="N246" s="35" t="str">
        <f>IFERROR(INDEX(RBD_BI,MATCH("Business Analysis|B1|B-IC",RBD_KEY,0)),"M")</f>
        <v>L</v>
      </c>
      <c r="O246" s="35" t="str">
        <f>IFERROR(INDEX(RBD_Exp,MATCH("Business Analysis|B1|B-IC",RBD_KEY,0)),"M")</f>
        <v>L</v>
      </c>
      <c r="P246" s="35" t="str">
        <f>IFERROR(INDEX(RBD_Edu,MATCH("Business Analysis|B1|B-IC",RBD_KEY,0)),"M")</f>
        <v>L</v>
      </c>
      <c r="Q246" s="73">
        <f>IF(J246="","",IFERROR(INDEX(LMH_PTS,MATCH(J246,LMH_KEY,0))/SUM(IFERROR(INDEX(LMH_PTS,MATCH(J246,LMH_KEY,0)),0),IFERROR(INDEX(LMH_PTS,MATCH(K246,LMH_KEY,0)),0),IFERROR(INDEX(LMH_PTS,MATCH(L246,LMH_KEY,0)),0),IFERROR(INDEX(LMH_PTS,MATCH(M246,LMH_KEY,0)),0),IFERROR(INDEX(LMH_PTS,MATCH(N246,LMH_KEY,0)),0),IFERROR(INDEX(LMH_PTS,MATCH(O246,LMH_KEY,0)),0),IFERROR(INDEX(LMH_PTS,MATCH(P246,LMH_KEY,0)),0)),""))</f>
        <v>0.529411764705882</v>
      </c>
      <c r="R246" s="74">
        <f>IF(K246="","",IFERROR(INDEX(LMH_PTS,MATCH(K246,LMH_KEY,0))/SUM(IFERROR(INDEX(LMH_PTS,MATCH(J246,LMH_KEY,0)),0),IFERROR(INDEX(LMH_PTS,MATCH(K246,LMH_KEY,0)),0),IFERROR(INDEX(LMH_PTS,MATCH(L246,LMH_KEY,0)),0),IFERROR(INDEX(LMH_PTS,MATCH(M246,LMH_KEY,0)),0),IFERROR(INDEX(LMH_PTS,MATCH(N246,LMH_KEY,0)),0),IFERROR(INDEX(LMH_PTS,MATCH(O246,LMH_KEY,0)),0),IFERROR(INDEX(LMH_PTS,MATCH(P246,LMH_KEY,0)),0)),""))</f>
        <v>0.176470588235294</v>
      </c>
      <c r="S246" s="74">
        <f>IF(L246="","",IFERROR(INDEX(LMH_PTS,MATCH(L246,LMH_KEY,0))/SUM(IFERROR(INDEX(LMH_PTS,MATCH(J246,LMH_KEY,0)),0),IFERROR(INDEX(LMH_PTS,MATCH(K246,LMH_KEY,0)),0),IFERROR(INDEX(LMH_PTS,MATCH(L246,LMH_KEY,0)),0),IFERROR(INDEX(LMH_PTS,MATCH(M246,LMH_KEY,0)),0),IFERROR(INDEX(LMH_PTS,MATCH(N246,LMH_KEY,0)),0),IFERROR(INDEX(LMH_PTS,MATCH(O246,LMH_KEY,0)),0),IFERROR(INDEX(LMH_PTS,MATCH(P246,LMH_KEY,0)),0)),""))</f>
        <v>0.0588235294117647</v>
      </c>
      <c r="T246" s="74">
        <f>IF(M246="","",IFERROR(INDEX(LMH_PTS,MATCH(M246,LMH_KEY,0))/SUM(IFERROR(INDEX(LMH_PTS,MATCH(J246,LMH_KEY,0)),0),IFERROR(INDEX(LMH_PTS,MATCH(K246,LMH_KEY,0)),0),IFERROR(INDEX(LMH_PTS,MATCH(L246,LMH_KEY,0)),0),IFERROR(INDEX(LMH_PTS,MATCH(M246,LMH_KEY,0)),0),IFERROR(INDEX(LMH_PTS,MATCH(N246,LMH_KEY,0)),0),IFERROR(INDEX(LMH_PTS,MATCH(O246,LMH_KEY,0)),0),IFERROR(INDEX(LMH_PTS,MATCH(P246,LMH_KEY,0)),0)),""))</f>
        <v>0.0588235294117647</v>
      </c>
      <c r="U246" s="74">
        <f>IF(N246="","",IFERROR(INDEX(LMH_PTS,MATCH(N246,LMH_KEY,0))/SUM(IFERROR(INDEX(LMH_PTS,MATCH(J246,LMH_KEY,0)),0),IFERROR(INDEX(LMH_PTS,MATCH(K246,LMH_KEY,0)),0),IFERROR(INDEX(LMH_PTS,MATCH(L246,LMH_KEY,0)),0),IFERROR(INDEX(LMH_PTS,MATCH(M246,LMH_KEY,0)),0),IFERROR(INDEX(LMH_PTS,MATCH(N246,LMH_KEY,0)),0),IFERROR(INDEX(LMH_PTS,MATCH(O246,LMH_KEY,0)),0),IFERROR(INDEX(LMH_PTS,MATCH(P246,LMH_KEY,0)),0)),""))</f>
        <v>0.0588235294117647</v>
      </c>
      <c r="V246" s="74">
        <f>IF(O246="","",IFERROR(INDEX(LMH_PTS,MATCH(O246,LMH_KEY,0))/SUM(IFERROR(INDEX(LMH_PTS,MATCH(J246,LMH_KEY,0)),0),IFERROR(INDEX(LMH_PTS,MATCH(K246,LMH_KEY,0)),0),IFERROR(INDEX(LMH_PTS,MATCH(L246,LMH_KEY,0)),0),IFERROR(INDEX(LMH_PTS,MATCH(M246,LMH_KEY,0)),0),IFERROR(INDEX(LMH_PTS,MATCH(N246,LMH_KEY,0)),0),IFERROR(INDEX(LMH_PTS,MATCH(O246,LMH_KEY,0)),0),IFERROR(INDEX(LMH_PTS,MATCH(P246,LMH_KEY,0)),0)),""))</f>
        <v>0.0588235294117647</v>
      </c>
      <c r="W246" s="74">
        <f>IF(P246="","",IFERROR(INDEX(LMH_PTS,MATCH(P246,LMH_KEY,0))/SUM(IFERROR(INDEX(LMH_PTS,MATCH(J246,LMH_KEY,0)),0),IFERROR(INDEX(LMH_PTS,MATCH(K246,LMH_KEY,0)),0),IFERROR(INDEX(LMH_PTS,MATCH(L246,LMH_KEY,0)),0),IFERROR(INDEX(LMH_PTS,MATCH(M246,LMH_KEY,0)),0),IFERROR(INDEX(LMH_PTS,MATCH(N246,LMH_KEY,0)),0),IFERROR(INDEX(LMH_PTS,MATCH(O246,LMH_KEY,0)),0),IFERROR(INDEX(LMH_PTS,MATCH(P246,LMH_KEY,0)),0)),""))</f>
        <v>0.0588235294117647</v>
      </c>
      <c r="X246" s="44" t="n"/>
      <c r="Y246" s="38" t="inlineStr">
        <is>
          <t>iDEAL|Technology|Business Analysis Specialist – POD Lead|B1|B-IC</t>
        </is>
      </c>
    </row>
    <row r="247" ht="28" customHeight="1">
      <c r="A247" s="28" t="inlineStr">
        <is>
          <t>iDEAL</t>
        </is>
      </c>
      <c r="B247" s="29" t="inlineStr">
        <is>
          <t>Technology</t>
        </is>
      </c>
      <c r="C247" s="72" t="inlineStr">
        <is>
          <t>B1</t>
        </is>
      </c>
      <c r="D247" s="29" t="inlineStr">
        <is>
          <t>Band B · Specialist / Manager</t>
        </is>
      </c>
      <c r="E247" s="29" t="inlineStr">
        <is>
          <t>Database Specialist – POD Lead</t>
        </is>
      </c>
      <c r="F247" s="29" t="inlineStr">
        <is>
          <t>Band B · Specialist / POD Lead</t>
        </is>
      </c>
      <c r="G247" s="29" t="inlineStr">
        <is>
          <t>Engineering &amp; Development</t>
        </is>
      </c>
      <c r="H247" s="29" t="n">
        <v>1</v>
      </c>
      <c r="I247" s="29" t="inlineStr">
        <is>
          <t>Jignasha Sawla</t>
        </is>
      </c>
      <c r="J247" s="34" t="str">
        <f>IFERROR(INDEX(RBD_C,MATCH("Engineering &amp; Development|B1|B-IC",RBD_KEY,0)),"M")</f>
        <v>H</v>
      </c>
      <c r="K247" s="35" t="str">
        <f>IFERROR(INDEX(RBD_Au,MATCH("Engineering &amp; Development|B1|B-IC",RBD_KEY,0)),"M")</f>
        <v>M</v>
      </c>
      <c r="L247" s="35" t="str">
        <f>IFERROR(INDEX(RBD_Ac,MATCH("Engineering &amp; Development|B1|B-IC",RBD_KEY,0)),"M")</f>
        <v>L</v>
      </c>
      <c r="M247" s="35" t="str">
        <f>IFERROR(INDEX(RBD_L,MATCH("Engineering &amp; Development|B1|B-IC",RBD_KEY,0)),"M")</f>
        <v>L</v>
      </c>
      <c r="N247" s="35" t="str">
        <f>IFERROR(INDEX(RBD_BI,MATCH("Engineering &amp; Development|B1|B-IC",RBD_KEY,0)),"M")</f>
        <v>L</v>
      </c>
      <c r="O247" s="35" t="str">
        <f>IFERROR(INDEX(RBD_Exp,MATCH("Engineering &amp; Development|B1|B-IC",RBD_KEY,0)),"M")</f>
        <v>L</v>
      </c>
      <c r="P247" s="35" t="str">
        <f>IFERROR(INDEX(RBD_Edu,MATCH("Engineering &amp; Development|B1|B-IC",RBD_KEY,0)),"M")</f>
        <v>L</v>
      </c>
      <c r="Q247" s="73">
        <f>IF(J247="","",IFERROR(INDEX(LMH_PTS,MATCH(J247,LMH_KEY,0))/SUM(IFERROR(INDEX(LMH_PTS,MATCH(J247,LMH_KEY,0)),0),IFERROR(INDEX(LMH_PTS,MATCH(K247,LMH_KEY,0)),0),IFERROR(INDEX(LMH_PTS,MATCH(L247,LMH_KEY,0)),0),IFERROR(INDEX(LMH_PTS,MATCH(M247,LMH_KEY,0)),0),IFERROR(INDEX(LMH_PTS,MATCH(N247,LMH_KEY,0)),0),IFERROR(INDEX(LMH_PTS,MATCH(O247,LMH_KEY,0)),0),IFERROR(INDEX(LMH_PTS,MATCH(P247,LMH_KEY,0)),0)),""))</f>
        <v>0.529411764705882</v>
      </c>
      <c r="R247" s="74">
        <f>IF(K247="","",IFERROR(INDEX(LMH_PTS,MATCH(K247,LMH_KEY,0))/SUM(IFERROR(INDEX(LMH_PTS,MATCH(J247,LMH_KEY,0)),0),IFERROR(INDEX(LMH_PTS,MATCH(K247,LMH_KEY,0)),0),IFERROR(INDEX(LMH_PTS,MATCH(L247,LMH_KEY,0)),0),IFERROR(INDEX(LMH_PTS,MATCH(M247,LMH_KEY,0)),0),IFERROR(INDEX(LMH_PTS,MATCH(N247,LMH_KEY,0)),0),IFERROR(INDEX(LMH_PTS,MATCH(O247,LMH_KEY,0)),0),IFERROR(INDEX(LMH_PTS,MATCH(P247,LMH_KEY,0)),0)),""))</f>
        <v>0.176470588235294</v>
      </c>
      <c r="S247" s="74">
        <f>IF(L247="","",IFERROR(INDEX(LMH_PTS,MATCH(L247,LMH_KEY,0))/SUM(IFERROR(INDEX(LMH_PTS,MATCH(J247,LMH_KEY,0)),0),IFERROR(INDEX(LMH_PTS,MATCH(K247,LMH_KEY,0)),0),IFERROR(INDEX(LMH_PTS,MATCH(L247,LMH_KEY,0)),0),IFERROR(INDEX(LMH_PTS,MATCH(M247,LMH_KEY,0)),0),IFERROR(INDEX(LMH_PTS,MATCH(N247,LMH_KEY,0)),0),IFERROR(INDEX(LMH_PTS,MATCH(O247,LMH_KEY,0)),0),IFERROR(INDEX(LMH_PTS,MATCH(P247,LMH_KEY,0)),0)),""))</f>
        <v>0.0588235294117647</v>
      </c>
      <c r="T247" s="74">
        <f>IF(M247="","",IFERROR(INDEX(LMH_PTS,MATCH(M247,LMH_KEY,0))/SUM(IFERROR(INDEX(LMH_PTS,MATCH(J247,LMH_KEY,0)),0),IFERROR(INDEX(LMH_PTS,MATCH(K247,LMH_KEY,0)),0),IFERROR(INDEX(LMH_PTS,MATCH(L247,LMH_KEY,0)),0),IFERROR(INDEX(LMH_PTS,MATCH(M247,LMH_KEY,0)),0),IFERROR(INDEX(LMH_PTS,MATCH(N247,LMH_KEY,0)),0),IFERROR(INDEX(LMH_PTS,MATCH(O247,LMH_KEY,0)),0),IFERROR(INDEX(LMH_PTS,MATCH(P247,LMH_KEY,0)),0)),""))</f>
        <v>0.0588235294117647</v>
      </c>
      <c r="U247" s="74">
        <f>IF(N247="","",IFERROR(INDEX(LMH_PTS,MATCH(N247,LMH_KEY,0))/SUM(IFERROR(INDEX(LMH_PTS,MATCH(J247,LMH_KEY,0)),0),IFERROR(INDEX(LMH_PTS,MATCH(K247,LMH_KEY,0)),0),IFERROR(INDEX(LMH_PTS,MATCH(L247,LMH_KEY,0)),0),IFERROR(INDEX(LMH_PTS,MATCH(M247,LMH_KEY,0)),0),IFERROR(INDEX(LMH_PTS,MATCH(N247,LMH_KEY,0)),0),IFERROR(INDEX(LMH_PTS,MATCH(O247,LMH_KEY,0)),0),IFERROR(INDEX(LMH_PTS,MATCH(P247,LMH_KEY,0)),0)),""))</f>
        <v>0.0588235294117647</v>
      </c>
      <c r="V247" s="74">
        <f>IF(O247="","",IFERROR(INDEX(LMH_PTS,MATCH(O247,LMH_KEY,0))/SUM(IFERROR(INDEX(LMH_PTS,MATCH(J247,LMH_KEY,0)),0),IFERROR(INDEX(LMH_PTS,MATCH(K247,LMH_KEY,0)),0),IFERROR(INDEX(LMH_PTS,MATCH(L247,LMH_KEY,0)),0),IFERROR(INDEX(LMH_PTS,MATCH(M247,LMH_KEY,0)),0),IFERROR(INDEX(LMH_PTS,MATCH(N247,LMH_KEY,0)),0),IFERROR(INDEX(LMH_PTS,MATCH(O247,LMH_KEY,0)),0),IFERROR(INDEX(LMH_PTS,MATCH(P247,LMH_KEY,0)),0)),""))</f>
        <v>0.0588235294117647</v>
      </c>
      <c r="W247" s="74">
        <f>IF(P247="","",IFERROR(INDEX(LMH_PTS,MATCH(P247,LMH_KEY,0))/SUM(IFERROR(INDEX(LMH_PTS,MATCH(J247,LMH_KEY,0)),0),IFERROR(INDEX(LMH_PTS,MATCH(K247,LMH_KEY,0)),0),IFERROR(INDEX(LMH_PTS,MATCH(L247,LMH_KEY,0)),0),IFERROR(INDEX(LMH_PTS,MATCH(M247,LMH_KEY,0)),0),IFERROR(INDEX(LMH_PTS,MATCH(N247,LMH_KEY,0)),0),IFERROR(INDEX(LMH_PTS,MATCH(O247,LMH_KEY,0)),0),IFERROR(INDEX(LMH_PTS,MATCH(P247,LMH_KEY,0)),0)),""))</f>
        <v>0.0588235294117647</v>
      </c>
      <c r="X247" s="44" t="n"/>
      <c r="Y247" s="38" t="inlineStr">
        <is>
          <t>iDEAL|Technology|Database Specialist – POD Lead|B1|B-IC</t>
        </is>
      </c>
    </row>
    <row r="248" ht="28" customHeight="1">
      <c r="A248" s="28" t="inlineStr">
        <is>
          <t>iDEAL</t>
        </is>
      </c>
      <c r="B248" s="29" t="inlineStr">
        <is>
          <t>Technology</t>
        </is>
      </c>
      <c r="C248" s="72" t="inlineStr">
        <is>
          <t>B1</t>
        </is>
      </c>
      <c r="D248" s="29" t="inlineStr">
        <is>
          <t>Band B · Specialist / Manager</t>
        </is>
      </c>
      <c r="E248" s="29" t="inlineStr">
        <is>
          <t>Senior Business Analysis Specialist</t>
        </is>
      </c>
      <c r="F248" s="29" t="inlineStr">
        <is>
          <t>Band B · Specialist / POD Lead</t>
        </is>
      </c>
      <c r="G248" s="29" t="inlineStr">
        <is>
          <t>Business Analysis</t>
        </is>
      </c>
      <c r="H248" s="29" t="n">
        <v>1</v>
      </c>
      <c r="I248" s="29" t="inlineStr">
        <is>
          <t>Vishal Pingle</t>
        </is>
      </c>
      <c r="J248" s="34" t="str">
        <f>IFERROR(INDEX(RBD_C,MATCH("Business Analysis|B1|B-IC",RBD_KEY,0)),"M")</f>
        <v>H</v>
      </c>
      <c r="K248" s="35" t="str">
        <f>IFERROR(INDEX(RBD_Au,MATCH("Business Analysis|B1|B-IC",RBD_KEY,0)),"M")</f>
        <v>M</v>
      </c>
      <c r="L248" s="35" t="str">
        <f>IFERROR(INDEX(RBD_Ac,MATCH("Business Analysis|B1|B-IC",RBD_KEY,0)),"M")</f>
        <v>L</v>
      </c>
      <c r="M248" s="35" t="str">
        <f>IFERROR(INDEX(RBD_L,MATCH("Business Analysis|B1|B-IC",RBD_KEY,0)),"M")</f>
        <v>L</v>
      </c>
      <c r="N248" s="35" t="str">
        <f>IFERROR(INDEX(RBD_BI,MATCH("Business Analysis|B1|B-IC",RBD_KEY,0)),"M")</f>
        <v>L</v>
      </c>
      <c r="O248" s="35" t="str">
        <f>IFERROR(INDEX(RBD_Exp,MATCH("Business Analysis|B1|B-IC",RBD_KEY,0)),"M")</f>
        <v>L</v>
      </c>
      <c r="P248" s="35" t="str">
        <f>IFERROR(INDEX(RBD_Edu,MATCH("Business Analysis|B1|B-IC",RBD_KEY,0)),"M")</f>
        <v>L</v>
      </c>
      <c r="Q248" s="73">
        <f>IF(J248="","",IFERROR(INDEX(LMH_PTS,MATCH(J248,LMH_KEY,0))/SUM(IFERROR(INDEX(LMH_PTS,MATCH(J248,LMH_KEY,0)),0),IFERROR(INDEX(LMH_PTS,MATCH(K248,LMH_KEY,0)),0),IFERROR(INDEX(LMH_PTS,MATCH(L248,LMH_KEY,0)),0),IFERROR(INDEX(LMH_PTS,MATCH(M248,LMH_KEY,0)),0),IFERROR(INDEX(LMH_PTS,MATCH(N248,LMH_KEY,0)),0),IFERROR(INDEX(LMH_PTS,MATCH(O248,LMH_KEY,0)),0),IFERROR(INDEX(LMH_PTS,MATCH(P248,LMH_KEY,0)),0)),""))</f>
        <v>0.529411764705882</v>
      </c>
      <c r="R248" s="74">
        <f>IF(K248="","",IFERROR(INDEX(LMH_PTS,MATCH(K248,LMH_KEY,0))/SUM(IFERROR(INDEX(LMH_PTS,MATCH(J248,LMH_KEY,0)),0),IFERROR(INDEX(LMH_PTS,MATCH(K248,LMH_KEY,0)),0),IFERROR(INDEX(LMH_PTS,MATCH(L248,LMH_KEY,0)),0),IFERROR(INDEX(LMH_PTS,MATCH(M248,LMH_KEY,0)),0),IFERROR(INDEX(LMH_PTS,MATCH(N248,LMH_KEY,0)),0),IFERROR(INDEX(LMH_PTS,MATCH(O248,LMH_KEY,0)),0),IFERROR(INDEX(LMH_PTS,MATCH(P248,LMH_KEY,0)),0)),""))</f>
        <v>0.176470588235294</v>
      </c>
      <c r="S248" s="74">
        <f>IF(L248="","",IFERROR(INDEX(LMH_PTS,MATCH(L248,LMH_KEY,0))/SUM(IFERROR(INDEX(LMH_PTS,MATCH(J248,LMH_KEY,0)),0),IFERROR(INDEX(LMH_PTS,MATCH(K248,LMH_KEY,0)),0),IFERROR(INDEX(LMH_PTS,MATCH(L248,LMH_KEY,0)),0),IFERROR(INDEX(LMH_PTS,MATCH(M248,LMH_KEY,0)),0),IFERROR(INDEX(LMH_PTS,MATCH(N248,LMH_KEY,0)),0),IFERROR(INDEX(LMH_PTS,MATCH(O248,LMH_KEY,0)),0),IFERROR(INDEX(LMH_PTS,MATCH(P248,LMH_KEY,0)),0)),""))</f>
        <v>0.0588235294117647</v>
      </c>
      <c r="T248" s="74">
        <f>IF(M248="","",IFERROR(INDEX(LMH_PTS,MATCH(M248,LMH_KEY,0))/SUM(IFERROR(INDEX(LMH_PTS,MATCH(J248,LMH_KEY,0)),0),IFERROR(INDEX(LMH_PTS,MATCH(K248,LMH_KEY,0)),0),IFERROR(INDEX(LMH_PTS,MATCH(L248,LMH_KEY,0)),0),IFERROR(INDEX(LMH_PTS,MATCH(M248,LMH_KEY,0)),0),IFERROR(INDEX(LMH_PTS,MATCH(N248,LMH_KEY,0)),0),IFERROR(INDEX(LMH_PTS,MATCH(O248,LMH_KEY,0)),0),IFERROR(INDEX(LMH_PTS,MATCH(P248,LMH_KEY,0)),0)),""))</f>
        <v>0.0588235294117647</v>
      </c>
      <c r="U248" s="74">
        <f>IF(N248="","",IFERROR(INDEX(LMH_PTS,MATCH(N248,LMH_KEY,0))/SUM(IFERROR(INDEX(LMH_PTS,MATCH(J248,LMH_KEY,0)),0),IFERROR(INDEX(LMH_PTS,MATCH(K248,LMH_KEY,0)),0),IFERROR(INDEX(LMH_PTS,MATCH(L248,LMH_KEY,0)),0),IFERROR(INDEX(LMH_PTS,MATCH(M248,LMH_KEY,0)),0),IFERROR(INDEX(LMH_PTS,MATCH(N248,LMH_KEY,0)),0),IFERROR(INDEX(LMH_PTS,MATCH(O248,LMH_KEY,0)),0),IFERROR(INDEX(LMH_PTS,MATCH(P248,LMH_KEY,0)),0)),""))</f>
        <v>0.0588235294117647</v>
      </c>
      <c r="V248" s="74">
        <f>IF(O248="","",IFERROR(INDEX(LMH_PTS,MATCH(O248,LMH_KEY,0))/SUM(IFERROR(INDEX(LMH_PTS,MATCH(J248,LMH_KEY,0)),0),IFERROR(INDEX(LMH_PTS,MATCH(K248,LMH_KEY,0)),0),IFERROR(INDEX(LMH_PTS,MATCH(L248,LMH_KEY,0)),0),IFERROR(INDEX(LMH_PTS,MATCH(M248,LMH_KEY,0)),0),IFERROR(INDEX(LMH_PTS,MATCH(N248,LMH_KEY,0)),0),IFERROR(INDEX(LMH_PTS,MATCH(O248,LMH_KEY,0)),0),IFERROR(INDEX(LMH_PTS,MATCH(P248,LMH_KEY,0)),0)),""))</f>
        <v>0.0588235294117647</v>
      </c>
      <c r="W248" s="74">
        <f>IF(P248="","",IFERROR(INDEX(LMH_PTS,MATCH(P248,LMH_KEY,0))/SUM(IFERROR(INDEX(LMH_PTS,MATCH(J248,LMH_KEY,0)),0),IFERROR(INDEX(LMH_PTS,MATCH(K248,LMH_KEY,0)),0),IFERROR(INDEX(LMH_PTS,MATCH(L248,LMH_KEY,0)),0),IFERROR(INDEX(LMH_PTS,MATCH(M248,LMH_KEY,0)),0),IFERROR(INDEX(LMH_PTS,MATCH(N248,LMH_KEY,0)),0),IFERROR(INDEX(LMH_PTS,MATCH(O248,LMH_KEY,0)),0),IFERROR(INDEX(LMH_PTS,MATCH(P248,LMH_KEY,0)),0)),""))</f>
        <v>0.0588235294117647</v>
      </c>
      <c r="X248" s="44" t="n"/>
      <c r="Y248" s="38" t="inlineStr">
        <is>
          <t>iDEAL|Technology|Senior Business Analysis Specialist|B1|B-IC</t>
        </is>
      </c>
    </row>
    <row r="249" ht="28" customHeight="1">
      <c r="A249" s="28" t="inlineStr">
        <is>
          <t>iDEAL</t>
        </is>
      </c>
      <c r="B249" s="29" t="inlineStr">
        <is>
          <t>Technology</t>
        </is>
      </c>
      <c r="C249" s="72" t="inlineStr">
        <is>
          <t>B1</t>
        </is>
      </c>
      <c r="D249" s="29" t="inlineStr">
        <is>
          <t>Band B · Specialist / Manager</t>
        </is>
      </c>
      <c r="E249" s="29" t="inlineStr">
        <is>
          <t>Team Lead – Business Analysis</t>
        </is>
      </c>
      <c r="F249" s="29" t="inlineStr">
        <is>
          <t>Band B · People Manager</t>
        </is>
      </c>
      <c r="G249" s="29" t="inlineStr">
        <is>
          <t>Business Analysis</t>
        </is>
      </c>
      <c r="H249" s="29" t="n">
        <v>1</v>
      </c>
      <c r="I249" s="29" t="inlineStr">
        <is>
          <t>Aroosa Ghole</t>
        </is>
      </c>
      <c r="J249" s="34" t="str">
        <f>IFERROR(INDEX(RBD_C,MATCH("Business Analysis|B1|B-M",RBD_KEY,0)),"M")</f>
        <v>H</v>
      </c>
      <c r="K249" s="35" t="str">
        <f>IFERROR(INDEX(RBD_Au,MATCH("Business Analysis|B1|B-M",RBD_KEY,0)),"M")</f>
        <v>M</v>
      </c>
      <c r="L249" s="35" t="str">
        <f>IFERROR(INDEX(RBD_Ac,MATCH("Business Analysis|B1|B-M",RBD_KEY,0)),"M")</f>
        <v>L</v>
      </c>
      <c r="M249" s="35" t="str">
        <f>IFERROR(INDEX(RBD_L,MATCH("Business Analysis|B1|B-M",RBD_KEY,0)),"M")</f>
        <v>M</v>
      </c>
      <c r="N249" s="35" t="str">
        <f>IFERROR(INDEX(RBD_BI,MATCH("Business Analysis|B1|B-M",RBD_KEY,0)),"M")</f>
        <v>L</v>
      </c>
      <c r="O249" s="35" t="str">
        <f>IFERROR(INDEX(RBD_Exp,MATCH("Business Analysis|B1|B-M",RBD_KEY,0)),"M")</f>
        <v>L</v>
      </c>
      <c r="P249" s="35" t="str">
        <f>IFERROR(INDEX(RBD_Edu,MATCH("Business Analysis|B1|B-M",RBD_KEY,0)),"M")</f>
        <v>L</v>
      </c>
      <c r="Q249" s="73">
        <f>IF(J249="","",IFERROR(INDEX(LMH_PTS,MATCH(J249,LMH_KEY,0))/SUM(IFERROR(INDEX(LMH_PTS,MATCH(J249,LMH_KEY,0)),0),IFERROR(INDEX(LMH_PTS,MATCH(K249,LMH_KEY,0)),0),IFERROR(INDEX(LMH_PTS,MATCH(L249,LMH_KEY,0)),0),IFERROR(INDEX(LMH_PTS,MATCH(M249,LMH_KEY,0)),0),IFERROR(INDEX(LMH_PTS,MATCH(N249,LMH_KEY,0)),0),IFERROR(INDEX(LMH_PTS,MATCH(O249,LMH_KEY,0)),0),IFERROR(INDEX(LMH_PTS,MATCH(P249,LMH_KEY,0)),0)),""))</f>
        <v>0.473684210526316</v>
      </c>
      <c r="R249" s="74">
        <f>IF(K249="","",IFERROR(INDEX(LMH_PTS,MATCH(K249,LMH_KEY,0))/SUM(IFERROR(INDEX(LMH_PTS,MATCH(J249,LMH_KEY,0)),0),IFERROR(INDEX(LMH_PTS,MATCH(K249,LMH_KEY,0)),0),IFERROR(INDEX(LMH_PTS,MATCH(L249,LMH_KEY,0)),0),IFERROR(INDEX(LMH_PTS,MATCH(M249,LMH_KEY,0)),0),IFERROR(INDEX(LMH_PTS,MATCH(N249,LMH_KEY,0)),0),IFERROR(INDEX(LMH_PTS,MATCH(O249,LMH_KEY,0)),0),IFERROR(INDEX(LMH_PTS,MATCH(P249,LMH_KEY,0)),0)),""))</f>
        <v>0.157894736842105</v>
      </c>
      <c r="S249" s="74">
        <f>IF(L249="","",IFERROR(INDEX(LMH_PTS,MATCH(L249,LMH_KEY,0))/SUM(IFERROR(INDEX(LMH_PTS,MATCH(J249,LMH_KEY,0)),0),IFERROR(INDEX(LMH_PTS,MATCH(K249,LMH_KEY,0)),0),IFERROR(INDEX(LMH_PTS,MATCH(L249,LMH_KEY,0)),0),IFERROR(INDEX(LMH_PTS,MATCH(M249,LMH_KEY,0)),0),IFERROR(INDEX(LMH_PTS,MATCH(N249,LMH_KEY,0)),0),IFERROR(INDEX(LMH_PTS,MATCH(O249,LMH_KEY,0)),0),IFERROR(INDEX(LMH_PTS,MATCH(P249,LMH_KEY,0)),0)),""))</f>
        <v>0.0526315789473684</v>
      </c>
      <c r="T249" s="74">
        <f>IF(M249="","",IFERROR(INDEX(LMH_PTS,MATCH(M249,LMH_KEY,0))/SUM(IFERROR(INDEX(LMH_PTS,MATCH(J249,LMH_KEY,0)),0),IFERROR(INDEX(LMH_PTS,MATCH(K249,LMH_KEY,0)),0),IFERROR(INDEX(LMH_PTS,MATCH(L249,LMH_KEY,0)),0),IFERROR(INDEX(LMH_PTS,MATCH(M249,LMH_KEY,0)),0),IFERROR(INDEX(LMH_PTS,MATCH(N249,LMH_KEY,0)),0),IFERROR(INDEX(LMH_PTS,MATCH(O249,LMH_KEY,0)),0),IFERROR(INDEX(LMH_PTS,MATCH(P249,LMH_KEY,0)),0)),""))</f>
        <v>0.157894736842105</v>
      </c>
      <c r="U249" s="74">
        <f>IF(N249="","",IFERROR(INDEX(LMH_PTS,MATCH(N249,LMH_KEY,0))/SUM(IFERROR(INDEX(LMH_PTS,MATCH(J249,LMH_KEY,0)),0),IFERROR(INDEX(LMH_PTS,MATCH(K249,LMH_KEY,0)),0),IFERROR(INDEX(LMH_PTS,MATCH(L249,LMH_KEY,0)),0),IFERROR(INDEX(LMH_PTS,MATCH(M249,LMH_KEY,0)),0),IFERROR(INDEX(LMH_PTS,MATCH(N249,LMH_KEY,0)),0),IFERROR(INDEX(LMH_PTS,MATCH(O249,LMH_KEY,0)),0),IFERROR(INDEX(LMH_PTS,MATCH(P249,LMH_KEY,0)),0)),""))</f>
        <v>0.0526315789473684</v>
      </c>
      <c r="V249" s="74">
        <f>IF(O249="","",IFERROR(INDEX(LMH_PTS,MATCH(O249,LMH_KEY,0))/SUM(IFERROR(INDEX(LMH_PTS,MATCH(J249,LMH_KEY,0)),0),IFERROR(INDEX(LMH_PTS,MATCH(K249,LMH_KEY,0)),0),IFERROR(INDEX(LMH_PTS,MATCH(L249,LMH_KEY,0)),0),IFERROR(INDEX(LMH_PTS,MATCH(M249,LMH_KEY,0)),0),IFERROR(INDEX(LMH_PTS,MATCH(N249,LMH_KEY,0)),0),IFERROR(INDEX(LMH_PTS,MATCH(O249,LMH_KEY,0)),0),IFERROR(INDEX(LMH_PTS,MATCH(P249,LMH_KEY,0)),0)),""))</f>
        <v>0.0526315789473684</v>
      </c>
      <c r="W249" s="74">
        <f>IF(P249="","",IFERROR(INDEX(LMH_PTS,MATCH(P249,LMH_KEY,0))/SUM(IFERROR(INDEX(LMH_PTS,MATCH(J249,LMH_KEY,0)),0),IFERROR(INDEX(LMH_PTS,MATCH(K249,LMH_KEY,0)),0),IFERROR(INDEX(LMH_PTS,MATCH(L249,LMH_KEY,0)),0),IFERROR(INDEX(LMH_PTS,MATCH(M249,LMH_KEY,0)),0),IFERROR(INDEX(LMH_PTS,MATCH(N249,LMH_KEY,0)),0),IFERROR(INDEX(LMH_PTS,MATCH(O249,LMH_KEY,0)),0),IFERROR(INDEX(LMH_PTS,MATCH(P249,LMH_KEY,0)),0)),""))</f>
        <v>0.0526315789473684</v>
      </c>
      <c r="X249" s="44" t="n"/>
      <c r="Y249" s="38" t="inlineStr">
        <is>
          <t>iDEAL|Technology|Team Lead – Business Analysis|B1|B-M</t>
        </is>
      </c>
    </row>
    <row r="250" ht="65.5" customHeight="1">
      <c r="A250" s="28" t="inlineStr">
        <is>
          <t>iDEAL</t>
        </is>
      </c>
      <c r="B250" s="29" t="inlineStr">
        <is>
          <t>Technology</t>
        </is>
      </c>
      <c r="C250" s="75" t="inlineStr">
        <is>
          <t>A3</t>
        </is>
      </c>
      <c r="D250" s="29" t="inlineStr">
        <is>
          <t>Band A · Practitioner</t>
        </is>
      </c>
      <c r="E250" s="29" t="inlineStr">
        <is>
          <t>Senior Business Analyst</t>
        </is>
      </c>
      <c r="F250" s="29" t="inlineStr">
        <is>
          <t>Band A · all tracks</t>
        </is>
      </c>
      <c r="G250" s="29" t="inlineStr">
        <is>
          <t>Business Analysis</t>
        </is>
      </c>
      <c r="H250" s="29" t="n">
        <v>8</v>
      </c>
      <c r="I250" s="29" t="inlineStr">
        <is>
          <t>Nilam Anandrao Kadam, Silky Agarwal, Vidyasagar Reddy, Anishaa Mahesh Kukreja, Neetu Rani Paul, Shivani Mishra, Mohin Patel, Vivek Kumar</t>
        </is>
      </c>
      <c r="J250" s="34" t="str">
        <f>IFERROR(INDEX(RBD_C,MATCH("Business Analysis|A3|A",RBD_KEY,0)),"M")</f>
        <v>H</v>
      </c>
      <c r="K250" s="35" t="str">
        <f>IFERROR(INDEX(RBD_Au,MATCH("Business Analysis|A3|A",RBD_KEY,0)),"M")</f>
        <v>M</v>
      </c>
      <c r="L250" s="35" t="str">
        <f>IFERROR(INDEX(RBD_Ac,MATCH("Business Analysis|A3|A",RBD_KEY,0)),"M")</f>
        <v>L</v>
      </c>
      <c r="M250" s="35" t="str">
        <f>IFERROR(INDEX(RBD_L,MATCH("Business Analysis|A3|A",RBD_KEY,0)),"M")</f>
        <v>L</v>
      </c>
      <c r="N250" s="35" t="str">
        <f>IFERROR(INDEX(RBD_BI,MATCH("Business Analysis|A3|A",RBD_KEY,0)),"M")</f>
        <v>L</v>
      </c>
      <c r="O250" s="35" t="str">
        <f>IFERROR(INDEX(RBD_Exp,MATCH("Business Analysis|A3|A",RBD_KEY,0)),"M")</f>
        <v>L</v>
      </c>
      <c r="P250" s="35" t="str">
        <f>IFERROR(INDEX(RBD_Edu,MATCH("Business Analysis|A3|A",RBD_KEY,0)),"M")</f>
        <v>L</v>
      </c>
      <c r="Q250" s="73">
        <f>IF(J250="","",IFERROR(INDEX(LMH_PTS,MATCH(J250,LMH_KEY,0))/SUM(IFERROR(INDEX(LMH_PTS,MATCH(J250,LMH_KEY,0)),0),IFERROR(INDEX(LMH_PTS,MATCH(K250,LMH_KEY,0)),0),IFERROR(INDEX(LMH_PTS,MATCH(L250,LMH_KEY,0)),0),IFERROR(INDEX(LMH_PTS,MATCH(M250,LMH_KEY,0)),0),IFERROR(INDEX(LMH_PTS,MATCH(N250,LMH_KEY,0)),0),IFERROR(INDEX(LMH_PTS,MATCH(O250,LMH_KEY,0)),0),IFERROR(INDEX(LMH_PTS,MATCH(P250,LMH_KEY,0)),0)),""))</f>
        <v>0.529411764705882</v>
      </c>
      <c r="R250" s="74">
        <f>IF(K250="","",IFERROR(INDEX(LMH_PTS,MATCH(K250,LMH_KEY,0))/SUM(IFERROR(INDEX(LMH_PTS,MATCH(J250,LMH_KEY,0)),0),IFERROR(INDEX(LMH_PTS,MATCH(K250,LMH_KEY,0)),0),IFERROR(INDEX(LMH_PTS,MATCH(L250,LMH_KEY,0)),0),IFERROR(INDEX(LMH_PTS,MATCH(M250,LMH_KEY,0)),0),IFERROR(INDEX(LMH_PTS,MATCH(N250,LMH_KEY,0)),0),IFERROR(INDEX(LMH_PTS,MATCH(O250,LMH_KEY,0)),0),IFERROR(INDEX(LMH_PTS,MATCH(P250,LMH_KEY,0)),0)),""))</f>
        <v>0.176470588235294</v>
      </c>
      <c r="S250" s="74">
        <f>IF(L250="","",IFERROR(INDEX(LMH_PTS,MATCH(L250,LMH_KEY,0))/SUM(IFERROR(INDEX(LMH_PTS,MATCH(J250,LMH_KEY,0)),0),IFERROR(INDEX(LMH_PTS,MATCH(K250,LMH_KEY,0)),0),IFERROR(INDEX(LMH_PTS,MATCH(L250,LMH_KEY,0)),0),IFERROR(INDEX(LMH_PTS,MATCH(M250,LMH_KEY,0)),0),IFERROR(INDEX(LMH_PTS,MATCH(N250,LMH_KEY,0)),0),IFERROR(INDEX(LMH_PTS,MATCH(O250,LMH_KEY,0)),0),IFERROR(INDEX(LMH_PTS,MATCH(P250,LMH_KEY,0)),0)),""))</f>
        <v>0.0588235294117647</v>
      </c>
      <c r="T250" s="74">
        <f>IF(M250="","",IFERROR(INDEX(LMH_PTS,MATCH(M250,LMH_KEY,0))/SUM(IFERROR(INDEX(LMH_PTS,MATCH(J250,LMH_KEY,0)),0),IFERROR(INDEX(LMH_PTS,MATCH(K250,LMH_KEY,0)),0),IFERROR(INDEX(LMH_PTS,MATCH(L250,LMH_KEY,0)),0),IFERROR(INDEX(LMH_PTS,MATCH(M250,LMH_KEY,0)),0),IFERROR(INDEX(LMH_PTS,MATCH(N250,LMH_KEY,0)),0),IFERROR(INDEX(LMH_PTS,MATCH(O250,LMH_KEY,0)),0),IFERROR(INDEX(LMH_PTS,MATCH(P250,LMH_KEY,0)),0)),""))</f>
        <v>0.0588235294117647</v>
      </c>
      <c r="U250" s="74">
        <f>IF(N250="","",IFERROR(INDEX(LMH_PTS,MATCH(N250,LMH_KEY,0))/SUM(IFERROR(INDEX(LMH_PTS,MATCH(J250,LMH_KEY,0)),0),IFERROR(INDEX(LMH_PTS,MATCH(K250,LMH_KEY,0)),0),IFERROR(INDEX(LMH_PTS,MATCH(L250,LMH_KEY,0)),0),IFERROR(INDEX(LMH_PTS,MATCH(M250,LMH_KEY,0)),0),IFERROR(INDEX(LMH_PTS,MATCH(N250,LMH_KEY,0)),0),IFERROR(INDEX(LMH_PTS,MATCH(O250,LMH_KEY,0)),0),IFERROR(INDEX(LMH_PTS,MATCH(P250,LMH_KEY,0)),0)),""))</f>
        <v>0.0588235294117647</v>
      </c>
      <c r="V250" s="74">
        <f>IF(O250="","",IFERROR(INDEX(LMH_PTS,MATCH(O250,LMH_KEY,0))/SUM(IFERROR(INDEX(LMH_PTS,MATCH(J250,LMH_KEY,0)),0),IFERROR(INDEX(LMH_PTS,MATCH(K250,LMH_KEY,0)),0),IFERROR(INDEX(LMH_PTS,MATCH(L250,LMH_KEY,0)),0),IFERROR(INDEX(LMH_PTS,MATCH(M250,LMH_KEY,0)),0),IFERROR(INDEX(LMH_PTS,MATCH(N250,LMH_KEY,0)),0),IFERROR(INDEX(LMH_PTS,MATCH(O250,LMH_KEY,0)),0),IFERROR(INDEX(LMH_PTS,MATCH(P250,LMH_KEY,0)),0)),""))</f>
        <v>0.0588235294117647</v>
      </c>
      <c r="W250" s="74">
        <f>IF(P250="","",IFERROR(INDEX(LMH_PTS,MATCH(P250,LMH_KEY,0))/SUM(IFERROR(INDEX(LMH_PTS,MATCH(J250,LMH_KEY,0)),0),IFERROR(INDEX(LMH_PTS,MATCH(K250,LMH_KEY,0)),0),IFERROR(INDEX(LMH_PTS,MATCH(L250,LMH_KEY,0)),0),IFERROR(INDEX(LMH_PTS,MATCH(M250,LMH_KEY,0)),0),IFERROR(INDEX(LMH_PTS,MATCH(N250,LMH_KEY,0)),0),IFERROR(INDEX(LMH_PTS,MATCH(O250,LMH_KEY,0)),0),IFERROR(INDEX(LMH_PTS,MATCH(P250,LMH_KEY,0)),0)),""))</f>
        <v>0.0588235294117647</v>
      </c>
      <c r="X250" s="44" t="n"/>
      <c r="Y250" s="38" t="inlineStr">
        <is>
          <t>iDEAL|Technology|Senior Business Analyst|A3|A</t>
        </is>
      </c>
    </row>
    <row r="251" ht="28" customHeight="1">
      <c r="A251" s="28" t="inlineStr">
        <is>
          <t>iDEAL</t>
        </is>
      </c>
      <c r="B251" s="29" t="inlineStr">
        <is>
          <t>Technology</t>
        </is>
      </c>
      <c r="C251" s="75" t="inlineStr">
        <is>
          <t>A3</t>
        </is>
      </c>
      <c r="D251" s="29" t="inlineStr">
        <is>
          <t>Band A · Practitioner</t>
        </is>
      </c>
      <c r="E251" s="29" t="inlineStr">
        <is>
          <t>Senior Database Engineer</t>
        </is>
      </c>
      <c r="F251" s="29" t="inlineStr">
        <is>
          <t>Band A · all tracks</t>
        </is>
      </c>
      <c r="G251" s="29" t="inlineStr">
        <is>
          <t>Engineering &amp; Development</t>
        </is>
      </c>
      <c r="H251" s="29" t="n">
        <v>3</v>
      </c>
      <c r="I251" s="29" t="inlineStr">
        <is>
          <t>Prasad Bhoite, H Marenna, Tushar Kadu Nimbolkar</t>
        </is>
      </c>
      <c r="J251" s="34" t="str">
        <f>IFERROR(INDEX(RBD_C,MATCH("Engineering &amp; Development|A3|A",RBD_KEY,0)),"M")</f>
        <v>H</v>
      </c>
      <c r="K251" s="35" t="str">
        <f>IFERROR(INDEX(RBD_Au,MATCH("Engineering &amp; Development|A3|A",RBD_KEY,0)),"M")</f>
        <v>M</v>
      </c>
      <c r="L251" s="35" t="str">
        <f>IFERROR(INDEX(RBD_Ac,MATCH("Engineering &amp; Development|A3|A",RBD_KEY,0)),"M")</f>
        <v>L</v>
      </c>
      <c r="M251" s="35" t="str">
        <f>IFERROR(INDEX(RBD_L,MATCH("Engineering &amp; Development|A3|A",RBD_KEY,0)),"M")</f>
        <v>L</v>
      </c>
      <c r="N251" s="35" t="str">
        <f>IFERROR(INDEX(RBD_BI,MATCH("Engineering &amp; Development|A3|A",RBD_KEY,0)),"M")</f>
        <v>L</v>
      </c>
      <c r="O251" s="35" t="str">
        <f>IFERROR(INDEX(RBD_Exp,MATCH("Engineering &amp; Development|A3|A",RBD_KEY,0)),"M")</f>
        <v>L</v>
      </c>
      <c r="P251" s="35" t="str">
        <f>IFERROR(INDEX(RBD_Edu,MATCH("Engineering &amp; Development|A3|A",RBD_KEY,0)),"M")</f>
        <v>L</v>
      </c>
      <c r="Q251" s="73">
        <f>IF(J251="","",IFERROR(INDEX(LMH_PTS,MATCH(J251,LMH_KEY,0))/SUM(IFERROR(INDEX(LMH_PTS,MATCH(J251,LMH_KEY,0)),0),IFERROR(INDEX(LMH_PTS,MATCH(K251,LMH_KEY,0)),0),IFERROR(INDEX(LMH_PTS,MATCH(L251,LMH_KEY,0)),0),IFERROR(INDEX(LMH_PTS,MATCH(M251,LMH_KEY,0)),0),IFERROR(INDEX(LMH_PTS,MATCH(N251,LMH_KEY,0)),0),IFERROR(INDEX(LMH_PTS,MATCH(O251,LMH_KEY,0)),0),IFERROR(INDEX(LMH_PTS,MATCH(P251,LMH_KEY,0)),0)),""))</f>
        <v>0.529411764705882</v>
      </c>
      <c r="R251" s="74">
        <f>IF(K251="","",IFERROR(INDEX(LMH_PTS,MATCH(K251,LMH_KEY,0))/SUM(IFERROR(INDEX(LMH_PTS,MATCH(J251,LMH_KEY,0)),0),IFERROR(INDEX(LMH_PTS,MATCH(K251,LMH_KEY,0)),0),IFERROR(INDEX(LMH_PTS,MATCH(L251,LMH_KEY,0)),0),IFERROR(INDEX(LMH_PTS,MATCH(M251,LMH_KEY,0)),0),IFERROR(INDEX(LMH_PTS,MATCH(N251,LMH_KEY,0)),0),IFERROR(INDEX(LMH_PTS,MATCH(O251,LMH_KEY,0)),0),IFERROR(INDEX(LMH_PTS,MATCH(P251,LMH_KEY,0)),0)),""))</f>
        <v>0.176470588235294</v>
      </c>
      <c r="S251" s="74">
        <f>IF(L251="","",IFERROR(INDEX(LMH_PTS,MATCH(L251,LMH_KEY,0))/SUM(IFERROR(INDEX(LMH_PTS,MATCH(J251,LMH_KEY,0)),0),IFERROR(INDEX(LMH_PTS,MATCH(K251,LMH_KEY,0)),0),IFERROR(INDEX(LMH_PTS,MATCH(L251,LMH_KEY,0)),0),IFERROR(INDEX(LMH_PTS,MATCH(M251,LMH_KEY,0)),0),IFERROR(INDEX(LMH_PTS,MATCH(N251,LMH_KEY,0)),0),IFERROR(INDEX(LMH_PTS,MATCH(O251,LMH_KEY,0)),0),IFERROR(INDEX(LMH_PTS,MATCH(P251,LMH_KEY,0)),0)),""))</f>
        <v>0.0588235294117647</v>
      </c>
      <c r="T251" s="74">
        <f>IF(M251="","",IFERROR(INDEX(LMH_PTS,MATCH(M251,LMH_KEY,0))/SUM(IFERROR(INDEX(LMH_PTS,MATCH(J251,LMH_KEY,0)),0),IFERROR(INDEX(LMH_PTS,MATCH(K251,LMH_KEY,0)),0),IFERROR(INDEX(LMH_PTS,MATCH(L251,LMH_KEY,0)),0),IFERROR(INDEX(LMH_PTS,MATCH(M251,LMH_KEY,0)),0),IFERROR(INDEX(LMH_PTS,MATCH(N251,LMH_KEY,0)),0),IFERROR(INDEX(LMH_PTS,MATCH(O251,LMH_KEY,0)),0),IFERROR(INDEX(LMH_PTS,MATCH(P251,LMH_KEY,0)),0)),""))</f>
        <v>0.0588235294117647</v>
      </c>
      <c r="U251" s="74">
        <f>IF(N251="","",IFERROR(INDEX(LMH_PTS,MATCH(N251,LMH_KEY,0))/SUM(IFERROR(INDEX(LMH_PTS,MATCH(J251,LMH_KEY,0)),0),IFERROR(INDEX(LMH_PTS,MATCH(K251,LMH_KEY,0)),0),IFERROR(INDEX(LMH_PTS,MATCH(L251,LMH_KEY,0)),0),IFERROR(INDEX(LMH_PTS,MATCH(M251,LMH_KEY,0)),0),IFERROR(INDEX(LMH_PTS,MATCH(N251,LMH_KEY,0)),0),IFERROR(INDEX(LMH_PTS,MATCH(O251,LMH_KEY,0)),0),IFERROR(INDEX(LMH_PTS,MATCH(P251,LMH_KEY,0)),0)),""))</f>
        <v>0.0588235294117647</v>
      </c>
      <c r="V251" s="74">
        <f>IF(O251="","",IFERROR(INDEX(LMH_PTS,MATCH(O251,LMH_KEY,0))/SUM(IFERROR(INDEX(LMH_PTS,MATCH(J251,LMH_KEY,0)),0),IFERROR(INDEX(LMH_PTS,MATCH(K251,LMH_KEY,0)),0),IFERROR(INDEX(LMH_PTS,MATCH(L251,LMH_KEY,0)),0),IFERROR(INDEX(LMH_PTS,MATCH(M251,LMH_KEY,0)),0),IFERROR(INDEX(LMH_PTS,MATCH(N251,LMH_KEY,0)),0),IFERROR(INDEX(LMH_PTS,MATCH(O251,LMH_KEY,0)),0),IFERROR(INDEX(LMH_PTS,MATCH(P251,LMH_KEY,0)),0)),""))</f>
        <v>0.0588235294117647</v>
      </c>
      <c r="W251" s="74">
        <f>IF(P251="","",IFERROR(INDEX(LMH_PTS,MATCH(P251,LMH_KEY,0))/SUM(IFERROR(INDEX(LMH_PTS,MATCH(J251,LMH_KEY,0)),0),IFERROR(INDEX(LMH_PTS,MATCH(K251,LMH_KEY,0)),0),IFERROR(INDEX(LMH_PTS,MATCH(L251,LMH_KEY,0)),0),IFERROR(INDEX(LMH_PTS,MATCH(M251,LMH_KEY,0)),0),IFERROR(INDEX(LMH_PTS,MATCH(N251,LMH_KEY,0)),0),IFERROR(INDEX(LMH_PTS,MATCH(O251,LMH_KEY,0)),0),IFERROR(INDEX(LMH_PTS,MATCH(P251,LMH_KEY,0)),0)),""))</f>
        <v>0.0588235294117647</v>
      </c>
      <c r="X251" s="44" t="n"/>
      <c r="Y251" s="38" t="inlineStr">
        <is>
          <t>iDEAL|Technology|Senior Database Engineer|A3|A</t>
        </is>
      </c>
    </row>
    <row r="252" ht="40.5" customHeight="1">
      <c r="A252" s="28" t="inlineStr">
        <is>
          <t>iDEAL</t>
        </is>
      </c>
      <c r="B252" s="29" t="inlineStr">
        <is>
          <t>Technology</t>
        </is>
      </c>
      <c r="C252" s="75" t="inlineStr">
        <is>
          <t>A3</t>
        </is>
      </c>
      <c r="D252" s="29" t="inlineStr">
        <is>
          <t>Band A · Practitioner</t>
        </is>
      </c>
      <c r="E252" s="29" t="inlineStr">
        <is>
          <t>Senior Software Engineer</t>
        </is>
      </c>
      <c r="F252" s="29" t="inlineStr">
        <is>
          <t>Band A · all tracks</t>
        </is>
      </c>
      <c r="G252" s="29" t="inlineStr">
        <is>
          <t>Engineering &amp; Development</t>
        </is>
      </c>
      <c r="H252" s="29" t="n">
        <v>5</v>
      </c>
      <c r="I252" s="29" t="inlineStr">
        <is>
          <t>Akshata Sabale, Pratik Ekhande, Swapnil Shirke, Vaibhav Govind Gahat, Varsha Patil</t>
        </is>
      </c>
      <c r="J252" s="34" t="str">
        <f>IFERROR(INDEX(RBD_C,MATCH("Engineering &amp; Development|A3|A",RBD_KEY,0)),"M")</f>
        <v>H</v>
      </c>
      <c r="K252" s="35" t="str">
        <f>IFERROR(INDEX(RBD_Au,MATCH("Engineering &amp; Development|A3|A",RBD_KEY,0)),"M")</f>
        <v>M</v>
      </c>
      <c r="L252" s="35" t="str">
        <f>IFERROR(INDEX(RBD_Ac,MATCH("Engineering &amp; Development|A3|A",RBD_KEY,0)),"M")</f>
        <v>L</v>
      </c>
      <c r="M252" s="35" t="str">
        <f>IFERROR(INDEX(RBD_L,MATCH("Engineering &amp; Development|A3|A",RBD_KEY,0)),"M")</f>
        <v>L</v>
      </c>
      <c r="N252" s="35" t="str">
        <f>IFERROR(INDEX(RBD_BI,MATCH("Engineering &amp; Development|A3|A",RBD_KEY,0)),"M")</f>
        <v>L</v>
      </c>
      <c r="O252" s="35" t="str">
        <f>IFERROR(INDEX(RBD_Exp,MATCH("Engineering &amp; Development|A3|A",RBD_KEY,0)),"M")</f>
        <v>L</v>
      </c>
      <c r="P252" s="35" t="str">
        <f>IFERROR(INDEX(RBD_Edu,MATCH("Engineering &amp; Development|A3|A",RBD_KEY,0)),"M")</f>
        <v>L</v>
      </c>
      <c r="Q252" s="73">
        <f>IF(J252="","",IFERROR(INDEX(LMH_PTS,MATCH(J252,LMH_KEY,0))/SUM(IFERROR(INDEX(LMH_PTS,MATCH(J252,LMH_KEY,0)),0),IFERROR(INDEX(LMH_PTS,MATCH(K252,LMH_KEY,0)),0),IFERROR(INDEX(LMH_PTS,MATCH(L252,LMH_KEY,0)),0),IFERROR(INDEX(LMH_PTS,MATCH(M252,LMH_KEY,0)),0),IFERROR(INDEX(LMH_PTS,MATCH(N252,LMH_KEY,0)),0),IFERROR(INDEX(LMH_PTS,MATCH(O252,LMH_KEY,0)),0),IFERROR(INDEX(LMH_PTS,MATCH(P252,LMH_KEY,0)),0)),""))</f>
        <v>0.529411764705882</v>
      </c>
      <c r="R252" s="74">
        <f>IF(K252="","",IFERROR(INDEX(LMH_PTS,MATCH(K252,LMH_KEY,0))/SUM(IFERROR(INDEX(LMH_PTS,MATCH(J252,LMH_KEY,0)),0),IFERROR(INDEX(LMH_PTS,MATCH(K252,LMH_KEY,0)),0),IFERROR(INDEX(LMH_PTS,MATCH(L252,LMH_KEY,0)),0),IFERROR(INDEX(LMH_PTS,MATCH(M252,LMH_KEY,0)),0),IFERROR(INDEX(LMH_PTS,MATCH(N252,LMH_KEY,0)),0),IFERROR(INDEX(LMH_PTS,MATCH(O252,LMH_KEY,0)),0),IFERROR(INDEX(LMH_PTS,MATCH(P252,LMH_KEY,0)),0)),""))</f>
        <v>0.176470588235294</v>
      </c>
      <c r="S252" s="74">
        <f>IF(L252="","",IFERROR(INDEX(LMH_PTS,MATCH(L252,LMH_KEY,0))/SUM(IFERROR(INDEX(LMH_PTS,MATCH(J252,LMH_KEY,0)),0),IFERROR(INDEX(LMH_PTS,MATCH(K252,LMH_KEY,0)),0),IFERROR(INDEX(LMH_PTS,MATCH(L252,LMH_KEY,0)),0),IFERROR(INDEX(LMH_PTS,MATCH(M252,LMH_KEY,0)),0),IFERROR(INDEX(LMH_PTS,MATCH(N252,LMH_KEY,0)),0),IFERROR(INDEX(LMH_PTS,MATCH(O252,LMH_KEY,0)),0),IFERROR(INDEX(LMH_PTS,MATCH(P252,LMH_KEY,0)),0)),""))</f>
        <v>0.0588235294117647</v>
      </c>
      <c r="T252" s="74">
        <f>IF(M252="","",IFERROR(INDEX(LMH_PTS,MATCH(M252,LMH_KEY,0))/SUM(IFERROR(INDEX(LMH_PTS,MATCH(J252,LMH_KEY,0)),0),IFERROR(INDEX(LMH_PTS,MATCH(K252,LMH_KEY,0)),0),IFERROR(INDEX(LMH_PTS,MATCH(L252,LMH_KEY,0)),0),IFERROR(INDEX(LMH_PTS,MATCH(M252,LMH_KEY,0)),0),IFERROR(INDEX(LMH_PTS,MATCH(N252,LMH_KEY,0)),0),IFERROR(INDEX(LMH_PTS,MATCH(O252,LMH_KEY,0)),0),IFERROR(INDEX(LMH_PTS,MATCH(P252,LMH_KEY,0)),0)),""))</f>
        <v>0.0588235294117647</v>
      </c>
      <c r="U252" s="74">
        <f>IF(N252="","",IFERROR(INDEX(LMH_PTS,MATCH(N252,LMH_KEY,0))/SUM(IFERROR(INDEX(LMH_PTS,MATCH(J252,LMH_KEY,0)),0),IFERROR(INDEX(LMH_PTS,MATCH(K252,LMH_KEY,0)),0),IFERROR(INDEX(LMH_PTS,MATCH(L252,LMH_KEY,0)),0),IFERROR(INDEX(LMH_PTS,MATCH(M252,LMH_KEY,0)),0),IFERROR(INDEX(LMH_PTS,MATCH(N252,LMH_KEY,0)),0),IFERROR(INDEX(LMH_PTS,MATCH(O252,LMH_KEY,0)),0),IFERROR(INDEX(LMH_PTS,MATCH(P252,LMH_KEY,0)),0)),""))</f>
        <v>0.0588235294117647</v>
      </c>
      <c r="V252" s="74">
        <f>IF(O252="","",IFERROR(INDEX(LMH_PTS,MATCH(O252,LMH_KEY,0))/SUM(IFERROR(INDEX(LMH_PTS,MATCH(J252,LMH_KEY,0)),0),IFERROR(INDEX(LMH_PTS,MATCH(K252,LMH_KEY,0)),0),IFERROR(INDEX(LMH_PTS,MATCH(L252,LMH_KEY,0)),0),IFERROR(INDEX(LMH_PTS,MATCH(M252,LMH_KEY,0)),0),IFERROR(INDEX(LMH_PTS,MATCH(N252,LMH_KEY,0)),0),IFERROR(INDEX(LMH_PTS,MATCH(O252,LMH_KEY,0)),0),IFERROR(INDEX(LMH_PTS,MATCH(P252,LMH_KEY,0)),0)),""))</f>
        <v>0.0588235294117647</v>
      </c>
      <c r="W252" s="74">
        <f>IF(P252="","",IFERROR(INDEX(LMH_PTS,MATCH(P252,LMH_KEY,0))/SUM(IFERROR(INDEX(LMH_PTS,MATCH(J252,LMH_KEY,0)),0),IFERROR(INDEX(LMH_PTS,MATCH(K252,LMH_KEY,0)),0),IFERROR(INDEX(LMH_PTS,MATCH(L252,LMH_KEY,0)),0),IFERROR(INDEX(LMH_PTS,MATCH(M252,LMH_KEY,0)),0),IFERROR(INDEX(LMH_PTS,MATCH(N252,LMH_KEY,0)),0),IFERROR(INDEX(LMH_PTS,MATCH(O252,LMH_KEY,0)),0),IFERROR(INDEX(LMH_PTS,MATCH(P252,LMH_KEY,0)),0)),""))</f>
        <v>0.0588235294117647</v>
      </c>
      <c r="X252" s="44" t="n"/>
      <c r="Y252" s="38" t="inlineStr">
        <is>
          <t>iDEAL|Technology|Senior Software Engineer|A3|A</t>
        </is>
      </c>
    </row>
    <row r="253" ht="18" customHeight="1">
      <c r="A253" s="28" t="inlineStr">
        <is>
          <t>iDEAL</t>
        </is>
      </c>
      <c r="B253" s="29" t="inlineStr">
        <is>
          <t>Technology</t>
        </is>
      </c>
      <c r="C253" s="75" t="inlineStr">
        <is>
          <t>A3</t>
        </is>
      </c>
      <c r="D253" s="29" t="inlineStr">
        <is>
          <t>Band A · Practitioner</t>
        </is>
      </c>
      <c r="E253" s="29" t="inlineStr">
        <is>
          <t>Senior Support Executive</t>
        </is>
      </c>
      <c r="F253" s="29" t="inlineStr">
        <is>
          <t>Band A · all tracks</t>
        </is>
      </c>
      <c r="G253" s="29" t="inlineStr">
        <is>
          <t>Customer Success &amp; Support</t>
        </is>
      </c>
      <c r="H253" s="29" t="n">
        <v>1</v>
      </c>
      <c r="I253" s="29" t="inlineStr">
        <is>
          <t>Nidhi Kulkarni</t>
        </is>
      </c>
      <c r="J253" s="34" t="str">
        <f>IFERROR(INDEX(RBD_C,MATCH("Customer Success &amp; Support|A3|A",RBD_KEY,0)),"M")</f>
        <v>H</v>
      </c>
      <c r="K253" s="35" t="str">
        <f>IFERROR(INDEX(RBD_Au,MATCH("Customer Success &amp; Support|A3|A",RBD_KEY,0)),"M")</f>
        <v>M</v>
      </c>
      <c r="L253" s="35" t="str">
        <f>IFERROR(INDEX(RBD_Ac,MATCH("Customer Success &amp; Support|A3|A",RBD_KEY,0)),"M")</f>
        <v>M</v>
      </c>
      <c r="M253" s="35" t="str">
        <f>IFERROR(INDEX(RBD_L,MATCH("Customer Success &amp; Support|A3|A",RBD_KEY,0)),"M")</f>
        <v>L</v>
      </c>
      <c r="N253" s="35" t="str">
        <f>IFERROR(INDEX(RBD_BI,MATCH("Customer Success &amp; Support|A3|A",RBD_KEY,0)),"M")</f>
        <v>M</v>
      </c>
      <c r="O253" s="35" t="str">
        <f>IFERROR(INDEX(RBD_Exp,MATCH("Customer Success &amp; Support|A3|A",RBD_KEY,0)),"M")</f>
        <v>L</v>
      </c>
      <c r="P253" s="35" t="str">
        <f>IFERROR(INDEX(RBD_Edu,MATCH("Customer Success &amp; Support|A3|A",RBD_KEY,0)),"M")</f>
        <v>L</v>
      </c>
      <c r="Q253" s="73">
        <f>IF(J253="","",IFERROR(INDEX(LMH_PTS,MATCH(J253,LMH_KEY,0))/SUM(IFERROR(INDEX(LMH_PTS,MATCH(J253,LMH_KEY,0)),0),IFERROR(INDEX(LMH_PTS,MATCH(K253,LMH_KEY,0)),0),IFERROR(INDEX(LMH_PTS,MATCH(L253,LMH_KEY,0)),0),IFERROR(INDEX(LMH_PTS,MATCH(M253,LMH_KEY,0)),0),IFERROR(INDEX(LMH_PTS,MATCH(N253,LMH_KEY,0)),0),IFERROR(INDEX(LMH_PTS,MATCH(O253,LMH_KEY,0)),0),IFERROR(INDEX(LMH_PTS,MATCH(P253,LMH_KEY,0)),0)),""))</f>
        <v>0.428571428571429</v>
      </c>
      <c r="R253" s="74">
        <f>IF(K253="","",IFERROR(INDEX(LMH_PTS,MATCH(K253,LMH_KEY,0))/SUM(IFERROR(INDEX(LMH_PTS,MATCH(J253,LMH_KEY,0)),0),IFERROR(INDEX(LMH_PTS,MATCH(K253,LMH_KEY,0)),0),IFERROR(INDEX(LMH_PTS,MATCH(L253,LMH_KEY,0)),0),IFERROR(INDEX(LMH_PTS,MATCH(M253,LMH_KEY,0)),0),IFERROR(INDEX(LMH_PTS,MATCH(N253,LMH_KEY,0)),0),IFERROR(INDEX(LMH_PTS,MATCH(O253,LMH_KEY,0)),0),IFERROR(INDEX(LMH_PTS,MATCH(P253,LMH_KEY,0)),0)),""))</f>
        <v>0.142857142857143</v>
      </c>
      <c r="S253" s="74">
        <f>IF(L253="","",IFERROR(INDEX(LMH_PTS,MATCH(L253,LMH_KEY,0))/SUM(IFERROR(INDEX(LMH_PTS,MATCH(J253,LMH_KEY,0)),0),IFERROR(INDEX(LMH_PTS,MATCH(K253,LMH_KEY,0)),0),IFERROR(INDEX(LMH_PTS,MATCH(L253,LMH_KEY,0)),0),IFERROR(INDEX(LMH_PTS,MATCH(M253,LMH_KEY,0)),0),IFERROR(INDEX(LMH_PTS,MATCH(N253,LMH_KEY,0)),0),IFERROR(INDEX(LMH_PTS,MATCH(O253,LMH_KEY,0)),0),IFERROR(INDEX(LMH_PTS,MATCH(P253,LMH_KEY,0)),0)),""))</f>
        <v>0.142857142857143</v>
      </c>
      <c r="T253" s="74">
        <f>IF(M253="","",IFERROR(INDEX(LMH_PTS,MATCH(M253,LMH_KEY,0))/SUM(IFERROR(INDEX(LMH_PTS,MATCH(J253,LMH_KEY,0)),0),IFERROR(INDEX(LMH_PTS,MATCH(K253,LMH_KEY,0)),0),IFERROR(INDEX(LMH_PTS,MATCH(L253,LMH_KEY,0)),0),IFERROR(INDEX(LMH_PTS,MATCH(M253,LMH_KEY,0)),0),IFERROR(INDEX(LMH_PTS,MATCH(N253,LMH_KEY,0)),0),IFERROR(INDEX(LMH_PTS,MATCH(O253,LMH_KEY,0)),0),IFERROR(INDEX(LMH_PTS,MATCH(P253,LMH_KEY,0)),0)),""))</f>
        <v>0.0476190476190476</v>
      </c>
      <c r="U253" s="74">
        <f>IF(N253="","",IFERROR(INDEX(LMH_PTS,MATCH(N253,LMH_KEY,0))/SUM(IFERROR(INDEX(LMH_PTS,MATCH(J253,LMH_KEY,0)),0),IFERROR(INDEX(LMH_PTS,MATCH(K253,LMH_KEY,0)),0),IFERROR(INDEX(LMH_PTS,MATCH(L253,LMH_KEY,0)),0),IFERROR(INDEX(LMH_PTS,MATCH(M253,LMH_KEY,0)),0),IFERROR(INDEX(LMH_PTS,MATCH(N253,LMH_KEY,0)),0),IFERROR(INDEX(LMH_PTS,MATCH(O253,LMH_KEY,0)),0),IFERROR(INDEX(LMH_PTS,MATCH(P253,LMH_KEY,0)),0)),""))</f>
        <v>0.142857142857143</v>
      </c>
      <c r="V253" s="74">
        <f>IF(O253="","",IFERROR(INDEX(LMH_PTS,MATCH(O253,LMH_KEY,0))/SUM(IFERROR(INDEX(LMH_PTS,MATCH(J253,LMH_KEY,0)),0),IFERROR(INDEX(LMH_PTS,MATCH(K253,LMH_KEY,0)),0),IFERROR(INDEX(LMH_PTS,MATCH(L253,LMH_KEY,0)),0),IFERROR(INDEX(LMH_PTS,MATCH(M253,LMH_KEY,0)),0),IFERROR(INDEX(LMH_PTS,MATCH(N253,LMH_KEY,0)),0),IFERROR(INDEX(LMH_PTS,MATCH(O253,LMH_KEY,0)),0),IFERROR(INDEX(LMH_PTS,MATCH(P253,LMH_KEY,0)),0)),""))</f>
        <v>0.0476190476190476</v>
      </c>
      <c r="W253" s="74">
        <f>IF(P253="","",IFERROR(INDEX(LMH_PTS,MATCH(P253,LMH_KEY,0))/SUM(IFERROR(INDEX(LMH_PTS,MATCH(J253,LMH_KEY,0)),0),IFERROR(INDEX(LMH_PTS,MATCH(K253,LMH_KEY,0)),0),IFERROR(INDEX(LMH_PTS,MATCH(L253,LMH_KEY,0)),0),IFERROR(INDEX(LMH_PTS,MATCH(M253,LMH_KEY,0)),0),IFERROR(INDEX(LMH_PTS,MATCH(N253,LMH_KEY,0)),0),IFERROR(INDEX(LMH_PTS,MATCH(O253,LMH_KEY,0)),0),IFERROR(INDEX(LMH_PTS,MATCH(P253,LMH_KEY,0)),0)),""))</f>
        <v>0.0476190476190476</v>
      </c>
      <c r="X253" s="44" t="n"/>
      <c r="Y253" s="38" t="inlineStr">
        <is>
          <t>iDEAL|Technology|Senior Support Executive|A3|A</t>
        </is>
      </c>
    </row>
    <row r="254" ht="18" customHeight="1">
      <c r="A254" s="28" t="inlineStr">
        <is>
          <t>iDEAL</t>
        </is>
      </c>
      <c r="B254" s="29" t="inlineStr">
        <is>
          <t>Technology</t>
        </is>
      </c>
      <c r="C254" s="75" t="inlineStr">
        <is>
          <t>A3</t>
        </is>
      </c>
      <c r="D254" s="29" t="inlineStr">
        <is>
          <t>Band A · Practitioner</t>
        </is>
      </c>
      <c r="E254" s="29" t="inlineStr">
        <is>
          <t>Support Specialist</t>
        </is>
      </c>
      <c r="F254" s="29" t="inlineStr">
        <is>
          <t>Band A · all tracks</t>
        </is>
      </c>
      <c r="G254" s="29" t="inlineStr">
        <is>
          <t>Customer Success &amp; Support</t>
        </is>
      </c>
      <c r="H254" s="29" t="n">
        <v>1</v>
      </c>
      <c r="I254" s="29" t="inlineStr">
        <is>
          <t>Shreekanth Samala</t>
        </is>
      </c>
      <c r="J254" s="34" t="str">
        <f>IFERROR(INDEX(RBD_C,MATCH("Customer Success &amp; Support|A3|A",RBD_KEY,0)),"M")</f>
        <v>H</v>
      </c>
      <c r="K254" s="35" t="str">
        <f>IFERROR(INDEX(RBD_Au,MATCH("Customer Success &amp; Support|A3|A",RBD_KEY,0)),"M")</f>
        <v>M</v>
      </c>
      <c r="L254" s="35" t="str">
        <f>IFERROR(INDEX(RBD_Ac,MATCH("Customer Success &amp; Support|A3|A",RBD_KEY,0)),"M")</f>
        <v>M</v>
      </c>
      <c r="M254" s="35" t="str">
        <f>IFERROR(INDEX(RBD_L,MATCH("Customer Success &amp; Support|A3|A",RBD_KEY,0)),"M")</f>
        <v>L</v>
      </c>
      <c r="N254" s="35" t="str">
        <f>IFERROR(INDEX(RBD_BI,MATCH("Customer Success &amp; Support|A3|A",RBD_KEY,0)),"M")</f>
        <v>M</v>
      </c>
      <c r="O254" s="35" t="str">
        <f>IFERROR(INDEX(RBD_Exp,MATCH("Customer Success &amp; Support|A3|A",RBD_KEY,0)),"M")</f>
        <v>L</v>
      </c>
      <c r="P254" s="35" t="str">
        <f>IFERROR(INDEX(RBD_Edu,MATCH("Customer Success &amp; Support|A3|A",RBD_KEY,0)),"M")</f>
        <v>L</v>
      </c>
      <c r="Q254" s="73">
        <f>IF(J254="","",IFERROR(INDEX(LMH_PTS,MATCH(J254,LMH_KEY,0))/SUM(IFERROR(INDEX(LMH_PTS,MATCH(J254,LMH_KEY,0)),0),IFERROR(INDEX(LMH_PTS,MATCH(K254,LMH_KEY,0)),0),IFERROR(INDEX(LMH_PTS,MATCH(L254,LMH_KEY,0)),0),IFERROR(INDEX(LMH_PTS,MATCH(M254,LMH_KEY,0)),0),IFERROR(INDEX(LMH_PTS,MATCH(N254,LMH_KEY,0)),0),IFERROR(INDEX(LMH_PTS,MATCH(O254,LMH_KEY,0)),0),IFERROR(INDEX(LMH_PTS,MATCH(P254,LMH_KEY,0)),0)),""))</f>
        <v>0.428571428571429</v>
      </c>
      <c r="R254" s="74">
        <f>IF(K254="","",IFERROR(INDEX(LMH_PTS,MATCH(K254,LMH_KEY,0))/SUM(IFERROR(INDEX(LMH_PTS,MATCH(J254,LMH_KEY,0)),0),IFERROR(INDEX(LMH_PTS,MATCH(K254,LMH_KEY,0)),0),IFERROR(INDEX(LMH_PTS,MATCH(L254,LMH_KEY,0)),0),IFERROR(INDEX(LMH_PTS,MATCH(M254,LMH_KEY,0)),0),IFERROR(INDEX(LMH_PTS,MATCH(N254,LMH_KEY,0)),0),IFERROR(INDEX(LMH_PTS,MATCH(O254,LMH_KEY,0)),0),IFERROR(INDEX(LMH_PTS,MATCH(P254,LMH_KEY,0)),0)),""))</f>
        <v>0.142857142857143</v>
      </c>
      <c r="S254" s="74">
        <f>IF(L254="","",IFERROR(INDEX(LMH_PTS,MATCH(L254,LMH_KEY,0))/SUM(IFERROR(INDEX(LMH_PTS,MATCH(J254,LMH_KEY,0)),0),IFERROR(INDEX(LMH_PTS,MATCH(K254,LMH_KEY,0)),0),IFERROR(INDEX(LMH_PTS,MATCH(L254,LMH_KEY,0)),0),IFERROR(INDEX(LMH_PTS,MATCH(M254,LMH_KEY,0)),0),IFERROR(INDEX(LMH_PTS,MATCH(N254,LMH_KEY,0)),0),IFERROR(INDEX(LMH_PTS,MATCH(O254,LMH_KEY,0)),0),IFERROR(INDEX(LMH_PTS,MATCH(P254,LMH_KEY,0)),0)),""))</f>
        <v>0.142857142857143</v>
      </c>
      <c r="T254" s="74">
        <f>IF(M254="","",IFERROR(INDEX(LMH_PTS,MATCH(M254,LMH_KEY,0))/SUM(IFERROR(INDEX(LMH_PTS,MATCH(J254,LMH_KEY,0)),0),IFERROR(INDEX(LMH_PTS,MATCH(K254,LMH_KEY,0)),0),IFERROR(INDEX(LMH_PTS,MATCH(L254,LMH_KEY,0)),0),IFERROR(INDEX(LMH_PTS,MATCH(M254,LMH_KEY,0)),0),IFERROR(INDEX(LMH_PTS,MATCH(N254,LMH_KEY,0)),0),IFERROR(INDEX(LMH_PTS,MATCH(O254,LMH_KEY,0)),0),IFERROR(INDEX(LMH_PTS,MATCH(P254,LMH_KEY,0)),0)),""))</f>
        <v>0.0476190476190476</v>
      </c>
      <c r="U254" s="74">
        <f>IF(N254="","",IFERROR(INDEX(LMH_PTS,MATCH(N254,LMH_KEY,0))/SUM(IFERROR(INDEX(LMH_PTS,MATCH(J254,LMH_KEY,0)),0),IFERROR(INDEX(LMH_PTS,MATCH(K254,LMH_KEY,0)),0),IFERROR(INDEX(LMH_PTS,MATCH(L254,LMH_KEY,0)),0),IFERROR(INDEX(LMH_PTS,MATCH(M254,LMH_KEY,0)),0),IFERROR(INDEX(LMH_PTS,MATCH(N254,LMH_KEY,0)),0),IFERROR(INDEX(LMH_PTS,MATCH(O254,LMH_KEY,0)),0),IFERROR(INDEX(LMH_PTS,MATCH(P254,LMH_KEY,0)),0)),""))</f>
        <v>0.142857142857143</v>
      </c>
      <c r="V254" s="74">
        <f>IF(O254="","",IFERROR(INDEX(LMH_PTS,MATCH(O254,LMH_KEY,0))/SUM(IFERROR(INDEX(LMH_PTS,MATCH(J254,LMH_KEY,0)),0),IFERROR(INDEX(LMH_PTS,MATCH(K254,LMH_KEY,0)),0),IFERROR(INDEX(LMH_PTS,MATCH(L254,LMH_KEY,0)),0),IFERROR(INDEX(LMH_PTS,MATCH(M254,LMH_KEY,0)),0),IFERROR(INDEX(LMH_PTS,MATCH(N254,LMH_KEY,0)),0),IFERROR(INDEX(LMH_PTS,MATCH(O254,LMH_KEY,0)),0),IFERROR(INDEX(LMH_PTS,MATCH(P254,LMH_KEY,0)),0)),""))</f>
        <v>0.0476190476190476</v>
      </c>
      <c r="W254" s="74">
        <f>IF(P254="","",IFERROR(INDEX(LMH_PTS,MATCH(P254,LMH_KEY,0))/SUM(IFERROR(INDEX(LMH_PTS,MATCH(J254,LMH_KEY,0)),0),IFERROR(INDEX(LMH_PTS,MATCH(K254,LMH_KEY,0)),0),IFERROR(INDEX(LMH_PTS,MATCH(L254,LMH_KEY,0)),0),IFERROR(INDEX(LMH_PTS,MATCH(M254,LMH_KEY,0)),0),IFERROR(INDEX(LMH_PTS,MATCH(N254,LMH_KEY,0)),0),IFERROR(INDEX(LMH_PTS,MATCH(O254,LMH_KEY,0)),0),IFERROR(INDEX(LMH_PTS,MATCH(P254,LMH_KEY,0)),0)),""))</f>
        <v>0.0476190476190476</v>
      </c>
      <c r="X254" s="44" t="n"/>
      <c r="Y254" s="38" t="inlineStr">
        <is>
          <t>iDEAL|Technology|Support Specialist|A3|A</t>
        </is>
      </c>
    </row>
    <row r="255" ht="18" customHeight="1">
      <c r="A255" s="28" t="inlineStr">
        <is>
          <t>iDEAL</t>
        </is>
      </c>
      <c r="B255" s="29" t="inlineStr">
        <is>
          <t>Technology</t>
        </is>
      </c>
      <c r="C255" s="75" t="inlineStr">
        <is>
          <t>A3</t>
        </is>
      </c>
      <c r="D255" s="29" t="inlineStr">
        <is>
          <t>Band A · Practitioner</t>
        </is>
      </c>
      <c r="E255" s="29" t="inlineStr">
        <is>
          <t>Technical Specialist</t>
        </is>
      </c>
      <c r="F255" s="29" t="inlineStr">
        <is>
          <t>Band A · all tracks</t>
        </is>
      </c>
      <c r="G255" s="29" t="inlineStr">
        <is>
          <t>Engineering &amp; Development</t>
        </is>
      </c>
      <c r="H255" s="29" t="n">
        <v>1</v>
      </c>
      <c r="I255" s="29" t="inlineStr">
        <is>
          <t>Jay Gudhka</t>
        </is>
      </c>
      <c r="J255" s="34" t="str">
        <f>IFERROR(INDEX(RBD_C,MATCH("Engineering &amp; Development|A3|A",RBD_KEY,0)),"M")</f>
        <v>H</v>
      </c>
      <c r="K255" s="35" t="str">
        <f>IFERROR(INDEX(RBD_Au,MATCH("Engineering &amp; Development|A3|A",RBD_KEY,0)),"M")</f>
        <v>M</v>
      </c>
      <c r="L255" s="35" t="str">
        <f>IFERROR(INDEX(RBD_Ac,MATCH("Engineering &amp; Development|A3|A",RBD_KEY,0)),"M")</f>
        <v>L</v>
      </c>
      <c r="M255" s="35" t="str">
        <f>IFERROR(INDEX(RBD_L,MATCH("Engineering &amp; Development|A3|A",RBD_KEY,0)),"M")</f>
        <v>L</v>
      </c>
      <c r="N255" s="35" t="str">
        <f>IFERROR(INDEX(RBD_BI,MATCH("Engineering &amp; Development|A3|A",RBD_KEY,0)),"M")</f>
        <v>L</v>
      </c>
      <c r="O255" s="35" t="str">
        <f>IFERROR(INDEX(RBD_Exp,MATCH("Engineering &amp; Development|A3|A",RBD_KEY,0)),"M")</f>
        <v>L</v>
      </c>
      <c r="P255" s="35" t="str">
        <f>IFERROR(INDEX(RBD_Edu,MATCH("Engineering &amp; Development|A3|A",RBD_KEY,0)),"M")</f>
        <v>L</v>
      </c>
      <c r="Q255" s="73">
        <f>IF(J255="","",IFERROR(INDEX(LMH_PTS,MATCH(J255,LMH_KEY,0))/SUM(IFERROR(INDEX(LMH_PTS,MATCH(J255,LMH_KEY,0)),0),IFERROR(INDEX(LMH_PTS,MATCH(K255,LMH_KEY,0)),0),IFERROR(INDEX(LMH_PTS,MATCH(L255,LMH_KEY,0)),0),IFERROR(INDEX(LMH_PTS,MATCH(M255,LMH_KEY,0)),0),IFERROR(INDEX(LMH_PTS,MATCH(N255,LMH_KEY,0)),0),IFERROR(INDEX(LMH_PTS,MATCH(O255,LMH_KEY,0)),0),IFERROR(INDEX(LMH_PTS,MATCH(P255,LMH_KEY,0)),0)),""))</f>
        <v>0.529411764705882</v>
      </c>
      <c r="R255" s="74">
        <f>IF(K255="","",IFERROR(INDEX(LMH_PTS,MATCH(K255,LMH_KEY,0))/SUM(IFERROR(INDEX(LMH_PTS,MATCH(J255,LMH_KEY,0)),0),IFERROR(INDEX(LMH_PTS,MATCH(K255,LMH_KEY,0)),0),IFERROR(INDEX(LMH_PTS,MATCH(L255,LMH_KEY,0)),0),IFERROR(INDEX(LMH_PTS,MATCH(M255,LMH_KEY,0)),0),IFERROR(INDEX(LMH_PTS,MATCH(N255,LMH_KEY,0)),0),IFERROR(INDEX(LMH_PTS,MATCH(O255,LMH_KEY,0)),0),IFERROR(INDEX(LMH_PTS,MATCH(P255,LMH_KEY,0)),0)),""))</f>
        <v>0.176470588235294</v>
      </c>
      <c r="S255" s="74">
        <f>IF(L255="","",IFERROR(INDEX(LMH_PTS,MATCH(L255,LMH_KEY,0))/SUM(IFERROR(INDEX(LMH_PTS,MATCH(J255,LMH_KEY,0)),0),IFERROR(INDEX(LMH_PTS,MATCH(K255,LMH_KEY,0)),0),IFERROR(INDEX(LMH_PTS,MATCH(L255,LMH_KEY,0)),0),IFERROR(INDEX(LMH_PTS,MATCH(M255,LMH_KEY,0)),0),IFERROR(INDEX(LMH_PTS,MATCH(N255,LMH_KEY,0)),0),IFERROR(INDEX(LMH_PTS,MATCH(O255,LMH_KEY,0)),0),IFERROR(INDEX(LMH_PTS,MATCH(P255,LMH_KEY,0)),0)),""))</f>
        <v>0.0588235294117647</v>
      </c>
      <c r="T255" s="74">
        <f>IF(M255="","",IFERROR(INDEX(LMH_PTS,MATCH(M255,LMH_KEY,0))/SUM(IFERROR(INDEX(LMH_PTS,MATCH(J255,LMH_KEY,0)),0),IFERROR(INDEX(LMH_PTS,MATCH(K255,LMH_KEY,0)),0),IFERROR(INDEX(LMH_PTS,MATCH(L255,LMH_KEY,0)),0),IFERROR(INDEX(LMH_PTS,MATCH(M255,LMH_KEY,0)),0),IFERROR(INDEX(LMH_PTS,MATCH(N255,LMH_KEY,0)),0),IFERROR(INDEX(LMH_PTS,MATCH(O255,LMH_KEY,0)),0),IFERROR(INDEX(LMH_PTS,MATCH(P255,LMH_KEY,0)),0)),""))</f>
        <v>0.0588235294117647</v>
      </c>
      <c r="U255" s="74">
        <f>IF(N255="","",IFERROR(INDEX(LMH_PTS,MATCH(N255,LMH_KEY,0))/SUM(IFERROR(INDEX(LMH_PTS,MATCH(J255,LMH_KEY,0)),0),IFERROR(INDEX(LMH_PTS,MATCH(K255,LMH_KEY,0)),0),IFERROR(INDEX(LMH_PTS,MATCH(L255,LMH_KEY,0)),0),IFERROR(INDEX(LMH_PTS,MATCH(M255,LMH_KEY,0)),0),IFERROR(INDEX(LMH_PTS,MATCH(N255,LMH_KEY,0)),0),IFERROR(INDEX(LMH_PTS,MATCH(O255,LMH_KEY,0)),0),IFERROR(INDEX(LMH_PTS,MATCH(P255,LMH_KEY,0)),0)),""))</f>
        <v>0.0588235294117647</v>
      </c>
      <c r="V255" s="74">
        <f>IF(O255="","",IFERROR(INDEX(LMH_PTS,MATCH(O255,LMH_KEY,0))/SUM(IFERROR(INDEX(LMH_PTS,MATCH(J255,LMH_KEY,0)),0),IFERROR(INDEX(LMH_PTS,MATCH(K255,LMH_KEY,0)),0),IFERROR(INDEX(LMH_PTS,MATCH(L255,LMH_KEY,0)),0),IFERROR(INDEX(LMH_PTS,MATCH(M255,LMH_KEY,0)),0),IFERROR(INDEX(LMH_PTS,MATCH(N255,LMH_KEY,0)),0),IFERROR(INDEX(LMH_PTS,MATCH(O255,LMH_KEY,0)),0),IFERROR(INDEX(LMH_PTS,MATCH(P255,LMH_KEY,0)),0)),""))</f>
        <v>0.0588235294117647</v>
      </c>
      <c r="W255" s="74">
        <f>IF(P255="","",IFERROR(INDEX(LMH_PTS,MATCH(P255,LMH_KEY,0))/SUM(IFERROR(INDEX(LMH_PTS,MATCH(J255,LMH_KEY,0)),0),IFERROR(INDEX(LMH_PTS,MATCH(K255,LMH_KEY,0)),0),IFERROR(INDEX(LMH_PTS,MATCH(L255,LMH_KEY,0)),0),IFERROR(INDEX(LMH_PTS,MATCH(M255,LMH_KEY,0)),0),IFERROR(INDEX(LMH_PTS,MATCH(N255,LMH_KEY,0)),0),IFERROR(INDEX(LMH_PTS,MATCH(O255,LMH_KEY,0)),0),IFERROR(INDEX(LMH_PTS,MATCH(P255,LMH_KEY,0)),0)),""))</f>
        <v>0.0588235294117647</v>
      </c>
      <c r="X255" s="44" t="n"/>
      <c r="Y255" s="38" t="inlineStr">
        <is>
          <t>iDEAL|Technology|Technical Specialist|A3|A</t>
        </is>
      </c>
    </row>
    <row r="256" ht="28" customHeight="1">
      <c r="A256" s="28" t="inlineStr">
        <is>
          <t>iDEAL</t>
        </is>
      </c>
      <c r="B256" s="29" t="inlineStr">
        <is>
          <t>Technology</t>
        </is>
      </c>
      <c r="C256" s="75" t="inlineStr">
        <is>
          <t>A2</t>
        </is>
      </c>
      <c r="D256" s="29" t="inlineStr">
        <is>
          <t>Band A · Practitioner</t>
        </is>
      </c>
      <c r="E256" s="29" t="inlineStr">
        <is>
          <t>Software Engineer</t>
        </is>
      </c>
      <c r="F256" s="29" t="inlineStr">
        <is>
          <t>Band A · all tracks</t>
        </is>
      </c>
      <c r="G256" s="29" t="inlineStr">
        <is>
          <t>Engineering &amp; Development</t>
        </is>
      </c>
      <c r="H256" s="29" t="n">
        <v>2</v>
      </c>
      <c r="I256" s="29" t="inlineStr">
        <is>
          <t>Abhay Pandey, Sumeet Laxman Kurdia</t>
        </is>
      </c>
      <c r="J256" s="34" t="str">
        <f>IFERROR(INDEX(RBD_C,MATCH("Engineering &amp; Development|A2|A",RBD_KEY,0)),"M")</f>
        <v>H</v>
      </c>
      <c r="K256" s="35" t="str">
        <f>IFERROR(INDEX(RBD_Au,MATCH("Engineering &amp; Development|A2|A",RBD_KEY,0)),"M")</f>
        <v>M</v>
      </c>
      <c r="L256" s="35" t="str">
        <f>IFERROR(INDEX(RBD_Ac,MATCH("Engineering &amp; Development|A2|A",RBD_KEY,0)),"M")</f>
        <v>L</v>
      </c>
      <c r="M256" s="35" t="str">
        <f>IFERROR(INDEX(RBD_L,MATCH("Engineering &amp; Development|A2|A",RBD_KEY,0)),"M")</f>
        <v>L</v>
      </c>
      <c r="N256" s="35" t="str">
        <f>IFERROR(INDEX(RBD_BI,MATCH("Engineering &amp; Development|A2|A",RBD_KEY,0)),"M")</f>
        <v>L</v>
      </c>
      <c r="O256" s="35" t="str">
        <f>IFERROR(INDEX(RBD_Exp,MATCH("Engineering &amp; Development|A2|A",RBD_KEY,0)),"M")</f>
        <v>L</v>
      </c>
      <c r="P256" s="35" t="str">
        <f>IFERROR(INDEX(RBD_Edu,MATCH("Engineering &amp; Development|A2|A",RBD_KEY,0)),"M")</f>
        <v>L</v>
      </c>
      <c r="Q256" s="73">
        <f>IF(J256="","",IFERROR(INDEX(LMH_PTS,MATCH(J256,LMH_KEY,0))/SUM(IFERROR(INDEX(LMH_PTS,MATCH(J256,LMH_KEY,0)),0),IFERROR(INDEX(LMH_PTS,MATCH(K256,LMH_KEY,0)),0),IFERROR(INDEX(LMH_PTS,MATCH(L256,LMH_KEY,0)),0),IFERROR(INDEX(LMH_PTS,MATCH(M256,LMH_KEY,0)),0),IFERROR(INDEX(LMH_PTS,MATCH(N256,LMH_KEY,0)),0),IFERROR(INDEX(LMH_PTS,MATCH(O256,LMH_KEY,0)),0),IFERROR(INDEX(LMH_PTS,MATCH(P256,LMH_KEY,0)),0)),""))</f>
        <v>0.529411764705882</v>
      </c>
      <c r="R256" s="74">
        <f>IF(K256="","",IFERROR(INDEX(LMH_PTS,MATCH(K256,LMH_KEY,0))/SUM(IFERROR(INDEX(LMH_PTS,MATCH(J256,LMH_KEY,0)),0),IFERROR(INDEX(LMH_PTS,MATCH(K256,LMH_KEY,0)),0),IFERROR(INDEX(LMH_PTS,MATCH(L256,LMH_KEY,0)),0),IFERROR(INDEX(LMH_PTS,MATCH(M256,LMH_KEY,0)),0),IFERROR(INDEX(LMH_PTS,MATCH(N256,LMH_KEY,0)),0),IFERROR(INDEX(LMH_PTS,MATCH(O256,LMH_KEY,0)),0),IFERROR(INDEX(LMH_PTS,MATCH(P256,LMH_KEY,0)),0)),""))</f>
        <v>0.176470588235294</v>
      </c>
      <c r="S256" s="74">
        <f>IF(L256="","",IFERROR(INDEX(LMH_PTS,MATCH(L256,LMH_KEY,0))/SUM(IFERROR(INDEX(LMH_PTS,MATCH(J256,LMH_KEY,0)),0),IFERROR(INDEX(LMH_PTS,MATCH(K256,LMH_KEY,0)),0),IFERROR(INDEX(LMH_PTS,MATCH(L256,LMH_KEY,0)),0),IFERROR(INDEX(LMH_PTS,MATCH(M256,LMH_KEY,0)),0),IFERROR(INDEX(LMH_PTS,MATCH(N256,LMH_KEY,0)),0),IFERROR(INDEX(LMH_PTS,MATCH(O256,LMH_KEY,0)),0),IFERROR(INDEX(LMH_PTS,MATCH(P256,LMH_KEY,0)),0)),""))</f>
        <v>0.0588235294117647</v>
      </c>
      <c r="T256" s="74">
        <f>IF(M256="","",IFERROR(INDEX(LMH_PTS,MATCH(M256,LMH_KEY,0))/SUM(IFERROR(INDEX(LMH_PTS,MATCH(J256,LMH_KEY,0)),0),IFERROR(INDEX(LMH_PTS,MATCH(K256,LMH_KEY,0)),0),IFERROR(INDEX(LMH_PTS,MATCH(L256,LMH_KEY,0)),0),IFERROR(INDEX(LMH_PTS,MATCH(M256,LMH_KEY,0)),0),IFERROR(INDEX(LMH_PTS,MATCH(N256,LMH_KEY,0)),0),IFERROR(INDEX(LMH_PTS,MATCH(O256,LMH_KEY,0)),0),IFERROR(INDEX(LMH_PTS,MATCH(P256,LMH_KEY,0)),0)),""))</f>
        <v>0.0588235294117647</v>
      </c>
      <c r="U256" s="74">
        <f>IF(N256="","",IFERROR(INDEX(LMH_PTS,MATCH(N256,LMH_KEY,0))/SUM(IFERROR(INDEX(LMH_PTS,MATCH(J256,LMH_KEY,0)),0),IFERROR(INDEX(LMH_PTS,MATCH(K256,LMH_KEY,0)),0),IFERROR(INDEX(LMH_PTS,MATCH(L256,LMH_KEY,0)),0),IFERROR(INDEX(LMH_PTS,MATCH(M256,LMH_KEY,0)),0),IFERROR(INDEX(LMH_PTS,MATCH(N256,LMH_KEY,0)),0),IFERROR(INDEX(LMH_PTS,MATCH(O256,LMH_KEY,0)),0),IFERROR(INDEX(LMH_PTS,MATCH(P256,LMH_KEY,0)),0)),""))</f>
        <v>0.0588235294117647</v>
      </c>
      <c r="V256" s="74">
        <f>IF(O256="","",IFERROR(INDEX(LMH_PTS,MATCH(O256,LMH_KEY,0))/SUM(IFERROR(INDEX(LMH_PTS,MATCH(J256,LMH_KEY,0)),0),IFERROR(INDEX(LMH_PTS,MATCH(K256,LMH_KEY,0)),0),IFERROR(INDEX(LMH_PTS,MATCH(L256,LMH_KEY,0)),0),IFERROR(INDEX(LMH_PTS,MATCH(M256,LMH_KEY,0)),0),IFERROR(INDEX(LMH_PTS,MATCH(N256,LMH_KEY,0)),0),IFERROR(INDEX(LMH_PTS,MATCH(O256,LMH_KEY,0)),0),IFERROR(INDEX(LMH_PTS,MATCH(P256,LMH_KEY,0)),0)),""))</f>
        <v>0.0588235294117647</v>
      </c>
      <c r="W256" s="74">
        <f>IF(P256="","",IFERROR(INDEX(LMH_PTS,MATCH(P256,LMH_KEY,0))/SUM(IFERROR(INDEX(LMH_PTS,MATCH(J256,LMH_KEY,0)),0),IFERROR(INDEX(LMH_PTS,MATCH(K256,LMH_KEY,0)),0),IFERROR(INDEX(LMH_PTS,MATCH(L256,LMH_KEY,0)),0),IFERROR(INDEX(LMH_PTS,MATCH(M256,LMH_KEY,0)),0),IFERROR(INDEX(LMH_PTS,MATCH(N256,LMH_KEY,0)),0),IFERROR(INDEX(LMH_PTS,MATCH(O256,LMH_KEY,0)),0),IFERROR(INDEX(LMH_PTS,MATCH(P256,LMH_KEY,0)),0)),""))</f>
        <v>0.0588235294117647</v>
      </c>
      <c r="X256" s="44" t="n"/>
      <c r="Y256" s="38" t="inlineStr">
        <is>
          <t>iDEAL|Technology|Software Engineer|A2|A</t>
        </is>
      </c>
    </row>
    <row r="257" ht="18" customHeight="1">
      <c r="A257" s="28" t="inlineStr">
        <is>
          <t>iDEAL</t>
        </is>
      </c>
      <c r="B257" s="29" t="inlineStr">
        <is>
          <t>Technology</t>
        </is>
      </c>
      <c r="C257" s="75" t="inlineStr">
        <is>
          <t>A2</t>
        </is>
      </c>
      <c r="D257" s="29" t="inlineStr">
        <is>
          <t>Band A · Practitioner</t>
        </is>
      </c>
      <c r="E257" s="29" t="inlineStr">
        <is>
          <t>Support Executive</t>
        </is>
      </c>
      <c r="F257" s="29" t="inlineStr">
        <is>
          <t>Band A · all tracks</t>
        </is>
      </c>
      <c r="G257" s="29" t="inlineStr">
        <is>
          <t>Customer Success &amp; Support</t>
        </is>
      </c>
      <c r="H257" s="29" t="n">
        <v>1</v>
      </c>
      <c r="I257" s="29" t="inlineStr">
        <is>
          <t>Hemand Thayil</t>
        </is>
      </c>
      <c r="J257" s="34" t="str">
        <f>IFERROR(INDEX(RBD_C,MATCH("Customer Success &amp; Support|A2|A",RBD_KEY,0)),"M")</f>
        <v>H</v>
      </c>
      <c r="K257" s="35" t="str">
        <f>IFERROR(INDEX(RBD_Au,MATCH("Customer Success &amp; Support|A2|A",RBD_KEY,0)),"M")</f>
        <v>M</v>
      </c>
      <c r="L257" s="35" t="str">
        <f>IFERROR(INDEX(RBD_Ac,MATCH("Customer Success &amp; Support|A2|A",RBD_KEY,0)),"M")</f>
        <v>M</v>
      </c>
      <c r="M257" s="35" t="str">
        <f>IFERROR(INDEX(RBD_L,MATCH("Customer Success &amp; Support|A2|A",RBD_KEY,0)),"M")</f>
        <v>L</v>
      </c>
      <c r="N257" s="35" t="str">
        <f>IFERROR(INDEX(RBD_BI,MATCH("Customer Success &amp; Support|A2|A",RBD_KEY,0)),"M")</f>
        <v>M</v>
      </c>
      <c r="O257" s="35" t="str">
        <f>IFERROR(INDEX(RBD_Exp,MATCH("Customer Success &amp; Support|A2|A",RBD_KEY,0)),"M")</f>
        <v>L</v>
      </c>
      <c r="P257" s="35" t="str">
        <f>IFERROR(INDEX(RBD_Edu,MATCH("Customer Success &amp; Support|A2|A",RBD_KEY,0)),"M")</f>
        <v>L</v>
      </c>
      <c r="Q257" s="73">
        <f>IF(J257="","",IFERROR(INDEX(LMH_PTS,MATCH(J257,LMH_KEY,0))/SUM(IFERROR(INDEX(LMH_PTS,MATCH(J257,LMH_KEY,0)),0),IFERROR(INDEX(LMH_PTS,MATCH(K257,LMH_KEY,0)),0),IFERROR(INDEX(LMH_PTS,MATCH(L257,LMH_KEY,0)),0),IFERROR(INDEX(LMH_PTS,MATCH(M257,LMH_KEY,0)),0),IFERROR(INDEX(LMH_PTS,MATCH(N257,LMH_KEY,0)),0),IFERROR(INDEX(LMH_PTS,MATCH(O257,LMH_KEY,0)),0),IFERROR(INDEX(LMH_PTS,MATCH(P257,LMH_KEY,0)),0)),""))</f>
        <v>0.428571428571429</v>
      </c>
      <c r="R257" s="74">
        <f>IF(K257="","",IFERROR(INDEX(LMH_PTS,MATCH(K257,LMH_KEY,0))/SUM(IFERROR(INDEX(LMH_PTS,MATCH(J257,LMH_KEY,0)),0),IFERROR(INDEX(LMH_PTS,MATCH(K257,LMH_KEY,0)),0),IFERROR(INDEX(LMH_PTS,MATCH(L257,LMH_KEY,0)),0),IFERROR(INDEX(LMH_PTS,MATCH(M257,LMH_KEY,0)),0),IFERROR(INDEX(LMH_PTS,MATCH(N257,LMH_KEY,0)),0),IFERROR(INDEX(LMH_PTS,MATCH(O257,LMH_KEY,0)),0),IFERROR(INDEX(LMH_PTS,MATCH(P257,LMH_KEY,0)),0)),""))</f>
        <v>0.142857142857143</v>
      </c>
      <c r="S257" s="74">
        <f>IF(L257="","",IFERROR(INDEX(LMH_PTS,MATCH(L257,LMH_KEY,0))/SUM(IFERROR(INDEX(LMH_PTS,MATCH(J257,LMH_KEY,0)),0),IFERROR(INDEX(LMH_PTS,MATCH(K257,LMH_KEY,0)),0),IFERROR(INDEX(LMH_PTS,MATCH(L257,LMH_KEY,0)),0),IFERROR(INDEX(LMH_PTS,MATCH(M257,LMH_KEY,0)),0),IFERROR(INDEX(LMH_PTS,MATCH(N257,LMH_KEY,0)),0),IFERROR(INDEX(LMH_PTS,MATCH(O257,LMH_KEY,0)),0),IFERROR(INDEX(LMH_PTS,MATCH(P257,LMH_KEY,0)),0)),""))</f>
        <v>0.142857142857143</v>
      </c>
      <c r="T257" s="74">
        <f>IF(M257="","",IFERROR(INDEX(LMH_PTS,MATCH(M257,LMH_KEY,0))/SUM(IFERROR(INDEX(LMH_PTS,MATCH(J257,LMH_KEY,0)),0),IFERROR(INDEX(LMH_PTS,MATCH(K257,LMH_KEY,0)),0),IFERROR(INDEX(LMH_PTS,MATCH(L257,LMH_KEY,0)),0),IFERROR(INDEX(LMH_PTS,MATCH(M257,LMH_KEY,0)),0),IFERROR(INDEX(LMH_PTS,MATCH(N257,LMH_KEY,0)),0),IFERROR(INDEX(LMH_PTS,MATCH(O257,LMH_KEY,0)),0),IFERROR(INDEX(LMH_PTS,MATCH(P257,LMH_KEY,0)),0)),""))</f>
        <v>0.0476190476190476</v>
      </c>
      <c r="U257" s="74">
        <f>IF(N257="","",IFERROR(INDEX(LMH_PTS,MATCH(N257,LMH_KEY,0))/SUM(IFERROR(INDEX(LMH_PTS,MATCH(J257,LMH_KEY,0)),0),IFERROR(INDEX(LMH_PTS,MATCH(K257,LMH_KEY,0)),0),IFERROR(INDEX(LMH_PTS,MATCH(L257,LMH_KEY,0)),0),IFERROR(INDEX(LMH_PTS,MATCH(M257,LMH_KEY,0)),0),IFERROR(INDEX(LMH_PTS,MATCH(N257,LMH_KEY,0)),0),IFERROR(INDEX(LMH_PTS,MATCH(O257,LMH_KEY,0)),0),IFERROR(INDEX(LMH_PTS,MATCH(P257,LMH_KEY,0)),0)),""))</f>
        <v>0.142857142857143</v>
      </c>
      <c r="V257" s="74">
        <f>IF(O257="","",IFERROR(INDEX(LMH_PTS,MATCH(O257,LMH_KEY,0))/SUM(IFERROR(INDEX(LMH_PTS,MATCH(J257,LMH_KEY,0)),0),IFERROR(INDEX(LMH_PTS,MATCH(K257,LMH_KEY,0)),0),IFERROR(INDEX(LMH_PTS,MATCH(L257,LMH_KEY,0)),0),IFERROR(INDEX(LMH_PTS,MATCH(M257,LMH_KEY,0)),0),IFERROR(INDEX(LMH_PTS,MATCH(N257,LMH_KEY,0)),0),IFERROR(INDEX(LMH_PTS,MATCH(O257,LMH_KEY,0)),0),IFERROR(INDEX(LMH_PTS,MATCH(P257,LMH_KEY,0)),0)),""))</f>
        <v>0.0476190476190476</v>
      </c>
      <c r="W257" s="74">
        <f>IF(P257="","",IFERROR(INDEX(LMH_PTS,MATCH(P257,LMH_KEY,0))/SUM(IFERROR(INDEX(LMH_PTS,MATCH(J257,LMH_KEY,0)),0),IFERROR(INDEX(LMH_PTS,MATCH(K257,LMH_KEY,0)),0),IFERROR(INDEX(LMH_PTS,MATCH(L257,LMH_KEY,0)),0),IFERROR(INDEX(LMH_PTS,MATCH(M257,LMH_KEY,0)),0),IFERROR(INDEX(LMH_PTS,MATCH(N257,LMH_KEY,0)),0),IFERROR(INDEX(LMH_PTS,MATCH(O257,LMH_KEY,0)),0),IFERROR(INDEX(LMH_PTS,MATCH(P257,LMH_KEY,0)),0)),""))</f>
        <v>0.0476190476190476</v>
      </c>
      <c r="X257" s="44" t="n"/>
      <c r="Y257" s="38" t="inlineStr">
        <is>
          <t>iDEAL|Technology|Support Executive|A2|A</t>
        </is>
      </c>
    </row>
    <row r="258" ht="28" customHeight="1">
      <c r="A258" s="28" t="inlineStr">
        <is>
          <t>iDEAL</t>
        </is>
      </c>
      <c r="B258" s="29" t="inlineStr">
        <is>
          <t>Technology</t>
        </is>
      </c>
      <c r="C258" s="75" t="inlineStr">
        <is>
          <t>A1</t>
        </is>
      </c>
      <c r="D258" s="29" t="inlineStr">
        <is>
          <t>Band A · Practitioner</t>
        </is>
      </c>
      <c r="E258" s="29" t="inlineStr">
        <is>
          <t>Trainee Software Engineer</t>
        </is>
      </c>
      <c r="F258" s="29" t="inlineStr">
        <is>
          <t>Band A · all tracks</t>
        </is>
      </c>
      <c r="G258" s="29" t="inlineStr">
        <is>
          <t>Engineering &amp; Development</t>
        </is>
      </c>
      <c r="H258" s="29" t="n">
        <v>2</v>
      </c>
      <c r="I258" s="29" t="inlineStr">
        <is>
          <t>Atharv Sameer Shevade, Vinayak Dadasaheb Suryawanshi</t>
        </is>
      </c>
      <c r="J258" s="34" t="str">
        <f>IFERROR(INDEX(RBD_C,MATCH("Engineering &amp; Development|A1|A",RBD_KEY,0)),"M")</f>
        <v>H</v>
      </c>
      <c r="K258" s="35" t="str">
        <f>IFERROR(INDEX(RBD_Au,MATCH("Engineering &amp; Development|A1|A",RBD_KEY,0)),"M")</f>
        <v>M</v>
      </c>
      <c r="L258" s="35" t="str">
        <f>IFERROR(INDEX(RBD_Ac,MATCH("Engineering &amp; Development|A1|A",RBD_KEY,0)),"M")</f>
        <v>L</v>
      </c>
      <c r="M258" s="35" t="str">
        <f>IFERROR(INDEX(RBD_L,MATCH("Engineering &amp; Development|A1|A",RBD_KEY,0)),"M")</f>
        <v>L</v>
      </c>
      <c r="N258" s="35" t="str">
        <f>IFERROR(INDEX(RBD_BI,MATCH("Engineering &amp; Development|A1|A",RBD_KEY,0)),"M")</f>
        <v>L</v>
      </c>
      <c r="O258" s="35" t="str">
        <f>IFERROR(INDEX(RBD_Exp,MATCH("Engineering &amp; Development|A1|A",RBD_KEY,0)),"M")</f>
        <v>L</v>
      </c>
      <c r="P258" s="35" t="str">
        <f>IFERROR(INDEX(RBD_Edu,MATCH("Engineering &amp; Development|A1|A",RBD_KEY,0)),"M")</f>
        <v>L</v>
      </c>
      <c r="Q258" s="73">
        <f>IF(J258="","",IFERROR(INDEX(LMH_PTS,MATCH(J258,LMH_KEY,0))/SUM(IFERROR(INDEX(LMH_PTS,MATCH(J258,LMH_KEY,0)),0),IFERROR(INDEX(LMH_PTS,MATCH(K258,LMH_KEY,0)),0),IFERROR(INDEX(LMH_PTS,MATCH(L258,LMH_KEY,0)),0),IFERROR(INDEX(LMH_PTS,MATCH(M258,LMH_KEY,0)),0),IFERROR(INDEX(LMH_PTS,MATCH(N258,LMH_KEY,0)),0),IFERROR(INDEX(LMH_PTS,MATCH(O258,LMH_KEY,0)),0),IFERROR(INDEX(LMH_PTS,MATCH(P258,LMH_KEY,0)),0)),""))</f>
        <v>0.529411764705882</v>
      </c>
      <c r="R258" s="74">
        <f>IF(K258="","",IFERROR(INDEX(LMH_PTS,MATCH(K258,LMH_KEY,0))/SUM(IFERROR(INDEX(LMH_PTS,MATCH(J258,LMH_KEY,0)),0),IFERROR(INDEX(LMH_PTS,MATCH(K258,LMH_KEY,0)),0),IFERROR(INDEX(LMH_PTS,MATCH(L258,LMH_KEY,0)),0),IFERROR(INDEX(LMH_PTS,MATCH(M258,LMH_KEY,0)),0),IFERROR(INDEX(LMH_PTS,MATCH(N258,LMH_KEY,0)),0),IFERROR(INDEX(LMH_PTS,MATCH(O258,LMH_KEY,0)),0),IFERROR(INDEX(LMH_PTS,MATCH(P258,LMH_KEY,0)),0)),""))</f>
        <v>0.176470588235294</v>
      </c>
      <c r="S258" s="74">
        <f>IF(L258="","",IFERROR(INDEX(LMH_PTS,MATCH(L258,LMH_KEY,0))/SUM(IFERROR(INDEX(LMH_PTS,MATCH(J258,LMH_KEY,0)),0),IFERROR(INDEX(LMH_PTS,MATCH(K258,LMH_KEY,0)),0),IFERROR(INDEX(LMH_PTS,MATCH(L258,LMH_KEY,0)),0),IFERROR(INDEX(LMH_PTS,MATCH(M258,LMH_KEY,0)),0),IFERROR(INDEX(LMH_PTS,MATCH(N258,LMH_KEY,0)),0),IFERROR(INDEX(LMH_PTS,MATCH(O258,LMH_KEY,0)),0),IFERROR(INDEX(LMH_PTS,MATCH(P258,LMH_KEY,0)),0)),""))</f>
        <v>0.0588235294117647</v>
      </c>
      <c r="T258" s="74">
        <f>IF(M258="","",IFERROR(INDEX(LMH_PTS,MATCH(M258,LMH_KEY,0))/SUM(IFERROR(INDEX(LMH_PTS,MATCH(J258,LMH_KEY,0)),0),IFERROR(INDEX(LMH_PTS,MATCH(K258,LMH_KEY,0)),0),IFERROR(INDEX(LMH_PTS,MATCH(L258,LMH_KEY,0)),0),IFERROR(INDEX(LMH_PTS,MATCH(M258,LMH_KEY,0)),0),IFERROR(INDEX(LMH_PTS,MATCH(N258,LMH_KEY,0)),0),IFERROR(INDEX(LMH_PTS,MATCH(O258,LMH_KEY,0)),0),IFERROR(INDEX(LMH_PTS,MATCH(P258,LMH_KEY,0)),0)),""))</f>
        <v>0.0588235294117647</v>
      </c>
      <c r="U258" s="74">
        <f>IF(N258="","",IFERROR(INDEX(LMH_PTS,MATCH(N258,LMH_KEY,0))/SUM(IFERROR(INDEX(LMH_PTS,MATCH(J258,LMH_KEY,0)),0),IFERROR(INDEX(LMH_PTS,MATCH(K258,LMH_KEY,0)),0),IFERROR(INDEX(LMH_PTS,MATCH(L258,LMH_KEY,0)),0),IFERROR(INDEX(LMH_PTS,MATCH(M258,LMH_KEY,0)),0),IFERROR(INDEX(LMH_PTS,MATCH(N258,LMH_KEY,0)),0),IFERROR(INDEX(LMH_PTS,MATCH(O258,LMH_KEY,0)),0),IFERROR(INDEX(LMH_PTS,MATCH(P258,LMH_KEY,0)),0)),""))</f>
        <v>0.0588235294117647</v>
      </c>
      <c r="V258" s="74">
        <f>IF(O258="","",IFERROR(INDEX(LMH_PTS,MATCH(O258,LMH_KEY,0))/SUM(IFERROR(INDEX(LMH_PTS,MATCH(J258,LMH_KEY,0)),0),IFERROR(INDEX(LMH_PTS,MATCH(K258,LMH_KEY,0)),0),IFERROR(INDEX(LMH_PTS,MATCH(L258,LMH_KEY,0)),0),IFERROR(INDEX(LMH_PTS,MATCH(M258,LMH_KEY,0)),0),IFERROR(INDEX(LMH_PTS,MATCH(N258,LMH_KEY,0)),0),IFERROR(INDEX(LMH_PTS,MATCH(O258,LMH_KEY,0)),0),IFERROR(INDEX(LMH_PTS,MATCH(P258,LMH_KEY,0)),0)),""))</f>
        <v>0.0588235294117647</v>
      </c>
      <c r="W258" s="74">
        <f>IF(P258="","",IFERROR(INDEX(LMH_PTS,MATCH(P258,LMH_KEY,0))/SUM(IFERROR(INDEX(LMH_PTS,MATCH(J258,LMH_KEY,0)),0),IFERROR(INDEX(LMH_PTS,MATCH(K258,LMH_KEY,0)),0),IFERROR(INDEX(LMH_PTS,MATCH(L258,LMH_KEY,0)),0),IFERROR(INDEX(LMH_PTS,MATCH(M258,LMH_KEY,0)),0),IFERROR(INDEX(LMH_PTS,MATCH(N258,LMH_KEY,0)),0),IFERROR(INDEX(LMH_PTS,MATCH(O258,LMH_KEY,0)),0),IFERROR(INDEX(LMH_PTS,MATCH(P258,LMH_KEY,0)),0)),""))</f>
        <v>0.0588235294117647</v>
      </c>
      <c r="X258" s="44" t="n"/>
      <c r="Y258" s="38" t="inlineStr">
        <is>
          <t>iDEAL|Technology|Trainee Software Engineer|A1|A</t>
        </is>
      </c>
    </row>
    <row r="259" ht="18" customHeight="1">
      <c r="A259" s="28" t="inlineStr">
        <is>
          <t>iDEAL</t>
        </is>
      </c>
      <c r="B259" s="71" t="inlineStr">
        <is>
          <t>iDEAL Business Head</t>
        </is>
      </c>
      <c r="C259" s="78" t="inlineStr">
        <is>
          <t>C2</t>
        </is>
      </c>
      <c r="D259" s="29" t="inlineStr">
        <is>
          <t>Band C · Principal / Head</t>
        </is>
      </c>
      <c r="E259" s="29" t="inlineStr">
        <is>
          <t>Business Head – iDEAL</t>
        </is>
      </c>
      <c r="F259" s="29" t="inlineStr">
        <is>
          <t>Band C · Head / manager</t>
        </is>
      </c>
      <c r="G259" s="29" t="inlineStr">
        <is>
          <t>Executive Leadership</t>
        </is>
      </c>
      <c r="H259" s="29" t="n">
        <v>1</v>
      </c>
      <c r="I259" s="29" t="inlineStr">
        <is>
          <t>Hemant Karale</t>
        </is>
      </c>
      <c r="J259" s="34" t="str">
        <f>IFERROR(INDEX(RBD_C,MATCH("Executive Leadership|C2|C-M",RBD_KEY,0)),"M")</f>
        <v>H</v>
      </c>
      <c r="K259" s="35" t="str">
        <f>IFERROR(INDEX(RBD_Au,MATCH("Executive Leadership|C2|C-M",RBD_KEY,0)),"M")</f>
        <v>M</v>
      </c>
      <c r="L259" s="35" t="str">
        <f>IFERROR(INDEX(RBD_Ac,MATCH("Executive Leadership|C2|C-M",RBD_KEY,0)),"M")</f>
        <v>M</v>
      </c>
      <c r="M259" s="35" t="str">
        <f>IFERROR(INDEX(RBD_L,MATCH("Executive Leadership|C2|C-M",RBD_KEY,0)),"M")</f>
        <v>M</v>
      </c>
      <c r="N259" s="35" t="str">
        <f>IFERROR(INDEX(RBD_BI,MATCH("Executive Leadership|C2|C-M",RBD_KEY,0)),"M")</f>
        <v>L</v>
      </c>
      <c r="O259" s="35" t="str">
        <f>IFERROR(INDEX(RBD_Exp,MATCH("Executive Leadership|C2|C-M",RBD_KEY,0)),"M")</f>
        <v>L</v>
      </c>
      <c r="P259" s="35" t="str">
        <f>IFERROR(INDEX(RBD_Edu,MATCH("Executive Leadership|C2|C-M",RBD_KEY,0)),"M")</f>
        <v>L</v>
      </c>
      <c r="Q259" s="73">
        <f>IF(J259="","",IFERROR(INDEX(LMH_PTS,MATCH(J259,LMH_KEY,0))/SUM(IFERROR(INDEX(LMH_PTS,MATCH(J259,LMH_KEY,0)),0),IFERROR(INDEX(LMH_PTS,MATCH(K259,LMH_KEY,0)),0),IFERROR(INDEX(LMH_PTS,MATCH(L259,LMH_KEY,0)),0),IFERROR(INDEX(LMH_PTS,MATCH(M259,LMH_KEY,0)),0),IFERROR(INDEX(LMH_PTS,MATCH(N259,LMH_KEY,0)),0),IFERROR(INDEX(LMH_PTS,MATCH(O259,LMH_KEY,0)),0),IFERROR(INDEX(LMH_PTS,MATCH(P259,LMH_KEY,0)),0)),""))</f>
        <v>0.428571428571429</v>
      </c>
      <c r="R259" s="74">
        <f>IF(K259="","",IFERROR(INDEX(LMH_PTS,MATCH(K259,LMH_KEY,0))/SUM(IFERROR(INDEX(LMH_PTS,MATCH(J259,LMH_KEY,0)),0),IFERROR(INDEX(LMH_PTS,MATCH(K259,LMH_KEY,0)),0),IFERROR(INDEX(LMH_PTS,MATCH(L259,LMH_KEY,0)),0),IFERROR(INDEX(LMH_PTS,MATCH(M259,LMH_KEY,0)),0),IFERROR(INDEX(LMH_PTS,MATCH(N259,LMH_KEY,0)),0),IFERROR(INDEX(LMH_PTS,MATCH(O259,LMH_KEY,0)),0),IFERROR(INDEX(LMH_PTS,MATCH(P259,LMH_KEY,0)),0)),""))</f>
        <v>0.142857142857143</v>
      </c>
      <c r="S259" s="74">
        <f>IF(L259="","",IFERROR(INDEX(LMH_PTS,MATCH(L259,LMH_KEY,0))/SUM(IFERROR(INDEX(LMH_PTS,MATCH(J259,LMH_KEY,0)),0),IFERROR(INDEX(LMH_PTS,MATCH(K259,LMH_KEY,0)),0),IFERROR(INDEX(LMH_PTS,MATCH(L259,LMH_KEY,0)),0),IFERROR(INDEX(LMH_PTS,MATCH(M259,LMH_KEY,0)),0),IFERROR(INDEX(LMH_PTS,MATCH(N259,LMH_KEY,0)),0),IFERROR(INDEX(LMH_PTS,MATCH(O259,LMH_KEY,0)),0),IFERROR(INDEX(LMH_PTS,MATCH(P259,LMH_KEY,0)),0)),""))</f>
        <v>0.142857142857143</v>
      </c>
      <c r="T259" s="74">
        <f>IF(M259="","",IFERROR(INDEX(LMH_PTS,MATCH(M259,LMH_KEY,0))/SUM(IFERROR(INDEX(LMH_PTS,MATCH(J259,LMH_KEY,0)),0),IFERROR(INDEX(LMH_PTS,MATCH(K259,LMH_KEY,0)),0),IFERROR(INDEX(LMH_PTS,MATCH(L259,LMH_KEY,0)),0),IFERROR(INDEX(LMH_PTS,MATCH(M259,LMH_KEY,0)),0),IFERROR(INDEX(LMH_PTS,MATCH(N259,LMH_KEY,0)),0),IFERROR(INDEX(LMH_PTS,MATCH(O259,LMH_KEY,0)),0),IFERROR(INDEX(LMH_PTS,MATCH(P259,LMH_KEY,0)),0)),""))</f>
        <v>0.142857142857143</v>
      </c>
      <c r="U259" s="74">
        <f>IF(N259="","",IFERROR(INDEX(LMH_PTS,MATCH(N259,LMH_KEY,0))/SUM(IFERROR(INDEX(LMH_PTS,MATCH(J259,LMH_KEY,0)),0),IFERROR(INDEX(LMH_PTS,MATCH(K259,LMH_KEY,0)),0),IFERROR(INDEX(LMH_PTS,MATCH(L259,LMH_KEY,0)),0),IFERROR(INDEX(LMH_PTS,MATCH(M259,LMH_KEY,0)),0),IFERROR(INDEX(LMH_PTS,MATCH(N259,LMH_KEY,0)),0),IFERROR(INDEX(LMH_PTS,MATCH(O259,LMH_KEY,0)),0),IFERROR(INDEX(LMH_PTS,MATCH(P259,LMH_KEY,0)),0)),""))</f>
        <v>0.0476190476190476</v>
      </c>
      <c r="V259" s="74">
        <f>IF(O259="","",IFERROR(INDEX(LMH_PTS,MATCH(O259,LMH_KEY,0))/SUM(IFERROR(INDEX(LMH_PTS,MATCH(J259,LMH_KEY,0)),0),IFERROR(INDEX(LMH_PTS,MATCH(K259,LMH_KEY,0)),0),IFERROR(INDEX(LMH_PTS,MATCH(L259,LMH_KEY,0)),0),IFERROR(INDEX(LMH_PTS,MATCH(M259,LMH_KEY,0)),0),IFERROR(INDEX(LMH_PTS,MATCH(N259,LMH_KEY,0)),0),IFERROR(INDEX(LMH_PTS,MATCH(O259,LMH_KEY,0)),0),IFERROR(INDEX(LMH_PTS,MATCH(P259,LMH_KEY,0)),0)),""))</f>
        <v>0.0476190476190476</v>
      </c>
      <c r="W259" s="74">
        <f>IF(P259="","",IFERROR(INDEX(LMH_PTS,MATCH(P259,LMH_KEY,0))/SUM(IFERROR(INDEX(LMH_PTS,MATCH(J259,LMH_KEY,0)),0),IFERROR(INDEX(LMH_PTS,MATCH(K259,LMH_KEY,0)),0),IFERROR(INDEX(LMH_PTS,MATCH(L259,LMH_KEY,0)),0),IFERROR(INDEX(LMH_PTS,MATCH(M259,LMH_KEY,0)),0),IFERROR(INDEX(LMH_PTS,MATCH(N259,LMH_KEY,0)),0),IFERROR(INDEX(LMH_PTS,MATCH(O259,LMH_KEY,0)),0),IFERROR(INDEX(LMH_PTS,MATCH(P259,LMH_KEY,0)),0)),""))</f>
        <v>0.0476190476190476</v>
      </c>
      <c r="X259" s="44" t="n"/>
      <c r="Y259" s="38" t="inlineStr">
        <is>
          <t>iDEAL|iDEAL Business Head|Business Head – iDEAL|C2|C-M</t>
        </is>
      </c>
    </row>
    <row r="260" ht="18" customHeight="1">
      <c r="A260" s="28" t="inlineStr">
        <is>
          <t>Datatech</t>
        </is>
      </c>
      <c r="B260" s="71" t="inlineStr">
        <is>
          <t>Datatech - Outreach</t>
        </is>
      </c>
      <c r="C260" s="72" t="inlineStr">
        <is>
          <t>B2</t>
        </is>
      </c>
      <c r="D260" s="29" t="inlineStr">
        <is>
          <t>Band B · Specialist / Manager</t>
        </is>
      </c>
      <c r="E260" s="29" t="inlineStr">
        <is>
          <t>Program Manager – Outreach</t>
        </is>
      </c>
      <c r="F260" s="29" t="inlineStr">
        <is>
          <t>Band B · People Manager</t>
        </is>
      </c>
      <c r="G260" s="29" t="inlineStr">
        <is>
          <t>Sales &amp; Business Development</t>
        </is>
      </c>
      <c r="H260" s="29" t="n">
        <v>1</v>
      </c>
      <c r="I260" s="29" t="inlineStr">
        <is>
          <t>Raghin Nair</t>
        </is>
      </c>
      <c r="J260" s="34" t="str">
        <f>IFERROR(INDEX(RBD_C,MATCH("Sales &amp; Business Development|B2|B-M",RBD_KEY,0)),"M")</f>
        <v>H</v>
      </c>
      <c r="K260" s="35" t="str">
        <f>IFERROR(INDEX(RBD_Au,MATCH("Sales &amp; Business Development|B2|B-M",RBD_KEY,0)),"M")</f>
        <v>M</v>
      </c>
      <c r="L260" s="35" t="str">
        <f>IFERROR(INDEX(RBD_Ac,MATCH("Sales &amp; Business Development|B2|B-M",RBD_KEY,0)),"M")</f>
        <v>L</v>
      </c>
      <c r="M260" s="35" t="str">
        <f>IFERROR(INDEX(RBD_L,MATCH("Sales &amp; Business Development|B2|B-M",RBD_KEY,0)),"M")</f>
        <v>M</v>
      </c>
      <c r="N260" s="35" t="str">
        <f>IFERROR(INDEX(RBD_BI,MATCH("Sales &amp; Business Development|B2|B-M",RBD_KEY,0)),"M")</f>
        <v>M</v>
      </c>
      <c r="O260" s="35" t="str">
        <f>IFERROR(INDEX(RBD_Exp,MATCH("Sales &amp; Business Development|B2|B-M",RBD_KEY,0)),"M")</f>
        <v>L</v>
      </c>
      <c r="P260" s="35" t="str">
        <f>IFERROR(INDEX(RBD_Edu,MATCH("Sales &amp; Business Development|B2|B-M",RBD_KEY,0)),"M")</f>
        <v>L</v>
      </c>
      <c r="Q260" s="73">
        <f>IF(J260="","",IFERROR(INDEX(LMH_PTS,MATCH(J260,LMH_KEY,0))/SUM(IFERROR(INDEX(LMH_PTS,MATCH(J260,LMH_KEY,0)),0),IFERROR(INDEX(LMH_PTS,MATCH(K260,LMH_KEY,0)),0),IFERROR(INDEX(LMH_PTS,MATCH(L260,LMH_KEY,0)),0),IFERROR(INDEX(LMH_PTS,MATCH(M260,LMH_KEY,0)),0),IFERROR(INDEX(LMH_PTS,MATCH(N260,LMH_KEY,0)),0),IFERROR(INDEX(LMH_PTS,MATCH(O260,LMH_KEY,0)),0),IFERROR(INDEX(LMH_PTS,MATCH(P260,LMH_KEY,0)),0)),""))</f>
        <v>0.428571428571429</v>
      </c>
      <c r="R260" s="74">
        <f>IF(K260="","",IFERROR(INDEX(LMH_PTS,MATCH(K260,LMH_KEY,0))/SUM(IFERROR(INDEX(LMH_PTS,MATCH(J260,LMH_KEY,0)),0),IFERROR(INDEX(LMH_PTS,MATCH(K260,LMH_KEY,0)),0),IFERROR(INDEX(LMH_PTS,MATCH(L260,LMH_KEY,0)),0),IFERROR(INDEX(LMH_PTS,MATCH(M260,LMH_KEY,0)),0),IFERROR(INDEX(LMH_PTS,MATCH(N260,LMH_KEY,0)),0),IFERROR(INDEX(LMH_PTS,MATCH(O260,LMH_KEY,0)),0),IFERROR(INDEX(LMH_PTS,MATCH(P260,LMH_KEY,0)),0)),""))</f>
        <v>0.142857142857143</v>
      </c>
      <c r="S260" s="74">
        <f>IF(L260="","",IFERROR(INDEX(LMH_PTS,MATCH(L260,LMH_KEY,0))/SUM(IFERROR(INDEX(LMH_PTS,MATCH(J260,LMH_KEY,0)),0),IFERROR(INDEX(LMH_PTS,MATCH(K260,LMH_KEY,0)),0),IFERROR(INDEX(LMH_PTS,MATCH(L260,LMH_KEY,0)),0),IFERROR(INDEX(LMH_PTS,MATCH(M260,LMH_KEY,0)),0),IFERROR(INDEX(LMH_PTS,MATCH(N260,LMH_KEY,0)),0),IFERROR(INDEX(LMH_PTS,MATCH(O260,LMH_KEY,0)),0),IFERROR(INDEX(LMH_PTS,MATCH(P260,LMH_KEY,0)),0)),""))</f>
        <v>0.0476190476190476</v>
      </c>
      <c r="T260" s="74">
        <f>IF(M260="","",IFERROR(INDEX(LMH_PTS,MATCH(M260,LMH_KEY,0))/SUM(IFERROR(INDEX(LMH_PTS,MATCH(J260,LMH_KEY,0)),0),IFERROR(INDEX(LMH_PTS,MATCH(K260,LMH_KEY,0)),0),IFERROR(INDEX(LMH_PTS,MATCH(L260,LMH_KEY,0)),0),IFERROR(INDEX(LMH_PTS,MATCH(M260,LMH_KEY,0)),0),IFERROR(INDEX(LMH_PTS,MATCH(N260,LMH_KEY,0)),0),IFERROR(INDEX(LMH_PTS,MATCH(O260,LMH_KEY,0)),0),IFERROR(INDEX(LMH_PTS,MATCH(P260,LMH_KEY,0)),0)),""))</f>
        <v>0.142857142857143</v>
      </c>
      <c r="U260" s="74">
        <f>IF(N260="","",IFERROR(INDEX(LMH_PTS,MATCH(N260,LMH_KEY,0))/SUM(IFERROR(INDEX(LMH_PTS,MATCH(J260,LMH_KEY,0)),0),IFERROR(INDEX(LMH_PTS,MATCH(K260,LMH_KEY,0)),0),IFERROR(INDEX(LMH_PTS,MATCH(L260,LMH_KEY,0)),0),IFERROR(INDEX(LMH_PTS,MATCH(M260,LMH_KEY,0)),0),IFERROR(INDEX(LMH_PTS,MATCH(N260,LMH_KEY,0)),0),IFERROR(INDEX(LMH_PTS,MATCH(O260,LMH_KEY,0)),0),IFERROR(INDEX(LMH_PTS,MATCH(P260,LMH_KEY,0)),0)),""))</f>
        <v>0.142857142857143</v>
      </c>
      <c r="V260" s="74">
        <f>IF(O260="","",IFERROR(INDEX(LMH_PTS,MATCH(O260,LMH_KEY,0))/SUM(IFERROR(INDEX(LMH_PTS,MATCH(J260,LMH_KEY,0)),0),IFERROR(INDEX(LMH_PTS,MATCH(K260,LMH_KEY,0)),0),IFERROR(INDEX(LMH_PTS,MATCH(L260,LMH_KEY,0)),0),IFERROR(INDEX(LMH_PTS,MATCH(M260,LMH_KEY,0)),0),IFERROR(INDEX(LMH_PTS,MATCH(N260,LMH_KEY,0)),0),IFERROR(INDEX(LMH_PTS,MATCH(O260,LMH_KEY,0)),0),IFERROR(INDEX(LMH_PTS,MATCH(P260,LMH_KEY,0)),0)),""))</f>
        <v>0.0476190476190476</v>
      </c>
      <c r="W260" s="74">
        <f>IF(P260="","",IFERROR(INDEX(LMH_PTS,MATCH(P260,LMH_KEY,0))/SUM(IFERROR(INDEX(LMH_PTS,MATCH(J260,LMH_KEY,0)),0),IFERROR(INDEX(LMH_PTS,MATCH(K260,LMH_KEY,0)),0),IFERROR(INDEX(LMH_PTS,MATCH(L260,LMH_KEY,0)),0),IFERROR(INDEX(LMH_PTS,MATCH(M260,LMH_KEY,0)),0),IFERROR(INDEX(LMH_PTS,MATCH(N260,LMH_KEY,0)),0),IFERROR(INDEX(LMH_PTS,MATCH(O260,LMH_KEY,0)),0),IFERROR(INDEX(LMH_PTS,MATCH(P260,LMH_KEY,0)),0)),""))</f>
        <v>0.0476190476190476</v>
      </c>
      <c r="X260" s="44" t="n"/>
      <c r="Y260" s="38" t="inlineStr">
        <is>
          <t>Datatech|Datatech - Outreach|Program Manager – Outreach|B2|B-M</t>
        </is>
      </c>
    </row>
    <row r="261" ht="28" customHeight="1">
      <c r="A261" s="28" t="inlineStr">
        <is>
          <t>Datatech</t>
        </is>
      </c>
      <c r="B261" s="29" t="inlineStr">
        <is>
          <t>Datatech - Outreach</t>
        </is>
      </c>
      <c r="C261" s="72" t="inlineStr">
        <is>
          <t>B1</t>
        </is>
      </c>
      <c r="D261" s="29" t="inlineStr">
        <is>
          <t>Band B · Specialist / Manager</t>
        </is>
      </c>
      <c r="E261" s="29" t="inlineStr">
        <is>
          <t>Senior Program Specialist – POD Lead</t>
        </is>
      </c>
      <c r="F261" s="29" t="inlineStr">
        <is>
          <t>Band B · Specialist / POD Lead</t>
        </is>
      </c>
      <c r="G261" s="29" t="inlineStr">
        <is>
          <t>Sales &amp; Business Development</t>
        </is>
      </c>
      <c r="H261" s="29" t="n">
        <v>1</v>
      </c>
      <c r="I261" s="29" t="inlineStr">
        <is>
          <t>Jeevan Khokale</t>
        </is>
      </c>
      <c r="J261" s="34" t="str">
        <f>IFERROR(INDEX(RBD_C,MATCH("Sales &amp; Business Development|B1|B-IC",RBD_KEY,0)),"M")</f>
        <v>H</v>
      </c>
      <c r="K261" s="35" t="str">
        <f>IFERROR(INDEX(RBD_Au,MATCH("Sales &amp; Business Development|B1|B-IC",RBD_KEY,0)),"M")</f>
        <v>M</v>
      </c>
      <c r="L261" s="35" t="str">
        <f>IFERROR(INDEX(RBD_Ac,MATCH("Sales &amp; Business Development|B1|B-IC",RBD_KEY,0)),"M")</f>
        <v>L</v>
      </c>
      <c r="M261" s="35" t="str">
        <f>IFERROR(INDEX(RBD_L,MATCH("Sales &amp; Business Development|B1|B-IC",RBD_KEY,0)),"M")</f>
        <v>L</v>
      </c>
      <c r="N261" s="35" t="str">
        <f>IFERROR(INDEX(RBD_BI,MATCH("Sales &amp; Business Development|B1|B-IC",RBD_KEY,0)),"M")</f>
        <v>M</v>
      </c>
      <c r="O261" s="35" t="str">
        <f>IFERROR(INDEX(RBD_Exp,MATCH("Sales &amp; Business Development|B1|B-IC",RBD_KEY,0)),"M")</f>
        <v>L</v>
      </c>
      <c r="P261" s="35" t="str">
        <f>IFERROR(INDEX(RBD_Edu,MATCH("Sales &amp; Business Development|B1|B-IC",RBD_KEY,0)),"M")</f>
        <v>L</v>
      </c>
      <c r="Q261" s="73">
        <f>IF(J261="","",IFERROR(INDEX(LMH_PTS,MATCH(J261,LMH_KEY,0))/SUM(IFERROR(INDEX(LMH_PTS,MATCH(J261,LMH_KEY,0)),0),IFERROR(INDEX(LMH_PTS,MATCH(K261,LMH_KEY,0)),0),IFERROR(INDEX(LMH_PTS,MATCH(L261,LMH_KEY,0)),0),IFERROR(INDEX(LMH_PTS,MATCH(M261,LMH_KEY,0)),0),IFERROR(INDEX(LMH_PTS,MATCH(N261,LMH_KEY,0)),0),IFERROR(INDEX(LMH_PTS,MATCH(O261,LMH_KEY,0)),0),IFERROR(INDEX(LMH_PTS,MATCH(P261,LMH_KEY,0)),0)),""))</f>
        <v>0.473684210526316</v>
      </c>
      <c r="R261" s="74">
        <f>IF(K261="","",IFERROR(INDEX(LMH_PTS,MATCH(K261,LMH_KEY,0))/SUM(IFERROR(INDEX(LMH_PTS,MATCH(J261,LMH_KEY,0)),0),IFERROR(INDEX(LMH_PTS,MATCH(K261,LMH_KEY,0)),0),IFERROR(INDEX(LMH_PTS,MATCH(L261,LMH_KEY,0)),0),IFERROR(INDEX(LMH_PTS,MATCH(M261,LMH_KEY,0)),0),IFERROR(INDEX(LMH_PTS,MATCH(N261,LMH_KEY,0)),0),IFERROR(INDEX(LMH_PTS,MATCH(O261,LMH_KEY,0)),0),IFERROR(INDEX(LMH_PTS,MATCH(P261,LMH_KEY,0)),0)),""))</f>
        <v>0.157894736842105</v>
      </c>
      <c r="S261" s="74">
        <f>IF(L261="","",IFERROR(INDEX(LMH_PTS,MATCH(L261,LMH_KEY,0))/SUM(IFERROR(INDEX(LMH_PTS,MATCH(J261,LMH_KEY,0)),0),IFERROR(INDEX(LMH_PTS,MATCH(K261,LMH_KEY,0)),0),IFERROR(INDEX(LMH_PTS,MATCH(L261,LMH_KEY,0)),0),IFERROR(INDEX(LMH_PTS,MATCH(M261,LMH_KEY,0)),0),IFERROR(INDEX(LMH_PTS,MATCH(N261,LMH_KEY,0)),0),IFERROR(INDEX(LMH_PTS,MATCH(O261,LMH_KEY,0)),0),IFERROR(INDEX(LMH_PTS,MATCH(P261,LMH_KEY,0)),0)),""))</f>
        <v>0.0526315789473684</v>
      </c>
      <c r="T261" s="74">
        <f>IF(M261="","",IFERROR(INDEX(LMH_PTS,MATCH(M261,LMH_KEY,0))/SUM(IFERROR(INDEX(LMH_PTS,MATCH(J261,LMH_KEY,0)),0),IFERROR(INDEX(LMH_PTS,MATCH(K261,LMH_KEY,0)),0),IFERROR(INDEX(LMH_PTS,MATCH(L261,LMH_KEY,0)),0),IFERROR(INDEX(LMH_PTS,MATCH(M261,LMH_KEY,0)),0),IFERROR(INDEX(LMH_PTS,MATCH(N261,LMH_KEY,0)),0),IFERROR(INDEX(LMH_PTS,MATCH(O261,LMH_KEY,0)),0),IFERROR(INDEX(LMH_PTS,MATCH(P261,LMH_KEY,0)),0)),""))</f>
        <v>0.0526315789473684</v>
      </c>
      <c r="U261" s="74">
        <f>IF(N261="","",IFERROR(INDEX(LMH_PTS,MATCH(N261,LMH_KEY,0))/SUM(IFERROR(INDEX(LMH_PTS,MATCH(J261,LMH_KEY,0)),0),IFERROR(INDEX(LMH_PTS,MATCH(K261,LMH_KEY,0)),0),IFERROR(INDEX(LMH_PTS,MATCH(L261,LMH_KEY,0)),0),IFERROR(INDEX(LMH_PTS,MATCH(M261,LMH_KEY,0)),0),IFERROR(INDEX(LMH_PTS,MATCH(N261,LMH_KEY,0)),0),IFERROR(INDEX(LMH_PTS,MATCH(O261,LMH_KEY,0)),0),IFERROR(INDEX(LMH_PTS,MATCH(P261,LMH_KEY,0)),0)),""))</f>
        <v>0.157894736842105</v>
      </c>
      <c r="V261" s="74">
        <f>IF(O261="","",IFERROR(INDEX(LMH_PTS,MATCH(O261,LMH_KEY,0))/SUM(IFERROR(INDEX(LMH_PTS,MATCH(J261,LMH_KEY,0)),0),IFERROR(INDEX(LMH_PTS,MATCH(K261,LMH_KEY,0)),0),IFERROR(INDEX(LMH_PTS,MATCH(L261,LMH_KEY,0)),0),IFERROR(INDEX(LMH_PTS,MATCH(M261,LMH_KEY,0)),0),IFERROR(INDEX(LMH_PTS,MATCH(N261,LMH_KEY,0)),0),IFERROR(INDEX(LMH_PTS,MATCH(O261,LMH_KEY,0)),0),IFERROR(INDEX(LMH_PTS,MATCH(P261,LMH_KEY,0)),0)),""))</f>
        <v>0.0526315789473684</v>
      </c>
      <c r="W261" s="74">
        <f>IF(P261="","",IFERROR(INDEX(LMH_PTS,MATCH(P261,LMH_KEY,0))/SUM(IFERROR(INDEX(LMH_PTS,MATCH(J261,LMH_KEY,0)),0),IFERROR(INDEX(LMH_PTS,MATCH(K261,LMH_KEY,0)),0),IFERROR(INDEX(LMH_PTS,MATCH(L261,LMH_KEY,0)),0),IFERROR(INDEX(LMH_PTS,MATCH(M261,LMH_KEY,0)),0),IFERROR(INDEX(LMH_PTS,MATCH(N261,LMH_KEY,0)),0),IFERROR(INDEX(LMH_PTS,MATCH(O261,LMH_KEY,0)),0),IFERROR(INDEX(LMH_PTS,MATCH(P261,LMH_KEY,0)),0)),""))</f>
        <v>0.0526315789473684</v>
      </c>
      <c r="X261" s="44" t="n"/>
      <c r="Y261" s="38" t="inlineStr">
        <is>
          <t>Datatech|Datatech - Outreach|Senior Program Specialist – POD Lead|B1|B-IC</t>
        </is>
      </c>
    </row>
    <row r="262" ht="40.5" customHeight="1">
      <c r="A262" s="28" t="inlineStr">
        <is>
          <t>Datatech</t>
        </is>
      </c>
      <c r="B262" s="29" t="inlineStr">
        <is>
          <t>Datatech - Outreach</t>
        </is>
      </c>
      <c r="C262" s="75" t="inlineStr">
        <is>
          <t>A3</t>
        </is>
      </c>
      <c r="D262" s="29" t="inlineStr">
        <is>
          <t>Band A · Practitioner</t>
        </is>
      </c>
      <c r="E262" s="29" t="inlineStr">
        <is>
          <t>Senior Program Executive</t>
        </is>
      </c>
      <c r="F262" s="29" t="inlineStr">
        <is>
          <t>Band A · all tracks</t>
        </is>
      </c>
      <c r="G262" s="29" t="inlineStr">
        <is>
          <t>Sales &amp; Business Development</t>
        </is>
      </c>
      <c r="H262" s="29" t="n">
        <v>3</v>
      </c>
      <c r="I262" s="29" t="inlineStr">
        <is>
          <t>Lakshmikantha RN, Bharati Durgaprasad Paranjape, Nalini Niranjan Damisetti</t>
        </is>
      </c>
      <c r="J262" s="34" t="str">
        <f>IFERROR(INDEX(RBD_C,MATCH("Sales &amp; Business Development|A3|A",RBD_KEY,0)),"M")</f>
        <v>H</v>
      </c>
      <c r="K262" s="35" t="str">
        <f>IFERROR(INDEX(RBD_Au,MATCH("Sales &amp; Business Development|A3|A",RBD_KEY,0)),"M")</f>
        <v>M</v>
      </c>
      <c r="L262" s="35" t="str">
        <f>IFERROR(INDEX(RBD_Ac,MATCH("Sales &amp; Business Development|A3|A",RBD_KEY,0)),"M")</f>
        <v>L</v>
      </c>
      <c r="M262" s="35" t="str">
        <f>IFERROR(INDEX(RBD_L,MATCH("Sales &amp; Business Development|A3|A",RBD_KEY,0)),"M")</f>
        <v>L</v>
      </c>
      <c r="N262" s="35" t="str">
        <f>IFERROR(INDEX(RBD_BI,MATCH("Sales &amp; Business Development|A3|A",RBD_KEY,0)),"M")</f>
        <v>M</v>
      </c>
      <c r="O262" s="35" t="str">
        <f>IFERROR(INDEX(RBD_Exp,MATCH("Sales &amp; Business Development|A3|A",RBD_KEY,0)),"M")</f>
        <v>L</v>
      </c>
      <c r="P262" s="35" t="str">
        <f>IFERROR(INDEX(RBD_Edu,MATCH("Sales &amp; Business Development|A3|A",RBD_KEY,0)),"M")</f>
        <v>L</v>
      </c>
      <c r="Q262" s="73">
        <f>IF(J262="","",IFERROR(INDEX(LMH_PTS,MATCH(J262,LMH_KEY,0))/SUM(IFERROR(INDEX(LMH_PTS,MATCH(J262,LMH_KEY,0)),0),IFERROR(INDEX(LMH_PTS,MATCH(K262,LMH_KEY,0)),0),IFERROR(INDEX(LMH_PTS,MATCH(L262,LMH_KEY,0)),0),IFERROR(INDEX(LMH_PTS,MATCH(M262,LMH_KEY,0)),0),IFERROR(INDEX(LMH_PTS,MATCH(N262,LMH_KEY,0)),0),IFERROR(INDEX(LMH_PTS,MATCH(O262,LMH_KEY,0)),0),IFERROR(INDEX(LMH_PTS,MATCH(P262,LMH_KEY,0)),0)),""))</f>
        <v>0.473684210526316</v>
      </c>
      <c r="R262" s="74">
        <f>IF(K262="","",IFERROR(INDEX(LMH_PTS,MATCH(K262,LMH_KEY,0))/SUM(IFERROR(INDEX(LMH_PTS,MATCH(J262,LMH_KEY,0)),0),IFERROR(INDEX(LMH_PTS,MATCH(K262,LMH_KEY,0)),0),IFERROR(INDEX(LMH_PTS,MATCH(L262,LMH_KEY,0)),0),IFERROR(INDEX(LMH_PTS,MATCH(M262,LMH_KEY,0)),0),IFERROR(INDEX(LMH_PTS,MATCH(N262,LMH_KEY,0)),0),IFERROR(INDEX(LMH_PTS,MATCH(O262,LMH_KEY,0)),0),IFERROR(INDEX(LMH_PTS,MATCH(P262,LMH_KEY,0)),0)),""))</f>
        <v>0.157894736842105</v>
      </c>
      <c r="S262" s="74">
        <f>IF(L262="","",IFERROR(INDEX(LMH_PTS,MATCH(L262,LMH_KEY,0))/SUM(IFERROR(INDEX(LMH_PTS,MATCH(J262,LMH_KEY,0)),0),IFERROR(INDEX(LMH_PTS,MATCH(K262,LMH_KEY,0)),0),IFERROR(INDEX(LMH_PTS,MATCH(L262,LMH_KEY,0)),0),IFERROR(INDEX(LMH_PTS,MATCH(M262,LMH_KEY,0)),0),IFERROR(INDEX(LMH_PTS,MATCH(N262,LMH_KEY,0)),0),IFERROR(INDEX(LMH_PTS,MATCH(O262,LMH_KEY,0)),0),IFERROR(INDEX(LMH_PTS,MATCH(P262,LMH_KEY,0)),0)),""))</f>
        <v>0.0526315789473684</v>
      </c>
      <c r="T262" s="74">
        <f>IF(M262="","",IFERROR(INDEX(LMH_PTS,MATCH(M262,LMH_KEY,0))/SUM(IFERROR(INDEX(LMH_PTS,MATCH(J262,LMH_KEY,0)),0),IFERROR(INDEX(LMH_PTS,MATCH(K262,LMH_KEY,0)),0),IFERROR(INDEX(LMH_PTS,MATCH(L262,LMH_KEY,0)),0),IFERROR(INDEX(LMH_PTS,MATCH(M262,LMH_KEY,0)),0),IFERROR(INDEX(LMH_PTS,MATCH(N262,LMH_KEY,0)),0),IFERROR(INDEX(LMH_PTS,MATCH(O262,LMH_KEY,0)),0),IFERROR(INDEX(LMH_PTS,MATCH(P262,LMH_KEY,0)),0)),""))</f>
        <v>0.0526315789473684</v>
      </c>
      <c r="U262" s="74">
        <f>IF(N262="","",IFERROR(INDEX(LMH_PTS,MATCH(N262,LMH_KEY,0))/SUM(IFERROR(INDEX(LMH_PTS,MATCH(J262,LMH_KEY,0)),0),IFERROR(INDEX(LMH_PTS,MATCH(K262,LMH_KEY,0)),0),IFERROR(INDEX(LMH_PTS,MATCH(L262,LMH_KEY,0)),0),IFERROR(INDEX(LMH_PTS,MATCH(M262,LMH_KEY,0)),0),IFERROR(INDEX(LMH_PTS,MATCH(N262,LMH_KEY,0)),0),IFERROR(INDEX(LMH_PTS,MATCH(O262,LMH_KEY,0)),0),IFERROR(INDEX(LMH_PTS,MATCH(P262,LMH_KEY,0)),0)),""))</f>
        <v>0.157894736842105</v>
      </c>
      <c r="V262" s="74">
        <f>IF(O262="","",IFERROR(INDEX(LMH_PTS,MATCH(O262,LMH_KEY,0))/SUM(IFERROR(INDEX(LMH_PTS,MATCH(J262,LMH_KEY,0)),0),IFERROR(INDEX(LMH_PTS,MATCH(K262,LMH_KEY,0)),0),IFERROR(INDEX(LMH_PTS,MATCH(L262,LMH_KEY,0)),0),IFERROR(INDEX(LMH_PTS,MATCH(M262,LMH_KEY,0)),0),IFERROR(INDEX(LMH_PTS,MATCH(N262,LMH_KEY,0)),0),IFERROR(INDEX(LMH_PTS,MATCH(O262,LMH_KEY,0)),0),IFERROR(INDEX(LMH_PTS,MATCH(P262,LMH_KEY,0)),0)),""))</f>
        <v>0.0526315789473684</v>
      </c>
      <c r="W262" s="74">
        <f>IF(P262="","",IFERROR(INDEX(LMH_PTS,MATCH(P262,LMH_KEY,0))/SUM(IFERROR(INDEX(LMH_PTS,MATCH(J262,LMH_KEY,0)),0),IFERROR(INDEX(LMH_PTS,MATCH(K262,LMH_KEY,0)),0),IFERROR(INDEX(LMH_PTS,MATCH(L262,LMH_KEY,0)),0),IFERROR(INDEX(LMH_PTS,MATCH(M262,LMH_KEY,0)),0),IFERROR(INDEX(LMH_PTS,MATCH(N262,LMH_KEY,0)),0),IFERROR(INDEX(LMH_PTS,MATCH(O262,LMH_KEY,0)),0),IFERROR(INDEX(LMH_PTS,MATCH(P262,LMH_KEY,0)),0)),""))</f>
        <v>0.0526315789473684</v>
      </c>
      <c r="X262" s="44" t="n"/>
      <c r="Y262" s="38" t="inlineStr">
        <is>
          <t>Datatech|Datatech - Outreach|Senior Program Executive|A3|A</t>
        </is>
      </c>
    </row>
    <row r="263" ht="18" customHeight="1">
      <c r="A263" s="28" t="inlineStr">
        <is>
          <t>Datatech</t>
        </is>
      </c>
      <c r="B263" s="29" t="inlineStr">
        <is>
          <t>Datatech - Outreach</t>
        </is>
      </c>
      <c r="C263" s="75" t="inlineStr">
        <is>
          <t>A2</t>
        </is>
      </c>
      <c r="D263" s="29" t="inlineStr">
        <is>
          <t>Band A · Practitioner</t>
        </is>
      </c>
      <c r="E263" s="29" t="inlineStr">
        <is>
          <t>MIS Associate</t>
        </is>
      </c>
      <c r="F263" s="29" t="inlineStr">
        <is>
          <t>Band A · all tracks</t>
        </is>
      </c>
      <c r="G263" s="29" t="inlineStr">
        <is>
          <t>Data &amp; Analytics</t>
        </is>
      </c>
      <c r="H263" s="29" t="n">
        <v>1</v>
      </c>
      <c r="I263" s="29" t="inlineStr">
        <is>
          <t>Sameeksha More</t>
        </is>
      </c>
      <c r="J263" s="34" t="str">
        <f>IFERROR(INDEX(RBD_C,MATCH("Data &amp; Analytics|A2|A",RBD_KEY,0)),"M")</f>
        <v>H</v>
      </c>
      <c r="K263" s="35" t="str">
        <f>IFERROR(INDEX(RBD_Au,MATCH("Data &amp; Analytics|A2|A",RBD_KEY,0)),"M")</f>
        <v>M</v>
      </c>
      <c r="L263" s="35" t="str">
        <f>IFERROR(INDEX(RBD_Ac,MATCH("Data &amp; Analytics|A2|A",RBD_KEY,0)),"M")</f>
        <v>M</v>
      </c>
      <c r="M263" s="35" t="str">
        <f>IFERROR(INDEX(RBD_L,MATCH("Data &amp; Analytics|A2|A",RBD_KEY,0)),"M")</f>
        <v>L</v>
      </c>
      <c r="N263" s="35" t="str">
        <f>IFERROR(INDEX(RBD_BI,MATCH("Data &amp; Analytics|A2|A",RBD_KEY,0)),"M")</f>
        <v>L</v>
      </c>
      <c r="O263" s="35" t="str">
        <f>IFERROR(INDEX(RBD_Exp,MATCH("Data &amp; Analytics|A2|A",RBD_KEY,0)),"M")</f>
        <v>L</v>
      </c>
      <c r="P263" s="35" t="str">
        <f>IFERROR(INDEX(RBD_Edu,MATCH("Data &amp; Analytics|A2|A",RBD_KEY,0)),"M")</f>
        <v>L</v>
      </c>
      <c r="Q263" s="73">
        <f>IF(J263="","",IFERROR(INDEX(LMH_PTS,MATCH(J263,LMH_KEY,0))/SUM(IFERROR(INDEX(LMH_PTS,MATCH(J263,LMH_KEY,0)),0),IFERROR(INDEX(LMH_PTS,MATCH(K263,LMH_KEY,0)),0),IFERROR(INDEX(LMH_PTS,MATCH(L263,LMH_KEY,0)),0),IFERROR(INDEX(LMH_PTS,MATCH(M263,LMH_KEY,0)),0),IFERROR(INDEX(LMH_PTS,MATCH(N263,LMH_KEY,0)),0),IFERROR(INDEX(LMH_PTS,MATCH(O263,LMH_KEY,0)),0),IFERROR(INDEX(LMH_PTS,MATCH(P263,LMH_KEY,0)),0)),""))</f>
        <v>0.473684210526316</v>
      </c>
      <c r="R263" s="74">
        <f>IF(K263="","",IFERROR(INDEX(LMH_PTS,MATCH(K263,LMH_KEY,0))/SUM(IFERROR(INDEX(LMH_PTS,MATCH(J263,LMH_KEY,0)),0),IFERROR(INDEX(LMH_PTS,MATCH(K263,LMH_KEY,0)),0),IFERROR(INDEX(LMH_PTS,MATCH(L263,LMH_KEY,0)),0),IFERROR(INDEX(LMH_PTS,MATCH(M263,LMH_KEY,0)),0),IFERROR(INDEX(LMH_PTS,MATCH(N263,LMH_KEY,0)),0),IFERROR(INDEX(LMH_PTS,MATCH(O263,LMH_KEY,0)),0),IFERROR(INDEX(LMH_PTS,MATCH(P263,LMH_KEY,0)),0)),""))</f>
        <v>0.157894736842105</v>
      </c>
      <c r="S263" s="74">
        <f>IF(L263="","",IFERROR(INDEX(LMH_PTS,MATCH(L263,LMH_KEY,0))/SUM(IFERROR(INDEX(LMH_PTS,MATCH(J263,LMH_KEY,0)),0),IFERROR(INDEX(LMH_PTS,MATCH(K263,LMH_KEY,0)),0),IFERROR(INDEX(LMH_PTS,MATCH(L263,LMH_KEY,0)),0),IFERROR(INDEX(LMH_PTS,MATCH(M263,LMH_KEY,0)),0),IFERROR(INDEX(LMH_PTS,MATCH(N263,LMH_KEY,0)),0),IFERROR(INDEX(LMH_PTS,MATCH(O263,LMH_KEY,0)),0),IFERROR(INDEX(LMH_PTS,MATCH(P263,LMH_KEY,0)),0)),""))</f>
        <v>0.157894736842105</v>
      </c>
      <c r="T263" s="74">
        <f>IF(M263="","",IFERROR(INDEX(LMH_PTS,MATCH(M263,LMH_KEY,0))/SUM(IFERROR(INDEX(LMH_PTS,MATCH(J263,LMH_KEY,0)),0),IFERROR(INDEX(LMH_PTS,MATCH(K263,LMH_KEY,0)),0),IFERROR(INDEX(LMH_PTS,MATCH(L263,LMH_KEY,0)),0),IFERROR(INDEX(LMH_PTS,MATCH(M263,LMH_KEY,0)),0),IFERROR(INDEX(LMH_PTS,MATCH(N263,LMH_KEY,0)),0),IFERROR(INDEX(LMH_PTS,MATCH(O263,LMH_KEY,0)),0),IFERROR(INDEX(LMH_PTS,MATCH(P263,LMH_KEY,0)),0)),""))</f>
        <v>0.0526315789473684</v>
      </c>
      <c r="U263" s="74">
        <f>IF(N263="","",IFERROR(INDEX(LMH_PTS,MATCH(N263,LMH_KEY,0))/SUM(IFERROR(INDEX(LMH_PTS,MATCH(J263,LMH_KEY,0)),0),IFERROR(INDEX(LMH_PTS,MATCH(K263,LMH_KEY,0)),0),IFERROR(INDEX(LMH_PTS,MATCH(L263,LMH_KEY,0)),0),IFERROR(INDEX(LMH_PTS,MATCH(M263,LMH_KEY,0)),0),IFERROR(INDEX(LMH_PTS,MATCH(N263,LMH_KEY,0)),0),IFERROR(INDEX(LMH_PTS,MATCH(O263,LMH_KEY,0)),0),IFERROR(INDEX(LMH_PTS,MATCH(P263,LMH_KEY,0)),0)),""))</f>
        <v>0.0526315789473684</v>
      </c>
      <c r="V263" s="74">
        <f>IF(O263="","",IFERROR(INDEX(LMH_PTS,MATCH(O263,LMH_KEY,0))/SUM(IFERROR(INDEX(LMH_PTS,MATCH(J263,LMH_KEY,0)),0),IFERROR(INDEX(LMH_PTS,MATCH(K263,LMH_KEY,0)),0),IFERROR(INDEX(LMH_PTS,MATCH(L263,LMH_KEY,0)),0),IFERROR(INDEX(LMH_PTS,MATCH(M263,LMH_KEY,0)),0),IFERROR(INDEX(LMH_PTS,MATCH(N263,LMH_KEY,0)),0),IFERROR(INDEX(LMH_PTS,MATCH(O263,LMH_KEY,0)),0),IFERROR(INDEX(LMH_PTS,MATCH(P263,LMH_KEY,0)),0)),""))</f>
        <v>0.0526315789473684</v>
      </c>
      <c r="W263" s="74">
        <f>IF(P263="","",IFERROR(INDEX(LMH_PTS,MATCH(P263,LMH_KEY,0))/SUM(IFERROR(INDEX(LMH_PTS,MATCH(J263,LMH_KEY,0)),0),IFERROR(INDEX(LMH_PTS,MATCH(K263,LMH_KEY,0)),0),IFERROR(INDEX(LMH_PTS,MATCH(L263,LMH_KEY,0)),0),IFERROR(INDEX(LMH_PTS,MATCH(M263,LMH_KEY,0)),0),IFERROR(INDEX(LMH_PTS,MATCH(N263,LMH_KEY,0)),0),IFERROR(INDEX(LMH_PTS,MATCH(O263,LMH_KEY,0)),0),IFERROR(INDEX(LMH_PTS,MATCH(P263,LMH_KEY,0)),0)),""))</f>
        <v>0.0526315789473684</v>
      </c>
      <c r="X263" s="44" t="n"/>
      <c r="Y263" s="38" t="inlineStr">
        <is>
          <t>Datatech|Datatech - Outreach|MIS Associate|A2|A</t>
        </is>
      </c>
    </row>
    <row r="264" ht="18" customHeight="1">
      <c r="A264" s="28" t="inlineStr">
        <is>
          <t>Datatech</t>
        </is>
      </c>
      <c r="B264" s="29" t="inlineStr">
        <is>
          <t>Datatech - Outreach</t>
        </is>
      </c>
      <c r="C264" s="75" t="inlineStr">
        <is>
          <t>A2</t>
        </is>
      </c>
      <c r="D264" s="29" t="inlineStr">
        <is>
          <t>Band A · Practitioner</t>
        </is>
      </c>
      <c r="E264" s="29" t="inlineStr">
        <is>
          <t>Program Executive</t>
        </is>
      </c>
      <c r="F264" s="29" t="inlineStr">
        <is>
          <t>Band A · all tracks</t>
        </is>
      </c>
      <c r="G264" s="29" t="inlineStr">
        <is>
          <t>Sales &amp; Business Development</t>
        </is>
      </c>
      <c r="H264" s="29" t="n">
        <v>2</v>
      </c>
      <c r="I264" s="29" t="inlineStr">
        <is>
          <t>Jothi Pillai, Vaibhav Dukare</t>
        </is>
      </c>
      <c r="J264" s="34" t="str">
        <f>IFERROR(INDEX(RBD_C,MATCH("Sales &amp; Business Development|A2|A",RBD_KEY,0)),"M")</f>
        <v>H</v>
      </c>
      <c r="K264" s="35" t="str">
        <f>IFERROR(INDEX(RBD_Au,MATCH("Sales &amp; Business Development|A2|A",RBD_KEY,0)),"M")</f>
        <v>M</v>
      </c>
      <c r="L264" s="35" t="str">
        <f>IFERROR(INDEX(RBD_Ac,MATCH("Sales &amp; Business Development|A2|A",RBD_KEY,0)),"M")</f>
        <v>L</v>
      </c>
      <c r="M264" s="35" t="str">
        <f>IFERROR(INDEX(RBD_L,MATCH("Sales &amp; Business Development|A2|A",RBD_KEY,0)),"M")</f>
        <v>L</v>
      </c>
      <c r="N264" s="35" t="str">
        <f>IFERROR(INDEX(RBD_BI,MATCH("Sales &amp; Business Development|A2|A",RBD_KEY,0)),"M")</f>
        <v>M</v>
      </c>
      <c r="O264" s="35" t="str">
        <f>IFERROR(INDEX(RBD_Exp,MATCH("Sales &amp; Business Development|A2|A",RBD_KEY,0)),"M")</f>
        <v>L</v>
      </c>
      <c r="P264" s="35" t="str">
        <f>IFERROR(INDEX(RBD_Edu,MATCH("Sales &amp; Business Development|A2|A",RBD_KEY,0)),"M")</f>
        <v>L</v>
      </c>
      <c r="Q264" s="73">
        <f>IF(J264="","",IFERROR(INDEX(LMH_PTS,MATCH(J264,LMH_KEY,0))/SUM(IFERROR(INDEX(LMH_PTS,MATCH(J264,LMH_KEY,0)),0),IFERROR(INDEX(LMH_PTS,MATCH(K264,LMH_KEY,0)),0),IFERROR(INDEX(LMH_PTS,MATCH(L264,LMH_KEY,0)),0),IFERROR(INDEX(LMH_PTS,MATCH(M264,LMH_KEY,0)),0),IFERROR(INDEX(LMH_PTS,MATCH(N264,LMH_KEY,0)),0),IFERROR(INDEX(LMH_PTS,MATCH(O264,LMH_KEY,0)),0),IFERROR(INDEX(LMH_PTS,MATCH(P264,LMH_KEY,0)),0)),""))</f>
        <v>0.473684210526316</v>
      </c>
      <c r="R264" s="74">
        <f>IF(K264="","",IFERROR(INDEX(LMH_PTS,MATCH(K264,LMH_KEY,0))/SUM(IFERROR(INDEX(LMH_PTS,MATCH(J264,LMH_KEY,0)),0),IFERROR(INDEX(LMH_PTS,MATCH(K264,LMH_KEY,0)),0),IFERROR(INDEX(LMH_PTS,MATCH(L264,LMH_KEY,0)),0),IFERROR(INDEX(LMH_PTS,MATCH(M264,LMH_KEY,0)),0),IFERROR(INDEX(LMH_PTS,MATCH(N264,LMH_KEY,0)),0),IFERROR(INDEX(LMH_PTS,MATCH(O264,LMH_KEY,0)),0),IFERROR(INDEX(LMH_PTS,MATCH(P264,LMH_KEY,0)),0)),""))</f>
        <v>0.157894736842105</v>
      </c>
      <c r="S264" s="74">
        <f>IF(L264="","",IFERROR(INDEX(LMH_PTS,MATCH(L264,LMH_KEY,0))/SUM(IFERROR(INDEX(LMH_PTS,MATCH(J264,LMH_KEY,0)),0),IFERROR(INDEX(LMH_PTS,MATCH(K264,LMH_KEY,0)),0),IFERROR(INDEX(LMH_PTS,MATCH(L264,LMH_KEY,0)),0),IFERROR(INDEX(LMH_PTS,MATCH(M264,LMH_KEY,0)),0),IFERROR(INDEX(LMH_PTS,MATCH(N264,LMH_KEY,0)),0),IFERROR(INDEX(LMH_PTS,MATCH(O264,LMH_KEY,0)),0),IFERROR(INDEX(LMH_PTS,MATCH(P264,LMH_KEY,0)),0)),""))</f>
        <v>0.0526315789473684</v>
      </c>
      <c r="T264" s="74">
        <f>IF(M264="","",IFERROR(INDEX(LMH_PTS,MATCH(M264,LMH_KEY,0))/SUM(IFERROR(INDEX(LMH_PTS,MATCH(J264,LMH_KEY,0)),0),IFERROR(INDEX(LMH_PTS,MATCH(K264,LMH_KEY,0)),0),IFERROR(INDEX(LMH_PTS,MATCH(L264,LMH_KEY,0)),0),IFERROR(INDEX(LMH_PTS,MATCH(M264,LMH_KEY,0)),0),IFERROR(INDEX(LMH_PTS,MATCH(N264,LMH_KEY,0)),0),IFERROR(INDEX(LMH_PTS,MATCH(O264,LMH_KEY,0)),0),IFERROR(INDEX(LMH_PTS,MATCH(P264,LMH_KEY,0)),0)),""))</f>
        <v>0.0526315789473684</v>
      </c>
      <c r="U264" s="74">
        <f>IF(N264="","",IFERROR(INDEX(LMH_PTS,MATCH(N264,LMH_KEY,0))/SUM(IFERROR(INDEX(LMH_PTS,MATCH(J264,LMH_KEY,0)),0),IFERROR(INDEX(LMH_PTS,MATCH(K264,LMH_KEY,0)),0),IFERROR(INDEX(LMH_PTS,MATCH(L264,LMH_KEY,0)),0),IFERROR(INDEX(LMH_PTS,MATCH(M264,LMH_KEY,0)),0),IFERROR(INDEX(LMH_PTS,MATCH(N264,LMH_KEY,0)),0),IFERROR(INDEX(LMH_PTS,MATCH(O264,LMH_KEY,0)),0),IFERROR(INDEX(LMH_PTS,MATCH(P264,LMH_KEY,0)),0)),""))</f>
        <v>0.157894736842105</v>
      </c>
      <c r="V264" s="74">
        <f>IF(O264="","",IFERROR(INDEX(LMH_PTS,MATCH(O264,LMH_KEY,0))/SUM(IFERROR(INDEX(LMH_PTS,MATCH(J264,LMH_KEY,0)),0),IFERROR(INDEX(LMH_PTS,MATCH(K264,LMH_KEY,0)),0),IFERROR(INDEX(LMH_PTS,MATCH(L264,LMH_KEY,0)),0),IFERROR(INDEX(LMH_PTS,MATCH(M264,LMH_KEY,0)),0),IFERROR(INDEX(LMH_PTS,MATCH(N264,LMH_KEY,0)),0),IFERROR(INDEX(LMH_PTS,MATCH(O264,LMH_KEY,0)),0),IFERROR(INDEX(LMH_PTS,MATCH(P264,LMH_KEY,0)),0)),""))</f>
        <v>0.0526315789473684</v>
      </c>
      <c r="W264" s="74">
        <f>IF(P264="","",IFERROR(INDEX(LMH_PTS,MATCH(P264,LMH_KEY,0))/SUM(IFERROR(INDEX(LMH_PTS,MATCH(J264,LMH_KEY,0)),0),IFERROR(INDEX(LMH_PTS,MATCH(K264,LMH_KEY,0)),0),IFERROR(INDEX(LMH_PTS,MATCH(L264,LMH_KEY,0)),0),IFERROR(INDEX(LMH_PTS,MATCH(M264,LMH_KEY,0)),0),IFERROR(INDEX(LMH_PTS,MATCH(N264,LMH_KEY,0)),0),IFERROR(INDEX(LMH_PTS,MATCH(O264,LMH_KEY,0)),0),IFERROR(INDEX(LMH_PTS,MATCH(P264,LMH_KEY,0)),0)),""))</f>
        <v>0.0526315789473684</v>
      </c>
      <c r="X264" s="44" t="n"/>
      <c r="Y264" s="38" t="inlineStr">
        <is>
          <t>Datatech|Datatech - Outreach|Program Executive|A2|A</t>
        </is>
      </c>
    </row>
    <row r="265" ht="18" customHeight="1">
      <c r="A265" s="28" t="inlineStr">
        <is>
          <t>Datatech</t>
        </is>
      </c>
      <c r="B265" s="71" t="inlineStr">
        <is>
          <t>Datatech Business Head</t>
        </is>
      </c>
      <c r="C265" s="79" t="inlineStr">
        <is>
          <t>D2</t>
        </is>
      </c>
      <c r="D265" s="29" t="inlineStr">
        <is>
          <t>Band D · Business leadership</t>
        </is>
      </c>
      <c r="E265" s="29" t="inlineStr">
        <is>
          <t>Business Head – DataTech</t>
        </is>
      </c>
      <c r="F265" s="29" t="inlineStr">
        <is>
          <t>Bands D–E · Leadership</t>
        </is>
      </c>
      <c r="G265" s="29" t="inlineStr">
        <is>
          <t>Executive Leadership</t>
        </is>
      </c>
      <c r="H265" s="29" t="n">
        <v>1</v>
      </c>
      <c r="I265" s="29" t="inlineStr">
        <is>
          <t>Shilpa Dhobale</t>
        </is>
      </c>
      <c r="J265" s="34" t="str">
        <f>IFERROR(INDEX(RBD_C,MATCH("Executive Leadership|D2|DE",RBD_KEY,0)),"M")</f>
        <v>H</v>
      </c>
      <c r="K265" s="35" t="str">
        <f>IFERROR(INDEX(RBD_Au,MATCH("Executive Leadership|D2|DE",RBD_KEY,0)),"M")</f>
        <v>M</v>
      </c>
      <c r="L265" s="35" t="str">
        <f>IFERROR(INDEX(RBD_Ac,MATCH("Executive Leadership|D2|DE",RBD_KEY,0)),"M")</f>
        <v>M</v>
      </c>
      <c r="M265" s="35" t="str">
        <f>IFERROR(INDEX(RBD_L,MATCH("Executive Leadership|D2|DE",RBD_KEY,0)),"M")</f>
        <v>M</v>
      </c>
      <c r="N265" s="35" t="str">
        <f>IFERROR(INDEX(RBD_BI,MATCH("Executive Leadership|D2|DE",RBD_KEY,0)),"M")</f>
        <v>L</v>
      </c>
      <c r="O265" s="35" t="str">
        <f>IFERROR(INDEX(RBD_Exp,MATCH("Executive Leadership|D2|DE",RBD_KEY,0)),"M")</f>
        <v>L</v>
      </c>
      <c r="P265" s="35" t="str">
        <f>IFERROR(INDEX(RBD_Edu,MATCH("Executive Leadership|D2|DE",RBD_KEY,0)),"M")</f>
        <v>L</v>
      </c>
      <c r="Q265" s="73">
        <f>IF(J265="","",IFERROR(INDEX(LMH_PTS,MATCH(J265,LMH_KEY,0))/SUM(IFERROR(INDEX(LMH_PTS,MATCH(J265,LMH_KEY,0)),0),IFERROR(INDEX(LMH_PTS,MATCH(K265,LMH_KEY,0)),0),IFERROR(INDEX(LMH_PTS,MATCH(L265,LMH_KEY,0)),0),IFERROR(INDEX(LMH_PTS,MATCH(M265,LMH_KEY,0)),0),IFERROR(INDEX(LMH_PTS,MATCH(N265,LMH_KEY,0)),0),IFERROR(INDEX(LMH_PTS,MATCH(O265,LMH_KEY,0)),0),IFERROR(INDEX(LMH_PTS,MATCH(P265,LMH_KEY,0)),0)),""))</f>
        <v>0.428571428571429</v>
      </c>
      <c r="R265" s="74">
        <f>IF(K265="","",IFERROR(INDEX(LMH_PTS,MATCH(K265,LMH_KEY,0))/SUM(IFERROR(INDEX(LMH_PTS,MATCH(J265,LMH_KEY,0)),0),IFERROR(INDEX(LMH_PTS,MATCH(K265,LMH_KEY,0)),0),IFERROR(INDEX(LMH_PTS,MATCH(L265,LMH_KEY,0)),0),IFERROR(INDEX(LMH_PTS,MATCH(M265,LMH_KEY,0)),0),IFERROR(INDEX(LMH_PTS,MATCH(N265,LMH_KEY,0)),0),IFERROR(INDEX(LMH_PTS,MATCH(O265,LMH_KEY,0)),0),IFERROR(INDEX(LMH_PTS,MATCH(P265,LMH_KEY,0)),0)),""))</f>
        <v>0.142857142857143</v>
      </c>
      <c r="S265" s="74">
        <f>IF(L265="","",IFERROR(INDEX(LMH_PTS,MATCH(L265,LMH_KEY,0))/SUM(IFERROR(INDEX(LMH_PTS,MATCH(J265,LMH_KEY,0)),0),IFERROR(INDEX(LMH_PTS,MATCH(K265,LMH_KEY,0)),0),IFERROR(INDEX(LMH_PTS,MATCH(L265,LMH_KEY,0)),0),IFERROR(INDEX(LMH_PTS,MATCH(M265,LMH_KEY,0)),0),IFERROR(INDEX(LMH_PTS,MATCH(N265,LMH_KEY,0)),0),IFERROR(INDEX(LMH_PTS,MATCH(O265,LMH_KEY,0)),0),IFERROR(INDEX(LMH_PTS,MATCH(P265,LMH_KEY,0)),0)),""))</f>
        <v>0.142857142857143</v>
      </c>
      <c r="T265" s="74">
        <f>IF(M265="","",IFERROR(INDEX(LMH_PTS,MATCH(M265,LMH_KEY,0))/SUM(IFERROR(INDEX(LMH_PTS,MATCH(J265,LMH_KEY,0)),0),IFERROR(INDEX(LMH_PTS,MATCH(K265,LMH_KEY,0)),0),IFERROR(INDEX(LMH_PTS,MATCH(L265,LMH_KEY,0)),0),IFERROR(INDEX(LMH_PTS,MATCH(M265,LMH_KEY,0)),0),IFERROR(INDEX(LMH_PTS,MATCH(N265,LMH_KEY,0)),0),IFERROR(INDEX(LMH_PTS,MATCH(O265,LMH_KEY,0)),0),IFERROR(INDEX(LMH_PTS,MATCH(P265,LMH_KEY,0)),0)),""))</f>
        <v>0.142857142857143</v>
      </c>
      <c r="U265" s="74">
        <f>IF(N265="","",IFERROR(INDEX(LMH_PTS,MATCH(N265,LMH_KEY,0))/SUM(IFERROR(INDEX(LMH_PTS,MATCH(J265,LMH_KEY,0)),0),IFERROR(INDEX(LMH_PTS,MATCH(K265,LMH_KEY,0)),0),IFERROR(INDEX(LMH_PTS,MATCH(L265,LMH_KEY,0)),0),IFERROR(INDEX(LMH_PTS,MATCH(M265,LMH_KEY,0)),0),IFERROR(INDEX(LMH_PTS,MATCH(N265,LMH_KEY,0)),0),IFERROR(INDEX(LMH_PTS,MATCH(O265,LMH_KEY,0)),0),IFERROR(INDEX(LMH_PTS,MATCH(P265,LMH_KEY,0)),0)),""))</f>
        <v>0.0476190476190476</v>
      </c>
      <c r="V265" s="74">
        <f>IF(O265="","",IFERROR(INDEX(LMH_PTS,MATCH(O265,LMH_KEY,0))/SUM(IFERROR(INDEX(LMH_PTS,MATCH(J265,LMH_KEY,0)),0),IFERROR(INDEX(LMH_PTS,MATCH(K265,LMH_KEY,0)),0),IFERROR(INDEX(LMH_PTS,MATCH(L265,LMH_KEY,0)),0),IFERROR(INDEX(LMH_PTS,MATCH(M265,LMH_KEY,0)),0),IFERROR(INDEX(LMH_PTS,MATCH(N265,LMH_KEY,0)),0),IFERROR(INDEX(LMH_PTS,MATCH(O265,LMH_KEY,0)),0),IFERROR(INDEX(LMH_PTS,MATCH(P265,LMH_KEY,0)),0)),""))</f>
        <v>0.0476190476190476</v>
      </c>
      <c r="W265" s="74">
        <f>IF(P265="","",IFERROR(INDEX(LMH_PTS,MATCH(P265,LMH_KEY,0))/SUM(IFERROR(INDEX(LMH_PTS,MATCH(J265,LMH_KEY,0)),0),IFERROR(INDEX(LMH_PTS,MATCH(K265,LMH_KEY,0)),0),IFERROR(INDEX(LMH_PTS,MATCH(L265,LMH_KEY,0)),0),IFERROR(INDEX(LMH_PTS,MATCH(M265,LMH_KEY,0)),0),IFERROR(INDEX(LMH_PTS,MATCH(N265,LMH_KEY,0)),0),IFERROR(INDEX(LMH_PTS,MATCH(O265,LMH_KEY,0)),0),IFERROR(INDEX(LMH_PTS,MATCH(P265,LMH_KEY,0)),0)),""))</f>
        <v>0.0476190476190476</v>
      </c>
      <c r="X265" s="44" t="n"/>
      <c r="Y265" s="38" t="inlineStr">
        <is>
          <t>Datatech|Datatech Business Head|Business Head – DataTech|D2|DE</t>
        </is>
      </c>
    </row>
    <row r="266" ht="28" customHeight="1">
      <c r="A266" s="28" t="inlineStr">
        <is>
          <t>Datatech</t>
        </is>
      </c>
      <c r="B266" s="71" t="inlineStr">
        <is>
          <t>Marketing</t>
        </is>
      </c>
      <c r="C266" s="72" t="inlineStr">
        <is>
          <t>B2</t>
        </is>
      </c>
      <c r="D266" s="29" t="inlineStr">
        <is>
          <t>Band B · Specialist / Manager</t>
        </is>
      </c>
      <c r="E266" s="29" t="inlineStr">
        <is>
          <t>Marketing Specialist – POD Lead</t>
        </is>
      </c>
      <c r="F266" s="29" t="inlineStr">
        <is>
          <t>Band B · Specialist / POD Lead</t>
        </is>
      </c>
      <c r="G266" s="29" t="inlineStr">
        <is>
          <t>Marketing &amp; Communications</t>
        </is>
      </c>
      <c r="H266" s="29" t="n">
        <v>1</v>
      </c>
      <c r="I266" s="29" t="inlineStr">
        <is>
          <t>Ankita Pathak</t>
        </is>
      </c>
      <c r="J266" s="34" t="str">
        <f>IFERROR(INDEX(RBD_C,MATCH("Marketing &amp; Communications|B2|B-IC",RBD_KEY,0)),"M")</f>
        <v>H</v>
      </c>
      <c r="K266" s="35" t="str">
        <f>IFERROR(INDEX(RBD_Au,MATCH("Marketing &amp; Communications|B2|B-IC",RBD_KEY,0)),"M")</f>
        <v>M</v>
      </c>
      <c r="L266" s="35" t="str">
        <f>IFERROR(INDEX(RBD_Ac,MATCH("Marketing &amp; Communications|B2|B-IC",RBD_KEY,0)),"M")</f>
        <v>L</v>
      </c>
      <c r="M266" s="35" t="str">
        <f>IFERROR(INDEX(RBD_L,MATCH("Marketing &amp; Communications|B2|B-IC",RBD_KEY,0)),"M")</f>
        <v>L</v>
      </c>
      <c r="N266" s="35" t="str">
        <f>IFERROR(INDEX(RBD_BI,MATCH("Marketing &amp; Communications|B2|B-IC",RBD_KEY,0)),"M")</f>
        <v>M</v>
      </c>
      <c r="O266" s="35" t="str">
        <f>IFERROR(INDEX(RBD_Exp,MATCH("Marketing &amp; Communications|B2|B-IC",RBD_KEY,0)),"M")</f>
        <v>L</v>
      </c>
      <c r="P266" s="35" t="str">
        <f>IFERROR(INDEX(RBD_Edu,MATCH("Marketing &amp; Communications|B2|B-IC",RBD_KEY,0)),"M")</f>
        <v>L</v>
      </c>
      <c r="Q266" s="73">
        <f>IF(J266="","",IFERROR(INDEX(LMH_PTS,MATCH(J266,LMH_KEY,0))/SUM(IFERROR(INDEX(LMH_PTS,MATCH(J266,LMH_KEY,0)),0),IFERROR(INDEX(LMH_PTS,MATCH(K266,LMH_KEY,0)),0),IFERROR(INDEX(LMH_PTS,MATCH(L266,LMH_KEY,0)),0),IFERROR(INDEX(LMH_PTS,MATCH(M266,LMH_KEY,0)),0),IFERROR(INDEX(LMH_PTS,MATCH(N266,LMH_KEY,0)),0),IFERROR(INDEX(LMH_PTS,MATCH(O266,LMH_KEY,0)),0),IFERROR(INDEX(LMH_PTS,MATCH(P266,LMH_KEY,0)),0)),""))</f>
        <v>0.473684210526316</v>
      </c>
      <c r="R266" s="74">
        <f>IF(K266="","",IFERROR(INDEX(LMH_PTS,MATCH(K266,LMH_KEY,0))/SUM(IFERROR(INDEX(LMH_PTS,MATCH(J266,LMH_KEY,0)),0),IFERROR(INDEX(LMH_PTS,MATCH(K266,LMH_KEY,0)),0),IFERROR(INDEX(LMH_PTS,MATCH(L266,LMH_KEY,0)),0),IFERROR(INDEX(LMH_PTS,MATCH(M266,LMH_KEY,0)),0),IFERROR(INDEX(LMH_PTS,MATCH(N266,LMH_KEY,0)),0),IFERROR(INDEX(LMH_PTS,MATCH(O266,LMH_KEY,0)),0),IFERROR(INDEX(LMH_PTS,MATCH(P266,LMH_KEY,0)),0)),""))</f>
        <v>0.157894736842105</v>
      </c>
      <c r="S266" s="74">
        <f>IF(L266="","",IFERROR(INDEX(LMH_PTS,MATCH(L266,LMH_KEY,0))/SUM(IFERROR(INDEX(LMH_PTS,MATCH(J266,LMH_KEY,0)),0),IFERROR(INDEX(LMH_PTS,MATCH(K266,LMH_KEY,0)),0),IFERROR(INDEX(LMH_PTS,MATCH(L266,LMH_KEY,0)),0),IFERROR(INDEX(LMH_PTS,MATCH(M266,LMH_KEY,0)),0),IFERROR(INDEX(LMH_PTS,MATCH(N266,LMH_KEY,0)),0),IFERROR(INDEX(LMH_PTS,MATCH(O266,LMH_KEY,0)),0),IFERROR(INDEX(LMH_PTS,MATCH(P266,LMH_KEY,0)),0)),""))</f>
        <v>0.0526315789473684</v>
      </c>
      <c r="T266" s="74">
        <f>IF(M266="","",IFERROR(INDEX(LMH_PTS,MATCH(M266,LMH_KEY,0))/SUM(IFERROR(INDEX(LMH_PTS,MATCH(J266,LMH_KEY,0)),0),IFERROR(INDEX(LMH_PTS,MATCH(K266,LMH_KEY,0)),0),IFERROR(INDEX(LMH_PTS,MATCH(L266,LMH_KEY,0)),0),IFERROR(INDEX(LMH_PTS,MATCH(M266,LMH_KEY,0)),0),IFERROR(INDEX(LMH_PTS,MATCH(N266,LMH_KEY,0)),0),IFERROR(INDEX(LMH_PTS,MATCH(O266,LMH_KEY,0)),0),IFERROR(INDEX(LMH_PTS,MATCH(P266,LMH_KEY,0)),0)),""))</f>
        <v>0.0526315789473684</v>
      </c>
      <c r="U266" s="74">
        <f>IF(N266="","",IFERROR(INDEX(LMH_PTS,MATCH(N266,LMH_KEY,0))/SUM(IFERROR(INDEX(LMH_PTS,MATCH(J266,LMH_KEY,0)),0),IFERROR(INDEX(LMH_PTS,MATCH(K266,LMH_KEY,0)),0),IFERROR(INDEX(LMH_PTS,MATCH(L266,LMH_KEY,0)),0),IFERROR(INDEX(LMH_PTS,MATCH(M266,LMH_KEY,0)),0),IFERROR(INDEX(LMH_PTS,MATCH(N266,LMH_KEY,0)),0),IFERROR(INDEX(LMH_PTS,MATCH(O266,LMH_KEY,0)),0),IFERROR(INDEX(LMH_PTS,MATCH(P266,LMH_KEY,0)),0)),""))</f>
        <v>0.157894736842105</v>
      </c>
      <c r="V266" s="74">
        <f>IF(O266="","",IFERROR(INDEX(LMH_PTS,MATCH(O266,LMH_KEY,0))/SUM(IFERROR(INDEX(LMH_PTS,MATCH(J266,LMH_KEY,0)),0),IFERROR(INDEX(LMH_PTS,MATCH(K266,LMH_KEY,0)),0),IFERROR(INDEX(LMH_PTS,MATCH(L266,LMH_KEY,0)),0),IFERROR(INDEX(LMH_PTS,MATCH(M266,LMH_KEY,0)),0),IFERROR(INDEX(LMH_PTS,MATCH(N266,LMH_KEY,0)),0),IFERROR(INDEX(LMH_PTS,MATCH(O266,LMH_KEY,0)),0),IFERROR(INDEX(LMH_PTS,MATCH(P266,LMH_KEY,0)),0)),""))</f>
        <v>0.0526315789473684</v>
      </c>
      <c r="W266" s="74">
        <f>IF(P266="","",IFERROR(INDEX(LMH_PTS,MATCH(P266,LMH_KEY,0))/SUM(IFERROR(INDEX(LMH_PTS,MATCH(J266,LMH_KEY,0)),0),IFERROR(INDEX(LMH_PTS,MATCH(K266,LMH_KEY,0)),0),IFERROR(INDEX(LMH_PTS,MATCH(L266,LMH_KEY,0)),0),IFERROR(INDEX(LMH_PTS,MATCH(M266,LMH_KEY,0)),0),IFERROR(INDEX(LMH_PTS,MATCH(N266,LMH_KEY,0)),0),IFERROR(INDEX(LMH_PTS,MATCH(O266,LMH_KEY,0)),0),IFERROR(INDEX(LMH_PTS,MATCH(P266,LMH_KEY,0)),0)),""))</f>
        <v>0.0526315789473684</v>
      </c>
      <c r="X266" s="44" t="n"/>
      <c r="Y266" s="38" t="inlineStr">
        <is>
          <t>Datatech|Marketing|Marketing Specialist – POD Lead|B2|B-IC</t>
        </is>
      </c>
    </row>
    <row r="267" ht="28" customHeight="1">
      <c r="A267" s="28" t="inlineStr">
        <is>
          <t>Datatech</t>
        </is>
      </c>
      <c r="B267" s="29" t="inlineStr">
        <is>
          <t>Marketing</t>
        </is>
      </c>
      <c r="C267" s="75" t="inlineStr">
        <is>
          <t>A3</t>
        </is>
      </c>
      <c r="D267" s="29" t="inlineStr">
        <is>
          <t>Band A · Practitioner</t>
        </is>
      </c>
      <c r="E267" s="29" t="inlineStr">
        <is>
          <t>Senior Content Marketing Associate</t>
        </is>
      </c>
      <c r="F267" s="29" t="inlineStr">
        <is>
          <t>Band A · all tracks</t>
        </is>
      </c>
      <c r="G267" s="29" t="inlineStr">
        <is>
          <t>Marketing &amp; Communications</t>
        </is>
      </c>
      <c r="H267" s="29" t="n">
        <v>1</v>
      </c>
      <c r="I267" s="29" t="inlineStr">
        <is>
          <t>Vasundhara Lella</t>
        </is>
      </c>
      <c r="J267" s="34" t="str">
        <f>IFERROR(INDEX(RBD_C,MATCH("Marketing &amp; Communications|A3|A",RBD_KEY,0)),"M")</f>
        <v>H</v>
      </c>
      <c r="K267" s="35" t="str">
        <f>IFERROR(INDEX(RBD_Au,MATCH("Marketing &amp; Communications|A3|A",RBD_KEY,0)),"M")</f>
        <v>M</v>
      </c>
      <c r="L267" s="35" t="str">
        <f>IFERROR(INDEX(RBD_Ac,MATCH("Marketing &amp; Communications|A3|A",RBD_KEY,0)),"M")</f>
        <v>L</v>
      </c>
      <c r="M267" s="35" t="str">
        <f>IFERROR(INDEX(RBD_L,MATCH("Marketing &amp; Communications|A3|A",RBD_KEY,0)),"M")</f>
        <v>L</v>
      </c>
      <c r="N267" s="35" t="str">
        <f>IFERROR(INDEX(RBD_BI,MATCH("Marketing &amp; Communications|A3|A",RBD_KEY,0)),"M")</f>
        <v>M</v>
      </c>
      <c r="O267" s="35" t="str">
        <f>IFERROR(INDEX(RBD_Exp,MATCH("Marketing &amp; Communications|A3|A",RBD_KEY,0)),"M")</f>
        <v>L</v>
      </c>
      <c r="P267" s="35" t="str">
        <f>IFERROR(INDEX(RBD_Edu,MATCH("Marketing &amp; Communications|A3|A",RBD_KEY,0)),"M")</f>
        <v>L</v>
      </c>
      <c r="Q267" s="73">
        <f>IF(J267="","",IFERROR(INDEX(LMH_PTS,MATCH(J267,LMH_KEY,0))/SUM(IFERROR(INDEX(LMH_PTS,MATCH(J267,LMH_KEY,0)),0),IFERROR(INDEX(LMH_PTS,MATCH(K267,LMH_KEY,0)),0),IFERROR(INDEX(LMH_PTS,MATCH(L267,LMH_KEY,0)),0),IFERROR(INDEX(LMH_PTS,MATCH(M267,LMH_KEY,0)),0),IFERROR(INDEX(LMH_PTS,MATCH(N267,LMH_KEY,0)),0),IFERROR(INDEX(LMH_PTS,MATCH(O267,LMH_KEY,0)),0),IFERROR(INDEX(LMH_PTS,MATCH(P267,LMH_KEY,0)),0)),""))</f>
        <v>0.473684210526316</v>
      </c>
      <c r="R267" s="74">
        <f>IF(K267="","",IFERROR(INDEX(LMH_PTS,MATCH(K267,LMH_KEY,0))/SUM(IFERROR(INDEX(LMH_PTS,MATCH(J267,LMH_KEY,0)),0),IFERROR(INDEX(LMH_PTS,MATCH(K267,LMH_KEY,0)),0),IFERROR(INDEX(LMH_PTS,MATCH(L267,LMH_KEY,0)),0),IFERROR(INDEX(LMH_PTS,MATCH(M267,LMH_KEY,0)),0),IFERROR(INDEX(LMH_PTS,MATCH(N267,LMH_KEY,0)),0),IFERROR(INDEX(LMH_PTS,MATCH(O267,LMH_KEY,0)),0),IFERROR(INDEX(LMH_PTS,MATCH(P267,LMH_KEY,0)),0)),""))</f>
        <v>0.157894736842105</v>
      </c>
      <c r="S267" s="74">
        <f>IF(L267="","",IFERROR(INDEX(LMH_PTS,MATCH(L267,LMH_KEY,0))/SUM(IFERROR(INDEX(LMH_PTS,MATCH(J267,LMH_KEY,0)),0),IFERROR(INDEX(LMH_PTS,MATCH(K267,LMH_KEY,0)),0),IFERROR(INDEX(LMH_PTS,MATCH(L267,LMH_KEY,0)),0),IFERROR(INDEX(LMH_PTS,MATCH(M267,LMH_KEY,0)),0),IFERROR(INDEX(LMH_PTS,MATCH(N267,LMH_KEY,0)),0),IFERROR(INDEX(LMH_PTS,MATCH(O267,LMH_KEY,0)),0),IFERROR(INDEX(LMH_PTS,MATCH(P267,LMH_KEY,0)),0)),""))</f>
        <v>0.0526315789473684</v>
      </c>
      <c r="T267" s="74">
        <f>IF(M267="","",IFERROR(INDEX(LMH_PTS,MATCH(M267,LMH_KEY,0))/SUM(IFERROR(INDEX(LMH_PTS,MATCH(J267,LMH_KEY,0)),0),IFERROR(INDEX(LMH_PTS,MATCH(K267,LMH_KEY,0)),0),IFERROR(INDEX(LMH_PTS,MATCH(L267,LMH_KEY,0)),0),IFERROR(INDEX(LMH_PTS,MATCH(M267,LMH_KEY,0)),0),IFERROR(INDEX(LMH_PTS,MATCH(N267,LMH_KEY,0)),0),IFERROR(INDEX(LMH_PTS,MATCH(O267,LMH_KEY,0)),0),IFERROR(INDEX(LMH_PTS,MATCH(P267,LMH_KEY,0)),0)),""))</f>
        <v>0.0526315789473684</v>
      </c>
      <c r="U267" s="74">
        <f>IF(N267="","",IFERROR(INDEX(LMH_PTS,MATCH(N267,LMH_KEY,0))/SUM(IFERROR(INDEX(LMH_PTS,MATCH(J267,LMH_KEY,0)),0),IFERROR(INDEX(LMH_PTS,MATCH(K267,LMH_KEY,0)),0),IFERROR(INDEX(LMH_PTS,MATCH(L267,LMH_KEY,0)),0),IFERROR(INDEX(LMH_PTS,MATCH(M267,LMH_KEY,0)),0),IFERROR(INDEX(LMH_PTS,MATCH(N267,LMH_KEY,0)),0),IFERROR(INDEX(LMH_PTS,MATCH(O267,LMH_KEY,0)),0),IFERROR(INDEX(LMH_PTS,MATCH(P267,LMH_KEY,0)),0)),""))</f>
        <v>0.157894736842105</v>
      </c>
      <c r="V267" s="74">
        <f>IF(O267="","",IFERROR(INDEX(LMH_PTS,MATCH(O267,LMH_KEY,0))/SUM(IFERROR(INDEX(LMH_PTS,MATCH(J267,LMH_KEY,0)),0),IFERROR(INDEX(LMH_PTS,MATCH(K267,LMH_KEY,0)),0),IFERROR(INDEX(LMH_PTS,MATCH(L267,LMH_KEY,0)),0),IFERROR(INDEX(LMH_PTS,MATCH(M267,LMH_KEY,0)),0),IFERROR(INDEX(LMH_PTS,MATCH(N267,LMH_KEY,0)),0),IFERROR(INDEX(LMH_PTS,MATCH(O267,LMH_KEY,0)),0),IFERROR(INDEX(LMH_PTS,MATCH(P267,LMH_KEY,0)),0)),""))</f>
        <v>0.0526315789473684</v>
      </c>
      <c r="W267" s="74">
        <f>IF(P267="","",IFERROR(INDEX(LMH_PTS,MATCH(P267,LMH_KEY,0))/SUM(IFERROR(INDEX(LMH_PTS,MATCH(J267,LMH_KEY,0)),0),IFERROR(INDEX(LMH_PTS,MATCH(K267,LMH_KEY,0)),0),IFERROR(INDEX(LMH_PTS,MATCH(L267,LMH_KEY,0)),0),IFERROR(INDEX(LMH_PTS,MATCH(M267,LMH_KEY,0)),0),IFERROR(INDEX(LMH_PTS,MATCH(N267,LMH_KEY,0)),0),IFERROR(INDEX(LMH_PTS,MATCH(O267,LMH_KEY,0)),0),IFERROR(INDEX(LMH_PTS,MATCH(P267,LMH_KEY,0)),0)),""))</f>
        <v>0.0526315789473684</v>
      </c>
      <c r="X267" s="44" t="n"/>
      <c r="Y267" s="38" t="inlineStr">
        <is>
          <t>Datatech|Marketing|Senior Content Marketing Associate|A3|A</t>
        </is>
      </c>
    </row>
    <row r="268" ht="28" customHeight="1">
      <c r="A268" s="28" t="inlineStr">
        <is>
          <t>Datatech</t>
        </is>
      </c>
      <c r="B268" s="29" t="inlineStr">
        <is>
          <t>Marketing</t>
        </is>
      </c>
      <c r="C268" s="75" t="inlineStr">
        <is>
          <t>A3</t>
        </is>
      </c>
      <c r="D268" s="29" t="inlineStr">
        <is>
          <t>Band A · Practitioner</t>
        </is>
      </c>
      <c r="E268" s="29" t="inlineStr">
        <is>
          <t>Senior Digital Marketing Associate</t>
        </is>
      </c>
      <c r="F268" s="29" t="inlineStr">
        <is>
          <t>Band A · all tracks</t>
        </is>
      </c>
      <c r="G268" s="29" t="inlineStr">
        <is>
          <t>Marketing &amp; Communications</t>
        </is>
      </c>
      <c r="H268" s="29" t="n">
        <v>1</v>
      </c>
      <c r="I268" s="29" t="inlineStr">
        <is>
          <t>Lalit Subhash Dhamale</t>
        </is>
      </c>
      <c r="J268" s="34" t="str">
        <f>IFERROR(INDEX(RBD_C,MATCH("Marketing &amp; Communications|A3|A",RBD_KEY,0)),"M")</f>
        <v>H</v>
      </c>
      <c r="K268" s="35" t="str">
        <f>IFERROR(INDEX(RBD_Au,MATCH("Marketing &amp; Communications|A3|A",RBD_KEY,0)),"M")</f>
        <v>M</v>
      </c>
      <c r="L268" s="35" t="str">
        <f>IFERROR(INDEX(RBD_Ac,MATCH("Marketing &amp; Communications|A3|A",RBD_KEY,0)),"M")</f>
        <v>L</v>
      </c>
      <c r="M268" s="35" t="str">
        <f>IFERROR(INDEX(RBD_L,MATCH("Marketing &amp; Communications|A3|A",RBD_KEY,0)),"M")</f>
        <v>L</v>
      </c>
      <c r="N268" s="35" t="str">
        <f>IFERROR(INDEX(RBD_BI,MATCH("Marketing &amp; Communications|A3|A",RBD_KEY,0)),"M")</f>
        <v>M</v>
      </c>
      <c r="O268" s="35" t="str">
        <f>IFERROR(INDEX(RBD_Exp,MATCH("Marketing &amp; Communications|A3|A",RBD_KEY,0)),"M")</f>
        <v>L</v>
      </c>
      <c r="P268" s="35" t="str">
        <f>IFERROR(INDEX(RBD_Edu,MATCH("Marketing &amp; Communications|A3|A",RBD_KEY,0)),"M")</f>
        <v>L</v>
      </c>
      <c r="Q268" s="73">
        <f>IF(J268="","",IFERROR(INDEX(LMH_PTS,MATCH(J268,LMH_KEY,0))/SUM(IFERROR(INDEX(LMH_PTS,MATCH(J268,LMH_KEY,0)),0),IFERROR(INDEX(LMH_PTS,MATCH(K268,LMH_KEY,0)),0),IFERROR(INDEX(LMH_PTS,MATCH(L268,LMH_KEY,0)),0),IFERROR(INDEX(LMH_PTS,MATCH(M268,LMH_KEY,0)),0),IFERROR(INDEX(LMH_PTS,MATCH(N268,LMH_KEY,0)),0),IFERROR(INDEX(LMH_PTS,MATCH(O268,LMH_KEY,0)),0),IFERROR(INDEX(LMH_PTS,MATCH(P268,LMH_KEY,0)),0)),""))</f>
        <v>0.473684210526316</v>
      </c>
      <c r="R268" s="74">
        <f>IF(K268="","",IFERROR(INDEX(LMH_PTS,MATCH(K268,LMH_KEY,0))/SUM(IFERROR(INDEX(LMH_PTS,MATCH(J268,LMH_KEY,0)),0),IFERROR(INDEX(LMH_PTS,MATCH(K268,LMH_KEY,0)),0),IFERROR(INDEX(LMH_PTS,MATCH(L268,LMH_KEY,0)),0),IFERROR(INDEX(LMH_PTS,MATCH(M268,LMH_KEY,0)),0),IFERROR(INDEX(LMH_PTS,MATCH(N268,LMH_KEY,0)),0),IFERROR(INDEX(LMH_PTS,MATCH(O268,LMH_KEY,0)),0),IFERROR(INDEX(LMH_PTS,MATCH(P268,LMH_KEY,0)),0)),""))</f>
        <v>0.157894736842105</v>
      </c>
      <c r="S268" s="74">
        <f>IF(L268="","",IFERROR(INDEX(LMH_PTS,MATCH(L268,LMH_KEY,0))/SUM(IFERROR(INDEX(LMH_PTS,MATCH(J268,LMH_KEY,0)),0),IFERROR(INDEX(LMH_PTS,MATCH(K268,LMH_KEY,0)),0),IFERROR(INDEX(LMH_PTS,MATCH(L268,LMH_KEY,0)),0),IFERROR(INDEX(LMH_PTS,MATCH(M268,LMH_KEY,0)),0),IFERROR(INDEX(LMH_PTS,MATCH(N268,LMH_KEY,0)),0),IFERROR(INDEX(LMH_PTS,MATCH(O268,LMH_KEY,0)),0),IFERROR(INDEX(LMH_PTS,MATCH(P268,LMH_KEY,0)),0)),""))</f>
        <v>0.0526315789473684</v>
      </c>
      <c r="T268" s="74">
        <f>IF(M268="","",IFERROR(INDEX(LMH_PTS,MATCH(M268,LMH_KEY,0))/SUM(IFERROR(INDEX(LMH_PTS,MATCH(J268,LMH_KEY,0)),0),IFERROR(INDEX(LMH_PTS,MATCH(K268,LMH_KEY,0)),0),IFERROR(INDEX(LMH_PTS,MATCH(L268,LMH_KEY,0)),0),IFERROR(INDEX(LMH_PTS,MATCH(M268,LMH_KEY,0)),0),IFERROR(INDEX(LMH_PTS,MATCH(N268,LMH_KEY,0)),0),IFERROR(INDEX(LMH_PTS,MATCH(O268,LMH_KEY,0)),0),IFERROR(INDEX(LMH_PTS,MATCH(P268,LMH_KEY,0)),0)),""))</f>
        <v>0.0526315789473684</v>
      </c>
      <c r="U268" s="74">
        <f>IF(N268="","",IFERROR(INDEX(LMH_PTS,MATCH(N268,LMH_KEY,0))/SUM(IFERROR(INDEX(LMH_PTS,MATCH(J268,LMH_KEY,0)),0),IFERROR(INDEX(LMH_PTS,MATCH(K268,LMH_KEY,0)),0),IFERROR(INDEX(LMH_PTS,MATCH(L268,LMH_KEY,0)),0),IFERROR(INDEX(LMH_PTS,MATCH(M268,LMH_KEY,0)),0),IFERROR(INDEX(LMH_PTS,MATCH(N268,LMH_KEY,0)),0),IFERROR(INDEX(LMH_PTS,MATCH(O268,LMH_KEY,0)),0),IFERROR(INDEX(LMH_PTS,MATCH(P268,LMH_KEY,0)),0)),""))</f>
        <v>0.157894736842105</v>
      </c>
      <c r="V268" s="74">
        <f>IF(O268="","",IFERROR(INDEX(LMH_PTS,MATCH(O268,LMH_KEY,0))/SUM(IFERROR(INDEX(LMH_PTS,MATCH(J268,LMH_KEY,0)),0),IFERROR(INDEX(LMH_PTS,MATCH(K268,LMH_KEY,0)),0),IFERROR(INDEX(LMH_PTS,MATCH(L268,LMH_KEY,0)),0),IFERROR(INDEX(LMH_PTS,MATCH(M268,LMH_KEY,0)),0),IFERROR(INDEX(LMH_PTS,MATCH(N268,LMH_KEY,0)),0),IFERROR(INDEX(LMH_PTS,MATCH(O268,LMH_KEY,0)),0),IFERROR(INDEX(LMH_PTS,MATCH(P268,LMH_KEY,0)),0)),""))</f>
        <v>0.0526315789473684</v>
      </c>
      <c r="W268" s="74">
        <f>IF(P268="","",IFERROR(INDEX(LMH_PTS,MATCH(P268,LMH_KEY,0))/SUM(IFERROR(INDEX(LMH_PTS,MATCH(J268,LMH_KEY,0)),0),IFERROR(INDEX(LMH_PTS,MATCH(K268,LMH_KEY,0)),0),IFERROR(INDEX(LMH_PTS,MATCH(L268,LMH_KEY,0)),0),IFERROR(INDEX(LMH_PTS,MATCH(M268,LMH_KEY,0)),0),IFERROR(INDEX(LMH_PTS,MATCH(N268,LMH_KEY,0)),0),IFERROR(INDEX(LMH_PTS,MATCH(O268,LMH_KEY,0)),0),IFERROR(INDEX(LMH_PTS,MATCH(P268,LMH_KEY,0)),0)),""))</f>
        <v>0.0526315789473684</v>
      </c>
      <c r="X268" s="44" t="n"/>
      <c r="Y268" s="38" t="inlineStr">
        <is>
          <t>Datatech|Marketing|Senior Digital Marketing Associate|A3|A</t>
        </is>
      </c>
    </row>
    <row r="269" ht="18" customHeight="1">
      <c r="A269" s="28" t="inlineStr">
        <is>
          <t>Datatech</t>
        </is>
      </c>
      <c r="B269" s="29" t="inlineStr">
        <is>
          <t>Marketing</t>
        </is>
      </c>
      <c r="C269" s="75" t="inlineStr">
        <is>
          <t>A2</t>
        </is>
      </c>
      <c r="D269" s="29" t="inlineStr">
        <is>
          <t>Band A · Practitioner</t>
        </is>
      </c>
      <c r="E269" s="29" t="inlineStr">
        <is>
          <t>Designer</t>
        </is>
      </c>
      <c r="F269" s="29" t="inlineStr">
        <is>
          <t>Band A · all tracks</t>
        </is>
      </c>
      <c r="G269" s="29" t="inlineStr">
        <is>
          <t>Design &amp; Creative</t>
        </is>
      </c>
      <c r="H269" s="29" t="n">
        <v>1</v>
      </c>
      <c r="I269" s="29" t="inlineStr">
        <is>
          <t>Vaishnavi Dhuri</t>
        </is>
      </c>
      <c r="J269" s="34" t="str">
        <f>IFERROR(INDEX(RBD_C,MATCH("Design &amp; Creative|A2|A",RBD_KEY,0)),"M")</f>
        <v>H</v>
      </c>
      <c r="K269" s="35" t="str">
        <f>IFERROR(INDEX(RBD_Au,MATCH("Design &amp; Creative|A2|A",RBD_KEY,0)),"M")</f>
        <v>M</v>
      </c>
      <c r="L269" s="35" t="str">
        <f>IFERROR(INDEX(RBD_Ac,MATCH("Design &amp; Creative|A2|A",RBD_KEY,0)),"M")</f>
        <v>L</v>
      </c>
      <c r="M269" s="35" t="str">
        <f>IFERROR(INDEX(RBD_L,MATCH("Design &amp; Creative|A2|A",RBD_KEY,0)),"M")</f>
        <v>L</v>
      </c>
      <c r="N269" s="35" t="str">
        <f>IFERROR(INDEX(RBD_BI,MATCH("Design &amp; Creative|A2|A",RBD_KEY,0)),"M")</f>
        <v>M</v>
      </c>
      <c r="O269" s="35" t="str">
        <f>IFERROR(INDEX(RBD_Exp,MATCH("Design &amp; Creative|A2|A",RBD_KEY,0)),"M")</f>
        <v>L</v>
      </c>
      <c r="P269" s="35" t="str">
        <f>IFERROR(INDEX(RBD_Edu,MATCH("Design &amp; Creative|A2|A",RBD_KEY,0)),"M")</f>
        <v>L</v>
      </c>
      <c r="Q269" s="73">
        <f>IF(J269="","",IFERROR(INDEX(LMH_PTS,MATCH(J269,LMH_KEY,0))/SUM(IFERROR(INDEX(LMH_PTS,MATCH(J269,LMH_KEY,0)),0),IFERROR(INDEX(LMH_PTS,MATCH(K269,LMH_KEY,0)),0),IFERROR(INDEX(LMH_PTS,MATCH(L269,LMH_KEY,0)),0),IFERROR(INDEX(LMH_PTS,MATCH(M269,LMH_KEY,0)),0),IFERROR(INDEX(LMH_PTS,MATCH(N269,LMH_KEY,0)),0),IFERROR(INDEX(LMH_PTS,MATCH(O269,LMH_KEY,0)),0),IFERROR(INDEX(LMH_PTS,MATCH(P269,LMH_KEY,0)),0)),""))</f>
        <v>0.473684210526316</v>
      </c>
      <c r="R269" s="74">
        <f>IF(K269="","",IFERROR(INDEX(LMH_PTS,MATCH(K269,LMH_KEY,0))/SUM(IFERROR(INDEX(LMH_PTS,MATCH(J269,LMH_KEY,0)),0),IFERROR(INDEX(LMH_PTS,MATCH(K269,LMH_KEY,0)),0),IFERROR(INDEX(LMH_PTS,MATCH(L269,LMH_KEY,0)),0),IFERROR(INDEX(LMH_PTS,MATCH(M269,LMH_KEY,0)),0),IFERROR(INDEX(LMH_PTS,MATCH(N269,LMH_KEY,0)),0),IFERROR(INDEX(LMH_PTS,MATCH(O269,LMH_KEY,0)),0),IFERROR(INDEX(LMH_PTS,MATCH(P269,LMH_KEY,0)),0)),""))</f>
        <v>0.157894736842105</v>
      </c>
      <c r="S269" s="74">
        <f>IF(L269="","",IFERROR(INDEX(LMH_PTS,MATCH(L269,LMH_KEY,0))/SUM(IFERROR(INDEX(LMH_PTS,MATCH(J269,LMH_KEY,0)),0),IFERROR(INDEX(LMH_PTS,MATCH(K269,LMH_KEY,0)),0),IFERROR(INDEX(LMH_PTS,MATCH(L269,LMH_KEY,0)),0),IFERROR(INDEX(LMH_PTS,MATCH(M269,LMH_KEY,0)),0),IFERROR(INDEX(LMH_PTS,MATCH(N269,LMH_KEY,0)),0),IFERROR(INDEX(LMH_PTS,MATCH(O269,LMH_KEY,0)),0),IFERROR(INDEX(LMH_PTS,MATCH(P269,LMH_KEY,0)),0)),""))</f>
        <v>0.0526315789473684</v>
      </c>
      <c r="T269" s="74">
        <f>IF(M269="","",IFERROR(INDEX(LMH_PTS,MATCH(M269,LMH_KEY,0))/SUM(IFERROR(INDEX(LMH_PTS,MATCH(J269,LMH_KEY,0)),0),IFERROR(INDEX(LMH_PTS,MATCH(K269,LMH_KEY,0)),0),IFERROR(INDEX(LMH_PTS,MATCH(L269,LMH_KEY,0)),0),IFERROR(INDEX(LMH_PTS,MATCH(M269,LMH_KEY,0)),0),IFERROR(INDEX(LMH_PTS,MATCH(N269,LMH_KEY,0)),0),IFERROR(INDEX(LMH_PTS,MATCH(O269,LMH_KEY,0)),0),IFERROR(INDEX(LMH_PTS,MATCH(P269,LMH_KEY,0)),0)),""))</f>
        <v>0.0526315789473684</v>
      </c>
      <c r="U269" s="74">
        <f>IF(N269="","",IFERROR(INDEX(LMH_PTS,MATCH(N269,LMH_KEY,0))/SUM(IFERROR(INDEX(LMH_PTS,MATCH(J269,LMH_KEY,0)),0),IFERROR(INDEX(LMH_PTS,MATCH(K269,LMH_KEY,0)),0),IFERROR(INDEX(LMH_PTS,MATCH(L269,LMH_KEY,0)),0),IFERROR(INDEX(LMH_PTS,MATCH(M269,LMH_KEY,0)),0),IFERROR(INDEX(LMH_PTS,MATCH(N269,LMH_KEY,0)),0),IFERROR(INDEX(LMH_PTS,MATCH(O269,LMH_KEY,0)),0),IFERROR(INDEX(LMH_PTS,MATCH(P269,LMH_KEY,0)),0)),""))</f>
        <v>0.157894736842105</v>
      </c>
      <c r="V269" s="74">
        <f>IF(O269="","",IFERROR(INDEX(LMH_PTS,MATCH(O269,LMH_KEY,0))/SUM(IFERROR(INDEX(LMH_PTS,MATCH(J269,LMH_KEY,0)),0),IFERROR(INDEX(LMH_PTS,MATCH(K269,LMH_KEY,0)),0),IFERROR(INDEX(LMH_PTS,MATCH(L269,LMH_KEY,0)),0),IFERROR(INDEX(LMH_PTS,MATCH(M269,LMH_KEY,0)),0),IFERROR(INDEX(LMH_PTS,MATCH(N269,LMH_KEY,0)),0),IFERROR(INDEX(LMH_PTS,MATCH(O269,LMH_KEY,0)),0),IFERROR(INDEX(LMH_PTS,MATCH(P269,LMH_KEY,0)),0)),""))</f>
        <v>0.0526315789473684</v>
      </c>
      <c r="W269" s="74">
        <f>IF(P269="","",IFERROR(INDEX(LMH_PTS,MATCH(P269,LMH_KEY,0))/SUM(IFERROR(INDEX(LMH_PTS,MATCH(J269,LMH_KEY,0)),0),IFERROR(INDEX(LMH_PTS,MATCH(K269,LMH_KEY,0)),0),IFERROR(INDEX(LMH_PTS,MATCH(L269,LMH_KEY,0)),0),IFERROR(INDEX(LMH_PTS,MATCH(M269,LMH_KEY,0)),0),IFERROR(INDEX(LMH_PTS,MATCH(N269,LMH_KEY,0)),0),IFERROR(INDEX(LMH_PTS,MATCH(O269,LMH_KEY,0)),0),IFERROR(INDEX(LMH_PTS,MATCH(P269,LMH_KEY,0)),0)),""))</f>
        <v>0.0526315789473684</v>
      </c>
      <c r="X269" s="44" t="n"/>
      <c r="Y269" s="38" t="inlineStr">
        <is>
          <t>Datatech|Marketing|Designer|A2|A</t>
        </is>
      </c>
    </row>
    <row r="270" ht="40.5" customHeight="1">
      <c r="A270" s="28" t="inlineStr">
        <is>
          <t>Datatech</t>
        </is>
      </c>
      <c r="B270" s="29" t="inlineStr">
        <is>
          <t>Marketing</t>
        </is>
      </c>
      <c r="C270" s="76" t="inlineStr">
        <is>
          <t>X1</t>
        </is>
      </c>
      <c r="D270" s="29" t="inlineStr">
        <is>
          <t>Band X · Consultant</t>
        </is>
      </c>
      <c r="E270" s="29" t="inlineStr">
        <is>
          <t>Associate Consultant – Demand Generation, Brand &amp; Events</t>
        </is>
      </c>
      <c r="F270" s="29" t="inlineStr">
        <is>
          <t>Consultant</t>
        </is>
      </c>
      <c r="G270" s="29" t="inlineStr">
        <is>
          <t>Marketing &amp; Communications</t>
        </is>
      </c>
      <c r="H270" s="29" t="n">
        <v>1</v>
      </c>
      <c r="I270" s="29" t="inlineStr">
        <is>
          <t>R Indumathi</t>
        </is>
      </c>
      <c r="J270" s="34" t="n"/>
      <c r="K270" s="35" t="n"/>
      <c r="L270" s="35" t="n"/>
      <c r="M270" s="35" t="n"/>
      <c r="N270" s="35" t="n"/>
      <c r="O270" s="35" t="n"/>
      <c r="P270" s="35" t="n"/>
      <c r="Q270" s="73" t="str">
        <f>IF(J270="","",IFERROR(INDEX(LMH_PTS,MATCH(J270,LMH_KEY,0))/SUM(IFERROR(INDEX(LMH_PTS,MATCH(J270,LMH_KEY,0)),0),IFERROR(INDEX(LMH_PTS,MATCH(K270,LMH_KEY,0)),0),IFERROR(INDEX(LMH_PTS,MATCH(L270,LMH_KEY,0)),0),IFERROR(INDEX(LMH_PTS,MATCH(M270,LMH_KEY,0)),0),IFERROR(INDEX(LMH_PTS,MATCH(N270,LMH_KEY,0)),0),IFERROR(INDEX(LMH_PTS,MATCH(O270,LMH_KEY,0)),0),IFERROR(INDEX(LMH_PTS,MATCH(P270,LMH_KEY,0)),0)),""))</f>
        <v/>
      </c>
      <c r="R270" s="74" t="str">
        <f>IF(K270="","",IFERROR(INDEX(LMH_PTS,MATCH(K270,LMH_KEY,0))/SUM(IFERROR(INDEX(LMH_PTS,MATCH(J270,LMH_KEY,0)),0),IFERROR(INDEX(LMH_PTS,MATCH(K270,LMH_KEY,0)),0),IFERROR(INDEX(LMH_PTS,MATCH(L270,LMH_KEY,0)),0),IFERROR(INDEX(LMH_PTS,MATCH(M270,LMH_KEY,0)),0),IFERROR(INDEX(LMH_PTS,MATCH(N270,LMH_KEY,0)),0),IFERROR(INDEX(LMH_PTS,MATCH(O270,LMH_KEY,0)),0),IFERROR(INDEX(LMH_PTS,MATCH(P270,LMH_KEY,0)),0)),""))</f>
        <v/>
      </c>
      <c r="S270" s="74" t="str">
        <f>IF(L270="","",IFERROR(INDEX(LMH_PTS,MATCH(L270,LMH_KEY,0))/SUM(IFERROR(INDEX(LMH_PTS,MATCH(J270,LMH_KEY,0)),0),IFERROR(INDEX(LMH_PTS,MATCH(K270,LMH_KEY,0)),0),IFERROR(INDEX(LMH_PTS,MATCH(L270,LMH_KEY,0)),0),IFERROR(INDEX(LMH_PTS,MATCH(M270,LMH_KEY,0)),0),IFERROR(INDEX(LMH_PTS,MATCH(N270,LMH_KEY,0)),0),IFERROR(INDEX(LMH_PTS,MATCH(O270,LMH_KEY,0)),0),IFERROR(INDEX(LMH_PTS,MATCH(P270,LMH_KEY,0)),0)),""))</f>
        <v/>
      </c>
      <c r="T270" s="74" t="str">
        <f>IF(M270="","",IFERROR(INDEX(LMH_PTS,MATCH(M270,LMH_KEY,0))/SUM(IFERROR(INDEX(LMH_PTS,MATCH(J270,LMH_KEY,0)),0),IFERROR(INDEX(LMH_PTS,MATCH(K270,LMH_KEY,0)),0),IFERROR(INDEX(LMH_PTS,MATCH(L270,LMH_KEY,0)),0),IFERROR(INDEX(LMH_PTS,MATCH(M270,LMH_KEY,0)),0),IFERROR(INDEX(LMH_PTS,MATCH(N270,LMH_KEY,0)),0),IFERROR(INDEX(LMH_PTS,MATCH(O270,LMH_KEY,0)),0),IFERROR(INDEX(LMH_PTS,MATCH(P270,LMH_KEY,0)),0)),""))</f>
        <v/>
      </c>
      <c r="U270" s="74" t="str">
        <f>IF(N270="","",IFERROR(INDEX(LMH_PTS,MATCH(N270,LMH_KEY,0))/SUM(IFERROR(INDEX(LMH_PTS,MATCH(J270,LMH_KEY,0)),0),IFERROR(INDEX(LMH_PTS,MATCH(K270,LMH_KEY,0)),0),IFERROR(INDEX(LMH_PTS,MATCH(L270,LMH_KEY,0)),0),IFERROR(INDEX(LMH_PTS,MATCH(M270,LMH_KEY,0)),0),IFERROR(INDEX(LMH_PTS,MATCH(N270,LMH_KEY,0)),0),IFERROR(INDEX(LMH_PTS,MATCH(O270,LMH_KEY,0)),0),IFERROR(INDEX(LMH_PTS,MATCH(P270,LMH_KEY,0)),0)),""))</f>
        <v/>
      </c>
      <c r="V270" s="74" t="str">
        <f>IF(O270="","",IFERROR(INDEX(LMH_PTS,MATCH(O270,LMH_KEY,0))/SUM(IFERROR(INDEX(LMH_PTS,MATCH(J270,LMH_KEY,0)),0),IFERROR(INDEX(LMH_PTS,MATCH(K270,LMH_KEY,0)),0),IFERROR(INDEX(LMH_PTS,MATCH(L270,LMH_KEY,0)),0),IFERROR(INDEX(LMH_PTS,MATCH(M270,LMH_KEY,0)),0),IFERROR(INDEX(LMH_PTS,MATCH(N270,LMH_KEY,0)),0),IFERROR(INDEX(LMH_PTS,MATCH(O270,LMH_KEY,0)),0),IFERROR(INDEX(LMH_PTS,MATCH(P270,LMH_KEY,0)),0)),""))</f>
        <v/>
      </c>
      <c r="W270" s="74" t="str">
        <f>IF(P270="","",IFERROR(INDEX(LMH_PTS,MATCH(P270,LMH_KEY,0))/SUM(IFERROR(INDEX(LMH_PTS,MATCH(J270,LMH_KEY,0)),0),IFERROR(INDEX(LMH_PTS,MATCH(K270,LMH_KEY,0)),0),IFERROR(INDEX(LMH_PTS,MATCH(L270,LMH_KEY,0)),0),IFERROR(INDEX(LMH_PTS,MATCH(M270,LMH_KEY,0)),0),IFERROR(INDEX(LMH_PTS,MATCH(N270,LMH_KEY,0)),0),IFERROR(INDEX(LMH_PTS,MATCH(O270,LMH_KEY,0)),0),IFERROR(INDEX(LMH_PTS,MATCH(P270,LMH_KEY,0)),0)),""))</f>
        <v/>
      </c>
      <c r="X270" s="44" t="n"/>
      <c r="Y270" s="38" t="inlineStr">
        <is>
          <t>Datatech|Marketing|Associate Consultant – Demand Generation, Brand &amp; Events|X1|X</t>
        </is>
      </c>
    </row>
    <row r="271" ht="28" customHeight="1">
      <c r="A271" s="28" t="inlineStr">
        <is>
          <t>Datatech</t>
        </is>
      </c>
      <c r="B271" s="71" t="inlineStr">
        <is>
          <t>Not provided · HRIS</t>
        </is>
      </c>
      <c r="C271" s="76" t="inlineStr">
        <is>
          <t>X1</t>
        </is>
      </c>
      <c r="D271" s="29" t="inlineStr">
        <is>
          <t>Band X · Consultant</t>
        </is>
      </c>
      <c r="E271" s="29" t="inlineStr">
        <is>
          <t>Associate Consultant – Software Development</t>
        </is>
      </c>
      <c r="F271" s="29" t="inlineStr">
        <is>
          <t>Consultant</t>
        </is>
      </c>
      <c r="G271" s="29" t="inlineStr">
        <is>
          <t>Unassigned</t>
        </is>
      </c>
      <c r="H271" s="29" t="n">
        <v>2</v>
      </c>
      <c r="I271" s="29" t="inlineStr">
        <is>
          <t>Arindam Bose, Shweta Vijay</t>
        </is>
      </c>
      <c r="J271" s="34" t="n"/>
      <c r="K271" s="35" t="n"/>
      <c r="L271" s="35" t="n"/>
      <c r="M271" s="35" t="n"/>
      <c r="N271" s="35" t="n"/>
      <c r="O271" s="35" t="n"/>
      <c r="P271" s="35" t="n"/>
      <c r="Q271" s="73" t="str">
        <f>IF(J271="","",IFERROR(INDEX(LMH_PTS,MATCH(J271,LMH_KEY,0))/SUM(IFERROR(INDEX(LMH_PTS,MATCH(J271,LMH_KEY,0)),0),IFERROR(INDEX(LMH_PTS,MATCH(K271,LMH_KEY,0)),0),IFERROR(INDEX(LMH_PTS,MATCH(L271,LMH_KEY,0)),0),IFERROR(INDEX(LMH_PTS,MATCH(M271,LMH_KEY,0)),0),IFERROR(INDEX(LMH_PTS,MATCH(N271,LMH_KEY,0)),0),IFERROR(INDEX(LMH_PTS,MATCH(O271,LMH_KEY,0)),0),IFERROR(INDEX(LMH_PTS,MATCH(P271,LMH_KEY,0)),0)),""))</f>
        <v/>
      </c>
      <c r="R271" s="74" t="str">
        <f>IF(K271="","",IFERROR(INDEX(LMH_PTS,MATCH(K271,LMH_KEY,0))/SUM(IFERROR(INDEX(LMH_PTS,MATCH(J271,LMH_KEY,0)),0),IFERROR(INDEX(LMH_PTS,MATCH(K271,LMH_KEY,0)),0),IFERROR(INDEX(LMH_PTS,MATCH(L271,LMH_KEY,0)),0),IFERROR(INDEX(LMH_PTS,MATCH(M271,LMH_KEY,0)),0),IFERROR(INDEX(LMH_PTS,MATCH(N271,LMH_KEY,0)),0),IFERROR(INDEX(LMH_PTS,MATCH(O271,LMH_KEY,0)),0),IFERROR(INDEX(LMH_PTS,MATCH(P271,LMH_KEY,0)),0)),""))</f>
        <v/>
      </c>
      <c r="S271" s="74" t="str">
        <f>IF(L271="","",IFERROR(INDEX(LMH_PTS,MATCH(L271,LMH_KEY,0))/SUM(IFERROR(INDEX(LMH_PTS,MATCH(J271,LMH_KEY,0)),0),IFERROR(INDEX(LMH_PTS,MATCH(K271,LMH_KEY,0)),0),IFERROR(INDEX(LMH_PTS,MATCH(L271,LMH_KEY,0)),0),IFERROR(INDEX(LMH_PTS,MATCH(M271,LMH_KEY,0)),0),IFERROR(INDEX(LMH_PTS,MATCH(N271,LMH_KEY,0)),0),IFERROR(INDEX(LMH_PTS,MATCH(O271,LMH_KEY,0)),0),IFERROR(INDEX(LMH_PTS,MATCH(P271,LMH_KEY,0)),0)),""))</f>
        <v/>
      </c>
      <c r="T271" s="74" t="str">
        <f>IF(M271="","",IFERROR(INDEX(LMH_PTS,MATCH(M271,LMH_KEY,0))/SUM(IFERROR(INDEX(LMH_PTS,MATCH(J271,LMH_KEY,0)),0),IFERROR(INDEX(LMH_PTS,MATCH(K271,LMH_KEY,0)),0),IFERROR(INDEX(LMH_PTS,MATCH(L271,LMH_KEY,0)),0),IFERROR(INDEX(LMH_PTS,MATCH(M271,LMH_KEY,0)),0),IFERROR(INDEX(LMH_PTS,MATCH(N271,LMH_KEY,0)),0),IFERROR(INDEX(LMH_PTS,MATCH(O271,LMH_KEY,0)),0),IFERROR(INDEX(LMH_PTS,MATCH(P271,LMH_KEY,0)),0)),""))</f>
        <v/>
      </c>
      <c r="U271" s="74" t="str">
        <f>IF(N271="","",IFERROR(INDEX(LMH_PTS,MATCH(N271,LMH_KEY,0))/SUM(IFERROR(INDEX(LMH_PTS,MATCH(J271,LMH_KEY,0)),0),IFERROR(INDEX(LMH_PTS,MATCH(K271,LMH_KEY,0)),0),IFERROR(INDEX(LMH_PTS,MATCH(L271,LMH_KEY,0)),0),IFERROR(INDEX(LMH_PTS,MATCH(M271,LMH_KEY,0)),0),IFERROR(INDEX(LMH_PTS,MATCH(N271,LMH_KEY,0)),0),IFERROR(INDEX(LMH_PTS,MATCH(O271,LMH_KEY,0)),0),IFERROR(INDEX(LMH_PTS,MATCH(P271,LMH_KEY,0)),0)),""))</f>
        <v/>
      </c>
      <c r="V271" s="74" t="str">
        <f>IF(O271="","",IFERROR(INDEX(LMH_PTS,MATCH(O271,LMH_KEY,0))/SUM(IFERROR(INDEX(LMH_PTS,MATCH(J271,LMH_KEY,0)),0),IFERROR(INDEX(LMH_PTS,MATCH(K271,LMH_KEY,0)),0),IFERROR(INDEX(LMH_PTS,MATCH(L271,LMH_KEY,0)),0),IFERROR(INDEX(LMH_PTS,MATCH(M271,LMH_KEY,0)),0),IFERROR(INDEX(LMH_PTS,MATCH(N271,LMH_KEY,0)),0),IFERROR(INDEX(LMH_PTS,MATCH(O271,LMH_KEY,0)),0),IFERROR(INDEX(LMH_PTS,MATCH(P271,LMH_KEY,0)),0)),""))</f>
        <v/>
      </c>
      <c r="W271" s="74" t="str">
        <f>IF(P271="","",IFERROR(INDEX(LMH_PTS,MATCH(P271,LMH_KEY,0))/SUM(IFERROR(INDEX(LMH_PTS,MATCH(J271,LMH_KEY,0)),0),IFERROR(INDEX(LMH_PTS,MATCH(K271,LMH_KEY,0)),0),IFERROR(INDEX(LMH_PTS,MATCH(L271,LMH_KEY,0)),0),IFERROR(INDEX(LMH_PTS,MATCH(M271,LMH_KEY,0)),0),IFERROR(INDEX(LMH_PTS,MATCH(N271,LMH_KEY,0)),0),IFERROR(INDEX(LMH_PTS,MATCH(O271,LMH_KEY,0)),0),IFERROR(INDEX(LMH_PTS,MATCH(P271,LMH_KEY,0)),0)),""))</f>
        <v/>
      </c>
      <c r="X271" s="44" t="n"/>
      <c r="Y271" s="38" t="inlineStr">
        <is>
          <t>Datatech|Not provided · HRIS|Associate Consultant – Software Development|X1|X</t>
        </is>
      </c>
    </row>
    <row r="272" ht="18" customHeight="1">
      <c r="A272" s="28" t="inlineStr">
        <is>
          <t>Datatech</t>
        </is>
      </c>
      <c r="B272" s="71" t="inlineStr">
        <is>
          <t>Product Management</t>
        </is>
      </c>
      <c r="C272" s="72" t="inlineStr">
        <is>
          <t>B2</t>
        </is>
      </c>
      <c r="D272" s="29" t="inlineStr">
        <is>
          <t>Band B · Specialist / Manager</t>
        </is>
      </c>
      <c r="E272" s="29" t="inlineStr">
        <is>
          <t>Product Manager</t>
        </is>
      </c>
      <c r="F272" s="29" t="inlineStr">
        <is>
          <t>Band B · People Manager</t>
        </is>
      </c>
      <c r="G272" s="29" t="inlineStr">
        <is>
          <t>Product Management</t>
        </is>
      </c>
      <c r="H272" s="29" t="n">
        <v>1</v>
      </c>
      <c r="I272" s="29" t="inlineStr">
        <is>
          <t>Nilesh Majumdar</t>
        </is>
      </c>
      <c r="J272" s="34" t="str">
        <f>IFERROR(INDEX(RBD_C,MATCH("Product Management|B2|B-M",RBD_KEY,0)),"M")</f>
        <v>H</v>
      </c>
      <c r="K272" s="35" t="str">
        <f>IFERROR(INDEX(RBD_Au,MATCH("Product Management|B2|B-M",RBD_KEY,0)),"M")</f>
        <v>M</v>
      </c>
      <c r="L272" s="35" t="str">
        <f>IFERROR(INDEX(RBD_Ac,MATCH("Product Management|B2|B-M",RBD_KEY,0)),"M")</f>
        <v>M</v>
      </c>
      <c r="M272" s="35" t="str">
        <f>IFERROR(INDEX(RBD_L,MATCH("Product Management|B2|B-M",RBD_KEY,0)),"M")</f>
        <v>M</v>
      </c>
      <c r="N272" s="35" t="str">
        <f>IFERROR(INDEX(RBD_BI,MATCH("Product Management|B2|B-M",RBD_KEY,0)),"M")</f>
        <v>L</v>
      </c>
      <c r="O272" s="35" t="str">
        <f>IFERROR(INDEX(RBD_Exp,MATCH("Product Management|B2|B-M",RBD_KEY,0)),"M")</f>
        <v>L</v>
      </c>
      <c r="P272" s="35" t="str">
        <f>IFERROR(INDEX(RBD_Edu,MATCH("Product Management|B2|B-M",RBD_KEY,0)),"M")</f>
        <v>L</v>
      </c>
      <c r="Q272" s="73">
        <f>IF(J272="","",IFERROR(INDEX(LMH_PTS,MATCH(J272,LMH_KEY,0))/SUM(IFERROR(INDEX(LMH_PTS,MATCH(J272,LMH_KEY,0)),0),IFERROR(INDEX(LMH_PTS,MATCH(K272,LMH_KEY,0)),0),IFERROR(INDEX(LMH_PTS,MATCH(L272,LMH_KEY,0)),0),IFERROR(INDEX(LMH_PTS,MATCH(M272,LMH_KEY,0)),0),IFERROR(INDEX(LMH_PTS,MATCH(N272,LMH_KEY,0)),0),IFERROR(INDEX(LMH_PTS,MATCH(O272,LMH_KEY,0)),0),IFERROR(INDEX(LMH_PTS,MATCH(P272,LMH_KEY,0)),0)),""))</f>
        <v>0.428571428571429</v>
      </c>
      <c r="R272" s="74">
        <f>IF(K272="","",IFERROR(INDEX(LMH_PTS,MATCH(K272,LMH_KEY,0))/SUM(IFERROR(INDEX(LMH_PTS,MATCH(J272,LMH_KEY,0)),0),IFERROR(INDEX(LMH_PTS,MATCH(K272,LMH_KEY,0)),0),IFERROR(INDEX(LMH_PTS,MATCH(L272,LMH_KEY,0)),0),IFERROR(INDEX(LMH_PTS,MATCH(M272,LMH_KEY,0)),0),IFERROR(INDEX(LMH_PTS,MATCH(N272,LMH_KEY,0)),0),IFERROR(INDEX(LMH_PTS,MATCH(O272,LMH_KEY,0)),0),IFERROR(INDEX(LMH_PTS,MATCH(P272,LMH_KEY,0)),0)),""))</f>
        <v>0.142857142857143</v>
      </c>
      <c r="S272" s="74">
        <f>IF(L272="","",IFERROR(INDEX(LMH_PTS,MATCH(L272,LMH_KEY,0))/SUM(IFERROR(INDEX(LMH_PTS,MATCH(J272,LMH_KEY,0)),0),IFERROR(INDEX(LMH_PTS,MATCH(K272,LMH_KEY,0)),0),IFERROR(INDEX(LMH_PTS,MATCH(L272,LMH_KEY,0)),0),IFERROR(INDEX(LMH_PTS,MATCH(M272,LMH_KEY,0)),0),IFERROR(INDEX(LMH_PTS,MATCH(N272,LMH_KEY,0)),0),IFERROR(INDEX(LMH_PTS,MATCH(O272,LMH_KEY,0)),0),IFERROR(INDEX(LMH_PTS,MATCH(P272,LMH_KEY,0)),0)),""))</f>
        <v>0.142857142857143</v>
      </c>
      <c r="T272" s="74">
        <f>IF(M272="","",IFERROR(INDEX(LMH_PTS,MATCH(M272,LMH_KEY,0))/SUM(IFERROR(INDEX(LMH_PTS,MATCH(J272,LMH_KEY,0)),0),IFERROR(INDEX(LMH_PTS,MATCH(K272,LMH_KEY,0)),0),IFERROR(INDEX(LMH_PTS,MATCH(L272,LMH_KEY,0)),0),IFERROR(INDEX(LMH_PTS,MATCH(M272,LMH_KEY,0)),0),IFERROR(INDEX(LMH_PTS,MATCH(N272,LMH_KEY,0)),0),IFERROR(INDEX(LMH_PTS,MATCH(O272,LMH_KEY,0)),0),IFERROR(INDEX(LMH_PTS,MATCH(P272,LMH_KEY,0)),0)),""))</f>
        <v>0.142857142857143</v>
      </c>
      <c r="U272" s="74">
        <f>IF(N272="","",IFERROR(INDEX(LMH_PTS,MATCH(N272,LMH_KEY,0))/SUM(IFERROR(INDEX(LMH_PTS,MATCH(J272,LMH_KEY,0)),0),IFERROR(INDEX(LMH_PTS,MATCH(K272,LMH_KEY,0)),0),IFERROR(INDEX(LMH_PTS,MATCH(L272,LMH_KEY,0)),0),IFERROR(INDEX(LMH_PTS,MATCH(M272,LMH_KEY,0)),0),IFERROR(INDEX(LMH_PTS,MATCH(N272,LMH_KEY,0)),0),IFERROR(INDEX(LMH_PTS,MATCH(O272,LMH_KEY,0)),0),IFERROR(INDEX(LMH_PTS,MATCH(P272,LMH_KEY,0)),0)),""))</f>
        <v>0.0476190476190476</v>
      </c>
      <c r="V272" s="74">
        <f>IF(O272="","",IFERROR(INDEX(LMH_PTS,MATCH(O272,LMH_KEY,0))/SUM(IFERROR(INDEX(LMH_PTS,MATCH(J272,LMH_KEY,0)),0),IFERROR(INDEX(LMH_PTS,MATCH(K272,LMH_KEY,0)),0),IFERROR(INDEX(LMH_PTS,MATCH(L272,LMH_KEY,0)),0),IFERROR(INDEX(LMH_PTS,MATCH(M272,LMH_KEY,0)),0),IFERROR(INDEX(LMH_PTS,MATCH(N272,LMH_KEY,0)),0),IFERROR(INDEX(LMH_PTS,MATCH(O272,LMH_KEY,0)),0),IFERROR(INDEX(LMH_PTS,MATCH(P272,LMH_KEY,0)),0)),""))</f>
        <v>0.0476190476190476</v>
      </c>
      <c r="W272" s="74">
        <f>IF(P272="","",IFERROR(INDEX(LMH_PTS,MATCH(P272,LMH_KEY,0))/SUM(IFERROR(INDEX(LMH_PTS,MATCH(J272,LMH_KEY,0)),0),IFERROR(INDEX(LMH_PTS,MATCH(K272,LMH_KEY,0)),0),IFERROR(INDEX(LMH_PTS,MATCH(L272,LMH_KEY,0)),0),IFERROR(INDEX(LMH_PTS,MATCH(M272,LMH_KEY,0)),0),IFERROR(INDEX(LMH_PTS,MATCH(N272,LMH_KEY,0)),0),IFERROR(INDEX(LMH_PTS,MATCH(O272,LMH_KEY,0)),0),IFERROR(INDEX(LMH_PTS,MATCH(P272,LMH_KEY,0)),0)),""))</f>
        <v>0.0476190476190476</v>
      </c>
      <c r="X272" s="44" t="n"/>
      <c r="Y272" s="38" t="inlineStr">
        <is>
          <t>Datatech|Product Management|Product Manager|B2|B-M</t>
        </is>
      </c>
    </row>
    <row r="273" ht="18" customHeight="1">
      <c r="A273" s="28" t="inlineStr">
        <is>
          <t>Datatech</t>
        </is>
      </c>
      <c r="B273" s="29" t="inlineStr">
        <is>
          <t>Product Management</t>
        </is>
      </c>
      <c r="C273" s="72" t="inlineStr">
        <is>
          <t>B2</t>
        </is>
      </c>
      <c r="D273" s="29" t="inlineStr">
        <is>
          <t>Band B · Specialist / Manager</t>
        </is>
      </c>
      <c r="E273" s="29" t="inlineStr">
        <is>
          <t>Product Manager</t>
        </is>
      </c>
      <c r="F273" s="29" t="inlineStr">
        <is>
          <t>Band B · Specialist / POD Lead</t>
        </is>
      </c>
      <c r="G273" s="29" t="inlineStr">
        <is>
          <t>Product Management</t>
        </is>
      </c>
      <c r="H273" s="29" t="n">
        <v>1</v>
      </c>
      <c r="I273" s="29" t="inlineStr">
        <is>
          <t>Sachinam Sawant</t>
        </is>
      </c>
      <c r="J273" s="34" t="str">
        <f>IFERROR(INDEX(RBD_C,MATCH("Product Management|B2|B-IC",RBD_KEY,0)),"M")</f>
        <v>H</v>
      </c>
      <c r="K273" s="35" t="str">
        <f>IFERROR(INDEX(RBD_Au,MATCH("Product Management|B2|B-IC",RBD_KEY,0)),"M")</f>
        <v>M</v>
      </c>
      <c r="L273" s="35" t="str">
        <f>IFERROR(INDEX(RBD_Ac,MATCH("Product Management|B2|B-IC",RBD_KEY,0)),"M")</f>
        <v>M</v>
      </c>
      <c r="M273" s="35" t="str">
        <f>IFERROR(INDEX(RBD_L,MATCH("Product Management|B2|B-IC",RBD_KEY,0)),"M")</f>
        <v>L</v>
      </c>
      <c r="N273" s="35" t="str">
        <f>IFERROR(INDEX(RBD_BI,MATCH("Product Management|B2|B-IC",RBD_KEY,0)),"M")</f>
        <v>L</v>
      </c>
      <c r="O273" s="35" t="str">
        <f>IFERROR(INDEX(RBD_Exp,MATCH("Product Management|B2|B-IC",RBD_KEY,0)),"M")</f>
        <v>L</v>
      </c>
      <c r="P273" s="35" t="str">
        <f>IFERROR(INDEX(RBD_Edu,MATCH("Product Management|B2|B-IC",RBD_KEY,0)),"M")</f>
        <v>L</v>
      </c>
      <c r="Q273" s="73">
        <f>IF(J273="","",IFERROR(INDEX(LMH_PTS,MATCH(J273,LMH_KEY,0))/SUM(IFERROR(INDEX(LMH_PTS,MATCH(J273,LMH_KEY,0)),0),IFERROR(INDEX(LMH_PTS,MATCH(K273,LMH_KEY,0)),0),IFERROR(INDEX(LMH_PTS,MATCH(L273,LMH_KEY,0)),0),IFERROR(INDEX(LMH_PTS,MATCH(M273,LMH_KEY,0)),0),IFERROR(INDEX(LMH_PTS,MATCH(N273,LMH_KEY,0)),0),IFERROR(INDEX(LMH_PTS,MATCH(O273,LMH_KEY,0)),0),IFERROR(INDEX(LMH_PTS,MATCH(P273,LMH_KEY,0)),0)),""))</f>
        <v>0.473684210526316</v>
      </c>
      <c r="R273" s="74">
        <f>IF(K273="","",IFERROR(INDEX(LMH_PTS,MATCH(K273,LMH_KEY,0))/SUM(IFERROR(INDEX(LMH_PTS,MATCH(J273,LMH_KEY,0)),0),IFERROR(INDEX(LMH_PTS,MATCH(K273,LMH_KEY,0)),0),IFERROR(INDEX(LMH_PTS,MATCH(L273,LMH_KEY,0)),0),IFERROR(INDEX(LMH_PTS,MATCH(M273,LMH_KEY,0)),0),IFERROR(INDEX(LMH_PTS,MATCH(N273,LMH_KEY,0)),0),IFERROR(INDEX(LMH_PTS,MATCH(O273,LMH_KEY,0)),0),IFERROR(INDEX(LMH_PTS,MATCH(P273,LMH_KEY,0)),0)),""))</f>
        <v>0.157894736842105</v>
      </c>
      <c r="S273" s="74">
        <f>IF(L273="","",IFERROR(INDEX(LMH_PTS,MATCH(L273,LMH_KEY,0))/SUM(IFERROR(INDEX(LMH_PTS,MATCH(J273,LMH_KEY,0)),0),IFERROR(INDEX(LMH_PTS,MATCH(K273,LMH_KEY,0)),0),IFERROR(INDEX(LMH_PTS,MATCH(L273,LMH_KEY,0)),0),IFERROR(INDEX(LMH_PTS,MATCH(M273,LMH_KEY,0)),0),IFERROR(INDEX(LMH_PTS,MATCH(N273,LMH_KEY,0)),0),IFERROR(INDEX(LMH_PTS,MATCH(O273,LMH_KEY,0)),0),IFERROR(INDEX(LMH_PTS,MATCH(P273,LMH_KEY,0)),0)),""))</f>
        <v>0.157894736842105</v>
      </c>
      <c r="T273" s="74">
        <f>IF(M273="","",IFERROR(INDEX(LMH_PTS,MATCH(M273,LMH_KEY,0))/SUM(IFERROR(INDEX(LMH_PTS,MATCH(J273,LMH_KEY,0)),0),IFERROR(INDEX(LMH_PTS,MATCH(K273,LMH_KEY,0)),0),IFERROR(INDEX(LMH_PTS,MATCH(L273,LMH_KEY,0)),0),IFERROR(INDEX(LMH_PTS,MATCH(M273,LMH_KEY,0)),0),IFERROR(INDEX(LMH_PTS,MATCH(N273,LMH_KEY,0)),0),IFERROR(INDEX(LMH_PTS,MATCH(O273,LMH_KEY,0)),0),IFERROR(INDEX(LMH_PTS,MATCH(P273,LMH_KEY,0)),0)),""))</f>
        <v>0.0526315789473684</v>
      </c>
      <c r="U273" s="74">
        <f>IF(N273="","",IFERROR(INDEX(LMH_PTS,MATCH(N273,LMH_KEY,0))/SUM(IFERROR(INDEX(LMH_PTS,MATCH(J273,LMH_KEY,0)),0),IFERROR(INDEX(LMH_PTS,MATCH(K273,LMH_KEY,0)),0),IFERROR(INDEX(LMH_PTS,MATCH(L273,LMH_KEY,0)),0),IFERROR(INDEX(LMH_PTS,MATCH(M273,LMH_KEY,0)),0),IFERROR(INDEX(LMH_PTS,MATCH(N273,LMH_KEY,0)),0),IFERROR(INDEX(LMH_PTS,MATCH(O273,LMH_KEY,0)),0),IFERROR(INDEX(LMH_PTS,MATCH(P273,LMH_KEY,0)),0)),""))</f>
        <v>0.0526315789473684</v>
      </c>
      <c r="V273" s="74">
        <f>IF(O273="","",IFERROR(INDEX(LMH_PTS,MATCH(O273,LMH_KEY,0))/SUM(IFERROR(INDEX(LMH_PTS,MATCH(J273,LMH_KEY,0)),0),IFERROR(INDEX(LMH_PTS,MATCH(K273,LMH_KEY,0)),0),IFERROR(INDEX(LMH_PTS,MATCH(L273,LMH_KEY,0)),0),IFERROR(INDEX(LMH_PTS,MATCH(M273,LMH_KEY,0)),0),IFERROR(INDEX(LMH_PTS,MATCH(N273,LMH_KEY,0)),0),IFERROR(INDEX(LMH_PTS,MATCH(O273,LMH_KEY,0)),0),IFERROR(INDEX(LMH_PTS,MATCH(P273,LMH_KEY,0)),0)),""))</f>
        <v>0.0526315789473684</v>
      </c>
      <c r="W273" s="74">
        <f>IF(P273="","",IFERROR(INDEX(LMH_PTS,MATCH(P273,LMH_KEY,0))/SUM(IFERROR(INDEX(LMH_PTS,MATCH(J273,LMH_KEY,0)),0),IFERROR(INDEX(LMH_PTS,MATCH(K273,LMH_KEY,0)),0),IFERROR(INDEX(LMH_PTS,MATCH(L273,LMH_KEY,0)),0),IFERROR(INDEX(LMH_PTS,MATCH(M273,LMH_KEY,0)),0),IFERROR(INDEX(LMH_PTS,MATCH(N273,LMH_KEY,0)),0),IFERROR(INDEX(LMH_PTS,MATCH(O273,LMH_KEY,0)),0),IFERROR(INDEX(LMH_PTS,MATCH(P273,LMH_KEY,0)),0)),""))</f>
        <v>0.0526315789473684</v>
      </c>
      <c r="X273" s="44" t="n"/>
      <c r="Y273" s="38" t="inlineStr">
        <is>
          <t>Datatech|Product Management|Product Manager|B2|B-IC</t>
        </is>
      </c>
    </row>
    <row r="274" ht="18" customHeight="1">
      <c r="A274" s="28" t="inlineStr">
        <is>
          <t>Datatech</t>
        </is>
      </c>
      <c r="B274" s="29" t="inlineStr">
        <is>
          <t>Product Management</t>
        </is>
      </c>
      <c r="C274" s="72" t="inlineStr">
        <is>
          <t>B1</t>
        </is>
      </c>
      <c r="D274" s="29" t="inlineStr">
        <is>
          <t>Band B · Specialist / Manager</t>
        </is>
      </c>
      <c r="E274" s="29" t="inlineStr">
        <is>
          <t>Associate Product Manager</t>
        </is>
      </c>
      <c r="F274" s="29" t="inlineStr">
        <is>
          <t>Band B · Specialist / POD Lead</t>
        </is>
      </c>
      <c r="G274" s="29" t="inlineStr">
        <is>
          <t>Product Management</t>
        </is>
      </c>
      <c r="H274" s="29" t="n">
        <v>2</v>
      </c>
      <c r="I274" s="29" t="inlineStr">
        <is>
          <t>Ayushi Maurya, Gaurav Bansal</t>
        </is>
      </c>
      <c r="J274" s="34" t="str">
        <f>IFERROR(INDEX(RBD_C,MATCH("Product Management|B1|B-IC",RBD_KEY,0)),"M")</f>
        <v>H</v>
      </c>
      <c r="K274" s="35" t="str">
        <f>IFERROR(INDEX(RBD_Au,MATCH("Product Management|B1|B-IC",RBD_KEY,0)),"M")</f>
        <v>M</v>
      </c>
      <c r="L274" s="35" t="str">
        <f>IFERROR(INDEX(RBD_Ac,MATCH("Product Management|B1|B-IC",RBD_KEY,0)),"M")</f>
        <v>M</v>
      </c>
      <c r="M274" s="35" t="str">
        <f>IFERROR(INDEX(RBD_L,MATCH("Product Management|B1|B-IC",RBD_KEY,0)),"M")</f>
        <v>L</v>
      </c>
      <c r="N274" s="35" t="str">
        <f>IFERROR(INDEX(RBD_BI,MATCH("Product Management|B1|B-IC",RBD_KEY,0)),"M")</f>
        <v>L</v>
      </c>
      <c r="O274" s="35" t="str">
        <f>IFERROR(INDEX(RBD_Exp,MATCH("Product Management|B1|B-IC",RBD_KEY,0)),"M")</f>
        <v>L</v>
      </c>
      <c r="P274" s="35" t="str">
        <f>IFERROR(INDEX(RBD_Edu,MATCH("Product Management|B1|B-IC",RBD_KEY,0)),"M")</f>
        <v>L</v>
      </c>
      <c r="Q274" s="73">
        <f>IF(J274="","",IFERROR(INDEX(LMH_PTS,MATCH(J274,LMH_KEY,0))/SUM(IFERROR(INDEX(LMH_PTS,MATCH(J274,LMH_KEY,0)),0),IFERROR(INDEX(LMH_PTS,MATCH(K274,LMH_KEY,0)),0),IFERROR(INDEX(LMH_PTS,MATCH(L274,LMH_KEY,0)),0),IFERROR(INDEX(LMH_PTS,MATCH(M274,LMH_KEY,0)),0),IFERROR(INDEX(LMH_PTS,MATCH(N274,LMH_KEY,0)),0),IFERROR(INDEX(LMH_PTS,MATCH(O274,LMH_KEY,0)),0),IFERROR(INDEX(LMH_PTS,MATCH(P274,LMH_KEY,0)),0)),""))</f>
        <v>0.473684210526316</v>
      </c>
      <c r="R274" s="74">
        <f>IF(K274="","",IFERROR(INDEX(LMH_PTS,MATCH(K274,LMH_KEY,0))/SUM(IFERROR(INDEX(LMH_PTS,MATCH(J274,LMH_KEY,0)),0),IFERROR(INDEX(LMH_PTS,MATCH(K274,LMH_KEY,0)),0),IFERROR(INDEX(LMH_PTS,MATCH(L274,LMH_KEY,0)),0),IFERROR(INDEX(LMH_PTS,MATCH(M274,LMH_KEY,0)),0),IFERROR(INDEX(LMH_PTS,MATCH(N274,LMH_KEY,0)),0),IFERROR(INDEX(LMH_PTS,MATCH(O274,LMH_KEY,0)),0),IFERROR(INDEX(LMH_PTS,MATCH(P274,LMH_KEY,0)),0)),""))</f>
        <v>0.157894736842105</v>
      </c>
      <c r="S274" s="74">
        <f>IF(L274="","",IFERROR(INDEX(LMH_PTS,MATCH(L274,LMH_KEY,0))/SUM(IFERROR(INDEX(LMH_PTS,MATCH(J274,LMH_KEY,0)),0),IFERROR(INDEX(LMH_PTS,MATCH(K274,LMH_KEY,0)),0),IFERROR(INDEX(LMH_PTS,MATCH(L274,LMH_KEY,0)),0),IFERROR(INDEX(LMH_PTS,MATCH(M274,LMH_KEY,0)),0),IFERROR(INDEX(LMH_PTS,MATCH(N274,LMH_KEY,0)),0),IFERROR(INDEX(LMH_PTS,MATCH(O274,LMH_KEY,0)),0),IFERROR(INDEX(LMH_PTS,MATCH(P274,LMH_KEY,0)),0)),""))</f>
        <v>0.157894736842105</v>
      </c>
      <c r="T274" s="74">
        <f>IF(M274="","",IFERROR(INDEX(LMH_PTS,MATCH(M274,LMH_KEY,0))/SUM(IFERROR(INDEX(LMH_PTS,MATCH(J274,LMH_KEY,0)),0),IFERROR(INDEX(LMH_PTS,MATCH(K274,LMH_KEY,0)),0),IFERROR(INDEX(LMH_PTS,MATCH(L274,LMH_KEY,0)),0),IFERROR(INDEX(LMH_PTS,MATCH(M274,LMH_KEY,0)),0),IFERROR(INDEX(LMH_PTS,MATCH(N274,LMH_KEY,0)),0),IFERROR(INDEX(LMH_PTS,MATCH(O274,LMH_KEY,0)),0),IFERROR(INDEX(LMH_PTS,MATCH(P274,LMH_KEY,0)),0)),""))</f>
        <v>0.0526315789473684</v>
      </c>
      <c r="U274" s="74">
        <f>IF(N274="","",IFERROR(INDEX(LMH_PTS,MATCH(N274,LMH_KEY,0))/SUM(IFERROR(INDEX(LMH_PTS,MATCH(J274,LMH_KEY,0)),0),IFERROR(INDEX(LMH_PTS,MATCH(K274,LMH_KEY,0)),0),IFERROR(INDEX(LMH_PTS,MATCH(L274,LMH_KEY,0)),0),IFERROR(INDEX(LMH_PTS,MATCH(M274,LMH_KEY,0)),0),IFERROR(INDEX(LMH_PTS,MATCH(N274,LMH_KEY,0)),0),IFERROR(INDEX(LMH_PTS,MATCH(O274,LMH_KEY,0)),0),IFERROR(INDEX(LMH_PTS,MATCH(P274,LMH_KEY,0)),0)),""))</f>
        <v>0.0526315789473684</v>
      </c>
      <c r="V274" s="74">
        <f>IF(O274="","",IFERROR(INDEX(LMH_PTS,MATCH(O274,LMH_KEY,0))/SUM(IFERROR(INDEX(LMH_PTS,MATCH(J274,LMH_KEY,0)),0),IFERROR(INDEX(LMH_PTS,MATCH(K274,LMH_KEY,0)),0),IFERROR(INDEX(LMH_PTS,MATCH(L274,LMH_KEY,0)),0),IFERROR(INDEX(LMH_PTS,MATCH(M274,LMH_KEY,0)),0),IFERROR(INDEX(LMH_PTS,MATCH(N274,LMH_KEY,0)),0),IFERROR(INDEX(LMH_PTS,MATCH(O274,LMH_KEY,0)),0),IFERROR(INDEX(LMH_PTS,MATCH(P274,LMH_KEY,0)),0)),""))</f>
        <v>0.0526315789473684</v>
      </c>
      <c r="W274" s="74">
        <f>IF(P274="","",IFERROR(INDEX(LMH_PTS,MATCH(P274,LMH_KEY,0))/SUM(IFERROR(INDEX(LMH_PTS,MATCH(J274,LMH_KEY,0)),0),IFERROR(INDEX(LMH_PTS,MATCH(K274,LMH_KEY,0)),0),IFERROR(INDEX(LMH_PTS,MATCH(L274,LMH_KEY,0)),0),IFERROR(INDEX(LMH_PTS,MATCH(M274,LMH_KEY,0)),0),IFERROR(INDEX(LMH_PTS,MATCH(N274,LMH_KEY,0)),0),IFERROR(INDEX(LMH_PTS,MATCH(O274,LMH_KEY,0)),0),IFERROR(INDEX(LMH_PTS,MATCH(P274,LMH_KEY,0)),0)),""))</f>
        <v>0.0526315789473684</v>
      </c>
      <c r="X274" s="44" t="n"/>
      <c r="Y274" s="38" t="inlineStr">
        <is>
          <t>Datatech|Product Management|Associate Product Manager|B1|B-IC</t>
        </is>
      </c>
    </row>
    <row r="275" ht="18" customHeight="1">
      <c r="A275" s="28" t="inlineStr">
        <is>
          <t>Datatech</t>
        </is>
      </c>
      <c r="B275" s="29" t="inlineStr">
        <is>
          <t>Product Management</t>
        </is>
      </c>
      <c r="C275" s="72" t="inlineStr">
        <is>
          <t>B1</t>
        </is>
      </c>
      <c r="D275" s="29" t="inlineStr">
        <is>
          <t>Band B · Specialist / Manager</t>
        </is>
      </c>
      <c r="E275" s="29" t="inlineStr">
        <is>
          <t>Product Manager</t>
        </is>
      </c>
      <c r="F275" s="29" t="inlineStr">
        <is>
          <t>Band B · Specialist / POD Lead</t>
        </is>
      </c>
      <c r="G275" s="29" t="inlineStr">
        <is>
          <t>Product Management</t>
        </is>
      </c>
      <c r="H275" s="29" t="n">
        <v>1</v>
      </c>
      <c r="I275" s="29" t="inlineStr">
        <is>
          <t>Piyush Raj</t>
        </is>
      </c>
      <c r="J275" s="34" t="str">
        <f>IFERROR(INDEX(RBD_C,MATCH("Product Management|B1|B-IC",RBD_KEY,0)),"M")</f>
        <v>H</v>
      </c>
      <c r="K275" s="35" t="str">
        <f>IFERROR(INDEX(RBD_Au,MATCH("Product Management|B1|B-IC",RBD_KEY,0)),"M")</f>
        <v>M</v>
      </c>
      <c r="L275" s="35" t="str">
        <f>IFERROR(INDEX(RBD_Ac,MATCH("Product Management|B1|B-IC",RBD_KEY,0)),"M")</f>
        <v>M</v>
      </c>
      <c r="M275" s="35" t="str">
        <f>IFERROR(INDEX(RBD_L,MATCH("Product Management|B1|B-IC",RBD_KEY,0)),"M")</f>
        <v>L</v>
      </c>
      <c r="N275" s="35" t="str">
        <f>IFERROR(INDEX(RBD_BI,MATCH("Product Management|B1|B-IC",RBD_KEY,0)),"M")</f>
        <v>L</v>
      </c>
      <c r="O275" s="35" t="str">
        <f>IFERROR(INDEX(RBD_Exp,MATCH("Product Management|B1|B-IC",RBD_KEY,0)),"M")</f>
        <v>L</v>
      </c>
      <c r="P275" s="35" t="str">
        <f>IFERROR(INDEX(RBD_Edu,MATCH("Product Management|B1|B-IC",RBD_KEY,0)),"M")</f>
        <v>L</v>
      </c>
      <c r="Q275" s="73">
        <f>IF(J275="","",IFERROR(INDEX(LMH_PTS,MATCH(J275,LMH_KEY,0))/SUM(IFERROR(INDEX(LMH_PTS,MATCH(J275,LMH_KEY,0)),0),IFERROR(INDEX(LMH_PTS,MATCH(K275,LMH_KEY,0)),0),IFERROR(INDEX(LMH_PTS,MATCH(L275,LMH_KEY,0)),0),IFERROR(INDEX(LMH_PTS,MATCH(M275,LMH_KEY,0)),0),IFERROR(INDEX(LMH_PTS,MATCH(N275,LMH_KEY,0)),0),IFERROR(INDEX(LMH_PTS,MATCH(O275,LMH_KEY,0)),0),IFERROR(INDEX(LMH_PTS,MATCH(P275,LMH_KEY,0)),0)),""))</f>
        <v>0.473684210526316</v>
      </c>
      <c r="R275" s="74">
        <f>IF(K275="","",IFERROR(INDEX(LMH_PTS,MATCH(K275,LMH_KEY,0))/SUM(IFERROR(INDEX(LMH_PTS,MATCH(J275,LMH_KEY,0)),0),IFERROR(INDEX(LMH_PTS,MATCH(K275,LMH_KEY,0)),0),IFERROR(INDEX(LMH_PTS,MATCH(L275,LMH_KEY,0)),0),IFERROR(INDEX(LMH_PTS,MATCH(M275,LMH_KEY,0)),0),IFERROR(INDEX(LMH_PTS,MATCH(N275,LMH_KEY,0)),0),IFERROR(INDEX(LMH_PTS,MATCH(O275,LMH_KEY,0)),0),IFERROR(INDEX(LMH_PTS,MATCH(P275,LMH_KEY,0)),0)),""))</f>
        <v>0.157894736842105</v>
      </c>
      <c r="S275" s="74">
        <f>IF(L275="","",IFERROR(INDEX(LMH_PTS,MATCH(L275,LMH_KEY,0))/SUM(IFERROR(INDEX(LMH_PTS,MATCH(J275,LMH_KEY,0)),0),IFERROR(INDEX(LMH_PTS,MATCH(K275,LMH_KEY,0)),0),IFERROR(INDEX(LMH_PTS,MATCH(L275,LMH_KEY,0)),0),IFERROR(INDEX(LMH_PTS,MATCH(M275,LMH_KEY,0)),0),IFERROR(INDEX(LMH_PTS,MATCH(N275,LMH_KEY,0)),0),IFERROR(INDEX(LMH_PTS,MATCH(O275,LMH_KEY,0)),0),IFERROR(INDEX(LMH_PTS,MATCH(P275,LMH_KEY,0)),0)),""))</f>
        <v>0.157894736842105</v>
      </c>
      <c r="T275" s="74">
        <f>IF(M275="","",IFERROR(INDEX(LMH_PTS,MATCH(M275,LMH_KEY,0))/SUM(IFERROR(INDEX(LMH_PTS,MATCH(J275,LMH_KEY,0)),0),IFERROR(INDEX(LMH_PTS,MATCH(K275,LMH_KEY,0)),0),IFERROR(INDEX(LMH_PTS,MATCH(L275,LMH_KEY,0)),0),IFERROR(INDEX(LMH_PTS,MATCH(M275,LMH_KEY,0)),0),IFERROR(INDEX(LMH_PTS,MATCH(N275,LMH_KEY,0)),0),IFERROR(INDEX(LMH_PTS,MATCH(O275,LMH_KEY,0)),0),IFERROR(INDEX(LMH_PTS,MATCH(P275,LMH_KEY,0)),0)),""))</f>
        <v>0.0526315789473684</v>
      </c>
      <c r="U275" s="74">
        <f>IF(N275="","",IFERROR(INDEX(LMH_PTS,MATCH(N275,LMH_KEY,0))/SUM(IFERROR(INDEX(LMH_PTS,MATCH(J275,LMH_KEY,0)),0),IFERROR(INDEX(LMH_PTS,MATCH(K275,LMH_KEY,0)),0),IFERROR(INDEX(LMH_PTS,MATCH(L275,LMH_KEY,0)),0),IFERROR(INDEX(LMH_PTS,MATCH(M275,LMH_KEY,0)),0),IFERROR(INDEX(LMH_PTS,MATCH(N275,LMH_KEY,0)),0),IFERROR(INDEX(LMH_PTS,MATCH(O275,LMH_KEY,0)),0),IFERROR(INDEX(LMH_PTS,MATCH(P275,LMH_KEY,0)),0)),""))</f>
        <v>0.0526315789473684</v>
      </c>
      <c r="V275" s="74">
        <f>IF(O275="","",IFERROR(INDEX(LMH_PTS,MATCH(O275,LMH_KEY,0))/SUM(IFERROR(INDEX(LMH_PTS,MATCH(J275,LMH_KEY,0)),0),IFERROR(INDEX(LMH_PTS,MATCH(K275,LMH_KEY,0)),0),IFERROR(INDEX(LMH_PTS,MATCH(L275,LMH_KEY,0)),0),IFERROR(INDEX(LMH_PTS,MATCH(M275,LMH_KEY,0)),0),IFERROR(INDEX(LMH_PTS,MATCH(N275,LMH_KEY,0)),0),IFERROR(INDEX(LMH_PTS,MATCH(O275,LMH_KEY,0)),0),IFERROR(INDEX(LMH_PTS,MATCH(P275,LMH_KEY,0)),0)),""))</f>
        <v>0.0526315789473684</v>
      </c>
      <c r="W275" s="74">
        <f>IF(P275="","",IFERROR(INDEX(LMH_PTS,MATCH(P275,LMH_KEY,0))/SUM(IFERROR(INDEX(LMH_PTS,MATCH(J275,LMH_KEY,0)),0),IFERROR(INDEX(LMH_PTS,MATCH(K275,LMH_KEY,0)),0),IFERROR(INDEX(LMH_PTS,MATCH(L275,LMH_KEY,0)),0),IFERROR(INDEX(LMH_PTS,MATCH(M275,LMH_KEY,0)),0),IFERROR(INDEX(LMH_PTS,MATCH(N275,LMH_KEY,0)),0),IFERROR(INDEX(LMH_PTS,MATCH(O275,LMH_KEY,0)),0),IFERROR(INDEX(LMH_PTS,MATCH(P275,LMH_KEY,0)),0)),""))</f>
        <v>0.0526315789473684</v>
      </c>
      <c r="X275" s="44" t="n"/>
      <c r="Y275" s="38" t="inlineStr">
        <is>
          <t>Datatech|Product Management|Product Manager|B1|B-IC</t>
        </is>
      </c>
    </row>
    <row r="276" ht="28" customHeight="1">
      <c r="A276" s="28" t="inlineStr">
        <is>
          <t>Datatech</t>
        </is>
      </c>
      <c r="B276" s="71" t="inlineStr">
        <is>
          <t>Quality Assurance</t>
        </is>
      </c>
      <c r="C276" s="75" t="inlineStr">
        <is>
          <t>A3</t>
        </is>
      </c>
      <c r="D276" s="29" t="inlineStr">
        <is>
          <t>Band A · Practitioner</t>
        </is>
      </c>
      <c r="E276" s="29" t="inlineStr">
        <is>
          <t>Senior QA Automation Engineer</t>
        </is>
      </c>
      <c r="F276" s="29" t="inlineStr">
        <is>
          <t>Band A · all tracks</t>
        </is>
      </c>
      <c r="G276" s="29" t="inlineStr">
        <is>
          <t>Quality Assurance</t>
        </is>
      </c>
      <c r="H276" s="29" t="n">
        <v>1</v>
      </c>
      <c r="I276" s="29" t="inlineStr">
        <is>
          <t>Smita Londhe</t>
        </is>
      </c>
      <c r="J276" s="34" t="str">
        <f>IFERROR(INDEX(RBD_C,MATCH("Quality Assurance|A3|A",RBD_KEY,0)),"M")</f>
        <v>H</v>
      </c>
      <c r="K276" s="35" t="str">
        <f>IFERROR(INDEX(RBD_Au,MATCH("Quality Assurance|A3|A",RBD_KEY,0)),"M")</f>
        <v>M</v>
      </c>
      <c r="L276" s="35" t="str">
        <f>IFERROR(INDEX(RBD_Ac,MATCH("Quality Assurance|A3|A",RBD_KEY,0)),"M")</f>
        <v>L</v>
      </c>
      <c r="M276" s="35" t="str">
        <f>IFERROR(INDEX(RBD_L,MATCH("Quality Assurance|A3|A",RBD_KEY,0)),"M")</f>
        <v>L</v>
      </c>
      <c r="N276" s="35" t="str">
        <f>IFERROR(INDEX(RBD_BI,MATCH("Quality Assurance|A3|A",RBD_KEY,0)),"M")</f>
        <v>L</v>
      </c>
      <c r="O276" s="35" t="str">
        <f>IFERROR(INDEX(RBD_Exp,MATCH("Quality Assurance|A3|A",RBD_KEY,0)),"M")</f>
        <v>L</v>
      </c>
      <c r="P276" s="35" t="str">
        <f>IFERROR(INDEX(RBD_Edu,MATCH("Quality Assurance|A3|A",RBD_KEY,0)),"M")</f>
        <v>L</v>
      </c>
      <c r="Q276" s="73">
        <f>IF(J276="","",IFERROR(INDEX(LMH_PTS,MATCH(J276,LMH_KEY,0))/SUM(IFERROR(INDEX(LMH_PTS,MATCH(J276,LMH_KEY,0)),0),IFERROR(INDEX(LMH_PTS,MATCH(K276,LMH_KEY,0)),0),IFERROR(INDEX(LMH_PTS,MATCH(L276,LMH_KEY,0)),0),IFERROR(INDEX(LMH_PTS,MATCH(M276,LMH_KEY,0)),0),IFERROR(INDEX(LMH_PTS,MATCH(N276,LMH_KEY,0)),0),IFERROR(INDEX(LMH_PTS,MATCH(O276,LMH_KEY,0)),0),IFERROR(INDEX(LMH_PTS,MATCH(P276,LMH_KEY,0)),0)),""))</f>
        <v>0.529411764705882</v>
      </c>
      <c r="R276" s="74">
        <f>IF(K276="","",IFERROR(INDEX(LMH_PTS,MATCH(K276,LMH_KEY,0))/SUM(IFERROR(INDEX(LMH_PTS,MATCH(J276,LMH_KEY,0)),0),IFERROR(INDEX(LMH_PTS,MATCH(K276,LMH_KEY,0)),0),IFERROR(INDEX(LMH_PTS,MATCH(L276,LMH_KEY,0)),0),IFERROR(INDEX(LMH_PTS,MATCH(M276,LMH_KEY,0)),0),IFERROR(INDEX(LMH_PTS,MATCH(N276,LMH_KEY,0)),0),IFERROR(INDEX(LMH_PTS,MATCH(O276,LMH_KEY,0)),0),IFERROR(INDEX(LMH_PTS,MATCH(P276,LMH_KEY,0)),0)),""))</f>
        <v>0.176470588235294</v>
      </c>
      <c r="S276" s="74">
        <f>IF(L276="","",IFERROR(INDEX(LMH_PTS,MATCH(L276,LMH_KEY,0))/SUM(IFERROR(INDEX(LMH_PTS,MATCH(J276,LMH_KEY,0)),0),IFERROR(INDEX(LMH_PTS,MATCH(K276,LMH_KEY,0)),0),IFERROR(INDEX(LMH_PTS,MATCH(L276,LMH_KEY,0)),0),IFERROR(INDEX(LMH_PTS,MATCH(M276,LMH_KEY,0)),0),IFERROR(INDEX(LMH_PTS,MATCH(N276,LMH_KEY,0)),0),IFERROR(INDEX(LMH_PTS,MATCH(O276,LMH_KEY,0)),0),IFERROR(INDEX(LMH_PTS,MATCH(P276,LMH_KEY,0)),0)),""))</f>
        <v>0.0588235294117647</v>
      </c>
      <c r="T276" s="74">
        <f>IF(M276="","",IFERROR(INDEX(LMH_PTS,MATCH(M276,LMH_KEY,0))/SUM(IFERROR(INDEX(LMH_PTS,MATCH(J276,LMH_KEY,0)),0),IFERROR(INDEX(LMH_PTS,MATCH(K276,LMH_KEY,0)),0),IFERROR(INDEX(LMH_PTS,MATCH(L276,LMH_KEY,0)),0),IFERROR(INDEX(LMH_PTS,MATCH(M276,LMH_KEY,0)),0),IFERROR(INDEX(LMH_PTS,MATCH(N276,LMH_KEY,0)),0),IFERROR(INDEX(LMH_PTS,MATCH(O276,LMH_KEY,0)),0),IFERROR(INDEX(LMH_PTS,MATCH(P276,LMH_KEY,0)),0)),""))</f>
        <v>0.0588235294117647</v>
      </c>
      <c r="U276" s="74">
        <f>IF(N276="","",IFERROR(INDEX(LMH_PTS,MATCH(N276,LMH_KEY,0))/SUM(IFERROR(INDEX(LMH_PTS,MATCH(J276,LMH_KEY,0)),0),IFERROR(INDEX(LMH_PTS,MATCH(K276,LMH_KEY,0)),0),IFERROR(INDEX(LMH_PTS,MATCH(L276,LMH_KEY,0)),0),IFERROR(INDEX(LMH_PTS,MATCH(M276,LMH_KEY,0)),0),IFERROR(INDEX(LMH_PTS,MATCH(N276,LMH_KEY,0)),0),IFERROR(INDEX(LMH_PTS,MATCH(O276,LMH_KEY,0)),0),IFERROR(INDEX(LMH_PTS,MATCH(P276,LMH_KEY,0)),0)),""))</f>
        <v>0.0588235294117647</v>
      </c>
      <c r="V276" s="74">
        <f>IF(O276="","",IFERROR(INDEX(LMH_PTS,MATCH(O276,LMH_KEY,0))/SUM(IFERROR(INDEX(LMH_PTS,MATCH(J276,LMH_KEY,0)),0),IFERROR(INDEX(LMH_PTS,MATCH(K276,LMH_KEY,0)),0),IFERROR(INDEX(LMH_PTS,MATCH(L276,LMH_KEY,0)),0),IFERROR(INDEX(LMH_PTS,MATCH(M276,LMH_KEY,0)),0),IFERROR(INDEX(LMH_PTS,MATCH(N276,LMH_KEY,0)),0),IFERROR(INDEX(LMH_PTS,MATCH(O276,LMH_KEY,0)),0),IFERROR(INDEX(LMH_PTS,MATCH(P276,LMH_KEY,0)),0)),""))</f>
        <v>0.0588235294117647</v>
      </c>
      <c r="W276" s="74">
        <f>IF(P276="","",IFERROR(INDEX(LMH_PTS,MATCH(P276,LMH_KEY,0))/SUM(IFERROR(INDEX(LMH_PTS,MATCH(J276,LMH_KEY,0)),0),IFERROR(INDEX(LMH_PTS,MATCH(K276,LMH_KEY,0)),0),IFERROR(INDEX(LMH_PTS,MATCH(L276,LMH_KEY,0)),0),IFERROR(INDEX(LMH_PTS,MATCH(M276,LMH_KEY,0)),0),IFERROR(INDEX(LMH_PTS,MATCH(N276,LMH_KEY,0)),0),IFERROR(INDEX(LMH_PTS,MATCH(O276,LMH_KEY,0)),0),IFERROR(INDEX(LMH_PTS,MATCH(P276,LMH_KEY,0)),0)),""))</f>
        <v>0.0588235294117647</v>
      </c>
      <c r="X276" s="44" t="n"/>
      <c r="Y276" s="38" t="inlineStr">
        <is>
          <t>Datatech|Quality Assurance|Senior QA Automation Engineer|A3|A</t>
        </is>
      </c>
    </row>
    <row r="277" ht="18" customHeight="1">
      <c r="A277" s="28" t="inlineStr">
        <is>
          <t>Datatech</t>
        </is>
      </c>
      <c r="B277" s="29" t="inlineStr">
        <is>
          <t>Quality Assurance</t>
        </is>
      </c>
      <c r="C277" s="75" t="inlineStr">
        <is>
          <t>A3</t>
        </is>
      </c>
      <c r="D277" s="29" t="inlineStr">
        <is>
          <t>Band A · Practitioner</t>
        </is>
      </c>
      <c r="E277" s="29" t="inlineStr">
        <is>
          <t>Senior QA Engineer</t>
        </is>
      </c>
      <c r="F277" s="29" t="inlineStr">
        <is>
          <t>Band A · all tracks</t>
        </is>
      </c>
      <c r="G277" s="29" t="inlineStr">
        <is>
          <t>Quality Assurance</t>
        </is>
      </c>
      <c r="H277" s="29" t="n">
        <v>1</v>
      </c>
      <c r="I277" s="29" t="inlineStr">
        <is>
          <t>Supriya Patil</t>
        </is>
      </c>
      <c r="J277" s="34" t="str">
        <f>IFERROR(INDEX(RBD_C,MATCH("Quality Assurance|A3|A",RBD_KEY,0)),"M")</f>
        <v>H</v>
      </c>
      <c r="K277" s="35" t="str">
        <f>IFERROR(INDEX(RBD_Au,MATCH("Quality Assurance|A3|A",RBD_KEY,0)),"M")</f>
        <v>M</v>
      </c>
      <c r="L277" s="35" t="str">
        <f>IFERROR(INDEX(RBD_Ac,MATCH("Quality Assurance|A3|A",RBD_KEY,0)),"M")</f>
        <v>L</v>
      </c>
      <c r="M277" s="35" t="str">
        <f>IFERROR(INDEX(RBD_L,MATCH("Quality Assurance|A3|A",RBD_KEY,0)),"M")</f>
        <v>L</v>
      </c>
      <c r="N277" s="35" t="str">
        <f>IFERROR(INDEX(RBD_BI,MATCH("Quality Assurance|A3|A",RBD_KEY,0)),"M")</f>
        <v>L</v>
      </c>
      <c r="O277" s="35" t="str">
        <f>IFERROR(INDEX(RBD_Exp,MATCH("Quality Assurance|A3|A",RBD_KEY,0)),"M")</f>
        <v>L</v>
      </c>
      <c r="P277" s="35" t="str">
        <f>IFERROR(INDEX(RBD_Edu,MATCH("Quality Assurance|A3|A",RBD_KEY,0)),"M")</f>
        <v>L</v>
      </c>
      <c r="Q277" s="73">
        <f>IF(J277="","",IFERROR(INDEX(LMH_PTS,MATCH(J277,LMH_KEY,0))/SUM(IFERROR(INDEX(LMH_PTS,MATCH(J277,LMH_KEY,0)),0),IFERROR(INDEX(LMH_PTS,MATCH(K277,LMH_KEY,0)),0),IFERROR(INDEX(LMH_PTS,MATCH(L277,LMH_KEY,0)),0),IFERROR(INDEX(LMH_PTS,MATCH(M277,LMH_KEY,0)),0),IFERROR(INDEX(LMH_PTS,MATCH(N277,LMH_KEY,0)),0),IFERROR(INDEX(LMH_PTS,MATCH(O277,LMH_KEY,0)),0),IFERROR(INDEX(LMH_PTS,MATCH(P277,LMH_KEY,0)),0)),""))</f>
        <v>0.529411764705882</v>
      </c>
      <c r="R277" s="74">
        <f>IF(K277="","",IFERROR(INDEX(LMH_PTS,MATCH(K277,LMH_KEY,0))/SUM(IFERROR(INDEX(LMH_PTS,MATCH(J277,LMH_KEY,0)),0),IFERROR(INDEX(LMH_PTS,MATCH(K277,LMH_KEY,0)),0),IFERROR(INDEX(LMH_PTS,MATCH(L277,LMH_KEY,0)),0),IFERROR(INDEX(LMH_PTS,MATCH(M277,LMH_KEY,0)),0),IFERROR(INDEX(LMH_PTS,MATCH(N277,LMH_KEY,0)),0),IFERROR(INDEX(LMH_PTS,MATCH(O277,LMH_KEY,0)),0),IFERROR(INDEX(LMH_PTS,MATCH(P277,LMH_KEY,0)),0)),""))</f>
        <v>0.176470588235294</v>
      </c>
      <c r="S277" s="74">
        <f>IF(L277="","",IFERROR(INDEX(LMH_PTS,MATCH(L277,LMH_KEY,0))/SUM(IFERROR(INDEX(LMH_PTS,MATCH(J277,LMH_KEY,0)),0),IFERROR(INDEX(LMH_PTS,MATCH(K277,LMH_KEY,0)),0),IFERROR(INDEX(LMH_PTS,MATCH(L277,LMH_KEY,0)),0),IFERROR(INDEX(LMH_PTS,MATCH(M277,LMH_KEY,0)),0),IFERROR(INDEX(LMH_PTS,MATCH(N277,LMH_KEY,0)),0),IFERROR(INDEX(LMH_PTS,MATCH(O277,LMH_KEY,0)),0),IFERROR(INDEX(LMH_PTS,MATCH(P277,LMH_KEY,0)),0)),""))</f>
        <v>0.0588235294117647</v>
      </c>
      <c r="T277" s="74">
        <f>IF(M277="","",IFERROR(INDEX(LMH_PTS,MATCH(M277,LMH_KEY,0))/SUM(IFERROR(INDEX(LMH_PTS,MATCH(J277,LMH_KEY,0)),0),IFERROR(INDEX(LMH_PTS,MATCH(K277,LMH_KEY,0)),0),IFERROR(INDEX(LMH_PTS,MATCH(L277,LMH_KEY,0)),0),IFERROR(INDEX(LMH_PTS,MATCH(M277,LMH_KEY,0)),0),IFERROR(INDEX(LMH_PTS,MATCH(N277,LMH_KEY,0)),0),IFERROR(INDEX(LMH_PTS,MATCH(O277,LMH_KEY,0)),0),IFERROR(INDEX(LMH_PTS,MATCH(P277,LMH_KEY,0)),0)),""))</f>
        <v>0.0588235294117647</v>
      </c>
      <c r="U277" s="74">
        <f>IF(N277="","",IFERROR(INDEX(LMH_PTS,MATCH(N277,LMH_KEY,0))/SUM(IFERROR(INDEX(LMH_PTS,MATCH(J277,LMH_KEY,0)),0),IFERROR(INDEX(LMH_PTS,MATCH(K277,LMH_KEY,0)),0),IFERROR(INDEX(LMH_PTS,MATCH(L277,LMH_KEY,0)),0),IFERROR(INDEX(LMH_PTS,MATCH(M277,LMH_KEY,0)),0),IFERROR(INDEX(LMH_PTS,MATCH(N277,LMH_KEY,0)),0),IFERROR(INDEX(LMH_PTS,MATCH(O277,LMH_KEY,0)),0),IFERROR(INDEX(LMH_PTS,MATCH(P277,LMH_KEY,0)),0)),""))</f>
        <v>0.0588235294117647</v>
      </c>
      <c r="V277" s="74">
        <f>IF(O277="","",IFERROR(INDEX(LMH_PTS,MATCH(O277,LMH_KEY,0))/SUM(IFERROR(INDEX(LMH_PTS,MATCH(J277,LMH_KEY,0)),0),IFERROR(INDEX(LMH_PTS,MATCH(K277,LMH_KEY,0)),0),IFERROR(INDEX(LMH_PTS,MATCH(L277,LMH_KEY,0)),0),IFERROR(INDEX(LMH_PTS,MATCH(M277,LMH_KEY,0)),0),IFERROR(INDEX(LMH_PTS,MATCH(N277,LMH_KEY,0)),0),IFERROR(INDEX(LMH_PTS,MATCH(O277,LMH_KEY,0)),0),IFERROR(INDEX(LMH_PTS,MATCH(P277,LMH_KEY,0)),0)),""))</f>
        <v>0.0588235294117647</v>
      </c>
      <c r="W277" s="74">
        <f>IF(P277="","",IFERROR(INDEX(LMH_PTS,MATCH(P277,LMH_KEY,0))/SUM(IFERROR(INDEX(LMH_PTS,MATCH(J277,LMH_KEY,0)),0),IFERROR(INDEX(LMH_PTS,MATCH(K277,LMH_KEY,0)),0),IFERROR(INDEX(LMH_PTS,MATCH(L277,LMH_KEY,0)),0),IFERROR(INDEX(LMH_PTS,MATCH(M277,LMH_KEY,0)),0),IFERROR(INDEX(LMH_PTS,MATCH(N277,LMH_KEY,0)),0),IFERROR(INDEX(LMH_PTS,MATCH(O277,LMH_KEY,0)),0),IFERROR(INDEX(LMH_PTS,MATCH(P277,LMH_KEY,0)),0)),""))</f>
        <v>0.0588235294117647</v>
      </c>
      <c r="X277" s="44" t="n"/>
      <c r="Y277" s="38" t="inlineStr">
        <is>
          <t>Datatech|Quality Assurance|Senior QA Engineer|A3|A</t>
        </is>
      </c>
    </row>
    <row r="278" ht="18" customHeight="1">
      <c r="A278" s="28" t="inlineStr">
        <is>
          <t>Datatech</t>
        </is>
      </c>
      <c r="B278" s="71" t="inlineStr">
        <is>
          <t>Sales</t>
        </is>
      </c>
      <c r="C278" s="78" t="inlineStr">
        <is>
          <t>C1</t>
        </is>
      </c>
      <c r="D278" s="29" t="inlineStr">
        <is>
          <t>Band C · Principal / Head</t>
        </is>
      </c>
      <c r="E278" s="29" t="inlineStr">
        <is>
          <t>Principal – Sales</t>
        </is>
      </c>
      <c r="F278" s="29" t="inlineStr">
        <is>
          <t>Band C · Principal specialist</t>
        </is>
      </c>
      <c r="G278" s="29" t="inlineStr">
        <is>
          <t>Sales &amp; Business Development</t>
        </is>
      </c>
      <c r="H278" s="29" t="n">
        <v>1</v>
      </c>
      <c r="I278" s="29" t="inlineStr">
        <is>
          <t>Abhishek Gite</t>
        </is>
      </c>
      <c r="J278" s="34" t="str">
        <f>IFERROR(INDEX(RBD_C,MATCH("Sales &amp; Business Development|C1|C-IC",RBD_KEY,0)),"M")</f>
        <v>H</v>
      </c>
      <c r="K278" s="35" t="str">
        <f>IFERROR(INDEX(RBD_Au,MATCH("Sales &amp; Business Development|C1|C-IC",RBD_KEY,0)),"M")</f>
        <v>M</v>
      </c>
      <c r="L278" s="35" t="str">
        <f>IFERROR(INDEX(RBD_Ac,MATCH("Sales &amp; Business Development|C1|C-IC",RBD_KEY,0)),"M")</f>
        <v>L</v>
      </c>
      <c r="M278" s="35" t="str">
        <f>IFERROR(INDEX(RBD_L,MATCH("Sales &amp; Business Development|C1|C-IC",RBD_KEY,0)),"M")</f>
        <v>L</v>
      </c>
      <c r="N278" s="35" t="str">
        <f>IFERROR(INDEX(RBD_BI,MATCH("Sales &amp; Business Development|C1|C-IC",RBD_KEY,0)),"M")</f>
        <v>M</v>
      </c>
      <c r="O278" s="35" t="str">
        <f>IFERROR(INDEX(RBD_Exp,MATCH("Sales &amp; Business Development|C1|C-IC",RBD_KEY,0)),"M")</f>
        <v>L</v>
      </c>
      <c r="P278" s="35" t="str">
        <f>IFERROR(INDEX(RBD_Edu,MATCH("Sales &amp; Business Development|C1|C-IC",RBD_KEY,0)),"M")</f>
        <v>L</v>
      </c>
      <c r="Q278" s="73">
        <f>IF(J278="","",IFERROR(INDEX(LMH_PTS,MATCH(J278,LMH_KEY,0))/SUM(IFERROR(INDEX(LMH_PTS,MATCH(J278,LMH_KEY,0)),0),IFERROR(INDEX(LMH_PTS,MATCH(K278,LMH_KEY,0)),0),IFERROR(INDEX(LMH_PTS,MATCH(L278,LMH_KEY,0)),0),IFERROR(INDEX(LMH_PTS,MATCH(M278,LMH_KEY,0)),0),IFERROR(INDEX(LMH_PTS,MATCH(N278,LMH_KEY,0)),0),IFERROR(INDEX(LMH_PTS,MATCH(O278,LMH_KEY,0)),0),IFERROR(INDEX(LMH_PTS,MATCH(P278,LMH_KEY,0)),0)),""))</f>
        <v>0.473684210526316</v>
      </c>
      <c r="R278" s="74">
        <f>IF(K278="","",IFERROR(INDEX(LMH_PTS,MATCH(K278,LMH_KEY,0))/SUM(IFERROR(INDEX(LMH_PTS,MATCH(J278,LMH_KEY,0)),0),IFERROR(INDEX(LMH_PTS,MATCH(K278,LMH_KEY,0)),0),IFERROR(INDEX(LMH_PTS,MATCH(L278,LMH_KEY,0)),0),IFERROR(INDEX(LMH_PTS,MATCH(M278,LMH_KEY,0)),0),IFERROR(INDEX(LMH_PTS,MATCH(N278,LMH_KEY,0)),0),IFERROR(INDEX(LMH_PTS,MATCH(O278,LMH_KEY,0)),0),IFERROR(INDEX(LMH_PTS,MATCH(P278,LMH_KEY,0)),0)),""))</f>
        <v>0.157894736842105</v>
      </c>
      <c r="S278" s="74">
        <f>IF(L278="","",IFERROR(INDEX(LMH_PTS,MATCH(L278,LMH_KEY,0))/SUM(IFERROR(INDEX(LMH_PTS,MATCH(J278,LMH_KEY,0)),0),IFERROR(INDEX(LMH_PTS,MATCH(K278,LMH_KEY,0)),0),IFERROR(INDEX(LMH_PTS,MATCH(L278,LMH_KEY,0)),0),IFERROR(INDEX(LMH_PTS,MATCH(M278,LMH_KEY,0)),0),IFERROR(INDEX(LMH_PTS,MATCH(N278,LMH_KEY,0)),0),IFERROR(INDEX(LMH_PTS,MATCH(O278,LMH_KEY,0)),0),IFERROR(INDEX(LMH_PTS,MATCH(P278,LMH_KEY,0)),0)),""))</f>
        <v>0.0526315789473684</v>
      </c>
      <c r="T278" s="74">
        <f>IF(M278="","",IFERROR(INDEX(LMH_PTS,MATCH(M278,LMH_KEY,0))/SUM(IFERROR(INDEX(LMH_PTS,MATCH(J278,LMH_KEY,0)),0),IFERROR(INDEX(LMH_PTS,MATCH(K278,LMH_KEY,0)),0),IFERROR(INDEX(LMH_PTS,MATCH(L278,LMH_KEY,0)),0),IFERROR(INDEX(LMH_PTS,MATCH(M278,LMH_KEY,0)),0),IFERROR(INDEX(LMH_PTS,MATCH(N278,LMH_KEY,0)),0),IFERROR(INDEX(LMH_PTS,MATCH(O278,LMH_KEY,0)),0),IFERROR(INDEX(LMH_PTS,MATCH(P278,LMH_KEY,0)),0)),""))</f>
        <v>0.0526315789473684</v>
      </c>
      <c r="U278" s="74">
        <f>IF(N278="","",IFERROR(INDEX(LMH_PTS,MATCH(N278,LMH_KEY,0))/SUM(IFERROR(INDEX(LMH_PTS,MATCH(J278,LMH_KEY,0)),0),IFERROR(INDEX(LMH_PTS,MATCH(K278,LMH_KEY,0)),0),IFERROR(INDEX(LMH_PTS,MATCH(L278,LMH_KEY,0)),0),IFERROR(INDEX(LMH_PTS,MATCH(M278,LMH_KEY,0)),0),IFERROR(INDEX(LMH_PTS,MATCH(N278,LMH_KEY,0)),0),IFERROR(INDEX(LMH_PTS,MATCH(O278,LMH_KEY,0)),0),IFERROR(INDEX(LMH_PTS,MATCH(P278,LMH_KEY,0)),0)),""))</f>
        <v>0.157894736842105</v>
      </c>
      <c r="V278" s="74">
        <f>IF(O278="","",IFERROR(INDEX(LMH_PTS,MATCH(O278,LMH_KEY,0))/SUM(IFERROR(INDEX(LMH_PTS,MATCH(J278,LMH_KEY,0)),0),IFERROR(INDEX(LMH_PTS,MATCH(K278,LMH_KEY,0)),0),IFERROR(INDEX(LMH_PTS,MATCH(L278,LMH_KEY,0)),0),IFERROR(INDEX(LMH_PTS,MATCH(M278,LMH_KEY,0)),0),IFERROR(INDEX(LMH_PTS,MATCH(N278,LMH_KEY,0)),0),IFERROR(INDEX(LMH_PTS,MATCH(O278,LMH_KEY,0)),0),IFERROR(INDEX(LMH_PTS,MATCH(P278,LMH_KEY,0)),0)),""))</f>
        <v>0.0526315789473684</v>
      </c>
      <c r="W278" s="74">
        <f>IF(P278="","",IFERROR(INDEX(LMH_PTS,MATCH(P278,LMH_KEY,0))/SUM(IFERROR(INDEX(LMH_PTS,MATCH(J278,LMH_KEY,0)),0),IFERROR(INDEX(LMH_PTS,MATCH(K278,LMH_KEY,0)),0),IFERROR(INDEX(LMH_PTS,MATCH(L278,LMH_KEY,0)),0),IFERROR(INDEX(LMH_PTS,MATCH(M278,LMH_KEY,0)),0),IFERROR(INDEX(LMH_PTS,MATCH(N278,LMH_KEY,0)),0),IFERROR(INDEX(LMH_PTS,MATCH(O278,LMH_KEY,0)),0),IFERROR(INDEX(LMH_PTS,MATCH(P278,LMH_KEY,0)),0)),""))</f>
        <v>0.0526315789473684</v>
      </c>
      <c r="X278" s="44" t="n"/>
      <c r="Y278" s="38" t="inlineStr">
        <is>
          <t>Datatech|Sales|Principal – Sales|C1|C-IC</t>
        </is>
      </c>
    </row>
    <row r="279" ht="18" customHeight="1">
      <c r="A279" s="28" t="inlineStr">
        <is>
          <t>Datatech</t>
        </is>
      </c>
      <c r="B279" s="71" t="inlineStr">
        <is>
          <t>Technology</t>
        </is>
      </c>
      <c r="C279" s="78" t="inlineStr">
        <is>
          <t>C1</t>
        </is>
      </c>
      <c r="D279" s="29" t="inlineStr">
        <is>
          <t>Band C · Principal / Head</t>
        </is>
      </c>
      <c r="E279" s="29" t="inlineStr">
        <is>
          <t>Solution Architect</t>
        </is>
      </c>
      <c r="F279" s="29" t="inlineStr">
        <is>
          <t>Band C · Principal specialist</t>
        </is>
      </c>
      <c r="G279" s="29" t="inlineStr">
        <is>
          <t>Engineering &amp; Architecture</t>
        </is>
      </c>
      <c r="H279" s="29" t="n">
        <v>1</v>
      </c>
      <c r="I279" s="29" t="inlineStr">
        <is>
          <t>Sanghamitra Saxena</t>
        </is>
      </c>
      <c r="J279" s="34" t="str">
        <f>IFERROR(INDEX(RBD_C,MATCH("Engineering &amp; Architecture|C1|C-IC",RBD_KEY,0)),"M")</f>
        <v>H</v>
      </c>
      <c r="K279" s="35" t="str">
        <f>IFERROR(INDEX(RBD_Au,MATCH("Engineering &amp; Architecture|C1|C-IC",RBD_KEY,0)),"M")</f>
        <v>M</v>
      </c>
      <c r="L279" s="35" t="str">
        <f>IFERROR(INDEX(RBD_Ac,MATCH("Engineering &amp; Architecture|C1|C-IC",RBD_KEY,0)),"M")</f>
        <v>L</v>
      </c>
      <c r="M279" s="35" t="str">
        <f>IFERROR(INDEX(RBD_L,MATCH("Engineering &amp; Architecture|C1|C-IC",RBD_KEY,0)),"M")</f>
        <v>L</v>
      </c>
      <c r="N279" s="35" t="str">
        <f>IFERROR(INDEX(RBD_BI,MATCH("Engineering &amp; Architecture|C1|C-IC",RBD_KEY,0)),"M")</f>
        <v>L</v>
      </c>
      <c r="O279" s="35" t="str">
        <f>IFERROR(INDEX(RBD_Exp,MATCH("Engineering &amp; Architecture|C1|C-IC",RBD_KEY,0)),"M")</f>
        <v>L</v>
      </c>
      <c r="P279" s="35" t="str">
        <f>IFERROR(INDEX(RBD_Edu,MATCH("Engineering &amp; Architecture|C1|C-IC",RBD_KEY,0)),"M")</f>
        <v>L</v>
      </c>
      <c r="Q279" s="73">
        <f>IF(J279="","",IFERROR(INDEX(LMH_PTS,MATCH(J279,LMH_KEY,0))/SUM(IFERROR(INDEX(LMH_PTS,MATCH(J279,LMH_KEY,0)),0),IFERROR(INDEX(LMH_PTS,MATCH(K279,LMH_KEY,0)),0),IFERROR(INDEX(LMH_PTS,MATCH(L279,LMH_KEY,0)),0),IFERROR(INDEX(LMH_PTS,MATCH(M279,LMH_KEY,0)),0),IFERROR(INDEX(LMH_PTS,MATCH(N279,LMH_KEY,0)),0),IFERROR(INDEX(LMH_PTS,MATCH(O279,LMH_KEY,0)),0),IFERROR(INDEX(LMH_PTS,MATCH(P279,LMH_KEY,0)),0)),""))</f>
        <v>0.529411764705882</v>
      </c>
      <c r="R279" s="74">
        <f>IF(K279="","",IFERROR(INDEX(LMH_PTS,MATCH(K279,LMH_KEY,0))/SUM(IFERROR(INDEX(LMH_PTS,MATCH(J279,LMH_KEY,0)),0),IFERROR(INDEX(LMH_PTS,MATCH(K279,LMH_KEY,0)),0),IFERROR(INDEX(LMH_PTS,MATCH(L279,LMH_KEY,0)),0),IFERROR(INDEX(LMH_PTS,MATCH(M279,LMH_KEY,0)),0),IFERROR(INDEX(LMH_PTS,MATCH(N279,LMH_KEY,0)),0),IFERROR(INDEX(LMH_PTS,MATCH(O279,LMH_KEY,0)),0),IFERROR(INDEX(LMH_PTS,MATCH(P279,LMH_KEY,0)),0)),""))</f>
        <v>0.176470588235294</v>
      </c>
      <c r="S279" s="74">
        <f>IF(L279="","",IFERROR(INDEX(LMH_PTS,MATCH(L279,LMH_KEY,0))/SUM(IFERROR(INDEX(LMH_PTS,MATCH(J279,LMH_KEY,0)),0),IFERROR(INDEX(LMH_PTS,MATCH(K279,LMH_KEY,0)),0),IFERROR(INDEX(LMH_PTS,MATCH(L279,LMH_KEY,0)),0),IFERROR(INDEX(LMH_PTS,MATCH(M279,LMH_KEY,0)),0),IFERROR(INDEX(LMH_PTS,MATCH(N279,LMH_KEY,0)),0),IFERROR(INDEX(LMH_PTS,MATCH(O279,LMH_KEY,0)),0),IFERROR(INDEX(LMH_PTS,MATCH(P279,LMH_KEY,0)),0)),""))</f>
        <v>0.0588235294117647</v>
      </c>
      <c r="T279" s="74">
        <f>IF(M279="","",IFERROR(INDEX(LMH_PTS,MATCH(M279,LMH_KEY,0))/SUM(IFERROR(INDEX(LMH_PTS,MATCH(J279,LMH_KEY,0)),0),IFERROR(INDEX(LMH_PTS,MATCH(K279,LMH_KEY,0)),0),IFERROR(INDEX(LMH_PTS,MATCH(L279,LMH_KEY,0)),0),IFERROR(INDEX(LMH_PTS,MATCH(M279,LMH_KEY,0)),0),IFERROR(INDEX(LMH_PTS,MATCH(N279,LMH_KEY,0)),0),IFERROR(INDEX(LMH_PTS,MATCH(O279,LMH_KEY,0)),0),IFERROR(INDEX(LMH_PTS,MATCH(P279,LMH_KEY,0)),0)),""))</f>
        <v>0.0588235294117647</v>
      </c>
      <c r="U279" s="74">
        <f>IF(N279="","",IFERROR(INDEX(LMH_PTS,MATCH(N279,LMH_KEY,0))/SUM(IFERROR(INDEX(LMH_PTS,MATCH(J279,LMH_KEY,0)),0),IFERROR(INDEX(LMH_PTS,MATCH(K279,LMH_KEY,0)),0),IFERROR(INDEX(LMH_PTS,MATCH(L279,LMH_KEY,0)),0),IFERROR(INDEX(LMH_PTS,MATCH(M279,LMH_KEY,0)),0),IFERROR(INDEX(LMH_PTS,MATCH(N279,LMH_KEY,0)),0),IFERROR(INDEX(LMH_PTS,MATCH(O279,LMH_KEY,0)),0),IFERROR(INDEX(LMH_PTS,MATCH(P279,LMH_KEY,0)),0)),""))</f>
        <v>0.0588235294117647</v>
      </c>
      <c r="V279" s="74">
        <f>IF(O279="","",IFERROR(INDEX(LMH_PTS,MATCH(O279,LMH_KEY,0))/SUM(IFERROR(INDEX(LMH_PTS,MATCH(J279,LMH_KEY,0)),0),IFERROR(INDEX(LMH_PTS,MATCH(K279,LMH_KEY,0)),0),IFERROR(INDEX(LMH_PTS,MATCH(L279,LMH_KEY,0)),0),IFERROR(INDEX(LMH_PTS,MATCH(M279,LMH_KEY,0)),0),IFERROR(INDEX(LMH_PTS,MATCH(N279,LMH_KEY,0)),0),IFERROR(INDEX(LMH_PTS,MATCH(O279,LMH_KEY,0)),0),IFERROR(INDEX(LMH_PTS,MATCH(P279,LMH_KEY,0)),0)),""))</f>
        <v>0.0588235294117647</v>
      </c>
      <c r="W279" s="74">
        <f>IF(P279="","",IFERROR(INDEX(LMH_PTS,MATCH(P279,LMH_KEY,0))/SUM(IFERROR(INDEX(LMH_PTS,MATCH(J279,LMH_KEY,0)),0),IFERROR(INDEX(LMH_PTS,MATCH(K279,LMH_KEY,0)),0),IFERROR(INDEX(LMH_PTS,MATCH(L279,LMH_KEY,0)),0),IFERROR(INDEX(LMH_PTS,MATCH(M279,LMH_KEY,0)),0),IFERROR(INDEX(LMH_PTS,MATCH(N279,LMH_KEY,0)),0),IFERROR(INDEX(LMH_PTS,MATCH(O279,LMH_KEY,0)),0),IFERROR(INDEX(LMH_PTS,MATCH(P279,LMH_KEY,0)),0)),""))</f>
        <v>0.0588235294117647</v>
      </c>
      <c r="X279" s="44" t="n"/>
      <c r="Y279" s="38" t="inlineStr">
        <is>
          <t>Datatech|Technology|Solution Architect|C1|C-IC</t>
        </is>
      </c>
    </row>
    <row r="280" ht="28" customHeight="1">
      <c r="A280" s="28" t="inlineStr">
        <is>
          <t>Datatech</t>
        </is>
      </c>
      <c r="B280" s="29" t="inlineStr">
        <is>
          <t>Technology</t>
        </is>
      </c>
      <c r="C280" s="72" t="inlineStr">
        <is>
          <t>B2</t>
        </is>
      </c>
      <c r="D280" s="29" t="inlineStr">
        <is>
          <t>Band B · Specialist / Manager</t>
        </is>
      </c>
      <c r="E280" s="29" t="inlineStr">
        <is>
          <t>Senior Technical Specialist – POD Lead</t>
        </is>
      </c>
      <c r="F280" s="29" t="inlineStr">
        <is>
          <t>Band B · Specialist / POD Lead</t>
        </is>
      </c>
      <c r="G280" s="29" t="inlineStr">
        <is>
          <t>Engineering &amp; Development</t>
        </is>
      </c>
      <c r="H280" s="29" t="n">
        <v>1</v>
      </c>
      <c r="I280" s="29" t="inlineStr">
        <is>
          <t>Akshay Shetty</t>
        </is>
      </c>
      <c r="J280" s="34" t="str">
        <f>IFERROR(INDEX(RBD_C,MATCH("Engineering &amp; Development|B2|B-IC",RBD_KEY,0)),"M")</f>
        <v>H</v>
      </c>
      <c r="K280" s="35" t="str">
        <f>IFERROR(INDEX(RBD_Au,MATCH("Engineering &amp; Development|B2|B-IC",RBD_KEY,0)),"M")</f>
        <v>M</v>
      </c>
      <c r="L280" s="35" t="str">
        <f>IFERROR(INDEX(RBD_Ac,MATCH("Engineering &amp; Development|B2|B-IC",RBD_KEY,0)),"M")</f>
        <v>L</v>
      </c>
      <c r="M280" s="35" t="str">
        <f>IFERROR(INDEX(RBD_L,MATCH("Engineering &amp; Development|B2|B-IC",RBD_KEY,0)),"M")</f>
        <v>L</v>
      </c>
      <c r="N280" s="35" t="str">
        <f>IFERROR(INDEX(RBD_BI,MATCH("Engineering &amp; Development|B2|B-IC",RBD_KEY,0)),"M")</f>
        <v>L</v>
      </c>
      <c r="O280" s="35" t="str">
        <f>IFERROR(INDEX(RBD_Exp,MATCH("Engineering &amp; Development|B2|B-IC",RBD_KEY,0)),"M")</f>
        <v>L</v>
      </c>
      <c r="P280" s="35" t="str">
        <f>IFERROR(INDEX(RBD_Edu,MATCH("Engineering &amp; Development|B2|B-IC",RBD_KEY,0)),"M")</f>
        <v>L</v>
      </c>
      <c r="Q280" s="73">
        <f>IF(J280="","",IFERROR(INDEX(LMH_PTS,MATCH(J280,LMH_KEY,0))/SUM(IFERROR(INDEX(LMH_PTS,MATCH(J280,LMH_KEY,0)),0),IFERROR(INDEX(LMH_PTS,MATCH(K280,LMH_KEY,0)),0),IFERROR(INDEX(LMH_PTS,MATCH(L280,LMH_KEY,0)),0),IFERROR(INDEX(LMH_PTS,MATCH(M280,LMH_KEY,0)),0),IFERROR(INDEX(LMH_PTS,MATCH(N280,LMH_KEY,0)),0),IFERROR(INDEX(LMH_PTS,MATCH(O280,LMH_KEY,0)),0),IFERROR(INDEX(LMH_PTS,MATCH(P280,LMH_KEY,0)),0)),""))</f>
        <v>0.529411764705882</v>
      </c>
      <c r="R280" s="74">
        <f>IF(K280="","",IFERROR(INDEX(LMH_PTS,MATCH(K280,LMH_KEY,0))/SUM(IFERROR(INDEX(LMH_PTS,MATCH(J280,LMH_KEY,0)),0),IFERROR(INDEX(LMH_PTS,MATCH(K280,LMH_KEY,0)),0),IFERROR(INDEX(LMH_PTS,MATCH(L280,LMH_KEY,0)),0),IFERROR(INDEX(LMH_PTS,MATCH(M280,LMH_KEY,0)),0),IFERROR(INDEX(LMH_PTS,MATCH(N280,LMH_KEY,0)),0),IFERROR(INDEX(LMH_PTS,MATCH(O280,LMH_KEY,0)),0),IFERROR(INDEX(LMH_PTS,MATCH(P280,LMH_KEY,0)),0)),""))</f>
        <v>0.176470588235294</v>
      </c>
      <c r="S280" s="74">
        <f>IF(L280="","",IFERROR(INDEX(LMH_PTS,MATCH(L280,LMH_KEY,0))/SUM(IFERROR(INDEX(LMH_PTS,MATCH(J280,LMH_KEY,0)),0),IFERROR(INDEX(LMH_PTS,MATCH(K280,LMH_KEY,0)),0),IFERROR(INDEX(LMH_PTS,MATCH(L280,LMH_KEY,0)),0),IFERROR(INDEX(LMH_PTS,MATCH(M280,LMH_KEY,0)),0),IFERROR(INDEX(LMH_PTS,MATCH(N280,LMH_KEY,0)),0),IFERROR(INDEX(LMH_PTS,MATCH(O280,LMH_KEY,0)),0),IFERROR(INDEX(LMH_PTS,MATCH(P280,LMH_KEY,0)),0)),""))</f>
        <v>0.0588235294117647</v>
      </c>
      <c r="T280" s="74">
        <f>IF(M280="","",IFERROR(INDEX(LMH_PTS,MATCH(M280,LMH_KEY,0))/SUM(IFERROR(INDEX(LMH_PTS,MATCH(J280,LMH_KEY,0)),0),IFERROR(INDEX(LMH_PTS,MATCH(K280,LMH_KEY,0)),0),IFERROR(INDEX(LMH_PTS,MATCH(L280,LMH_KEY,0)),0),IFERROR(INDEX(LMH_PTS,MATCH(M280,LMH_KEY,0)),0),IFERROR(INDEX(LMH_PTS,MATCH(N280,LMH_KEY,0)),0),IFERROR(INDEX(LMH_PTS,MATCH(O280,LMH_KEY,0)),0),IFERROR(INDEX(LMH_PTS,MATCH(P280,LMH_KEY,0)),0)),""))</f>
        <v>0.0588235294117647</v>
      </c>
      <c r="U280" s="74">
        <f>IF(N280="","",IFERROR(INDEX(LMH_PTS,MATCH(N280,LMH_KEY,0))/SUM(IFERROR(INDEX(LMH_PTS,MATCH(J280,LMH_KEY,0)),0),IFERROR(INDEX(LMH_PTS,MATCH(K280,LMH_KEY,0)),0),IFERROR(INDEX(LMH_PTS,MATCH(L280,LMH_KEY,0)),0),IFERROR(INDEX(LMH_PTS,MATCH(M280,LMH_KEY,0)),0),IFERROR(INDEX(LMH_PTS,MATCH(N280,LMH_KEY,0)),0),IFERROR(INDEX(LMH_PTS,MATCH(O280,LMH_KEY,0)),0),IFERROR(INDEX(LMH_PTS,MATCH(P280,LMH_KEY,0)),0)),""))</f>
        <v>0.0588235294117647</v>
      </c>
      <c r="V280" s="74">
        <f>IF(O280="","",IFERROR(INDEX(LMH_PTS,MATCH(O280,LMH_KEY,0))/SUM(IFERROR(INDEX(LMH_PTS,MATCH(J280,LMH_KEY,0)),0),IFERROR(INDEX(LMH_PTS,MATCH(K280,LMH_KEY,0)),0),IFERROR(INDEX(LMH_PTS,MATCH(L280,LMH_KEY,0)),0),IFERROR(INDEX(LMH_PTS,MATCH(M280,LMH_KEY,0)),0),IFERROR(INDEX(LMH_PTS,MATCH(N280,LMH_KEY,0)),0),IFERROR(INDEX(LMH_PTS,MATCH(O280,LMH_KEY,0)),0),IFERROR(INDEX(LMH_PTS,MATCH(P280,LMH_KEY,0)),0)),""))</f>
        <v>0.0588235294117647</v>
      </c>
      <c r="W280" s="74">
        <f>IF(P280="","",IFERROR(INDEX(LMH_PTS,MATCH(P280,LMH_KEY,0))/SUM(IFERROR(INDEX(LMH_PTS,MATCH(J280,LMH_KEY,0)),0),IFERROR(INDEX(LMH_PTS,MATCH(K280,LMH_KEY,0)),0),IFERROR(INDEX(LMH_PTS,MATCH(L280,LMH_KEY,0)),0),IFERROR(INDEX(LMH_PTS,MATCH(M280,LMH_KEY,0)),0),IFERROR(INDEX(LMH_PTS,MATCH(N280,LMH_KEY,0)),0),IFERROR(INDEX(LMH_PTS,MATCH(O280,LMH_KEY,0)),0),IFERROR(INDEX(LMH_PTS,MATCH(P280,LMH_KEY,0)),0)),""))</f>
        <v>0.0588235294117647</v>
      </c>
      <c r="X280" s="44" t="n"/>
      <c r="Y280" s="38" t="inlineStr">
        <is>
          <t>Datatech|Technology|Senior Technical Specialist – POD Lead|B2|B-IC</t>
        </is>
      </c>
    </row>
    <row r="281" ht="18" customHeight="1">
      <c r="A281" s="28" t="inlineStr">
        <is>
          <t>Datatech</t>
        </is>
      </c>
      <c r="B281" s="29" t="inlineStr">
        <is>
          <t>Technology</t>
        </is>
      </c>
      <c r="C281" s="75" t="inlineStr">
        <is>
          <t>A3</t>
        </is>
      </c>
      <c r="D281" s="29" t="inlineStr">
        <is>
          <t>Band A · Practitioner</t>
        </is>
      </c>
      <c r="E281" s="29" t="inlineStr">
        <is>
          <t>Senior Product Designer</t>
        </is>
      </c>
      <c r="F281" s="29" t="inlineStr">
        <is>
          <t>Band A · all tracks</t>
        </is>
      </c>
      <c r="G281" s="29" t="inlineStr">
        <is>
          <t>Design &amp; Creative</t>
        </is>
      </c>
      <c r="H281" s="29" t="n">
        <v>1</v>
      </c>
      <c r="I281" s="29" t="inlineStr">
        <is>
          <t>Utkarsh Sagar Bafana</t>
        </is>
      </c>
      <c r="J281" s="34" t="str">
        <f>IFERROR(INDEX(RBD_C,MATCH("Design &amp; Creative|A3|A",RBD_KEY,0)),"M")</f>
        <v>H</v>
      </c>
      <c r="K281" s="35" t="str">
        <f>IFERROR(INDEX(RBD_Au,MATCH("Design &amp; Creative|A3|A",RBD_KEY,0)),"M")</f>
        <v>M</v>
      </c>
      <c r="L281" s="35" t="str">
        <f>IFERROR(INDEX(RBD_Ac,MATCH("Design &amp; Creative|A3|A",RBD_KEY,0)),"M")</f>
        <v>L</v>
      </c>
      <c r="M281" s="35" t="str">
        <f>IFERROR(INDEX(RBD_L,MATCH("Design &amp; Creative|A3|A",RBD_KEY,0)),"M")</f>
        <v>L</v>
      </c>
      <c r="N281" s="35" t="str">
        <f>IFERROR(INDEX(RBD_BI,MATCH("Design &amp; Creative|A3|A",RBD_KEY,0)),"M")</f>
        <v>M</v>
      </c>
      <c r="O281" s="35" t="str">
        <f>IFERROR(INDEX(RBD_Exp,MATCH("Design &amp; Creative|A3|A",RBD_KEY,0)),"M")</f>
        <v>L</v>
      </c>
      <c r="P281" s="35" t="str">
        <f>IFERROR(INDEX(RBD_Edu,MATCH("Design &amp; Creative|A3|A",RBD_KEY,0)),"M")</f>
        <v>L</v>
      </c>
      <c r="Q281" s="73">
        <f>IF(J281="","",IFERROR(INDEX(LMH_PTS,MATCH(J281,LMH_KEY,0))/SUM(IFERROR(INDEX(LMH_PTS,MATCH(J281,LMH_KEY,0)),0),IFERROR(INDEX(LMH_PTS,MATCH(K281,LMH_KEY,0)),0),IFERROR(INDEX(LMH_PTS,MATCH(L281,LMH_KEY,0)),0),IFERROR(INDEX(LMH_PTS,MATCH(M281,LMH_KEY,0)),0),IFERROR(INDEX(LMH_PTS,MATCH(N281,LMH_KEY,0)),0),IFERROR(INDEX(LMH_PTS,MATCH(O281,LMH_KEY,0)),0),IFERROR(INDEX(LMH_PTS,MATCH(P281,LMH_KEY,0)),0)),""))</f>
        <v>0.473684210526316</v>
      </c>
      <c r="R281" s="74">
        <f>IF(K281="","",IFERROR(INDEX(LMH_PTS,MATCH(K281,LMH_KEY,0))/SUM(IFERROR(INDEX(LMH_PTS,MATCH(J281,LMH_KEY,0)),0),IFERROR(INDEX(LMH_PTS,MATCH(K281,LMH_KEY,0)),0),IFERROR(INDEX(LMH_PTS,MATCH(L281,LMH_KEY,0)),0),IFERROR(INDEX(LMH_PTS,MATCH(M281,LMH_KEY,0)),0),IFERROR(INDEX(LMH_PTS,MATCH(N281,LMH_KEY,0)),0),IFERROR(INDEX(LMH_PTS,MATCH(O281,LMH_KEY,0)),0),IFERROR(INDEX(LMH_PTS,MATCH(P281,LMH_KEY,0)),0)),""))</f>
        <v>0.157894736842105</v>
      </c>
      <c r="S281" s="74">
        <f>IF(L281="","",IFERROR(INDEX(LMH_PTS,MATCH(L281,LMH_KEY,0))/SUM(IFERROR(INDEX(LMH_PTS,MATCH(J281,LMH_KEY,0)),0),IFERROR(INDEX(LMH_PTS,MATCH(K281,LMH_KEY,0)),0),IFERROR(INDEX(LMH_PTS,MATCH(L281,LMH_KEY,0)),0),IFERROR(INDEX(LMH_PTS,MATCH(M281,LMH_KEY,0)),0),IFERROR(INDEX(LMH_PTS,MATCH(N281,LMH_KEY,0)),0),IFERROR(INDEX(LMH_PTS,MATCH(O281,LMH_KEY,0)),0),IFERROR(INDEX(LMH_PTS,MATCH(P281,LMH_KEY,0)),0)),""))</f>
        <v>0.0526315789473684</v>
      </c>
      <c r="T281" s="74">
        <f>IF(M281="","",IFERROR(INDEX(LMH_PTS,MATCH(M281,LMH_KEY,0))/SUM(IFERROR(INDEX(LMH_PTS,MATCH(J281,LMH_KEY,0)),0),IFERROR(INDEX(LMH_PTS,MATCH(K281,LMH_KEY,0)),0),IFERROR(INDEX(LMH_PTS,MATCH(L281,LMH_KEY,0)),0),IFERROR(INDEX(LMH_PTS,MATCH(M281,LMH_KEY,0)),0),IFERROR(INDEX(LMH_PTS,MATCH(N281,LMH_KEY,0)),0),IFERROR(INDEX(LMH_PTS,MATCH(O281,LMH_KEY,0)),0),IFERROR(INDEX(LMH_PTS,MATCH(P281,LMH_KEY,0)),0)),""))</f>
        <v>0.0526315789473684</v>
      </c>
      <c r="U281" s="74">
        <f>IF(N281="","",IFERROR(INDEX(LMH_PTS,MATCH(N281,LMH_KEY,0))/SUM(IFERROR(INDEX(LMH_PTS,MATCH(J281,LMH_KEY,0)),0),IFERROR(INDEX(LMH_PTS,MATCH(K281,LMH_KEY,0)),0),IFERROR(INDEX(LMH_PTS,MATCH(L281,LMH_KEY,0)),0),IFERROR(INDEX(LMH_PTS,MATCH(M281,LMH_KEY,0)),0),IFERROR(INDEX(LMH_PTS,MATCH(N281,LMH_KEY,0)),0),IFERROR(INDEX(LMH_PTS,MATCH(O281,LMH_KEY,0)),0),IFERROR(INDEX(LMH_PTS,MATCH(P281,LMH_KEY,0)),0)),""))</f>
        <v>0.157894736842105</v>
      </c>
      <c r="V281" s="74">
        <f>IF(O281="","",IFERROR(INDEX(LMH_PTS,MATCH(O281,LMH_KEY,0))/SUM(IFERROR(INDEX(LMH_PTS,MATCH(J281,LMH_KEY,0)),0),IFERROR(INDEX(LMH_PTS,MATCH(K281,LMH_KEY,0)),0),IFERROR(INDEX(LMH_PTS,MATCH(L281,LMH_KEY,0)),0),IFERROR(INDEX(LMH_PTS,MATCH(M281,LMH_KEY,0)),0),IFERROR(INDEX(LMH_PTS,MATCH(N281,LMH_KEY,0)),0),IFERROR(INDEX(LMH_PTS,MATCH(O281,LMH_KEY,0)),0),IFERROR(INDEX(LMH_PTS,MATCH(P281,LMH_KEY,0)),0)),""))</f>
        <v>0.0526315789473684</v>
      </c>
      <c r="W281" s="74">
        <f>IF(P281="","",IFERROR(INDEX(LMH_PTS,MATCH(P281,LMH_KEY,0))/SUM(IFERROR(INDEX(LMH_PTS,MATCH(J281,LMH_KEY,0)),0),IFERROR(INDEX(LMH_PTS,MATCH(K281,LMH_KEY,0)),0),IFERROR(INDEX(LMH_PTS,MATCH(L281,LMH_KEY,0)),0),IFERROR(INDEX(LMH_PTS,MATCH(M281,LMH_KEY,0)),0),IFERROR(INDEX(LMH_PTS,MATCH(N281,LMH_KEY,0)),0),IFERROR(INDEX(LMH_PTS,MATCH(O281,LMH_KEY,0)),0),IFERROR(INDEX(LMH_PTS,MATCH(P281,LMH_KEY,0)),0)),""))</f>
        <v>0.0526315789473684</v>
      </c>
      <c r="X281" s="44" t="n"/>
      <c r="Y281" s="38" t="inlineStr">
        <is>
          <t>Datatech|Technology|Senior Product Designer|A3|A</t>
        </is>
      </c>
    </row>
    <row r="282" ht="28" customHeight="1">
      <c r="A282" s="28" t="inlineStr">
        <is>
          <t>Datatech</t>
        </is>
      </c>
      <c r="B282" s="29" t="inlineStr">
        <is>
          <t>Technology</t>
        </is>
      </c>
      <c r="C282" s="75" t="inlineStr">
        <is>
          <t>A3</t>
        </is>
      </c>
      <c r="D282" s="29" t="inlineStr">
        <is>
          <t>Band A · Practitioner</t>
        </is>
      </c>
      <c r="E282" s="29" t="inlineStr">
        <is>
          <t>Senior Software Engineer</t>
        </is>
      </c>
      <c r="F282" s="29" t="inlineStr">
        <is>
          <t>Band A · all tracks</t>
        </is>
      </c>
      <c r="G282" s="29" t="inlineStr">
        <is>
          <t>Engineering &amp; Development</t>
        </is>
      </c>
      <c r="H282" s="29" t="n">
        <v>2</v>
      </c>
      <c r="I282" s="29" t="inlineStr">
        <is>
          <t>Niraj Santosh Patil, Shivam Dhumal</t>
        </is>
      </c>
      <c r="J282" s="34" t="str">
        <f>IFERROR(INDEX(RBD_C,MATCH("Engineering &amp; Development|A3|A",RBD_KEY,0)),"M")</f>
        <v>H</v>
      </c>
      <c r="K282" s="35" t="str">
        <f>IFERROR(INDEX(RBD_Au,MATCH("Engineering &amp; Development|A3|A",RBD_KEY,0)),"M")</f>
        <v>M</v>
      </c>
      <c r="L282" s="35" t="str">
        <f>IFERROR(INDEX(RBD_Ac,MATCH("Engineering &amp; Development|A3|A",RBD_KEY,0)),"M")</f>
        <v>L</v>
      </c>
      <c r="M282" s="35" t="str">
        <f>IFERROR(INDEX(RBD_L,MATCH("Engineering &amp; Development|A3|A",RBD_KEY,0)),"M")</f>
        <v>L</v>
      </c>
      <c r="N282" s="35" t="str">
        <f>IFERROR(INDEX(RBD_BI,MATCH("Engineering &amp; Development|A3|A",RBD_KEY,0)),"M")</f>
        <v>L</v>
      </c>
      <c r="O282" s="35" t="str">
        <f>IFERROR(INDEX(RBD_Exp,MATCH("Engineering &amp; Development|A3|A",RBD_KEY,0)),"M")</f>
        <v>L</v>
      </c>
      <c r="P282" s="35" t="str">
        <f>IFERROR(INDEX(RBD_Edu,MATCH("Engineering &amp; Development|A3|A",RBD_KEY,0)),"M")</f>
        <v>L</v>
      </c>
      <c r="Q282" s="73">
        <f>IF(J282="","",IFERROR(INDEX(LMH_PTS,MATCH(J282,LMH_KEY,0))/SUM(IFERROR(INDEX(LMH_PTS,MATCH(J282,LMH_KEY,0)),0),IFERROR(INDEX(LMH_PTS,MATCH(K282,LMH_KEY,0)),0),IFERROR(INDEX(LMH_PTS,MATCH(L282,LMH_KEY,0)),0),IFERROR(INDEX(LMH_PTS,MATCH(M282,LMH_KEY,0)),0),IFERROR(INDEX(LMH_PTS,MATCH(N282,LMH_KEY,0)),0),IFERROR(INDEX(LMH_PTS,MATCH(O282,LMH_KEY,0)),0),IFERROR(INDEX(LMH_PTS,MATCH(P282,LMH_KEY,0)),0)),""))</f>
        <v>0.529411764705882</v>
      </c>
      <c r="R282" s="74">
        <f>IF(K282="","",IFERROR(INDEX(LMH_PTS,MATCH(K282,LMH_KEY,0))/SUM(IFERROR(INDEX(LMH_PTS,MATCH(J282,LMH_KEY,0)),0),IFERROR(INDEX(LMH_PTS,MATCH(K282,LMH_KEY,0)),0),IFERROR(INDEX(LMH_PTS,MATCH(L282,LMH_KEY,0)),0),IFERROR(INDEX(LMH_PTS,MATCH(M282,LMH_KEY,0)),0),IFERROR(INDEX(LMH_PTS,MATCH(N282,LMH_KEY,0)),0),IFERROR(INDEX(LMH_PTS,MATCH(O282,LMH_KEY,0)),0),IFERROR(INDEX(LMH_PTS,MATCH(P282,LMH_KEY,0)),0)),""))</f>
        <v>0.176470588235294</v>
      </c>
      <c r="S282" s="74">
        <f>IF(L282="","",IFERROR(INDEX(LMH_PTS,MATCH(L282,LMH_KEY,0))/SUM(IFERROR(INDEX(LMH_PTS,MATCH(J282,LMH_KEY,0)),0),IFERROR(INDEX(LMH_PTS,MATCH(K282,LMH_KEY,0)),0),IFERROR(INDEX(LMH_PTS,MATCH(L282,LMH_KEY,0)),0),IFERROR(INDEX(LMH_PTS,MATCH(M282,LMH_KEY,0)),0),IFERROR(INDEX(LMH_PTS,MATCH(N282,LMH_KEY,0)),0),IFERROR(INDEX(LMH_PTS,MATCH(O282,LMH_KEY,0)),0),IFERROR(INDEX(LMH_PTS,MATCH(P282,LMH_KEY,0)),0)),""))</f>
        <v>0.0588235294117647</v>
      </c>
      <c r="T282" s="74">
        <f>IF(M282="","",IFERROR(INDEX(LMH_PTS,MATCH(M282,LMH_KEY,0))/SUM(IFERROR(INDEX(LMH_PTS,MATCH(J282,LMH_KEY,0)),0),IFERROR(INDEX(LMH_PTS,MATCH(K282,LMH_KEY,0)),0),IFERROR(INDEX(LMH_PTS,MATCH(L282,LMH_KEY,0)),0),IFERROR(INDEX(LMH_PTS,MATCH(M282,LMH_KEY,0)),0),IFERROR(INDEX(LMH_PTS,MATCH(N282,LMH_KEY,0)),0),IFERROR(INDEX(LMH_PTS,MATCH(O282,LMH_KEY,0)),0),IFERROR(INDEX(LMH_PTS,MATCH(P282,LMH_KEY,0)),0)),""))</f>
        <v>0.0588235294117647</v>
      </c>
      <c r="U282" s="74">
        <f>IF(N282="","",IFERROR(INDEX(LMH_PTS,MATCH(N282,LMH_KEY,0))/SUM(IFERROR(INDEX(LMH_PTS,MATCH(J282,LMH_KEY,0)),0),IFERROR(INDEX(LMH_PTS,MATCH(K282,LMH_KEY,0)),0),IFERROR(INDEX(LMH_PTS,MATCH(L282,LMH_KEY,0)),0),IFERROR(INDEX(LMH_PTS,MATCH(M282,LMH_KEY,0)),0),IFERROR(INDEX(LMH_PTS,MATCH(N282,LMH_KEY,0)),0),IFERROR(INDEX(LMH_PTS,MATCH(O282,LMH_KEY,0)),0),IFERROR(INDEX(LMH_PTS,MATCH(P282,LMH_KEY,0)),0)),""))</f>
        <v>0.0588235294117647</v>
      </c>
      <c r="V282" s="74">
        <f>IF(O282="","",IFERROR(INDEX(LMH_PTS,MATCH(O282,LMH_KEY,0))/SUM(IFERROR(INDEX(LMH_PTS,MATCH(J282,LMH_KEY,0)),0),IFERROR(INDEX(LMH_PTS,MATCH(K282,LMH_KEY,0)),0),IFERROR(INDEX(LMH_PTS,MATCH(L282,LMH_KEY,0)),0),IFERROR(INDEX(LMH_PTS,MATCH(M282,LMH_KEY,0)),0),IFERROR(INDEX(LMH_PTS,MATCH(N282,LMH_KEY,0)),0),IFERROR(INDEX(LMH_PTS,MATCH(O282,LMH_KEY,0)),0),IFERROR(INDEX(LMH_PTS,MATCH(P282,LMH_KEY,0)),0)),""))</f>
        <v>0.0588235294117647</v>
      </c>
      <c r="W282" s="74">
        <f>IF(P282="","",IFERROR(INDEX(LMH_PTS,MATCH(P282,LMH_KEY,0))/SUM(IFERROR(INDEX(LMH_PTS,MATCH(J282,LMH_KEY,0)),0),IFERROR(INDEX(LMH_PTS,MATCH(K282,LMH_KEY,0)),0),IFERROR(INDEX(LMH_PTS,MATCH(L282,LMH_KEY,0)),0),IFERROR(INDEX(LMH_PTS,MATCH(M282,LMH_KEY,0)),0),IFERROR(INDEX(LMH_PTS,MATCH(N282,LMH_KEY,0)),0),IFERROR(INDEX(LMH_PTS,MATCH(O282,LMH_KEY,0)),0),IFERROR(INDEX(LMH_PTS,MATCH(P282,LMH_KEY,0)),0)),""))</f>
        <v>0.0588235294117647</v>
      </c>
      <c r="X282" s="44" t="n"/>
      <c r="Y282" s="38" t="inlineStr">
        <is>
          <t>Datatech|Technology|Senior Software Engineer|A3|A</t>
        </is>
      </c>
    </row>
    <row r="283" ht="18" customHeight="1">
      <c r="A283" s="28" t="inlineStr">
        <is>
          <t>Datatech</t>
        </is>
      </c>
      <c r="B283" s="29" t="inlineStr">
        <is>
          <t>Technology</t>
        </is>
      </c>
      <c r="C283" s="75" t="inlineStr">
        <is>
          <t>A2</t>
        </is>
      </c>
      <c r="D283" s="29" t="inlineStr">
        <is>
          <t>Band A · Practitioner</t>
        </is>
      </c>
      <c r="E283" s="29" t="inlineStr">
        <is>
          <t>Software Engineer</t>
        </is>
      </c>
      <c r="F283" s="29" t="inlineStr">
        <is>
          <t>Band A · all tracks</t>
        </is>
      </c>
      <c r="G283" s="29" t="inlineStr">
        <is>
          <t>Engineering &amp; Development</t>
        </is>
      </c>
      <c r="H283" s="29" t="n">
        <v>1</v>
      </c>
      <c r="I283" s="29" t="inlineStr">
        <is>
          <t>Krishnadev Arya</t>
        </is>
      </c>
      <c r="J283" s="34" t="str">
        <f>IFERROR(INDEX(RBD_C,MATCH("Engineering &amp; Development|A2|A",RBD_KEY,0)),"M")</f>
        <v>H</v>
      </c>
      <c r="K283" s="35" t="str">
        <f>IFERROR(INDEX(RBD_Au,MATCH("Engineering &amp; Development|A2|A",RBD_KEY,0)),"M")</f>
        <v>M</v>
      </c>
      <c r="L283" s="35" t="str">
        <f>IFERROR(INDEX(RBD_Ac,MATCH("Engineering &amp; Development|A2|A",RBD_KEY,0)),"M")</f>
        <v>L</v>
      </c>
      <c r="M283" s="35" t="str">
        <f>IFERROR(INDEX(RBD_L,MATCH("Engineering &amp; Development|A2|A",RBD_KEY,0)),"M")</f>
        <v>L</v>
      </c>
      <c r="N283" s="35" t="str">
        <f>IFERROR(INDEX(RBD_BI,MATCH("Engineering &amp; Development|A2|A",RBD_KEY,0)),"M")</f>
        <v>L</v>
      </c>
      <c r="O283" s="35" t="str">
        <f>IFERROR(INDEX(RBD_Exp,MATCH("Engineering &amp; Development|A2|A",RBD_KEY,0)),"M")</f>
        <v>L</v>
      </c>
      <c r="P283" s="35" t="str">
        <f>IFERROR(INDEX(RBD_Edu,MATCH("Engineering &amp; Development|A2|A",RBD_KEY,0)),"M")</f>
        <v>L</v>
      </c>
      <c r="Q283" s="73">
        <f>IF(J283="","",IFERROR(INDEX(LMH_PTS,MATCH(J283,LMH_KEY,0))/SUM(IFERROR(INDEX(LMH_PTS,MATCH(J283,LMH_KEY,0)),0),IFERROR(INDEX(LMH_PTS,MATCH(K283,LMH_KEY,0)),0),IFERROR(INDEX(LMH_PTS,MATCH(L283,LMH_KEY,0)),0),IFERROR(INDEX(LMH_PTS,MATCH(M283,LMH_KEY,0)),0),IFERROR(INDEX(LMH_PTS,MATCH(N283,LMH_KEY,0)),0),IFERROR(INDEX(LMH_PTS,MATCH(O283,LMH_KEY,0)),0),IFERROR(INDEX(LMH_PTS,MATCH(P283,LMH_KEY,0)),0)),""))</f>
        <v>0.529411764705882</v>
      </c>
      <c r="R283" s="74">
        <f>IF(K283="","",IFERROR(INDEX(LMH_PTS,MATCH(K283,LMH_KEY,0))/SUM(IFERROR(INDEX(LMH_PTS,MATCH(J283,LMH_KEY,0)),0),IFERROR(INDEX(LMH_PTS,MATCH(K283,LMH_KEY,0)),0),IFERROR(INDEX(LMH_PTS,MATCH(L283,LMH_KEY,0)),0),IFERROR(INDEX(LMH_PTS,MATCH(M283,LMH_KEY,0)),0),IFERROR(INDEX(LMH_PTS,MATCH(N283,LMH_KEY,0)),0),IFERROR(INDEX(LMH_PTS,MATCH(O283,LMH_KEY,0)),0),IFERROR(INDEX(LMH_PTS,MATCH(P283,LMH_KEY,0)),0)),""))</f>
        <v>0.176470588235294</v>
      </c>
      <c r="S283" s="74">
        <f>IF(L283="","",IFERROR(INDEX(LMH_PTS,MATCH(L283,LMH_KEY,0))/SUM(IFERROR(INDEX(LMH_PTS,MATCH(J283,LMH_KEY,0)),0),IFERROR(INDEX(LMH_PTS,MATCH(K283,LMH_KEY,0)),0),IFERROR(INDEX(LMH_PTS,MATCH(L283,LMH_KEY,0)),0),IFERROR(INDEX(LMH_PTS,MATCH(M283,LMH_KEY,0)),0),IFERROR(INDEX(LMH_PTS,MATCH(N283,LMH_KEY,0)),0),IFERROR(INDEX(LMH_PTS,MATCH(O283,LMH_KEY,0)),0),IFERROR(INDEX(LMH_PTS,MATCH(P283,LMH_KEY,0)),0)),""))</f>
        <v>0.0588235294117647</v>
      </c>
      <c r="T283" s="74">
        <f>IF(M283="","",IFERROR(INDEX(LMH_PTS,MATCH(M283,LMH_KEY,0))/SUM(IFERROR(INDEX(LMH_PTS,MATCH(J283,LMH_KEY,0)),0),IFERROR(INDEX(LMH_PTS,MATCH(K283,LMH_KEY,0)),0),IFERROR(INDEX(LMH_PTS,MATCH(L283,LMH_KEY,0)),0),IFERROR(INDEX(LMH_PTS,MATCH(M283,LMH_KEY,0)),0),IFERROR(INDEX(LMH_PTS,MATCH(N283,LMH_KEY,0)),0),IFERROR(INDEX(LMH_PTS,MATCH(O283,LMH_KEY,0)),0),IFERROR(INDEX(LMH_PTS,MATCH(P283,LMH_KEY,0)),0)),""))</f>
        <v>0.0588235294117647</v>
      </c>
      <c r="U283" s="74">
        <f>IF(N283="","",IFERROR(INDEX(LMH_PTS,MATCH(N283,LMH_KEY,0))/SUM(IFERROR(INDEX(LMH_PTS,MATCH(J283,LMH_KEY,0)),0),IFERROR(INDEX(LMH_PTS,MATCH(K283,LMH_KEY,0)),0),IFERROR(INDEX(LMH_PTS,MATCH(L283,LMH_KEY,0)),0),IFERROR(INDEX(LMH_PTS,MATCH(M283,LMH_KEY,0)),0),IFERROR(INDEX(LMH_PTS,MATCH(N283,LMH_KEY,0)),0),IFERROR(INDEX(LMH_PTS,MATCH(O283,LMH_KEY,0)),0),IFERROR(INDEX(LMH_PTS,MATCH(P283,LMH_KEY,0)),0)),""))</f>
        <v>0.0588235294117647</v>
      </c>
      <c r="V283" s="74">
        <f>IF(O283="","",IFERROR(INDEX(LMH_PTS,MATCH(O283,LMH_KEY,0))/SUM(IFERROR(INDEX(LMH_PTS,MATCH(J283,LMH_KEY,0)),0),IFERROR(INDEX(LMH_PTS,MATCH(K283,LMH_KEY,0)),0),IFERROR(INDEX(LMH_PTS,MATCH(L283,LMH_KEY,0)),0),IFERROR(INDEX(LMH_PTS,MATCH(M283,LMH_KEY,0)),0),IFERROR(INDEX(LMH_PTS,MATCH(N283,LMH_KEY,0)),0),IFERROR(INDEX(LMH_PTS,MATCH(O283,LMH_KEY,0)),0),IFERROR(INDEX(LMH_PTS,MATCH(P283,LMH_KEY,0)),0)),""))</f>
        <v>0.0588235294117647</v>
      </c>
      <c r="W283" s="74">
        <f>IF(P283="","",IFERROR(INDEX(LMH_PTS,MATCH(P283,LMH_KEY,0))/SUM(IFERROR(INDEX(LMH_PTS,MATCH(J283,LMH_KEY,0)),0),IFERROR(INDEX(LMH_PTS,MATCH(K283,LMH_KEY,0)),0),IFERROR(INDEX(LMH_PTS,MATCH(L283,LMH_KEY,0)),0),IFERROR(INDEX(LMH_PTS,MATCH(M283,LMH_KEY,0)),0),IFERROR(INDEX(LMH_PTS,MATCH(N283,LMH_KEY,0)),0),IFERROR(INDEX(LMH_PTS,MATCH(O283,LMH_KEY,0)),0),IFERROR(INDEX(LMH_PTS,MATCH(P283,LMH_KEY,0)),0)),""))</f>
        <v>0.0588235294117647</v>
      </c>
      <c r="X283" s="44" t="n"/>
      <c r="Y283" s="38" t="inlineStr">
        <is>
          <t>Datatech|Technology|Software Engineer|A2|A</t>
        </is>
      </c>
    </row>
    <row r="284" ht="28" customHeight="1">
      <c r="A284" s="28" t="inlineStr">
        <is>
          <t>Datatech</t>
        </is>
      </c>
      <c r="B284" s="29" t="inlineStr">
        <is>
          <t>Technology</t>
        </is>
      </c>
      <c r="C284" s="75" t="inlineStr">
        <is>
          <t>A1</t>
        </is>
      </c>
      <c r="D284" s="29" t="inlineStr">
        <is>
          <t>Band A · Practitioner</t>
        </is>
      </c>
      <c r="E284" s="29" t="inlineStr">
        <is>
          <t>Intern – Product Operations &amp; Research</t>
        </is>
      </c>
      <c r="F284" s="29" t="inlineStr">
        <is>
          <t>Band A · all tracks</t>
        </is>
      </c>
      <c r="G284" s="29" t="inlineStr">
        <is>
          <t>Product Management</t>
        </is>
      </c>
      <c r="H284" s="29" t="n">
        <v>1</v>
      </c>
      <c r="I284" s="29" t="inlineStr">
        <is>
          <t>Riyanka Dey</t>
        </is>
      </c>
      <c r="J284" s="34" t="str">
        <f>IFERROR(INDEX(RBD_C,MATCH("Product Management|A1|A",RBD_KEY,0)),"M")</f>
        <v>H</v>
      </c>
      <c r="K284" s="35" t="str">
        <f>IFERROR(INDEX(RBD_Au,MATCH("Product Management|A1|A",RBD_KEY,0)),"M")</f>
        <v>M</v>
      </c>
      <c r="L284" s="35" t="str">
        <f>IFERROR(INDEX(RBD_Ac,MATCH("Product Management|A1|A",RBD_KEY,0)),"M")</f>
        <v>M</v>
      </c>
      <c r="M284" s="35" t="str">
        <f>IFERROR(INDEX(RBD_L,MATCH("Product Management|A1|A",RBD_KEY,0)),"M")</f>
        <v>L</v>
      </c>
      <c r="N284" s="35" t="str">
        <f>IFERROR(INDEX(RBD_BI,MATCH("Product Management|A1|A",RBD_KEY,0)),"M")</f>
        <v>L</v>
      </c>
      <c r="O284" s="35" t="str">
        <f>IFERROR(INDEX(RBD_Exp,MATCH("Product Management|A1|A",RBD_KEY,0)),"M")</f>
        <v>L</v>
      </c>
      <c r="P284" s="35" t="str">
        <f>IFERROR(INDEX(RBD_Edu,MATCH("Product Management|A1|A",RBD_KEY,0)),"M")</f>
        <v>L</v>
      </c>
      <c r="Q284" s="73">
        <f>IF(J284="","",IFERROR(INDEX(LMH_PTS,MATCH(J284,LMH_KEY,0))/SUM(IFERROR(INDEX(LMH_PTS,MATCH(J284,LMH_KEY,0)),0),IFERROR(INDEX(LMH_PTS,MATCH(K284,LMH_KEY,0)),0),IFERROR(INDEX(LMH_PTS,MATCH(L284,LMH_KEY,0)),0),IFERROR(INDEX(LMH_PTS,MATCH(M284,LMH_KEY,0)),0),IFERROR(INDEX(LMH_PTS,MATCH(N284,LMH_KEY,0)),0),IFERROR(INDEX(LMH_PTS,MATCH(O284,LMH_KEY,0)),0),IFERROR(INDEX(LMH_PTS,MATCH(P284,LMH_KEY,0)),0)),""))</f>
        <v>0.473684210526316</v>
      </c>
      <c r="R284" s="74">
        <f>IF(K284="","",IFERROR(INDEX(LMH_PTS,MATCH(K284,LMH_KEY,0))/SUM(IFERROR(INDEX(LMH_PTS,MATCH(J284,LMH_KEY,0)),0),IFERROR(INDEX(LMH_PTS,MATCH(K284,LMH_KEY,0)),0),IFERROR(INDEX(LMH_PTS,MATCH(L284,LMH_KEY,0)),0),IFERROR(INDEX(LMH_PTS,MATCH(M284,LMH_KEY,0)),0),IFERROR(INDEX(LMH_PTS,MATCH(N284,LMH_KEY,0)),0),IFERROR(INDEX(LMH_PTS,MATCH(O284,LMH_KEY,0)),0),IFERROR(INDEX(LMH_PTS,MATCH(P284,LMH_KEY,0)),0)),""))</f>
        <v>0.157894736842105</v>
      </c>
      <c r="S284" s="74">
        <f>IF(L284="","",IFERROR(INDEX(LMH_PTS,MATCH(L284,LMH_KEY,0))/SUM(IFERROR(INDEX(LMH_PTS,MATCH(J284,LMH_KEY,0)),0),IFERROR(INDEX(LMH_PTS,MATCH(K284,LMH_KEY,0)),0),IFERROR(INDEX(LMH_PTS,MATCH(L284,LMH_KEY,0)),0),IFERROR(INDEX(LMH_PTS,MATCH(M284,LMH_KEY,0)),0),IFERROR(INDEX(LMH_PTS,MATCH(N284,LMH_KEY,0)),0),IFERROR(INDEX(LMH_PTS,MATCH(O284,LMH_KEY,0)),0),IFERROR(INDEX(LMH_PTS,MATCH(P284,LMH_KEY,0)),0)),""))</f>
        <v>0.157894736842105</v>
      </c>
      <c r="T284" s="74">
        <f>IF(M284="","",IFERROR(INDEX(LMH_PTS,MATCH(M284,LMH_KEY,0))/SUM(IFERROR(INDEX(LMH_PTS,MATCH(J284,LMH_KEY,0)),0),IFERROR(INDEX(LMH_PTS,MATCH(K284,LMH_KEY,0)),0),IFERROR(INDEX(LMH_PTS,MATCH(L284,LMH_KEY,0)),0),IFERROR(INDEX(LMH_PTS,MATCH(M284,LMH_KEY,0)),0),IFERROR(INDEX(LMH_PTS,MATCH(N284,LMH_KEY,0)),0),IFERROR(INDEX(LMH_PTS,MATCH(O284,LMH_KEY,0)),0),IFERROR(INDEX(LMH_PTS,MATCH(P284,LMH_KEY,0)),0)),""))</f>
        <v>0.0526315789473684</v>
      </c>
      <c r="U284" s="74">
        <f>IF(N284="","",IFERROR(INDEX(LMH_PTS,MATCH(N284,LMH_KEY,0))/SUM(IFERROR(INDEX(LMH_PTS,MATCH(J284,LMH_KEY,0)),0),IFERROR(INDEX(LMH_PTS,MATCH(K284,LMH_KEY,0)),0),IFERROR(INDEX(LMH_PTS,MATCH(L284,LMH_KEY,0)),0),IFERROR(INDEX(LMH_PTS,MATCH(M284,LMH_KEY,0)),0),IFERROR(INDEX(LMH_PTS,MATCH(N284,LMH_KEY,0)),0),IFERROR(INDEX(LMH_PTS,MATCH(O284,LMH_KEY,0)),0),IFERROR(INDEX(LMH_PTS,MATCH(P284,LMH_KEY,0)),0)),""))</f>
        <v>0.0526315789473684</v>
      </c>
      <c r="V284" s="74">
        <f>IF(O284="","",IFERROR(INDEX(LMH_PTS,MATCH(O284,LMH_KEY,0))/SUM(IFERROR(INDEX(LMH_PTS,MATCH(J284,LMH_KEY,0)),0),IFERROR(INDEX(LMH_PTS,MATCH(K284,LMH_KEY,0)),0),IFERROR(INDEX(LMH_PTS,MATCH(L284,LMH_KEY,0)),0),IFERROR(INDEX(LMH_PTS,MATCH(M284,LMH_KEY,0)),0),IFERROR(INDEX(LMH_PTS,MATCH(N284,LMH_KEY,0)),0),IFERROR(INDEX(LMH_PTS,MATCH(O284,LMH_KEY,0)),0),IFERROR(INDEX(LMH_PTS,MATCH(P284,LMH_KEY,0)),0)),""))</f>
        <v>0.0526315789473684</v>
      </c>
      <c r="W284" s="74">
        <f>IF(P284="","",IFERROR(INDEX(LMH_PTS,MATCH(P284,LMH_KEY,0))/SUM(IFERROR(INDEX(LMH_PTS,MATCH(J284,LMH_KEY,0)),0),IFERROR(INDEX(LMH_PTS,MATCH(K284,LMH_KEY,0)),0),IFERROR(INDEX(LMH_PTS,MATCH(L284,LMH_KEY,0)),0),IFERROR(INDEX(LMH_PTS,MATCH(M284,LMH_KEY,0)),0),IFERROR(INDEX(LMH_PTS,MATCH(N284,LMH_KEY,0)),0),IFERROR(INDEX(LMH_PTS,MATCH(O284,LMH_KEY,0)),0),IFERROR(INDEX(LMH_PTS,MATCH(P284,LMH_KEY,0)),0)),""))</f>
        <v>0.0526315789473684</v>
      </c>
      <c r="X284" s="44" t="n"/>
      <c r="Y284" s="38" t="inlineStr">
        <is>
          <t>Datatech|Technology|Intern – Product Operations &amp; Research|A1|A</t>
        </is>
      </c>
    </row>
    <row r="285" ht="28" customHeight="1">
      <c r="A285" s="28" t="inlineStr">
        <is>
          <t>Datatech</t>
        </is>
      </c>
      <c r="B285" s="29" t="inlineStr">
        <is>
          <t>Technology</t>
        </is>
      </c>
      <c r="C285" s="76" t="inlineStr">
        <is>
          <t>X1</t>
        </is>
      </c>
      <c r="D285" s="29" t="inlineStr">
        <is>
          <t>Band X · Consultant</t>
        </is>
      </c>
      <c r="E285" s="29" t="inlineStr">
        <is>
          <t>Associate Consultant – Software Development</t>
        </is>
      </c>
      <c r="F285" s="29" t="inlineStr">
        <is>
          <t>Consultant</t>
        </is>
      </c>
      <c r="G285" s="29" t="inlineStr">
        <is>
          <t>Engineering &amp; Development</t>
        </is>
      </c>
      <c r="H285" s="29" t="n">
        <v>3</v>
      </c>
      <c r="I285" s="29" t="inlineStr">
        <is>
          <t>Sadhan Kumar, Sohel Yadav, Vivek Kumar</t>
        </is>
      </c>
      <c r="J285" s="34" t="n"/>
      <c r="K285" s="35" t="n"/>
      <c r="L285" s="35" t="n"/>
      <c r="M285" s="35" t="n"/>
      <c r="N285" s="35" t="n"/>
      <c r="O285" s="35" t="n"/>
      <c r="P285" s="35" t="n"/>
      <c r="Q285" s="73" t="str">
        <f>IF(J285="","",IFERROR(INDEX(LMH_PTS,MATCH(J285,LMH_KEY,0))/SUM(IFERROR(INDEX(LMH_PTS,MATCH(J285,LMH_KEY,0)),0),IFERROR(INDEX(LMH_PTS,MATCH(K285,LMH_KEY,0)),0),IFERROR(INDEX(LMH_PTS,MATCH(L285,LMH_KEY,0)),0),IFERROR(INDEX(LMH_PTS,MATCH(M285,LMH_KEY,0)),0),IFERROR(INDEX(LMH_PTS,MATCH(N285,LMH_KEY,0)),0),IFERROR(INDEX(LMH_PTS,MATCH(O285,LMH_KEY,0)),0),IFERROR(INDEX(LMH_PTS,MATCH(P285,LMH_KEY,0)),0)),""))</f>
        <v/>
      </c>
      <c r="R285" s="74" t="str">
        <f>IF(K285="","",IFERROR(INDEX(LMH_PTS,MATCH(K285,LMH_KEY,0))/SUM(IFERROR(INDEX(LMH_PTS,MATCH(J285,LMH_KEY,0)),0),IFERROR(INDEX(LMH_PTS,MATCH(K285,LMH_KEY,0)),0),IFERROR(INDEX(LMH_PTS,MATCH(L285,LMH_KEY,0)),0),IFERROR(INDEX(LMH_PTS,MATCH(M285,LMH_KEY,0)),0),IFERROR(INDEX(LMH_PTS,MATCH(N285,LMH_KEY,0)),0),IFERROR(INDEX(LMH_PTS,MATCH(O285,LMH_KEY,0)),0),IFERROR(INDEX(LMH_PTS,MATCH(P285,LMH_KEY,0)),0)),""))</f>
        <v/>
      </c>
      <c r="S285" s="74" t="str">
        <f>IF(L285="","",IFERROR(INDEX(LMH_PTS,MATCH(L285,LMH_KEY,0))/SUM(IFERROR(INDEX(LMH_PTS,MATCH(J285,LMH_KEY,0)),0),IFERROR(INDEX(LMH_PTS,MATCH(K285,LMH_KEY,0)),0),IFERROR(INDEX(LMH_PTS,MATCH(L285,LMH_KEY,0)),0),IFERROR(INDEX(LMH_PTS,MATCH(M285,LMH_KEY,0)),0),IFERROR(INDEX(LMH_PTS,MATCH(N285,LMH_KEY,0)),0),IFERROR(INDEX(LMH_PTS,MATCH(O285,LMH_KEY,0)),0),IFERROR(INDEX(LMH_PTS,MATCH(P285,LMH_KEY,0)),0)),""))</f>
        <v/>
      </c>
      <c r="T285" s="74" t="str">
        <f>IF(M285="","",IFERROR(INDEX(LMH_PTS,MATCH(M285,LMH_KEY,0))/SUM(IFERROR(INDEX(LMH_PTS,MATCH(J285,LMH_KEY,0)),0),IFERROR(INDEX(LMH_PTS,MATCH(K285,LMH_KEY,0)),0),IFERROR(INDEX(LMH_PTS,MATCH(L285,LMH_KEY,0)),0),IFERROR(INDEX(LMH_PTS,MATCH(M285,LMH_KEY,0)),0),IFERROR(INDEX(LMH_PTS,MATCH(N285,LMH_KEY,0)),0),IFERROR(INDEX(LMH_PTS,MATCH(O285,LMH_KEY,0)),0),IFERROR(INDEX(LMH_PTS,MATCH(P285,LMH_KEY,0)),0)),""))</f>
        <v/>
      </c>
      <c r="U285" s="74" t="str">
        <f>IF(N285="","",IFERROR(INDEX(LMH_PTS,MATCH(N285,LMH_KEY,0))/SUM(IFERROR(INDEX(LMH_PTS,MATCH(J285,LMH_KEY,0)),0),IFERROR(INDEX(LMH_PTS,MATCH(K285,LMH_KEY,0)),0),IFERROR(INDEX(LMH_PTS,MATCH(L285,LMH_KEY,0)),0),IFERROR(INDEX(LMH_PTS,MATCH(M285,LMH_KEY,0)),0),IFERROR(INDEX(LMH_PTS,MATCH(N285,LMH_KEY,0)),0),IFERROR(INDEX(LMH_PTS,MATCH(O285,LMH_KEY,0)),0),IFERROR(INDEX(LMH_PTS,MATCH(P285,LMH_KEY,0)),0)),""))</f>
        <v/>
      </c>
      <c r="V285" s="74" t="str">
        <f>IF(O285="","",IFERROR(INDEX(LMH_PTS,MATCH(O285,LMH_KEY,0))/SUM(IFERROR(INDEX(LMH_PTS,MATCH(J285,LMH_KEY,0)),0),IFERROR(INDEX(LMH_PTS,MATCH(K285,LMH_KEY,0)),0),IFERROR(INDEX(LMH_PTS,MATCH(L285,LMH_KEY,0)),0),IFERROR(INDEX(LMH_PTS,MATCH(M285,LMH_KEY,0)),0),IFERROR(INDEX(LMH_PTS,MATCH(N285,LMH_KEY,0)),0),IFERROR(INDEX(LMH_PTS,MATCH(O285,LMH_KEY,0)),0),IFERROR(INDEX(LMH_PTS,MATCH(P285,LMH_KEY,0)),0)),""))</f>
        <v/>
      </c>
      <c r="W285" s="74" t="str">
        <f>IF(P285="","",IFERROR(INDEX(LMH_PTS,MATCH(P285,LMH_KEY,0))/SUM(IFERROR(INDEX(LMH_PTS,MATCH(J285,LMH_KEY,0)),0),IFERROR(INDEX(LMH_PTS,MATCH(K285,LMH_KEY,0)),0),IFERROR(INDEX(LMH_PTS,MATCH(L285,LMH_KEY,0)),0),IFERROR(INDEX(LMH_PTS,MATCH(M285,LMH_KEY,0)),0),IFERROR(INDEX(LMH_PTS,MATCH(N285,LMH_KEY,0)),0),IFERROR(INDEX(LMH_PTS,MATCH(O285,LMH_KEY,0)),0),IFERROR(INDEX(LMH_PTS,MATCH(P285,LMH_KEY,0)),0)),""))</f>
        <v/>
      </c>
      <c r="X285" s="44" t="n"/>
      <c r="Y285" s="38" t="inlineStr">
        <is>
          <t>Datatech|Technology|Associate Consultant – Software Development|X1|X</t>
        </is>
      </c>
    </row>
    <row r="286" ht="18" customHeight="1">
      <c r="A286" s="28" t="inlineStr">
        <is>
          <t>Consume</t>
        </is>
      </c>
      <c r="B286" s="71" t="inlineStr">
        <is>
          <t>Digitizing</t>
        </is>
      </c>
      <c r="C286" s="72" t="inlineStr">
        <is>
          <t>B1</t>
        </is>
      </c>
      <c r="D286" s="29" t="inlineStr">
        <is>
          <t>Band B · Specialist / Manager</t>
        </is>
      </c>
      <c r="E286" s="29" t="inlineStr">
        <is>
          <t>Digitization Manager</t>
        </is>
      </c>
      <c r="F286" s="29" t="inlineStr">
        <is>
          <t>Band B · People Manager</t>
        </is>
      </c>
      <c r="G286" s="29" t="inlineStr">
        <is>
          <t>Data Operations &amp; Digitization</t>
        </is>
      </c>
      <c r="H286" s="29" t="n">
        <v>1</v>
      </c>
      <c r="I286" s="29" t="inlineStr">
        <is>
          <t>Shraddha Patil</t>
        </is>
      </c>
      <c r="J286" s="34" t="str">
        <f>IFERROR(INDEX(RBD_C,MATCH("Data Operations &amp; Digitization|B1|B-M",RBD_KEY,0)),"M")</f>
        <v>H</v>
      </c>
      <c r="K286" s="35" t="str">
        <f>IFERROR(INDEX(RBD_Au,MATCH("Data Operations &amp; Digitization|B1|B-M",RBD_KEY,0)),"M")</f>
        <v>M</v>
      </c>
      <c r="L286" s="35" t="str">
        <f>IFERROR(INDEX(RBD_Ac,MATCH("Data Operations &amp; Digitization|B1|B-M",RBD_KEY,0)),"M")</f>
        <v>M</v>
      </c>
      <c r="M286" s="35" t="str">
        <f>IFERROR(INDEX(RBD_L,MATCH("Data Operations &amp; Digitization|B1|B-M",RBD_KEY,0)),"M")</f>
        <v>M</v>
      </c>
      <c r="N286" s="35" t="str">
        <f>IFERROR(INDEX(RBD_BI,MATCH("Data Operations &amp; Digitization|B1|B-M",RBD_KEY,0)),"M")</f>
        <v>L</v>
      </c>
      <c r="O286" s="35" t="str">
        <f>IFERROR(INDEX(RBD_Exp,MATCH("Data Operations &amp; Digitization|B1|B-M",RBD_KEY,0)),"M")</f>
        <v>L</v>
      </c>
      <c r="P286" s="35" t="str">
        <f>IFERROR(INDEX(RBD_Edu,MATCH("Data Operations &amp; Digitization|B1|B-M",RBD_KEY,0)),"M")</f>
        <v>L</v>
      </c>
      <c r="Q286" s="73">
        <f>IF(J286="","",IFERROR(INDEX(LMH_PTS,MATCH(J286,LMH_KEY,0))/SUM(IFERROR(INDEX(LMH_PTS,MATCH(J286,LMH_KEY,0)),0),IFERROR(INDEX(LMH_PTS,MATCH(K286,LMH_KEY,0)),0),IFERROR(INDEX(LMH_PTS,MATCH(L286,LMH_KEY,0)),0),IFERROR(INDEX(LMH_PTS,MATCH(M286,LMH_KEY,0)),0),IFERROR(INDEX(LMH_PTS,MATCH(N286,LMH_KEY,0)),0),IFERROR(INDEX(LMH_PTS,MATCH(O286,LMH_KEY,0)),0),IFERROR(INDEX(LMH_PTS,MATCH(P286,LMH_KEY,0)),0)),""))</f>
        <v>0.428571428571429</v>
      </c>
      <c r="R286" s="74">
        <f>IF(K286="","",IFERROR(INDEX(LMH_PTS,MATCH(K286,LMH_KEY,0))/SUM(IFERROR(INDEX(LMH_PTS,MATCH(J286,LMH_KEY,0)),0),IFERROR(INDEX(LMH_PTS,MATCH(K286,LMH_KEY,0)),0),IFERROR(INDEX(LMH_PTS,MATCH(L286,LMH_KEY,0)),0),IFERROR(INDEX(LMH_PTS,MATCH(M286,LMH_KEY,0)),0),IFERROR(INDEX(LMH_PTS,MATCH(N286,LMH_KEY,0)),0),IFERROR(INDEX(LMH_PTS,MATCH(O286,LMH_KEY,0)),0),IFERROR(INDEX(LMH_PTS,MATCH(P286,LMH_KEY,0)),0)),""))</f>
        <v>0.142857142857143</v>
      </c>
      <c r="S286" s="74">
        <f>IF(L286="","",IFERROR(INDEX(LMH_PTS,MATCH(L286,LMH_KEY,0))/SUM(IFERROR(INDEX(LMH_PTS,MATCH(J286,LMH_KEY,0)),0),IFERROR(INDEX(LMH_PTS,MATCH(K286,LMH_KEY,0)),0),IFERROR(INDEX(LMH_PTS,MATCH(L286,LMH_KEY,0)),0),IFERROR(INDEX(LMH_PTS,MATCH(M286,LMH_KEY,0)),0),IFERROR(INDEX(LMH_PTS,MATCH(N286,LMH_KEY,0)),0),IFERROR(INDEX(LMH_PTS,MATCH(O286,LMH_KEY,0)),0),IFERROR(INDEX(LMH_PTS,MATCH(P286,LMH_KEY,0)),0)),""))</f>
        <v>0.142857142857143</v>
      </c>
      <c r="T286" s="74">
        <f>IF(M286="","",IFERROR(INDEX(LMH_PTS,MATCH(M286,LMH_KEY,0))/SUM(IFERROR(INDEX(LMH_PTS,MATCH(J286,LMH_KEY,0)),0),IFERROR(INDEX(LMH_PTS,MATCH(K286,LMH_KEY,0)),0),IFERROR(INDEX(LMH_PTS,MATCH(L286,LMH_KEY,0)),0),IFERROR(INDEX(LMH_PTS,MATCH(M286,LMH_KEY,0)),0),IFERROR(INDEX(LMH_PTS,MATCH(N286,LMH_KEY,0)),0),IFERROR(INDEX(LMH_PTS,MATCH(O286,LMH_KEY,0)),0),IFERROR(INDEX(LMH_PTS,MATCH(P286,LMH_KEY,0)),0)),""))</f>
        <v>0.142857142857143</v>
      </c>
      <c r="U286" s="74">
        <f>IF(N286="","",IFERROR(INDEX(LMH_PTS,MATCH(N286,LMH_KEY,0))/SUM(IFERROR(INDEX(LMH_PTS,MATCH(J286,LMH_KEY,0)),0),IFERROR(INDEX(LMH_PTS,MATCH(K286,LMH_KEY,0)),0),IFERROR(INDEX(LMH_PTS,MATCH(L286,LMH_KEY,0)),0),IFERROR(INDEX(LMH_PTS,MATCH(M286,LMH_KEY,0)),0),IFERROR(INDEX(LMH_PTS,MATCH(N286,LMH_KEY,0)),0),IFERROR(INDEX(LMH_PTS,MATCH(O286,LMH_KEY,0)),0),IFERROR(INDEX(LMH_PTS,MATCH(P286,LMH_KEY,0)),0)),""))</f>
        <v>0.0476190476190476</v>
      </c>
      <c r="V286" s="74">
        <f>IF(O286="","",IFERROR(INDEX(LMH_PTS,MATCH(O286,LMH_KEY,0))/SUM(IFERROR(INDEX(LMH_PTS,MATCH(J286,LMH_KEY,0)),0),IFERROR(INDEX(LMH_PTS,MATCH(K286,LMH_KEY,0)),0),IFERROR(INDEX(LMH_PTS,MATCH(L286,LMH_KEY,0)),0),IFERROR(INDEX(LMH_PTS,MATCH(M286,LMH_KEY,0)),0),IFERROR(INDEX(LMH_PTS,MATCH(N286,LMH_KEY,0)),0),IFERROR(INDEX(LMH_PTS,MATCH(O286,LMH_KEY,0)),0),IFERROR(INDEX(LMH_PTS,MATCH(P286,LMH_KEY,0)),0)),""))</f>
        <v>0.0476190476190476</v>
      </c>
      <c r="W286" s="74">
        <f>IF(P286="","",IFERROR(INDEX(LMH_PTS,MATCH(P286,LMH_KEY,0))/SUM(IFERROR(INDEX(LMH_PTS,MATCH(J286,LMH_KEY,0)),0),IFERROR(INDEX(LMH_PTS,MATCH(K286,LMH_KEY,0)),0),IFERROR(INDEX(LMH_PTS,MATCH(L286,LMH_KEY,0)),0),IFERROR(INDEX(LMH_PTS,MATCH(M286,LMH_KEY,0)),0),IFERROR(INDEX(LMH_PTS,MATCH(N286,LMH_KEY,0)),0),IFERROR(INDEX(LMH_PTS,MATCH(O286,LMH_KEY,0)),0),IFERROR(INDEX(LMH_PTS,MATCH(P286,LMH_KEY,0)),0)),""))</f>
        <v>0.0476190476190476</v>
      </c>
      <c r="X286" s="44" t="n"/>
      <c r="Y286" s="38" t="inlineStr">
        <is>
          <t>Consume|Digitizing|Digitization Manager|B1|B-M</t>
        </is>
      </c>
    </row>
    <row r="287" ht="18" customHeight="1">
      <c r="A287" s="28" t="inlineStr">
        <is>
          <t>Consume</t>
        </is>
      </c>
      <c r="B287" s="29" t="inlineStr">
        <is>
          <t>Digitizing</t>
        </is>
      </c>
      <c r="C287" s="75" t="inlineStr">
        <is>
          <t>A3</t>
        </is>
      </c>
      <c r="D287" s="29" t="inlineStr">
        <is>
          <t>Band A · Practitioner</t>
        </is>
      </c>
      <c r="E287" s="29" t="inlineStr">
        <is>
          <t>Digitization Specialist</t>
        </is>
      </c>
      <c r="F287" s="29" t="inlineStr">
        <is>
          <t>Band A · all tracks</t>
        </is>
      </c>
      <c r="G287" s="29" t="inlineStr">
        <is>
          <t>Data Operations &amp; Digitization</t>
        </is>
      </c>
      <c r="H287" s="29" t="n">
        <v>1</v>
      </c>
      <c r="I287" s="29" t="inlineStr">
        <is>
          <t>Nitin Bhoir</t>
        </is>
      </c>
      <c r="J287" s="34" t="str">
        <f>IFERROR(INDEX(RBD_C,MATCH("Data Operations &amp; Digitization|A3|A",RBD_KEY,0)),"M")</f>
        <v>H</v>
      </c>
      <c r="K287" s="35" t="str">
        <f>IFERROR(INDEX(RBD_Au,MATCH("Data Operations &amp; Digitization|A3|A",RBD_KEY,0)),"M")</f>
        <v>M</v>
      </c>
      <c r="L287" s="35" t="str">
        <f>IFERROR(INDEX(RBD_Ac,MATCH("Data Operations &amp; Digitization|A3|A",RBD_KEY,0)),"M")</f>
        <v>M</v>
      </c>
      <c r="M287" s="35" t="str">
        <f>IFERROR(INDEX(RBD_L,MATCH("Data Operations &amp; Digitization|A3|A",RBD_KEY,0)),"M")</f>
        <v>L</v>
      </c>
      <c r="N287" s="35" t="str">
        <f>IFERROR(INDEX(RBD_BI,MATCH("Data Operations &amp; Digitization|A3|A",RBD_KEY,0)),"M")</f>
        <v>L</v>
      </c>
      <c r="O287" s="35" t="str">
        <f>IFERROR(INDEX(RBD_Exp,MATCH("Data Operations &amp; Digitization|A3|A",RBD_KEY,0)),"M")</f>
        <v>L</v>
      </c>
      <c r="P287" s="35" t="str">
        <f>IFERROR(INDEX(RBD_Edu,MATCH("Data Operations &amp; Digitization|A3|A",RBD_KEY,0)),"M")</f>
        <v>L</v>
      </c>
      <c r="Q287" s="73">
        <f>IF(J287="","",IFERROR(INDEX(LMH_PTS,MATCH(J287,LMH_KEY,0))/SUM(IFERROR(INDEX(LMH_PTS,MATCH(J287,LMH_KEY,0)),0),IFERROR(INDEX(LMH_PTS,MATCH(K287,LMH_KEY,0)),0),IFERROR(INDEX(LMH_PTS,MATCH(L287,LMH_KEY,0)),0),IFERROR(INDEX(LMH_PTS,MATCH(M287,LMH_KEY,0)),0),IFERROR(INDEX(LMH_PTS,MATCH(N287,LMH_KEY,0)),0),IFERROR(INDEX(LMH_PTS,MATCH(O287,LMH_KEY,0)),0),IFERROR(INDEX(LMH_PTS,MATCH(P287,LMH_KEY,0)),0)),""))</f>
        <v>0.473684210526316</v>
      </c>
      <c r="R287" s="74">
        <f>IF(K287="","",IFERROR(INDEX(LMH_PTS,MATCH(K287,LMH_KEY,0))/SUM(IFERROR(INDEX(LMH_PTS,MATCH(J287,LMH_KEY,0)),0),IFERROR(INDEX(LMH_PTS,MATCH(K287,LMH_KEY,0)),0),IFERROR(INDEX(LMH_PTS,MATCH(L287,LMH_KEY,0)),0),IFERROR(INDEX(LMH_PTS,MATCH(M287,LMH_KEY,0)),0),IFERROR(INDEX(LMH_PTS,MATCH(N287,LMH_KEY,0)),0),IFERROR(INDEX(LMH_PTS,MATCH(O287,LMH_KEY,0)),0),IFERROR(INDEX(LMH_PTS,MATCH(P287,LMH_KEY,0)),0)),""))</f>
        <v>0.157894736842105</v>
      </c>
      <c r="S287" s="74">
        <f>IF(L287="","",IFERROR(INDEX(LMH_PTS,MATCH(L287,LMH_KEY,0))/SUM(IFERROR(INDEX(LMH_PTS,MATCH(J287,LMH_KEY,0)),0),IFERROR(INDEX(LMH_PTS,MATCH(K287,LMH_KEY,0)),0),IFERROR(INDEX(LMH_PTS,MATCH(L287,LMH_KEY,0)),0),IFERROR(INDEX(LMH_PTS,MATCH(M287,LMH_KEY,0)),0),IFERROR(INDEX(LMH_PTS,MATCH(N287,LMH_KEY,0)),0),IFERROR(INDEX(LMH_PTS,MATCH(O287,LMH_KEY,0)),0),IFERROR(INDEX(LMH_PTS,MATCH(P287,LMH_KEY,0)),0)),""))</f>
        <v>0.157894736842105</v>
      </c>
      <c r="T287" s="74">
        <f>IF(M287="","",IFERROR(INDEX(LMH_PTS,MATCH(M287,LMH_KEY,0))/SUM(IFERROR(INDEX(LMH_PTS,MATCH(J287,LMH_KEY,0)),0),IFERROR(INDEX(LMH_PTS,MATCH(K287,LMH_KEY,0)),0),IFERROR(INDEX(LMH_PTS,MATCH(L287,LMH_KEY,0)),0),IFERROR(INDEX(LMH_PTS,MATCH(M287,LMH_KEY,0)),0),IFERROR(INDEX(LMH_PTS,MATCH(N287,LMH_KEY,0)),0),IFERROR(INDEX(LMH_PTS,MATCH(O287,LMH_KEY,0)),0),IFERROR(INDEX(LMH_PTS,MATCH(P287,LMH_KEY,0)),0)),""))</f>
        <v>0.0526315789473684</v>
      </c>
      <c r="U287" s="74">
        <f>IF(N287="","",IFERROR(INDEX(LMH_PTS,MATCH(N287,LMH_KEY,0))/SUM(IFERROR(INDEX(LMH_PTS,MATCH(J287,LMH_KEY,0)),0),IFERROR(INDEX(LMH_PTS,MATCH(K287,LMH_KEY,0)),0),IFERROR(INDEX(LMH_PTS,MATCH(L287,LMH_KEY,0)),0),IFERROR(INDEX(LMH_PTS,MATCH(M287,LMH_KEY,0)),0),IFERROR(INDEX(LMH_PTS,MATCH(N287,LMH_KEY,0)),0),IFERROR(INDEX(LMH_PTS,MATCH(O287,LMH_KEY,0)),0),IFERROR(INDEX(LMH_PTS,MATCH(P287,LMH_KEY,0)),0)),""))</f>
        <v>0.0526315789473684</v>
      </c>
      <c r="V287" s="74">
        <f>IF(O287="","",IFERROR(INDEX(LMH_PTS,MATCH(O287,LMH_KEY,0))/SUM(IFERROR(INDEX(LMH_PTS,MATCH(J287,LMH_KEY,0)),0),IFERROR(INDEX(LMH_PTS,MATCH(K287,LMH_KEY,0)),0),IFERROR(INDEX(LMH_PTS,MATCH(L287,LMH_KEY,0)),0),IFERROR(INDEX(LMH_PTS,MATCH(M287,LMH_KEY,0)),0),IFERROR(INDEX(LMH_PTS,MATCH(N287,LMH_KEY,0)),0),IFERROR(INDEX(LMH_PTS,MATCH(O287,LMH_KEY,0)),0),IFERROR(INDEX(LMH_PTS,MATCH(P287,LMH_KEY,0)),0)),""))</f>
        <v>0.0526315789473684</v>
      </c>
      <c r="W287" s="74">
        <f>IF(P287="","",IFERROR(INDEX(LMH_PTS,MATCH(P287,LMH_KEY,0))/SUM(IFERROR(INDEX(LMH_PTS,MATCH(J287,LMH_KEY,0)),0),IFERROR(INDEX(LMH_PTS,MATCH(K287,LMH_KEY,0)),0),IFERROR(INDEX(LMH_PTS,MATCH(L287,LMH_KEY,0)),0),IFERROR(INDEX(LMH_PTS,MATCH(M287,LMH_KEY,0)),0),IFERROR(INDEX(LMH_PTS,MATCH(N287,LMH_KEY,0)),0),IFERROR(INDEX(LMH_PTS,MATCH(O287,LMH_KEY,0)),0),IFERROR(INDEX(LMH_PTS,MATCH(P287,LMH_KEY,0)),0)),""))</f>
        <v>0.0526315789473684</v>
      </c>
      <c r="X287" s="44" t="n"/>
      <c r="Y287" s="38" t="inlineStr">
        <is>
          <t>Consume|Digitizing|Digitization Specialist|A3|A</t>
        </is>
      </c>
    </row>
    <row r="288" ht="53" customHeight="1">
      <c r="A288" s="28" t="inlineStr">
        <is>
          <t>Consume</t>
        </is>
      </c>
      <c r="B288" s="29" t="inlineStr">
        <is>
          <t>Digitizing</t>
        </is>
      </c>
      <c r="C288" s="75" t="inlineStr">
        <is>
          <t>A3</t>
        </is>
      </c>
      <c r="D288" s="29" t="inlineStr">
        <is>
          <t>Band A · Practitioner</t>
        </is>
      </c>
      <c r="E288" s="29" t="inlineStr">
        <is>
          <t>Senior Digitization Associate</t>
        </is>
      </c>
      <c r="F288" s="29" t="inlineStr">
        <is>
          <t>Band A · all tracks</t>
        </is>
      </c>
      <c r="G288" s="29" t="inlineStr">
        <is>
          <t>Data Operations &amp; Digitization</t>
        </is>
      </c>
      <c r="H288" s="29" t="n">
        <v>6</v>
      </c>
      <c r="I288" s="29" t="inlineStr">
        <is>
          <t>Aniket Manval, Manish Paithankar, Manoj Ravidas, Manoj Tiwari, Saurav Kamtekar, Snehal Bhavesh Farad</t>
        </is>
      </c>
      <c r="J288" s="34" t="str">
        <f>IFERROR(INDEX(RBD_C,MATCH("Data Operations &amp; Digitization|A3|A",RBD_KEY,0)),"M")</f>
        <v>H</v>
      </c>
      <c r="K288" s="35" t="str">
        <f>IFERROR(INDEX(RBD_Au,MATCH("Data Operations &amp; Digitization|A3|A",RBD_KEY,0)),"M")</f>
        <v>M</v>
      </c>
      <c r="L288" s="35" t="str">
        <f>IFERROR(INDEX(RBD_Ac,MATCH("Data Operations &amp; Digitization|A3|A",RBD_KEY,0)),"M")</f>
        <v>M</v>
      </c>
      <c r="M288" s="35" t="str">
        <f>IFERROR(INDEX(RBD_L,MATCH("Data Operations &amp; Digitization|A3|A",RBD_KEY,0)),"M")</f>
        <v>L</v>
      </c>
      <c r="N288" s="35" t="str">
        <f>IFERROR(INDEX(RBD_BI,MATCH("Data Operations &amp; Digitization|A3|A",RBD_KEY,0)),"M")</f>
        <v>L</v>
      </c>
      <c r="O288" s="35" t="str">
        <f>IFERROR(INDEX(RBD_Exp,MATCH("Data Operations &amp; Digitization|A3|A",RBD_KEY,0)),"M")</f>
        <v>L</v>
      </c>
      <c r="P288" s="35" t="str">
        <f>IFERROR(INDEX(RBD_Edu,MATCH("Data Operations &amp; Digitization|A3|A",RBD_KEY,0)),"M")</f>
        <v>L</v>
      </c>
      <c r="Q288" s="73">
        <f>IF(J288="","",IFERROR(INDEX(LMH_PTS,MATCH(J288,LMH_KEY,0))/SUM(IFERROR(INDEX(LMH_PTS,MATCH(J288,LMH_KEY,0)),0),IFERROR(INDEX(LMH_PTS,MATCH(K288,LMH_KEY,0)),0),IFERROR(INDEX(LMH_PTS,MATCH(L288,LMH_KEY,0)),0),IFERROR(INDEX(LMH_PTS,MATCH(M288,LMH_KEY,0)),0),IFERROR(INDEX(LMH_PTS,MATCH(N288,LMH_KEY,0)),0),IFERROR(INDEX(LMH_PTS,MATCH(O288,LMH_KEY,0)),0),IFERROR(INDEX(LMH_PTS,MATCH(P288,LMH_KEY,0)),0)),""))</f>
        <v>0.473684210526316</v>
      </c>
      <c r="R288" s="74">
        <f>IF(K288="","",IFERROR(INDEX(LMH_PTS,MATCH(K288,LMH_KEY,0))/SUM(IFERROR(INDEX(LMH_PTS,MATCH(J288,LMH_KEY,0)),0),IFERROR(INDEX(LMH_PTS,MATCH(K288,LMH_KEY,0)),0),IFERROR(INDEX(LMH_PTS,MATCH(L288,LMH_KEY,0)),0),IFERROR(INDEX(LMH_PTS,MATCH(M288,LMH_KEY,0)),0),IFERROR(INDEX(LMH_PTS,MATCH(N288,LMH_KEY,0)),0),IFERROR(INDEX(LMH_PTS,MATCH(O288,LMH_KEY,0)),0),IFERROR(INDEX(LMH_PTS,MATCH(P288,LMH_KEY,0)),0)),""))</f>
        <v>0.157894736842105</v>
      </c>
      <c r="S288" s="74">
        <f>IF(L288="","",IFERROR(INDEX(LMH_PTS,MATCH(L288,LMH_KEY,0))/SUM(IFERROR(INDEX(LMH_PTS,MATCH(J288,LMH_KEY,0)),0),IFERROR(INDEX(LMH_PTS,MATCH(K288,LMH_KEY,0)),0),IFERROR(INDEX(LMH_PTS,MATCH(L288,LMH_KEY,0)),0),IFERROR(INDEX(LMH_PTS,MATCH(M288,LMH_KEY,0)),0),IFERROR(INDEX(LMH_PTS,MATCH(N288,LMH_KEY,0)),0),IFERROR(INDEX(LMH_PTS,MATCH(O288,LMH_KEY,0)),0),IFERROR(INDEX(LMH_PTS,MATCH(P288,LMH_KEY,0)),0)),""))</f>
        <v>0.157894736842105</v>
      </c>
      <c r="T288" s="74">
        <f>IF(M288="","",IFERROR(INDEX(LMH_PTS,MATCH(M288,LMH_KEY,0))/SUM(IFERROR(INDEX(LMH_PTS,MATCH(J288,LMH_KEY,0)),0),IFERROR(INDEX(LMH_PTS,MATCH(K288,LMH_KEY,0)),0),IFERROR(INDEX(LMH_PTS,MATCH(L288,LMH_KEY,0)),0),IFERROR(INDEX(LMH_PTS,MATCH(M288,LMH_KEY,0)),0),IFERROR(INDEX(LMH_PTS,MATCH(N288,LMH_KEY,0)),0),IFERROR(INDEX(LMH_PTS,MATCH(O288,LMH_KEY,0)),0),IFERROR(INDEX(LMH_PTS,MATCH(P288,LMH_KEY,0)),0)),""))</f>
        <v>0.0526315789473684</v>
      </c>
      <c r="U288" s="74">
        <f>IF(N288="","",IFERROR(INDEX(LMH_PTS,MATCH(N288,LMH_KEY,0))/SUM(IFERROR(INDEX(LMH_PTS,MATCH(J288,LMH_KEY,0)),0),IFERROR(INDEX(LMH_PTS,MATCH(K288,LMH_KEY,0)),0),IFERROR(INDEX(LMH_PTS,MATCH(L288,LMH_KEY,0)),0),IFERROR(INDEX(LMH_PTS,MATCH(M288,LMH_KEY,0)),0),IFERROR(INDEX(LMH_PTS,MATCH(N288,LMH_KEY,0)),0),IFERROR(INDEX(LMH_PTS,MATCH(O288,LMH_KEY,0)),0),IFERROR(INDEX(LMH_PTS,MATCH(P288,LMH_KEY,0)),0)),""))</f>
        <v>0.0526315789473684</v>
      </c>
      <c r="V288" s="74">
        <f>IF(O288="","",IFERROR(INDEX(LMH_PTS,MATCH(O288,LMH_KEY,0))/SUM(IFERROR(INDEX(LMH_PTS,MATCH(J288,LMH_KEY,0)),0),IFERROR(INDEX(LMH_PTS,MATCH(K288,LMH_KEY,0)),0),IFERROR(INDEX(LMH_PTS,MATCH(L288,LMH_KEY,0)),0),IFERROR(INDEX(LMH_PTS,MATCH(M288,LMH_KEY,0)),0),IFERROR(INDEX(LMH_PTS,MATCH(N288,LMH_KEY,0)),0),IFERROR(INDEX(LMH_PTS,MATCH(O288,LMH_KEY,0)),0),IFERROR(INDEX(LMH_PTS,MATCH(P288,LMH_KEY,0)),0)),""))</f>
        <v>0.0526315789473684</v>
      </c>
      <c r="W288" s="74">
        <f>IF(P288="","",IFERROR(INDEX(LMH_PTS,MATCH(P288,LMH_KEY,0))/SUM(IFERROR(INDEX(LMH_PTS,MATCH(J288,LMH_KEY,0)),0),IFERROR(INDEX(LMH_PTS,MATCH(K288,LMH_KEY,0)),0),IFERROR(INDEX(LMH_PTS,MATCH(L288,LMH_KEY,0)),0),IFERROR(INDEX(LMH_PTS,MATCH(M288,LMH_KEY,0)),0),IFERROR(INDEX(LMH_PTS,MATCH(N288,LMH_KEY,0)),0),IFERROR(INDEX(LMH_PTS,MATCH(O288,LMH_KEY,0)),0),IFERROR(INDEX(LMH_PTS,MATCH(P288,LMH_KEY,0)),0)),""))</f>
        <v>0.0526315789473684</v>
      </c>
      <c r="X288" s="44" t="n"/>
      <c r="Y288" s="38" t="inlineStr">
        <is>
          <t>Consume|Digitizing|Senior Digitization Associate|A3|A</t>
        </is>
      </c>
    </row>
    <row r="289" ht="18" customHeight="1">
      <c r="A289" s="28" t="inlineStr">
        <is>
          <t>Consume</t>
        </is>
      </c>
      <c r="B289" s="29" t="inlineStr">
        <is>
          <t>Digitizing</t>
        </is>
      </c>
      <c r="C289" s="75" t="inlineStr">
        <is>
          <t>A2</t>
        </is>
      </c>
      <c r="D289" s="29" t="inlineStr">
        <is>
          <t>Band A · Practitioner</t>
        </is>
      </c>
      <c r="E289" s="29" t="inlineStr">
        <is>
          <t>Digitization Associate</t>
        </is>
      </c>
      <c r="F289" s="29" t="inlineStr">
        <is>
          <t>Band A · all tracks</t>
        </is>
      </c>
      <c r="G289" s="29" t="inlineStr">
        <is>
          <t>Data Operations &amp; Digitization</t>
        </is>
      </c>
      <c r="H289" s="29" t="n">
        <v>1</v>
      </c>
      <c r="I289" s="29" t="inlineStr">
        <is>
          <t>Siddhesh Harishchandra Mali</t>
        </is>
      </c>
      <c r="J289" s="34" t="str">
        <f>IFERROR(INDEX(RBD_C,MATCH("Data Operations &amp; Digitization|A2|A",RBD_KEY,0)),"M")</f>
        <v>H</v>
      </c>
      <c r="K289" s="35" t="str">
        <f>IFERROR(INDEX(RBD_Au,MATCH("Data Operations &amp; Digitization|A2|A",RBD_KEY,0)),"M")</f>
        <v>M</v>
      </c>
      <c r="L289" s="35" t="str">
        <f>IFERROR(INDEX(RBD_Ac,MATCH("Data Operations &amp; Digitization|A2|A",RBD_KEY,0)),"M")</f>
        <v>M</v>
      </c>
      <c r="M289" s="35" t="str">
        <f>IFERROR(INDEX(RBD_L,MATCH("Data Operations &amp; Digitization|A2|A",RBD_KEY,0)),"M")</f>
        <v>L</v>
      </c>
      <c r="N289" s="35" t="str">
        <f>IFERROR(INDEX(RBD_BI,MATCH("Data Operations &amp; Digitization|A2|A",RBD_KEY,0)),"M")</f>
        <v>L</v>
      </c>
      <c r="O289" s="35" t="str">
        <f>IFERROR(INDEX(RBD_Exp,MATCH("Data Operations &amp; Digitization|A2|A",RBD_KEY,0)),"M")</f>
        <v>L</v>
      </c>
      <c r="P289" s="35" t="str">
        <f>IFERROR(INDEX(RBD_Edu,MATCH("Data Operations &amp; Digitization|A2|A",RBD_KEY,0)),"M")</f>
        <v>L</v>
      </c>
      <c r="Q289" s="73">
        <f>IF(J289="","",IFERROR(INDEX(LMH_PTS,MATCH(J289,LMH_KEY,0))/SUM(IFERROR(INDEX(LMH_PTS,MATCH(J289,LMH_KEY,0)),0),IFERROR(INDEX(LMH_PTS,MATCH(K289,LMH_KEY,0)),0),IFERROR(INDEX(LMH_PTS,MATCH(L289,LMH_KEY,0)),0),IFERROR(INDEX(LMH_PTS,MATCH(M289,LMH_KEY,0)),0),IFERROR(INDEX(LMH_PTS,MATCH(N289,LMH_KEY,0)),0),IFERROR(INDEX(LMH_PTS,MATCH(O289,LMH_KEY,0)),0),IFERROR(INDEX(LMH_PTS,MATCH(P289,LMH_KEY,0)),0)),""))</f>
        <v>0.473684210526316</v>
      </c>
      <c r="R289" s="74">
        <f>IF(K289="","",IFERROR(INDEX(LMH_PTS,MATCH(K289,LMH_KEY,0))/SUM(IFERROR(INDEX(LMH_PTS,MATCH(J289,LMH_KEY,0)),0),IFERROR(INDEX(LMH_PTS,MATCH(K289,LMH_KEY,0)),0),IFERROR(INDEX(LMH_PTS,MATCH(L289,LMH_KEY,0)),0),IFERROR(INDEX(LMH_PTS,MATCH(M289,LMH_KEY,0)),0),IFERROR(INDEX(LMH_PTS,MATCH(N289,LMH_KEY,0)),0),IFERROR(INDEX(LMH_PTS,MATCH(O289,LMH_KEY,0)),0),IFERROR(INDEX(LMH_PTS,MATCH(P289,LMH_KEY,0)),0)),""))</f>
        <v>0.157894736842105</v>
      </c>
      <c r="S289" s="74">
        <f>IF(L289="","",IFERROR(INDEX(LMH_PTS,MATCH(L289,LMH_KEY,0))/SUM(IFERROR(INDEX(LMH_PTS,MATCH(J289,LMH_KEY,0)),0),IFERROR(INDEX(LMH_PTS,MATCH(K289,LMH_KEY,0)),0),IFERROR(INDEX(LMH_PTS,MATCH(L289,LMH_KEY,0)),0),IFERROR(INDEX(LMH_PTS,MATCH(M289,LMH_KEY,0)),0),IFERROR(INDEX(LMH_PTS,MATCH(N289,LMH_KEY,0)),0),IFERROR(INDEX(LMH_PTS,MATCH(O289,LMH_KEY,0)),0),IFERROR(INDEX(LMH_PTS,MATCH(P289,LMH_KEY,0)),0)),""))</f>
        <v>0.157894736842105</v>
      </c>
      <c r="T289" s="74">
        <f>IF(M289="","",IFERROR(INDEX(LMH_PTS,MATCH(M289,LMH_KEY,0))/SUM(IFERROR(INDEX(LMH_PTS,MATCH(J289,LMH_KEY,0)),0),IFERROR(INDEX(LMH_PTS,MATCH(K289,LMH_KEY,0)),0),IFERROR(INDEX(LMH_PTS,MATCH(L289,LMH_KEY,0)),0),IFERROR(INDEX(LMH_PTS,MATCH(M289,LMH_KEY,0)),0),IFERROR(INDEX(LMH_PTS,MATCH(N289,LMH_KEY,0)),0),IFERROR(INDEX(LMH_PTS,MATCH(O289,LMH_KEY,0)),0),IFERROR(INDEX(LMH_PTS,MATCH(P289,LMH_KEY,0)),0)),""))</f>
        <v>0.0526315789473684</v>
      </c>
      <c r="U289" s="74">
        <f>IF(N289="","",IFERROR(INDEX(LMH_PTS,MATCH(N289,LMH_KEY,0))/SUM(IFERROR(INDEX(LMH_PTS,MATCH(J289,LMH_KEY,0)),0),IFERROR(INDEX(LMH_PTS,MATCH(K289,LMH_KEY,0)),0),IFERROR(INDEX(LMH_PTS,MATCH(L289,LMH_KEY,0)),0),IFERROR(INDEX(LMH_PTS,MATCH(M289,LMH_KEY,0)),0),IFERROR(INDEX(LMH_PTS,MATCH(N289,LMH_KEY,0)),0),IFERROR(INDEX(LMH_PTS,MATCH(O289,LMH_KEY,0)),0),IFERROR(INDEX(LMH_PTS,MATCH(P289,LMH_KEY,0)),0)),""))</f>
        <v>0.0526315789473684</v>
      </c>
      <c r="V289" s="74">
        <f>IF(O289="","",IFERROR(INDEX(LMH_PTS,MATCH(O289,LMH_KEY,0))/SUM(IFERROR(INDEX(LMH_PTS,MATCH(J289,LMH_KEY,0)),0),IFERROR(INDEX(LMH_PTS,MATCH(K289,LMH_KEY,0)),0),IFERROR(INDEX(LMH_PTS,MATCH(L289,LMH_KEY,0)),0),IFERROR(INDEX(LMH_PTS,MATCH(M289,LMH_KEY,0)),0),IFERROR(INDEX(LMH_PTS,MATCH(N289,LMH_KEY,0)),0),IFERROR(INDEX(LMH_PTS,MATCH(O289,LMH_KEY,0)),0),IFERROR(INDEX(LMH_PTS,MATCH(P289,LMH_KEY,0)),0)),""))</f>
        <v>0.0526315789473684</v>
      </c>
      <c r="W289" s="74">
        <f>IF(P289="","",IFERROR(INDEX(LMH_PTS,MATCH(P289,LMH_KEY,0))/SUM(IFERROR(INDEX(LMH_PTS,MATCH(J289,LMH_KEY,0)),0),IFERROR(INDEX(LMH_PTS,MATCH(K289,LMH_KEY,0)),0),IFERROR(INDEX(LMH_PTS,MATCH(L289,LMH_KEY,0)),0),IFERROR(INDEX(LMH_PTS,MATCH(M289,LMH_KEY,0)),0),IFERROR(INDEX(LMH_PTS,MATCH(N289,LMH_KEY,0)),0),IFERROR(INDEX(LMH_PTS,MATCH(O289,LMH_KEY,0)),0),IFERROR(INDEX(LMH_PTS,MATCH(P289,LMH_KEY,0)),0)),""))</f>
        <v>0.0526315789473684</v>
      </c>
      <c r="X289" s="44" t="n"/>
      <c r="Y289" s="38" t="inlineStr">
        <is>
          <t>Consume|Digitizing|Digitization Associate|A2|A</t>
        </is>
      </c>
    </row>
    <row r="290" ht="18" customHeight="1">
      <c r="A290" s="28" t="inlineStr">
        <is>
          <t>Consume</t>
        </is>
      </c>
      <c r="B290" s="71" t="inlineStr">
        <is>
          <t>India Content</t>
        </is>
      </c>
      <c r="C290" s="72" t="inlineStr">
        <is>
          <t>B2</t>
        </is>
      </c>
      <c r="D290" s="29" t="inlineStr">
        <is>
          <t>Band B · Specialist / Manager</t>
        </is>
      </c>
      <c r="E290" s="29" t="inlineStr">
        <is>
          <t>Data Operations Manager</t>
        </is>
      </c>
      <c r="F290" s="29" t="inlineStr">
        <is>
          <t>Band B · People Manager</t>
        </is>
      </c>
      <c r="G290" s="29" t="inlineStr">
        <is>
          <t>Data &amp; Analytics</t>
        </is>
      </c>
      <c r="H290" s="29" t="n">
        <v>1</v>
      </c>
      <c r="I290" s="29" t="inlineStr">
        <is>
          <t>Gopal Krishna Sahu</t>
        </is>
      </c>
      <c r="J290" s="34" t="str">
        <f>IFERROR(INDEX(RBD_C,MATCH("Data &amp; Analytics|B2|B-M",RBD_KEY,0)),"M")</f>
        <v>H</v>
      </c>
      <c r="K290" s="35" t="str">
        <f>IFERROR(INDEX(RBD_Au,MATCH("Data &amp; Analytics|B2|B-M",RBD_KEY,0)),"M")</f>
        <v>M</v>
      </c>
      <c r="L290" s="35" t="str">
        <f>IFERROR(INDEX(RBD_Ac,MATCH("Data &amp; Analytics|B2|B-M",RBD_KEY,0)),"M")</f>
        <v>M</v>
      </c>
      <c r="M290" s="35" t="str">
        <f>IFERROR(INDEX(RBD_L,MATCH("Data &amp; Analytics|B2|B-M",RBD_KEY,0)),"M")</f>
        <v>M</v>
      </c>
      <c r="N290" s="35" t="str">
        <f>IFERROR(INDEX(RBD_BI,MATCH("Data &amp; Analytics|B2|B-M",RBD_KEY,0)),"M")</f>
        <v>L</v>
      </c>
      <c r="O290" s="35" t="str">
        <f>IFERROR(INDEX(RBD_Exp,MATCH("Data &amp; Analytics|B2|B-M",RBD_KEY,0)),"M")</f>
        <v>L</v>
      </c>
      <c r="P290" s="35" t="str">
        <f>IFERROR(INDEX(RBD_Edu,MATCH("Data &amp; Analytics|B2|B-M",RBD_KEY,0)),"M")</f>
        <v>L</v>
      </c>
      <c r="Q290" s="73">
        <f>IF(J290="","",IFERROR(INDEX(LMH_PTS,MATCH(J290,LMH_KEY,0))/SUM(IFERROR(INDEX(LMH_PTS,MATCH(J290,LMH_KEY,0)),0),IFERROR(INDEX(LMH_PTS,MATCH(K290,LMH_KEY,0)),0),IFERROR(INDEX(LMH_PTS,MATCH(L290,LMH_KEY,0)),0),IFERROR(INDEX(LMH_PTS,MATCH(M290,LMH_KEY,0)),0),IFERROR(INDEX(LMH_PTS,MATCH(N290,LMH_KEY,0)),0),IFERROR(INDEX(LMH_PTS,MATCH(O290,LMH_KEY,0)),0),IFERROR(INDEX(LMH_PTS,MATCH(P290,LMH_KEY,0)),0)),""))</f>
        <v>0.428571428571429</v>
      </c>
      <c r="R290" s="74">
        <f>IF(K290="","",IFERROR(INDEX(LMH_PTS,MATCH(K290,LMH_KEY,0))/SUM(IFERROR(INDEX(LMH_PTS,MATCH(J290,LMH_KEY,0)),0),IFERROR(INDEX(LMH_PTS,MATCH(K290,LMH_KEY,0)),0),IFERROR(INDEX(LMH_PTS,MATCH(L290,LMH_KEY,0)),0),IFERROR(INDEX(LMH_PTS,MATCH(M290,LMH_KEY,0)),0),IFERROR(INDEX(LMH_PTS,MATCH(N290,LMH_KEY,0)),0),IFERROR(INDEX(LMH_PTS,MATCH(O290,LMH_KEY,0)),0),IFERROR(INDEX(LMH_PTS,MATCH(P290,LMH_KEY,0)),0)),""))</f>
        <v>0.142857142857143</v>
      </c>
      <c r="S290" s="74">
        <f>IF(L290="","",IFERROR(INDEX(LMH_PTS,MATCH(L290,LMH_KEY,0))/SUM(IFERROR(INDEX(LMH_PTS,MATCH(J290,LMH_KEY,0)),0),IFERROR(INDEX(LMH_PTS,MATCH(K290,LMH_KEY,0)),0),IFERROR(INDEX(LMH_PTS,MATCH(L290,LMH_KEY,0)),0),IFERROR(INDEX(LMH_PTS,MATCH(M290,LMH_KEY,0)),0),IFERROR(INDEX(LMH_PTS,MATCH(N290,LMH_KEY,0)),0),IFERROR(INDEX(LMH_PTS,MATCH(O290,LMH_KEY,0)),0),IFERROR(INDEX(LMH_PTS,MATCH(P290,LMH_KEY,0)),0)),""))</f>
        <v>0.142857142857143</v>
      </c>
      <c r="T290" s="74">
        <f>IF(M290="","",IFERROR(INDEX(LMH_PTS,MATCH(M290,LMH_KEY,0))/SUM(IFERROR(INDEX(LMH_PTS,MATCH(J290,LMH_KEY,0)),0),IFERROR(INDEX(LMH_PTS,MATCH(K290,LMH_KEY,0)),0),IFERROR(INDEX(LMH_PTS,MATCH(L290,LMH_KEY,0)),0),IFERROR(INDEX(LMH_PTS,MATCH(M290,LMH_KEY,0)),0),IFERROR(INDEX(LMH_PTS,MATCH(N290,LMH_KEY,0)),0),IFERROR(INDEX(LMH_PTS,MATCH(O290,LMH_KEY,0)),0),IFERROR(INDEX(LMH_PTS,MATCH(P290,LMH_KEY,0)),0)),""))</f>
        <v>0.142857142857143</v>
      </c>
      <c r="U290" s="74">
        <f>IF(N290="","",IFERROR(INDEX(LMH_PTS,MATCH(N290,LMH_KEY,0))/SUM(IFERROR(INDEX(LMH_PTS,MATCH(J290,LMH_KEY,0)),0),IFERROR(INDEX(LMH_PTS,MATCH(K290,LMH_KEY,0)),0),IFERROR(INDEX(LMH_PTS,MATCH(L290,LMH_KEY,0)),0),IFERROR(INDEX(LMH_PTS,MATCH(M290,LMH_KEY,0)),0),IFERROR(INDEX(LMH_PTS,MATCH(N290,LMH_KEY,0)),0),IFERROR(INDEX(LMH_PTS,MATCH(O290,LMH_KEY,0)),0),IFERROR(INDEX(LMH_PTS,MATCH(P290,LMH_KEY,0)),0)),""))</f>
        <v>0.0476190476190476</v>
      </c>
      <c r="V290" s="74">
        <f>IF(O290="","",IFERROR(INDEX(LMH_PTS,MATCH(O290,LMH_KEY,0))/SUM(IFERROR(INDEX(LMH_PTS,MATCH(J290,LMH_KEY,0)),0),IFERROR(INDEX(LMH_PTS,MATCH(K290,LMH_KEY,0)),0),IFERROR(INDEX(LMH_PTS,MATCH(L290,LMH_KEY,0)),0),IFERROR(INDEX(LMH_PTS,MATCH(M290,LMH_KEY,0)),0),IFERROR(INDEX(LMH_PTS,MATCH(N290,LMH_KEY,0)),0),IFERROR(INDEX(LMH_PTS,MATCH(O290,LMH_KEY,0)),0),IFERROR(INDEX(LMH_PTS,MATCH(P290,LMH_KEY,0)),0)),""))</f>
        <v>0.0476190476190476</v>
      </c>
      <c r="W290" s="74">
        <f>IF(P290="","",IFERROR(INDEX(LMH_PTS,MATCH(P290,LMH_KEY,0))/SUM(IFERROR(INDEX(LMH_PTS,MATCH(J290,LMH_KEY,0)),0),IFERROR(INDEX(LMH_PTS,MATCH(K290,LMH_KEY,0)),0),IFERROR(INDEX(LMH_PTS,MATCH(L290,LMH_KEY,0)),0),IFERROR(INDEX(LMH_PTS,MATCH(M290,LMH_KEY,0)),0),IFERROR(INDEX(LMH_PTS,MATCH(N290,LMH_KEY,0)),0),IFERROR(INDEX(LMH_PTS,MATCH(O290,LMH_KEY,0)),0),IFERROR(INDEX(LMH_PTS,MATCH(P290,LMH_KEY,0)),0)),""))</f>
        <v>0.0476190476190476</v>
      </c>
      <c r="X290" s="44" t="n"/>
      <c r="Y290" s="38" t="inlineStr">
        <is>
          <t>Consume|India Content|Data Operations Manager|B2|B-M</t>
        </is>
      </c>
    </row>
    <row r="291" ht="18" customHeight="1">
      <c r="A291" s="28" t="inlineStr">
        <is>
          <t>Consume</t>
        </is>
      </c>
      <c r="B291" s="29" t="inlineStr">
        <is>
          <t>India Content</t>
        </is>
      </c>
      <c r="C291" s="72" t="inlineStr">
        <is>
          <t>B1</t>
        </is>
      </c>
      <c r="D291" s="29" t="inlineStr">
        <is>
          <t>Band B · Specialist / Manager</t>
        </is>
      </c>
      <c r="E291" s="29" t="inlineStr">
        <is>
          <t>Data Specialist</t>
        </is>
      </c>
      <c r="F291" s="29" t="inlineStr">
        <is>
          <t>Band B · Specialist / POD Lead</t>
        </is>
      </c>
      <c r="G291" s="29" t="inlineStr">
        <is>
          <t>Data &amp; Analytics</t>
        </is>
      </c>
      <c r="H291" s="29" t="n">
        <v>1</v>
      </c>
      <c r="I291" s="29" t="inlineStr">
        <is>
          <t>Virendra Borkar</t>
        </is>
      </c>
      <c r="J291" s="34" t="str">
        <f>IFERROR(INDEX(RBD_C,MATCH("Data &amp; Analytics|B1|B-IC",RBD_KEY,0)),"M")</f>
        <v>H</v>
      </c>
      <c r="K291" s="35" t="str">
        <f>IFERROR(INDEX(RBD_Au,MATCH("Data &amp; Analytics|B1|B-IC",RBD_KEY,0)),"M")</f>
        <v>M</v>
      </c>
      <c r="L291" s="35" t="str">
        <f>IFERROR(INDEX(RBD_Ac,MATCH("Data &amp; Analytics|B1|B-IC",RBD_KEY,0)),"M")</f>
        <v>M</v>
      </c>
      <c r="M291" s="35" t="str">
        <f>IFERROR(INDEX(RBD_L,MATCH("Data &amp; Analytics|B1|B-IC",RBD_KEY,0)),"M")</f>
        <v>L</v>
      </c>
      <c r="N291" s="35" t="str">
        <f>IFERROR(INDEX(RBD_BI,MATCH("Data &amp; Analytics|B1|B-IC",RBD_KEY,0)),"M")</f>
        <v>L</v>
      </c>
      <c r="O291" s="35" t="str">
        <f>IFERROR(INDEX(RBD_Exp,MATCH("Data &amp; Analytics|B1|B-IC",RBD_KEY,0)),"M")</f>
        <v>L</v>
      </c>
      <c r="P291" s="35" t="str">
        <f>IFERROR(INDEX(RBD_Edu,MATCH("Data &amp; Analytics|B1|B-IC",RBD_KEY,0)),"M")</f>
        <v>L</v>
      </c>
      <c r="Q291" s="73">
        <f>IF(J291="","",IFERROR(INDEX(LMH_PTS,MATCH(J291,LMH_KEY,0))/SUM(IFERROR(INDEX(LMH_PTS,MATCH(J291,LMH_KEY,0)),0),IFERROR(INDEX(LMH_PTS,MATCH(K291,LMH_KEY,0)),0),IFERROR(INDEX(LMH_PTS,MATCH(L291,LMH_KEY,0)),0),IFERROR(INDEX(LMH_PTS,MATCH(M291,LMH_KEY,0)),0),IFERROR(INDEX(LMH_PTS,MATCH(N291,LMH_KEY,0)),0),IFERROR(INDEX(LMH_PTS,MATCH(O291,LMH_KEY,0)),0),IFERROR(INDEX(LMH_PTS,MATCH(P291,LMH_KEY,0)),0)),""))</f>
        <v>0.473684210526316</v>
      </c>
      <c r="R291" s="74">
        <f>IF(K291="","",IFERROR(INDEX(LMH_PTS,MATCH(K291,LMH_KEY,0))/SUM(IFERROR(INDEX(LMH_PTS,MATCH(J291,LMH_KEY,0)),0),IFERROR(INDEX(LMH_PTS,MATCH(K291,LMH_KEY,0)),0),IFERROR(INDEX(LMH_PTS,MATCH(L291,LMH_KEY,0)),0),IFERROR(INDEX(LMH_PTS,MATCH(M291,LMH_KEY,0)),0),IFERROR(INDEX(LMH_PTS,MATCH(N291,LMH_KEY,0)),0),IFERROR(INDEX(LMH_PTS,MATCH(O291,LMH_KEY,0)),0),IFERROR(INDEX(LMH_PTS,MATCH(P291,LMH_KEY,0)),0)),""))</f>
        <v>0.157894736842105</v>
      </c>
      <c r="S291" s="74">
        <f>IF(L291="","",IFERROR(INDEX(LMH_PTS,MATCH(L291,LMH_KEY,0))/SUM(IFERROR(INDEX(LMH_PTS,MATCH(J291,LMH_KEY,0)),0),IFERROR(INDEX(LMH_PTS,MATCH(K291,LMH_KEY,0)),0),IFERROR(INDEX(LMH_PTS,MATCH(L291,LMH_KEY,0)),0),IFERROR(INDEX(LMH_PTS,MATCH(M291,LMH_KEY,0)),0),IFERROR(INDEX(LMH_PTS,MATCH(N291,LMH_KEY,0)),0),IFERROR(INDEX(LMH_PTS,MATCH(O291,LMH_KEY,0)),0),IFERROR(INDEX(LMH_PTS,MATCH(P291,LMH_KEY,0)),0)),""))</f>
        <v>0.157894736842105</v>
      </c>
      <c r="T291" s="74">
        <f>IF(M291="","",IFERROR(INDEX(LMH_PTS,MATCH(M291,LMH_KEY,0))/SUM(IFERROR(INDEX(LMH_PTS,MATCH(J291,LMH_KEY,0)),0),IFERROR(INDEX(LMH_PTS,MATCH(K291,LMH_KEY,0)),0),IFERROR(INDEX(LMH_PTS,MATCH(L291,LMH_KEY,0)),0),IFERROR(INDEX(LMH_PTS,MATCH(M291,LMH_KEY,0)),0),IFERROR(INDEX(LMH_PTS,MATCH(N291,LMH_KEY,0)),0),IFERROR(INDEX(LMH_PTS,MATCH(O291,LMH_KEY,0)),0),IFERROR(INDEX(LMH_PTS,MATCH(P291,LMH_KEY,0)),0)),""))</f>
        <v>0.0526315789473684</v>
      </c>
      <c r="U291" s="74">
        <f>IF(N291="","",IFERROR(INDEX(LMH_PTS,MATCH(N291,LMH_KEY,0))/SUM(IFERROR(INDEX(LMH_PTS,MATCH(J291,LMH_KEY,0)),0),IFERROR(INDEX(LMH_PTS,MATCH(K291,LMH_KEY,0)),0),IFERROR(INDEX(LMH_PTS,MATCH(L291,LMH_KEY,0)),0),IFERROR(INDEX(LMH_PTS,MATCH(M291,LMH_KEY,0)),0),IFERROR(INDEX(LMH_PTS,MATCH(N291,LMH_KEY,0)),0),IFERROR(INDEX(LMH_PTS,MATCH(O291,LMH_KEY,0)),0),IFERROR(INDEX(LMH_PTS,MATCH(P291,LMH_KEY,0)),0)),""))</f>
        <v>0.0526315789473684</v>
      </c>
      <c r="V291" s="74">
        <f>IF(O291="","",IFERROR(INDEX(LMH_PTS,MATCH(O291,LMH_KEY,0))/SUM(IFERROR(INDEX(LMH_PTS,MATCH(J291,LMH_KEY,0)),0),IFERROR(INDEX(LMH_PTS,MATCH(K291,LMH_KEY,0)),0),IFERROR(INDEX(LMH_PTS,MATCH(L291,LMH_KEY,0)),0),IFERROR(INDEX(LMH_PTS,MATCH(M291,LMH_KEY,0)),0),IFERROR(INDEX(LMH_PTS,MATCH(N291,LMH_KEY,0)),0),IFERROR(INDEX(LMH_PTS,MATCH(O291,LMH_KEY,0)),0),IFERROR(INDEX(LMH_PTS,MATCH(P291,LMH_KEY,0)),0)),""))</f>
        <v>0.0526315789473684</v>
      </c>
      <c r="W291" s="74">
        <f>IF(P291="","",IFERROR(INDEX(LMH_PTS,MATCH(P291,LMH_KEY,0))/SUM(IFERROR(INDEX(LMH_PTS,MATCH(J291,LMH_KEY,0)),0),IFERROR(INDEX(LMH_PTS,MATCH(K291,LMH_KEY,0)),0),IFERROR(INDEX(LMH_PTS,MATCH(L291,LMH_KEY,0)),0),IFERROR(INDEX(LMH_PTS,MATCH(M291,LMH_KEY,0)),0),IFERROR(INDEX(LMH_PTS,MATCH(N291,LMH_KEY,0)),0),IFERROR(INDEX(LMH_PTS,MATCH(O291,LMH_KEY,0)),0),IFERROR(INDEX(LMH_PTS,MATCH(P291,LMH_KEY,0)),0)),""))</f>
        <v>0.0526315789473684</v>
      </c>
      <c r="X291" s="44" t="n"/>
      <c r="Y291" s="38" t="inlineStr">
        <is>
          <t>Consume|India Content|Data Specialist|B1|B-IC</t>
        </is>
      </c>
    </row>
    <row r="292" ht="53" customHeight="1">
      <c r="A292" s="28" t="inlineStr">
        <is>
          <t>Consume</t>
        </is>
      </c>
      <c r="B292" s="29" t="inlineStr">
        <is>
          <t>India Content</t>
        </is>
      </c>
      <c r="C292" s="75" t="inlineStr">
        <is>
          <t>A3</t>
        </is>
      </c>
      <c r="D292" s="29" t="inlineStr">
        <is>
          <t>Band A · Practitioner</t>
        </is>
      </c>
      <c r="E292" s="29" t="inlineStr">
        <is>
          <t>Senior Data Analyst</t>
        </is>
      </c>
      <c r="F292" s="29" t="inlineStr">
        <is>
          <t>Band A · all tracks</t>
        </is>
      </c>
      <c r="G292" s="29" t="inlineStr">
        <is>
          <t>Data &amp; Analytics</t>
        </is>
      </c>
      <c r="H292" s="29" t="n">
        <v>7</v>
      </c>
      <c r="I292" s="29" t="inlineStr">
        <is>
          <t>Akash Dubey, John Mariakulandai, Neelam Kadam, Nishikant Mhatre, Palanikumar Mooppanar, Prashant Shelar, Swapnil Katrat</t>
        </is>
      </c>
      <c r="J292" s="34" t="str">
        <f>IFERROR(INDEX(RBD_C,MATCH("Data &amp; Analytics|A3|A",RBD_KEY,0)),"M")</f>
        <v>H</v>
      </c>
      <c r="K292" s="35" t="str">
        <f>IFERROR(INDEX(RBD_Au,MATCH("Data &amp; Analytics|A3|A",RBD_KEY,0)),"M")</f>
        <v>M</v>
      </c>
      <c r="L292" s="35" t="str">
        <f>IFERROR(INDEX(RBD_Ac,MATCH("Data &amp; Analytics|A3|A",RBD_KEY,0)),"M")</f>
        <v>M</v>
      </c>
      <c r="M292" s="35" t="str">
        <f>IFERROR(INDEX(RBD_L,MATCH("Data &amp; Analytics|A3|A",RBD_KEY,0)),"M")</f>
        <v>L</v>
      </c>
      <c r="N292" s="35" t="str">
        <f>IFERROR(INDEX(RBD_BI,MATCH("Data &amp; Analytics|A3|A",RBD_KEY,0)),"M")</f>
        <v>L</v>
      </c>
      <c r="O292" s="35" t="str">
        <f>IFERROR(INDEX(RBD_Exp,MATCH("Data &amp; Analytics|A3|A",RBD_KEY,0)),"M")</f>
        <v>L</v>
      </c>
      <c r="P292" s="35" t="str">
        <f>IFERROR(INDEX(RBD_Edu,MATCH("Data &amp; Analytics|A3|A",RBD_KEY,0)),"M")</f>
        <v>L</v>
      </c>
      <c r="Q292" s="73">
        <f>IF(J292="","",IFERROR(INDEX(LMH_PTS,MATCH(J292,LMH_KEY,0))/SUM(IFERROR(INDEX(LMH_PTS,MATCH(J292,LMH_KEY,0)),0),IFERROR(INDEX(LMH_PTS,MATCH(K292,LMH_KEY,0)),0),IFERROR(INDEX(LMH_PTS,MATCH(L292,LMH_KEY,0)),0),IFERROR(INDEX(LMH_PTS,MATCH(M292,LMH_KEY,0)),0),IFERROR(INDEX(LMH_PTS,MATCH(N292,LMH_KEY,0)),0),IFERROR(INDEX(LMH_PTS,MATCH(O292,LMH_KEY,0)),0),IFERROR(INDEX(LMH_PTS,MATCH(P292,LMH_KEY,0)),0)),""))</f>
        <v>0.473684210526316</v>
      </c>
      <c r="R292" s="74">
        <f>IF(K292="","",IFERROR(INDEX(LMH_PTS,MATCH(K292,LMH_KEY,0))/SUM(IFERROR(INDEX(LMH_PTS,MATCH(J292,LMH_KEY,0)),0),IFERROR(INDEX(LMH_PTS,MATCH(K292,LMH_KEY,0)),0),IFERROR(INDEX(LMH_PTS,MATCH(L292,LMH_KEY,0)),0),IFERROR(INDEX(LMH_PTS,MATCH(M292,LMH_KEY,0)),0),IFERROR(INDEX(LMH_PTS,MATCH(N292,LMH_KEY,0)),0),IFERROR(INDEX(LMH_PTS,MATCH(O292,LMH_KEY,0)),0),IFERROR(INDEX(LMH_PTS,MATCH(P292,LMH_KEY,0)),0)),""))</f>
        <v>0.157894736842105</v>
      </c>
      <c r="S292" s="74">
        <f>IF(L292="","",IFERROR(INDEX(LMH_PTS,MATCH(L292,LMH_KEY,0))/SUM(IFERROR(INDEX(LMH_PTS,MATCH(J292,LMH_KEY,0)),0),IFERROR(INDEX(LMH_PTS,MATCH(K292,LMH_KEY,0)),0),IFERROR(INDEX(LMH_PTS,MATCH(L292,LMH_KEY,0)),0),IFERROR(INDEX(LMH_PTS,MATCH(M292,LMH_KEY,0)),0),IFERROR(INDEX(LMH_PTS,MATCH(N292,LMH_KEY,0)),0),IFERROR(INDEX(LMH_PTS,MATCH(O292,LMH_KEY,0)),0),IFERROR(INDEX(LMH_PTS,MATCH(P292,LMH_KEY,0)),0)),""))</f>
        <v>0.157894736842105</v>
      </c>
      <c r="T292" s="74">
        <f>IF(M292="","",IFERROR(INDEX(LMH_PTS,MATCH(M292,LMH_KEY,0))/SUM(IFERROR(INDEX(LMH_PTS,MATCH(J292,LMH_KEY,0)),0),IFERROR(INDEX(LMH_PTS,MATCH(K292,LMH_KEY,0)),0),IFERROR(INDEX(LMH_PTS,MATCH(L292,LMH_KEY,0)),0),IFERROR(INDEX(LMH_PTS,MATCH(M292,LMH_KEY,0)),0),IFERROR(INDEX(LMH_PTS,MATCH(N292,LMH_KEY,0)),0),IFERROR(INDEX(LMH_PTS,MATCH(O292,LMH_KEY,0)),0),IFERROR(INDEX(LMH_PTS,MATCH(P292,LMH_KEY,0)),0)),""))</f>
        <v>0.0526315789473684</v>
      </c>
      <c r="U292" s="74">
        <f>IF(N292="","",IFERROR(INDEX(LMH_PTS,MATCH(N292,LMH_KEY,0))/SUM(IFERROR(INDEX(LMH_PTS,MATCH(J292,LMH_KEY,0)),0),IFERROR(INDEX(LMH_PTS,MATCH(K292,LMH_KEY,0)),0),IFERROR(INDEX(LMH_PTS,MATCH(L292,LMH_KEY,0)),0),IFERROR(INDEX(LMH_PTS,MATCH(M292,LMH_KEY,0)),0),IFERROR(INDEX(LMH_PTS,MATCH(N292,LMH_KEY,0)),0),IFERROR(INDEX(LMH_PTS,MATCH(O292,LMH_KEY,0)),0),IFERROR(INDEX(LMH_PTS,MATCH(P292,LMH_KEY,0)),0)),""))</f>
        <v>0.0526315789473684</v>
      </c>
      <c r="V292" s="74">
        <f>IF(O292="","",IFERROR(INDEX(LMH_PTS,MATCH(O292,LMH_KEY,0))/SUM(IFERROR(INDEX(LMH_PTS,MATCH(J292,LMH_KEY,0)),0),IFERROR(INDEX(LMH_PTS,MATCH(K292,LMH_KEY,0)),0),IFERROR(INDEX(LMH_PTS,MATCH(L292,LMH_KEY,0)),0),IFERROR(INDEX(LMH_PTS,MATCH(M292,LMH_KEY,0)),0),IFERROR(INDEX(LMH_PTS,MATCH(N292,LMH_KEY,0)),0),IFERROR(INDEX(LMH_PTS,MATCH(O292,LMH_KEY,0)),0),IFERROR(INDEX(LMH_PTS,MATCH(P292,LMH_KEY,0)),0)),""))</f>
        <v>0.0526315789473684</v>
      </c>
      <c r="W292" s="74">
        <f>IF(P292="","",IFERROR(INDEX(LMH_PTS,MATCH(P292,LMH_KEY,0))/SUM(IFERROR(INDEX(LMH_PTS,MATCH(J292,LMH_KEY,0)),0),IFERROR(INDEX(LMH_PTS,MATCH(K292,LMH_KEY,0)),0),IFERROR(INDEX(LMH_PTS,MATCH(L292,LMH_KEY,0)),0),IFERROR(INDEX(LMH_PTS,MATCH(M292,LMH_KEY,0)),0),IFERROR(INDEX(LMH_PTS,MATCH(N292,LMH_KEY,0)),0),IFERROR(INDEX(LMH_PTS,MATCH(O292,LMH_KEY,0)),0),IFERROR(INDEX(LMH_PTS,MATCH(P292,LMH_KEY,0)),0)),""))</f>
        <v>0.0526315789473684</v>
      </c>
      <c r="X292" s="44" t="n"/>
      <c r="Y292" s="38" t="inlineStr">
        <is>
          <t>Consume|India Content|Senior Data Analyst|A3|A</t>
        </is>
      </c>
    </row>
    <row r="293" ht="18" customHeight="1">
      <c r="A293" s="28" t="inlineStr">
        <is>
          <t>Consume</t>
        </is>
      </c>
      <c r="B293" s="71" t="inlineStr">
        <is>
          <t>Technology</t>
        </is>
      </c>
      <c r="C293" s="72" t="inlineStr">
        <is>
          <t>B2</t>
        </is>
      </c>
      <c r="D293" s="29" t="inlineStr">
        <is>
          <t>Band B · Specialist / Manager</t>
        </is>
      </c>
      <c r="E293" s="29" t="inlineStr">
        <is>
          <t>Project Manager</t>
        </is>
      </c>
      <c r="F293" s="29" t="inlineStr">
        <is>
          <t>Band B · People Manager</t>
        </is>
      </c>
      <c r="G293" s="29" t="inlineStr">
        <is>
          <t>Project &amp; Program Management</t>
        </is>
      </c>
      <c r="H293" s="29" t="n">
        <v>1</v>
      </c>
      <c r="I293" s="29" t="inlineStr">
        <is>
          <t>Zakiruddin Shaikh</t>
        </is>
      </c>
      <c r="J293" s="34" t="str">
        <f>IFERROR(INDEX(RBD_C,MATCH("Project &amp; Program Management|B2|B-M",RBD_KEY,0)),"M")</f>
        <v>H</v>
      </c>
      <c r="K293" s="35" t="str">
        <f>IFERROR(INDEX(RBD_Au,MATCH("Project &amp; Program Management|B2|B-M",RBD_KEY,0)),"M")</f>
        <v>M</v>
      </c>
      <c r="L293" s="35" t="str">
        <f>IFERROR(INDEX(RBD_Ac,MATCH("Project &amp; Program Management|B2|B-M",RBD_KEY,0)),"M")</f>
        <v>L</v>
      </c>
      <c r="M293" s="35" t="str">
        <f>IFERROR(INDEX(RBD_L,MATCH("Project &amp; Program Management|B2|B-M",RBD_KEY,0)),"M")</f>
        <v>M</v>
      </c>
      <c r="N293" s="35" t="str">
        <f>IFERROR(INDEX(RBD_BI,MATCH("Project &amp; Program Management|B2|B-M",RBD_KEY,0)),"M")</f>
        <v>L</v>
      </c>
      <c r="O293" s="35" t="str">
        <f>IFERROR(INDEX(RBD_Exp,MATCH("Project &amp; Program Management|B2|B-M",RBD_KEY,0)),"M")</f>
        <v>L</v>
      </c>
      <c r="P293" s="35" t="str">
        <f>IFERROR(INDEX(RBD_Edu,MATCH("Project &amp; Program Management|B2|B-M",RBD_KEY,0)),"M")</f>
        <v>L</v>
      </c>
      <c r="Q293" s="73">
        <f>IF(J293="","",IFERROR(INDEX(LMH_PTS,MATCH(J293,LMH_KEY,0))/SUM(IFERROR(INDEX(LMH_PTS,MATCH(J293,LMH_KEY,0)),0),IFERROR(INDEX(LMH_PTS,MATCH(K293,LMH_KEY,0)),0),IFERROR(INDEX(LMH_PTS,MATCH(L293,LMH_KEY,0)),0),IFERROR(INDEX(LMH_PTS,MATCH(M293,LMH_KEY,0)),0),IFERROR(INDEX(LMH_PTS,MATCH(N293,LMH_KEY,0)),0),IFERROR(INDEX(LMH_PTS,MATCH(O293,LMH_KEY,0)),0),IFERROR(INDEX(LMH_PTS,MATCH(P293,LMH_KEY,0)),0)),""))</f>
        <v>0.473684210526316</v>
      </c>
      <c r="R293" s="74">
        <f>IF(K293="","",IFERROR(INDEX(LMH_PTS,MATCH(K293,LMH_KEY,0))/SUM(IFERROR(INDEX(LMH_PTS,MATCH(J293,LMH_KEY,0)),0),IFERROR(INDEX(LMH_PTS,MATCH(K293,LMH_KEY,0)),0),IFERROR(INDEX(LMH_PTS,MATCH(L293,LMH_KEY,0)),0),IFERROR(INDEX(LMH_PTS,MATCH(M293,LMH_KEY,0)),0),IFERROR(INDEX(LMH_PTS,MATCH(N293,LMH_KEY,0)),0),IFERROR(INDEX(LMH_PTS,MATCH(O293,LMH_KEY,0)),0),IFERROR(INDEX(LMH_PTS,MATCH(P293,LMH_KEY,0)),0)),""))</f>
        <v>0.157894736842105</v>
      </c>
      <c r="S293" s="74">
        <f>IF(L293="","",IFERROR(INDEX(LMH_PTS,MATCH(L293,LMH_KEY,0))/SUM(IFERROR(INDEX(LMH_PTS,MATCH(J293,LMH_KEY,0)),0),IFERROR(INDEX(LMH_PTS,MATCH(K293,LMH_KEY,0)),0),IFERROR(INDEX(LMH_PTS,MATCH(L293,LMH_KEY,0)),0),IFERROR(INDEX(LMH_PTS,MATCH(M293,LMH_KEY,0)),0),IFERROR(INDEX(LMH_PTS,MATCH(N293,LMH_KEY,0)),0),IFERROR(INDEX(LMH_PTS,MATCH(O293,LMH_KEY,0)),0),IFERROR(INDEX(LMH_PTS,MATCH(P293,LMH_KEY,0)),0)),""))</f>
        <v>0.0526315789473684</v>
      </c>
      <c r="T293" s="74">
        <f>IF(M293="","",IFERROR(INDEX(LMH_PTS,MATCH(M293,LMH_KEY,0))/SUM(IFERROR(INDEX(LMH_PTS,MATCH(J293,LMH_KEY,0)),0),IFERROR(INDEX(LMH_PTS,MATCH(K293,LMH_KEY,0)),0),IFERROR(INDEX(LMH_PTS,MATCH(L293,LMH_KEY,0)),0),IFERROR(INDEX(LMH_PTS,MATCH(M293,LMH_KEY,0)),0),IFERROR(INDEX(LMH_PTS,MATCH(N293,LMH_KEY,0)),0),IFERROR(INDEX(LMH_PTS,MATCH(O293,LMH_KEY,0)),0),IFERROR(INDEX(LMH_PTS,MATCH(P293,LMH_KEY,0)),0)),""))</f>
        <v>0.157894736842105</v>
      </c>
      <c r="U293" s="74">
        <f>IF(N293="","",IFERROR(INDEX(LMH_PTS,MATCH(N293,LMH_KEY,0))/SUM(IFERROR(INDEX(LMH_PTS,MATCH(J293,LMH_KEY,0)),0),IFERROR(INDEX(LMH_PTS,MATCH(K293,LMH_KEY,0)),0),IFERROR(INDEX(LMH_PTS,MATCH(L293,LMH_KEY,0)),0),IFERROR(INDEX(LMH_PTS,MATCH(M293,LMH_KEY,0)),0),IFERROR(INDEX(LMH_PTS,MATCH(N293,LMH_KEY,0)),0),IFERROR(INDEX(LMH_PTS,MATCH(O293,LMH_KEY,0)),0),IFERROR(INDEX(LMH_PTS,MATCH(P293,LMH_KEY,0)),0)),""))</f>
        <v>0.0526315789473684</v>
      </c>
      <c r="V293" s="74">
        <f>IF(O293="","",IFERROR(INDEX(LMH_PTS,MATCH(O293,LMH_KEY,0))/SUM(IFERROR(INDEX(LMH_PTS,MATCH(J293,LMH_KEY,0)),0),IFERROR(INDEX(LMH_PTS,MATCH(K293,LMH_KEY,0)),0),IFERROR(INDEX(LMH_PTS,MATCH(L293,LMH_KEY,0)),0),IFERROR(INDEX(LMH_PTS,MATCH(M293,LMH_KEY,0)),0),IFERROR(INDEX(LMH_PTS,MATCH(N293,LMH_KEY,0)),0),IFERROR(INDEX(LMH_PTS,MATCH(O293,LMH_KEY,0)),0),IFERROR(INDEX(LMH_PTS,MATCH(P293,LMH_KEY,0)),0)),""))</f>
        <v>0.0526315789473684</v>
      </c>
      <c r="W293" s="74">
        <f>IF(P293="","",IFERROR(INDEX(LMH_PTS,MATCH(P293,LMH_KEY,0))/SUM(IFERROR(INDEX(LMH_PTS,MATCH(J293,LMH_KEY,0)),0),IFERROR(INDEX(LMH_PTS,MATCH(K293,LMH_KEY,0)),0),IFERROR(INDEX(LMH_PTS,MATCH(L293,LMH_KEY,0)),0),IFERROR(INDEX(LMH_PTS,MATCH(M293,LMH_KEY,0)),0),IFERROR(INDEX(LMH_PTS,MATCH(N293,LMH_KEY,0)),0),IFERROR(INDEX(LMH_PTS,MATCH(O293,LMH_KEY,0)),0),IFERROR(INDEX(LMH_PTS,MATCH(P293,LMH_KEY,0)),0)),""))</f>
        <v>0.0526315789473684</v>
      </c>
      <c r="X293" s="44" t="n"/>
      <c r="Y293" s="38" t="inlineStr">
        <is>
          <t>Consume|Technology|Project Manager|B2|B-M</t>
        </is>
      </c>
    </row>
    <row r="294" ht="18" customHeight="1">
      <c r="A294" s="28" t="inlineStr">
        <is>
          <t>Consume</t>
        </is>
      </c>
      <c r="B294" s="29" t="inlineStr">
        <is>
          <t>Technology</t>
        </is>
      </c>
      <c r="C294" s="72" t="inlineStr">
        <is>
          <t>B1</t>
        </is>
      </c>
      <c r="D294" s="29" t="inlineStr">
        <is>
          <t>Band B · Specialist / Manager</t>
        </is>
      </c>
      <c r="E294" s="29" t="inlineStr">
        <is>
          <t>Lead Software Engineer</t>
        </is>
      </c>
      <c r="F294" s="29" t="inlineStr">
        <is>
          <t>Band B · Specialist / POD Lead</t>
        </is>
      </c>
      <c r="G294" s="29" t="inlineStr">
        <is>
          <t>Engineering &amp; Development</t>
        </is>
      </c>
      <c r="H294" s="29" t="n">
        <v>1</v>
      </c>
      <c r="I294" s="29" t="inlineStr">
        <is>
          <t>Nishant Kohakade</t>
        </is>
      </c>
      <c r="J294" s="34" t="str">
        <f>IFERROR(INDEX(RBD_C,MATCH("Engineering &amp; Development|B1|B-IC",RBD_KEY,0)),"M")</f>
        <v>H</v>
      </c>
      <c r="K294" s="35" t="str">
        <f>IFERROR(INDEX(RBD_Au,MATCH("Engineering &amp; Development|B1|B-IC",RBD_KEY,0)),"M")</f>
        <v>M</v>
      </c>
      <c r="L294" s="35" t="str">
        <f>IFERROR(INDEX(RBD_Ac,MATCH("Engineering &amp; Development|B1|B-IC",RBD_KEY,0)),"M")</f>
        <v>L</v>
      </c>
      <c r="M294" s="35" t="str">
        <f>IFERROR(INDEX(RBD_L,MATCH("Engineering &amp; Development|B1|B-IC",RBD_KEY,0)),"M")</f>
        <v>L</v>
      </c>
      <c r="N294" s="35" t="str">
        <f>IFERROR(INDEX(RBD_BI,MATCH("Engineering &amp; Development|B1|B-IC",RBD_KEY,0)),"M")</f>
        <v>L</v>
      </c>
      <c r="O294" s="35" t="str">
        <f>IFERROR(INDEX(RBD_Exp,MATCH("Engineering &amp; Development|B1|B-IC",RBD_KEY,0)),"M")</f>
        <v>L</v>
      </c>
      <c r="P294" s="35" t="str">
        <f>IFERROR(INDEX(RBD_Edu,MATCH("Engineering &amp; Development|B1|B-IC",RBD_KEY,0)),"M")</f>
        <v>L</v>
      </c>
      <c r="Q294" s="73">
        <f>IF(J294="","",IFERROR(INDEX(LMH_PTS,MATCH(J294,LMH_KEY,0))/SUM(IFERROR(INDEX(LMH_PTS,MATCH(J294,LMH_KEY,0)),0),IFERROR(INDEX(LMH_PTS,MATCH(K294,LMH_KEY,0)),0),IFERROR(INDEX(LMH_PTS,MATCH(L294,LMH_KEY,0)),0),IFERROR(INDEX(LMH_PTS,MATCH(M294,LMH_KEY,0)),0),IFERROR(INDEX(LMH_PTS,MATCH(N294,LMH_KEY,0)),0),IFERROR(INDEX(LMH_PTS,MATCH(O294,LMH_KEY,0)),0),IFERROR(INDEX(LMH_PTS,MATCH(P294,LMH_KEY,0)),0)),""))</f>
        <v>0.529411764705882</v>
      </c>
      <c r="R294" s="74">
        <f>IF(K294="","",IFERROR(INDEX(LMH_PTS,MATCH(K294,LMH_KEY,0))/SUM(IFERROR(INDEX(LMH_PTS,MATCH(J294,LMH_KEY,0)),0),IFERROR(INDEX(LMH_PTS,MATCH(K294,LMH_KEY,0)),0),IFERROR(INDEX(LMH_PTS,MATCH(L294,LMH_KEY,0)),0),IFERROR(INDEX(LMH_PTS,MATCH(M294,LMH_KEY,0)),0),IFERROR(INDEX(LMH_PTS,MATCH(N294,LMH_KEY,0)),0),IFERROR(INDEX(LMH_PTS,MATCH(O294,LMH_KEY,0)),0),IFERROR(INDEX(LMH_PTS,MATCH(P294,LMH_KEY,0)),0)),""))</f>
        <v>0.176470588235294</v>
      </c>
      <c r="S294" s="74">
        <f>IF(L294="","",IFERROR(INDEX(LMH_PTS,MATCH(L294,LMH_KEY,0))/SUM(IFERROR(INDEX(LMH_PTS,MATCH(J294,LMH_KEY,0)),0),IFERROR(INDEX(LMH_PTS,MATCH(K294,LMH_KEY,0)),0),IFERROR(INDEX(LMH_PTS,MATCH(L294,LMH_KEY,0)),0),IFERROR(INDEX(LMH_PTS,MATCH(M294,LMH_KEY,0)),0),IFERROR(INDEX(LMH_PTS,MATCH(N294,LMH_KEY,0)),0),IFERROR(INDEX(LMH_PTS,MATCH(O294,LMH_KEY,0)),0),IFERROR(INDEX(LMH_PTS,MATCH(P294,LMH_KEY,0)),0)),""))</f>
        <v>0.0588235294117647</v>
      </c>
      <c r="T294" s="74">
        <f>IF(M294="","",IFERROR(INDEX(LMH_PTS,MATCH(M294,LMH_KEY,0))/SUM(IFERROR(INDEX(LMH_PTS,MATCH(J294,LMH_KEY,0)),0),IFERROR(INDEX(LMH_PTS,MATCH(K294,LMH_KEY,0)),0),IFERROR(INDEX(LMH_PTS,MATCH(L294,LMH_KEY,0)),0),IFERROR(INDEX(LMH_PTS,MATCH(M294,LMH_KEY,0)),0),IFERROR(INDEX(LMH_PTS,MATCH(N294,LMH_KEY,0)),0),IFERROR(INDEX(LMH_PTS,MATCH(O294,LMH_KEY,0)),0),IFERROR(INDEX(LMH_PTS,MATCH(P294,LMH_KEY,0)),0)),""))</f>
        <v>0.0588235294117647</v>
      </c>
      <c r="U294" s="74">
        <f>IF(N294="","",IFERROR(INDEX(LMH_PTS,MATCH(N294,LMH_KEY,0))/SUM(IFERROR(INDEX(LMH_PTS,MATCH(J294,LMH_KEY,0)),0),IFERROR(INDEX(LMH_PTS,MATCH(K294,LMH_KEY,0)),0),IFERROR(INDEX(LMH_PTS,MATCH(L294,LMH_KEY,0)),0),IFERROR(INDEX(LMH_PTS,MATCH(M294,LMH_KEY,0)),0),IFERROR(INDEX(LMH_PTS,MATCH(N294,LMH_KEY,0)),0),IFERROR(INDEX(LMH_PTS,MATCH(O294,LMH_KEY,0)),0),IFERROR(INDEX(LMH_PTS,MATCH(P294,LMH_KEY,0)),0)),""))</f>
        <v>0.0588235294117647</v>
      </c>
      <c r="V294" s="74">
        <f>IF(O294="","",IFERROR(INDEX(LMH_PTS,MATCH(O294,LMH_KEY,0))/SUM(IFERROR(INDEX(LMH_PTS,MATCH(J294,LMH_KEY,0)),0),IFERROR(INDEX(LMH_PTS,MATCH(K294,LMH_KEY,0)),0),IFERROR(INDEX(LMH_PTS,MATCH(L294,LMH_KEY,0)),0),IFERROR(INDEX(LMH_PTS,MATCH(M294,LMH_KEY,0)),0),IFERROR(INDEX(LMH_PTS,MATCH(N294,LMH_KEY,0)),0),IFERROR(INDEX(LMH_PTS,MATCH(O294,LMH_KEY,0)),0),IFERROR(INDEX(LMH_PTS,MATCH(P294,LMH_KEY,0)),0)),""))</f>
        <v>0.0588235294117647</v>
      </c>
      <c r="W294" s="74">
        <f>IF(P294="","",IFERROR(INDEX(LMH_PTS,MATCH(P294,LMH_KEY,0))/SUM(IFERROR(INDEX(LMH_PTS,MATCH(J294,LMH_KEY,0)),0),IFERROR(INDEX(LMH_PTS,MATCH(K294,LMH_KEY,0)),0),IFERROR(INDEX(LMH_PTS,MATCH(L294,LMH_KEY,0)),0),IFERROR(INDEX(LMH_PTS,MATCH(M294,LMH_KEY,0)),0),IFERROR(INDEX(LMH_PTS,MATCH(N294,LMH_KEY,0)),0),IFERROR(INDEX(LMH_PTS,MATCH(O294,LMH_KEY,0)),0),IFERROR(INDEX(LMH_PTS,MATCH(P294,LMH_KEY,0)),0)),""))</f>
        <v>0.0588235294117647</v>
      </c>
      <c r="X294" s="44" t="n"/>
      <c r="Y294" s="38" t="inlineStr">
        <is>
          <t>Consume|Technology|Lead Software Engineer|B1|B-IC</t>
        </is>
      </c>
    </row>
    <row r="295" ht="18" customHeight="1">
      <c r="A295" s="28" t="inlineStr">
        <is>
          <t>Consume</t>
        </is>
      </c>
      <c r="B295" s="29" t="inlineStr">
        <is>
          <t>Technology</t>
        </is>
      </c>
      <c r="C295" s="72" t="inlineStr">
        <is>
          <t>B1</t>
        </is>
      </c>
      <c r="D295" s="29" t="inlineStr">
        <is>
          <t>Band B · Specialist / Manager</t>
        </is>
      </c>
      <c r="E295" s="29" t="inlineStr">
        <is>
          <t>Technical Specialist</t>
        </is>
      </c>
      <c r="F295" s="29" t="inlineStr">
        <is>
          <t>Band B · Specialist / POD Lead</t>
        </is>
      </c>
      <c r="G295" s="29" t="inlineStr">
        <is>
          <t>Engineering &amp; Development</t>
        </is>
      </c>
      <c r="H295" s="29" t="n">
        <v>1</v>
      </c>
      <c r="I295" s="29" t="inlineStr">
        <is>
          <t>Waqar Tarique</t>
        </is>
      </c>
      <c r="J295" s="34" t="str">
        <f>IFERROR(INDEX(RBD_C,MATCH("Engineering &amp; Development|B1|B-IC",RBD_KEY,0)),"M")</f>
        <v>H</v>
      </c>
      <c r="K295" s="35" t="str">
        <f>IFERROR(INDEX(RBD_Au,MATCH("Engineering &amp; Development|B1|B-IC",RBD_KEY,0)),"M")</f>
        <v>M</v>
      </c>
      <c r="L295" s="35" t="str">
        <f>IFERROR(INDEX(RBD_Ac,MATCH("Engineering &amp; Development|B1|B-IC",RBD_KEY,0)),"M")</f>
        <v>L</v>
      </c>
      <c r="M295" s="35" t="str">
        <f>IFERROR(INDEX(RBD_L,MATCH("Engineering &amp; Development|B1|B-IC",RBD_KEY,0)),"M")</f>
        <v>L</v>
      </c>
      <c r="N295" s="35" t="str">
        <f>IFERROR(INDEX(RBD_BI,MATCH("Engineering &amp; Development|B1|B-IC",RBD_KEY,0)),"M")</f>
        <v>L</v>
      </c>
      <c r="O295" s="35" t="str">
        <f>IFERROR(INDEX(RBD_Exp,MATCH("Engineering &amp; Development|B1|B-IC",RBD_KEY,0)),"M")</f>
        <v>L</v>
      </c>
      <c r="P295" s="35" t="str">
        <f>IFERROR(INDEX(RBD_Edu,MATCH("Engineering &amp; Development|B1|B-IC",RBD_KEY,0)),"M")</f>
        <v>L</v>
      </c>
      <c r="Q295" s="73">
        <f>IF(J295="","",IFERROR(INDEX(LMH_PTS,MATCH(J295,LMH_KEY,0))/SUM(IFERROR(INDEX(LMH_PTS,MATCH(J295,LMH_KEY,0)),0),IFERROR(INDEX(LMH_PTS,MATCH(K295,LMH_KEY,0)),0),IFERROR(INDEX(LMH_PTS,MATCH(L295,LMH_KEY,0)),0),IFERROR(INDEX(LMH_PTS,MATCH(M295,LMH_KEY,0)),0),IFERROR(INDEX(LMH_PTS,MATCH(N295,LMH_KEY,0)),0),IFERROR(INDEX(LMH_PTS,MATCH(O295,LMH_KEY,0)),0),IFERROR(INDEX(LMH_PTS,MATCH(P295,LMH_KEY,0)),0)),""))</f>
        <v>0.529411764705882</v>
      </c>
      <c r="R295" s="74">
        <f>IF(K295="","",IFERROR(INDEX(LMH_PTS,MATCH(K295,LMH_KEY,0))/SUM(IFERROR(INDEX(LMH_PTS,MATCH(J295,LMH_KEY,0)),0),IFERROR(INDEX(LMH_PTS,MATCH(K295,LMH_KEY,0)),0),IFERROR(INDEX(LMH_PTS,MATCH(L295,LMH_KEY,0)),0),IFERROR(INDEX(LMH_PTS,MATCH(M295,LMH_KEY,0)),0),IFERROR(INDEX(LMH_PTS,MATCH(N295,LMH_KEY,0)),0),IFERROR(INDEX(LMH_PTS,MATCH(O295,LMH_KEY,0)),0),IFERROR(INDEX(LMH_PTS,MATCH(P295,LMH_KEY,0)),0)),""))</f>
        <v>0.176470588235294</v>
      </c>
      <c r="S295" s="74">
        <f>IF(L295="","",IFERROR(INDEX(LMH_PTS,MATCH(L295,LMH_KEY,0))/SUM(IFERROR(INDEX(LMH_PTS,MATCH(J295,LMH_KEY,0)),0),IFERROR(INDEX(LMH_PTS,MATCH(K295,LMH_KEY,0)),0),IFERROR(INDEX(LMH_PTS,MATCH(L295,LMH_KEY,0)),0),IFERROR(INDEX(LMH_PTS,MATCH(M295,LMH_KEY,0)),0),IFERROR(INDEX(LMH_PTS,MATCH(N295,LMH_KEY,0)),0),IFERROR(INDEX(LMH_PTS,MATCH(O295,LMH_KEY,0)),0),IFERROR(INDEX(LMH_PTS,MATCH(P295,LMH_KEY,0)),0)),""))</f>
        <v>0.0588235294117647</v>
      </c>
      <c r="T295" s="74">
        <f>IF(M295="","",IFERROR(INDEX(LMH_PTS,MATCH(M295,LMH_KEY,0))/SUM(IFERROR(INDEX(LMH_PTS,MATCH(J295,LMH_KEY,0)),0),IFERROR(INDEX(LMH_PTS,MATCH(K295,LMH_KEY,0)),0),IFERROR(INDEX(LMH_PTS,MATCH(L295,LMH_KEY,0)),0),IFERROR(INDEX(LMH_PTS,MATCH(M295,LMH_KEY,0)),0),IFERROR(INDEX(LMH_PTS,MATCH(N295,LMH_KEY,0)),0),IFERROR(INDEX(LMH_PTS,MATCH(O295,LMH_KEY,0)),0),IFERROR(INDEX(LMH_PTS,MATCH(P295,LMH_KEY,0)),0)),""))</f>
        <v>0.0588235294117647</v>
      </c>
      <c r="U295" s="74">
        <f>IF(N295="","",IFERROR(INDEX(LMH_PTS,MATCH(N295,LMH_KEY,0))/SUM(IFERROR(INDEX(LMH_PTS,MATCH(J295,LMH_KEY,0)),0),IFERROR(INDEX(LMH_PTS,MATCH(K295,LMH_KEY,0)),0),IFERROR(INDEX(LMH_PTS,MATCH(L295,LMH_KEY,0)),0),IFERROR(INDEX(LMH_PTS,MATCH(M295,LMH_KEY,0)),0),IFERROR(INDEX(LMH_PTS,MATCH(N295,LMH_KEY,0)),0),IFERROR(INDEX(LMH_PTS,MATCH(O295,LMH_KEY,0)),0),IFERROR(INDEX(LMH_PTS,MATCH(P295,LMH_KEY,0)),0)),""))</f>
        <v>0.0588235294117647</v>
      </c>
      <c r="V295" s="74">
        <f>IF(O295="","",IFERROR(INDEX(LMH_PTS,MATCH(O295,LMH_KEY,0))/SUM(IFERROR(INDEX(LMH_PTS,MATCH(J295,LMH_KEY,0)),0),IFERROR(INDEX(LMH_PTS,MATCH(K295,LMH_KEY,0)),0),IFERROR(INDEX(LMH_PTS,MATCH(L295,LMH_KEY,0)),0),IFERROR(INDEX(LMH_PTS,MATCH(M295,LMH_KEY,0)),0),IFERROR(INDEX(LMH_PTS,MATCH(N295,LMH_KEY,0)),0),IFERROR(INDEX(LMH_PTS,MATCH(O295,LMH_KEY,0)),0),IFERROR(INDEX(LMH_PTS,MATCH(P295,LMH_KEY,0)),0)),""))</f>
        <v>0.0588235294117647</v>
      </c>
      <c r="W295" s="74">
        <f>IF(P295="","",IFERROR(INDEX(LMH_PTS,MATCH(P295,LMH_KEY,0))/SUM(IFERROR(INDEX(LMH_PTS,MATCH(J295,LMH_KEY,0)),0),IFERROR(INDEX(LMH_PTS,MATCH(K295,LMH_KEY,0)),0),IFERROR(INDEX(LMH_PTS,MATCH(L295,LMH_KEY,0)),0),IFERROR(INDEX(LMH_PTS,MATCH(M295,LMH_KEY,0)),0),IFERROR(INDEX(LMH_PTS,MATCH(N295,LMH_KEY,0)),0),IFERROR(INDEX(LMH_PTS,MATCH(O295,LMH_KEY,0)),0),IFERROR(INDEX(LMH_PTS,MATCH(P295,LMH_KEY,0)),0)),""))</f>
        <v>0.0588235294117647</v>
      </c>
      <c r="X295" s="44" t="n"/>
      <c r="Y295" s="38" t="inlineStr">
        <is>
          <t>Consume|Technology|Technical Specialist|B1|B-IC</t>
        </is>
      </c>
    </row>
    <row r="296" ht="18" customHeight="1">
      <c r="A296" s="28" t="inlineStr">
        <is>
          <t>Consume</t>
        </is>
      </c>
      <c r="B296" s="29" t="inlineStr">
        <is>
          <t>Technology</t>
        </is>
      </c>
      <c r="C296" s="75" t="inlineStr">
        <is>
          <t>A3</t>
        </is>
      </c>
      <c r="D296" s="29" t="inlineStr">
        <is>
          <t>Band A · Practitioner</t>
        </is>
      </c>
      <c r="E296" s="29" t="inlineStr">
        <is>
          <t>Senior Software Engineer</t>
        </is>
      </c>
      <c r="F296" s="29" t="inlineStr">
        <is>
          <t>Band A · all tracks</t>
        </is>
      </c>
      <c r="G296" s="29" t="inlineStr">
        <is>
          <t>Engineering &amp; Development</t>
        </is>
      </c>
      <c r="H296" s="29" t="n">
        <v>1</v>
      </c>
      <c r="I296" s="29" t="inlineStr">
        <is>
          <t>Safal Gupta</t>
        </is>
      </c>
      <c r="J296" s="34" t="str">
        <f>IFERROR(INDEX(RBD_C,MATCH("Engineering &amp; Development|A3|A",RBD_KEY,0)),"M")</f>
        <v>H</v>
      </c>
      <c r="K296" s="35" t="str">
        <f>IFERROR(INDEX(RBD_Au,MATCH("Engineering &amp; Development|A3|A",RBD_KEY,0)),"M")</f>
        <v>M</v>
      </c>
      <c r="L296" s="35" t="str">
        <f>IFERROR(INDEX(RBD_Ac,MATCH("Engineering &amp; Development|A3|A",RBD_KEY,0)),"M")</f>
        <v>L</v>
      </c>
      <c r="M296" s="35" t="str">
        <f>IFERROR(INDEX(RBD_L,MATCH("Engineering &amp; Development|A3|A",RBD_KEY,0)),"M")</f>
        <v>L</v>
      </c>
      <c r="N296" s="35" t="str">
        <f>IFERROR(INDEX(RBD_BI,MATCH("Engineering &amp; Development|A3|A",RBD_KEY,0)),"M")</f>
        <v>L</v>
      </c>
      <c r="O296" s="35" t="str">
        <f>IFERROR(INDEX(RBD_Exp,MATCH("Engineering &amp; Development|A3|A",RBD_KEY,0)),"M")</f>
        <v>L</v>
      </c>
      <c r="P296" s="35" t="str">
        <f>IFERROR(INDEX(RBD_Edu,MATCH("Engineering &amp; Development|A3|A",RBD_KEY,0)),"M")</f>
        <v>L</v>
      </c>
      <c r="Q296" s="73">
        <f>IF(J296="","",IFERROR(INDEX(LMH_PTS,MATCH(J296,LMH_KEY,0))/SUM(IFERROR(INDEX(LMH_PTS,MATCH(J296,LMH_KEY,0)),0),IFERROR(INDEX(LMH_PTS,MATCH(K296,LMH_KEY,0)),0),IFERROR(INDEX(LMH_PTS,MATCH(L296,LMH_KEY,0)),0),IFERROR(INDEX(LMH_PTS,MATCH(M296,LMH_KEY,0)),0),IFERROR(INDEX(LMH_PTS,MATCH(N296,LMH_KEY,0)),0),IFERROR(INDEX(LMH_PTS,MATCH(O296,LMH_KEY,0)),0),IFERROR(INDEX(LMH_PTS,MATCH(P296,LMH_KEY,0)),0)),""))</f>
        <v>0.529411764705882</v>
      </c>
      <c r="R296" s="74">
        <f>IF(K296="","",IFERROR(INDEX(LMH_PTS,MATCH(K296,LMH_KEY,0))/SUM(IFERROR(INDEX(LMH_PTS,MATCH(J296,LMH_KEY,0)),0),IFERROR(INDEX(LMH_PTS,MATCH(K296,LMH_KEY,0)),0),IFERROR(INDEX(LMH_PTS,MATCH(L296,LMH_KEY,0)),0),IFERROR(INDEX(LMH_PTS,MATCH(M296,LMH_KEY,0)),0),IFERROR(INDEX(LMH_PTS,MATCH(N296,LMH_KEY,0)),0),IFERROR(INDEX(LMH_PTS,MATCH(O296,LMH_KEY,0)),0),IFERROR(INDEX(LMH_PTS,MATCH(P296,LMH_KEY,0)),0)),""))</f>
        <v>0.176470588235294</v>
      </c>
      <c r="S296" s="74">
        <f>IF(L296="","",IFERROR(INDEX(LMH_PTS,MATCH(L296,LMH_KEY,0))/SUM(IFERROR(INDEX(LMH_PTS,MATCH(J296,LMH_KEY,0)),0),IFERROR(INDEX(LMH_PTS,MATCH(K296,LMH_KEY,0)),0),IFERROR(INDEX(LMH_PTS,MATCH(L296,LMH_KEY,0)),0),IFERROR(INDEX(LMH_PTS,MATCH(M296,LMH_KEY,0)),0),IFERROR(INDEX(LMH_PTS,MATCH(N296,LMH_KEY,0)),0),IFERROR(INDEX(LMH_PTS,MATCH(O296,LMH_KEY,0)),0),IFERROR(INDEX(LMH_PTS,MATCH(P296,LMH_KEY,0)),0)),""))</f>
        <v>0.0588235294117647</v>
      </c>
      <c r="T296" s="74">
        <f>IF(M296="","",IFERROR(INDEX(LMH_PTS,MATCH(M296,LMH_KEY,0))/SUM(IFERROR(INDEX(LMH_PTS,MATCH(J296,LMH_KEY,0)),0),IFERROR(INDEX(LMH_PTS,MATCH(K296,LMH_KEY,0)),0),IFERROR(INDEX(LMH_PTS,MATCH(L296,LMH_KEY,0)),0),IFERROR(INDEX(LMH_PTS,MATCH(M296,LMH_KEY,0)),0),IFERROR(INDEX(LMH_PTS,MATCH(N296,LMH_KEY,0)),0),IFERROR(INDEX(LMH_PTS,MATCH(O296,LMH_KEY,0)),0),IFERROR(INDEX(LMH_PTS,MATCH(P296,LMH_KEY,0)),0)),""))</f>
        <v>0.0588235294117647</v>
      </c>
      <c r="U296" s="74">
        <f>IF(N296="","",IFERROR(INDEX(LMH_PTS,MATCH(N296,LMH_KEY,0))/SUM(IFERROR(INDEX(LMH_PTS,MATCH(J296,LMH_KEY,0)),0),IFERROR(INDEX(LMH_PTS,MATCH(K296,LMH_KEY,0)),0),IFERROR(INDEX(LMH_PTS,MATCH(L296,LMH_KEY,0)),0),IFERROR(INDEX(LMH_PTS,MATCH(M296,LMH_KEY,0)),0),IFERROR(INDEX(LMH_PTS,MATCH(N296,LMH_KEY,0)),0),IFERROR(INDEX(LMH_PTS,MATCH(O296,LMH_KEY,0)),0),IFERROR(INDEX(LMH_PTS,MATCH(P296,LMH_KEY,0)),0)),""))</f>
        <v>0.0588235294117647</v>
      </c>
      <c r="V296" s="74">
        <f>IF(O296="","",IFERROR(INDEX(LMH_PTS,MATCH(O296,LMH_KEY,0))/SUM(IFERROR(INDEX(LMH_PTS,MATCH(J296,LMH_KEY,0)),0),IFERROR(INDEX(LMH_PTS,MATCH(K296,LMH_KEY,0)),0),IFERROR(INDEX(LMH_PTS,MATCH(L296,LMH_KEY,0)),0),IFERROR(INDEX(LMH_PTS,MATCH(M296,LMH_KEY,0)),0),IFERROR(INDEX(LMH_PTS,MATCH(N296,LMH_KEY,0)),0),IFERROR(INDEX(LMH_PTS,MATCH(O296,LMH_KEY,0)),0),IFERROR(INDEX(LMH_PTS,MATCH(P296,LMH_KEY,0)),0)),""))</f>
        <v>0.0588235294117647</v>
      </c>
      <c r="W296" s="74">
        <f>IF(P296="","",IFERROR(INDEX(LMH_PTS,MATCH(P296,LMH_KEY,0))/SUM(IFERROR(INDEX(LMH_PTS,MATCH(J296,LMH_KEY,0)),0),IFERROR(INDEX(LMH_PTS,MATCH(K296,LMH_KEY,0)),0),IFERROR(INDEX(LMH_PTS,MATCH(L296,LMH_KEY,0)),0),IFERROR(INDEX(LMH_PTS,MATCH(M296,LMH_KEY,0)),0),IFERROR(INDEX(LMH_PTS,MATCH(N296,LMH_KEY,0)),0),IFERROR(INDEX(LMH_PTS,MATCH(O296,LMH_KEY,0)),0),IFERROR(INDEX(LMH_PTS,MATCH(P296,LMH_KEY,0)),0)),""))</f>
        <v>0.0588235294117647</v>
      </c>
      <c r="X296" s="44" t="n"/>
      <c r="Y296" s="38" t="inlineStr">
        <is>
          <t>Consume|Technology|Senior Software Engineer|A3|A</t>
        </is>
      </c>
    </row>
    <row r="297" ht="18" customHeight="1">
      <c r="A297" s="28" t="inlineStr">
        <is>
          <t>Consume</t>
        </is>
      </c>
      <c r="B297" s="29" t="inlineStr">
        <is>
          <t>Technology</t>
        </is>
      </c>
      <c r="C297" s="75" t="inlineStr">
        <is>
          <t>A3</t>
        </is>
      </c>
      <c r="D297" s="29" t="inlineStr">
        <is>
          <t>Band A · Practitioner</t>
        </is>
      </c>
      <c r="E297" s="29" t="inlineStr">
        <is>
          <t>Technical Specialist</t>
        </is>
      </c>
      <c r="F297" s="29" t="inlineStr">
        <is>
          <t>Band A · all tracks</t>
        </is>
      </c>
      <c r="G297" s="29" t="inlineStr">
        <is>
          <t>Engineering &amp; Development</t>
        </is>
      </c>
      <c r="H297" s="29" t="n">
        <v>1</v>
      </c>
      <c r="I297" s="29" t="inlineStr">
        <is>
          <t>Sharad Mane</t>
        </is>
      </c>
      <c r="J297" s="34" t="str">
        <f>IFERROR(INDEX(RBD_C,MATCH("Engineering &amp; Development|A3|A",RBD_KEY,0)),"M")</f>
        <v>H</v>
      </c>
      <c r="K297" s="35" t="str">
        <f>IFERROR(INDEX(RBD_Au,MATCH("Engineering &amp; Development|A3|A",RBD_KEY,0)),"M")</f>
        <v>M</v>
      </c>
      <c r="L297" s="35" t="str">
        <f>IFERROR(INDEX(RBD_Ac,MATCH("Engineering &amp; Development|A3|A",RBD_KEY,0)),"M")</f>
        <v>L</v>
      </c>
      <c r="M297" s="35" t="str">
        <f>IFERROR(INDEX(RBD_L,MATCH("Engineering &amp; Development|A3|A",RBD_KEY,0)),"M")</f>
        <v>L</v>
      </c>
      <c r="N297" s="35" t="str">
        <f>IFERROR(INDEX(RBD_BI,MATCH("Engineering &amp; Development|A3|A",RBD_KEY,0)),"M")</f>
        <v>L</v>
      </c>
      <c r="O297" s="35" t="str">
        <f>IFERROR(INDEX(RBD_Exp,MATCH("Engineering &amp; Development|A3|A",RBD_KEY,0)),"M")</f>
        <v>L</v>
      </c>
      <c r="P297" s="35" t="str">
        <f>IFERROR(INDEX(RBD_Edu,MATCH("Engineering &amp; Development|A3|A",RBD_KEY,0)),"M")</f>
        <v>L</v>
      </c>
      <c r="Q297" s="73">
        <f>IF(J297="","",IFERROR(INDEX(LMH_PTS,MATCH(J297,LMH_KEY,0))/SUM(IFERROR(INDEX(LMH_PTS,MATCH(J297,LMH_KEY,0)),0),IFERROR(INDEX(LMH_PTS,MATCH(K297,LMH_KEY,0)),0),IFERROR(INDEX(LMH_PTS,MATCH(L297,LMH_KEY,0)),0),IFERROR(INDEX(LMH_PTS,MATCH(M297,LMH_KEY,0)),0),IFERROR(INDEX(LMH_PTS,MATCH(N297,LMH_KEY,0)),0),IFERROR(INDEX(LMH_PTS,MATCH(O297,LMH_KEY,0)),0),IFERROR(INDEX(LMH_PTS,MATCH(P297,LMH_KEY,0)),0)),""))</f>
        <v>0.529411764705882</v>
      </c>
      <c r="R297" s="74">
        <f>IF(K297="","",IFERROR(INDEX(LMH_PTS,MATCH(K297,LMH_KEY,0))/SUM(IFERROR(INDEX(LMH_PTS,MATCH(J297,LMH_KEY,0)),0),IFERROR(INDEX(LMH_PTS,MATCH(K297,LMH_KEY,0)),0),IFERROR(INDEX(LMH_PTS,MATCH(L297,LMH_KEY,0)),0),IFERROR(INDEX(LMH_PTS,MATCH(M297,LMH_KEY,0)),0),IFERROR(INDEX(LMH_PTS,MATCH(N297,LMH_KEY,0)),0),IFERROR(INDEX(LMH_PTS,MATCH(O297,LMH_KEY,0)),0),IFERROR(INDEX(LMH_PTS,MATCH(P297,LMH_KEY,0)),0)),""))</f>
        <v>0.176470588235294</v>
      </c>
      <c r="S297" s="74">
        <f>IF(L297="","",IFERROR(INDEX(LMH_PTS,MATCH(L297,LMH_KEY,0))/SUM(IFERROR(INDEX(LMH_PTS,MATCH(J297,LMH_KEY,0)),0),IFERROR(INDEX(LMH_PTS,MATCH(K297,LMH_KEY,0)),0),IFERROR(INDEX(LMH_PTS,MATCH(L297,LMH_KEY,0)),0),IFERROR(INDEX(LMH_PTS,MATCH(M297,LMH_KEY,0)),0),IFERROR(INDEX(LMH_PTS,MATCH(N297,LMH_KEY,0)),0),IFERROR(INDEX(LMH_PTS,MATCH(O297,LMH_KEY,0)),0),IFERROR(INDEX(LMH_PTS,MATCH(P297,LMH_KEY,0)),0)),""))</f>
        <v>0.0588235294117647</v>
      </c>
      <c r="T297" s="74">
        <f>IF(M297="","",IFERROR(INDEX(LMH_PTS,MATCH(M297,LMH_KEY,0))/SUM(IFERROR(INDEX(LMH_PTS,MATCH(J297,LMH_KEY,0)),0),IFERROR(INDEX(LMH_PTS,MATCH(K297,LMH_KEY,0)),0),IFERROR(INDEX(LMH_PTS,MATCH(L297,LMH_KEY,0)),0),IFERROR(INDEX(LMH_PTS,MATCH(M297,LMH_KEY,0)),0),IFERROR(INDEX(LMH_PTS,MATCH(N297,LMH_KEY,0)),0),IFERROR(INDEX(LMH_PTS,MATCH(O297,LMH_KEY,0)),0),IFERROR(INDEX(LMH_PTS,MATCH(P297,LMH_KEY,0)),0)),""))</f>
        <v>0.0588235294117647</v>
      </c>
      <c r="U297" s="74">
        <f>IF(N297="","",IFERROR(INDEX(LMH_PTS,MATCH(N297,LMH_KEY,0))/SUM(IFERROR(INDEX(LMH_PTS,MATCH(J297,LMH_KEY,0)),0),IFERROR(INDEX(LMH_PTS,MATCH(K297,LMH_KEY,0)),0),IFERROR(INDEX(LMH_PTS,MATCH(L297,LMH_KEY,0)),0),IFERROR(INDEX(LMH_PTS,MATCH(M297,LMH_KEY,0)),0),IFERROR(INDEX(LMH_PTS,MATCH(N297,LMH_KEY,0)),0),IFERROR(INDEX(LMH_PTS,MATCH(O297,LMH_KEY,0)),0),IFERROR(INDEX(LMH_PTS,MATCH(P297,LMH_KEY,0)),0)),""))</f>
        <v>0.0588235294117647</v>
      </c>
      <c r="V297" s="74">
        <f>IF(O297="","",IFERROR(INDEX(LMH_PTS,MATCH(O297,LMH_KEY,0))/SUM(IFERROR(INDEX(LMH_PTS,MATCH(J297,LMH_KEY,0)),0),IFERROR(INDEX(LMH_PTS,MATCH(K297,LMH_KEY,0)),0),IFERROR(INDEX(LMH_PTS,MATCH(L297,LMH_KEY,0)),0),IFERROR(INDEX(LMH_PTS,MATCH(M297,LMH_KEY,0)),0),IFERROR(INDEX(LMH_PTS,MATCH(N297,LMH_KEY,0)),0),IFERROR(INDEX(LMH_PTS,MATCH(O297,LMH_KEY,0)),0),IFERROR(INDEX(LMH_PTS,MATCH(P297,LMH_KEY,0)),0)),""))</f>
        <v>0.0588235294117647</v>
      </c>
      <c r="W297" s="74">
        <f>IF(P297="","",IFERROR(INDEX(LMH_PTS,MATCH(P297,LMH_KEY,0))/SUM(IFERROR(INDEX(LMH_PTS,MATCH(J297,LMH_KEY,0)),0),IFERROR(INDEX(LMH_PTS,MATCH(K297,LMH_KEY,0)),0),IFERROR(INDEX(LMH_PTS,MATCH(L297,LMH_KEY,0)),0),IFERROR(INDEX(LMH_PTS,MATCH(M297,LMH_KEY,0)),0),IFERROR(INDEX(LMH_PTS,MATCH(N297,LMH_KEY,0)),0),IFERROR(INDEX(LMH_PTS,MATCH(O297,LMH_KEY,0)),0),IFERROR(INDEX(LMH_PTS,MATCH(P297,LMH_KEY,0)),0)),""))</f>
        <v>0.0588235294117647</v>
      </c>
      <c r="X297" s="44" t="n"/>
      <c r="Y297" s="38" t="inlineStr">
        <is>
          <t>Consume|Technology|Technical Specialist|A3|A</t>
        </is>
      </c>
    </row>
  </sheetData>
  <autoFilter ref="A6:Y297"/>
  <mergeCells count="8">
    <mergeCell ref="P4:Q4"/>
    <mergeCell ref="E4:F4"/>
    <mergeCell ref="A4:D4"/>
    <mergeCell ref="A2:N2"/>
    <mergeCell ref="M4:O4"/>
    <mergeCell ref="H4:I4"/>
    <mergeCell ref="K4:L4"/>
    <mergeCell ref="R4:S4"/>
  </mergeCells>
  <dataValidations count="1">
    <dataValidation sqref="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J214 J215 J216 J217 J218 J219 J220 J221 J222 J223 J224 J225 J226 J227 J228 J229 J230 J231 J232 J233 J234 J235 J236 J237 J238 J239 J240 J241 J242 J243 J244 J245 J246 J247 J248 J249 J250 J251 J252 J253 J254 J255 J256 J257 J258 J259 J260 J261 J262 J263 J264 J265 J266 J267 J268 J269 J270 J271 J272 J273 J274 J275 J276 J277 J278 J279 J280 J281 J282 J283 J284 J285 J286 J287 J288 J289 J290 J291 J292 J293 J294 J295 J296 J297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K295 K296 K297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L254 L255 L256 L257 L258 L259 L260 L261 L262 L263 L264 L265 L266 L267 L268 L269 L270 L271 L272 L273 L274 L275 L276 L277 L278 L279 L280 L281 L282 L283 L284 L285 L286 L287 L288 L289 L290 L291 L292 L293 L294 L295 L296 L297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M201 M202 M203 M204 M205 M206 M207 M208 M209 M210 M211 M212 M213 M214 M215 M216 M217 M218 M219 M220 M221 M222 M223 M224 M225 M226 M227 M228 M229 M230 M231 M232 M233 M234 M235 M236 M237 M238 M239 M240 M241 M242 M243 M244 M245 M246 M247 M248 M249 M250 M251 M252 M253 M254 M255 M256 M257 M258 M259 M260 M261 M262 M263 M264 M265 M266 M267 M268 M269 M270 M271 M272 M273 M274 M275 M276 M277 M278 M279 M280 M281 M282 M283 M284 M285 M286 M287 M288 M289 M290 M291 M292 M293 M294 M295 M296 M297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N159 N160 N161 N162 N163 N164 N165 N166 N167 N168 N169 N170 N171 N172 N173 N174 N175 N176 N177 N178 N179 N180 N181 N182 N183 N184 N185 N186 N187 N188 N189 N190 N191 N192 N193 N194 N195 N196 N197 N198 N199 N200 N201 N202 N203 N204 N205 N206 N207 N208 N209 N210 N211 N212 N213 N214 N215 N216 N217 N218 N219 N220 N221 N222 N223 N224 N225 N226 N227 N228 N229 N230 N231 N232 N233 N234 N235 N236 N237 N238 N239 N240 N241 N242 N243 N244 N245 N246 N247 N248 N249 N250 N251 N252 N253 N254 N255 N256 N257 N258 N259 N260 N261 N262 N263 N264 N265 N266 N267 N268 N269 N270 N271 N272 N273 N274 N275 N276 N277 N278 N279 N280 N281 N282 N283 N284 N285 N286 N287 N288 N289 N290 N291 N292 N293 N294 N295 N296 N297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O102 O103 O104 O105 O106 O107 O108 O109 O110 O111 O112 O113 O114 O115 O116 O117 O118 O119 O120 O121 O122 O123 O124 O125 O126 O127 O128 O129 O130 O131 O132 O133 O134 O135 O136 O137 O138 O139 O140 O141 O142 O143 O144 O145 O146 O147 O148 O149 O150 O151 O152 O153 O154 O155 O156 O157 O158 O159 O160 O161 O162 O163 O164 O165 O166 O167 O168 O169 O170 O171 O172 O173 O174 O175 O176 O177 O178 O179 O180 O181 O182 O183 O184 O185 O186 O187 O188 O189 O190 O191 O192 O193 O194 O195 O196 O197 O198 O199 O200 O201 O202 O203 O204 O205 O206 O207 O208 O209 O210 O211 O212 O213 O214 O215 O216 O217 O218 O219 O220 O221 O222 O223 O224 O225 O226 O227 O228 O229 O230 O231 O232 O233 O234 O235 O236 O237 O238 O239 O240 O241 O242 O243 O244 O245 O246 O247 O248 O249 O250 O251 O252 O253 O254 O255 O256 O257 O258 O259 O260 O261 O262 O263 O264 O265 O266 O267 O268 O269 O270 O271 O272 O273 O274 O275 O276 O277 O278 O279 O280 O281 O282 O283 O284 O285 O286 O287 O288 O289 O290 O291 O292 O293 O294 O295 O296 O297 P7 P8 P9 P10 P11 P12 P13 P14 P15 P16 P17 P18 P19 P20 P21 P22 P23 P24 P25 P26 P27 P28 P29 P30 P31 P32 P33 P34 P35 P36 P37 P38 P39 P40 P41 P42 P43 P44 P45 P46 P47 P48 P49 P50 P51 P52 P53 P54 P55 P56 P57 P58 P59 P60 P61 P62 P63 P64 P65 P66 P67 P68 P69 P70 P71 P72 P73 P74 P75 P76 P77 P78 P79 P80 P81 P82 P83 P84 P85 P86 P87 P88 P89 P90 P91 P92 P93 P94 P95 P96 P97 P98 P99 P100 P101 P102 P103 P104 P105 P106 P107 P108 P109 P110 P111 P112 P113 P114 P115 P116 P117 P118 P119 P120 P121 P122 P123 P124 P125 P126 P127 P128 P129 P130 P131 P132 P133 P134 P135 P136 P137 P138 P139 P140 P141 P142 P143 P144 P145 P146 P147 P148 P149 P150 P151 P152 P153 P154 P155 P156 P157 P158 P159 P160 P161 P162 P163 P164 P165 P166 P167 P168 P169 P170 P171 P172 P173 P174 P175 P176 P177 P178 P179 P180 P181 P182 P183 P184 P185 P186 P187 P188 P189 P190 P191 P192 P193 P194 P195 P196 P197 P198 P199 P200 P201 P202 P203 P204 P205 P206 P207 P208 P209 P210 P211 P212 P213 P214 P215 P216 P217 P218 P219 P220 P221 P222 P223 P224 P225 P226 P227 P228 P229 P230 P231 P232 P233 P234 P235 P236 P237 P238 P239 P240 P241 P242 P243 P244 P245 P246 P247 P248 P249 P250 P251 P252 P253 P254 P255 P256 P257 P258 P259 P260 P261 P262 P263 P264 P265 P266 P267 P268 P269 P270 P271 P272 P273 P274 P275 P276 P277 P278 P279 P280 P281 P282 P283 P284 P285 P286 P287 P288 P289 P290 P291 P292 P293 P294 P295 P296 P297" showDropDown="0" showInputMessage="0" showErrorMessage="0" allowBlank="1" type="list">
      <formula1>LIST_LMH</formula1>
    </dataValidation>
  </dataValidations>
  <hyperlinks>
    <hyperlink xmlns:r="http://schemas.openxmlformats.org/officeDocument/2006/relationships" ref="O1" r:id="rId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L24"/>
  <sheetViews>
    <sheetView zoomScale="85" workbookViewId="0">
      <pane xSplit="5" ySplit="5" topLeftCell="F6" activePane="bottomRight" state="frozen"/>
      <selection pane="topRight"/>
      <selection pane="bottomLeft"/>
      <selection pane="bottomRight" activeCell="A1" sqref="A1"/>
    </sheetView>
  </sheetViews>
  <sheetFormatPr baseColWidth="8" defaultRowHeight="15"/>
  <cols>
    <col width="7" customWidth="1" min="1" max="1"/>
    <col width="16" customWidth="1" min="2" max="2"/>
    <col width="18" customWidth="1" min="3" max="3"/>
    <col width="20" customWidth="1" min="4" max="4"/>
    <col width="34" customWidth="1" min="5" max="5"/>
    <col width="9" customWidth="1" min="6" max="6"/>
    <col width="30" customWidth="1" min="7" max="7"/>
    <col width="34" customWidth="1" min="8" max="8"/>
    <col width="30" customWidth="1" min="9" max="9"/>
    <col width="9" customWidth="1" min="10" max="10"/>
    <col width="30" customWidth="1" min="11" max="11"/>
    <col width="34" customWidth="1" min="12" max="12"/>
    <col width="30" customWidth="1" min="13" max="13"/>
    <col width="9" customWidth="1" min="14" max="14"/>
    <col width="30" customWidth="1" min="15" max="15"/>
    <col width="34" customWidth="1" min="16" max="16"/>
    <col width="30" customWidth="1" min="17" max="17"/>
    <col width="9" customWidth="1" min="18" max="18"/>
    <col width="30" customWidth="1" min="19" max="19"/>
    <col width="34" customWidth="1" min="20" max="20"/>
    <col width="30" customWidth="1" min="21" max="21"/>
    <col width="9" customWidth="1" min="22" max="22"/>
    <col width="30" customWidth="1" min="23" max="23"/>
    <col width="34" customWidth="1" min="24" max="24"/>
    <col width="30" customWidth="1" min="25" max="25"/>
    <col width="9" customWidth="1" min="26" max="26"/>
    <col width="30" customWidth="1" min="27" max="27"/>
    <col width="34" customWidth="1" min="28" max="28"/>
    <col width="30" customWidth="1" min="29" max="29"/>
    <col width="9" customWidth="1" min="30" max="30"/>
    <col width="30" customWidth="1" min="31" max="31"/>
    <col width="34" customWidth="1" min="32" max="32"/>
    <col width="30" customWidth="1" min="33" max="33"/>
    <col width="26" customWidth="1" min="34" max="34"/>
    <col width="16" customWidth="1" min="35" max="35"/>
    <col width="22" customWidth="1" min="36" max="36"/>
    <col width="18" customWidth="1" min="37" max="37"/>
    <col width="40" customWidth="1" min="38" max="38"/>
  </cols>
  <sheetData>
    <row r="1" ht="24" customHeight="1">
      <c r="A1" s="1" t="inlineStr">
        <is>
          <t>Role &amp; band matrix — Administration, Legal &amp; Secretarial</t>
        </is>
      </c>
      <c r="O1" s="7" t="inlineStr">
        <is>
          <t>◂ Start</t>
        </is>
      </c>
    </row>
    <row r="2" ht="30" customHeight="1">
      <c r="A2" s="2" t="inlineStr">
        <is>
          <t>What Low, Medium and High mean for each of the seven parameters at every level of Administration, Legal &amp; Secretarial, and how much each parameter counts · main type of work: Corporate functions. Medium is the band as described; Low is the level below; High is the level above. Change a yellow weightage and every role, department ladder and person in this family recalculates.</t>
        </is>
      </c>
    </row>
    <row r="3">
      <c r="A3" s="3" t="inlineStr">
        <is>
          <t>IRIS · Job Architecture &amp; Job Design · Final v1.15 · October 2026 · Internal — Confidential · HR only</t>
        </is>
      </c>
    </row>
    <row r="4" ht="30" customHeight="1">
      <c r="A4" s="6" t="inlineStr">
        <is>
          <t>LEVEL</t>
        </is>
      </c>
      <c r="B4" s="6" t="n"/>
      <c r="C4" s="6" t="n"/>
      <c r="D4" s="6" t="n"/>
      <c r="E4" s="6" t="n"/>
      <c r="F4" s="45" t="inlineStr">
        <is>
          <t>COMPLEXITY &amp; EXPERTISE</t>
        </is>
      </c>
      <c r="G4" s="45" t="n"/>
      <c r="H4" s="45" t="n"/>
      <c r="I4" s="45" t="n"/>
      <c r="J4" s="45" t="inlineStr">
        <is>
          <t>AUTONOMY &amp; DECISION</t>
        </is>
      </c>
      <c r="K4" s="45" t="n"/>
      <c r="L4" s="45" t="n"/>
      <c r="M4" s="45" t="n"/>
      <c r="N4" s="45" t="inlineStr">
        <is>
          <t>ACCOUNTABILITY &amp; IMPACT</t>
        </is>
      </c>
      <c r="O4" s="45" t="n"/>
      <c r="P4" s="45" t="n"/>
      <c r="Q4" s="45" t="n"/>
      <c r="R4" s="47" t="inlineStr">
        <is>
          <t>LEADERSHIP &amp; STRATEGY</t>
        </is>
      </c>
      <c r="S4" s="47" t="n"/>
      <c r="T4" s="47" t="n"/>
      <c r="U4" s="47" t="n"/>
      <c r="V4" s="47" t="inlineStr">
        <is>
          <t>BUSINESS IMPACT</t>
        </is>
      </c>
      <c r="W4" s="47" t="n"/>
      <c r="X4" s="47" t="n"/>
      <c r="Y4" s="47" t="n"/>
      <c r="Z4" s="81" t="inlineStr">
        <is>
          <t>EXPERIENCE</t>
        </is>
      </c>
      <c r="AA4" s="81" t="n"/>
      <c r="AB4" s="81" t="n"/>
      <c r="AC4" s="81" t="n"/>
      <c r="AD4" s="81" t="inlineStr">
        <is>
          <t>EDUCATION</t>
        </is>
      </c>
      <c r="AE4" s="81" t="n"/>
      <c r="AF4" s="81" t="n"/>
      <c r="AG4" s="81" t="n"/>
      <c r="AH4" s="20" t="inlineStr">
        <is>
          <t>MARKET BENCHMARK &amp; REFERENCES</t>
        </is>
      </c>
      <c r="AI4" s="20" t="n"/>
      <c r="AJ4" s="20" t="n"/>
      <c r="AK4" s="20" t="n"/>
      <c r="AL4" s="20" t="n"/>
    </row>
    <row r="5" ht="60" customHeight="1">
      <c r="A5" s="22" t="inlineStr">
        <is>
          <t>Level</t>
        </is>
      </c>
      <c r="B5" s="22" t="inlineStr">
        <is>
          <t>Band</t>
        </is>
      </c>
      <c r="C5" s="22" t="inlineStr">
        <is>
          <t>Role group</t>
        </is>
      </c>
      <c r="D5" s="22" t="inlineStr">
        <is>
          <t>Level title</t>
        </is>
      </c>
      <c r="E5" s="22" t="inlineStr">
        <is>
          <t>Roles at this level in this family</t>
        </is>
      </c>
      <c r="F5" s="48" t="inlineStr">
        <is>
          <t>Weightage · L/M/H</t>
        </is>
      </c>
      <c r="G5" s="48" t="inlineStr">
        <is>
          <t>Low</t>
        </is>
      </c>
      <c r="H5" s="48" t="inlineStr">
        <is>
          <t>Medium</t>
        </is>
      </c>
      <c r="I5" s="48" t="inlineStr">
        <is>
          <t>High</t>
        </is>
      </c>
      <c r="J5" s="48" t="inlineStr">
        <is>
          <t>Weightage · L/M/H</t>
        </is>
      </c>
      <c r="K5" s="48" t="inlineStr">
        <is>
          <t>Low</t>
        </is>
      </c>
      <c r="L5" s="48" t="inlineStr">
        <is>
          <t>Medium</t>
        </is>
      </c>
      <c r="M5" s="48" t="inlineStr">
        <is>
          <t>High</t>
        </is>
      </c>
      <c r="N5" s="48" t="inlineStr">
        <is>
          <t>Weightage · L/M/H</t>
        </is>
      </c>
      <c r="O5" s="48" t="inlineStr">
        <is>
          <t>Low</t>
        </is>
      </c>
      <c r="P5" s="48" t="inlineStr">
        <is>
          <t>Medium</t>
        </is>
      </c>
      <c r="Q5" s="48" t="inlineStr">
        <is>
          <t>High</t>
        </is>
      </c>
      <c r="R5" s="50" t="inlineStr">
        <is>
          <t>Weightage · L/M/H</t>
        </is>
      </c>
      <c r="S5" s="50" t="inlineStr">
        <is>
          <t>Low</t>
        </is>
      </c>
      <c r="T5" s="50" t="inlineStr">
        <is>
          <t>Medium</t>
        </is>
      </c>
      <c r="U5" s="50" t="inlineStr">
        <is>
          <t>High</t>
        </is>
      </c>
      <c r="V5" s="50" t="inlineStr">
        <is>
          <t>Weightage · L/M/H</t>
        </is>
      </c>
      <c r="W5" s="50" t="inlineStr">
        <is>
          <t>Low</t>
        </is>
      </c>
      <c r="X5" s="50" t="inlineStr">
        <is>
          <t>Medium</t>
        </is>
      </c>
      <c r="Y5" s="50" t="inlineStr">
        <is>
          <t>High</t>
        </is>
      </c>
      <c r="Z5" s="82" t="inlineStr">
        <is>
          <t>Weightage · L/M/H</t>
        </is>
      </c>
      <c r="AA5" s="82" t="inlineStr">
        <is>
          <t>Low</t>
        </is>
      </c>
      <c r="AB5" s="82" t="inlineStr">
        <is>
          <t>Medium</t>
        </is>
      </c>
      <c r="AC5" s="82" t="inlineStr">
        <is>
          <t>High</t>
        </is>
      </c>
      <c r="AD5" s="82" t="inlineStr">
        <is>
          <t>Weightage · L/M/H</t>
        </is>
      </c>
      <c r="AE5" s="82" t="inlineStr">
        <is>
          <t>Low</t>
        </is>
      </c>
      <c r="AF5" s="82" t="inlineStr">
        <is>
          <t>Medium</t>
        </is>
      </c>
      <c r="AG5" s="82" t="inlineStr">
        <is>
          <t>High</t>
        </is>
      </c>
      <c r="AH5" s="26" t="inlineStr">
        <is>
          <t>Market weight % · C · Au · Ac · L · BI · Exp · Edu</t>
        </is>
      </c>
      <c r="AI5" s="26" t="inlineStr">
        <is>
          <t>Market experience · yrs</t>
        </is>
      </c>
      <c r="AJ5" s="26" t="inlineStr">
        <is>
          <t>Span norm</t>
        </is>
      </c>
      <c r="AK5" s="26" t="inlineStr">
        <is>
          <t>Radford / Mercer · SFIA 9</t>
        </is>
      </c>
      <c r="AL5" s="26" t="inlineStr">
        <is>
          <t>References</t>
        </is>
      </c>
    </row>
    <row r="6" ht="120" customHeight="1">
      <c r="A6" s="83" t="inlineStr">
        <is>
          <t>E2</t>
        </is>
      </c>
      <c r="B6" s="29" t="inlineStr">
        <is>
          <t>Band E · Enterprise leadership</t>
        </is>
      </c>
      <c r="C6" s="29" t="inlineStr">
        <is>
          <t>Bands D–E · Leadership</t>
        </is>
      </c>
      <c r="D6" s="29" t="inlineStr">
        <is>
          <t>Chief Executive Officer</t>
        </is>
      </c>
      <c r="E6" s="29" t="inlineStr">
        <is>
          <t>— no role at this level today</t>
        </is>
      </c>
      <c r="F6" s="34" t="inlineStr">
        <is>
          <t>H</t>
        </is>
      </c>
      <c r="G6" s="84" t="inlineStr">
        <is>
          <t>Works at E1: Enterprise-level functional strategy</t>
        </is>
      </c>
      <c r="H6" s="84" t="inlineStr">
        <is>
          <t>Enterprise-wide uncertainty, transformation and external forces</t>
        </is>
      </c>
      <c r="I6" s="84" t="inlineStr">
        <is>
          <t>Beyond the role · a board-level mandate</t>
        </is>
      </c>
      <c r="J6" s="34" t="inlineStr">
        <is>
          <t>M</t>
        </is>
      </c>
      <c r="K6" s="84" t="inlineStr">
        <is>
          <t>Works at E1: Sets enterprise priorities for the function</t>
        </is>
      </c>
      <c r="L6" s="84" t="inlineStr">
        <is>
          <t>Accountable to the board</t>
        </is>
      </c>
      <c r="M6" s="84" t="inlineStr">
        <is>
          <t>Beyond the role · a board-level mandate</t>
        </is>
      </c>
      <c r="N6" s="34" t="inlineStr">
        <is>
          <t>M</t>
        </is>
      </c>
      <c r="O6" s="84" t="inlineStr">
        <is>
          <t>Works at E1: Enterprise-wide functional results</t>
        </is>
      </c>
      <c r="P6" s="84" t="inlineStr">
        <is>
          <t>Enterprise results, risk, culture and long-term viability</t>
        </is>
      </c>
      <c r="Q6" s="84" t="inlineStr">
        <is>
          <t>Beyond the role · a board-level mandate</t>
        </is>
      </c>
      <c r="R6" s="34" t="inlineStr">
        <is>
          <t>M</t>
        </is>
      </c>
      <c r="S6" s="56" t="inlineStr">
        <is>
          <t>Works at E1: Shapes enterprise strategy</t>
        </is>
      </c>
      <c r="T6" s="56" t="inlineStr">
        <is>
          <t>Sets enterprise strategy; leads the executive team</t>
        </is>
      </c>
      <c r="U6" s="56" t="inlineStr">
        <is>
          <t>Beyond the role · a board-level mandate</t>
        </is>
      </c>
      <c r="V6" s="34" t="inlineStr">
        <is>
          <t>L</t>
        </is>
      </c>
      <c r="W6" s="56" t="inlineStr">
        <is>
          <t>Works at E1: Shapes company-wide results through a function</t>
        </is>
      </c>
      <c r="X6" s="56" t="inlineStr">
        <is>
          <t>Answers for the whole company's results and long-term value</t>
        </is>
      </c>
      <c r="Y6" s="56" t="inlineStr">
        <is>
          <t>Beyond the role · a board-level mandate</t>
        </is>
      </c>
      <c r="Z6" s="34" t="inlineStr">
        <is>
          <t>L</t>
        </is>
      </c>
      <c r="AA6" s="85" t="inlineStr">
        <is>
          <t>Less experience than the band's typical 20+ yrs</t>
        </is>
      </c>
      <c r="AB6" s="85" t="inlineStr">
        <is>
          <t>Typical for the band: 20+ yrs · market — yrs</t>
        </is>
      </c>
      <c r="AC6" s="85" t="inlineStr">
        <is>
          <t>More experience than the band's typical 20+ yrs</t>
        </is>
      </c>
      <c r="AD6" s="34" t="inlineStr">
        <is>
          <t>L</t>
        </is>
      </c>
      <c r="AE6" s="85" t="inlineStr">
        <is>
          <t>Below: Postgraduate / professional qualification; business leadership record</t>
        </is>
      </c>
      <c r="AF6" s="85" t="inlineStr">
        <is>
          <t>Postgraduate / professional qualification; proven business leadership · licence-to-practise roles: CA, CS, CMA or LLB as the role needs</t>
        </is>
      </c>
      <c r="AG6" s="85" t="inlineStr">
        <is>
          <t>Board-level credentials beyond the role's need</t>
        </is>
      </c>
      <c r="AH6" s="44" t="inlineStr">
        <is>
          <t>36.3 · 19 · 11.3 · 20 · 8.7 · 4 · 1</t>
        </is>
      </c>
      <c r="AI6" s="38" t="inlineStr">
        <is>
          <t>20+ yrs</t>
        </is>
      </c>
      <c r="AJ6" s="38" t="inlineStr">
        <is>
          <t>Executive team</t>
        </is>
      </c>
      <c r="AK6" s="38" t="inlineStr">
        <is>
          <t>E6 · SFIA 7</t>
        </is>
      </c>
      <c r="AL6"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7" ht="120" customHeight="1">
      <c r="A7" s="83" t="inlineStr">
        <is>
          <t>E1</t>
        </is>
      </c>
      <c r="B7" s="29" t="inlineStr">
        <is>
          <t>Band E · Enterprise leadership</t>
        </is>
      </c>
      <c r="C7" s="29" t="inlineStr">
        <is>
          <t>Bands D–E · Leadership</t>
        </is>
      </c>
      <c r="D7" s="29" t="inlineStr">
        <is>
          <t>CXO / President</t>
        </is>
      </c>
      <c r="E7" s="29" t="inlineStr">
        <is>
          <t>— no role at this level today</t>
        </is>
      </c>
      <c r="F7" s="34" t="inlineStr">
        <is>
          <t>H</t>
        </is>
      </c>
      <c r="G7" s="84" t="inlineStr">
        <is>
          <t>Works at D2: Portfolio-level strategic, financial and regulatory trade-offs</t>
        </is>
      </c>
      <c r="H7" s="84" t="inlineStr">
        <is>
          <t>Enterprise-level functional strategy</t>
        </is>
      </c>
      <c r="I7" s="84" t="inlineStr">
        <is>
          <t>Already works at E2: Enterprise-wide uncertainty, transformation and external forces</t>
        </is>
      </c>
      <c r="J7" s="34" t="inlineStr">
        <is>
          <t>M</t>
        </is>
      </c>
      <c r="K7" s="84" t="inlineStr">
        <is>
          <t>Works at D2: Sets direction across business lines</t>
        </is>
      </c>
      <c r="L7" s="84" t="inlineStr">
        <is>
          <t>Sets enterprise priorities for the function</t>
        </is>
      </c>
      <c r="M7" s="84" t="inlineStr">
        <is>
          <t>Already works at E2: Accountable to the board</t>
        </is>
      </c>
      <c r="N7" s="34" t="inlineStr">
        <is>
          <t>M</t>
        </is>
      </c>
      <c r="O7" s="84" t="inlineStr">
        <is>
          <t>Works at D2: Multi-business results</t>
        </is>
      </c>
      <c r="P7" s="84" t="inlineStr">
        <is>
          <t>Enterprise-wide functional results</t>
        </is>
      </c>
      <c r="Q7" s="84" t="inlineStr">
        <is>
          <t>Already works at E2: Enterprise results, risk, culture and long-term viability</t>
        </is>
      </c>
      <c r="R7" s="34" t="inlineStr">
        <is>
          <t>M</t>
        </is>
      </c>
      <c r="S7" s="56" t="inlineStr">
        <is>
          <t>Works at D2: Builds the leadership team across businesses</t>
        </is>
      </c>
      <c r="T7" s="56" t="inlineStr">
        <is>
          <t>Shapes enterprise strategy</t>
        </is>
      </c>
      <c r="U7" s="56" t="inlineStr">
        <is>
          <t>Already works at E2: Sets enterprise strategy; leads the executive team</t>
        </is>
      </c>
      <c r="V7" s="34" t="inlineStr">
        <is>
          <t>L</t>
        </is>
      </c>
      <c r="W7" s="56" t="inlineStr">
        <is>
          <t>Works at D2: Owns the results of several business lines</t>
        </is>
      </c>
      <c r="X7" s="56" t="inlineStr">
        <is>
          <t>Shapes company-wide results through a function</t>
        </is>
      </c>
      <c r="Y7" s="56" t="inlineStr">
        <is>
          <t>Already works at E2: Answers for the whole company's results and long-term value</t>
        </is>
      </c>
      <c r="Z7" s="34" t="inlineStr">
        <is>
          <t>L</t>
        </is>
      </c>
      <c r="AA7" s="85" t="inlineStr">
        <is>
          <t>Less experience than the band's typical 20+ yrs</t>
        </is>
      </c>
      <c r="AB7" s="85" t="inlineStr">
        <is>
          <t>Typical for the band: 20+ yrs · market — yrs</t>
        </is>
      </c>
      <c r="AC7" s="85" t="inlineStr">
        <is>
          <t>More experience than the band's typical 20+ yrs</t>
        </is>
      </c>
      <c r="AD7" s="34" t="inlineStr">
        <is>
          <t>L</t>
        </is>
      </c>
      <c r="AE7" s="85" t="inlineStr">
        <is>
          <t>Below: Postgraduate / professional qualification preferred</t>
        </is>
      </c>
      <c r="AF7" s="85" t="inlineStr">
        <is>
          <t>Postgraduate / professional qualification; business leadership record · licence-to-practise roles: CA, CS, CMA or LLB as the role needs</t>
        </is>
      </c>
      <c r="AG7" s="85" t="inlineStr">
        <is>
          <t>Above: Postgraduate / professional qualification; proven business leadership</t>
        </is>
      </c>
      <c r="AH7" s="44" t="inlineStr">
        <is>
          <t>36.3 · 19 · 11.3 · 20 · 8.7 · 4 · 1</t>
        </is>
      </c>
      <c r="AI7" s="38" t="inlineStr">
        <is>
          <t>20+ yrs</t>
        </is>
      </c>
      <c r="AJ7" s="38" t="inlineStr">
        <is>
          <t>5–8 function heads</t>
        </is>
      </c>
      <c r="AK7" s="38" t="inlineStr">
        <is>
          <t>E5 · SFIA 7</t>
        </is>
      </c>
      <c r="AL7"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8" ht="120" customHeight="1">
      <c r="A8" s="86" t="inlineStr">
        <is>
          <t>D2</t>
        </is>
      </c>
      <c r="B8" s="29" t="inlineStr">
        <is>
          <t>Band D · Business leadership</t>
        </is>
      </c>
      <c r="C8" s="29" t="inlineStr">
        <is>
          <t>Bands D–E · Leadership</t>
        </is>
      </c>
      <c r="D8" s="29" t="inlineStr">
        <is>
          <t>Senior Vice President / Business Head</t>
        </is>
      </c>
      <c r="E8" s="29" t="inlineStr">
        <is>
          <t>— no role at this level today</t>
        </is>
      </c>
      <c r="F8" s="34" t="inlineStr">
        <is>
          <t>H</t>
        </is>
      </c>
      <c r="G8" s="84" t="inlineStr">
        <is>
          <t>Works at D1: Competing strategic, financial and regulatory priorities</t>
        </is>
      </c>
      <c r="H8" s="84" t="inlineStr">
        <is>
          <t>Portfolio-level strategic, financial and regulatory trade-offs</t>
        </is>
      </c>
      <c r="I8" s="84" t="inlineStr">
        <is>
          <t>Already works at E1: Enterprise-level functional strategy</t>
        </is>
      </c>
      <c r="J8" s="34" t="inlineStr">
        <is>
          <t>M</t>
        </is>
      </c>
      <c r="K8" s="84" t="inlineStr">
        <is>
          <t>Works at D1: Sets business-line direction, pricing and investment</t>
        </is>
      </c>
      <c r="L8" s="84" t="inlineStr">
        <is>
          <t>Sets direction across business lines</t>
        </is>
      </c>
      <c r="M8" s="84" t="inlineStr">
        <is>
          <t>Already works at E1: Sets enterprise priorities for the function</t>
        </is>
      </c>
      <c r="N8" s="34" t="inlineStr">
        <is>
          <t>M</t>
        </is>
      </c>
      <c r="O8" s="84" t="inlineStr">
        <is>
          <t>Works at D1: Business-line P&amp;L and market position</t>
        </is>
      </c>
      <c r="P8" s="84" t="inlineStr">
        <is>
          <t>Multi-business results</t>
        </is>
      </c>
      <c r="Q8" s="84" t="inlineStr">
        <is>
          <t>Already works at E1: Enterprise-wide functional results</t>
        </is>
      </c>
      <c r="R8" s="34" t="inlineStr">
        <is>
          <t>M</t>
        </is>
      </c>
      <c r="S8" s="56" t="inlineStr">
        <is>
          <t>Works at D1: Defines business strategy; builds the leadership bench</t>
        </is>
      </c>
      <c r="T8" s="56" t="inlineStr">
        <is>
          <t>Builds the leadership team across businesses</t>
        </is>
      </c>
      <c r="U8" s="56" t="inlineStr">
        <is>
          <t>Already works at E1: Shapes enterprise strategy</t>
        </is>
      </c>
      <c r="V8" s="34" t="inlineStr">
        <is>
          <t>L</t>
        </is>
      </c>
      <c r="W8" s="56" t="inlineStr">
        <is>
          <t>Works at D1: Owns a business line's P&amp;L and growth, or a company-wide function</t>
        </is>
      </c>
      <c r="X8" s="56" t="inlineStr">
        <is>
          <t>Owns the results of several business lines</t>
        </is>
      </c>
      <c r="Y8" s="56" t="inlineStr">
        <is>
          <t>Already works at E1: Shapes company-wide results through a function</t>
        </is>
      </c>
      <c r="Z8" s="34" t="inlineStr">
        <is>
          <t>L</t>
        </is>
      </c>
      <c r="AA8" s="85" t="inlineStr">
        <is>
          <t>Less experience than the band's typical 18–24 yrs</t>
        </is>
      </c>
      <c r="AB8" s="85" t="inlineStr">
        <is>
          <t>Typical for the band: 18–24 yrs · market — yrs</t>
        </is>
      </c>
      <c r="AC8" s="85" t="inlineStr">
        <is>
          <t>More experience than the band's typical 18–24 yrs</t>
        </is>
      </c>
      <c r="AD8" s="34" t="inlineStr">
        <is>
          <t>L</t>
        </is>
      </c>
      <c r="AE8" s="85" t="inlineStr">
        <is>
          <t>Below: Postgraduate / professional qualification preferred</t>
        </is>
      </c>
      <c r="AF8" s="85" t="inlineStr">
        <is>
          <t>Postgraduate / professional qualification preferred · licence-to-practise roles: CA, CS, CMA or LLB as the role needs</t>
        </is>
      </c>
      <c r="AG8" s="85" t="inlineStr">
        <is>
          <t>Above: Postgraduate / professional qualification; business leadership record</t>
        </is>
      </c>
      <c r="AH8" s="44" t="inlineStr">
        <is>
          <t>36.3 · 19 · 11.3 · 20 · 8.7 · 4 · 1</t>
        </is>
      </c>
      <c r="AI8" s="38" t="inlineStr">
        <is>
          <t>18–24 yrs</t>
        </is>
      </c>
      <c r="AJ8" s="38" t="inlineStr">
        <is>
          <t>5–8 AVPs / heads</t>
        </is>
      </c>
      <c r="AK8" s="38" t="inlineStr">
        <is>
          <t>E3–E4 · SFIA 7 Set strategy</t>
        </is>
      </c>
      <c r="AL8"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9" ht="120" customHeight="1">
      <c r="A9" s="86" t="inlineStr">
        <is>
          <t>D1</t>
        </is>
      </c>
      <c r="B9" s="29" t="inlineStr">
        <is>
          <t>Band D · Business leadership</t>
        </is>
      </c>
      <c r="C9" s="29" t="inlineStr">
        <is>
          <t>Bands D–E · Leadership</t>
        </is>
      </c>
      <c r="D9" s="29" t="inlineStr">
        <is>
          <t>Associate Vice President</t>
        </is>
      </c>
      <c r="E9" s="29" t="inlineStr">
        <is>
          <t>— no role at this level today</t>
        </is>
      </c>
      <c r="F9" s="34" t="inlineStr">
        <is>
          <t>H</t>
        </is>
      </c>
      <c r="G9" s="84" t="inlineStr">
        <is>
          <t>Works at C2: Function-wide or company-wide problems; creates methods and standards</t>
        </is>
      </c>
      <c r="H9" s="84" t="inlineStr">
        <is>
          <t>Competing strategic, financial and regulatory priorities</t>
        </is>
      </c>
      <c r="I9" s="84" t="inlineStr">
        <is>
          <t>Already works at D2: Portfolio-level strategic, financial and regulatory trade-offs</t>
        </is>
      </c>
      <c r="J9" s="34" t="inlineStr">
        <is>
          <t>M</t>
        </is>
      </c>
      <c r="K9" s="84" t="inlineStr">
        <is>
          <t>Works at C2: Sets direction for a function</t>
        </is>
      </c>
      <c r="L9" s="84" t="inlineStr">
        <is>
          <t>Sets business-line direction, pricing and investment</t>
        </is>
      </c>
      <c r="M9" s="84" t="inlineStr">
        <is>
          <t>Already works at D2: Sets direction across business lines</t>
        </is>
      </c>
      <c r="N9" s="34" t="inlineStr">
        <is>
          <t>M</t>
        </is>
      </c>
      <c r="O9" s="84" t="inlineStr">
        <is>
          <t>Works at C2: Function results, budget and risk</t>
        </is>
      </c>
      <c r="P9" s="84" t="inlineStr">
        <is>
          <t>Business-line P&amp;L and market position</t>
        </is>
      </c>
      <c r="Q9" s="84" t="inlineStr">
        <is>
          <t>Already works at D2: Multi-business results</t>
        </is>
      </c>
      <c r="R9" s="34" t="inlineStr">
        <is>
          <t>M</t>
        </is>
      </c>
      <c r="S9" s="56" t="inlineStr">
        <is>
          <t>Works at C2: Leads a function; shapes functional strategy</t>
        </is>
      </c>
      <c r="T9" s="56" t="inlineStr">
        <is>
          <t>Defines business strategy; builds the leadership bench</t>
        </is>
      </c>
      <c r="U9" s="56" t="inlineStr">
        <is>
          <t>Already works at D2: Builds the leadership team across businesses</t>
        </is>
      </c>
      <c r="V9" s="34" t="inlineStr">
        <is>
          <t>L</t>
        </is>
      </c>
      <c r="W9" s="56" t="inlineStr">
        <is>
          <t>Works at C2: Drives a function's or department's results and costs</t>
        </is>
      </c>
      <c r="X9" s="56" t="inlineStr">
        <is>
          <t>Owns a business line's P&amp;L and growth, or a company-wide function</t>
        </is>
      </c>
      <c r="Y9" s="56" t="inlineStr">
        <is>
          <t>Already works at D2: Owns the results of several business lines</t>
        </is>
      </c>
      <c r="Z9" s="34" t="inlineStr">
        <is>
          <t>L</t>
        </is>
      </c>
      <c r="AA9" s="85" t="inlineStr">
        <is>
          <t>Less experience than the band's typical 15–20 yrs</t>
        </is>
      </c>
      <c r="AB9" s="85" t="inlineStr">
        <is>
          <t>Typical for the band: 15–20 yrs · market — yrs</t>
        </is>
      </c>
      <c r="AC9" s="85" t="inlineStr">
        <is>
          <t>More experience than the band's typical 15–20 yrs</t>
        </is>
      </c>
      <c r="AD9" s="34" t="inlineStr">
        <is>
          <t>L</t>
        </is>
      </c>
      <c r="AE9" s="85" t="inlineStr">
        <is>
          <t>Below: Postgraduate / professional qualification preferred</t>
        </is>
      </c>
      <c r="AF9" s="85" t="inlineStr">
        <is>
          <t>Postgraduate / professional qualification preferred · licence-to-practise roles: CA, CS, CMA or LLB as the role needs</t>
        </is>
      </c>
      <c r="AG9" s="85" t="inlineStr">
        <is>
          <t>Above: Postgraduate / professional qualification preferred</t>
        </is>
      </c>
      <c r="AH9" s="44" t="inlineStr">
        <is>
          <t>36.3 · 19 · 11.3 · 20 · 8.7 · 4 · 1</t>
        </is>
      </c>
      <c r="AI9" s="38" t="inlineStr">
        <is>
          <t>15–20 yrs</t>
        </is>
      </c>
      <c r="AJ9" s="38" t="inlineStr">
        <is>
          <t>5–8 heads</t>
        </is>
      </c>
      <c r="AK9" s="38" t="inlineStr">
        <is>
          <t>E1–E2 · SFIA 6–7</t>
        </is>
      </c>
      <c r="AL9"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0" ht="120" customHeight="1">
      <c r="A10" s="87" t="inlineStr">
        <is>
          <t>C+</t>
        </is>
      </c>
      <c r="B10" s="29" t="inlineStr">
        <is>
          <t>C+ · Player-Coach</t>
        </is>
      </c>
      <c r="C10" s="29" t="inlineStr">
        <is>
          <t>C+ · Player-Coach</t>
        </is>
      </c>
      <c r="D10" s="29" t="inlineStr">
        <is>
          <t>Group Head · Player-Coach</t>
        </is>
      </c>
      <c r="E10" s="29" t="inlineStr">
        <is>
          <t>— no role at this level today</t>
        </is>
      </c>
      <c r="F10" s="34" t="inlineStr">
        <is>
          <t>H</t>
        </is>
      </c>
      <c r="G10" s="84" t="inlineStr">
        <is>
          <t>Works at C2: Function-wide or company-wide problems; creates methods and standards</t>
        </is>
      </c>
      <c r="H10" s="84" t="inlineStr">
        <is>
          <t>Function-wide and cross-product problems; personally handles the most critical client or technical work</t>
        </is>
      </c>
      <c r="I10" s="84" t="inlineStr">
        <is>
          <t>Already works at D1: Competing strategic, financial and regulatory priorities</t>
        </is>
      </c>
      <c r="J10" s="34" t="inlineStr">
        <is>
          <t>M</t>
        </is>
      </c>
      <c r="K10" s="84" t="inlineStr">
        <is>
          <t>Works at C2: Sets direction for a function</t>
        </is>
      </c>
      <c r="L10" s="84" t="inlineStr">
        <is>
          <t>Sets direction for the function; business-line trade-offs go to the Business Head</t>
        </is>
      </c>
      <c r="M10" s="84" t="inlineStr">
        <is>
          <t>Already works at D1: Sets business-line direction, pricing and investment</t>
        </is>
      </c>
      <c r="N10" s="34" t="inlineStr">
        <is>
          <t>M</t>
        </is>
      </c>
      <c r="O10" s="84" t="inlineStr">
        <is>
          <t>Works at C2: Function results, budget and risk</t>
        </is>
      </c>
      <c r="P10" s="84" t="inlineStr">
        <is>
          <t>Function results, budget and key-client outcomes; carries own book or principal delivery</t>
        </is>
      </c>
      <c r="Q10" s="84" t="inlineStr">
        <is>
          <t>Already works at D1: Business-line P&amp;L and market position</t>
        </is>
      </c>
      <c r="R10" s="34" t="inlineStr">
        <is>
          <t>M</t>
        </is>
      </c>
      <c r="S10" s="56" t="inlineStr">
        <is>
          <t>Works at C2: Leads a function; shapes functional strategy</t>
        </is>
      </c>
      <c r="T10" s="56" t="inlineStr">
        <is>
          <t>Leads managers and leads and 10+ people in the function while staying hands-on</t>
        </is>
      </c>
      <c r="U10" s="56" t="inlineStr">
        <is>
          <t>Already works at D1: Defines business strategy; builds the leadership bench</t>
        </is>
      </c>
      <c r="V10" s="34" t="inlineStr">
        <is>
          <t>L</t>
        </is>
      </c>
      <c r="W10" s="56" t="inlineStr">
        <is>
          <t>Works at C2: Drives a function's or department's results and costs</t>
        </is>
      </c>
      <c r="X10" s="56" t="inlineStr">
        <is>
          <t>Drives a function's results and personally wins or delivers key work</t>
        </is>
      </c>
      <c r="Y10" s="56" t="inlineStr">
        <is>
          <t>Already works at D1: Owns a business line's P&amp;L and growth, or a company-wide function</t>
        </is>
      </c>
      <c r="Z10" s="34" t="inlineStr">
        <is>
          <t>L</t>
        </is>
      </c>
      <c r="AA10" s="85" t="inlineStr">
        <is>
          <t>Less experience than the band's typical 13–18 yrs</t>
        </is>
      </c>
      <c r="AB10" s="85" t="inlineStr">
        <is>
          <t>Typical for the band: 13–18 yrs · market 15–18 yrs</t>
        </is>
      </c>
      <c r="AC10" s="85" t="inlineStr">
        <is>
          <t>More experience than the band's typical 13–18 yrs</t>
        </is>
      </c>
      <c r="AD10" s="34" t="inlineStr">
        <is>
          <t>L</t>
        </is>
      </c>
      <c r="AE10" s="85" t="inlineStr">
        <is>
          <t>Below: Postgraduate / professional qualification preferred</t>
        </is>
      </c>
      <c r="AF10" s="85" t="inlineStr">
        <is>
          <t>Postgraduate / professional qualification preferred · licence-to-practise roles: CA, CS, CMA or LLB as the role needs</t>
        </is>
      </c>
      <c r="AG10" s="85" t="inlineStr">
        <is>
          <t>Above: Postgraduate / professional qualification preferred</t>
        </is>
      </c>
      <c r="AH10" s="44" t="inlineStr">
        <is>
          <t>37.7 · 18.3 · 10.7 · 20 · 8 · 4 · 1</t>
        </is>
      </c>
      <c r="AI10" s="38" t="inlineStr">
        <is>
          <t>15–18</t>
        </is>
      </c>
      <c r="AJ10" s="38" t="inlineStr">
        <is>
          <t>4–8 managers / leads with ≥ 25% of time on own principal delivery</t>
        </is>
      </c>
      <c r="AK10" s="38" t="inlineStr">
        <is>
          <t>M6 / E1 · SFIA 6 Initiate, influence</t>
        </is>
      </c>
      <c r="AL10"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1" ht="120" customHeight="1">
      <c r="A11" s="88" t="inlineStr">
        <is>
          <t>C2</t>
        </is>
      </c>
      <c r="B11" s="29" t="inlineStr">
        <is>
          <t>Band C · Principal / Head</t>
        </is>
      </c>
      <c r="C11" s="29" t="inlineStr">
        <is>
          <t>Band C · Head / manager</t>
        </is>
      </c>
      <c r="D11" s="29" t="inlineStr">
        <is>
          <t>Head of Function</t>
        </is>
      </c>
      <c r="E11" s="29" t="inlineStr">
        <is>
          <t>— no role at this level today</t>
        </is>
      </c>
      <c r="F11" s="34" t="inlineStr">
        <is>
          <t>H</t>
        </is>
      </c>
      <c r="G11" s="84" t="inlineStr">
        <is>
          <t>Works at C1: Ambiguous, cross-product problems</t>
        </is>
      </c>
      <c r="H11" s="84" t="inlineStr">
        <is>
          <t>Function-wide or company-wide problems; creates methods and standards</t>
        </is>
      </c>
      <c r="I11" s="84" t="inlineStr">
        <is>
          <t>Already works at D1: Competing strategic, financial and regulatory priorities</t>
        </is>
      </c>
      <c r="J11" s="34" t="inlineStr">
        <is>
          <t>M</t>
        </is>
      </c>
      <c r="K11" s="84" t="inlineStr">
        <is>
          <t>Works at C1: Sets direction for a sub-function or domain</t>
        </is>
      </c>
      <c r="L11" s="84" t="inlineStr">
        <is>
          <t>Sets direction for a function</t>
        </is>
      </c>
      <c r="M11" s="84" t="inlineStr">
        <is>
          <t>Already works at D1: Sets business-line direction, pricing and investment</t>
        </is>
      </c>
      <c r="N11" s="34" t="inlineStr">
        <is>
          <t>M</t>
        </is>
      </c>
      <c r="O11" s="84" t="inlineStr">
        <is>
          <t>Works at C1: Sub-function results or domain quality across products</t>
        </is>
      </c>
      <c r="P11" s="84" t="inlineStr">
        <is>
          <t>Function results, budget and risk</t>
        </is>
      </c>
      <c r="Q11" s="84" t="inlineStr">
        <is>
          <t>Already works at D1: Business-line P&amp;L and market position</t>
        </is>
      </c>
      <c r="R11" s="34" t="inlineStr">
        <is>
          <t>M</t>
        </is>
      </c>
      <c r="S11" s="56" t="inlineStr">
        <is>
          <t>Works at C1: Leads managers or a community of practice</t>
        </is>
      </c>
      <c r="T11" s="56" t="inlineStr">
        <is>
          <t>Leads a function; shapes functional strategy</t>
        </is>
      </c>
      <c r="U11" s="56" t="inlineStr">
        <is>
          <t>Already works at D1: Defines business strategy; builds the leadership bench</t>
        </is>
      </c>
      <c r="V11" s="34" t="inlineStr">
        <is>
          <t>L</t>
        </is>
      </c>
      <c r="W11" s="56" t="inlineStr">
        <is>
          <t>Works at C1: Changes results across a sub-function or across products</t>
        </is>
      </c>
      <c r="X11" s="56" t="inlineStr">
        <is>
          <t>Drives a function's or department's results and costs</t>
        </is>
      </c>
      <c r="Y11" s="56" t="inlineStr">
        <is>
          <t>Already works at D1: Owns a business line's P&amp;L and growth, or a company-wide function</t>
        </is>
      </c>
      <c r="Z11" s="34" t="inlineStr">
        <is>
          <t>L</t>
        </is>
      </c>
      <c r="AA11" s="85" t="inlineStr">
        <is>
          <t>Less experience than the band's typical 12–17 yrs</t>
        </is>
      </c>
      <c r="AB11" s="85" t="inlineStr">
        <is>
          <t>Typical for the band: 12–17 yrs · market — yrs</t>
        </is>
      </c>
      <c r="AC11" s="85" t="inlineStr">
        <is>
          <t>More experience than the band's typical 12–17 yrs</t>
        </is>
      </c>
      <c r="AD11" s="34" t="inlineStr">
        <is>
          <t>L</t>
        </is>
      </c>
      <c r="AE11" s="85" t="inlineStr">
        <is>
          <t>Below: Postgraduate / professional qualification preferred</t>
        </is>
      </c>
      <c r="AF11" s="85" t="inlineStr">
        <is>
          <t>Postgraduate / professional qualification preferred · licence-to-practise roles: CA, CS, CMA or LLB as the role needs</t>
        </is>
      </c>
      <c r="AG11" s="85" t="inlineStr">
        <is>
          <t>Above: Postgraduate / professional qualification preferred</t>
        </is>
      </c>
      <c r="AH11" s="44" t="inlineStr">
        <is>
          <t>43.3 · 18 · 10.7 · 15 · 8 · 4 · 1</t>
        </is>
      </c>
      <c r="AI11" s="38" t="inlineStr">
        <is>
          <t>12–17 yrs</t>
        </is>
      </c>
      <c r="AJ11" s="38" t="inlineStr">
        <is>
          <t>5–8 managers / associate heads</t>
        </is>
      </c>
      <c r="AK11" s="38" t="inlineStr">
        <is>
          <t>P7 / M6 · SFIA 6 Initiate, influence</t>
        </is>
      </c>
      <c r="AL11"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2" ht="120" customHeight="1">
      <c r="A12" s="88" t="inlineStr">
        <is>
          <t>C2</t>
        </is>
      </c>
      <c r="B12" s="29" t="inlineStr">
        <is>
          <t>Band C · Principal / Head</t>
        </is>
      </c>
      <c r="C12" s="29" t="inlineStr">
        <is>
          <t>Band C · Principal specialist</t>
        </is>
      </c>
      <c r="D12" s="29" t="inlineStr">
        <is>
          <t>Senior Principal / Architect</t>
        </is>
      </c>
      <c r="E12" s="29" t="inlineStr">
        <is>
          <t>— no role at this level today</t>
        </is>
      </c>
      <c r="F12" s="34" t="inlineStr">
        <is>
          <t>H</t>
        </is>
      </c>
      <c r="G12" s="84" t="inlineStr">
        <is>
          <t>Works at C1: Ambiguous, cross-product problems</t>
        </is>
      </c>
      <c r="H12" s="84" t="inlineStr">
        <is>
          <t>Function-wide or company-wide problems; creates methods and standards</t>
        </is>
      </c>
      <c r="I12" s="84" t="inlineStr">
        <is>
          <t>Already works at D1: Competing strategic, financial and regulatory priorities</t>
        </is>
      </c>
      <c r="J12" s="34" t="inlineStr">
        <is>
          <t>M</t>
        </is>
      </c>
      <c r="K12" s="84" t="inlineStr">
        <is>
          <t>Works at C1: Sets direction for a sub-function or domain</t>
        </is>
      </c>
      <c r="L12" s="84" t="inlineStr">
        <is>
          <t>Sets direction for a function</t>
        </is>
      </c>
      <c r="M12" s="84" t="inlineStr">
        <is>
          <t>Already works at D1: Sets business-line direction, pricing and investment</t>
        </is>
      </c>
      <c r="N12" s="34" t="inlineStr">
        <is>
          <t>M</t>
        </is>
      </c>
      <c r="O12" s="84" t="inlineStr">
        <is>
          <t>Works at C1: Sub-function results or domain quality across products</t>
        </is>
      </c>
      <c r="P12" s="84" t="inlineStr">
        <is>
          <t>Function results, budget and risk</t>
        </is>
      </c>
      <c r="Q12" s="84" t="inlineStr">
        <is>
          <t>Already works at D1: Business-line P&amp;L and market position</t>
        </is>
      </c>
      <c r="R12" s="34" t="inlineStr">
        <is>
          <t>L</t>
        </is>
      </c>
      <c r="S12" s="56" t="inlineStr">
        <is>
          <t>Works at C1: Leads managers or a community of practice</t>
        </is>
      </c>
      <c r="T12" s="56" t="inlineStr">
        <is>
          <t>Leads a function; shapes functional strategy</t>
        </is>
      </c>
      <c r="U12" s="56" t="inlineStr">
        <is>
          <t>Already works at D1: Defines business strategy; builds the leadership bench</t>
        </is>
      </c>
      <c r="V12" s="34" t="inlineStr">
        <is>
          <t>L</t>
        </is>
      </c>
      <c r="W12" s="56" t="inlineStr">
        <is>
          <t>Works at C1: Changes results across a sub-function or across products</t>
        </is>
      </c>
      <c r="X12" s="56" t="inlineStr">
        <is>
          <t>Drives a function's or department's results and costs</t>
        </is>
      </c>
      <c r="Y12" s="56" t="inlineStr">
        <is>
          <t>Already works at D1: Owns a business line's P&amp;L and growth, or a company-wide function</t>
        </is>
      </c>
      <c r="Z12" s="34" t="inlineStr">
        <is>
          <t>L</t>
        </is>
      </c>
      <c r="AA12" s="85" t="inlineStr">
        <is>
          <t>Less experience than the band's typical 12–17 yrs</t>
        </is>
      </c>
      <c r="AB12" s="85" t="inlineStr">
        <is>
          <t>Typical for the band: 12–17 yrs · market — yrs</t>
        </is>
      </c>
      <c r="AC12" s="85" t="inlineStr">
        <is>
          <t>More experience than the band's typical 12–17 yrs</t>
        </is>
      </c>
      <c r="AD12" s="34" t="inlineStr">
        <is>
          <t>L</t>
        </is>
      </c>
      <c r="AE12" s="85" t="inlineStr">
        <is>
          <t>Below: Postgraduate / professional qualification preferred</t>
        </is>
      </c>
      <c r="AF12" s="85" t="inlineStr">
        <is>
          <t>Postgraduate / professional qualification preferred · licence-to-practise roles: CA, CS, CMA or LLB as the role needs</t>
        </is>
      </c>
      <c r="AG12" s="85" t="inlineStr">
        <is>
          <t>Above: Postgraduate / professional qualification preferred</t>
        </is>
      </c>
      <c r="AH12" s="44" t="inlineStr">
        <is>
          <t>54.3 · 17.7 · 10.3 · 5 · 7.7 · 4 · 1</t>
        </is>
      </c>
      <c r="AI12" s="38" t="inlineStr">
        <is>
          <t>12–17 yrs</t>
        </is>
      </c>
      <c r="AJ12" s="38" t="inlineStr">
        <is>
          <t>5–8 managers / associate heads</t>
        </is>
      </c>
      <c r="AK12" s="38" t="inlineStr">
        <is>
          <t>P7 / M6 · SFIA 6 Initiate, influence</t>
        </is>
      </c>
      <c r="AL12"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3" ht="120" customHeight="1">
      <c r="A13" s="88" t="inlineStr">
        <is>
          <t>C1</t>
        </is>
      </c>
      <c r="B13" s="29" t="inlineStr">
        <is>
          <t>Band C · Principal / Head</t>
        </is>
      </c>
      <c r="C13" s="29" t="inlineStr">
        <is>
          <t>Band C · Head / manager</t>
        </is>
      </c>
      <c r="D13" s="29" t="inlineStr">
        <is>
          <t>Associate Head</t>
        </is>
      </c>
      <c r="E13" s="29" t="inlineStr">
        <is>
          <t>Company Secretarial &amp; Legal · Company Secretary – POD Lead</t>
        </is>
      </c>
      <c r="F13" s="34" t="inlineStr">
        <is>
          <t>H</t>
        </is>
      </c>
      <c r="G13" s="84" t="inlineStr">
        <is>
          <t>Works at B3: Sets standards for a practice; cross-team problems</t>
        </is>
      </c>
      <c r="H13" s="84" t="inlineStr">
        <is>
          <t>Ambiguous, cross-product problems · in Administration, Legal &amp; Secretarial: Secretarial · Legal</t>
        </is>
      </c>
      <c r="I13" s="84" t="inlineStr">
        <is>
          <t>Already works at C2: Function-wide or company-wide problems; creates methods and standards</t>
        </is>
      </c>
      <c r="J13" s="34" t="inlineStr">
        <is>
          <t>M</t>
        </is>
      </c>
      <c r="K13" s="84" t="inlineStr">
        <is>
          <t>Works at B3: Commercial / strategic calls for the unit</t>
        </is>
      </c>
      <c r="L13" s="84" t="inlineStr">
        <is>
          <t>Sets direction for a sub-function or domain</t>
        </is>
      </c>
      <c r="M13" s="84" t="inlineStr">
        <is>
          <t>Already works at C2: Sets direction for a function</t>
        </is>
      </c>
      <c r="N13" s="34" t="inlineStr">
        <is>
          <t>M</t>
        </is>
      </c>
      <c r="O13" s="84" t="inlineStr">
        <is>
          <t>Works at B3: Several teams or a practice</t>
        </is>
      </c>
      <c r="P13" s="84" t="inlineStr">
        <is>
          <t>Sub-function results or domain quality across products</t>
        </is>
      </c>
      <c r="Q13" s="84" t="inlineStr">
        <is>
          <t>Already works at C2: Function results, budget and risk</t>
        </is>
      </c>
      <c r="R13" s="34" t="inlineStr">
        <is>
          <t>M</t>
        </is>
      </c>
      <c r="S13" s="56" t="inlineStr">
        <is>
          <t>Works at B3: IC: leads a practice · People: team leads / managers report in</t>
        </is>
      </c>
      <c r="T13" s="56" t="inlineStr">
        <is>
          <t>Leads managers or a community of practice</t>
        </is>
      </c>
      <c r="U13" s="56" t="inlineStr">
        <is>
          <t>Already works at C2: Leads a function; shapes functional strategy</t>
        </is>
      </c>
      <c r="V13" s="34" t="inlineStr">
        <is>
          <t>L</t>
        </is>
      </c>
      <c r="W13" s="56" t="inlineStr">
        <is>
          <t>Works at B3: Shapes the results of a practice or several teams</t>
        </is>
      </c>
      <c r="X13" s="56" t="inlineStr">
        <is>
          <t>Changes results across a sub-function or across products · purpose: Handles statutory filings, board matters, contracts and legal compliance. At C1: a sub-function, or principal authority across products.</t>
        </is>
      </c>
      <c r="Y13" s="56" t="inlineStr">
        <is>
          <t>Already works at C2: Drives a function's or department's results and costs</t>
        </is>
      </c>
      <c r="Z13" s="34" t="inlineStr">
        <is>
          <t>L</t>
        </is>
      </c>
      <c r="AA13" s="85" t="inlineStr">
        <is>
          <t>Less experience than the band's typical 10–14 yrs</t>
        </is>
      </c>
      <c r="AB13" s="85" t="inlineStr">
        <is>
          <t>Typical for the band: 10–14 yrs · market 12–17 yrs</t>
        </is>
      </c>
      <c r="AC13" s="85" t="inlineStr">
        <is>
          <t>More experience than the band's typical 10–14 yrs</t>
        </is>
      </c>
      <c r="AD13" s="34" t="inlineStr">
        <is>
          <t>L</t>
        </is>
      </c>
      <c r="AE13" s="85" t="inlineStr">
        <is>
          <t>Below: Postgraduate or professional qualification preferred</t>
        </is>
      </c>
      <c r="AF13" s="85" t="inlineStr">
        <is>
          <t>Postgraduate / professional qualification preferred · licence-to-practise roles: CA, CS, CMA or LLB as the role needs</t>
        </is>
      </c>
      <c r="AG13" s="85" t="inlineStr">
        <is>
          <t>Above: Postgraduate / professional qualification preferred</t>
        </is>
      </c>
      <c r="AH13" s="44" t="inlineStr">
        <is>
          <t>43.3 · 18 · 10.7 · 15 · 8 · 4 · 1</t>
        </is>
      </c>
      <c r="AI13" s="38" t="inlineStr">
        <is>
          <t>12–17</t>
        </is>
      </c>
      <c r="AJ13" s="38" t="inlineStr">
        <is>
          <t>5–8, mostly managers</t>
        </is>
      </c>
      <c r="AK13" s="38" t="inlineStr">
        <is>
          <t>P6 / M5 · SFIA 5–6</t>
        </is>
      </c>
      <c r="AL13"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4" ht="120" customHeight="1">
      <c r="A14" s="88" t="inlineStr">
        <is>
          <t>C1</t>
        </is>
      </c>
      <c r="B14" s="29" t="inlineStr">
        <is>
          <t>Band C · Principal / Head</t>
        </is>
      </c>
      <c r="C14" s="29" t="inlineStr">
        <is>
          <t>Band C · Principal specialist</t>
        </is>
      </c>
      <c r="D14" s="29" t="inlineStr">
        <is>
          <t>Principal</t>
        </is>
      </c>
      <c r="E14" s="29" t="inlineStr">
        <is>
          <t>Company Secretarial &amp; Legal · Company Secretary – POD Lead</t>
        </is>
      </c>
      <c r="F14" s="34" t="inlineStr">
        <is>
          <t>H</t>
        </is>
      </c>
      <c r="G14" s="84" t="inlineStr">
        <is>
          <t>Works at B3: Sets standards for a practice; cross-team problems</t>
        </is>
      </c>
      <c r="H14" s="84" t="inlineStr">
        <is>
          <t>Ambiguous, cross-product problems · in Administration, Legal &amp; Secretarial: Secretarial · Legal</t>
        </is>
      </c>
      <c r="I14" s="84" t="inlineStr">
        <is>
          <t>Already works at C2: Function-wide or company-wide problems; creates methods and standards</t>
        </is>
      </c>
      <c r="J14" s="34" t="inlineStr">
        <is>
          <t>M</t>
        </is>
      </c>
      <c r="K14" s="84" t="inlineStr">
        <is>
          <t>Works at B3: Commercial / strategic calls for the unit</t>
        </is>
      </c>
      <c r="L14" s="84" t="inlineStr">
        <is>
          <t>Sets direction for a sub-function or domain</t>
        </is>
      </c>
      <c r="M14" s="84" t="inlineStr">
        <is>
          <t>Already works at C2: Sets direction for a function</t>
        </is>
      </c>
      <c r="N14" s="34" t="inlineStr">
        <is>
          <t>M</t>
        </is>
      </c>
      <c r="O14" s="84" t="inlineStr">
        <is>
          <t>Works at B3: Several teams or a practice</t>
        </is>
      </c>
      <c r="P14" s="84" t="inlineStr">
        <is>
          <t>Sub-function results or domain quality across products</t>
        </is>
      </c>
      <c r="Q14" s="84" t="inlineStr">
        <is>
          <t>Already works at C2: Function results, budget and risk</t>
        </is>
      </c>
      <c r="R14" s="34" t="inlineStr">
        <is>
          <t>L</t>
        </is>
      </c>
      <c r="S14" s="56" t="inlineStr">
        <is>
          <t>Works at B3: IC: leads a practice · People: team leads / managers report in</t>
        </is>
      </c>
      <c r="T14" s="56" t="inlineStr">
        <is>
          <t>Leads managers or a community of practice</t>
        </is>
      </c>
      <c r="U14" s="56" t="inlineStr">
        <is>
          <t>Already works at C2: Leads a function; shapes functional strategy</t>
        </is>
      </c>
      <c r="V14" s="34" t="inlineStr">
        <is>
          <t>L</t>
        </is>
      </c>
      <c r="W14" s="56" t="inlineStr">
        <is>
          <t>Works at B3: Shapes the results of a practice or several teams</t>
        </is>
      </c>
      <c r="X14" s="56" t="inlineStr">
        <is>
          <t>Changes results across a sub-function or across products · purpose: Handles statutory filings, board matters, contracts and legal compliance. At C1: a sub-function, or principal authority across products.</t>
        </is>
      </c>
      <c r="Y14" s="56" t="inlineStr">
        <is>
          <t>Already works at C2: Drives a function's or department's results and costs</t>
        </is>
      </c>
      <c r="Z14" s="34" t="inlineStr">
        <is>
          <t>L</t>
        </is>
      </c>
      <c r="AA14" s="85" t="inlineStr">
        <is>
          <t>Less experience than the band's typical 10–14 yrs</t>
        </is>
      </c>
      <c r="AB14" s="85" t="inlineStr">
        <is>
          <t>Typical for the band: 10–14 yrs · market 12–17 yrs</t>
        </is>
      </c>
      <c r="AC14" s="85" t="inlineStr">
        <is>
          <t>More experience than the band's typical 10–14 yrs</t>
        </is>
      </c>
      <c r="AD14" s="34" t="inlineStr">
        <is>
          <t>L</t>
        </is>
      </c>
      <c r="AE14" s="85" t="inlineStr">
        <is>
          <t>Below: Postgraduate or professional qualification preferred</t>
        </is>
      </c>
      <c r="AF14" s="85" t="inlineStr">
        <is>
          <t>Postgraduate / professional qualification preferred · licence-to-practise roles: CA, CS, CMA or LLB as the role needs</t>
        </is>
      </c>
      <c r="AG14" s="85" t="inlineStr">
        <is>
          <t>Above: Postgraduate / professional qualification preferred</t>
        </is>
      </c>
      <c r="AH14" s="44" t="inlineStr">
        <is>
          <t>54.3 · 17.7 · 10.3 · 5 · 7.7 · 4 · 1</t>
        </is>
      </c>
      <c r="AI14" s="38" t="inlineStr">
        <is>
          <t>12–17</t>
        </is>
      </c>
      <c r="AJ14" s="38" t="inlineStr">
        <is>
          <t>5–8, mostly managers</t>
        </is>
      </c>
      <c r="AK14" s="38" t="inlineStr">
        <is>
          <t>P6 / M5 · SFIA 5–6</t>
        </is>
      </c>
      <c r="AL14"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5" ht="120" customHeight="1">
      <c r="A15" s="89" t="inlineStr">
        <is>
          <t>B+</t>
        </is>
      </c>
      <c r="B15" s="29" t="inlineStr">
        <is>
          <t>B+ · Player-Coach</t>
        </is>
      </c>
      <c r="C15" s="29" t="inlineStr">
        <is>
          <t>B+ · Player-Coach</t>
        </is>
      </c>
      <c r="D15" s="29" t="inlineStr">
        <is>
          <t>Practice Lead · Player-Coach</t>
        </is>
      </c>
      <c r="E15" s="29" t="inlineStr">
        <is>
          <t>— no role at this level today</t>
        </is>
      </c>
      <c r="F15" s="34" t="inlineStr">
        <is>
          <t>H</t>
        </is>
      </c>
      <c r="G15" s="84" t="inlineStr">
        <is>
          <t>Works at B3: Sets standards for a practice; cross-team problems</t>
        </is>
      </c>
      <c r="H15" s="84" t="inlineStr">
        <is>
          <t>Principal-level problems in own domain; sets technical or quality standards and still builds</t>
        </is>
      </c>
      <c r="I15" s="84" t="inlineStr">
        <is>
          <t>Already works at C1: Ambiguous, cross-product problems</t>
        </is>
      </c>
      <c r="J15" s="34" t="inlineStr">
        <is>
          <t>M</t>
        </is>
      </c>
      <c r="K15" s="84" t="inlineStr">
        <is>
          <t>Works at B3: Commercial / strategic calls for the unit</t>
        </is>
      </c>
      <c r="L15" s="84" t="inlineStr">
        <is>
          <t>Decides approach and priorities for the practice; escalates only cross-function trade-offs</t>
        </is>
      </c>
      <c r="M15" s="84" t="inlineStr">
        <is>
          <t>Already works at C1: Sets direction for a sub-function or domain</t>
        </is>
      </c>
      <c r="N15" s="34" t="inlineStr">
        <is>
          <t>M</t>
        </is>
      </c>
      <c r="O15" s="84" t="inlineStr">
        <is>
          <t>Works at B3: Several teams or a practice</t>
        </is>
      </c>
      <c r="P15" s="84" t="inlineStr">
        <is>
          <t>Practice outcomes plus own deliverables; quality and delivery of the team</t>
        </is>
      </c>
      <c r="Q15" s="84" t="inlineStr">
        <is>
          <t>Already works at C1: Sub-function results or domain quality across products</t>
        </is>
      </c>
      <c r="R15" s="34" t="inlineStr">
        <is>
          <t>M</t>
        </is>
      </c>
      <c r="S15" s="56" t="inlineStr">
        <is>
          <t>Works at B3: IC: leads a practice · People: team leads / managers report in</t>
        </is>
      </c>
      <c r="T15" s="56" t="inlineStr">
        <is>
          <t>Leads 3–6 people · or a pod while remaining a hands-on expert; coaches, allocates, reviews</t>
        </is>
      </c>
      <c r="U15" s="56" t="inlineStr">
        <is>
          <t>Already works at C1: Leads managers or a community of practice</t>
        </is>
      </c>
      <c r="V15" s="34" t="inlineStr">
        <is>
          <t>L</t>
        </is>
      </c>
      <c r="W15" s="56" t="inlineStr">
        <is>
          <t>Works at B3: Shapes the results of a practice or several teams</t>
        </is>
      </c>
      <c r="X15" s="56" t="inlineStr">
        <is>
          <t>Drives a practice's results while delivering the hardest work</t>
        </is>
      </c>
      <c r="Y15" s="56" t="inlineStr">
        <is>
          <t>Already works at C1: Changes results across a sub-function or across products</t>
        </is>
      </c>
      <c r="Z15" s="34" t="inlineStr">
        <is>
          <t>L</t>
        </is>
      </c>
      <c r="AA15" s="85" t="inlineStr">
        <is>
          <t>Less experience than the band's typical 9–14 yrs</t>
        </is>
      </c>
      <c r="AB15" s="85" t="inlineStr">
        <is>
          <t>Typical for the band: 9–14 yrs · market 9–14 yrs</t>
        </is>
      </c>
      <c r="AC15" s="85" t="inlineStr">
        <is>
          <t>More experience than the band's typical 9–14 yrs</t>
        </is>
      </c>
      <c r="AD15" s="34" t="inlineStr">
        <is>
          <t>M</t>
        </is>
      </c>
      <c r="AE15" s="85" t="inlineStr">
        <is>
          <t>Below: Postgraduate or professional qualification preferred</t>
        </is>
      </c>
      <c r="AF15" s="85" t="inlineStr">
        <is>
          <t>Postgraduate or professional qualification preferred · licence-to-practise roles: CA, CS, CMA or LLB as the role needs</t>
        </is>
      </c>
      <c r="AG15" s="85" t="inlineStr">
        <is>
          <t>Above: Postgraduate / professional qualification preferred</t>
        </is>
      </c>
      <c r="AH15" s="44" t="inlineStr">
        <is>
          <t>44 · 17.7 · 10.3 · 10 · 7.7 · 6 · 4</t>
        </is>
      </c>
      <c r="AI15" s="38" t="inlineStr">
        <is>
          <t>9–14</t>
        </is>
      </c>
      <c r="AJ15" s="38" t="inlineStr">
        <is>
          <t>3–6 direct reports with ≥ 40% of time on own delivery · McKinsey player/coach 3–5; Google Tech Lead Manager</t>
        </is>
      </c>
      <c r="AK15" s="38" t="inlineStr">
        <is>
          <t>P5–P6 / M4–M5 · SFIA 5 Ensure, advise</t>
        </is>
      </c>
      <c r="AL15"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6" ht="120" customHeight="1">
      <c r="A16" s="90" t="inlineStr">
        <is>
          <t>B3</t>
        </is>
      </c>
      <c r="B16" s="29" t="inlineStr">
        <is>
          <t>Band B · Specialist / Manager</t>
        </is>
      </c>
      <c r="C16" s="29" t="inlineStr">
        <is>
          <t>Band B · People Manager</t>
        </is>
      </c>
      <c r="D16" s="29" t="inlineStr">
        <is>
          <t>Senior Manager</t>
        </is>
      </c>
      <c r="E16" s="29" t="inlineStr">
        <is>
          <t>— no role at this level today</t>
        </is>
      </c>
      <c r="F16" s="34" t="inlineStr">
        <is>
          <t>H</t>
        </is>
      </c>
      <c r="G16" s="84" t="inlineStr">
        <is>
          <t>Works at B2: Hardest problems in the domain</t>
        </is>
      </c>
      <c r="H16" s="84" t="inlineStr">
        <is>
          <t>Sets standards for a practice; cross-team problems</t>
        </is>
      </c>
      <c r="I16" s="84" t="inlineStr">
        <is>
          <t>Already works at C1: Ambiguous, cross-product problems</t>
        </is>
      </c>
      <c r="J16" s="34" t="inlineStr">
        <is>
          <t>M</t>
        </is>
      </c>
      <c r="K16" s="84" t="inlineStr">
        <is>
          <t>Works at B2: Allocates people and sets team priorities</t>
        </is>
      </c>
      <c r="L16" s="84" t="inlineStr">
        <is>
          <t>Commercial / strategic calls for the unit</t>
        </is>
      </c>
      <c r="M16" s="84" t="inlineStr">
        <is>
          <t>Already works at C1: Sets direction for a sub-function or domain</t>
        </is>
      </c>
      <c r="N16" s="34" t="inlineStr">
        <is>
          <t>M</t>
        </is>
      </c>
      <c r="O16" s="84" t="inlineStr">
        <is>
          <t>Works at B2: One team or a client portfolio</t>
        </is>
      </c>
      <c r="P16" s="84" t="inlineStr">
        <is>
          <t>Several teams or a practice</t>
        </is>
      </c>
      <c r="Q16" s="84" t="inlineStr">
        <is>
          <t>Already works at C1: Sub-function results or domain quality across products</t>
        </is>
      </c>
      <c r="R16" s="34" t="inlineStr">
        <is>
          <t>M</t>
        </is>
      </c>
      <c r="S16" s="56" t="inlineStr">
        <is>
          <t>Works at B2: IC: guides others in the domain · People: manages a team of 6+</t>
        </is>
      </c>
      <c r="T16" s="56" t="inlineStr">
        <is>
          <t>IC: leads a practice · People: team leads / managers report in</t>
        </is>
      </c>
      <c r="U16" s="56" t="inlineStr">
        <is>
          <t>Already works at C1: Leads managers or a community of practice</t>
        </is>
      </c>
      <c r="V16" s="34" t="inlineStr">
        <is>
          <t>L</t>
        </is>
      </c>
      <c r="W16" s="56" t="inlineStr">
        <is>
          <t>Works at B2: Visible effect on a team's or client portfolio's revenue, quality or compliance</t>
        </is>
      </c>
      <c r="X16" s="56" t="inlineStr">
        <is>
          <t>Shapes the results of a practice or several teams</t>
        </is>
      </c>
      <c r="Y16" s="56" t="inlineStr">
        <is>
          <t>Already works at C1: Changes results across a sub-function or across products</t>
        </is>
      </c>
      <c r="Z16" s="34" t="inlineStr">
        <is>
          <t>L</t>
        </is>
      </c>
      <c r="AA16" s="85" t="inlineStr">
        <is>
          <t>Less experience than the band's typical 8–12 yrs</t>
        </is>
      </c>
      <c r="AB16" s="85" t="inlineStr">
        <is>
          <t>Typical for the band: 8–12 yrs · market 8–13 yrs</t>
        </is>
      </c>
      <c r="AC16" s="85" t="inlineStr">
        <is>
          <t>More experience than the band's typical 8–12 yrs</t>
        </is>
      </c>
      <c r="AD16" s="34" t="inlineStr">
        <is>
          <t>L</t>
        </is>
      </c>
      <c r="AE16" s="85" t="inlineStr">
        <is>
          <t>Below: Graduate or postgraduate; professional qualification preferred</t>
        </is>
      </c>
      <c r="AF16" s="85" t="inlineStr">
        <is>
          <t>Postgraduate or professional qualification preferred · licence-to-practise roles: CA, CS, CMA or LLB as the role needs</t>
        </is>
      </c>
      <c r="AG16" s="85" t="inlineStr">
        <is>
          <t>Above: Postgraduate / professional qualification preferred</t>
        </is>
      </c>
      <c r="AH16" s="44" t="inlineStr">
        <is>
          <t>37 · 18.3 · 11.3 · 15 · 8.7 · 6 · 4</t>
        </is>
      </c>
      <c r="AI16" s="38" t="inlineStr">
        <is>
          <t>8–13</t>
        </is>
      </c>
      <c r="AJ16" s="38" t="inlineStr">
        <is>
          <t>IC: none · People: 5–8 incl. team leads</t>
        </is>
      </c>
      <c r="AK16" s="38" t="inlineStr">
        <is>
          <t>P5 / M4 · SFIA 5 Ensure, advise</t>
        </is>
      </c>
      <c r="AL16"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7" ht="120" customHeight="1">
      <c r="A17" s="90" t="inlineStr">
        <is>
          <t>B3</t>
        </is>
      </c>
      <c r="B17" s="29" t="inlineStr">
        <is>
          <t>Band B · Specialist / Manager</t>
        </is>
      </c>
      <c r="C17" s="29" t="inlineStr">
        <is>
          <t>Band B · Specialist / POD Lead</t>
        </is>
      </c>
      <c r="D17" s="29" t="inlineStr">
        <is>
          <t>Lead Specialist</t>
        </is>
      </c>
      <c r="E17" s="29" t="inlineStr">
        <is>
          <t>— no role at this level today</t>
        </is>
      </c>
      <c r="F17" s="34" t="inlineStr">
        <is>
          <t>H</t>
        </is>
      </c>
      <c r="G17" s="84" t="inlineStr">
        <is>
          <t>Works at B2: Hardest problems in the domain</t>
        </is>
      </c>
      <c r="H17" s="84" t="inlineStr">
        <is>
          <t>Sets standards for a practice; cross-team problems</t>
        </is>
      </c>
      <c r="I17" s="84" t="inlineStr">
        <is>
          <t>Already works at C1: Ambiguous, cross-product problems</t>
        </is>
      </c>
      <c r="J17" s="34" t="inlineStr">
        <is>
          <t>M</t>
        </is>
      </c>
      <c r="K17" s="84" t="inlineStr">
        <is>
          <t>Works at B2: Allocates people and sets team priorities</t>
        </is>
      </c>
      <c r="L17" s="84" t="inlineStr">
        <is>
          <t>Commercial / strategic calls for the unit</t>
        </is>
      </c>
      <c r="M17" s="84" t="inlineStr">
        <is>
          <t>Already works at C1: Sets direction for a sub-function or domain</t>
        </is>
      </c>
      <c r="N17" s="34" t="inlineStr">
        <is>
          <t>M</t>
        </is>
      </c>
      <c r="O17" s="84" t="inlineStr">
        <is>
          <t>Works at B2: One team or a client portfolio</t>
        </is>
      </c>
      <c r="P17" s="84" t="inlineStr">
        <is>
          <t>Several teams or a practice</t>
        </is>
      </c>
      <c r="Q17" s="84" t="inlineStr">
        <is>
          <t>Already works at C1: Sub-function results or domain quality across products</t>
        </is>
      </c>
      <c r="R17" s="34" t="inlineStr">
        <is>
          <t>L</t>
        </is>
      </c>
      <c r="S17" s="56" t="inlineStr">
        <is>
          <t>Works at B2: IC: guides others in the domain · People: manages a team of 6+</t>
        </is>
      </c>
      <c r="T17" s="56" t="inlineStr">
        <is>
          <t>IC: leads a practice · People: team leads / managers report in</t>
        </is>
      </c>
      <c r="U17" s="56" t="inlineStr">
        <is>
          <t>Already works at C1: Leads managers or a community of practice</t>
        </is>
      </c>
      <c r="V17" s="34" t="inlineStr">
        <is>
          <t>L</t>
        </is>
      </c>
      <c r="W17" s="56" t="inlineStr">
        <is>
          <t>Works at B2: Visible effect on a team's or client portfolio's revenue, quality or compliance</t>
        </is>
      </c>
      <c r="X17" s="56" t="inlineStr">
        <is>
          <t>Shapes the results of a practice or several teams</t>
        </is>
      </c>
      <c r="Y17" s="56" t="inlineStr">
        <is>
          <t>Already works at C1: Changes results across a sub-function or across products</t>
        </is>
      </c>
      <c r="Z17" s="34" t="inlineStr">
        <is>
          <t>L</t>
        </is>
      </c>
      <c r="AA17" s="85" t="inlineStr">
        <is>
          <t>Less experience than the band's typical 8–12 yrs</t>
        </is>
      </c>
      <c r="AB17" s="85" t="inlineStr">
        <is>
          <t>Typical for the band: 8–12 yrs · market 8–13 yrs</t>
        </is>
      </c>
      <c r="AC17" s="85" t="inlineStr">
        <is>
          <t>More experience than the band's typical 8–12 yrs</t>
        </is>
      </c>
      <c r="AD17" s="34" t="inlineStr">
        <is>
          <t>L</t>
        </is>
      </c>
      <c r="AE17" s="85" t="inlineStr">
        <is>
          <t>Below: Graduate or postgraduate; professional qualification preferred</t>
        </is>
      </c>
      <c r="AF17" s="85" t="inlineStr">
        <is>
          <t>Postgraduate or professional qualification preferred · licence-to-practise roles: CA, CS, CMA or LLB as the role needs</t>
        </is>
      </c>
      <c r="AG17" s="85" t="inlineStr">
        <is>
          <t>Above: Postgraduate / professional qualification preferred</t>
        </is>
      </c>
      <c r="AH17" s="44" t="inlineStr">
        <is>
          <t>51.3 · 17.3 · 9.7 · 5 · 7 · 6 · 4</t>
        </is>
      </c>
      <c r="AI17" s="38" t="inlineStr">
        <is>
          <t>8–13</t>
        </is>
      </c>
      <c r="AJ17" s="38" t="inlineStr">
        <is>
          <t>IC: none · People: 5–8 incl. team leads</t>
        </is>
      </c>
      <c r="AK17" s="38" t="inlineStr">
        <is>
          <t>P5 / M4 · SFIA 5 Ensure, advise</t>
        </is>
      </c>
      <c r="AL17"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8" ht="120" customHeight="1">
      <c r="A18" s="90" t="inlineStr">
        <is>
          <t>B2</t>
        </is>
      </c>
      <c r="B18" s="29" t="inlineStr">
        <is>
          <t>Band B · Specialist / Manager</t>
        </is>
      </c>
      <c r="C18" s="29" t="inlineStr">
        <is>
          <t>Band B · People Manager</t>
        </is>
      </c>
      <c r="D18" s="29" t="inlineStr">
        <is>
          <t>Manager</t>
        </is>
      </c>
      <c r="E18" s="29" t="inlineStr">
        <is>
          <t>Administration &amp; Facilities · Manager – Administration</t>
        </is>
      </c>
      <c r="F18" s="34" t="inlineStr">
        <is>
          <t>H</t>
        </is>
      </c>
      <c r="G18" s="84" t="inlineStr">
        <is>
          <t>Works at B1: Domain specialist work</t>
        </is>
      </c>
      <c r="H18" s="84" t="inlineStr">
        <is>
          <t>Hardest problems in the domain · in Administration, Legal &amp; Secretarial: Administration</t>
        </is>
      </c>
      <c r="I18" s="84" t="inlineStr">
        <is>
          <t>Already works at B3: Sets standards for a practice; cross-team problems</t>
        </is>
      </c>
      <c r="J18" s="34" t="inlineStr">
        <is>
          <t>M</t>
        </is>
      </c>
      <c r="K18" s="84" t="inlineStr">
        <is>
          <t>Works at B1: Technical / QC / client calls for the domain</t>
        </is>
      </c>
      <c r="L18" s="84" t="inlineStr">
        <is>
          <t>Allocates people and sets team priorities</t>
        </is>
      </c>
      <c r="M18" s="84" t="inlineStr">
        <is>
          <t>Already works at B3: Commercial / strategic calls for the unit</t>
        </is>
      </c>
      <c r="N18" s="34" t="inlineStr">
        <is>
          <t>M</t>
        </is>
      </c>
      <c r="O18" s="84" t="inlineStr">
        <is>
          <t>Works at B1: A domain or a small team</t>
        </is>
      </c>
      <c r="P18" s="84" t="inlineStr">
        <is>
          <t>One team or a client portfolio</t>
        </is>
      </c>
      <c r="Q18" s="84" t="inlineStr">
        <is>
          <t>Already works at B3: Several teams or a practice</t>
        </is>
      </c>
      <c r="R18" s="34" t="inlineStr">
        <is>
          <t>M</t>
        </is>
      </c>
      <c r="S18" s="56" t="inlineStr">
        <is>
          <t>Works at B1: IC: mentors and reviews · People: hands-on team lead of 3–5</t>
        </is>
      </c>
      <c r="T18" s="56" t="inlineStr">
        <is>
          <t>IC: guides others in the domain · People: manages a team of 6+</t>
        </is>
      </c>
      <c r="U18" s="56" t="inlineStr">
        <is>
          <t>Already works at B3: IC: leads a practice · People: team leads / managers report in</t>
        </is>
      </c>
      <c r="V18" s="34" t="inlineStr">
        <is>
          <t>L</t>
        </is>
      </c>
      <c r="W18" s="56" t="inlineStr">
        <is>
          <t>Works at B1: Moves a module's, product area's or client account's results</t>
        </is>
      </c>
      <c r="X18" s="56" t="inlineStr">
        <is>
          <t>Visible effect on a team's or client portfolio's revenue, quality or compliance · purpose: Manages travel, facilities, office administration and vendors. At B2: deep domain expertise, or one team.</t>
        </is>
      </c>
      <c r="Y18" s="56" t="inlineStr">
        <is>
          <t>Already works at B3: Shapes the results of a practice or several teams</t>
        </is>
      </c>
      <c r="Z18" s="34" t="inlineStr">
        <is>
          <t>L</t>
        </is>
      </c>
      <c r="AA18" s="85" t="inlineStr">
        <is>
          <t>Less experience than the band's typical 6–9 yrs</t>
        </is>
      </c>
      <c r="AB18" s="85" t="inlineStr">
        <is>
          <t>Typical for the band: 6–9 yrs · market 6–10 yrs</t>
        </is>
      </c>
      <c r="AC18" s="85" t="inlineStr">
        <is>
          <t>More experience than the band's typical 6–9 yrs</t>
        </is>
      </c>
      <c r="AD18" s="34" t="inlineStr">
        <is>
          <t>L</t>
        </is>
      </c>
      <c r="AE18" s="85" t="inlineStr">
        <is>
          <t>Below: Graduate + relevant qualification or certification preferred</t>
        </is>
      </c>
      <c r="AF18" s="85" t="inlineStr">
        <is>
          <t>Graduate or postgraduate; professional qualification preferred · licence-to-practise roles: CA, CS, CMA or LLB as the role needs</t>
        </is>
      </c>
      <c r="AG18" s="85" t="inlineStr">
        <is>
          <t>Above: Postgraduate or professional qualification preferred</t>
        </is>
      </c>
      <c r="AH18" s="44" t="inlineStr">
        <is>
          <t>37 · 18.3 · 11.3 · 15 · 8.7 · 6 · 4</t>
        </is>
      </c>
      <c r="AI18" s="38" t="inlineStr">
        <is>
          <t>6–10</t>
        </is>
      </c>
      <c r="AJ18" s="38" t="inlineStr">
        <is>
          <t>IC: none · People: 6–8 knowledge work, 8–12 standardised delivery</t>
        </is>
      </c>
      <c r="AK18" s="38" t="inlineStr">
        <is>
          <t>P4 / M3 · SFIA 4–5</t>
        </is>
      </c>
      <c r="AL18"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9" ht="120" customHeight="1">
      <c r="A19" s="90" t="inlineStr">
        <is>
          <t>B2</t>
        </is>
      </c>
      <c r="B19" s="29" t="inlineStr">
        <is>
          <t>Band B · Specialist / Manager</t>
        </is>
      </c>
      <c r="C19" s="29" t="inlineStr">
        <is>
          <t>Band B · Specialist / POD Lead</t>
        </is>
      </c>
      <c r="D19" s="29" t="inlineStr">
        <is>
          <t>Senior Specialist</t>
        </is>
      </c>
      <c r="E19" s="29" t="inlineStr">
        <is>
          <t>Administration &amp; Facilities · Manager – Administration</t>
        </is>
      </c>
      <c r="F19" s="34" t="inlineStr">
        <is>
          <t>H</t>
        </is>
      </c>
      <c r="G19" s="84" t="inlineStr">
        <is>
          <t>Works at B1: Domain specialist work</t>
        </is>
      </c>
      <c r="H19" s="84" t="inlineStr">
        <is>
          <t>Hardest problems in the domain · in Administration, Legal &amp; Secretarial: Administration</t>
        </is>
      </c>
      <c r="I19" s="84" t="inlineStr">
        <is>
          <t>Already works at B3: Sets standards for a practice; cross-team problems</t>
        </is>
      </c>
      <c r="J19" s="34" t="inlineStr">
        <is>
          <t>M</t>
        </is>
      </c>
      <c r="K19" s="84" t="inlineStr">
        <is>
          <t>Works at B1: Technical / QC / client calls for the domain</t>
        </is>
      </c>
      <c r="L19" s="84" t="inlineStr">
        <is>
          <t>Allocates people and sets team priorities</t>
        </is>
      </c>
      <c r="M19" s="84" t="inlineStr">
        <is>
          <t>Already works at B3: Commercial / strategic calls for the unit</t>
        </is>
      </c>
      <c r="N19" s="34" t="inlineStr">
        <is>
          <t>M</t>
        </is>
      </c>
      <c r="O19" s="84" t="inlineStr">
        <is>
          <t>Works at B1: A domain or a small team</t>
        </is>
      </c>
      <c r="P19" s="84" t="inlineStr">
        <is>
          <t>One team or a client portfolio</t>
        </is>
      </c>
      <c r="Q19" s="84" t="inlineStr">
        <is>
          <t>Already works at B3: Several teams or a practice</t>
        </is>
      </c>
      <c r="R19" s="34" t="inlineStr">
        <is>
          <t>L</t>
        </is>
      </c>
      <c r="S19" s="56" t="inlineStr">
        <is>
          <t>Works at B1: IC: mentors and reviews · People: hands-on team lead of 3–5</t>
        </is>
      </c>
      <c r="T19" s="56" t="inlineStr">
        <is>
          <t>IC: guides others in the domain · People: manages a team of 6+</t>
        </is>
      </c>
      <c r="U19" s="56" t="inlineStr">
        <is>
          <t>Already works at B3: IC: leads a practice · People: team leads / managers report in</t>
        </is>
      </c>
      <c r="V19" s="34" t="inlineStr">
        <is>
          <t>L</t>
        </is>
      </c>
      <c r="W19" s="56" t="inlineStr">
        <is>
          <t>Works at B1: Moves a module's, product area's or client account's results</t>
        </is>
      </c>
      <c r="X19" s="56" t="inlineStr">
        <is>
          <t>Visible effect on a team's or client portfolio's revenue, quality or compliance · purpose: Manages travel, facilities, office administration and vendors. At B2: deep domain expertise, or one team.</t>
        </is>
      </c>
      <c r="Y19" s="56" t="inlineStr">
        <is>
          <t>Already works at B3: Shapes the results of a practice or several teams</t>
        </is>
      </c>
      <c r="Z19" s="34" t="inlineStr">
        <is>
          <t>L</t>
        </is>
      </c>
      <c r="AA19" s="85" t="inlineStr">
        <is>
          <t>Less experience than the band's typical 6–9 yrs</t>
        </is>
      </c>
      <c r="AB19" s="85" t="inlineStr">
        <is>
          <t>Typical for the band: 6–9 yrs · market 6–10 yrs</t>
        </is>
      </c>
      <c r="AC19" s="85" t="inlineStr">
        <is>
          <t>More experience than the band's typical 6–9 yrs</t>
        </is>
      </c>
      <c r="AD19" s="34" t="inlineStr">
        <is>
          <t>L</t>
        </is>
      </c>
      <c r="AE19" s="85" t="inlineStr">
        <is>
          <t>Below: Graduate + relevant qualification or certification preferred</t>
        </is>
      </c>
      <c r="AF19" s="85" t="inlineStr">
        <is>
          <t>Graduate or postgraduate; professional qualification preferred · licence-to-practise roles: CA, CS, CMA or LLB as the role needs</t>
        </is>
      </c>
      <c r="AG19" s="85" t="inlineStr">
        <is>
          <t>Above: Postgraduate or professional qualification preferred</t>
        </is>
      </c>
      <c r="AH19" s="44" t="inlineStr">
        <is>
          <t>51.3 · 17.3 · 9.7 · 5 · 7 · 6 · 4</t>
        </is>
      </c>
      <c r="AI19" s="38" t="inlineStr">
        <is>
          <t>6–10</t>
        </is>
      </c>
      <c r="AJ19" s="38" t="inlineStr">
        <is>
          <t>IC: none · People: 6–8 knowledge work, 8–12 standardised delivery</t>
        </is>
      </c>
      <c r="AK19" s="38" t="inlineStr">
        <is>
          <t>P4 / M3 · SFIA 4–5</t>
        </is>
      </c>
      <c r="AL19"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0" ht="120" customHeight="1">
      <c r="A20" s="90" t="inlineStr">
        <is>
          <t>B1</t>
        </is>
      </c>
      <c r="B20" s="29" t="inlineStr">
        <is>
          <t>Band B · Specialist / Manager</t>
        </is>
      </c>
      <c r="C20" s="29" t="inlineStr">
        <is>
          <t>Band B · People Manager</t>
        </is>
      </c>
      <c r="D20" s="29" t="inlineStr">
        <is>
          <t>Team Lead / Asst Manager</t>
        </is>
      </c>
      <c r="E20" s="29" t="inlineStr">
        <is>
          <t>— no role at this level today</t>
        </is>
      </c>
      <c r="F20" s="34" t="inlineStr">
        <is>
          <t>H</t>
        </is>
      </c>
      <c r="G20" s="84" t="inlineStr">
        <is>
          <t>Works at A3: Varied and non-standard work; handles exceptions</t>
        </is>
      </c>
      <c r="H20" s="84" t="inlineStr">
        <is>
          <t>Domain specialist work</t>
        </is>
      </c>
      <c r="I20" s="84" t="inlineStr">
        <is>
          <t>Already works at B2: Hardest problems in the domain</t>
        </is>
      </c>
      <c r="J20" s="34" t="inlineStr">
        <is>
          <t>M</t>
        </is>
      </c>
      <c r="K20" s="84" t="inlineStr">
        <is>
          <t>Works at A3: Technical / QC / client calls on own work</t>
        </is>
      </c>
      <c r="L20" s="84" t="inlineStr">
        <is>
          <t>Technical / QC / client calls for the domain</t>
        </is>
      </c>
      <c r="M20" s="84" t="inlineStr">
        <is>
          <t>Already works at B2: Allocates people and sets team priorities</t>
        </is>
      </c>
      <c r="N20" s="34" t="inlineStr">
        <is>
          <t>M</t>
        </is>
      </c>
      <c r="O20" s="84" t="inlineStr">
        <is>
          <t>Works at A3: A module / process, or work with client or regulatory consequences</t>
        </is>
      </c>
      <c r="P20" s="84" t="inlineStr">
        <is>
          <t>A domain or a small team</t>
        </is>
      </c>
      <c r="Q20" s="84" t="inlineStr">
        <is>
          <t>Already works at B2: One team or a client portfolio</t>
        </is>
      </c>
      <c r="R20" s="34" t="inlineStr">
        <is>
          <t>M</t>
        </is>
      </c>
      <c r="S20" s="56" t="inlineStr">
        <is>
          <t>Works at A3: contributes alone; guides others only informally</t>
        </is>
      </c>
      <c r="T20" s="56" t="inlineStr">
        <is>
          <t>IC: mentors and reviews · People: hands-on team lead of 3–5</t>
        </is>
      </c>
      <c r="U20" s="56" t="inlineStr">
        <is>
          <t>Already works at B2: IC: guides others in the domain · People: manages a team of 6+</t>
        </is>
      </c>
      <c r="V20" s="34" t="inlineStr">
        <is>
          <t>L</t>
        </is>
      </c>
      <c r="W20" s="56" t="inlineStr">
        <is>
          <t>Works at A3: A process or client deliverable depends on this work</t>
        </is>
      </c>
      <c r="X20" s="56" t="inlineStr">
        <is>
          <t>Moves a module's, product area's or client account's results</t>
        </is>
      </c>
      <c r="Y20" s="56" t="inlineStr">
        <is>
          <t>Already works at B2: Visible effect on a team's or client portfolio's revenue, quality or compliance</t>
        </is>
      </c>
      <c r="Z20" s="34" t="inlineStr">
        <is>
          <t>L</t>
        </is>
      </c>
      <c r="AA20" s="85" t="inlineStr">
        <is>
          <t>Less experience than the band's typical 4–7 yrs</t>
        </is>
      </c>
      <c r="AB20" s="85" t="inlineStr">
        <is>
          <t>Typical for the band: 4–7 yrs · market 4–8 yrs</t>
        </is>
      </c>
      <c r="AC20" s="85" t="inlineStr">
        <is>
          <t>More experience than the band's typical 4–7 yrs</t>
        </is>
      </c>
      <c r="AD20" s="34" t="inlineStr">
        <is>
          <t>L</t>
        </is>
      </c>
      <c r="AE20" s="85" t="inlineStr">
        <is>
          <t>Below: Graduate; relevant certification preferred</t>
        </is>
      </c>
      <c r="AF20" s="85" t="inlineStr">
        <is>
          <t>Graduate + relevant qualification or certification preferred · licence-to-practise roles: CA, CS, CMA or LLB as the role needs</t>
        </is>
      </c>
      <c r="AG20" s="85" t="inlineStr">
        <is>
          <t>Above: Graduate or postgraduate; professional qualification preferred</t>
        </is>
      </c>
      <c r="AH20" s="44" t="inlineStr">
        <is>
          <t>37 · 18.3 · 11.3 · 15 · 8.7 · 6 · 4</t>
        </is>
      </c>
      <c r="AI20" s="38" t="inlineStr">
        <is>
          <t>4–8</t>
        </is>
      </c>
      <c r="AJ20" s="38" t="inlineStr">
        <is>
          <t>IC: none · Team Lead: 3–5</t>
        </is>
      </c>
      <c r="AK20" s="38" t="inlineStr">
        <is>
          <t>P3 / M2 · SFIA 4 Enable</t>
        </is>
      </c>
      <c r="AL20"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1" ht="120" customHeight="1">
      <c r="A21" s="90" t="inlineStr">
        <is>
          <t>B1</t>
        </is>
      </c>
      <c r="B21" s="29" t="inlineStr">
        <is>
          <t>Band B · Specialist / Manager</t>
        </is>
      </c>
      <c r="C21" s="29" t="inlineStr">
        <is>
          <t>Band B · Specialist / POD Lead</t>
        </is>
      </c>
      <c r="D21" s="29" t="inlineStr">
        <is>
          <t>Specialist</t>
        </is>
      </c>
      <c r="E21" s="29" t="inlineStr">
        <is>
          <t>— no role at this level today</t>
        </is>
      </c>
      <c r="F21" s="34" t="inlineStr">
        <is>
          <t>H</t>
        </is>
      </c>
      <c r="G21" s="84" t="inlineStr">
        <is>
          <t>Works at A3: Varied and non-standard work; handles exceptions</t>
        </is>
      </c>
      <c r="H21" s="84" t="inlineStr">
        <is>
          <t>Domain specialist work</t>
        </is>
      </c>
      <c r="I21" s="84" t="inlineStr">
        <is>
          <t>Already works at B2: Hardest problems in the domain</t>
        </is>
      </c>
      <c r="J21" s="34" t="inlineStr">
        <is>
          <t>M</t>
        </is>
      </c>
      <c r="K21" s="84" t="inlineStr">
        <is>
          <t>Works at A3: Technical / QC / client calls on own work</t>
        </is>
      </c>
      <c r="L21" s="84" t="inlineStr">
        <is>
          <t>Technical / QC / client calls for the domain</t>
        </is>
      </c>
      <c r="M21" s="84" t="inlineStr">
        <is>
          <t>Already works at B2: Allocates people and sets team priorities</t>
        </is>
      </c>
      <c r="N21" s="34" t="inlineStr">
        <is>
          <t>M</t>
        </is>
      </c>
      <c r="O21" s="84" t="inlineStr">
        <is>
          <t>Works at A3: A module / process, or work with client or regulatory consequences</t>
        </is>
      </c>
      <c r="P21" s="84" t="inlineStr">
        <is>
          <t>A domain or a small team</t>
        </is>
      </c>
      <c r="Q21" s="84" t="inlineStr">
        <is>
          <t>Already works at B2: One team or a client portfolio</t>
        </is>
      </c>
      <c r="R21" s="34" t="inlineStr">
        <is>
          <t>L</t>
        </is>
      </c>
      <c r="S21" s="56" t="inlineStr">
        <is>
          <t>Works at A3: contributes alone; guides others only informally</t>
        </is>
      </c>
      <c r="T21" s="56" t="inlineStr">
        <is>
          <t>IC: mentors and reviews · People: hands-on team lead of 3–5</t>
        </is>
      </c>
      <c r="U21" s="56" t="inlineStr">
        <is>
          <t>Already works at B2: IC: guides others in the domain · People: manages a team of 6+</t>
        </is>
      </c>
      <c r="V21" s="34" t="inlineStr">
        <is>
          <t>L</t>
        </is>
      </c>
      <c r="W21" s="56" t="inlineStr">
        <is>
          <t>Works at A3: A process or client deliverable depends on this work</t>
        </is>
      </c>
      <c r="X21" s="56" t="inlineStr">
        <is>
          <t>Moves a module's, product area's or client account's results</t>
        </is>
      </c>
      <c r="Y21" s="56" t="inlineStr">
        <is>
          <t>Already works at B2: Visible effect on a team's or client portfolio's revenue, quality or compliance</t>
        </is>
      </c>
      <c r="Z21" s="34" t="inlineStr">
        <is>
          <t>L</t>
        </is>
      </c>
      <c r="AA21" s="85" t="inlineStr">
        <is>
          <t>Less experience than the band's typical 4–7 yrs</t>
        </is>
      </c>
      <c r="AB21" s="85" t="inlineStr">
        <is>
          <t>Typical for the band: 4–7 yrs · market 4–8 yrs</t>
        </is>
      </c>
      <c r="AC21" s="85" t="inlineStr">
        <is>
          <t>More experience than the band's typical 4–7 yrs</t>
        </is>
      </c>
      <c r="AD21" s="34" t="inlineStr">
        <is>
          <t>L</t>
        </is>
      </c>
      <c r="AE21" s="85" t="inlineStr">
        <is>
          <t>Below: Graduate; relevant certification preferred</t>
        </is>
      </c>
      <c r="AF21" s="85" t="inlineStr">
        <is>
          <t>Graduate + relevant qualification or certification preferred · licence-to-practise roles: CA, CS, CMA or LLB as the role needs</t>
        </is>
      </c>
      <c r="AG21" s="85" t="inlineStr">
        <is>
          <t>Above: Graduate or postgraduate; professional qualification preferred</t>
        </is>
      </c>
      <c r="AH21" s="44" t="inlineStr">
        <is>
          <t>51.3 · 17.3 · 9.7 · 5 · 7 · 6 · 4</t>
        </is>
      </c>
      <c r="AI21" s="38" t="inlineStr">
        <is>
          <t>4–8</t>
        </is>
      </c>
      <c r="AJ21" s="38" t="inlineStr">
        <is>
          <t>IC: none · Team Lead: 3–5</t>
        </is>
      </c>
      <c r="AK21" s="38" t="inlineStr">
        <is>
          <t>P3 / M2 · SFIA 4 Enable</t>
        </is>
      </c>
      <c r="AL21"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2" ht="120" customHeight="1">
      <c r="A22" s="91" t="inlineStr">
        <is>
          <t>A3</t>
        </is>
      </c>
      <c r="B22" s="29" t="inlineStr">
        <is>
          <t>Band A · Practitioner</t>
        </is>
      </c>
      <c r="C22" s="29" t="inlineStr">
        <is>
          <t>Band A · all tracks</t>
        </is>
      </c>
      <c r="D22" s="29" t="inlineStr">
        <is>
          <t>Senior Associate</t>
        </is>
      </c>
      <c r="E22" s="29" t="inlineStr">
        <is>
          <t>Administration &amp; Facilities · Senior Administration Executive
Company Secretarial &amp; Legal · Senior Secretarial Executive</t>
        </is>
      </c>
      <c r="F22" s="34" t="inlineStr">
        <is>
          <t>H</t>
        </is>
      </c>
      <c r="G22" s="84" t="inlineStr">
        <is>
          <t>Works at A2: Standard work of the discipline</t>
        </is>
      </c>
      <c r="H22" s="84" t="inlineStr">
        <is>
          <t>Varied and non-standard work; handles exceptions · in Administration, Legal &amp; Secretarial: Administration</t>
        </is>
      </c>
      <c r="I22" s="84" t="inlineStr">
        <is>
          <t>Already works at B1: Domain specialist work</t>
        </is>
      </c>
      <c r="J22" s="34" t="inlineStr">
        <is>
          <t>M</t>
        </is>
      </c>
      <c r="K22" s="84" t="inlineStr">
        <is>
          <t>Works at A2: Chooses own approach within standards</t>
        </is>
      </c>
      <c r="L22" s="84" t="inlineStr">
        <is>
          <t>Technical / QC / client calls on own work</t>
        </is>
      </c>
      <c r="M22" s="84" t="inlineStr">
        <is>
          <t>Already works at B1: Technical / QC / client calls for the domain</t>
        </is>
      </c>
      <c r="N22" s="34" t="inlineStr">
        <is>
          <t>M</t>
        </is>
      </c>
      <c r="O22" s="84" t="inlineStr">
        <is>
          <t>Works at A2: Own deliverables · accuracy, TAT</t>
        </is>
      </c>
      <c r="P22" s="84" t="inlineStr">
        <is>
          <t>A module / process, or work with client or regulatory consequences</t>
        </is>
      </c>
      <c r="Q22" s="84" t="inlineStr">
        <is>
          <t>Already works at B1: A domain or a small team</t>
        </is>
      </c>
      <c r="R22" s="34" t="inlineStr">
        <is>
          <t>L</t>
        </is>
      </c>
      <c r="S22" s="56" t="inlineStr">
        <is>
          <t>Works at A2: contributes alone; guides others only informally</t>
        </is>
      </c>
      <c r="T22" s="56" t="inlineStr">
        <is>
          <t>Helps peers and newer people informally · None · guides 1–3 juniors informally</t>
        </is>
      </c>
      <c r="U22" s="56" t="inlineStr">
        <is>
          <t>Already works at B1: IC: mentors and reviews · People: hands-on team lead of 3–5</t>
        </is>
      </c>
      <c r="V22" s="34" t="inlineStr">
        <is>
          <t>L</t>
        </is>
      </c>
      <c r="W22" s="56" t="inlineStr">
        <is>
          <t>Works at A2: Own deliverables feed a team's output and turnaround</t>
        </is>
      </c>
      <c r="X22" s="56" t="inlineStr">
        <is>
          <t>A process or client deliverable depends on this work · purpose: Manages travel, facilities, office administration and vendors. At A3: varied work; reviews juniors; go-to for a process.</t>
        </is>
      </c>
      <c r="Y22" s="56" t="inlineStr">
        <is>
          <t>Already works at B1: Moves a module's, product area's or client account's results</t>
        </is>
      </c>
      <c r="Z22" s="34" t="inlineStr">
        <is>
          <t>L</t>
        </is>
      </c>
      <c r="AA22" s="85" t="inlineStr">
        <is>
          <t>Less experience than the band's typical 2–4 yrs</t>
        </is>
      </c>
      <c r="AB22" s="85" t="inlineStr">
        <is>
          <t>Typical for the band: 2–4 yrs · market 2–5 yrs</t>
        </is>
      </c>
      <c r="AC22" s="85" t="inlineStr">
        <is>
          <t>More experience than the band's typical 2–4 yrs</t>
        </is>
      </c>
      <c r="AD22" s="34" t="inlineStr">
        <is>
          <t>M</t>
        </is>
      </c>
      <c r="AE22" s="85" t="inlineStr">
        <is>
          <t>Below: Graduate · or diploma with experience</t>
        </is>
      </c>
      <c r="AF22" s="85" t="inlineStr">
        <is>
          <t>Graduate; relevant certification preferred · licence-to-practise roles: CA, CS, CMA or LLB as the role needs</t>
        </is>
      </c>
      <c r="AG22" s="85" t="inlineStr">
        <is>
          <t>Above: Graduate + relevant qualification or certification preferred</t>
        </is>
      </c>
      <c r="AH22" s="44" t="inlineStr">
        <is>
          <t>58.3 · 16 · 9 · 0 · 6.3 · 6 · 4</t>
        </is>
      </c>
      <c r="AI22" s="38" t="inlineStr">
        <is>
          <t>2–5</t>
        </is>
      </c>
      <c r="AJ22" s="38" t="inlineStr">
        <is>
          <t>None · guides 1–3 juniors informally</t>
        </is>
      </c>
      <c r="AK22" s="38" t="inlineStr">
        <is>
          <t>P2 · SFIA 3 Apply</t>
        </is>
      </c>
      <c r="AL22"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3" ht="120" customHeight="1">
      <c r="A23" s="91" t="inlineStr">
        <is>
          <t>A2</t>
        </is>
      </c>
      <c r="B23" s="29" t="inlineStr">
        <is>
          <t>Band A · Practitioner</t>
        </is>
      </c>
      <c r="C23" s="29" t="inlineStr">
        <is>
          <t>Band A · all tracks</t>
        </is>
      </c>
      <c r="D23" s="29" t="inlineStr">
        <is>
          <t>Associate</t>
        </is>
      </c>
      <c r="E23" s="29" t="inlineStr">
        <is>
          <t>— no role at this level today</t>
        </is>
      </c>
      <c r="F23" s="34" t="inlineStr">
        <is>
          <t>H</t>
        </is>
      </c>
      <c r="G23" s="84" t="inlineStr">
        <is>
          <t>Works at A1: Learning; follows worked examples</t>
        </is>
      </c>
      <c r="H23" s="84" t="inlineStr">
        <is>
          <t>Standard work of the discipline</t>
        </is>
      </c>
      <c r="I23" s="84" t="inlineStr">
        <is>
          <t>Already works at A3: Varied and non-standard work; handles exceptions</t>
        </is>
      </c>
      <c r="J23" s="34" t="inlineStr">
        <is>
          <t>M</t>
        </is>
      </c>
      <c r="K23" s="84" t="inlineStr">
        <is>
          <t>Works at A1: Needs approval / close guidance</t>
        </is>
      </c>
      <c r="L23" s="84" t="inlineStr">
        <is>
          <t>Chooses own approach within standards</t>
        </is>
      </c>
      <c r="M23" s="84" t="inlineStr">
        <is>
          <t>Already works at A3: Technical / QC / client calls on own work</t>
        </is>
      </c>
      <c r="N23" s="34" t="inlineStr">
        <is>
          <t>M</t>
        </is>
      </c>
      <c r="O23" s="84" t="inlineStr">
        <is>
          <t>Works at A1: Learning tasks</t>
        </is>
      </c>
      <c r="P23" s="84" t="inlineStr">
        <is>
          <t>Own deliverables · accuracy, TAT</t>
        </is>
      </c>
      <c r="Q23" s="84" t="inlineStr">
        <is>
          <t>Already works at A3: A module / process, or work with client or regulatory consequences</t>
        </is>
      </c>
      <c r="R23" s="34" t="inlineStr">
        <is>
          <t>L</t>
        </is>
      </c>
      <c r="S23" s="56" t="inlineStr">
        <is>
          <t>Works at A1: contributes alone; guides others only informally</t>
        </is>
      </c>
      <c r="T23" s="56" t="inlineStr">
        <is>
          <t>Helps peers and newer people informally · No direct reports</t>
        </is>
      </c>
      <c r="U23" s="56" t="inlineStr">
        <is>
          <t>Already works at A3: Not scored in Band A</t>
        </is>
      </c>
      <c r="V23" s="34" t="inlineStr">
        <is>
          <t>L</t>
        </is>
      </c>
      <c r="W23" s="56" t="inlineStr">
        <is>
          <t>Works at A1: Learning; little direct effect on business results yet</t>
        </is>
      </c>
      <c r="X23" s="56" t="inlineStr">
        <is>
          <t>Own deliverables feed a team's output and turnaround</t>
        </is>
      </c>
      <c r="Y23" s="56" t="inlineStr">
        <is>
          <t>Already works at A3: A process or client deliverable depends on this work</t>
        </is>
      </c>
      <c r="Z23" s="34" t="inlineStr">
        <is>
          <t>L</t>
        </is>
      </c>
      <c r="AA23" s="85" t="inlineStr">
        <is>
          <t>Less experience than the band's typical 0–2 yrs</t>
        </is>
      </c>
      <c r="AB23" s="85" t="inlineStr">
        <is>
          <t>Typical for the band: 0–2 yrs · market 0–3 yrs</t>
        </is>
      </c>
      <c r="AC23" s="85" t="inlineStr">
        <is>
          <t>More experience than the band's typical 0–2 yrs</t>
        </is>
      </c>
      <c r="AD23" s="34" t="inlineStr">
        <is>
          <t>M</t>
        </is>
      </c>
      <c r="AE23" s="85" t="inlineStr">
        <is>
          <t>Below: Pursuing or completed graduation / diploma</t>
        </is>
      </c>
      <c r="AF23" s="85" t="inlineStr">
        <is>
          <t>Graduate · or diploma with experience · licence-to-practise roles: CA, CS, CMA or LLB as the role needs</t>
        </is>
      </c>
      <c r="AG23" s="85" t="inlineStr">
        <is>
          <t>Above: Graduate; relevant certification preferred</t>
        </is>
      </c>
      <c r="AH23" s="44" t="inlineStr">
        <is>
          <t>58.3 · 16 · 9 · 0 · 6.3 · 6 · 4</t>
        </is>
      </c>
      <c r="AI23" s="38" t="inlineStr">
        <is>
          <t>0–3</t>
        </is>
      </c>
      <c r="AJ23" s="38" t="inlineStr">
        <is>
          <t>No direct reports</t>
        </is>
      </c>
      <c r="AK23" s="38" t="inlineStr">
        <is>
          <t>P1–P2 · SFIA 2 Assist</t>
        </is>
      </c>
      <c r="AL23"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4" ht="120" customHeight="1">
      <c r="A24" s="91" t="inlineStr">
        <is>
          <t>A1</t>
        </is>
      </c>
      <c r="B24" s="29" t="inlineStr">
        <is>
          <t>Band A · Practitioner</t>
        </is>
      </c>
      <c r="C24" s="29" t="inlineStr">
        <is>
          <t>Band A · all tracks</t>
        </is>
      </c>
      <c r="D24" s="29" t="inlineStr">
        <is>
          <t>Intern / Trainee</t>
        </is>
      </c>
      <c r="E24" s="29" t="inlineStr">
        <is>
          <t>Company Secretarial &amp; Legal · Intern – Company Secretarial &amp; Legal</t>
        </is>
      </c>
      <c r="F24" s="34" t="inlineStr">
        <is>
          <t>H</t>
        </is>
      </c>
      <c r="G24" s="84" t="inlineStr">
        <is>
          <t>Not yet at the entry standard · in induction</t>
        </is>
      </c>
      <c r="H24" s="84" t="inlineStr">
        <is>
          <t>Learning; follows worked examples · in Administration, Legal &amp; Secretarial: Secretarial · Legal</t>
        </is>
      </c>
      <c r="I24" s="84" t="inlineStr">
        <is>
          <t>Already works at A2: Standard work of the discipline</t>
        </is>
      </c>
      <c r="J24" s="34" t="inlineStr">
        <is>
          <t>M</t>
        </is>
      </c>
      <c r="K24" s="84" t="inlineStr">
        <is>
          <t>Not yet at the entry standard · in induction</t>
        </is>
      </c>
      <c r="L24" s="84" t="inlineStr">
        <is>
          <t>Needs approval / close guidance</t>
        </is>
      </c>
      <c r="M24" s="84" t="inlineStr">
        <is>
          <t>Already works at A2: Chooses own approach within standards</t>
        </is>
      </c>
      <c r="N24" s="34" t="inlineStr">
        <is>
          <t>M</t>
        </is>
      </c>
      <c r="O24" s="84" t="inlineStr">
        <is>
          <t>Not yet at the entry standard · in induction</t>
        </is>
      </c>
      <c r="P24" s="84" t="inlineStr">
        <is>
          <t>Learning tasks</t>
        </is>
      </c>
      <c r="Q24" s="84" t="inlineStr">
        <is>
          <t>Already works at A2: Own deliverables · accuracy, TAT</t>
        </is>
      </c>
      <c r="R24" s="34" t="inlineStr">
        <is>
          <t>L</t>
        </is>
      </c>
      <c r="S24" s="56" t="inlineStr">
        <is>
          <t>Not yet at the entry standard · in induction</t>
        </is>
      </c>
      <c r="T24" s="56" t="inlineStr">
        <is>
          <t>Helps peers and newer people informally · No direct reports</t>
        </is>
      </c>
      <c r="U24" s="56" t="inlineStr">
        <is>
          <t>Already works at A2: Not scored in Band A</t>
        </is>
      </c>
      <c r="V24" s="34" t="inlineStr">
        <is>
          <t>L</t>
        </is>
      </c>
      <c r="W24" s="56" t="inlineStr">
        <is>
          <t>Not yet at the entry standard · in induction</t>
        </is>
      </c>
      <c r="X24" s="56" t="inlineStr">
        <is>
          <t>Learning; little direct effect on business results yet · purpose: Handles statutory filings, board matters, contracts and legal compliance. At A1: learning the role; all work reviewed.</t>
        </is>
      </c>
      <c r="Y24" s="56" t="inlineStr">
        <is>
          <t>Already works at A2: Own deliverables feed a team's output and turnaround</t>
        </is>
      </c>
      <c r="Z24" s="34" t="inlineStr">
        <is>
          <t>L</t>
        </is>
      </c>
      <c r="AA24" s="85" t="inlineStr">
        <is>
          <t>Less experience than the band's typical 0 yrs · fresher / intern</t>
        </is>
      </c>
      <c r="AB24" s="85" t="inlineStr">
        <is>
          <t>Typical for the band: 0 yrs · fresher / intern · market — yrs</t>
        </is>
      </c>
      <c r="AC24" s="85" t="inlineStr">
        <is>
          <t>More experience than the band's typical 0 yrs · fresher / intern</t>
        </is>
      </c>
      <c r="AD24" s="34" t="inlineStr">
        <is>
          <t>M</t>
        </is>
      </c>
      <c r="AE24" s="85" t="inlineStr">
        <is>
          <t>Below graduation · still studying</t>
        </is>
      </c>
      <c r="AF24" s="85" t="inlineStr">
        <is>
          <t>Pursuing or completed graduation / diploma · licence-to-practise roles: CA, CS, CMA or LLB as the role needs</t>
        </is>
      </c>
      <c r="AG24" s="85" t="inlineStr">
        <is>
          <t>Above: Graduate · or diploma with experience</t>
        </is>
      </c>
      <c r="AH24" s="44" t="inlineStr">
        <is>
          <t>58.3 · 16 · 9 · 0 · 6.3 · 6 · 4</t>
        </is>
      </c>
      <c r="AI24" s="38" t="inlineStr">
        <is>
          <t>0 yrs · fresher / intern</t>
        </is>
      </c>
      <c r="AJ24" s="38" t="inlineStr">
        <is>
          <t>No direct reports</t>
        </is>
      </c>
      <c r="AK24" s="38" t="inlineStr">
        <is>
          <t>Entry / P1 · intern · SFIA 1 Follow</t>
        </is>
      </c>
      <c r="AL24"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sheetData>
  <autoFilter ref="A5:AL24"/>
  <mergeCells count="1">
    <mergeCell ref="A2:N2"/>
  </mergeCells>
  <dataValidations count="1">
    <dataValidation sqref="F6 F7 F8 F9 F10 F11 F12 F13 F14 F15 F16 F17 F18 F19 F20 F21 F22 F23 F24 J6 J7 J8 J9 J10 J11 J12 J13 J14 J15 J16 J17 J18 J19 J20 J21 J22 J23 J24 N6 N7 N8 N9 N10 N11 N12 N13 N14 N15 N16 N17 N18 N19 N20 N21 N22 N23 N24 R6 R7 R8 R9 R10 R11 R12 R13 R14 R15 R16 R17 R18 R19 R20 R21 R22 R23 R24 V6 V7 V8 V9 V10 V11 V12 V13 V14 V15 V16 V17 V18 V19 V20 V21 V22 V23 V24 Z6 Z7 Z8 Z9 Z10 Z11 Z12 Z13 Z14 Z15 Z16 Z17 Z18 Z19 Z20 Z21 Z22 Z23 Z24 AD6 AD7 AD8 AD9 AD10 AD11 AD12 AD13 AD14 AD15 AD16 AD17 AD18 AD19 AD20 AD21 AD22 AD23 AD24" showDropDown="0" showInputMessage="0" showErrorMessage="0" allowBlank="1" type="list">
      <formula1>LIST_LMH</formula1>
    </dataValidation>
  </dataValidations>
  <hyperlinks>
    <hyperlink xmlns:r="http://schemas.openxmlformats.org/officeDocument/2006/relationships" ref="O1"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L24"/>
  <sheetViews>
    <sheetView zoomScale="85" workbookViewId="0">
      <pane xSplit="5" ySplit="5" topLeftCell="F6" activePane="bottomRight" state="frozen"/>
      <selection pane="topRight"/>
      <selection pane="bottomLeft"/>
      <selection pane="bottomRight" activeCell="A1" sqref="A1"/>
    </sheetView>
  </sheetViews>
  <sheetFormatPr baseColWidth="8" defaultRowHeight="15"/>
  <cols>
    <col width="7" customWidth="1" min="1" max="1"/>
    <col width="16" customWidth="1" min="2" max="2"/>
    <col width="18" customWidth="1" min="3" max="3"/>
    <col width="20" customWidth="1" min="4" max="4"/>
    <col width="34" customWidth="1" min="5" max="5"/>
    <col width="9" customWidth="1" min="6" max="6"/>
    <col width="30" customWidth="1" min="7" max="7"/>
    <col width="34" customWidth="1" min="8" max="8"/>
    <col width="30" customWidth="1" min="9" max="9"/>
    <col width="9" customWidth="1" min="10" max="10"/>
    <col width="30" customWidth="1" min="11" max="11"/>
    <col width="34" customWidth="1" min="12" max="12"/>
    <col width="30" customWidth="1" min="13" max="13"/>
    <col width="9" customWidth="1" min="14" max="14"/>
    <col width="30" customWidth="1" min="15" max="15"/>
    <col width="34" customWidth="1" min="16" max="16"/>
    <col width="30" customWidth="1" min="17" max="17"/>
    <col width="9" customWidth="1" min="18" max="18"/>
    <col width="30" customWidth="1" min="19" max="19"/>
    <col width="34" customWidth="1" min="20" max="20"/>
    <col width="30" customWidth="1" min="21" max="21"/>
    <col width="9" customWidth="1" min="22" max="22"/>
    <col width="30" customWidth="1" min="23" max="23"/>
    <col width="34" customWidth="1" min="24" max="24"/>
    <col width="30" customWidth="1" min="25" max="25"/>
    <col width="9" customWidth="1" min="26" max="26"/>
    <col width="30" customWidth="1" min="27" max="27"/>
    <col width="34" customWidth="1" min="28" max="28"/>
    <col width="30" customWidth="1" min="29" max="29"/>
    <col width="9" customWidth="1" min="30" max="30"/>
    <col width="30" customWidth="1" min="31" max="31"/>
    <col width="34" customWidth="1" min="32" max="32"/>
    <col width="30" customWidth="1" min="33" max="33"/>
    <col width="26" customWidth="1" min="34" max="34"/>
    <col width="16" customWidth="1" min="35" max="35"/>
    <col width="22" customWidth="1" min="36" max="36"/>
    <col width="18" customWidth="1" min="37" max="37"/>
    <col width="40" customWidth="1" min="38" max="38"/>
  </cols>
  <sheetData>
    <row r="1" ht="24" customHeight="1">
      <c r="A1" s="1" t="inlineStr">
        <is>
          <t>Role &amp; band matrix — Business Analysis</t>
        </is>
      </c>
      <c r="O1" s="7" t="inlineStr">
        <is>
          <t>◂ Start</t>
        </is>
      </c>
    </row>
    <row r="2" ht="30" customHeight="1">
      <c r="A2" s="2" t="inlineStr">
        <is>
          <t>What Low, Medium and High mean for each of the seven parameters at every level of Business Analysis, and how much each parameter counts · main type of work: Technology &amp; engineering. Medium is the band as described; Low is the level below; High is the level above. Change a yellow weightage and every role, department ladder and person in this family recalculates.</t>
        </is>
      </c>
    </row>
    <row r="3">
      <c r="A3" s="3" t="inlineStr">
        <is>
          <t>IRIS · Job Architecture &amp; Job Design · Final v1.15 · October 2026 · Internal — Confidential · HR only</t>
        </is>
      </c>
    </row>
    <row r="4" ht="30" customHeight="1">
      <c r="A4" s="6" t="inlineStr">
        <is>
          <t>LEVEL</t>
        </is>
      </c>
      <c r="B4" s="6" t="n"/>
      <c r="C4" s="6" t="n"/>
      <c r="D4" s="6" t="n"/>
      <c r="E4" s="6" t="n"/>
      <c r="F4" s="45" t="inlineStr">
        <is>
          <t>COMPLEXITY &amp; EXPERTISE</t>
        </is>
      </c>
      <c r="G4" s="45" t="n"/>
      <c r="H4" s="45" t="n"/>
      <c r="I4" s="45" t="n"/>
      <c r="J4" s="45" t="inlineStr">
        <is>
          <t>AUTONOMY &amp; DECISION</t>
        </is>
      </c>
      <c r="K4" s="45" t="n"/>
      <c r="L4" s="45" t="n"/>
      <c r="M4" s="45" t="n"/>
      <c r="N4" s="45" t="inlineStr">
        <is>
          <t>ACCOUNTABILITY &amp; IMPACT</t>
        </is>
      </c>
      <c r="O4" s="45" t="n"/>
      <c r="P4" s="45" t="n"/>
      <c r="Q4" s="45" t="n"/>
      <c r="R4" s="47" t="inlineStr">
        <is>
          <t>LEADERSHIP &amp; STRATEGY</t>
        </is>
      </c>
      <c r="S4" s="47" t="n"/>
      <c r="T4" s="47" t="n"/>
      <c r="U4" s="47" t="n"/>
      <c r="V4" s="47" t="inlineStr">
        <is>
          <t>BUSINESS IMPACT</t>
        </is>
      </c>
      <c r="W4" s="47" t="n"/>
      <c r="X4" s="47" t="n"/>
      <c r="Y4" s="47" t="n"/>
      <c r="Z4" s="81" t="inlineStr">
        <is>
          <t>EXPERIENCE</t>
        </is>
      </c>
      <c r="AA4" s="81" t="n"/>
      <c r="AB4" s="81" t="n"/>
      <c r="AC4" s="81" t="n"/>
      <c r="AD4" s="81" t="inlineStr">
        <is>
          <t>EDUCATION</t>
        </is>
      </c>
      <c r="AE4" s="81" t="n"/>
      <c r="AF4" s="81" t="n"/>
      <c r="AG4" s="81" t="n"/>
      <c r="AH4" s="20" t="inlineStr">
        <is>
          <t>MARKET BENCHMARK &amp; REFERENCES</t>
        </is>
      </c>
      <c r="AI4" s="20" t="n"/>
      <c r="AJ4" s="20" t="n"/>
      <c r="AK4" s="20" t="n"/>
      <c r="AL4" s="20" t="n"/>
    </row>
    <row r="5" ht="60" customHeight="1">
      <c r="A5" s="22" t="inlineStr">
        <is>
          <t>Level</t>
        </is>
      </c>
      <c r="B5" s="22" t="inlineStr">
        <is>
          <t>Band</t>
        </is>
      </c>
      <c r="C5" s="22" t="inlineStr">
        <is>
          <t>Role group</t>
        </is>
      </c>
      <c r="D5" s="22" t="inlineStr">
        <is>
          <t>Level title</t>
        </is>
      </c>
      <c r="E5" s="22" t="inlineStr">
        <is>
          <t>Roles at this level in this family</t>
        </is>
      </c>
      <c r="F5" s="48" t="inlineStr">
        <is>
          <t>Weightage · L/M/H</t>
        </is>
      </c>
      <c r="G5" s="48" t="inlineStr">
        <is>
          <t>Low</t>
        </is>
      </c>
      <c r="H5" s="48" t="inlineStr">
        <is>
          <t>Medium</t>
        </is>
      </c>
      <c r="I5" s="48" t="inlineStr">
        <is>
          <t>High</t>
        </is>
      </c>
      <c r="J5" s="48" t="inlineStr">
        <is>
          <t>Weightage · L/M/H</t>
        </is>
      </c>
      <c r="K5" s="48" t="inlineStr">
        <is>
          <t>Low</t>
        </is>
      </c>
      <c r="L5" s="48" t="inlineStr">
        <is>
          <t>Medium</t>
        </is>
      </c>
      <c r="M5" s="48" t="inlineStr">
        <is>
          <t>High</t>
        </is>
      </c>
      <c r="N5" s="48" t="inlineStr">
        <is>
          <t>Weightage · L/M/H</t>
        </is>
      </c>
      <c r="O5" s="48" t="inlineStr">
        <is>
          <t>Low</t>
        </is>
      </c>
      <c r="P5" s="48" t="inlineStr">
        <is>
          <t>Medium</t>
        </is>
      </c>
      <c r="Q5" s="48" t="inlineStr">
        <is>
          <t>High</t>
        </is>
      </c>
      <c r="R5" s="50" t="inlineStr">
        <is>
          <t>Weightage · L/M/H</t>
        </is>
      </c>
      <c r="S5" s="50" t="inlineStr">
        <is>
          <t>Low</t>
        </is>
      </c>
      <c r="T5" s="50" t="inlineStr">
        <is>
          <t>Medium</t>
        </is>
      </c>
      <c r="U5" s="50" t="inlineStr">
        <is>
          <t>High</t>
        </is>
      </c>
      <c r="V5" s="50" t="inlineStr">
        <is>
          <t>Weightage · L/M/H</t>
        </is>
      </c>
      <c r="W5" s="50" t="inlineStr">
        <is>
          <t>Low</t>
        </is>
      </c>
      <c r="X5" s="50" t="inlineStr">
        <is>
          <t>Medium</t>
        </is>
      </c>
      <c r="Y5" s="50" t="inlineStr">
        <is>
          <t>High</t>
        </is>
      </c>
      <c r="Z5" s="82" t="inlineStr">
        <is>
          <t>Weightage · L/M/H</t>
        </is>
      </c>
      <c r="AA5" s="82" t="inlineStr">
        <is>
          <t>Low</t>
        </is>
      </c>
      <c r="AB5" s="82" t="inlineStr">
        <is>
          <t>Medium</t>
        </is>
      </c>
      <c r="AC5" s="82" t="inlineStr">
        <is>
          <t>High</t>
        </is>
      </c>
      <c r="AD5" s="82" t="inlineStr">
        <is>
          <t>Weightage · L/M/H</t>
        </is>
      </c>
      <c r="AE5" s="82" t="inlineStr">
        <is>
          <t>Low</t>
        </is>
      </c>
      <c r="AF5" s="82" t="inlineStr">
        <is>
          <t>Medium</t>
        </is>
      </c>
      <c r="AG5" s="82" t="inlineStr">
        <is>
          <t>High</t>
        </is>
      </c>
      <c r="AH5" s="26" t="inlineStr">
        <is>
          <t>Market weight % · C · Au · Ac · L · BI · Exp · Edu</t>
        </is>
      </c>
      <c r="AI5" s="26" t="inlineStr">
        <is>
          <t>Market experience · yrs</t>
        </is>
      </c>
      <c r="AJ5" s="26" t="inlineStr">
        <is>
          <t>Span norm</t>
        </is>
      </c>
      <c r="AK5" s="26" t="inlineStr">
        <is>
          <t>Radford / Mercer · SFIA 9</t>
        </is>
      </c>
      <c r="AL5" s="26" t="inlineStr">
        <is>
          <t>References</t>
        </is>
      </c>
    </row>
    <row r="6" ht="120" customHeight="1">
      <c r="A6" s="83" t="inlineStr">
        <is>
          <t>E2</t>
        </is>
      </c>
      <c r="B6" s="29" t="inlineStr">
        <is>
          <t>Band E · Enterprise leadership</t>
        </is>
      </c>
      <c r="C6" s="29" t="inlineStr">
        <is>
          <t>Bands D–E · Leadership</t>
        </is>
      </c>
      <c r="D6" s="29" t="inlineStr">
        <is>
          <t>Chief Executive Officer</t>
        </is>
      </c>
      <c r="E6" s="29" t="inlineStr">
        <is>
          <t>— no role at this level today</t>
        </is>
      </c>
      <c r="F6" s="34" t="inlineStr">
        <is>
          <t>H</t>
        </is>
      </c>
      <c r="G6" s="84" t="inlineStr">
        <is>
          <t>Works at E1: Enterprise-level functional strategy</t>
        </is>
      </c>
      <c r="H6" s="84" t="inlineStr">
        <is>
          <t>Enterprise-wide uncertainty, transformation and external forces</t>
        </is>
      </c>
      <c r="I6" s="84" t="inlineStr">
        <is>
          <t>Beyond the role · a board-level mandate</t>
        </is>
      </c>
      <c r="J6" s="34" t="inlineStr">
        <is>
          <t>M</t>
        </is>
      </c>
      <c r="K6" s="84" t="inlineStr">
        <is>
          <t>Works at E1: Sets enterprise priorities for the function</t>
        </is>
      </c>
      <c r="L6" s="84" t="inlineStr">
        <is>
          <t>Accountable to the board</t>
        </is>
      </c>
      <c r="M6" s="84" t="inlineStr">
        <is>
          <t>Beyond the role · a board-level mandate</t>
        </is>
      </c>
      <c r="N6" s="34" t="inlineStr">
        <is>
          <t>M</t>
        </is>
      </c>
      <c r="O6" s="84" t="inlineStr">
        <is>
          <t>Works at E1: Enterprise-wide functional results</t>
        </is>
      </c>
      <c r="P6" s="84" t="inlineStr">
        <is>
          <t>Enterprise results, risk, culture and long-term viability</t>
        </is>
      </c>
      <c r="Q6" s="84" t="inlineStr">
        <is>
          <t>Beyond the role · a board-level mandate</t>
        </is>
      </c>
      <c r="R6" s="34" t="inlineStr">
        <is>
          <t>M</t>
        </is>
      </c>
      <c r="S6" s="56" t="inlineStr">
        <is>
          <t>Works at E1: Shapes enterprise strategy</t>
        </is>
      </c>
      <c r="T6" s="56" t="inlineStr">
        <is>
          <t>Sets enterprise strategy; leads the executive team</t>
        </is>
      </c>
      <c r="U6" s="56" t="inlineStr">
        <is>
          <t>Beyond the role · a board-level mandate</t>
        </is>
      </c>
      <c r="V6" s="34" t="inlineStr">
        <is>
          <t>L</t>
        </is>
      </c>
      <c r="W6" s="56" t="inlineStr">
        <is>
          <t>Works at E1: Shapes company-wide results through a function</t>
        </is>
      </c>
      <c r="X6" s="56" t="inlineStr">
        <is>
          <t>Answers for the whole company's results and long-term value</t>
        </is>
      </c>
      <c r="Y6" s="56" t="inlineStr">
        <is>
          <t>Beyond the role · a board-level mandate</t>
        </is>
      </c>
      <c r="Z6" s="34" t="inlineStr">
        <is>
          <t>L</t>
        </is>
      </c>
      <c r="AA6" s="85" t="inlineStr">
        <is>
          <t>Less experience than the band's typical 20+ yrs</t>
        </is>
      </c>
      <c r="AB6" s="85" t="inlineStr">
        <is>
          <t>Typical for the band: 20+ yrs · market — yrs</t>
        </is>
      </c>
      <c r="AC6" s="85" t="inlineStr">
        <is>
          <t>More experience than the band's typical 20+ yrs</t>
        </is>
      </c>
      <c r="AD6" s="34" t="inlineStr">
        <is>
          <t>L</t>
        </is>
      </c>
      <c r="AE6" s="85" t="inlineStr">
        <is>
          <t>Below: Postgraduate / professional qualification; business leadership record</t>
        </is>
      </c>
      <c r="AF6" s="85" t="inlineStr">
        <is>
          <t>Postgraduate / professional qualification; proven business leadership</t>
        </is>
      </c>
      <c r="AG6" s="85" t="inlineStr">
        <is>
          <t>Board-level credentials beyond the role's need</t>
        </is>
      </c>
      <c r="AH6" s="44" t="inlineStr">
        <is>
          <t>36.3 · 19 · 11.3 · 20 · 8.7 · 4 · 1</t>
        </is>
      </c>
      <c r="AI6" s="38" t="inlineStr">
        <is>
          <t>20+ yrs</t>
        </is>
      </c>
      <c r="AJ6" s="38" t="inlineStr">
        <is>
          <t>Executive team</t>
        </is>
      </c>
      <c r="AK6" s="38" t="inlineStr">
        <is>
          <t>E6 · SFIA 7</t>
        </is>
      </c>
      <c r="AL6"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7" ht="120" customHeight="1">
      <c r="A7" s="83" t="inlineStr">
        <is>
          <t>E1</t>
        </is>
      </c>
      <c r="B7" s="29" t="inlineStr">
        <is>
          <t>Band E · Enterprise leadership</t>
        </is>
      </c>
      <c r="C7" s="29" t="inlineStr">
        <is>
          <t>Bands D–E · Leadership</t>
        </is>
      </c>
      <c r="D7" s="29" t="inlineStr">
        <is>
          <t>CXO / President</t>
        </is>
      </c>
      <c r="E7" s="29" t="inlineStr">
        <is>
          <t>— no role at this level today</t>
        </is>
      </c>
      <c r="F7" s="34" t="inlineStr">
        <is>
          <t>H</t>
        </is>
      </c>
      <c r="G7" s="84" t="inlineStr">
        <is>
          <t>Works at D2: Portfolio-level strategic, financial and regulatory trade-offs</t>
        </is>
      </c>
      <c r="H7" s="84" t="inlineStr">
        <is>
          <t>Enterprise-level functional strategy</t>
        </is>
      </c>
      <c r="I7" s="84" t="inlineStr">
        <is>
          <t>Already works at E2: Enterprise-wide uncertainty, transformation and external forces</t>
        </is>
      </c>
      <c r="J7" s="34" t="inlineStr">
        <is>
          <t>M</t>
        </is>
      </c>
      <c r="K7" s="84" t="inlineStr">
        <is>
          <t>Works at D2: Sets direction across business lines</t>
        </is>
      </c>
      <c r="L7" s="84" t="inlineStr">
        <is>
          <t>Sets enterprise priorities for the function</t>
        </is>
      </c>
      <c r="M7" s="84" t="inlineStr">
        <is>
          <t>Already works at E2: Accountable to the board</t>
        </is>
      </c>
      <c r="N7" s="34" t="inlineStr">
        <is>
          <t>M</t>
        </is>
      </c>
      <c r="O7" s="84" t="inlineStr">
        <is>
          <t>Works at D2: Multi-business results</t>
        </is>
      </c>
      <c r="P7" s="84" t="inlineStr">
        <is>
          <t>Enterprise-wide functional results</t>
        </is>
      </c>
      <c r="Q7" s="84" t="inlineStr">
        <is>
          <t>Already works at E2: Enterprise results, risk, culture and long-term viability</t>
        </is>
      </c>
      <c r="R7" s="34" t="inlineStr">
        <is>
          <t>M</t>
        </is>
      </c>
      <c r="S7" s="56" t="inlineStr">
        <is>
          <t>Works at D2: Builds the leadership team across businesses</t>
        </is>
      </c>
      <c r="T7" s="56" t="inlineStr">
        <is>
          <t>Shapes enterprise strategy</t>
        </is>
      </c>
      <c r="U7" s="56" t="inlineStr">
        <is>
          <t>Already works at E2: Sets enterprise strategy; leads the executive team</t>
        </is>
      </c>
      <c r="V7" s="34" t="inlineStr">
        <is>
          <t>L</t>
        </is>
      </c>
      <c r="W7" s="56" t="inlineStr">
        <is>
          <t>Works at D2: Owns the results of several business lines</t>
        </is>
      </c>
      <c r="X7" s="56" t="inlineStr">
        <is>
          <t>Shapes company-wide results through a function</t>
        </is>
      </c>
      <c r="Y7" s="56" t="inlineStr">
        <is>
          <t>Already works at E2: Answers for the whole company's results and long-term value</t>
        </is>
      </c>
      <c r="Z7" s="34" t="inlineStr">
        <is>
          <t>L</t>
        </is>
      </c>
      <c r="AA7" s="85" t="inlineStr">
        <is>
          <t>Less experience than the band's typical 20+ yrs</t>
        </is>
      </c>
      <c r="AB7" s="85" t="inlineStr">
        <is>
          <t>Typical for the band: 20+ yrs · market — yrs</t>
        </is>
      </c>
      <c r="AC7" s="85" t="inlineStr">
        <is>
          <t>More experience than the band's typical 20+ yrs</t>
        </is>
      </c>
      <c r="AD7" s="34" t="inlineStr">
        <is>
          <t>L</t>
        </is>
      </c>
      <c r="AE7" s="85" t="inlineStr">
        <is>
          <t>Below: Postgraduate / professional qualification preferred</t>
        </is>
      </c>
      <c r="AF7" s="85" t="inlineStr">
        <is>
          <t>Postgraduate / professional qualification; business leadership record</t>
        </is>
      </c>
      <c r="AG7" s="85" t="inlineStr">
        <is>
          <t>Above: Postgraduate / professional qualification; proven business leadership</t>
        </is>
      </c>
      <c r="AH7" s="44" t="inlineStr">
        <is>
          <t>36.3 · 19 · 11.3 · 20 · 8.7 · 4 · 1</t>
        </is>
      </c>
      <c r="AI7" s="38" t="inlineStr">
        <is>
          <t>20+ yrs</t>
        </is>
      </c>
      <c r="AJ7" s="38" t="inlineStr">
        <is>
          <t>5–8 function heads</t>
        </is>
      </c>
      <c r="AK7" s="38" t="inlineStr">
        <is>
          <t>E5 · SFIA 7</t>
        </is>
      </c>
      <c r="AL7"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8" ht="120" customHeight="1">
      <c r="A8" s="86" t="inlineStr">
        <is>
          <t>D2</t>
        </is>
      </c>
      <c r="B8" s="29" t="inlineStr">
        <is>
          <t>Band D · Business leadership</t>
        </is>
      </c>
      <c r="C8" s="29" t="inlineStr">
        <is>
          <t>Bands D–E · Leadership</t>
        </is>
      </c>
      <c r="D8" s="29" t="inlineStr">
        <is>
          <t>Senior Vice President / Business Head</t>
        </is>
      </c>
      <c r="E8" s="29" t="inlineStr">
        <is>
          <t>— no role at this level today</t>
        </is>
      </c>
      <c r="F8" s="34" t="inlineStr">
        <is>
          <t>H</t>
        </is>
      </c>
      <c r="G8" s="84" t="inlineStr">
        <is>
          <t>Works at D1: Competing strategic, financial and regulatory priorities</t>
        </is>
      </c>
      <c r="H8" s="84" t="inlineStr">
        <is>
          <t>Portfolio-level strategic, financial and regulatory trade-offs</t>
        </is>
      </c>
      <c r="I8" s="84" t="inlineStr">
        <is>
          <t>Already works at E1: Enterprise-level functional strategy</t>
        </is>
      </c>
      <c r="J8" s="34" t="inlineStr">
        <is>
          <t>M</t>
        </is>
      </c>
      <c r="K8" s="84" t="inlineStr">
        <is>
          <t>Works at D1: Sets business-line direction, pricing and investment</t>
        </is>
      </c>
      <c r="L8" s="84" t="inlineStr">
        <is>
          <t>Sets direction across business lines</t>
        </is>
      </c>
      <c r="M8" s="84" t="inlineStr">
        <is>
          <t>Already works at E1: Sets enterprise priorities for the function</t>
        </is>
      </c>
      <c r="N8" s="34" t="inlineStr">
        <is>
          <t>M</t>
        </is>
      </c>
      <c r="O8" s="84" t="inlineStr">
        <is>
          <t>Works at D1: Business-line P&amp;L and market position</t>
        </is>
      </c>
      <c r="P8" s="84" t="inlineStr">
        <is>
          <t>Multi-business results</t>
        </is>
      </c>
      <c r="Q8" s="84" t="inlineStr">
        <is>
          <t>Already works at E1: Enterprise-wide functional results</t>
        </is>
      </c>
      <c r="R8" s="34" t="inlineStr">
        <is>
          <t>M</t>
        </is>
      </c>
      <c r="S8" s="56" t="inlineStr">
        <is>
          <t>Works at D1: Defines business strategy; builds the leadership bench</t>
        </is>
      </c>
      <c r="T8" s="56" t="inlineStr">
        <is>
          <t>Builds the leadership team across businesses</t>
        </is>
      </c>
      <c r="U8" s="56" t="inlineStr">
        <is>
          <t>Already works at E1: Shapes enterprise strategy</t>
        </is>
      </c>
      <c r="V8" s="34" t="inlineStr">
        <is>
          <t>L</t>
        </is>
      </c>
      <c r="W8" s="56" t="inlineStr">
        <is>
          <t>Works at D1: Owns a business line's P&amp;L and growth, or a company-wide function</t>
        </is>
      </c>
      <c r="X8" s="56" t="inlineStr">
        <is>
          <t>Owns the results of several business lines</t>
        </is>
      </c>
      <c r="Y8" s="56" t="inlineStr">
        <is>
          <t>Already works at E1: Shapes company-wide results through a function</t>
        </is>
      </c>
      <c r="Z8" s="34" t="inlineStr">
        <is>
          <t>L</t>
        </is>
      </c>
      <c r="AA8" s="85" t="inlineStr">
        <is>
          <t>Less experience than the band's typical 18–24 yrs</t>
        </is>
      </c>
      <c r="AB8" s="85" t="inlineStr">
        <is>
          <t>Typical for the band: 18–24 yrs · market — yrs</t>
        </is>
      </c>
      <c r="AC8" s="85" t="inlineStr">
        <is>
          <t>More experience than the band's typical 18–24 yrs</t>
        </is>
      </c>
      <c r="AD8" s="34" t="inlineStr">
        <is>
          <t>L</t>
        </is>
      </c>
      <c r="AE8" s="85" t="inlineStr">
        <is>
          <t>Below: Postgraduate / professional qualification preferred</t>
        </is>
      </c>
      <c r="AF8" s="85" t="inlineStr">
        <is>
          <t>Postgraduate / professional qualification preferred</t>
        </is>
      </c>
      <c r="AG8" s="85" t="inlineStr">
        <is>
          <t>Above: Postgraduate / professional qualification; business leadership record</t>
        </is>
      </c>
      <c r="AH8" s="44" t="inlineStr">
        <is>
          <t>36.3 · 19 · 11.3 · 20 · 8.7 · 4 · 1</t>
        </is>
      </c>
      <c r="AI8" s="38" t="inlineStr">
        <is>
          <t>18–24 yrs</t>
        </is>
      </c>
      <c r="AJ8" s="38" t="inlineStr">
        <is>
          <t>5–8 AVPs / heads</t>
        </is>
      </c>
      <c r="AK8" s="38" t="inlineStr">
        <is>
          <t>E3–E4 · SFIA 7 Set strategy</t>
        </is>
      </c>
      <c r="AL8"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9" ht="120" customHeight="1">
      <c r="A9" s="86" t="inlineStr">
        <is>
          <t>D1</t>
        </is>
      </c>
      <c r="B9" s="29" t="inlineStr">
        <is>
          <t>Band D · Business leadership</t>
        </is>
      </c>
      <c r="C9" s="29" t="inlineStr">
        <is>
          <t>Bands D–E · Leadership</t>
        </is>
      </c>
      <c r="D9" s="29" t="inlineStr">
        <is>
          <t>Associate Vice President</t>
        </is>
      </c>
      <c r="E9" s="29" t="inlineStr">
        <is>
          <t>— no role at this level today</t>
        </is>
      </c>
      <c r="F9" s="34" t="inlineStr">
        <is>
          <t>H</t>
        </is>
      </c>
      <c r="G9" s="84" t="inlineStr">
        <is>
          <t>Works at C2: Function-wide or company-wide problems; creates methods and standards</t>
        </is>
      </c>
      <c r="H9" s="84" t="inlineStr">
        <is>
          <t>Competing strategic, financial and regulatory priorities</t>
        </is>
      </c>
      <c r="I9" s="84" t="inlineStr">
        <is>
          <t>Already works at D2: Portfolio-level strategic, financial and regulatory trade-offs</t>
        </is>
      </c>
      <c r="J9" s="34" t="inlineStr">
        <is>
          <t>M</t>
        </is>
      </c>
      <c r="K9" s="84" t="inlineStr">
        <is>
          <t>Works at C2: Sets direction for a function</t>
        </is>
      </c>
      <c r="L9" s="84" t="inlineStr">
        <is>
          <t>Sets business-line direction, pricing and investment</t>
        </is>
      </c>
      <c r="M9" s="84" t="inlineStr">
        <is>
          <t>Already works at D2: Sets direction across business lines</t>
        </is>
      </c>
      <c r="N9" s="34" t="inlineStr">
        <is>
          <t>M</t>
        </is>
      </c>
      <c r="O9" s="84" t="inlineStr">
        <is>
          <t>Works at C2: Function results, budget and risk</t>
        </is>
      </c>
      <c r="P9" s="84" t="inlineStr">
        <is>
          <t>Business-line P&amp;L and market position</t>
        </is>
      </c>
      <c r="Q9" s="84" t="inlineStr">
        <is>
          <t>Already works at D2: Multi-business results</t>
        </is>
      </c>
      <c r="R9" s="34" t="inlineStr">
        <is>
          <t>M</t>
        </is>
      </c>
      <c r="S9" s="56" t="inlineStr">
        <is>
          <t>Works at C2: Leads a function; shapes functional strategy</t>
        </is>
      </c>
      <c r="T9" s="56" t="inlineStr">
        <is>
          <t>Defines business strategy; builds the leadership bench</t>
        </is>
      </c>
      <c r="U9" s="56" t="inlineStr">
        <is>
          <t>Already works at D2: Builds the leadership team across businesses</t>
        </is>
      </c>
      <c r="V9" s="34" t="inlineStr">
        <is>
          <t>L</t>
        </is>
      </c>
      <c r="W9" s="56" t="inlineStr">
        <is>
          <t>Works at C2: Drives a function's or department's results and costs</t>
        </is>
      </c>
      <c r="X9" s="56" t="inlineStr">
        <is>
          <t>Owns a business line's P&amp;L and growth, or a company-wide function</t>
        </is>
      </c>
      <c r="Y9" s="56" t="inlineStr">
        <is>
          <t>Already works at D2: Owns the results of several business lines</t>
        </is>
      </c>
      <c r="Z9" s="34" t="inlineStr">
        <is>
          <t>L</t>
        </is>
      </c>
      <c r="AA9" s="85" t="inlineStr">
        <is>
          <t>Less experience than the band's typical 15–20 yrs</t>
        </is>
      </c>
      <c r="AB9" s="85" t="inlineStr">
        <is>
          <t>Typical for the band: 15–20 yrs · market — yrs</t>
        </is>
      </c>
      <c r="AC9" s="85" t="inlineStr">
        <is>
          <t>More experience than the band's typical 15–20 yrs</t>
        </is>
      </c>
      <c r="AD9" s="34" t="inlineStr">
        <is>
          <t>L</t>
        </is>
      </c>
      <c r="AE9" s="85" t="inlineStr">
        <is>
          <t>Below: Postgraduate / professional qualification preferred</t>
        </is>
      </c>
      <c r="AF9" s="85" t="inlineStr">
        <is>
          <t>Postgraduate / professional qualification preferred</t>
        </is>
      </c>
      <c r="AG9" s="85" t="inlineStr">
        <is>
          <t>Above: Postgraduate / professional qualification preferred</t>
        </is>
      </c>
      <c r="AH9" s="44" t="inlineStr">
        <is>
          <t>36.3 · 19 · 11.3 · 20 · 8.7 · 4 · 1</t>
        </is>
      </c>
      <c r="AI9" s="38" t="inlineStr">
        <is>
          <t>15–20 yrs</t>
        </is>
      </c>
      <c r="AJ9" s="38" t="inlineStr">
        <is>
          <t>5–8 heads</t>
        </is>
      </c>
      <c r="AK9" s="38" t="inlineStr">
        <is>
          <t>E1–E2 · SFIA 6–7</t>
        </is>
      </c>
      <c r="AL9"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0" ht="120" customHeight="1">
      <c r="A10" s="87" t="inlineStr">
        <is>
          <t>C+</t>
        </is>
      </c>
      <c r="B10" s="29" t="inlineStr">
        <is>
          <t>C+ · Player-Coach</t>
        </is>
      </c>
      <c r="C10" s="29" t="inlineStr">
        <is>
          <t>C+ · Player-Coach</t>
        </is>
      </c>
      <c r="D10" s="29" t="inlineStr">
        <is>
          <t>Group Head · Player-Coach</t>
        </is>
      </c>
      <c r="E10" s="29" t="inlineStr">
        <is>
          <t>— no role at this level today</t>
        </is>
      </c>
      <c r="F10" s="34" t="inlineStr">
        <is>
          <t>H</t>
        </is>
      </c>
      <c r="G10" s="84" t="inlineStr">
        <is>
          <t>Works at C2: Function-wide or company-wide problems; creates methods and standards</t>
        </is>
      </c>
      <c r="H10" s="84" t="inlineStr">
        <is>
          <t>Function-wide and cross-product problems; personally handles the most critical client or technical work</t>
        </is>
      </c>
      <c r="I10" s="84" t="inlineStr">
        <is>
          <t>Already works at D1: Competing strategic, financial and regulatory priorities</t>
        </is>
      </c>
      <c r="J10" s="34" t="inlineStr">
        <is>
          <t>M</t>
        </is>
      </c>
      <c r="K10" s="84" t="inlineStr">
        <is>
          <t>Works at C2: Sets direction for a function</t>
        </is>
      </c>
      <c r="L10" s="84" t="inlineStr">
        <is>
          <t>Sets direction for the function; business-line trade-offs go to the Business Head</t>
        </is>
      </c>
      <c r="M10" s="84" t="inlineStr">
        <is>
          <t>Already works at D1: Sets business-line direction, pricing and investment</t>
        </is>
      </c>
      <c r="N10" s="34" t="inlineStr">
        <is>
          <t>M</t>
        </is>
      </c>
      <c r="O10" s="84" t="inlineStr">
        <is>
          <t>Works at C2: Function results, budget and risk</t>
        </is>
      </c>
      <c r="P10" s="84" t="inlineStr">
        <is>
          <t>Function results, budget and key-client outcomes; carries own book or principal delivery</t>
        </is>
      </c>
      <c r="Q10" s="84" t="inlineStr">
        <is>
          <t>Already works at D1: Business-line P&amp;L and market position</t>
        </is>
      </c>
      <c r="R10" s="34" t="inlineStr">
        <is>
          <t>M</t>
        </is>
      </c>
      <c r="S10" s="56" t="inlineStr">
        <is>
          <t>Works at C2: Leads a function; shapes functional strategy</t>
        </is>
      </c>
      <c r="T10" s="56" t="inlineStr">
        <is>
          <t>Leads managers and leads and 10+ people in the function while staying hands-on</t>
        </is>
      </c>
      <c r="U10" s="56" t="inlineStr">
        <is>
          <t>Already works at D1: Defines business strategy; builds the leadership bench</t>
        </is>
      </c>
      <c r="V10" s="34" t="inlineStr">
        <is>
          <t>L</t>
        </is>
      </c>
      <c r="W10" s="56" t="inlineStr">
        <is>
          <t>Works at C2: Drives a function's or department's results and costs</t>
        </is>
      </c>
      <c r="X10" s="56" t="inlineStr">
        <is>
          <t>Drives a function's results and personally wins or delivers key work</t>
        </is>
      </c>
      <c r="Y10" s="56" t="inlineStr">
        <is>
          <t>Already works at D1: Owns a business line's P&amp;L and growth, or a company-wide function</t>
        </is>
      </c>
      <c r="Z10" s="34" t="inlineStr">
        <is>
          <t>L</t>
        </is>
      </c>
      <c r="AA10" s="85" t="inlineStr">
        <is>
          <t>Less experience than the band's typical 13–18 yrs</t>
        </is>
      </c>
      <c r="AB10" s="85" t="inlineStr">
        <is>
          <t>Typical for the band: 13–18 yrs · market 15–18 yrs</t>
        </is>
      </c>
      <c r="AC10" s="85" t="inlineStr">
        <is>
          <t>More experience than the band's typical 13–18 yrs</t>
        </is>
      </c>
      <c r="AD10" s="34" t="inlineStr">
        <is>
          <t>L</t>
        </is>
      </c>
      <c r="AE10" s="85" t="inlineStr">
        <is>
          <t>Below: Postgraduate / professional qualification preferred</t>
        </is>
      </c>
      <c r="AF10" s="85" t="inlineStr">
        <is>
          <t>Postgraduate / professional qualification preferred</t>
        </is>
      </c>
      <c r="AG10" s="85" t="inlineStr">
        <is>
          <t>Above: Postgraduate / professional qualification preferred</t>
        </is>
      </c>
      <c r="AH10" s="44" t="inlineStr">
        <is>
          <t>37.7 · 18.3 · 10.7 · 20 · 8 · 4 · 1</t>
        </is>
      </c>
      <c r="AI10" s="38" t="inlineStr">
        <is>
          <t>15–18</t>
        </is>
      </c>
      <c r="AJ10" s="38" t="inlineStr">
        <is>
          <t>4–8 managers / leads with ≥ 25% of time on own principal delivery</t>
        </is>
      </c>
      <c r="AK10" s="38" t="inlineStr">
        <is>
          <t>M6 / E1 · SFIA 6 Initiate, influence</t>
        </is>
      </c>
      <c r="AL10"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1" ht="120" customHeight="1">
      <c r="A11" s="88" t="inlineStr">
        <is>
          <t>C2</t>
        </is>
      </c>
      <c r="B11" s="29" t="inlineStr">
        <is>
          <t>Band C · Principal / Head</t>
        </is>
      </c>
      <c r="C11" s="29" t="inlineStr">
        <is>
          <t>Band C · Head / manager</t>
        </is>
      </c>
      <c r="D11" s="29" t="inlineStr">
        <is>
          <t>Head of Function</t>
        </is>
      </c>
      <c r="E11" s="29" t="inlineStr">
        <is>
          <t>— no role at this level today</t>
        </is>
      </c>
      <c r="F11" s="34" t="inlineStr">
        <is>
          <t>H</t>
        </is>
      </c>
      <c r="G11" s="84" t="inlineStr">
        <is>
          <t>Works at C1: Ambiguous, cross-product problems</t>
        </is>
      </c>
      <c r="H11" s="84" t="inlineStr">
        <is>
          <t>Function-wide or company-wide problems; creates methods and standards</t>
        </is>
      </c>
      <c r="I11" s="84" t="inlineStr">
        <is>
          <t>Already works at D1: Competing strategic, financial and regulatory priorities</t>
        </is>
      </c>
      <c r="J11" s="34" t="inlineStr">
        <is>
          <t>M</t>
        </is>
      </c>
      <c r="K11" s="84" t="inlineStr">
        <is>
          <t>Works at C1: Sets direction for a sub-function or domain</t>
        </is>
      </c>
      <c r="L11" s="84" t="inlineStr">
        <is>
          <t>Sets direction for a function</t>
        </is>
      </c>
      <c r="M11" s="84" t="inlineStr">
        <is>
          <t>Already works at D1: Sets business-line direction, pricing and investment</t>
        </is>
      </c>
      <c r="N11" s="34" t="inlineStr">
        <is>
          <t>L</t>
        </is>
      </c>
      <c r="O11" s="84" t="inlineStr">
        <is>
          <t>Works at C1: Sub-function results or domain quality across products</t>
        </is>
      </c>
      <c r="P11" s="84" t="inlineStr">
        <is>
          <t>Function results, budget and risk</t>
        </is>
      </c>
      <c r="Q11" s="84" t="inlineStr">
        <is>
          <t>Already works at D1: Business-line P&amp;L and market position</t>
        </is>
      </c>
      <c r="R11" s="34" t="inlineStr">
        <is>
          <t>M</t>
        </is>
      </c>
      <c r="S11" s="56" t="inlineStr">
        <is>
          <t>Works at C1: Leads managers or a community of practice</t>
        </is>
      </c>
      <c r="T11" s="56" t="inlineStr">
        <is>
          <t>Leads a function; shapes functional strategy</t>
        </is>
      </c>
      <c r="U11" s="56" t="inlineStr">
        <is>
          <t>Already works at D1: Defines business strategy; builds the leadership bench</t>
        </is>
      </c>
      <c r="V11" s="34" t="inlineStr">
        <is>
          <t>L</t>
        </is>
      </c>
      <c r="W11" s="56" t="inlineStr">
        <is>
          <t>Works at C1: Changes results across a sub-function or across products</t>
        </is>
      </c>
      <c r="X11" s="56" t="inlineStr">
        <is>
          <t>Drives a function's or department's results and costs</t>
        </is>
      </c>
      <c r="Y11" s="56" t="inlineStr">
        <is>
          <t>Already works at D1: Owns a business line's P&amp;L and growth, or a company-wide function</t>
        </is>
      </c>
      <c r="Z11" s="34" t="inlineStr">
        <is>
          <t>L</t>
        </is>
      </c>
      <c r="AA11" s="85" t="inlineStr">
        <is>
          <t>Less experience than the band's typical 12–17 yrs</t>
        </is>
      </c>
      <c r="AB11" s="85" t="inlineStr">
        <is>
          <t>Typical for the band: 12–17 yrs · market — yrs</t>
        </is>
      </c>
      <c r="AC11" s="85" t="inlineStr">
        <is>
          <t>More experience than the band's typical 12–17 yrs</t>
        </is>
      </c>
      <c r="AD11" s="34" t="inlineStr">
        <is>
          <t>L</t>
        </is>
      </c>
      <c r="AE11" s="85" t="inlineStr">
        <is>
          <t>Below: Postgraduate / professional qualification preferred</t>
        </is>
      </c>
      <c r="AF11" s="85" t="inlineStr">
        <is>
          <t>Postgraduate / professional qualification preferred</t>
        </is>
      </c>
      <c r="AG11" s="85" t="inlineStr">
        <is>
          <t>Above: Postgraduate / professional qualification preferred</t>
        </is>
      </c>
      <c r="AH11" s="44" t="inlineStr">
        <is>
          <t>43.3 · 18 · 10.7 · 15 · 8 · 4 · 1</t>
        </is>
      </c>
      <c r="AI11" s="38" t="inlineStr">
        <is>
          <t>12–17 yrs</t>
        </is>
      </c>
      <c r="AJ11" s="38" t="inlineStr">
        <is>
          <t>5–8 managers / associate heads</t>
        </is>
      </c>
      <c r="AK11" s="38" t="inlineStr">
        <is>
          <t>P7 / M6 · SFIA 6 Initiate, influence</t>
        </is>
      </c>
      <c r="AL11"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2" ht="120" customHeight="1">
      <c r="A12" s="88" t="inlineStr">
        <is>
          <t>C2</t>
        </is>
      </c>
      <c r="B12" s="29" t="inlineStr">
        <is>
          <t>Band C · Principal / Head</t>
        </is>
      </c>
      <c r="C12" s="29" t="inlineStr">
        <is>
          <t>Band C · Principal specialist</t>
        </is>
      </c>
      <c r="D12" s="29" t="inlineStr">
        <is>
          <t>Senior Principal / Architect</t>
        </is>
      </c>
      <c r="E12" s="29" t="inlineStr">
        <is>
          <t>— no role at this level today</t>
        </is>
      </c>
      <c r="F12" s="34" t="inlineStr">
        <is>
          <t>H</t>
        </is>
      </c>
      <c r="G12" s="84" t="inlineStr">
        <is>
          <t>Works at C1: Ambiguous, cross-product problems</t>
        </is>
      </c>
      <c r="H12" s="84" t="inlineStr">
        <is>
          <t>Function-wide or company-wide problems; creates methods and standards</t>
        </is>
      </c>
      <c r="I12" s="84" t="inlineStr">
        <is>
          <t>Already works at D1: Competing strategic, financial and regulatory priorities</t>
        </is>
      </c>
      <c r="J12" s="34" t="inlineStr">
        <is>
          <t>M</t>
        </is>
      </c>
      <c r="K12" s="84" t="inlineStr">
        <is>
          <t>Works at C1: Sets direction for a sub-function or domain</t>
        </is>
      </c>
      <c r="L12" s="84" t="inlineStr">
        <is>
          <t>Sets direction for a function</t>
        </is>
      </c>
      <c r="M12" s="84" t="inlineStr">
        <is>
          <t>Already works at D1: Sets business-line direction, pricing and investment</t>
        </is>
      </c>
      <c r="N12" s="34" t="inlineStr">
        <is>
          <t>L</t>
        </is>
      </c>
      <c r="O12" s="84" t="inlineStr">
        <is>
          <t>Works at C1: Sub-function results or domain quality across products</t>
        </is>
      </c>
      <c r="P12" s="84" t="inlineStr">
        <is>
          <t>Function results, budget and risk</t>
        </is>
      </c>
      <c r="Q12" s="84" t="inlineStr">
        <is>
          <t>Already works at D1: Business-line P&amp;L and market position</t>
        </is>
      </c>
      <c r="R12" s="34" t="inlineStr">
        <is>
          <t>L</t>
        </is>
      </c>
      <c r="S12" s="56" t="inlineStr">
        <is>
          <t>Works at C1: Leads managers or a community of practice</t>
        </is>
      </c>
      <c r="T12" s="56" t="inlineStr">
        <is>
          <t>Leads a function; shapes functional strategy</t>
        </is>
      </c>
      <c r="U12" s="56" t="inlineStr">
        <is>
          <t>Already works at D1: Defines business strategy; builds the leadership bench</t>
        </is>
      </c>
      <c r="V12" s="34" t="inlineStr">
        <is>
          <t>L</t>
        </is>
      </c>
      <c r="W12" s="56" t="inlineStr">
        <is>
          <t>Works at C1: Changes results across a sub-function or across products</t>
        </is>
      </c>
      <c r="X12" s="56" t="inlineStr">
        <is>
          <t>Drives a function's or department's results and costs</t>
        </is>
      </c>
      <c r="Y12" s="56" t="inlineStr">
        <is>
          <t>Already works at D1: Owns a business line's P&amp;L and growth, or a company-wide function</t>
        </is>
      </c>
      <c r="Z12" s="34" t="inlineStr">
        <is>
          <t>L</t>
        </is>
      </c>
      <c r="AA12" s="85" t="inlineStr">
        <is>
          <t>Less experience than the band's typical 12–17 yrs</t>
        </is>
      </c>
      <c r="AB12" s="85" t="inlineStr">
        <is>
          <t>Typical for the band: 12–17 yrs · market — yrs</t>
        </is>
      </c>
      <c r="AC12" s="85" t="inlineStr">
        <is>
          <t>More experience than the band's typical 12–17 yrs</t>
        </is>
      </c>
      <c r="AD12" s="34" t="inlineStr">
        <is>
          <t>L</t>
        </is>
      </c>
      <c r="AE12" s="85" t="inlineStr">
        <is>
          <t>Below: Postgraduate / professional qualification preferred</t>
        </is>
      </c>
      <c r="AF12" s="85" t="inlineStr">
        <is>
          <t>Postgraduate / professional qualification preferred</t>
        </is>
      </c>
      <c r="AG12" s="85" t="inlineStr">
        <is>
          <t>Above: Postgraduate / professional qualification preferred</t>
        </is>
      </c>
      <c r="AH12" s="44" t="inlineStr">
        <is>
          <t>54.3 · 17.7 · 10.3 · 5 · 7.7 · 4 · 1</t>
        </is>
      </c>
      <c r="AI12" s="38" t="inlineStr">
        <is>
          <t>12–17 yrs</t>
        </is>
      </c>
      <c r="AJ12" s="38" t="inlineStr">
        <is>
          <t>5–8 managers / associate heads</t>
        </is>
      </c>
      <c r="AK12" s="38" t="inlineStr">
        <is>
          <t>P7 / M6 · SFIA 6 Initiate, influence</t>
        </is>
      </c>
      <c r="AL12"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3" ht="120" customHeight="1">
      <c r="A13" s="88" t="inlineStr">
        <is>
          <t>C1</t>
        </is>
      </c>
      <c r="B13" s="29" t="inlineStr">
        <is>
          <t>Band C · Principal / Head</t>
        </is>
      </c>
      <c r="C13" s="29" t="inlineStr">
        <is>
          <t>Band C · Head / manager</t>
        </is>
      </c>
      <c r="D13" s="29" t="inlineStr">
        <is>
          <t>Associate Head</t>
        </is>
      </c>
      <c r="E13" s="29" t="inlineStr">
        <is>
          <t>— no role at this level today</t>
        </is>
      </c>
      <c r="F13" s="34" t="inlineStr">
        <is>
          <t>H</t>
        </is>
      </c>
      <c r="G13" s="84" t="inlineStr">
        <is>
          <t>Works at B3: Sets standards for a practice; cross-team problems</t>
        </is>
      </c>
      <c r="H13" s="84" t="inlineStr">
        <is>
          <t>Ambiguous, cross-product problems</t>
        </is>
      </c>
      <c r="I13" s="84" t="inlineStr">
        <is>
          <t>Already works at C2: Function-wide or company-wide problems; creates methods and standards</t>
        </is>
      </c>
      <c r="J13" s="34" t="inlineStr">
        <is>
          <t>M</t>
        </is>
      </c>
      <c r="K13" s="84" t="inlineStr">
        <is>
          <t>Works at B3: Commercial / strategic calls for the unit</t>
        </is>
      </c>
      <c r="L13" s="84" t="inlineStr">
        <is>
          <t>Sets direction for a sub-function or domain</t>
        </is>
      </c>
      <c r="M13" s="84" t="inlineStr">
        <is>
          <t>Already works at C2: Sets direction for a function</t>
        </is>
      </c>
      <c r="N13" s="34" t="inlineStr">
        <is>
          <t>L</t>
        </is>
      </c>
      <c r="O13" s="84" t="inlineStr">
        <is>
          <t>Works at B3: Several teams or a practice</t>
        </is>
      </c>
      <c r="P13" s="84" t="inlineStr">
        <is>
          <t>Sub-function results or domain quality across products</t>
        </is>
      </c>
      <c r="Q13" s="84" t="inlineStr">
        <is>
          <t>Already works at C2: Function results, budget and risk</t>
        </is>
      </c>
      <c r="R13" s="34" t="inlineStr">
        <is>
          <t>M</t>
        </is>
      </c>
      <c r="S13" s="56" t="inlineStr">
        <is>
          <t>Works at B3: IC: leads a practice · People: team leads / managers report in</t>
        </is>
      </c>
      <c r="T13" s="56" t="inlineStr">
        <is>
          <t>Leads managers or a community of practice</t>
        </is>
      </c>
      <c r="U13" s="56" t="inlineStr">
        <is>
          <t>Already works at C2: Leads a function; shapes functional strategy</t>
        </is>
      </c>
      <c r="V13" s="34" t="inlineStr">
        <is>
          <t>L</t>
        </is>
      </c>
      <c r="W13" s="56" t="inlineStr">
        <is>
          <t>Works at B3: Shapes the results of a practice or several teams</t>
        </is>
      </c>
      <c r="X13" s="56" t="inlineStr">
        <is>
          <t>Changes results across a sub-function or across products</t>
        </is>
      </c>
      <c r="Y13" s="56" t="inlineStr">
        <is>
          <t>Already works at C2: Drives a function's or department's results and costs</t>
        </is>
      </c>
      <c r="Z13" s="34" t="inlineStr">
        <is>
          <t>L</t>
        </is>
      </c>
      <c r="AA13" s="85" t="inlineStr">
        <is>
          <t>Less experience than the band's typical 10–14 yrs</t>
        </is>
      </c>
      <c r="AB13" s="85" t="inlineStr">
        <is>
          <t>Typical for the band: 10–14 yrs · market 12–17 yrs</t>
        </is>
      </c>
      <c r="AC13" s="85" t="inlineStr">
        <is>
          <t>More experience than the band's typical 10–14 yrs</t>
        </is>
      </c>
      <c r="AD13" s="34" t="inlineStr">
        <is>
          <t>L</t>
        </is>
      </c>
      <c r="AE13" s="85" t="inlineStr">
        <is>
          <t>Below: Postgraduate or professional qualification preferred</t>
        </is>
      </c>
      <c r="AF13" s="85" t="inlineStr">
        <is>
          <t>Postgraduate / professional qualification preferred</t>
        </is>
      </c>
      <c r="AG13" s="85" t="inlineStr">
        <is>
          <t>Above: Postgraduate / professional qualification preferred</t>
        </is>
      </c>
      <c r="AH13" s="44" t="inlineStr">
        <is>
          <t>43.3 · 18 · 10.7 · 15 · 8 · 4 · 1</t>
        </is>
      </c>
      <c r="AI13" s="38" t="inlineStr">
        <is>
          <t>12–17</t>
        </is>
      </c>
      <c r="AJ13" s="38" t="inlineStr">
        <is>
          <t>5–8, mostly managers</t>
        </is>
      </c>
      <c r="AK13" s="38" t="inlineStr">
        <is>
          <t>P6 / M5 · SFIA 5–6</t>
        </is>
      </c>
      <c r="AL13"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4" ht="120" customHeight="1">
      <c r="A14" s="88" t="inlineStr">
        <is>
          <t>C1</t>
        </is>
      </c>
      <c r="B14" s="29" t="inlineStr">
        <is>
          <t>Band C · Principal / Head</t>
        </is>
      </c>
      <c r="C14" s="29" t="inlineStr">
        <is>
          <t>Band C · Principal specialist</t>
        </is>
      </c>
      <c r="D14" s="29" t="inlineStr">
        <is>
          <t>Principal</t>
        </is>
      </c>
      <c r="E14" s="29" t="inlineStr">
        <is>
          <t>— no role at this level today</t>
        </is>
      </c>
      <c r="F14" s="34" t="inlineStr">
        <is>
          <t>H</t>
        </is>
      </c>
      <c r="G14" s="84" t="inlineStr">
        <is>
          <t>Works at B3: Sets standards for a practice; cross-team problems</t>
        </is>
      </c>
      <c r="H14" s="84" t="inlineStr">
        <is>
          <t>Ambiguous, cross-product problems</t>
        </is>
      </c>
      <c r="I14" s="84" t="inlineStr">
        <is>
          <t>Already works at C2: Function-wide or company-wide problems; creates methods and standards</t>
        </is>
      </c>
      <c r="J14" s="34" t="inlineStr">
        <is>
          <t>M</t>
        </is>
      </c>
      <c r="K14" s="84" t="inlineStr">
        <is>
          <t>Works at B3: Commercial / strategic calls for the unit</t>
        </is>
      </c>
      <c r="L14" s="84" t="inlineStr">
        <is>
          <t>Sets direction for a sub-function or domain</t>
        </is>
      </c>
      <c r="M14" s="84" t="inlineStr">
        <is>
          <t>Already works at C2: Sets direction for a function</t>
        </is>
      </c>
      <c r="N14" s="34" t="inlineStr">
        <is>
          <t>L</t>
        </is>
      </c>
      <c r="O14" s="84" t="inlineStr">
        <is>
          <t>Works at B3: Several teams or a practice</t>
        </is>
      </c>
      <c r="P14" s="84" t="inlineStr">
        <is>
          <t>Sub-function results or domain quality across products</t>
        </is>
      </c>
      <c r="Q14" s="84" t="inlineStr">
        <is>
          <t>Already works at C2: Function results, budget and risk</t>
        </is>
      </c>
      <c r="R14" s="34" t="inlineStr">
        <is>
          <t>L</t>
        </is>
      </c>
      <c r="S14" s="56" t="inlineStr">
        <is>
          <t>Works at B3: IC: leads a practice · People: team leads / managers report in</t>
        </is>
      </c>
      <c r="T14" s="56" t="inlineStr">
        <is>
          <t>Leads managers or a community of practice</t>
        </is>
      </c>
      <c r="U14" s="56" t="inlineStr">
        <is>
          <t>Already works at C2: Leads a function; shapes functional strategy</t>
        </is>
      </c>
      <c r="V14" s="34" t="inlineStr">
        <is>
          <t>L</t>
        </is>
      </c>
      <c r="W14" s="56" t="inlineStr">
        <is>
          <t>Works at B3: Shapes the results of a practice or several teams</t>
        </is>
      </c>
      <c r="X14" s="56" t="inlineStr">
        <is>
          <t>Changes results across a sub-function or across products</t>
        </is>
      </c>
      <c r="Y14" s="56" t="inlineStr">
        <is>
          <t>Already works at C2: Drives a function's or department's results and costs</t>
        </is>
      </c>
      <c r="Z14" s="34" t="inlineStr">
        <is>
          <t>L</t>
        </is>
      </c>
      <c r="AA14" s="85" t="inlineStr">
        <is>
          <t>Less experience than the band's typical 10–14 yrs</t>
        </is>
      </c>
      <c r="AB14" s="85" t="inlineStr">
        <is>
          <t>Typical for the band: 10–14 yrs · market 12–17 yrs</t>
        </is>
      </c>
      <c r="AC14" s="85" t="inlineStr">
        <is>
          <t>More experience than the band's typical 10–14 yrs</t>
        </is>
      </c>
      <c r="AD14" s="34" t="inlineStr">
        <is>
          <t>L</t>
        </is>
      </c>
      <c r="AE14" s="85" t="inlineStr">
        <is>
          <t>Below: Postgraduate or professional qualification preferred</t>
        </is>
      </c>
      <c r="AF14" s="85" t="inlineStr">
        <is>
          <t>Postgraduate / professional qualification preferred</t>
        </is>
      </c>
      <c r="AG14" s="85" t="inlineStr">
        <is>
          <t>Above: Postgraduate / professional qualification preferred</t>
        </is>
      </c>
      <c r="AH14" s="44" t="inlineStr">
        <is>
          <t>54.3 · 17.7 · 10.3 · 5 · 7.7 · 4 · 1</t>
        </is>
      </c>
      <c r="AI14" s="38" t="inlineStr">
        <is>
          <t>12–17</t>
        </is>
      </c>
      <c r="AJ14" s="38" t="inlineStr">
        <is>
          <t>5–8, mostly managers</t>
        </is>
      </c>
      <c r="AK14" s="38" t="inlineStr">
        <is>
          <t>P6 / M5 · SFIA 5–6</t>
        </is>
      </c>
      <c r="AL14"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5" ht="120" customHeight="1">
      <c r="A15" s="89" t="inlineStr">
        <is>
          <t>B+</t>
        </is>
      </c>
      <c r="B15" s="29" t="inlineStr">
        <is>
          <t>B+ · Player-Coach</t>
        </is>
      </c>
      <c r="C15" s="29" t="inlineStr">
        <is>
          <t>B+ · Player-Coach</t>
        </is>
      </c>
      <c r="D15" s="29" t="inlineStr">
        <is>
          <t>Practice Lead · Player-Coach</t>
        </is>
      </c>
      <c r="E15" s="29" t="inlineStr">
        <is>
          <t>— no role at this level today</t>
        </is>
      </c>
      <c r="F15" s="34" t="inlineStr">
        <is>
          <t>H</t>
        </is>
      </c>
      <c r="G15" s="84" t="inlineStr">
        <is>
          <t>Works at B3: Sets standards for a practice; cross-team problems</t>
        </is>
      </c>
      <c r="H15" s="84" t="inlineStr">
        <is>
          <t>Principal-level problems in own domain; sets technical or quality standards and still builds</t>
        </is>
      </c>
      <c r="I15" s="84" t="inlineStr">
        <is>
          <t>Already works at C1: Ambiguous, cross-product problems</t>
        </is>
      </c>
      <c r="J15" s="34" t="inlineStr">
        <is>
          <t>M</t>
        </is>
      </c>
      <c r="K15" s="84" t="inlineStr">
        <is>
          <t>Works at B3: Commercial / strategic calls for the unit</t>
        </is>
      </c>
      <c r="L15" s="84" t="inlineStr">
        <is>
          <t>Decides approach and priorities for the practice; escalates only cross-function trade-offs</t>
        </is>
      </c>
      <c r="M15" s="84" t="inlineStr">
        <is>
          <t>Already works at C1: Sets direction for a sub-function or domain</t>
        </is>
      </c>
      <c r="N15" s="34" t="inlineStr">
        <is>
          <t>L</t>
        </is>
      </c>
      <c r="O15" s="84" t="inlineStr">
        <is>
          <t>Works at B3: Several teams or a practice</t>
        </is>
      </c>
      <c r="P15" s="84" t="inlineStr">
        <is>
          <t>Practice outcomes plus own deliverables; quality and delivery of the team</t>
        </is>
      </c>
      <c r="Q15" s="84" t="inlineStr">
        <is>
          <t>Already works at C1: Sub-function results or domain quality across products</t>
        </is>
      </c>
      <c r="R15" s="34" t="inlineStr">
        <is>
          <t>M</t>
        </is>
      </c>
      <c r="S15" s="56" t="inlineStr">
        <is>
          <t>Works at B3: IC: leads a practice · People: team leads / managers report in</t>
        </is>
      </c>
      <c r="T15" s="56" t="inlineStr">
        <is>
          <t>Leads 3–6 people · or a pod while remaining a hands-on expert; coaches, allocates, reviews</t>
        </is>
      </c>
      <c r="U15" s="56" t="inlineStr">
        <is>
          <t>Already works at C1: Leads managers or a community of practice</t>
        </is>
      </c>
      <c r="V15" s="34" t="inlineStr">
        <is>
          <t>L</t>
        </is>
      </c>
      <c r="W15" s="56" t="inlineStr">
        <is>
          <t>Works at B3: Shapes the results of a practice or several teams</t>
        </is>
      </c>
      <c r="X15" s="56" t="inlineStr">
        <is>
          <t>Drives a practice's results while delivering the hardest work</t>
        </is>
      </c>
      <c r="Y15" s="56" t="inlineStr">
        <is>
          <t>Already works at C1: Changes results across a sub-function or across products</t>
        </is>
      </c>
      <c r="Z15" s="34" t="inlineStr">
        <is>
          <t>L</t>
        </is>
      </c>
      <c r="AA15" s="85" t="inlineStr">
        <is>
          <t>Less experience than the band's typical 9–14 yrs</t>
        </is>
      </c>
      <c r="AB15" s="85" t="inlineStr">
        <is>
          <t>Typical for the band: 9–14 yrs · market 9–14 yrs</t>
        </is>
      </c>
      <c r="AC15" s="85" t="inlineStr">
        <is>
          <t>More experience than the band's typical 9–14 yrs</t>
        </is>
      </c>
      <c r="AD15" s="34" t="inlineStr">
        <is>
          <t>L</t>
        </is>
      </c>
      <c r="AE15" s="85" t="inlineStr">
        <is>
          <t>Below: Postgraduate or professional qualification preferred</t>
        </is>
      </c>
      <c r="AF15" s="85" t="inlineStr">
        <is>
          <t>Postgraduate or professional qualification preferred</t>
        </is>
      </c>
      <c r="AG15" s="85" t="inlineStr">
        <is>
          <t>Above: Postgraduate / professional qualification preferred</t>
        </is>
      </c>
      <c r="AH15" s="44" t="inlineStr">
        <is>
          <t>44 · 17.7 · 10.3 · 10 · 7.7 · 6 · 4</t>
        </is>
      </c>
      <c r="AI15" s="38" t="inlineStr">
        <is>
          <t>9–14</t>
        </is>
      </c>
      <c r="AJ15" s="38" t="inlineStr">
        <is>
          <t>3–6 direct reports with ≥ 40% of time on own delivery · McKinsey player/coach 3–5; Google Tech Lead Manager</t>
        </is>
      </c>
      <c r="AK15" s="38" t="inlineStr">
        <is>
          <t>P5–P6 / M4–M5 · SFIA 5 Ensure, advise</t>
        </is>
      </c>
      <c r="AL15"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6" ht="120" customHeight="1">
      <c r="A16" s="90" t="inlineStr">
        <is>
          <t>B3</t>
        </is>
      </c>
      <c r="B16" s="29" t="inlineStr">
        <is>
          <t>Band B · Specialist / Manager</t>
        </is>
      </c>
      <c r="C16" s="29" t="inlineStr">
        <is>
          <t>Band B · People Manager</t>
        </is>
      </c>
      <c r="D16" s="29" t="inlineStr">
        <is>
          <t>Senior Manager</t>
        </is>
      </c>
      <c r="E16" s="29" t="inlineStr">
        <is>
          <t>— no role at this level today</t>
        </is>
      </c>
      <c r="F16" s="34" t="inlineStr">
        <is>
          <t>H</t>
        </is>
      </c>
      <c r="G16" s="84" t="inlineStr">
        <is>
          <t>Works at B2: Hardest problems in the domain</t>
        </is>
      </c>
      <c r="H16" s="84" t="inlineStr">
        <is>
          <t>Sets standards for a practice; cross-team problems</t>
        </is>
      </c>
      <c r="I16" s="84" t="inlineStr">
        <is>
          <t>Already works at C1: Ambiguous, cross-product problems</t>
        </is>
      </c>
      <c r="J16" s="34" t="inlineStr">
        <is>
          <t>M</t>
        </is>
      </c>
      <c r="K16" s="84" t="inlineStr">
        <is>
          <t>Works at B2: Allocates people and sets team priorities</t>
        </is>
      </c>
      <c r="L16" s="84" t="inlineStr">
        <is>
          <t>Commercial / strategic calls for the unit</t>
        </is>
      </c>
      <c r="M16" s="84" t="inlineStr">
        <is>
          <t>Already works at C1: Sets direction for a sub-function or domain</t>
        </is>
      </c>
      <c r="N16" s="34" t="inlineStr">
        <is>
          <t>L</t>
        </is>
      </c>
      <c r="O16" s="84" t="inlineStr">
        <is>
          <t>Works at B2: One team or a client portfolio</t>
        </is>
      </c>
      <c r="P16" s="84" t="inlineStr">
        <is>
          <t>Several teams or a practice</t>
        </is>
      </c>
      <c r="Q16" s="84" t="inlineStr">
        <is>
          <t>Already works at C1: Sub-function results or domain quality across products</t>
        </is>
      </c>
      <c r="R16" s="34" t="inlineStr">
        <is>
          <t>M</t>
        </is>
      </c>
      <c r="S16" s="56" t="inlineStr">
        <is>
          <t>Works at B2: IC: guides others in the domain · People: manages a team of 6+</t>
        </is>
      </c>
      <c r="T16" s="56" t="inlineStr">
        <is>
          <t>IC: leads a practice · People: team leads / managers report in</t>
        </is>
      </c>
      <c r="U16" s="56" t="inlineStr">
        <is>
          <t>Already works at C1: Leads managers or a community of practice</t>
        </is>
      </c>
      <c r="V16" s="34" t="inlineStr">
        <is>
          <t>L</t>
        </is>
      </c>
      <c r="W16" s="56" t="inlineStr">
        <is>
          <t>Works at B2: Visible effect on a team's or client portfolio's revenue, quality or compliance</t>
        </is>
      </c>
      <c r="X16" s="56" t="inlineStr">
        <is>
          <t>Shapes the results of a practice or several teams</t>
        </is>
      </c>
      <c r="Y16" s="56" t="inlineStr">
        <is>
          <t>Already works at C1: Changes results across a sub-function or across products</t>
        </is>
      </c>
      <c r="Z16" s="34" t="inlineStr">
        <is>
          <t>L</t>
        </is>
      </c>
      <c r="AA16" s="85" t="inlineStr">
        <is>
          <t>Less experience than the band's typical 8–12 yrs</t>
        </is>
      </c>
      <c r="AB16" s="85" t="inlineStr">
        <is>
          <t>Typical for the band: 8–12 yrs · market 8–13 yrs</t>
        </is>
      </c>
      <c r="AC16" s="85" t="inlineStr">
        <is>
          <t>More experience than the band's typical 8–12 yrs</t>
        </is>
      </c>
      <c r="AD16" s="34" t="inlineStr">
        <is>
          <t>L</t>
        </is>
      </c>
      <c r="AE16" s="85" t="inlineStr">
        <is>
          <t>Below: Graduate or postgraduate; professional qualification preferred</t>
        </is>
      </c>
      <c r="AF16" s="85" t="inlineStr">
        <is>
          <t>Postgraduate or professional qualification preferred</t>
        </is>
      </c>
      <c r="AG16" s="85" t="inlineStr">
        <is>
          <t>Above: Postgraduate / professional qualification preferred</t>
        </is>
      </c>
      <c r="AH16" s="44" t="inlineStr">
        <is>
          <t>37 · 18.3 · 11.3 · 15 · 8.7 · 6 · 4</t>
        </is>
      </c>
      <c r="AI16" s="38" t="inlineStr">
        <is>
          <t>8–13</t>
        </is>
      </c>
      <c r="AJ16" s="38" t="inlineStr">
        <is>
          <t>IC: none · People: 5–8 incl. team leads</t>
        </is>
      </c>
      <c r="AK16" s="38" t="inlineStr">
        <is>
          <t>P5 / M4 · SFIA 5 Ensure, advise</t>
        </is>
      </c>
      <c r="AL16"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7" ht="120" customHeight="1">
      <c r="A17" s="90" t="inlineStr">
        <is>
          <t>B3</t>
        </is>
      </c>
      <c r="B17" s="29" t="inlineStr">
        <is>
          <t>Band B · Specialist / Manager</t>
        </is>
      </c>
      <c r="C17" s="29" t="inlineStr">
        <is>
          <t>Band B · Specialist / POD Lead</t>
        </is>
      </c>
      <c r="D17" s="29" t="inlineStr">
        <is>
          <t>Lead Specialist</t>
        </is>
      </c>
      <c r="E17" s="29" t="inlineStr">
        <is>
          <t>— no role at this level today</t>
        </is>
      </c>
      <c r="F17" s="34" t="inlineStr">
        <is>
          <t>H</t>
        </is>
      </c>
      <c r="G17" s="84" t="inlineStr">
        <is>
          <t>Works at B2: Hardest problems in the domain</t>
        </is>
      </c>
      <c r="H17" s="84" t="inlineStr">
        <is>
          <t>Sets standards for a practice; cross-team problems</t>
        </is>
      </c>
      <c r="I17" s="84" t="inlineStr">
        <is>
          <t>Already works at C1: Ambiguous, cross-product problems</t>
        </is>
      </c>
      <c r="J17" s="34" t="inlineStr">
        <is>
          <t>M</t>
        </is>
      </c>
      <c r="K17" s="84" t="inlineStr">
        <is>
          <t>Works at B2: Allocates people and sets team priorities</t>
        </is>
      </c>
      <c r="L17" s="84" t="inlineStr">
        <is>
          <t>Commercial / strategic calls for the unit</t>
        </is>
      </c>
      <c r="M17" s="84" t="inlineStr">
        <is>
          <t>Already works at C1: Sets direction for a sub-function or domain</t>
        </is>
      </c>
      <c r="N17" s="34" t="inlineStr">
        <is>
          <t>L</t>
        </is>
      </c>
      <c r="O17" s="84" t="inlineStr">
        <is>
          <t>Works at B2: One team or a client portfolio</t>
        </is>
      </c>
      <c r="P17" s="84" t="inlineStr">
        <is>
          <t>Several teams or a practice</t>
        </is>
      </c>
      <c r="Q17" s="84" t="inlineStr">
        <is>
          <t>Already works at C1: Sub-function results or domain quality across products</t>
        </is>
      </c>
      <c r="R17" s="34" t="inlineStr">
        <is>
          <t>L</t>
        </is>
      </c>
      <c r="S17" s="56" t="inlineStr">
        <is>
          <t>Works at B2: IC: guides others in the domain · People: manages a team of 6+</t>
        </is>
      </c>
      <c r="T17" s="56" t="inlineStr">
        <is>
          <t>IC: leads a practice · People: team leads / managers report in</t>
        </is>
      </c>
      <c r="U17" s="56" t="inlineStr">
        <is>
          <t>Already works at C1: Leads managers or a community of practice</t>
        </is>
      </c>
      <c r="V17" s="34" t="inlineStr">
        <is>
          <t>L</t>
        </is>
      </c>
      <c r="W17" s="56" t="inlineStr">
        <is>
          <t>Works at B2: Visible effect on a team's or client portfolio's revenue, quality or compliance</t>
        </is>
      </c>
      <c r="X17" s="56" t="inlineStr">
        <is>
          <t>Shapes the results of a practice or several teams</t>
        </is>
      </c>
      <c r="Y17" s="56" t="inlineStr">
        <is>
          <t>Already works at C1: Changes results across a sub-function or across products</t>
        </is>
      </c>
      <c r="Z17" s="34" t="inlineStr">
        <is>
          <t>L</t>
        </is>
      </c>
      <c r="AA17" s="85" t="inlineStr">
        <is>
          <t>Less experience than the band's typical 8–12 yrs</t>
        </is>
      </c>
      <c r="AB17" s="85" t="inlineStr">
        <is>
          <t>Typical for the band: 8–12 yrs · market 8–13 yrs</t>
        </is>
      </c>
      <c r="AC17" s="85" t="inlineStr">
        <is>
          <t>More experience than the band's typical 8–12 yrs</t>
        </is>
      </c>
      <c r="AD17" s="34" t="inlineStr">
        <is>
          <t>L</t>
        </is>
      </c>
      <c r="AE17" s="85" t="inlineStr">
        <is>
          <t>Below: Graduate or postgraduate; professional qualification preferred</t>
        </is>
      </c>
      <c r="AF17" s="85" t="inlineStr">
        <is>
          <t>Postgraduate or professional qualification preferred</t>
        </is>
      </c>
      <c r="AG17" s="85" t="inlineStr">
        <is>
          <t>Above: Postgraduate / professional qualification preferred</t>
        </is>
      </c>
      <c r="AH17" s="44" t="inlineStr">
        <is>
          <t>51.3 · 17.3 · 9.7 · 5 · 7 · 6 · 4</t>
        </is>
      </c>
      <c r="AI17" s="38" t="inlineStr">
        <is>
          <t>8–13</t>
        </is>
      </c>
      <c r="AJ17" s="38" t="inlineStr">
        <is>
          <t>IC: none · People: 5–8 incl. team leads</t>
        </is>
      </c>
      <c r="AK17" s="38" t="inlineStr">
        <is>
          <t>P5 / M4 · SFIA 5 Ensure, advise</t>
        </is>
      </c>
      <c r="AL17"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8" ht="120" customHeight="1">
      <c r="A18" s="90" t="inlineStr">
        <is>
          <t>B2</t>
        </is>
      </c>
      <c r="B18" s="29" t="inlineStr">
        <is>
          <t>Band B · Specialist / Manager</t>
        </is>
      </c>
      <c r="C18" s="29" t="inlineStr">
        <is>
          <t>Band B · People Manager</t>
        </is>
      </c>
      <c r="D18" s="29" t="inlineStr">
        <is>
          <t>Manager</t>
        </is>
      </c>
      <c r="E18" s="29" t="inlineStr">
        <is>
          <t>Business Analysis · Senior Business Analysis Specialist – POD Lead</t>
        </is>
      </c>
      <c r="F18" s="34" t="inlineStr">
        <is>
          <t>H</t>
        </is>
      </c>
      <c r="G18" s="84" t="inlineStr">
        <is>
          <t>Works at B1: Domain specialist work</t>
        </is>
      </c>
      <c r="H18" s="84" t="inlineStr">
        <is>
          <t>Hardest problems in the domain · in Business Analysis: Business Analysis · Documentation · Requirement analysis · Stakeholder Management · communication · XBRL · Requirement Elicitation · generative AI</t>
        </is>
      </c>
      <c r="I18" s="84" t="inlineStr">
        <is>
          <t>Already works at B3: Sets standards for a practice; cross-team problems</t>
        </is>
      </c>
      <c r="J18" s="34" t="inlineStr">
        <is>
          <t>M</t>
        </is>
      </c>
      <c r="K18" s="84" t="inlineStr">
        <is>
          <t>Works at B1: Technical / QC / client calls for the domain</t>
        </is>
      </c>
      <c r="L18" s="84" t="inlineStr">
        <is>
          <t>Allocates people and sets team priorities</t>
        </is>
      </c>
      <c r="M18" s="84" t="inlineStr">
        <is>
          <t>Already works at B3: Commercial / strategic calls for the unit</t>
        </is>
      </c>
      <c r="N18" s="34" t="inlineStr">
        <is>
          <t>L</t>
        </is>
      </c>
      <c r="O18" s="84" t="inlineStr">
        <is>
          <t>Works at B1: A domain or a small team</t>
        </is>
      </c>
      <c r="P18" s="84" t="inlineStr">
        <is>
          <t>One team or a client portfolio</t>
        </is>
      </c>
      <c r="Q18" s="84" t="inlineStr">
        <is>
          <t>Already works at B3: Several teams or a practice</t>
        </is>
      </c>
      <c r="R18" s="34" t="inlineStr">
        <is>
          <t>M</t>
        </is>
      </c>
      <c r="S18" s="56" t="inlineStr">
        <is>
          <t>Works at B1: IC: mentors and reviews · People: hands-on team lead of 3–5</t>
        </is>
      </c>
      <c r="T18" s="56" t="inlineStr">
        <is>
          <t>IC: guides others in the domain · People: manages a team of 6+</t>
        </is>
      </c>
      <c r="U18" s="56" t="inlineStr">
        <is>
          <t>Already works at B3: IC: leads a practice · People: team leads / managers report in</t>
        </is>
      </c>
      <c r="V18" s="34" t="inlineStr">
        <is>
          <t>L</t>
        </is>
      </c>
      <c r="W18" s="56" t="inlineStr">
        <is>
          <t>Works at B1: Moves a module's, product area's or client account's results</t>
        </is>
      </c>
      <c r="X18" s="56" t="inlineStr">
        <is>
          <t>Visible effect on a team's or client portfolio's revenue, quality or compliance · purpose: Gathers and documents requirements · BRD/FRD/SRS/user stories, configures solutions and supports UAT and releases. At B2: deep domain expertise, or one …</t>
        </is>
      </c>
      <c r="Y18" s="56" t="inlineStr">
        <is>
          <t>Already works at B3: Shapes the results of a practice or several teams</t>
        </is>
      </c>
      <c r="Z18" s="34" t="inlineStr">
        <is>
          <t>L</t>
        </is>
      </c>
      <c r="AA18" s="85" t="inlineStr">
        <is>
          <t>Less experience than the band's typical 6–9 yrs</t>
        </is>
      </c>
      <c r="AB18" s="85" t="inlineStr">
        <is>
          <t>Typical for the band: 6–9 yrs · market 6–10 yrs</t>
        </is>
      </c>
      <c r="AC18" s="85" t="inlineStr">
        <is>
          <t>More experience than the band's typical 6–9 yrs</t>
        </is>
      </c>
      <c r="AD18" s="34" t="inlineStr">
        <is>
          <t>L</t>
        </is>
      </c>
      <c r="AE18" s="85" t="inlineStr">
        <is>
          <t>Below: Graduate + relevant qualification or certification preferred</t>
        </is>
      </c>
      <c r="AF18" s="85" t="inlineStr">
        <is>
          <t>Graduate or postgraduate; professional qualification preferred</t>
        </is>
      </c>
      <c r="AG18" s="85" t="inlineStr">
        <is>
          <t>Above: Postgraduate or professional qualification preferred</t>
        </is>
      </c>
      <c r="AH18" s="44" t="inlineStr">
        <is>
          <t>37 · 18.3 · 11.3 · 15 · 8.7 · 6 · 4</t>
        </is>
      </c>
      <c r="AI18" s="38" t="inlineStr">
        <is>
          <t>6–10</t>
        </is>
      </c>
      <c r="AJ18" s="38" t="inlineStr">
        <is>
          <t>IC: none · People: 6–8 knowledge work, 8–12 standardised delivery</t>
        </is>
      </c>
      <c r="AK18" s="38" t="inlineStr">
        <is>
          <t>P4 / M3 · SFIA 4–5</t>
        </is>
      </c>
      <c r="AL18"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9" ht="120" customHeight="1">
      <c r="A19" s="90" t="inlineStr">
        <is>
          <t>B2</t>
        </is>
      </c>
      <c r="B19" s="29" t="inlineStr">
        <is>
          <t>Band B · Specialist / Manager</t>
        </is>
      </c>
      <c r="C19" s="29" t="inlineStr">
        <is>
          <t>Band B · Specialist / POD Lead</t>
        </is>
      </c>
      <c r="D19" s="29" t="inlineStr">
        <is>
          <t>Senior Specialist</t>
        </is>
      </c>
      <c r="E19" s="29" t="inlineStr">
        <is>
          <t>Business Analysis · Senior Business Analysis Specialist – POD Lead</t>
        </is>
      </c>
      <c r="F19" s="34" t="inlineStr">
        <is>
          <t>H</t>
        </is>
      </c>
      <c r="G19" s="84" t="inlineStr">
        <is>
          <t>Works at B1: Domain specialist work</t>
        </is>
      </c>
      <c r="H19" s="84" t="inlineStr">
        <is>
          <t>Hardest problems in the domain · in Business Analysis: Business Analysis · Documentation · Requirement analysis · Stakeholder Management · communication · XBRL · Requirement Elicitation · generative AI</t>
        </is>
      </c>
      <c r="I19" s="84" t="inlineStr">
        <is>
          <t>Already works at B3: Sets standards for a practice; cross-team problems</t>
        </is>
      </c>
      <c r="J19" s="34" t="inlineStr">
        <is>
          <t>M</t>
        </is>
      </c>
      <c r="K19" s="84" t="inlineStr">
        <is>
          <t>Works at B1: Technical / QC / client calls for the domain</t>
        </is>
      </c>
      <c r="L19" s="84" t="inlineStr">
        <is>
          <t>Allocates people and sets team priorities</t>
        </is>
      </c>
      <c r="M19" s="84" t="inlineStr">
        <is>
          <t>Already works at B3: Commercial / strategic calls for the unit</t>
        </is>
      </c>
      <c r="N19" s="34" t="inlineStr">
        <is>
          <t>L</t>
        </is>
      </c>
      <c r="O19" s="84" t="inlineStr">
        <is>
          <t>Works at B1: A domain or a small team</t>
        </is>
      </c>
      <c r="P19" s="84" t="inlineStr">
        <is>
          <t>One team or a client portfolio</t>
        </is>
      </c>
      <c r="Q19" s="84" t="inlineStr">
        <is>
          <t>Already works at B3: Several teams or a practice</t>
        </is>
      </c>
      <c r="R19" s="34" t="inlineStr">
        <is>
          <t>L</t>
        </is>
      </c>
      <c r="S19" s="56" t="inlineStr">
        <is>
          <t>Works at B1: IC: mentors and reviews · People: hands-on team lead of 3–5</t>
        </is>
      </c>
      <c r="T19" s="56" t="inlineStr">
        <is>
          <t>IC: guides others in the domain · People: manages a team of 6+</t>
        </is>
      </c>
      <c r="U19" s="56" t="inlineStr">
        <is>
          <t>Already works at B3: IC: leads a practice · People: team leads / managers report in</t>
        </is>
      </c>
      <c r="V19" s="34" t="inlineStr">
        <is>
          <t>L</t>
        </is>
      </c>
      <c r="W19" s="56" t="inlineStr">
        <is>
          <t>Works at B1: Moves a module's, product area's or client account's results</t>
        </is>
      </c>
      <c r="X19" s="56" t="inlineStr">
        <is>
          <t>Visible effect on a team's or client portfolio's revenue, quality or compliance · purpose: Gathers and documents requirements · BRD/FRD/SRS/user stories, configures solutions and supports UAT and releases. At B2: deep domain expertise, or one …</t>
        </is>
      </c>
      <c r="Y19" s="56" t="inlineStr">
        <is>
          <t>Already works at B3: Shapes the results of a practice or several teams</t>
        </is>
      </c>
      <c r="Z19" s="34" t="inlineStr">
        <is>
          <t>L</t>
        </is>
      </c>
      <c r="AA19" s="85" t="inlineStr">
        <is>
          <t>Less experience than the band's typical 6–9 yrs</t>
        </is>
      </c>
      <c r="AB19" s="85" t="inlineStr">
        <is>
          <t>Typical for the band: 6–9 yrs · market 6–10 yrs</t>
        </is>
      </c>
      <c r="AC19" s="85" t="inlineStr">
        <is>
          <t>More experience than the band's typical 6–9 yrs</t>
        </is>
      </c>
      <c r="AD19" s="34" t="inlineStr">
        <is>
          <t>L</t>
        </is>
      </c>
      <c r="AE19" s="85" t="inlineStr">
        <is>
          <t>Below: Graduate + relevant qualification or certification preferred</t>
        </is>
      </c>
      <c r="AF19" s="85" t="inlineStr">
        <is>
          <t>Graduate or postgraduate; professional qualification preferred</t>
        </is>
      </c>
      <c r="AG19" s="85" t="inlineStr">
        <is>
          <t>Above: Postgraduate or professional qualification preferred</t>
        </is>
      </c>
      <c r="AH19" s="44" t="inlineStr">
        <is>
          <t>51.3 · 17.3 · 9.7 · 5 · 7 · 6 · 4</t>
        </is>
      </c>
      <c r="AI19" s="38" t="inlineStr">
        <is>
          <t>6–10</t>
        </is>
      </c>
      <c r="AJ19" s="38" t="inlineStr">
        <is>
          <t>IC: none · People: 6–8 knowledge work, 8–12 standardised delivery</t>
        </is>
      </c>
      <c r="AK19" s="38" t="inlineStr">
        <is>
          <t>P4 / M3 · SFIA 4–5</t>
        </is>
      </c>
      <c r="AL19"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0" ht="120" customHeight="1">
      <c r="A20" s="90" t="inlineStr">
        <is>
          <t>B1</t>
        </is>
      </c>
      <c r="B20" s="29" t="inlineStr">
        <is>
          <t>Band B · Specialist / Manager</t>
        </is>
      </c>
      <c r="C20" s="29" t="inlineStr">
        <is>
          <t>Band B · People Manager</t>
        </is>
      </c>
      <c r="D20" s="29" t="inlineStr">
        <is>
          <t>Team Lead / Asst Manager</t>
        </is>
      </c>
      <c r="E20" s="29" t="inlineStr">
        <is>
          <t>Business Analysis · Business Analysis Specialist · Business Analysis Specialist – POD Lead · Senior Business Analysis Specialist
Business Analysis · Team Lead – Business Analysis</t>
        </is>
      </c>
      <c r="F20" s="34" t="inlineStr">
        <is>
          <t>H</t>
        </is>
      </c>
      <c r="G20" s="84" t="inlineStr">
        <is>
          <t>Works at A3: Varied and non-standard work; handles exceptions</t>
        </is>
      </c>
      <c r="H20" s="84" t="inlineStr">
        <is>
          <t>Domain specialist work · in Business Analysis: Business Analysis</t>
        </is>
      </c>
      <c r="I20" s="84" t="inlineStr">
        <is>
          <t>Already works at B2: Hardest problems in the domain</t>
        </is>
      </c>
      <c r="J20" s="34" t="inlineStr">
        <is>
          <t>M</t>
        </is>
      </c>
      <c r="K20" s="84" t="inlineStr">
        <is>
          <t>Works at A3: Technical / QC / client calls on own work</t>
        </is>
      </c>
      <c r="L20" s="84" t="inlineStr">
        <is>
          <t>Technical / QC / client calls for the domain</t>
        </is>
      </c>
      <c r="M20" s="84" t="inlineStr">
        <is>
          <t>Already works at B2: Allocates people and sets team priorities</t>
        </is>
      </c>
      <c r="N20" s="34" t="inlineStr">
        <is>
          <t>L</t>
        </is>
      </c>
      <c r="O20" s="84" t="inlineStr">
        <is>
          <t>Works at A3: A module / process, or work with client or regulatory consequences</t>
        </is>
      </c>
      <c r="P20" s="84" t="inlineStr">
        <is>
          <t>A domain or a small team · KRA themes: Common themes in manager-set KRAs: releases · satisfaction · delivery · assigned · uat · requirement</t>
        </is>
      </c>
      <c r="Q20" s="84" t="inlineStr">
        <is>
          <t>Already works at B2: One team or a client portfolio</t>
        </is>
      </c>
      <c r="R20" s="34" t="inlineStr">
        <is>
          <t>M</t>
        </is>
      </c>
      <c r="S20" s="56" t="inlineStr">
        <is>
          <t>Works at A3: contributes alone; guides others only informally</t>
        </is>
      </c>
      <c r="T20" s="56" t="inlineStr">
        <is>
          <t>IC: mentors and reviews · People: hands-on team lead of 3–5</t>
        </is>
      </c>
      <c r="U20" s="56" t="inlineStr">
        <is>
          <t>Already works at B2: IC: guides others in the domain · People: manages a team of 6+</t>
        </is>
      </c>
      <c r="V20" s="34" t="inlineStr">
        <is>
          <t>L</t>
        </is>
      </c>
      <c r="W20" s="56" t="inlineStr">
        <is>
          <t>Works at A3: A process or client deliverable depends on this work</t>
        </is>
      </c>
      <c r="X20" s="56" t="inlineStr">
        <is>
          <t>Moves a module's, product area's or client account's results · purpose: Gathers and documents requirements · BRD/FRD/SRS/user stories, configures solutions and supports UAT and releases. At B1: a domain / module, or a small …</t>
        </is>
      </c>
      <c r="Y20" s="56" t="inlineStr">
        <is>
          <t>Already works at B2: Visible effect on a team's or client portfolio's revenue, quality or compliance</t>
        </is>
      </c>
      <c r="Z20" s="34" t="inlineStr">
        <is>
          <t>L</t>
        </is>
      </c>
      <c r="AA20" s="85" t="inlineStr">
        <is>
          <t>Less experience than the band's typical 4–7 yrs</t>
        </is>
      </c>
      <c r="AB20" s="85" t="inlineStr">
        <is>
          <t>Typical for the band: 4–7 yrs · market 4–8 yrs</t>
        </is>
      </c>
      <c r="AC20" s="85" t="inlineStr">
        <is>
          <t>More experience than the band's typical 4–7 yrs</t>
        </is>
      </c>
      <c r="AD20" s="34" t="inlineStr">
        <is>
          <t>L</t>
        </is>
      </c>
      <c r="AE20" s="85" t="inlineStr">
        <is>
          <t>Below: Graduate; relevant certification preferred</t>
        </is>
      </c>
      <c r="AF20" s="85" t="inlineStr">
        <is>
          <t>Graduate + relevant qualification or certification preferred</t>
        </is>
      </c>
      <c r="AG20" s="85" t="inlineStr">
        <is>
          <t>Above: Graduate or postgraduate; professional qualification preferred</t>
        </is>
      </c>
      <c r="AH20" s="44" t="inlineStr">
        <is>
          <t>37 · 18.3 · 11.3 · 15 · 8.7 · 6 · 4</t>
        </is>
      </c>
      <c r="AI20" s="38" t="inlineStr">
        <is>
          <t>4–8</t>
        </is>
      </c>
      <c r="AJ20" s="38" t="inlineStr">
        <is>
          <t>IC: none · Team Lead: 3–5</t>
        </is>
      </c>
      <c r="AK20" s="38" t="inlineStr">
        <is>
          <t>P3 / M2 · SFIA 4 Enable</t>
        </is>
      </c>
      <c r="AL20"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1" ht="120" customHeight="1">
      <c r="A21" s="90" t="inlineStr">
        <is>
          <t>B1</t>
        </is>
      </c>
      <c r="B21" s="29" t="inlineStr">
        <is>
          <t>Band B · Specialist / Manager</t>
        </is>
      </c>
      <c r="C21" s="29" t="inlineStr">
        <is>
          <t>Band B · Specialist / POD Lead</t>
        </is>
      </c>
      <c r="D21" s="29" t="inlineStr">
        <is>
          <t>Specialist</t>
        </is>
      </c>
      <c r="E21" s="29" t="inlineStr">
        <is>
          <t>Business Analysis · Business Analysis Specialist · Business Analysis Specialist – POD Lead · Senior Business Analysis Specialist
Business Analysis · Team Lead – Business Analysis</t>
        </is>
      </c>
      <c r="F21" s="34" t="inlineStr">
        <is>
          <t>H</t>
        </is>
      </c>
      <c r="G21" s="84" t="inlineStr">
        <is>
          <t>Works at A3: Varied and non-standard work; handles exceptions</t>
        </is>
      </c>
      <c r="H21" s="84" t="inlineStr">
        <is>
          <t>Domain specialist work · in Business Analysis: Business Analysis</t>
        </is>
      </c>
      <c r="I21" s="84" t="inlineStr">
        <is>
          <t>Already works at B2: Hardest problems in the domain</t>
        </is>
      </c>
      <c r="J21" s="34" t="inlineStr">
        <is>
          <t>M</t>
        </is>
      </c>
      <c r="K21" s="84" t="inlineStr">
        <is>
          <t>Works at A3: Technical / QC / client calls on own work</t>
        </is>
      </c>
      <c r="L21" s="84" t="inlineStr">
        <is>
          <t>Technical / QC / client calls for the domain</t>
        </is>
      </c>
      <c r="M21" s="84" t="inlineStr">
        <is>
          <t>Already works at B2: Allocates people and sets team priorities</t>
        </is>
      </c>
      <c r="N21" s="34" t="inlineStr">
        <is>
          <t>L</t>
        </is>
      </c>
      <c r="O21" s="84" t="inlineStr">
        <is>
          <t>Works at A3: A module / process, or work with client or regulatory consequences</t>
        </is>
      </c>
      <c r="P21" s="84" t="inlineStr">
        <is>
          <t>A domain or a small team · KRA themes: Common themes in manager-set KRAs: releases · satisfaction · delivery · assigned · uat · requirement</t>
        </is>
      </c>
      <c r="Q21" s="84" t="inlineStr">
        <is>
          <t>Already works at B2: One team or a client portfolio</t>
        </is>
      </c>
      <c r="R21" s="34" t="inlineStr">
        <is>
          <t>L</t>
        </is>
      </c>
      <c r="S21" s="56" t="inlineStr">
        <is>
          <t>Works at A3: contributes alone; guides others only informally</t>
        </is>
      </c>
      <c r="T21" s="56" t="inlineStr">
        <is>
          <t>IC: mentors and reviews · People: hands-on team lead of 3–5</t>
        </is>
      </c>
      <c r="U21" s="56" t="inlineStr">
        <is>
          <t>Already works at B2: IC: guides others in the domain · People: manages a team of 6+</t>
        </is>
      </c>
      <c r="V21" s="34" t="inlineStr">
        <is>
          <t>L</t>
        </is>
      </c>
      <c r="W21" s="56" t="inlineStr">
        <is>
          <t>Works at A3: A process or client deliverable depends on this work</t>
        </is>
      </c>
      <c r="X21" s="56" t="inlineStr">
        <is>
          <t>Moves a module's, product area's or client account's results · purpose: Gathers and documents requirements · BRD/FRD/SRS/user stories, configures solutions and supports UAT and releases. At B1: a domain / module, or a small …</t>
        </is>
      </c>
      <c r="Y21" s="56" t="inlineStr">
        <is>
          <t>Already works at B2: Visible effect on a team's or client portfolio's revenue, quality or compliance</t>
        </is>
      </c>
      <c r="Z21" s="34" t="inlineStr">
        <is>
          <t>L</t>
        </is>
      </c>
      <c r="AA21" s="85" t="inlineStr">
        <is>
          <t>Less experience than the band's typical 4–7 yrs</t>
        </is>
      </c>
      <c r="AB21" s="85" t="inlineStr">
        <is>
          <t>Typical for the band: 4–7 yrs · market 4–8 yrs</t>
        </is>
      </c>
      <c r="AC21" s="85" t="inlineStr">
        <is>
          <t>More experience than the band's typical 4–7 yrs</t>
        </is>
      </c>
      <c r="AD21" s="34" t="inlineStr">
        <is>
          <t>L</t>
        </is>
      </c>
      <c r="AE21" s="85" t="inlineStr">
        <is>
          <t>Below: Graduate; relevant certification preferred</t>
        </is>
      </c>
      <c r="AF21" s="85" t="inlineStr">
        <is>
          <t>Graduate + relevant qualification or certification preferred</t>
        </is>
      </c>
      <c r="AG21" s="85" t="inlineStr">
        <is>
          <t>Above: Graduate or postgraduate; professional qualification preferred</t>
        </is>
      </c>
      <c r="AH21" s="44" t="inlineStr">
        <is>
          <t>51.3 · 17.3 · 9.7 · 5 · 7 · 6 · 4</t>
        </is>
      </c>
      <c r="AI21" s="38" t="inlineStr">
        <is>
          <t>4–8</t>
        </is>
      </c>
      <c r="AJ21" s="38" t="inlineStr">
        <is>
          <t>IC: none · Team Lead: 3–5</t>
        </is>
      </c>
      <c r="AK21" s="38" t="inlineStr">
        <is>
          <t>P3 / M2 · SFIA 4 Enable</t>
        </is>
      </c>
      <c r="AL21"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2" ht="120" customHeight="1">
      <c r="A22" s="91" t="inlineStr">
        <is>
          <t>A3</t>
        </is>
      </c>
      <c r="B22" s="29" t="inlineStr">
        <is>
          <t>Band A · Practitioner</t>
        </is>
      </c>
      <c r="C22" s="29" t="inlineStr">
        <is>
          <t>Band A · all tracks</t>
        </is>
      </c>
      <c r="D22" s="29" t="inlineStr">
        <is>
          <t>Senior Associate</t>
        </is>
      </c>
      <c r="E22" s="29" t="inlineStr">
        <is>
          <t>Business Analysis · Senior Business Analyst · Business Analysis Specialist</t>
        </is>
      </c>
      <c r="F22" s="34" t="inlineStr">
        <is>
          <t>H</t>
        </is>
      </c>
      <c r="G22" s="84" t="inlineStr">
        <is>
          <t>Works at A2: Standard work of the discipline</t>
        </is>
      </c>
      <c r="H22" s="84" t="inlineStr">
        <is>
          <t>Varied and non-standard work; handles exceptions · in Business Analysis: Business Analysis · Documentation · Stakeholder management · Requirement analysis · communication · Communication skills</t>
        </is>
      </c>
      <c r="I22" s="84" t="inlineStr">
        <is>
          <t>Already works at B1: Domain specialist work</t>
        </is>
      </c>
      <c r="J22" s="34" t="inlineStr">
        <is>
          <t>M</t>
        </is>
      </c>
      <c r="K22" s="84" t="inlineStr">
        <is>
          <t>Works at A2: Chooses own approach within standards</t>
        </is>
      </c>
      <c r="L22" s="84" t="inlineStr">
        <is>
          <t>Technical / QC / client calls on own work</t>
        </is>
      </c>
      <c r="M22" s="84" t="inlineStr">
        <is>
          <t>Already works at B1: Technical / QC / client calls for the domain</t>
        </is>
      </c>
      <c r="N22" s="34" t="inlineStr">
        <is>
          <t>L</t>
        </is>
      </c>
      <c r="O22" s="84" t="inlineStr">
        <is>
          <t>Works at A2: Own deliverables · accuracy, TAT</t>
        </is>
      </c>
      <c r="P22" s="84" t="inlineStr">
        <is>
          <t>A module / process, or work with client or regulatory consequences · KRA themes: Common themes in manager-set KRAs: delivery · assigned · uat · project · requests · satisfaction</t>
        </is>
      </c>
      <c r="Q22" s="84" t="inlineStr">
        <is>
          <t>Already works at B1: A domain or a small team</t>
        </is>
      </c>
      <c r="R22" s="34" t="inlineStr">
        <is>
          <t>L</t>
        </is>
      </c>
      <c r="S22" s="56" t="inlineStr">
        <is>
          <t>Works at A2: contributes alone; guides others only informally</t>
        </is>
      </c>
      <c r="T22" s="56" t="inlineStr">
        <is>
          <t>Helps peers and newer people informally · None · guides 1–3 juniors informally</t>
        </is>
      </c>
      <c r="U22" s="56" t="inlineStr">
        <is>
          <t>Already works at B1: IC: mentors and reviews · People: hands-on team lead of 3–5</t>
        </is>
      </c>
      <c r="V22" s="34" t="inlineStr">
        <is>
          <t>L</t>
        </is>
      </c>
      <c r="W22" s="56" t="inlineStr">
        <is>
          <t>Works at A2: Own deliverables feed a team's output and turnaround</t>
        </is>
      </c>
      <c r="X22" s="56" t="inlineStr">
        <is>
          <t>A process or client deliverable depends on this work · purpose: Gathers and documents requirements · BRD/FRD/SRS/user stories, configures solutions and supports UAT and releases. At A3: varied work; reviews juniors; go-to …</t>
        </is>
      </c>
      <c r="Y22" s="56" t="inlineStr">
        <is>
          <t>Already works at B1: Moves a module's, product area's or client account's results</t>
        </is>
      </c>
      <c r="Z22" s="34" t="inlineStr">
        <is>
          <t>L</t>
        </is>
      </c>
      <c r="AA22" s="85" t="inlineStr">
        <is>
          <t>Less experience than the band's typical 2–4 yrs</t>
        </is>
      </c>
      <c r="AB22" s="85" t="inlineStr">
        <is>
          <t>Typical for the band: 2–4 yrs · market 2–5 yrs</t>
        </is>
      </c>
      <c r="AC22" s="85" t="inlineStr">
        <is>
          <t>More experience than the band's typical 2–4 yrs</t>
        </is>
      </c>
      <c r="AD22" s="34" t="inlineStr">
        <is>
          <t>L</t>
        </is>
      </c>
      <c r="AE22" s="85" t="inlineStr">
        <is>
          <t>Below: Graduate · or diploma with experience</t>
        </is>
      </c>
      <c r="AF22" s="85" t="inlineStr">
        <is>
          <t>Graduate; relevant certification preferred</t>
        </is>
      </c>
      <c r="AG22" s="85" t="inlineStr">
        <is>
          <t>Above: Graduate + relevant qualification or certification preferred</t>
        </is>
      </c>
      <c r="AH22" s="44" t="inlineStr">
        <is>
          <t>58.3 · 16 · 9 · 0 · 6.3 · 6 · 4</t>
        </is>
      </c>
      <c r="AI22" s="38" t="inlineStr">
        <is>
          <t>2–5</t>
        </is>
      </c>
      <c r="AJ22" s="38" t="inlineStr">
        <is>
          <t>None · guides 1–3 juniors informally</t>
        </is>
      </c>
      <c r="AK22" s="38" t="inlineStr">
        <is>
          <t>P2 · SFIA 3 Apply</t>
        </is>
      </c>
      <c r="AL22"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3" ht="120" customHeight="1">
      <c r="A23" s="91" t="inlineStr">
        <is>
          <t>A2</t>
        </is>
      </c>
      <c r="B23" s="29" t="inlineStr">
        <is>
          <t>Band A · Practitioner</t>
        </is>
      </c>
      <c r="C23" s="29" t="inlineStr">
        <is>
          <t>Band A · all tracks</t>
        </is>
      </c>
      <c r="D23" s="29" t="inlineStr">
        <is>
          <t>Associate</t>
        </is>
      </c>
      <c r="E23" s="29" t="inlineStr">
        <is>
          <t>Business Analysis · Business Analyst</t>
        </is>
      </c>
      <c r="F23" s="34" t="inlineStr">
        <is>
          <t>H</t>
        </is>
      </c>
      <c r="G23" s="84" t="inlineStr">
        <is>
          <t>Works at A1: Learning; follows worked examples</t>
        </is>
      </c>
      <c r="H23" s="84" t="inlineStr">
        <is>
          <t>Standard work of the discipline · in Business Analysis: Business Analysis · Documentation · Requirement analysis · Stakeholder Management · communication · XBRL · Requirement Elicitation · generative AI</t>
        </is>
      </c>
      <c r="I23" s="84" t="inlineStr">
        <is>
          <t>Already works at A3: Varied and non-standard work; handles exceptions</t>
        </is>
      </c>
      <c r="J23" s="34" t="inlineStr">
        <is>
          <t>M</t>
        </is>
      </c>
      <c r="K23" s="84" t="inlineStr">
        <is>
          <t>Works at A1: Needs approval / close guidance</t>
        </is>
      </c>
      <c r="L23" s="84" t="inlineStr">
        <is>
          <t>Chooses own approach within standards</t>
        </is>
      </c>
      <c r="M23" s="84" t="inlineStr">
        <is>
          <t>Already works at A3: Technical / QC / client calls on own work</t>
        </is>
      </c>
      <c r="N23" s="34" t="inlineStr">
        <is>
          <t>L</t>
        </is>
      </c>
      <c r="O23" s="84" t="inlineStr">
        <is>
          <t>Works at A1: Learning tasks</t>
        </is>
      </c>
      <c r="P23" s="84" t="inlineStr">
        <is>
          <t>Own deliverables · accuracy, TAT</t>
        </is>
      </c>
      <c r="Q23" s="84" t="inlineStr">
        <is>
          <t>Already works at A3: A module / process, or work with client or regulatory consequences</t>
        </is>
      </c>
      <c r="R23" s="34" t="inlineStr">
        <is>
          <t>L</t>
        </is>
      </c>
      <c r="S23" s="56" t="inlineStr">
        <is>
          <t>Works at A1: contributes alone; guides others only informally</t>
        </is>
      </c>
      <c r="T23" s="56" t="inlineStr">
        <is>
          <t>Helps peers and newer people informally · No direct reports</t>
        </is>
      </c>
      <c r="U23" s="56" t="inlineStr">
        <is>
          <t>Already works at A3: Not scored in Band A</t>
        </is>
      </c>
      <c r="V23" s="34" t="inlineStr">
        <is>
          <t>L</t>
        </is>
      </c>
      <c r="W23" s="56" t="inlineStr">
        <is>
          <t>Works at A1: Learning; little direct effect on business results yet</t>
        </is>
      </c>
      <c r="X23" s="56" t="inlineStr">
        <is>
          <t>Own deliverables feed a team's output and turnaround · purpose: Gathers and documents requirements · BRD/FRD/SRS/user stories, configures solutions and supports UAT and releases. At A2: standard work delivered …</t>
        </is>
      </c>
      <c r="Y23" s="56" t="inlineStr">
        <is>
          <t>Already works at A3: A process or client deliverable depends on this work</t>
        </is>
      </c>
      <c r="Z23" s="34" t="inlineStr">
        <is>
          <t>L</t>
        </is>
      </c>
      <c r="AA23" s="85" t="inlineStr">
        <is>
          <t>Less experience than the band's typical 0–2 yrs</t>
        </is>
      </c>
      <c r="AB23" s="85" t="inlineStr">
        <is>
          <t>Typical for the band: 0–2 yrs · market 0–3 yrs</t>
        </is>
      </c>
      <c r="AC23" s="85" t="inlineStr">
        <is>
          <t>More experience than the band's typical 0–2 yrs</t>
        </is>
      </c>
      <c r="AD23" s="34" t="inlineStr">
        <is>
          <t>L</t>
        </is>
      </c>
      <c r="AE23" s="85" t="inlineStr">
        <is>
          <t>Below: Pursuing or completed graduation / diploma</t>
        </is>
      </c>
      <c r="AF23" s="85" t="inlineStr">
        <is>
          <t>Graduate · or diploma with experience</t>
        </is>
      </c>
      <c r="AG23" s="85" t="inlineStr">
        <is>
          <t>Above: Graduate; relevant certification preferred</t>
        </is>
      </c>
      <c r="AH23" s="44" t="inlineStr">
        <is>
          <t>58.3 · 16 · 9 · 0 · 6.3 · 6 · 4</t>
        </is>
      </c>
      <c r="AI23" s="38" t="inlineStr">
        <is>
          <t>0–3</t>
        </is>
      </c>
      <c r="AJ23" s="38" t="inlineStr">
        <is>
          <t>No direct reports</t>
        </is>
      </c>
      <c r="AK23" s="38" t="inlineStr">
        <is>
          <t>P1–P2 · SFIA 2 Assist</t>
        </is>
      </c>
      <c r="AL23"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4" ht="120" customHeight="1">
      <c r="A24" s="91" t="inlineStr">
        <is>
          <t>A1</t>
        </is>
      </c>
      <c r="B24" s="29" t="inlineStr">
        <is>
          <t>Band A · Practitioner</t>
        </is>
      </c>
      <c r="C24" s="29" t="inlineStr">
        <is>
          <t>Band A · all tracks</t>
        </is>
      </c>
      <c r="D24" s="29" t="inlineStr">
        <is>
          <t>Intern / Trainee</t>
        </is>
      </c>
      <c r="E24" s="29" t="inlineStr">
        <is>
          <t>Business Analysis · Trainee Business Analyst</t>
        </is>
      </c>
      <c r="F24" s="34" t="inlineStr">
        <is>
          <t>H</t>
        </is>
      </c>
      <c r="G24" s="84" t="inlineStr">
        <is>
          <t>Not yet at the entry standard · in induction</t>
        </is>
      </c>
      <c r="H24" s="84" t="inlineStr">
        <is>
          <t>Learning; follows worked examples · in Business Analysis: Business Analysis · Documentation · Requirement analysis · Stakeholder Management · communication · XBRL · Requirement Elicitation · generative AI</t>
        </is>
      </c>
      <c r="I24" s="84" t="inlineStr">
        <is>
          <t>Already works at A2: Standard work of the discipline</t>
        </is>
      </c>
      <c r="J24" s="34" t="inlineStr">
        <is>
          <t>M</t>
        </is>
      </c>
      <c r="K24" s="84" t="inlineStr">
        <is>
          <t>Not yet at the entry standard · in induction</t>
        </is>
      </c>
      <c r="L24" s="84" t="inlineStr">
        <is>
          <t>Needs approval / close guidance</t>
        </is>
      </c>
      <c r="M24" s="84" t="inlineStr">
        <is>
          <t>Already works at A2: Chooses own approach within standards</t>
        </is>
      </c>
      <c r="N24" s="34" t="inlineStr">
        <is>
          <t>L</t>
        </is>
      </c>
      <c r="O24" s="84" t="inlineStr">
        <is>
          <t>Not yet at the entry standard · in induction</t>
        </is>
      </c>
      <c r="P24" s="84" t="inlineStr">
        <is>
          <t>Learning tasks</t>
        </is>
      </c>
      <c r="Q24" s="84" t="inlineStr">
        <is>
          <t>Already works at A2: Own deliverables · accuracy, TAT</t>
        </is>
      </c>
      <c r="R24" s="34" t="inlineStr">
        <is>
          <t>L</t>
        </is>
      </c>
      <c r="S24" s="56" t="inlineStr">
        <is>
          <t>Not yet at the entry standard · in induction</t>
        </is>
      </c>
      <c r="T24" s="56" t="inlineStr">
        <is>
          <t>Helps peers and newer people informally · No direct reports</t>
        </is>
      </c>
      <c r="U24" s="56" t="inlineStr">
        <is>
          <t>Already works at A2: Not scored in Band A</t>
        </is>
      </c>
      <c r="V24" s="34" t="inlineStr">
        <is>
          <t>L</t>
        </is>
      </c>
      <c r="W24" s="56" t="inlineStr">
        <is>
          <t>Not yet at the entry standard · in induction</t>
        </is>
      </c>
      <c r="X24" s="56" t="inlineStr">
        <is>
          <t>Learning; little direct effect on business results yet · purpose: Gathers and documents requirements · BRD/FRD/SRS/user stories, configures solutions and supports UAT and releases. At A1: learning the role; all work …</t>
        </is>
      </c>
      <c r="Y24" s="56" t="inlineStr">
        <is>
          <t>Already works at A2: Own deliverables feed a team's output and turnaround</t>
        </is>
      </c>
      <c r="Z24" s="34" t="inlineStr">
        <is>
          <t>L</t>
        </is>
      </c>
      <c r="AA24" s="85" t="inlineStr">
        <is>
          <t>Less experience than the band's typical 0 yrs · fresher / intern</t>
        </is>
      </c>
      <c r="AB24" s="85" t="inlineStr">
        <is>
          <t>Typical for the band: 0 yrs · fresher / intern · market — yrs</t>
        </is>
      </c>
      <c r="AC24" s="85" t="inlineStr">
        <is>
          <t>More experience than the band's typical 0 yrs · fresher / intern</t>
        </is>
      </c>
      <c r="AD24" s="34" t="inlineStr">
        <is>
          <t>L</t>
        </is>
      </c>
      <c r="AE24" s="85" t="inlineStr">
        <is>
          <t>Below graduation · still studying</t>
        </is>
      </c>
      <c r="AF24" s="85" t="inlineStr">
        <is>
          <t>Pursuing or completed graduation / diploma</t>
        </is>
      </c>
      <c r="AG24" s="85" t="inlineStr">
        <is>
          <t>Above: Graduate · or diploma with experience</t>
        </is>
      </c>
      <c r="AH24" s="44" t="inlineStr">
        <is>
          <t>58.3 · 16 · 9 · 0 · 6.3 · 6 · 4</t>
        </is>
      </c>
      <c r="AI24" s="38" t="inlineStr">
        <is>
          <t>0 yrs · fresher / intern</t>
        </is>
      </c>
      <c r="AJ24" s="38" t="inlineStr">
        <is>
          <t>No direct reports</t>
        </is>
      </c>
      <c r="AK24" s="38" t="inlineStr">
        <is>
          <t>Entry / P1 · intern · SFIA 1 Follow</t>
        </is>
      </c>
      <c r="AL24"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sheetData>
  <autoFilter ref="A5:AL24"/>
  <mergeCells count="1">
    <mergeCell ref="A2:N2"/>
  </mergeCells>
  <dataValidations count="1">
    <dataValidation sqref="F6 F7 F8 F9 F10 F11 F12 F13 F14 F15 F16 F17 F18 F19 F20 F21 F22 F23 F24 J6 J7 J8 J9 J10 J11 J12 J13 J14 J15 J16 J17 J18 J19 J20 J21 J22 J23 J24 N6 N7 N8 N9 N10 N11 N12 N13 N14 N15 N16 N17 N18 N19 N20 N21 N22 N23 N24 R6 R7 R8 R9 R10 R11 R12 R13 R14 R15 R16 R17 R18 R19 R20 R21 R22 R23 R24 V6 V7 V8 V9 V10 V11 V12 V13 V14 V15 V16 V17 V18 V19 V20 V21 V22 V23 V24 Z6 Z7 Z8 Z9 Z10 Z11 Z12 Z13 Z14 Z15 Z16 Z17 Z18 Z19 Z20 Z21 Z22 Z23 Z24 AD6 AD7 AD8 AD9 AD10 AD11 AD12 AD13 AD14 AD15 AD16 AD17 AD18 AD19 AD20 AD21 AD22 AD23 AD24" showDropDown="0" showInputMessage="0" showErrorMessage="0" allowBlank="1" type="list">
      <formula1>LIST_LMH</formula1>
    </dataValidation>
  </dataValidations>
  <hyperlinks>
    <hyperlink xmlns:r="http://schemas.openxmlformats.org/officeDocument/2006/relationships" ref="O1"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L24"/>
  <sheetViews>
    <sheetView zoomScale="85" workbookViewId="0">
      <pane xSplit="5" ySplit="5" topLeftCell="F6" activePane="bottomRight" state="frozen"/>
      <selection pane="topRight"/>
      <selection pane="bottomLeft"/>
      <selection pane="bottomRight" activeCell="A1" sqref="A1"/>
    </sheetView>
  </sheetViews>
  <sheetFormatPr baseColWidth="8" defaultRowHeight="15"/>
  <cols>
    <col width="7" customWidth="1" min="1" max="1"/>
    <col width="16" customWidth="1" min="2" max="2"/>
    <col width="18" customWidth="1" min="3" max="3"/>
    <col width="20" customWidth="1" min="4" max="4"/>
    <col width="34" customWidth="1" min="5" max="5"/>
    <col width="9" customWidth="1" min="6" max="6"/>
    <col width="30" customWidth="1" min="7" max="7"/>
    <col width="34" customWidth="1" min="8" max="8"/>
    <col width="30" customWidth="1" min="9" max="9"/>
    <col width="9" customWidth="1" min="10" max="10"/>
    <col width="30" customWidth="1" min="11" max="11"/>
    <col width="34" customWidth="1" min="12" max="12"/>
    <col width="30" customWidth="1" min="13" max="13"/>
    <col width="9" customWidth="1" min="14" max="14"/>
    <col width="30" customWidth="1" min="15" max="15"/>
    <col width="34" customWidth="1" min="16" max="16"/>
    <col width="30" customWidth="1" min="17" max="17"/>
    <col width="9" customWidth="1" min="18" max="18"/>
    <col width="30" customWidth="1" min="19" max="19"/>
    <col width="34" customWidth="1" min="20" max="20"/>
    <col width="30" customWidth="1" min="21" max="21"/>
    <col width="9" customWidth="1" min="22" max="22"/>
    <col width="30" customWidth="1" min="23" max="23"/>
    <col width="34" customWidth="1" min="24" max="24"/>
    <col width="30" customWidth="1" min="25" max="25"/>
    <col width="9" customWidth="1" min="26" max="26"/>
    <col width="30" customWidth="1" min="27" max="27"/>
    <col width="34" customWidth="1" min="28" max="28"/>
    <col width="30" customWidth="1" min="29" max="29"/>
    <col width="9" customWidth="1" min="30" max="30"/>
    <col width="30" customWidth="1" min="31" max="31"/>
    <col width="34" customWidth="1" min="32" max="32"/>
    <col width="30" customWidth="1" min="33" max="33"/>
    <col width="26" customWidth="1" min="34" max="34"/>
    <col width="16" customWidth="1" min="35" max="35"/>
    <col width="22" customWidth="1" min="36" max="36"/>
    <col width="18" customWidth="1" min="37" max="37"/>
    <col width="40" customWidth="1" min="38" max="38"/>
  </cols>
  <sheetData>
    <row r="1" ht="24" customHeight="1">
      <c r="A1" s="1" t="inlineStr">
        <is>
          <t>Role &amp; band matrix — Consulting &amp; Professional Services</t>
        </is>
      </c>
      <c r="O1" s="7" t="inlineStr">
        <is>
          <t>◂ Start</t>
        </is>
      </c>
    </row>
    <row r="2" ht="30" customHeight="1">
      <c r="A2" s="2" t="inlineStr">
        <is>
          <t>What Low, Medium and High mean for each of the seven parameters at every level of Consulting &amp; Professional Services, and how much each parameter counts · main type of work: Service delivery &amp; data operations. Medium is the band as described; Low is the level below; High is the level above. Change a yellow weightage and every role, department ladder and person in this family recalculates.</t>
        </is>
      </c>
    </row>
    <row r="3">
      <c r="A3" s="3" t="inlineStr">
        <is>
          <t>IRIS · Job Architecture &amp; Job Design · Final v1.15 · October 2026 · Internal — Confidential · HR only</t>
        </is>
      </c>
    </row>
    <row r="4" ht="30" customHeight="1">
      <c r="A4" s="6" t="inlineStr">
        <is>
          <t>LEVEL</t>
        </is>
      </c>
      <c r="B4" s="6" t="n"/>
      <c r="C4" s="6" t="n"/>
      <c r="D4" s="6" t="n"/>
      <c r="E4" s="6" t="n"/>
      <c r="F4" s="45" t="inlineStr">
        <is>
          <t>COMPLEXITY &amp; EXPERTISE</t>
        </is>
      </c>
      <c r="G4" s="45" t="n"/>
      <c r="H4" s="45" t="n"/>
      <c r="I4" s="45" t="n"/>
      <c r="J4" s="45" t="inlineStr">
        <is>
          <t>AUTONOMY &amp; DECISION</t>
        </is>
      </c>
      <c r="K4" s="45" t="n"/>
      <c r="L4" s="45" t="n"/>
      <c r="M4" s="45" t="n"/>
      <c r="N4" s="45" t="inlineStr">
        <is>
          <t>ACCOUNTABILITY &amp; IMPACT</t>
        </is>
      </c>
      <c r="O4" s="45" t="n"/>
      <c r="P4" s="45" t="n"/>
      <c r="Q4" s="45" t="n"/>
      <c r="R4" s="47" t="inlineStr">
        <is>
          <t>LEADERSHIP &amp; STRATEGY</t>
        </is>
      </c>
      <c r="S4" s="47" t="n"/>
      <c r="T4" s="47" t="n"/>
      <c r="U4" s="47" t="n"/>
      <c r="V4" s="47" t="inlineStr">
        <is>
          <t>BUSINESS IMPACT</t>
        </is>
      </c>
      <c r="W4" s="47" t="n"/>
      <c r="X4" s="47" t="n"/>
      <c r="Y4" s="47" t="n"/>
      <c r="Z4" s="81" t="inlineStr">
        <is>
          <t>EXPERIENCE</t>
        </is>
      </c>
      <c r="AA4" s="81" t="n"/>
      <c r="AB4" s="81" t="n"/>
      <c r="AC4" s="81" t="n"/>
      <c r="AD4" s="81" t="inlineStr">
        <is>
          <t>EDUCATION</t>
        </is>
      </c>
      <c r="AE4" s="81" t="n"/>
      <c r="AF4" s="81" t="n"/>
      <c r="AG4" s="81" t="n"/>
      <c r="AH4" s="20" t="inlineStr">
        <is>
          <t>MARKET BENCHMARK &amp; REFERENCES</t>
        </is>
      </c>
      <c r="AI4" s="20" t="n"/>
      <c r="AJ4" s="20" t="n"/>
      <c r="AK4" s="20" t="n"/>
      <c r="AL4" s="20" t="n"/>
    </row>
    <row r="5" ht="60" customHeight="1">
      <c r="A5" s="22" t="inlineStr">
        <is>
          <t>Level</t>
        </is>
      </c>
      <c r="B5" s="22" t="inlineStr">
        <is>
          <t>Band</t>
        </is>
      </c>
      <c r="C5" s="22" t="inlineStr">
        <is>
          <t>Role group</t>
        </is>
      </c>
      <c r="D5" s="22" t="inlineStr">
        <is>
          <t>Level title</t>
        </is>
      </c>
      <c r="E5" s="22" t="inlineStr">
        <is>
          <t>Roles at this level in this family</t>
        </is>
      </c>
      <c r="F5" s="48" t="inlineStr">
        <is>
          <t>Weightage · L/M/H</t>
        </is>
      </c>
      <c r="G5" s="48" t="inlineStr">
        <is>
          <t>Low</t>
        </is>
      </c>
      <c r="H5" s="48" t="inlineStr">
        <is>
          <t>Medium</t>
        </is>
      </c>
      <c r="I5" s="48" t="inlineStr">
        <is>
          <t>High</t>
        </is>
      </c>
      <c r="J5" s="48" t="inlineStr">
        <is>
          <t>Weightage · L/M/H</t>
        </is>
      </c>
      <c r="K5" s="48" t="inlineStr">
        <is>
          <t>Low</t>
        </is>
      </c>
      <c r="L5" s="48" t="inlineStr">
        <is>
          <t>Medium</t>
        </is>
      </c>
      <c r="M5" s="48" t="inlineStr">
        <is>
          <t>High</t>
        </is>
      </c>
      <c r="N5" s="48" t="inlineStr">
        <is>
          <t>Weightage · L/M/H</t>
        </is>
      </c>
      <c r="O5" s="48" t="inlineStr">
        <is>
          <t>Low</t>
        </is>
      </c>
      <c r="P5" s="48" t="inlineStr">
        <is>
          <t>Medium</t>
        </is>
      </c>
      <c r="Q5" s="48" t="inlineStr">
        <is>
          <t>High</t>
        </is>
      </c>
      <c r="R5" s="50" t="inlineStr">
        <is>
          <t>Weightage · L/M/H</t>
        </is>
      </c>
      <c r="S5" s="50" t="inlineStr">
        <is>
          <t>Low</t>
        </is>
      </c>
      <c r="T5" s="50" t="inlineStr">
        <is>
          <t>Medium</t>
        </is>
      </c>
      <c r="U5" s="50" t="inlineStr">
        <is>
          <t>High</t>
        </is>
      </c>
      <c r="V5" s="50" t="inlineStr">
        <is>
          <t>Weightage · L/M/H</t>
        </is>
      </c>
      <c r="W5" s="50" t="inlineStr">
        <is>
          <t>Low</t>
        </is>
      </c>
      <c r="X5" s="50" t="inlineStr">
        <is>
          <t>Medium</t>
        </is>
      </c>
      <c r="Y5" s="50" t="inlineStr">
        <is>
          <t>High</t>
        </is>
      </c>
      <c r="Z5" s="82" t="inlineStr">
        <is>
          <t>Weightage · L/M/H</t>
        </is>
      </c>
      <c r="AA5" s="82" t="inlineStr">
        <is>
          <t>Low</t>
        </is>
      </c>
      <c r="AB5" s="82" t="inlineStr">
        <is>
          <t>Medium</t>
        </is>
      </c>
      <c r="AC5" s="82" t="inlineStr">
        <is>
          <t>High</t>
        </is>
      </c>
      <c r="AD5" s="82" t="inlineStr">
        <is>
          <t>Weightage · L/M/H</t>
        </is>
      </c>
      <c r="AE5" s="82" t="inlineStr">
        <is>
          <t>Low</t>
        </is>
      </c>
      <c r="AF5" s="82" t="inlineStr">
        <is>
          <t>Medium</t>
        </is>
      </c>
      <c r="AG5" s="82" t="inlineStr">
        <is>
          <t>High</t>
        </is>
      </c>
      <c r="AH5" s="26" t="inlineStr">
        <is>
          <t>Market weight % · C · Au · Ac · L · BI · Exp · Edu</t>
        </is>
      </c>
      <c r="AI5" s="26" t="inlineStr">
        <is>
          <t>Market experience · yrs</t>
        </is>
      </c>
      <c r="AJ5" s="26" t="inlineStr">
        <is>
          <t>Span norm</t>
        </is>
      </c>
      <c r="AK5" s="26" t="inlineStr">
        <is>
          <t>Radford / Mercer · SFIA 9</t>
        </is>
      </c>
      <c r="AL5" s="26" t="inlineStr">
        <is>
          <t>References</t>
        </is>
      </c>
    </row>
    <row r="6" ht="120" customHeight="1">
      <c r="A6" s="83" t="inlineStr">
        <is>
          <t>E2</t>
        </is>
      </c>
      <c r="B6" s="29" t="inlineStr">
        <is>
          <t>Band E · Enterprise leadership</t>
        </is>
      </c>
      <c r="C6" s="29" t="inlineStr">
        <is>
          <t>Bands D–E · Leadership</t>
        </is>
      </c>
      <c r="D6" s="29" t="inlineStr">
        <is>
          <t>Chief Executive Officer</t>
        </is>
      </c>
      <c r="E6" s="29" t="inlineStr">
        <is>
          <t>— no role at this level today</t>
        </is>
      </c>
      <c r="F6" s="34" t="inlineStr">
        <is>
          <t>H</t>
        </is>
      </c>
      <c r="G6" s="84" t="inlineStr">
        <is>
          <t>Works at E1: Enterprise-level functional strategy</t>
        </is>
      </c>
      <c r="H6" s="84" t="inlineStr">
        <is>
          <t>Enterprise-wide uncertainty, transformation and external forces</t>
        </is>
      </c>
      <c r="I6" s="84" t="inlineStr">
        <is>
          <t>Beyond the role · a board-level mandate</t>
        </is>
      </c>
      <c r="J6" s="34" t="inlineStr">
        <is>
          <t>M</t>
        </is>
      </c>
      <c r="K6" s="84" t="inlineStr">
        <is>
          <t>Works at E1: Sets enterprise priorities for the function</t>
        </is>
      </c>
      <c r="L6" s="84" t="inlineStr">
        <is>
          <t>Accountable to the board</t>
        </is>
      </c>
      <c r="M6" s="84" t="inlineStr">
        <is>
          <t>Beyond the role · a board-level mandate</t>
        </is>
      </c>
      <c r="N6" s="34" t="inlineStr">
        <is>
          <t>M</t>
        </is>
      </c>
      <c r="O6" s="84" t="inlineStr">
        <is>
          <t>Works at E1: Enterprise-wide functional results</t>
        </is>
      </c>
      <c r="P6" s="84" t="inlineStr">
        <is>
          <t>Enterprise results, risk, culture and long-term viability</t>
        </is>
      </c>
      <c r="Q6" s="84" t="inlineStr">
        <is>
          <t>Beyond the role · a board-level mandate</t>
        </is>
      </c>
      <c r="R6" s="34" t="inlineStr">
        <is>
          <t>M</t>
        </is>
      </c>
      <c r="S6" s="56" t="inlineStr">
        <is>
          <t>Works at E1: Shapes enterprise strategy</t>
        </is>
      </c>
      <c r="T6" s="56" t="inlineStr">
        <is>
          <t>Sets enterprise strategy; leads the executive team</t>
        </is>
      </c>
      <c r="U6" s="56" t="inlineStr">
        <is>
          <t>Beyond the role · a board-level mandate</t>
        </is>
      </c>
      <c r="V6" s="34" t="inlineStr">
        <is>
          <t>L</t>
        </is>
      </c>
      <c r="W6" s="56" t="inlineStr">
        <is>
          <t>Works at E1: Shapes company-wide results through a function</t>
        </is>
      </c>
      <c r="X6" s="56" t="inlineStr">
        <is>
          <t>Answers for the whole company's results and long-term value</t>
        </is>
      </c>
      <c r="Y6" s="56" t="inlineStr">
        <is>
          <t>Beyond the role · a board-level mandate</t>
        </is>
      </c>
      <c r="Z6" s="34" t="inlineStr">
        <is>
          <t>L</t>
        </is>
      </c>
      <c r="AA6" s="85" t="inlineStr">
        <is>
          <t>Less experience than the band's typical 20+ yrs</t>
        </is>
      </c>
      <c r="AB6" s="85" t="inlineStr">
        <is>
          <t>Typical for the band: 20+ yrs · market — yrs</t>
        </is>
      </c>
      <c r="AC6" s="85" t="inlineStr">
        <is>
          <t>More experience than the band's typical 20+ yrs</t>
        </is>
      </c>
      <c r="AD6" s="34" t="inlineStr">
        <is>
          <t>L</t>
        </is>
      </c>
      <c r="AE6" s="85" t="inlineStr">
        <is>
          <t>Below: Postgraduate / professional qualification; business leadership record</t>
        </is>
      </c>
      <c r="AF6" s="85" t="inlineStr">
        <is>
          <t>Postgraduate / professional qualification; proven business leadership</t>
        </is>
      </c>
      <c r="AG6" s="85" t="inlineStr">
        <is>
          <t>Board-level credentials beyond the role's need</t>
        </is>
      </c>
      <c r="AH6" s="44" t="inlineStr">
        <is>
          <t>36.3 · 19 · 11.3 · 20 · 8.7 · 4 · 1</t>
        </is>
      </c>
      <c r="AI6" s="38" t="inlineStr">
        <is>
          <t>20+ yrs</t>
        </is>
      </c>
      <c r="AJ6" s="38" t="inlineStr">
        <is>
          <t>Executive team</t>
        </is>
      </c>
      <c r="AK6" s="38" t="inlineStr">
        <is>
          <t>E6 · SFIA 7</t>
        </is>
      </c>
      <c r="AL6"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7" ht="120" customHeight="1">
      <c r="A7" s="83" t="inlineStr">
        <is>
          <t>E1</t>
        </is>
      </c>
      <c r="B7" s="29" t="inlineStr">
        <is>
          <t>Band E · Enterprise leadership</t>
        </is>
      </c>
      <c r="C7" s="29" t="inlineStr">
        <is>
          <t>Bands D–E · Leadership</t>
        </is>
      </c>
      <c r="D7" s="29" t="inlineStr">
        <is>
          <t>CXO / President</t>
        </is>
      </c>
      <c r="E7" s="29" t="inlineStr">
        <is>
          <t>— no role at this level today</t>
        </is>
      </c>
      <c r="F7" s="34" t="inlineStr">
        <is>
          <t>H</t>
        </is>
      </c>
      <c r="G7" s="84" t="inlineStr">
        <is>
          <t>Works at D2: Portfolio-level strategic, financial and regulatory trade-offs</t>
        </is>
      </c>
      <c r="H7" s="84" t="inlineStr">
        <is>
          <t>Enterprise-level functional strategy</t>
        </is>
      </c>
      <c r="I7" s="84" t="inlineStr">
        <is>
          <t>Already works at E2: Enterprise-wide uncertainty, transformation and external forces</t>
        </is>
      </c>
      <c r="J7" s="34" t="inlineStr">
        <is>
          <t>M</t>
        </is>
      </c>
      <c r="K7" s="84" t="inlineStr">
        <is>
          <t>Works at D2: Sets direction across business lines</t>
        </is>
      </c>
      <c r="L7" s="84" t="inlineStr">
        <is>
          <t>Sets enterprise priorities for the function</t>
        </is>
      </c>
      <c r="M7" s="84" t="inlineStr">
        <is>
          <t>Already works at E2: Accountable to the board</t>
        </is>
      </c>
      <c r="N7" s="34" t="inlineStr">
        <is>
          <t>M</t>
        </is>
      </c>
      <c r="O7" s="84" t="inlineStr">
        <is>
          <t>Works at D2: Multi-business results</t>
        </is>
      </c>
      <c r="P7" s="84" t="inlineStr">
        <is>
          <t>Enterprise-wide functional results</t>
        </is>
      </c>
      <c r="Q7" s="84" t="inlineStr">
        <is>
          <t>Already works at E2: Enterprise results, risk, culture and long-term viability</t>
        </is>
      </c>
      <c r="R7" s="34" t="inlineStr">
        <is>
          <t>M</t>
        </is>
      </c>
      <c r="S7" s="56" t="inlineStr">
        <is>
          <t>Works at D2: Builds the leadership team across businesses</t>
        </is>
      </c>
      <c r="T7" s="56" t="inlineStr">
        <is>
          <t>Shapes enterprise strategy</t>
        </is>
      </c>
      <c r="U7" s="56" t="inlineStr">
        <is>
          <t>Already works at E2: Sets enterprise strategy; leads the executive team</t>
        </is>
      </c>
      <c r="V7" s="34" t="inlineStr">
        <is>
          <t>L</t>
        </is>
      </c>
      <c r="W7" s="56" t="inlineStr">
        <is>
          <t>Works at D2: Owns the results of several business lines</t>
        </is>
      </c>
      <c r="X7" s="56" t="inlineStr">
        <is>
          <t>Shapes company-wide results through a function</t>
        </is>
      </c>
      <c r="Y7" s="56" t="inlineStr">
        <is>
          <t>Already works at E2: Answers for the whole company's results and long-term value</t>
        </is>
      </c>
      <c r="Z7" s="34" t="inlineStr">
        <is>
          <t>L</t>
        </is>
      </c>
      <c r="AA7" s="85" t="inlineStr">
        <is>
          <t>Less experience than the band's typical 20+ yrs</t>
        </is>
      </c>
      <c r="AB7" s="85" t="inlineStr">
        <is>
          <t>Typical for the band: 20+ yrs · market — yrs</t>
        </is>
      </c>
      <c r="AC7" s="85" t="inlineStr">
        <is>
          <t>More experience than the band's typical 20+ yrs</t>
        </is>
      </c>
      <c r="AD7" s="34" t="inlineStr">
        <is>
          <t>L</t>
        </is>
      </c>
      <c r="AE7" s="85" t="inlineStr">
        <is>
          <t>Below: Postgraduate / professional qualification preferred</t>
        </is>
      </c>
      <c r="AF7" s="85" t="inlineStr">
        <is>
          <t>Postgraduate / professional qualification; business leadership record</t>
        </is>
      </c>
      <c r="AG7" s="85" t="inlineStr">
        <is>
          <t>Above: Postgraduate / professional qualification; proven business leadership</t>
        </is>
      </c>
      <c r="AH7" s="44" t="inlineStr">
        <is>
          <t>36.3 · 19 · 11.3 · 20 · 8.7 · 4 · 1</t>
        </is>
      </c>
      <c r="AI7" s="38" t="inlineStr">
        <is>
          <t>20+ yrs</t>
        </is>
      </c>
      <c r="AJ7" s="38" t="inlineStr">
        <is>
          <t>5–8 function heads</t>
        </is>
      </c>
      <c r="AK7" s="38" t="inlineStr">
        <is>
          <t>E5 · SFIA 7</t>
        </is>
      </c>
      <c r="AL7"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8" ht="120" customHeight="1">
      <c r="A8" s="86" t="inlineStr">
        <is>
          <t>D2</t>
        </is>
      </c>
      <c r="B8" s="29" t="inlineStr">
        <is>
          <t>Band D · Business leadership</t>
        </is>
      </c>
      <c r="C8" s="29" t="inlineStr">
        <is>
          <t>Bands D–E · Leadership</t>
        </is>
      </c>
      <c r="D8" s="29" t="inlineStr">
        <is>
          <t>Senior Vice President / Business Head</t>
        </is>
      </c>
      <c r="E8" s="29" t="inlineStr">
        <is>
          <t>— no role at this level today</t>
        </is>
      </c>
      <c r="F8" s="34" t="inlineStr">
        <is>
          <t>H</t>
        </is>
      </c>
      <c r="G8" s="84" t="inlineStr">
        <is>
          <t>Works at D1: Competing strategic, financial and regulatory priorities</t>
        </is>
      </c>
      <c r="H8" s="84" t="inlineStr">
        <is>
          <t>Portfolio-level strategic, financial and regulatory trade-offs</t>
        </is>
      </c>
      <c r="I8" s="84" t="inlineStr">
        <is>
          <t>Already works at E1: Enterprise-level functional strategy</t>
        </is>
      </c>
      <c r="J8" s="34" t="inlineStr">
        <is>
          <t>M</t>
        </is>
      </c>
      <c r="K8" s="84" t="inlineStr">
        <is>
          <t>Works at D1: Sets business-line direction, pricing and investment</t>
        </is>
      </c>
      <c r="L8" s="84" t="inlineStr">
        <is>
          <t>Sets direction across business lines</t>
        </is>
      </c>
      <c r="M8" s="84" t="inlineStr">
        <is>
          <t>Already works at E1: Sets enterprise priorities for the function</t>
        </is>
      </c>
      <c r="N8" s="34" t="inlineStr">
        <is>
          <t>M</t>
        </is>
      </c>
      <c r="O8" s="84" t="inlineStr">
        <is>
          <t>Works at D1: Business-line P&amp;L and market position</t>
        </is>
      </c>
      <c r="P8" s="84" t="inlineStr">
        <is>
          <t>Multi-business results</t>
        </is>
      </c>
      <c r="Q8" s="84" t="inlineStr">
        <is>
          <t>Already works at E1: Enterprise-wide functional results</t>
        </is>
      </c>
      <c r="R8" s="34" t="inlineStr">
        <is>
          <t>M</t>
        </is>
      </c>
      <c r="S8" s="56" t="inlineStr">
        <is>
          <t>Works at D1: Defines business strategy; builds the leadership bench</t>
        </is>
      </c>
      <c r="T8" s="56" t="inlineStr">
        <is>
          <t>Builds the leadership team across businesses</t>
        </is>
      </c>
      <c r="U8" s="56" t="inlineStr">
        <is>
          <t>Already works at E1: Shapes enterprise strategy</t>
        </is>
      </c>
      <c r="V8" s="34" t="inlineStr">
        <is>
          <t>L</t>
        </is>
      </c>
      <c r="W8" s="56" t="inlineStr">
        <is>
          <t>Works at D1: Owns a business line's P&amp;L and growth, or a company-wide function</t>
        </is>
      </c>
      <c r="X8" s="56" t="inlineStr">
        <is>
          <t>Owns the results of several business lines</t>
        </is>
      </c>
      <c r="Y8" s="56" t="inlineStr">
        <is>
          <t>Already works at E1: Shapes company-wide results through a function</t>
        </is>
      </c>
      <c r="Z8" s="34" t="inlineStr">
        <is>
          <t>L</t>
        </is>
      </c>
      <c r="AA8" s="85" t="inlineStr">
        <is>
          <t>Less experience than the band's typical 18–24 yrs</t>
        </is>
      </c>
      <c r="AB8" s="85" t="inlineStr">
        <is>
          <t>Typical for the band: 18–24 yrs · market — yrs</t>
        </is>
      </c>
      <c r="AC8" s="85" t="inlineStr">
        <is>
          <t>More experience than the band's typical 18–24 yrs</t>
        </is>
      </c>
      <c r="AD8" s="34" t="inlineStr">
        <is>
          <t>L</t>
        </is>
      </c>
      <c r="AE8" s="85" t="inlineStr">
        <is>
          <t>Below: Postgraduate / professional qualification preferred</t>
        </is>
      </c>
      <c r="AF8" s="85" t="inlineStr">
        <is>
          <t>Postgraduate / professional qualification preferred</t>
        </is>
      </c>
      <c r="AG8" s="85" t="inlineStr">
        <is>
          <t>Above: Postgraduate / professional qualification; business leadership record</t>
        </is>
      </c>
      <c r="AH8" s="44" t="inlineStr">
        <is>
          <t>36.3 · 19 · 11.3 · 20 · 8.7 · 4 · 1</t>
        </is>
      </c>
      <c r="AI8" s="38" t="inlineStr">
        <is>
          <t>18–24 yrs</t>
        </is>
      </c>
      <c r="AJ8" s="38" t="inlineStr">
        <is>
          <t>5–8 AVPs / heads</t>
        </is>
      </c>
      <c r="AK8" s="38" t="inlineStr">
        <is>
          <t>E3–E4 · SFIA 7 Set strategy</t>
        </is>
      </c>
      <c r="AL8"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9" ht="120" customHeight="1">
      <c r="A9" s="86" t="inlineStr">
        <is>
          <t>D1</t>
        </is>
      </c>
      <c r="B9" s="29" t="inlineStr">
        <is>
          <t>Band D · Business leadership</t>
        </is>
      </c>
      <c r="C9" s="29" t="inlineStr">
        <is>
          <t>Bands D–E · Leadership</t>
        </is>
      </c>
      <c r="D9" s="29" t="inlineStr">
        <is>
          <t>Associate Vice President</t>
        </is>
      </c>
      <c r="E9" s="29" t="inlineStr">
        <is>
          <t>— no role at this level today</t>
        </is>
      </c>
      <c r="F9" s="34" t="inlineStr">
        <is>
          <t>H</t>
        </is>
      </c>
      <c r="G9" s="84" t="inlineStr">
        <is>
          <t>Works at C2: Function-wide or company-wide problems; creates methods and standards</t>
        </is>
      </c>
      <c r="H9" s="84" t="inlineStr">
        <is>
          <t>Competing strategic, financial and regulatory priorities</t>
        </is>
      </c>
      <c r="I9" s="84" t="inlineStr">
        <is>
          <t>Already works at D2: Portfolio-level strategic, financial and regulatory trade-offs</t>
        </is>
      </c>
      <c r="J9" s="34" t="inlineStr">
        <is>
          <t>M</t>
        </is>
      </c>
      <c r="K9" s="84" t="inlineStr">
        <is>
          <t>Works at C2: Sets direction for a function</t>
        </is>
      </c>
      <c r="L9" s="84" t="inlineStr">
        <is>
          <t>Sets business-line direction, pricing and investment</t>
        </is>
      </c>
      <c r="M9" s="84" t="inlineStr">
        <is>
          <t>Already works at D2: Sets direction across business lines</t>
        </is>
      </c>
      <c r="N9" s="34" t="inlineStr">
        <is>
          <t>M</t>
        </is>
      </c>
      <c r="O9" s="84" t="inlineStr">
        <is>
          <t>Works at C2: Function results, budget and risk</t>
        </is>
      </c>
      <c r="P9" s="84" t="inlineStr">
        <is>
          <t>Business-line P&amp;L and market position</t>
        </is>
      </c>
      <c r="Q9" s="84" t="inlineStr">
        <is>
          <t>Already works at D2: Multi-business results</t>
        </is>
      </c>
      <c r="R9" s="34" t="inlineStr">
        <is>
          <t>M</t>
        </is>
      </c>
      <c r="S9" s="56" t="inlineStr">
        <is>
          <t>Works at C2: Leads a function; shapes functional strategy</t>
        </is>
      </c>
      <c r="T9" s="56" t="inlineStr">
        <is>
          <t>Defines business strategy; builds the leadership bench</t>
        </is>
      </c>
      <c r="U9" s="56" t="inlineStr">
        <is>
          <t>Already works at D2: Builds the leadership team across businesses</t>
        </is>
      </c>
      <c r="V9" s="34" t="inlineStr">
        <is>
          <t>L</t>
        </is>
      </c>
      <c r="W9" s="56" t="inlineStr">
        <is>
          <t>Works at C2: Drives a function's or department's results and costs</t>
        </is>
      </c>
      <c r="X9" s="56" t="inlineStr">
        <is>
          <t>Owns a business line's P&amp;L and growth, or a company-wide function</t>
        </is>
      </c>
      <c r="Y9" s="56" t="inlineStr">
        <is>
          <t>Already works at D2: Owns the results of several business lines</t>
        </is>
      </c>
      <c r="Z9" s="34" t="inlineStr">
        <is>
          <t>L</t>
        </is>
      </c>
      <c r="AA9" s="85" t="inlineStr">
        <is>
          <t>Less experience than the band's typical 15–20 yrs</t>
        </is>
      </c>
      <c r="AB9" s="85" t="inlineStr">
        <is>
          <t>Typical for the band: 15–20 yrs · market — yrs</t>
        </is>
      </c>
      <c r="AC9" s="85" t="inlineStr">
        <is>
          <t>More experience than the band's typical 15–20 yrs</t>
        </is>
      </c>
      <c r="AD9" s="34" t="inlineStr">
        <is>
          <t>L</t>
        </is>
      </c>
      <c r="AE9" s="85" t="inlineStr">
        <is>
          <t>Below: Postgraduate / professional qualification preferred</t>
        </is>
      </c>
      <c r="AF9" s="85" t="inlineStr">
        <is>
          <t>Postgraduate / professional qualification preferred</t>
        </is>
      </c>
      <c r="AG9" s="85" t="inlineStr">
        <is>
          <t>Above: Postgraduate / professional qualification preferred</t>
        </is>
      </c>
      <c r="AH9" s="44" t="inlineStr">
        <is>
          <t>36.3 · 19 · 11.3 · 20 · 8.7 · 4 · 1</t>
        </is>
      </c>
      <c r="AI9" s="38" t="inlineStr">
        <is>
          <t>15–20 yrs</t>
        </is>
      </c>
      <c r="AJ9" s="38" t="inlineStr">
        <is>
          <t>5–8 heads</t>
        </is>
      </c>
      <c r="AK9" s="38" t="inlineStr">
        <is>
          <t>E1–E2 · SFIA 6–7</t>
        </is>
      </c>
      <c r="AL9"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0" ht="120" customHeight="1">
      <c r="A10" s="87" t="inlineStr">
        <is>
          <t>C+</t>
        </is>
      </c>
      <c r="B10" s="29" t="inlineStr">
        <is>
          <t>C+ · Player-Coach</t>
        </is>
      </c>
      <c r="C10" s="29" t="inlineStr">
        <is>
          <t>C+ · Player-Coach</t>
        </is>
      </c>
      <c r="D10" s="29" t="inlineStr">
        <is>
          <t>Group Head · Player-Coach</t>
        </is>
      </c>
      <c r="E10" s="29" t="inlineStr">
        <is>
          <t>— no role at this level today</t>
        </is>
      </c>
      <c r="F10" s="34" t="inlineStr">
        <is>
          <t>H</t>
        </is>
      </c>
      <c r="G10" s="84" t="inlineStr">
        <is>
          <t>Works at C2: Function-wide or company-wide problems; creates methods and standards</t>
        </is>
      </c>
      <c r="H10" s="84" t="inlineStr">
        <is>
          <t>Function-wide and cross-product problems; personally handles the most critical client or technical work</t>
        </is>
      </c>
      <c r="I10" s="84" t="inlineStr">
        <is>
          <t>Already works at D1: Competing strategic, financial and regulatory priorities</t>
        </is>
      </c>
      <c r="J10" s="34" t="inlineStr">
        <is>
          <t>M</t>
        </is>
      </c>
      <c r="K10" s="84" t="inlineStr">
        <is>
          <t>Works at C2: Sets direction for a function</t>
        </is>
      </c>
      <c r="L10" s="84" t="inlineStr">
        <is>
          <t>Sets direction for the function; business-line trade-offs go to the Business Head</t>
        </is>
      </c>
      <c r="M10" s="84" t="inlineStr">
        <is>
          <t>Already works at D1: Sets business-line direction, pricing and investment</t>
        </is>
      </c>
      <c r="N10" s="34" t="inlineStr">
        <is>
          <t>M</t>
        </is>
      </c>
      <c r="O10" s="84" t="inlineStr">
        <is>
          <t>Works at C2: Function results, budget and risk</t>
        </is>
      </c>
      <c r="P10" s="84" t="inlineStr">
        <is>
          <t>Function results, budget and key-client outcomes; carries own book or principal delivery</t>
        </is>
      </c>
      <c r="Q10" s="84" t="inlineStr">
        <is>
          <t>Already works at D1: Business-line P&amp;L and market position</t>
        </is>
      </c>
      <c r="R10" s="34" t="inlineStr">
        <is>
          <t>M</t>
        </is>
      </c>
      <c r="S10" s="56" t="inlineStr">
        <is>
          <t>Works at C2: Leads a function; shapes functional strategy</t>
        </is>
      </c>
      <c r="T10" s="56" t="inlineStr">
        <is>
          <t>Leads managers and leads and 10+ people in the function while staying hands-on</t>
        </is>
      </c>
      <c r="U10" s="56" t="inlineStr">
        <is>
          <t>Already works at D1: Defines business strategy; builds the leadership bench</t>
        </is>
      </c>
      <c r="V10" s="34" t="inlineStr">
        <is>
          <t>L</t>
        </is>
      </c>
      <c r="W10" s="56" t="inlineStr">
        <is>
          <t>Works at C2: Drives a function's or department's results and costs</t>
        </is>
      </c>
      <c r="X10" s="56" t="inlineStr">
        <is>
          <t>Drives a function's results and personally wins or delivers key work</t>
        </is>
      </c>
      <c r="Y10" s="56" t="inlineStr">
        <is>
          <t>Already works at D1: Owns a business line's P&amp;L and growth, or a company-wide function</t>
        </is>
      </c>
      <c r="Z10" s="34" t="inlineStr">
        <is>
          <t>L</t>
        </is>
      </c>
      <c r="AA10" s="85" t="inlineStr">
        <is>
          <t>Less experience than the band's typical 13–18 yrs</t>
        </is>
      </c>
      <c r="AB10" s="85" t="inlineStr">
        <is>
          <t>Typical for the band: 13–18 yrs · market 15–18 yrs</t>
        </is>
      </c>
      <c r="AC10" s="85" t="inlineStr">
        <is>
          <t>More experience than the band's typical 13–18 yrs</t>
        </is>
      </c>
      <c r="AD10" s="34" t="inlineStr">
        <is>
          <t>L</t>
        </is>
      </c>
      <c r="AE10" s="85" t="inlineStr">
        <is>
          <t>Below: Postgraduate / professional qualification preferred</t>
        </is>
      </c>
      <c r="AF10" s="85" t="inlineStr">
        <is>
          <t>Postgraduate / professional qualification preferred</t>
        </is>
      </c>
      <c r="AG10" s="85" t="inlineStr">
        <is>
          <t>Above: Postgraduate / professional qualification preferred</t>
        </is>
      </c>
      <c r="AH10" s="44" t="inlineStr">
        <is>
          <t>37.7 · 18.3 · 10.7 · 20 · 8 · 4 · 1</t>
        </is>
      </c>
      <c r="AI10" s="38" t="inlineStr">
        <is>
          <t>15–18</t>
        </is>
      </c>
      <c r="AJ10" s="38" t="inlineStr">
        <is>
          <t>4–8 managers / leads with ≥ 25% of time on own principal delivery</t>
        </is>
      </c>
      <c r="AK10" s="38" t="inlineStr">
        <is>
          <t>M6 / E1 · SFIA 6 Initiate, influence</t>
        </is>
      </c>
      <c r="AL10"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1" ht="120" customHeight="1">
      <c r="A11" s="88" t="inlineStr">
        <is>
          <t>C2</t>
        </is>
      </c>
      <c r="B11" s="29" t="inlineStr">
        <is>
          <t>Band C · Principal / Head</t>
        </is>
      </c>
      <c r="C11" s="29" t="inlineStr">
        <is>
          <t>Band C · Head / manager</t>
        </is>
      </c>
      <c r="D11" s="29" t="inlineStr">
        <is>
          <t>Head of Function</t>
        </is>
      </c>
      <c r="E11" s="29" t="inlineStr">
        <is>
          <t>Professional Services Leadership · Head – Consulting</t>
        </is>
      </c>
      <c r="F11" s="34" t="inlineStr">
        <is>
          <t>H</t>
        </is>
      </c>
      <c r="G11" s="84" t="inlineStr">
        <is>
          <t>Works at C1: Ambiguous, cross-product problems</t>
        </is>
      </c>
      <c r="H11" s="84" t="inlineStr">
        <is>
          <t>Function-wide or company-wide problems; creates methods and standards · in Consulting &amp; Professional Services: XBRL Domain</t>
        </is>
      </c>
      <c r="I11" s="84" t="inlineStr">
        <is>
          <t>Already works at D1: Competing strategic, financial and regulatory priorities</t>
        </is>
      </c>
      <c r="J11" s="34" t="inlineStr">
        <is>
          <t>M</t>
        </is>
      </c>
      <c r="K11" s="84" t="inlineStr">
        <is>
          <t>Works at C1: Sets direction for a sub-function or domain</t>
        </is>
      </c>
      <c r="L11" s="84" t="inlineStr">
        <is>
          <t>Sets direction for a function</t>
        </is>
      </c>
      <c r="M11" s="84" t="inlineStr">
        <is>
          <t>Already works at D1: Sets business-line direction, pricing and investment</t>
        </is>
      </c>
      <c r="N11" s="34" t="inlineStr">
        <is>
          <t>M</t>
        </is>
      </c>
      <c r="O11" s="84" t="inlineStr">
        <is>
          <t>Works at C1: Sub-function results or domain quality across products</t>
        </is>
      </c>
      <c r="P11" s="84" t="inlineStr">
        <is>
          <t>Function results, budget and risk</t>
        </is>
      </c>
      <c r="Q11" s="84" t="inlineStr">
        <is>
          <t>Already works at D1: Business-line P&amp;L and market position</t>
        </is>
      </c>
      <c r="R11" s="34" t="inlineStr">
        <is>
          <t>M</t>
        </is>
      </c>
      <c r="S11" s="56" t="inlineStr">
        <is>
          <t>Works at C1: Leads managers or a community of practice</t>
        </is>
      </c>
      <c r="T11" s="56" t="inlineStr">
        <is>
          <t>Leads a function; shapes functional strategy</t>
        </is>
      </c>
      <c r="U11" s="56" t="inlineStr">
        <is>
          <t>Already works at D1: Defines business strategy; builds the leadership bench</t>
        </is>
      </c>
      <c r="V11" s="34" t="inlineStr">
        <is>
          <t>L</t>
        </is>
      </c>
      <c r="W11" s="56" t="inlineStr">
        <is>
          <t>Works at C1: Changes results across a sub-function or across products</t>
        </is>
      </c>
      <c r="X11" s="56" t="inlineStr">
        <is>
          <t>Drives a function's or department's results and costs · purpose: Leads an assisted-services / consulting practice. At C2: a function or department, or a company-wide discipline.</t>
        </is>
      </c>
      <c r="Y11" s="56" t="inlineStr">
        <is>
          <t>Already works at D1: Owns a business line's P&amp;L and growth, or a company-wide function</t>
        </is>
      </c>
      <c r="Z11" s="34" t="inlineStr">
        <is>
          <t>L</t>
        </is>
      </c>
      <c r="AA11" s="85" t="inlineStr">
        <is>
          <t>Less experience than the band's typical 12–17 yrs</t>
        </is>
      </c>
      <c r="AB11" s="85" t="inlineStr">
        <is>
          <t>Typical for the band: 12–17 yrs · market — yrs</t>
        </is>
      </c>
      <c r="AC11" s="85" t="inlineStr">
        <is>
          <t>More experience than the band's typical 12–17 yrs</t>
        </is>
      </c>
      <c r="AD11" s="34" t="inlineStr">
        <is>
          <t>L</t>
        </is>
      </c>
      <c r="AE11" s="85" t="inlineStr">
        <is>
          <t>Below: Postgraduate / professional qualification preferred</t>
        </is>
      </c>
      <c r="AF11" s="85" t="inlineStr">
        <is>
          <t>Postgraduate / professional qualification preferred</t>
        </is>
      </c>
      <c r="AG11" s="85" t="inlineStr">
        <is>
          <t>Above: Postgraduate / professional qualification preferred</t>
        </is>
      </c>
      <c r="AH11" s="44" t="inlineStr">
        <is>
          <t>43.3 · 18 · 10.7 · 15 · 8 · 4 · 1</t>
        </is>
      </c>
      <c r="AI11" s="38" t="inlineStr">
        <is>
          <t>12–17 yrs</t>
        </is>
      </c>
      <c r="AJ11" s="38" t="inlineStr">
        <is>
          <t>5–8 managers / associate heads</t>
        </is>
      </c>
      <c r="AK11" s="38" t="inlineStr">
        <is>
          <t>P7 / M6 · SFIA 6 Initiate, influence</t>
        </is>
      </c>
      <c r="AL11"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2" ht="120" customHeight="1">
      <c r="A12" s="88" t="inlineStr">
        <is>
          <t>C2</t>
        </is>
      </c>
      <c r="B12" s="29" t="inlineStr">
        <is>
          <t>Band C · Principal / Head</t>
        </is>
      </c>
      <c r="C12" s="29" t="inlineStr">
        <is>
          <t>Band C · Principal specialist</t>
        </is>
      </c>
      <c r="D12" s="29" t="inlineStr">
        <is>
          <t>Senior Principal / Architect</t>
        </is>
      </c>
      <c r="E12" s="29" t="inlineStr">
        <is>
          <t>Professional Services Leadership · Head – Consulting</t>
        </is>
      </c>
      <c r="F12" s="34" t="inlineStr">
        <is>
          <t>H</t>
        </is>
      </c>
      <c r="G12" s="84" t="inlineStr">
        <is>
          <t>Works at C1: Ambiguous, cross-product problems</t>
        </is>
      </c>
      <c r="H12" s="84" t="inlineStr">
        <is>
          <t>Function-wide or company-wide problems; creates methods and standards · in Consulting &amp; Professional Services: XBRL Domain</t>
        </is>
      </c>
      <c r="I12" s="84" t="inlineStr">
        <is>
          <t>Already works at D1: Competing strategic, financial and regulatory priorities</t>
        </is>
      </c>
      <c r="J12" s="34" t="inlineStr">
        <is>
          <t>M</t>
        </is>
      </c>
      <c r="K12" s="84" t="inlineStr">
        <is>
          <t>Works at C1: Sets direction for a sub-function or domain</t>
        </is>
      </c>
      <c r="L12" s="84" t="inlineStr">
        <is>
          <t>Sets direction for a function</t>
        </is>
      </c>
      <c r="M12" s="84" t="inlineStr">
        <is>
          <t>Already works at D1: Sets business-line direction, pricing and investment</t>
        </is>
      </c>
      <c r="N12" s="34" t="inlineStr">
        <is>
          <t>M</t>
        </is>
      </c>
      <c r="O12" s="84" t="inlineStr">
        <is>
          <t>Works at C1: Sub-function results or domain quality across products</t>
        </is>
      </c>
      <c r="P12" s="84" t="inlineStr">
        <is>
          <t>Function results, budget and risk</t>
        </is>
      </c>
      <c r="Q12" s="84" t="inlineStr">
        <is>
          <t>Already works at D1: Business-line P&amp;L and market position</t>
        </is>
      </c>
      <c r="R12" s="34" t="inlineStr">
        <is>
          <t>L</t>
        </is>
      </c>
      <c r="S12" s="56" t="inlineStr">
        <is>
          <t>Works at C1: Leads managers or a community of practice</t>
        </is>
      </c>
      <c r="T12" s="56" t="inlineStr">
        <is>
          <t>Leads a function; shapes functional strategy</t>
        </is>
      </c>
      <c r="U12" s="56" t="inlineStr">
        <is>
          <t>Already works at D1: Defines business strategy; builds the leadership bench</t>
        </is>
      </c>
      <c r="V12" s="34" t="inlineStr">
        <is>
          <t>L</t>
        </is>
      </c>
      <c r="W12" s="56" t="inlineStr">
        <is>
          <t>Works at C1: Changes results across a sub-function or across products</t>
        </is>
      </c>
      <c r="X12" s="56" t="inlineStr">
        <is>
          <t>Drives a function's or department's results and costs · purpose: Leads an assisted-services / consulting practice. At C2: a function or department, or a company-wide discipline.</t>
        </is>
      </c>
      <c r="Y12" s="56" t="inlineStr">
        <is>
          <t>Already works at D1: Owns a business line's P&amp;L and growth, or a company-wide function</t>
        </is>
      </c>
      <c r="Z12" s="34" t="inlineStr">
        <is>
          <t>L</t>
        </is>
      </c>
      <c r="AA12" s="85" t="inlineStr">
        <is>
          <t>Less experience than the band's typical 12–17 yrs</t>
        </is>
      </c>
      <c r="AB12" s="85" t="inlineStr">
        <is>
          <t>Typical for the band: 12–17 yrs · market — yrs</t>
        </is>
      </c>
      <c r="AC12" s="85" t="inlineStr">
        <is>
          <t>More experience than the band's typical 12–17 yrs</t>
        </is>
      </c>
      <c r="AD12" s="34" t="inlineStr">
        <is>
          <t>L</t>
        </is>
      </c>
      <c r="AE12" s="85" t="inlineStr">
        <is>
          <t>Below: Postgraduate / professional qualification preferred</t>
        </is>
      </c>
      <c r="AF12" s="85" t="inlineStr">
        <is>
          <t>Postgraduate / professional qualification preferred</t>
        </is>
      </c>
      <c r="AG12" s="85" t="inlineStr">
        <is>
          <t>Above: Postgraduate / professional qualification preferred</t>
        </is>
      </c>
      <c r="AH12" s="44" t="inlineStr">
        <is>
          <t>54.3 · 17.7 · 10.3 · 5 · 7.7 · 4 · 1</t>
        </is>
      </c>
      <c r="AI12" s="38" t="inlineStr">
        <is>
          <t>12–17 yrs</t>
        </is>
      </c>
      <c r="AJ12" s="38" t="inlineStr">
        <is>
          <t>5–8 managers / associate heads</t>
        </is>
      </c>
      <c r="AK12" s="38" t="inlineStr">
        <is>
          <t>P7 / M6 · SFIA 6 Initiate, influence</t>
        </is>
      </c>
      <c r="AL12"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3" ht="120" customHeight="1">
      <c r="A13" s="88" t="inlineStr">
        <is>
          <t>C1</t>
        </is>
      </c>
      <c r="B13" s="29" t="inlineStr">
        <is>
          <t>Band C · Principal / Head</t>
        </is>
      </c>
      <c r="C13" s="29" t="inlineStr">
        <is>
          <t>Band C · Head / manager</t>
        </is>
      </c>
      <c r="D13" s="29" t="inlineStr">
        <is>
          <t>Associate Head</t>
        </is>
      </c>
      <c r="E13" s="29" t="inlineStr">
        <is>
          <t>Professional Services Leadership · Associate Head – XBRL Assisted Services · Associate Head – Assisted Services</t>
        </is>
      </c>
      <c r="F13" s="34" t="inlineStr">
        <is>
          <t>H</t>
        </is>
      </c>
      <c r="G13" s="84" t="inlineStr">
        <is>
          <t>Works at B3: Sets standards for a practice; cross-team problems</t>
        </is>
      </c>
      <c r="H13" s="84" t="inlineStr">
        <is>
          <t>Ambiguous, cross-product problems · in Consulting &amp; Professional Services: XBRL Domain</t>
        </is>
      </c>
      <c r="I13" s="84" t="inlineStr">
        <is>
          <t>Already works at C2: Function-wide or company-wide problems; creates methods and standards</t>
        </is>
      </c>
      <c r="J13" s="34" t="inlineStr">
        <is>
          <t>M</t>
        </is>
      </c>
      <c r="K13" s="84" t="inlineStr">
        <is>
          <t>Works at B3: Commercial / strategic calls for the unit</t>
        </is>
      </c>
      <c r="L13" s="84" t="inlineStr">
        <is>
          <t>Sets direction for a sub-function or domain</t>
        </is>
      </c>
      <c r="M13" s="84" t="inlineStr">
        <is>
          <t>Already works at C2: Sets direction for a function</t>
        </is>
      </c>
      <c r="N13" s="34" t="inlineStr">
        <is>
          <t>M</t>
        </is>
      </c>
      <c r="O13" s="84" t="inlineStr">
        <is>
          <t>Works at B3: Several teams or a practice</t>
        </is>
      </c>
      <c r="P13" s="84" t="inlineStr">
        <is>
          <t>Sub-function results or domain quality across products</t>
        </is>
      </c>
      <c r="Q13" s="84" t="inlineStr">
        <is>
          <t>Already works at C2: Function results, budget and risk</t>
        </is>
      </c>
      <c r="R13" s="34" t="inlineStr">
        <is>
          <t>M</t>
        </is>
      </c>
      <c r="S13" s="56" t="inlineStr">
        <is>
          <t>Works at B3: IC: leads a practice · People: team leads / managers report in</t>
        </is>
      </c>
      <c r="T13" s="56" t="inlineStr">
        <is>
          <t>Leads managers or a community of practice</t>
        </is>
      </c>
      <c r="U13" s="56" t="inlineStr">
        <is>
          <t>Already works at C2: Leads a function; shapes functional strategy</t>
        </is>
      </c>
      <c r="V13" s="34" t="inlineStr">
        <is>
          <t>L</t>
        </is>
      </c>
      <c r="W13" s="56" t="inlineStr">
        <is>
          <t>Works at B3: Shapes the results of a practice or several teams</t>
        </is>
      </c>
      <c r="X13" s="56" t="inlineStr">
        <is>
          <t>Changes results across a sub-function or across products · purpose: Leads an assisted-services / consulting practice. At C1: a sub-function, or principal authority across products.</t>
        </is>
      </c>
      <c r="Y13" s="56" t="inlineStr">
        <is>
          <t>Already works at C2: Drives a function's or department's results and costs</t>
        </is>
      </c>
      <c r="Z13" s="34" t="inlineStr">
        <is>
          <t>L</t>
        </is>
      </c>
      <c r="AA13" s="85" t="inlineStr">
        <is>
          <t>Less experience than the band's typical 10–14 yrs</t>
        </is>
      </c>
      <c r="AB13" s="85" t="inlineStr">
        <is>
          <t>Typical for the band: 10–14 yrs · market 12–17 yrs</t>
        </is>
      </c>
      <c r="AC13" s="85" t="inlineStr">
        <is>
          <t>More experience than the band's typical 10–14 yrs</t>
        </is>
      </c>
      <c r="AD13" s="34" t="inlineStr">
        <is>
          <t>L</t>
        </is>
      </c>
      <c r="AE13" s="85" t="inlineStr">
        <is>
          <t>Below: Postgraduate or professional qualification preferred</t>
        </is>
      </c>
      <c r="AF13" s="85" t="inlineStr">
        <is>
          <t>Postgraduate / professional qualification preferred</t>
        </is>
      </c>
      <c r="AG13" s="85" t="inlineStr">
        <is>
          <t>Above: Postgraduate / professional qualification preferred</t>
        </is>
      </c>
      <c r="AH13" s="44" t="inlineStr">
        <is>
          <t>43.3 · 18 · 10.7 · 15 · 8 · 4 · 1</t>
        </is>
      </c>
      <c r="AI13" s="38" t="inlineStr">
        <is>
          <t>12–17</t>
        </is>
      </c>
      <c r="AJ13" s="38" t="inlineStr">
        <is>
          <t>5–8, mostly managers</t>
        </is>
      </c>
      <c r="AK13" s="38" t="inlineStr">
        <is>
          <t>P6 / M5 · SFIA 5–6</t>
        </is>
      </c>
      <c r="AL13"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4" ht="120" customHeight="1">
      <c r="A14" s="88" t="inlineStr">
        <is>
          <t>C1</t>
        </is>
      </c>
      <c r="B14" s="29" t="inlineStr">
        <is>
          <t>Band C · Principal / Head</t>
        </is>
      </c>
      <c r="C14" s="29" t="inlineStr">
        <is>
          <t>Band C · Principal specialist</t>
        </is>
      </c>
      <c r="D14" s="29" t="inlineStr">
        <is>
          <t>Principal</t>
        </is>
      </c>
      <c r="E14" s="29" t="inlineStr">
        <is>
          <t>Professional Services Leadership · Associate Head – XBRL Assisted Services · Associate Head – Assisted Services</t>
        </is>
      </c>
      <c r="F14" s="34" t="inlineStr">
        <is>
          <t>H</t>
        </is>
      </c>
      <c r="G14" s="84" t="inlineStr">
        <is>
          <t>Works at B3: Sets standards for a practice; cross-team problems</t>
        </is>
      </c>
      <c r="H14" s="84" t="inlineStr">
        <is>
          <t>Ambiguous, cross-product problems · in Consulting &amp; Professional Services: XBRL Domain</t>
        </is>
      </c>
      <c r="I14" s="84" t="inlineStr">
        <is>
          <t>Already works at C2: Function-wide or company-wide problems; creates methods and standards</t>
        </is>
      </c>
      <c r="J14" s="34" t="inlineStr">
        <is>
          <t>M</t>
        </is>
      </c>
      <c r="K14" s="84" t="inlineStr">
        <is>
          <t>Works at B3: Commercial / strategic calls for the unit</t>
        </is>
      </c>
      <c r="L14" s="84" t="inlineStr">
        <is>
          <t>Sets direction for a sub-function or domain</t>
        </is>
      </c>
      <c r="M14" s="84" t="inlineStr">
        <is>
          <t>Already works at C2: Sets direction for a function</t>
        </is>
      </c>
      <c r="N14" s="34" t="inlineStr">
        <is>
          <t>M</t>
        </is>
      </c>
      <c r="O14" s="84" t="inlineStr">
        <is>
          <t>Works at B3: Several teams or a practice</t>
        </is>
      </c>
      <c r="P14" s="84" t="inlineStr">
        <is>
          <t>Sub-function results or domain quality across products</t>
        </is>
      </c>
      <c r="Q14" s="84" t="inlineStr">
        <is>
          <t>Already works at C2: Function results, budget and risk</t>
        </is>
      </c>
      <c r="R14" s="34" t="inlineStr">
        <is>
          <t>L</t>
        </is>
      </c>
      <c r="S14" s="56" t="inlineStr">
        <is>
          <t>Works at B3: IC: leads a practice · People: team leads / managers report in</t>
        </is>
      </c>
      <c r="T14" s="56" t="inlineStr">
        <is>
          <t>Leads managers or a community of practice</t>
        </is>
      </c>
      <c r="U14" s="56" t="inlineStr">
        <is>
          <t>Already works at C2: Leads a function; shapes functional strategy</t>
        </is>
      </c>
      <c r="V14" s="34" t="inlineStr">
        <is>
          <t>L</t>
        </is>
      </c>
      <c r="W14" s="56" t="inlineStr">
        <is>
          <t>Works at B3: Shapes the results of a practice or several teams</t>
        </is>
      </c>
      <c r="X14" s="56" t="inlineStr">
        <is>
          <t>Changes results across a sub-function or across products · purpose: Leads an assisted-services / consulting practice. At C1: a sub-function, or principal authority across products.</t>
        </is>
      </c>
      <c r="Y14" s="56" t="inlineStr">
        <is>
          <t>Already works at C2: Drives a function's or department's results and costs</t>
        </is>
      </c>
      <c r="Z14" s="34" t="inlineStr">
        <is>
          <t>L</t>
        </is>
      </c>
      <c r="AA14" s="85" t="inlineStr">
        <is>
          <t>Less experience than the band's typical 10–14 yrs</t>
        </is>
      </c>
      <c r="AB14" s="85" t="inlineStr">
        <is>
          <t>Typical for the band: 10–14 yrs · market 12–17 yrs</t>
        </is>
      </c>
      <c r="AC14" s="85" t="inlineStr">
        <is>
          <t>More experience than the band's typical 10–14 yrs</t>
        </is>
      </c>
      <c r="AD14" s="34" t="inlineStr">
        <is>
          <t>L</t>
        </is>
      </c>
      <c r="AE14" s="85" t="inlineStr">
        <is>
          <t>Below: Postgraduate or professional qualification preferred</t>
        </is>
      </c>
      <c r="AF14" s="85" t="inlineStr">
        <is>
          <t>Postgraduate / professional qualification preferred</t>
        </is>
      </c>
      <c r="AG14" s="85" t="inlineStr">
        <is>
          <t>Above: Postgraduate / professional qualification preferred</t>
        </is>
      </c>
      <c r="AH14" s="44" t="inlineStr">
        <is>
          <t>54.3 · 17.7 · 10.3 · 5 · 7.7 · 4 · 1</t>
        </is>
      </c>
      <c r="AI14" s="38" t="inlineStr">
        <is>
          <t>12–17</t>
        </is>
      </c>
      <c r="AJ14" s="38" t="inlineStr">
        <is>
          <t>5–8, mostly managers</t>
        </is>
      </c>
      <c r="AK14" s="38" t="inlineStr">
        <is>
          <t>P6 / M5 · SFIA 5–6</t>
        </is>
      </c>
      <c r="AL14"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5" ht="120" customHeight="1">
      <c r="A15" s="89" t="inlineStr">
        <is>
          <t>B+</t>
        </is>
      </c>
      <c r="B15" s="29" t="inlineStr">
        <is>
          <t>B+ · Player-Coach</t>
        </is>
      </c>
      <c r="C15" s="29" t="inlineStr">
        <is>
          <t>B+ · Player-Coach</t>
        </is>
      </c>
      <c r="D15" s="29" t="inlineStr">
        <is>
          <t>Practice Lead · Player-Coach</t>
        </is>
      </c>
      <c r="E15" s="29" t="inlineStr">
        <is>
          <t>— no role at this level today</t>
        </is>
      </c>
      <c r="F15" s="34" t="inlineStr">
        <is>
          <t>H</t>
        </is>
      </c>
      <c r="G15" s="84" t="inlineStr">
        <is>
          <t>Works at B3: Sets standards for a practice; cross-team problems</t>
        </is>
      </c>
      <c r="H15" s="84" t="inlineStr">
        <is>
          <t>Principal-level problems in own domain; sets technical or quality standards and still builds</t>
        </is>
      </c>
      <c r="I15" s="84" t="inlineStr">
        <is>
          <t>Already works at C1: Ambiguous, cross-product problems</t>
        </is>
      </c>
      <c r="J15" s="34" t="inlineStr">
        <is>
          <t>M</t>
        </is>
      </c>
      <c r="K15" s="84" t="inlineStr">
        <is>
          <t>Works at B3: Commercial / strategic calls for the unit</t>
        </is>
      </c>
      <c r="L15" s="84" t="inlineStr">
        <is>
          <t>Decides approach and priorities for the practice; escalates only cross-function trade-offs</t>
        </is>
      </c>
      <c r="M15" s="84" t="inlineStr">
        <is>
          <t>Already works at C1: Sets direction for a sub-function or domain</t>
        </is>
      </c>
      <c r="N15" s="34" t="inlineStr">
        <is>
          <t>M</t>
        </is>
      </c>
      <c r="O15" s="84" t="inlineStr">
        <is>
          <t>Works at B3: Several teams or a practice</t>
        </is>
      </c>
      <c r="P15" s="84" t="inlineStr">
        <is>
          <t>Practice outcomes plus own deliverables; quality and delivery of the team</t>
        </is>
      </c>
      <c r="Q15" s="84" t="inlineStr">
        <is>
          <t>Already works at C1: Sub-function results or domain quality across products</t>
        </is>
      </c>
      <c r="R15" s="34" t="inlineStr">
        <is>
          <t>M</t>
        </is>
      </c>
      <c r="S15" s="56" t="inlineStr">
        <is>
          <t>Works at B3: IC: leads a practice · People: team leads / managers report in</t>
        </is>
      </c>
      <c r="T15" s="56" t="inlineStr">
        <is>
          <t>Leads 3–6 people · or a pod while remaining a hands-on expert; coaches, allocates, reviews</t>
        </is>
      </c>
      <c r="U15" s="56" t="inlineStr">
        <is>
          <t>Already works at C1: Leads managers or a community of practice</t>
        </is>
      </c>
      <c r="V15" s="34" t="inlineStr">
        <is>
          <t>L</t>
        </is>
      </c>
      <c r="W15" s="56" t="inlineStr">
        <is>
          <t>Works at B3: Shapes the results of a practice or several teams</t>
        </is>
      </c>
      <c r="X15" s="56" t="inlineStr">
        <is>
          <t>Drives a practice's results while delivering the hardest work</t>
        </is>
      </c>
      <c r="Y15" s="56" t="inlineStr">
        <is>
          <t>Already works at C1: Changes results across a sub-function or across products</t>
        </is>
      </c>
      <c r="Z15" s="34" t="inlineStr">
        <is>
          <t>L</t>
        </is>
      </c>
      <c r="AA15" s="85" t="inlineStr">
        <is>
          <t>Less experience than the band's typical 9–14 yrs</t>
        </is>
      </c>
      <c r="AB15" s="85" t="inlineStr">
        <is>
          <t>Typical for the band: 9–14 yrs · market 9–14 yrs</t>
        </is>
      </c>
      <c r="AC15" s="85" t="inlineStr">
        <is>
          <t>More experience than the band's typical 9–14 yrs</t>
        </is>
      </c>
      <c r="AD15" s="34" t="inlineStr">
        <is>
          <t>L</t>
        </is>
      </c>
      <c r="AE15" s="85" t="inlineStr">
        <is>
          <t>Below: Postgraduate or professional qualification preferred</t>
        </is>
      </c>
      <c r="AF15" s="85" t="inlineStr">
        <is>
          <t>Postgraduate or professional qualification preferred</t>
        </is>
      </c>
      <c r="AG15" s="85" t="inlineStr">
        <is>
          <t>Above: Postgraduate / professional qualification preferred</t>
        </is>
      </c>
      <c r="AH15" s="44" t="inlineStr">
        <is>
          <t>44 · 17.7 · 10.3 · 10 · 7.7 · 6 · 4</t>
        </is>
      </c>
      <c r="AI15" s="38" t="inlineStr">
        <is>
          <t>9–14</t>
        </is>
      </c>
      <c r="AJ15" s="38" t="inlineStr">
        <is>
          <t>3–6 direct reports with ≥ 40% of time on own delivery · McKinsey player/coach 3–5; Google Tech Lead Manager</t>
        </is>
      </c>
      <c r="AK15" s="38" t="inlineStr">
        <is>
          <t>P5–P6 / M4–M5 · SFIA 5 Ensure, advise</t>
        </is>
      </c>
      <c r="AL15"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6" ht="120" customHeight="1">
      <c r="A16" s="90" t="inlineStr">
        <is>
          <t>B3</t>
        </is>
      </c>
      <c r="B16" s="29" t="inlineStr">
        <is>
          <t>Band B · Specialist / Manager</t>
        </is>
      </c>
      <c r="C16" s="29" t="inlineStr">
        <is>
          <t>Band B · People Manager</t>
        </is>
      </c>
      <c r="D16" s="29" t="inlineStr">
        <is>
          <t>Senior Manager</t>
        </is>
      </c>
      <c r="E16" s="29" t="inlineStr">
        <is>
          <t>— no role at this level today</t>
        </is>
      </c>
      <c r="F16" s="34" t="inlineStr">
        <is>
          <t>H</t>
        </is>
      </c>
      <c r="G16" s="84" t="inlineStr">
        <is>
          <t>Works at B2: Hardest problems in the domain</t>
        </is>
      </c>
      <c r="H16" s="84" t="inlineStr">
        <is>
          <t>Sets standards for a practice; cross-team problems</t>
        </is>
      </c>
      <c r="I16" s="84" t="inlineStr">
        <is>
          <t>Already works at C1: Ambiguous, cross-product problems</t>
        </is>
      </c>
      <c r="J16" s="34" t="inlineStr">
        <is>
          <t>M</t>
        </is>
      </c>
      <c r="K16" s="84" t="inlineStr">
        <is>
          <t>Works at B2: Allocates people and sets team priorities</t>
        </is>
      </c>
      <c r="L16" s="84" t="inlineStr">
        <is>
          <t>Commercial / strategic calls for the unit</t>
        </is>
      </c>
      <c r="M16" s="84" t="inlineStr">
        <is>
          <t>Already works at C1: Sets direction for a sub-function or domain</t>
        </is>
      </c>
      <c r="N16" s="34" t="inlineStr">
        <is>
          <t>M</t>
        </is>
      </c>
      <c r="O16" s="84" t="inlineStr">
        <is>
          <t>Works at B2: One team or a client portfolio</t>
        </is>
      </c>
      <c r="P16" s="84" t="inlineStr">
        <is>
          <t>Several teams or a practice</t>
        </is>
      </c>
      <c r="Q16" s="84" t="inlineStr">
        <is>
          <t>Already works at C1: Sub-function results or domain quality across products</t>
        </is>
      </c>
      <c r="R16" s="34" t="inlineStr">
        <is>
          <t>M</t>
        </is>
      </c>
      <c r="S16" s="56" t="inlineStr">
        <is>
          <t>Works at B2: IC: guides others in the domain · People: manages a team of 6+</t>
        </is>
      </c>
      <c r="T16" s="56" t="inlineStr">
        <is>
          <t>IC: leads a practice · People: team leads / managers report in</t>
        </is>
      </c>
      <c r="U16" s="56" t="inlineStr">
        <is>
          <t>Already works at C1: Leads managers or a community of practice</t>
        </is>
      </c>
      <c r="V16" s="34" t="inlineStr">
        <is>
          <t>L</t>
        </is>
      </c>
      <c r="W16" s="56" t="inlineStr">
        <is>
          <t>Works at B2: Visible effect on a team's or client portfolio's revenue, quality or compliance</t>
        </is>
      </c>
      <c r="X16" s="56" t="inlineStr">
        <is>
          <t>Shapes the results of a practice or several teams</t>
        </is>
      </c>
      <c r="Y16" s="56" t="inlineStr">
        <is>
          <t>Already works at C1: Changes results across a sub-function or across products</t>
        </is>
      </c>
      <c r="Z16" s="34" t="inlineStr">
        <is>
          <t>L</t>
        </is>
      </c>
      <c r="AA16" s="85" t="inlineStr">
        <is>
          <t>Less experience than the band's typical 8–12 yrs</t>
        </is>
      </c>
      <c r="AB16" s="85" t="inlineStr">
        <is>
          <t>Typical for the band: 8–12 yrs · market 8–13 yrs</t>
        </is>
      </c>
      <c r="AC16" s="85" t="inlineStr">
        <is>
          <t>More experience than the band's typical 8–12 yrs</t>
        </is>
      </c>
      <c r="AD16" s="34" t="inlineStr">
        <is>
          <t>L</t>
        </is>
      </c>
      <c r="AE16" s="85" t="inlineStr">
        <is>
          <t>Below: Graduate or postgraduate; professional qualification preferred</t>
        </is>
      </c>
      <c r="AF16" s="85" t="inlineStr">
        <is>
          <t>Postgraduate or professional qualification preferred</t>
        </is>
      </c>
      <c r="AG16" s="85" t="inlineStr">
        <is>
          <t>Above: Postgraduate / professional qualification preferred</t>
        </is>
      </c>
      <c r="AH16" s="44" t="inlineStr">
        <is>
          <t>37 · 18.3 · 11.3 · 15 · 8.7 · 6 · 4</t>
        </is>
      </c>
      <c r="AI16" s="38" t="inlineStr">
        <is>
          <t>8–13</t>
        </is>
      </c>
      <c r="AJ16" s="38" t="inlineStr">
        <is>
          <t>IC: none · People: 5–8 incl. team leads</t>
        </is>
      </c>
      <c r="AK16" s="38" t="inlineStr">
        <is>
          <t>P5 / M4 · SFIA 5 Ensure, advise</t>
        </is>
      </c>
      <c r="AL16"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7" ht="120" customHeight="1">
      <c r="A17" s="90" t="inlineStr">
        <is>
          <t>B3</t>
        </is>
      </c>
      <c r="B17" s="29" t="inlineStr">
        <is>
          <t>Band B · Specialist / Manager</t>
        </is>
      </c>
      <c r="C17" s="29" t="inlineStr">
        <is>
          <t>Band B · Specialist / POD Lead</t>
        </is>
      </c>
      <c r="D17" s="29" t="inlineStr">
        <is>
          <t>Lead Specialist</t>
        </is>
      </c>
      <c r="E17" s="29" t="inlineStr">
        <is>
          <t>— no role at this level today</t>
        </is>
      </c>
      <c r="F17" s="34" t="inlineStr">
        <is>
          <t>H</t>
        </is>
      </c>
      <c r="G17" s="84" t="inlineStr">
        <is>
          <t>Works at B2: Hardest problems in the domain</t>
        </is>
      </c>
      <c r="H17" s="84" t="inlineStr">
        <is>
          <t>Sets standards for a practice; cross-team problems</t>
        </is>
      </c>
      <c r="I17" s="84" t="inlineStr">
        <is>
          <t>Already works at C1: Ambiguous, cross-product problems</t>
        </is>
      </c>
      <c r="J17" s="34" t="inlineStr">
        <is>
          <t>M</t>
        </is>
      </c>
      <c r="K17" s="84" t="inlineStr">
        <is>
          <t>Works at B2: Allocates people and sets team priorities</t>
        </is>
      </c>
      <c r="L17" s="84" t="inlineStr">
        <is>
          <t>Commercial / strategic calls for the unit</t>
        </is>
      </c>
      <c r="M17" s="84" t="inlineStr">
        <is>
          <t>Already works at C1: Sets direction for a sub-function or domain</t>
        </is>
      </c>
      <c r="N17" s="34" t="inlineStr">
        <is>
          <t>M</t>
        </is>
      </c>
      <c r="O17" s="84" t="inlineStr">
        <is>
          <t>Works at B2: One team or a client portfolio</t>
        </is>
      </c>
      <c r="P17" s="84" t="inlineStr">
        <is>
          <t>Several teams or a practice</t>
        </is>
      </c>
      <c r="Q17" s="84" t="inlineStr">
        <is>
          <t>Already works at C1: Sub-function results or domain quality across products</t>
        </is>
      </c>
      <c r="R17" s="34" t="inlineStr">
        <is>
          <t>L</t>
        </is>
      </c>
      <c r="S17" s="56" t="inlineStr">
        <is>
          <t>Works at B2: IC: guides others in the domain · People: manages a team of 6+</t>
        </is>
      </c>
      <c r="T17" s="56" t="inlineStr">
        <is>
          <t>IC: leads a practice · People: team leads / managers report in</t>
        </is>
      </c>
      <c r="U17" s="56" t="inlineStr">
        <is>
          <t>Already works at C1: Leads managers or a community of practice</t>
        </is>
      </c>
      <c r="V17" s="34" t="inlineStr">
        <is>
          <t>L</t>
        </is>
      </c>
      <c r="W17" s="56" t="inlineStr">
        <is>
          <t>Works at B2: Visible effect on a team's or client portfolio's revenue, quality or compliance</t>
        </is>
      </c>
      <c r="X17" s="56" t="inlineStr">
        <is>
          <t>Shapes the results of a practice or several teams</t>
        </is>
      </c>
      <c r="Y17" s="56" t="inlineStr">
        <is>
          <t>Already works at C1: Changes results across a sub-function or across products</t>
        </is>
      </c>
      <c r="Z17" s="34" t="inlineStr">
        <is>
          <t>L</t>
        </is>
      </c>
      <c r="AA17" s="85" t="inlineStr">
        <is>
          <t>Less experience than the band's typical 8–12 yrs</t>
        </is>
      </c>
      <c r="AB17" s="85" t="inlineStr">
        <is>
          <t>Typical for the band: 8–12 yrs · market 8–13 yrs</t>
        </is>
      </c>
      <c r="AC17" s="85" t="inlineStr">
        <is>
          <t>More experience than the band's typical 8–12 yrs</t>
        </is>
      </c>
      <c r="AD17" s="34" t="inlineStr">
        <is>
          <t>L</t>
        </is>
      </c>
      <c r="AE17" s="85" t="inlineStr">
        <is>
          <t>Below: Graduate or postgraduate; professional qualification preferred</t>
        </is>
      </c>
      <c r="AF17" s="85" t="inlineStr">
        <is>
          <t>Postgraduate or professional qualification preferred</t>
        </is>
      </c>
      <c r="AG17" s="85" t="inlineStr">
        <is>
          <t>Above: Postgraduate / professional qualification preferred</t>
        </is>
      </c>
      <c r="AH17" s="44" t="inlineStr">
        <is>
          <t>51.3 · 17.3 · 9.7 · 5 · 7 · 6 · 4</t>
        </is>
      </c>
      <c r="AI17" s="38" t="inlineStr">
        <is>
          <t>8–13</t>
        </is>
      </c>
      <c r="AJ17" s="38" t="inlineStr">
        <is>
          <t>IC: none · People: 5–8 incl. team leads</t>
        </is>
      </c>
      <c r="AK17" s="38" t="inlineStr">
        <is>
          <t>P5 / M4 · SFIA 5 Ensure, advise</t>
        </is>
      </c>
      <c r="AL17"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8" ht="120" customHeight="1">
      <c r="A18" s="90" t="inlineStr">
        <is>
          <t>B2</t>
        </is>
      </c>
      <c r="B18" s="29" t="inlineStr">
        <is>
          <t>Band B · Specialist / Manager</t>
        </is>
      </c>
      <c r="C18" s="29" t="inlineStr">
        <is>
          <t>Band B · People Manager</t>
        </is>
      </c>
      <c r="D18" s="29" t="inlineStr">
        <is>
          <t>Manager</t>
        </is>
      </c>
      <c r="E18" s="29" t="inlineStr">
        <is>
          <t>Service Delivery Operations · Senior Manager – Service Delivery
Taxonomy Design &amp; Regulatory Consulting · Senior Manager – Taxonomy Consulting · Manager – Taxonomy Consulting
Taxonomy Design &amp; Regulatory Consulting · Senior Taxonomy Specialist
XBRL Tagging, Conversion &amp; Filing · Manager – Assisted Services · Senior Manager – Assisted Services</t>
        </is>
      </c>
      <c r="F18" s="34" t="inlineStr">
        <is>
          <t>H</t>
        </is>
      </c>
      <c r="G18" s="84" t="inlineStr">
        <is>
          <t>Works at B1: Domain specialist work</t>
        </is>
      </c>
      <c r="H18" s="84" t="inlineStr">
        <is>
          <t>Hardest problems in the domain · in Consulting &amp; Professional Services: XBRL Domain</t>
        </is>
      </c>
      <c r="I18" s="84" t="inlineStr">
        <is>
          <t>Already works at B3: Sets standards for a practice; cross-team problems</t>
        </is>
      </c>
      <c r="J18" s="34" t="inlineStr">
        <is>
          <t>M</t>
        </is>
      </c>
      <c r="K18" s="84" t="inlineStr">
        <is>
          <t>Works at B1: Technical / QC / client calls for the domain</t>
        </is>
      </c>
      <c r="L18" s="84" t="inlineStr">
        <is>
          <t>Allocates people and sets team priorities</t>
        </is>
      </c>
      <c r="M18" s="84" t="inlineStr">
        <is>
          <t>Already works at B3: Commercial / strategic calls for the unit</t>
        </is>
      </c>
      <c r="N18" s="34" t="inlineStr">
        <is>
          <t>M</t>
        </is>
      </c>
      <c r="O18" s="84" t="inlineStr">
        <is>
          <t>Works at B1: A domain or a small team</t>
        </is>
      </c>
      <c r="P18" s="84" t="inlineStr">
        <is>
          <t>One team or a client portfolio · KRA themes: Common themes in manager-set KRAs: ifile business · analyst contribute · resolve · domain delivery · serve analyst · milestones on-time</t>
        </is>
      </c>
      <c r="Q18" s="84" t="inlineStr">
        <is>
          <t>Already works at B3: Several teams or a practice</t>
        </is>
      </c>
      <c r="R18" s="34" t="inlineStr">
        <is>
          <t>M</t>
        </is>
      </c>
      <c r="S18" s="56" t="inlineStr">
        <is>
          <t>Works at B1: IC: mentors and reviews · People: hands-on team lead of 3–5</t>
        </is>
      </c>
      <c r="T18" s="56" t="inlineStr">
        <is>
          <t>IC: guides others in the domain · People: manages a team of 6+</t>
        </is>
      </c>
      <c r="U18" s="56" t="inlineStr">
        <is>
          <t>Already works at B3: IC: leads a practice · People: team leads / managers report in</t>
        </is>
      </c>
      <c r="V18" s="34" t="inlineStr">
        <is>
          <t>L</t>
        </is>
      </c>
      <c r="W18" s="56" t="inlineStr">
        <is>
          <t>Works at B1: Moves a module's, product area's or client account's results</t>
        </is>
      </c>
      <c r="X18" s="56" t="inlineStr">
        <is>
          <t>Visible effect on a team's or client portfolio's revenue, quality or compliance · purpose: Allocates work and shifts, tracks deliveries, prepares billing inputs and services MIS. At B2: deep domain expertise, or one team.
Common themes in sub-family …</t>
        </is>
      </c>
      <c r="Y18" s="56" t="inlineStr">
        <is>
          <t>Already works at B3: Shapes the results of a practice or several teams</t>
        </is>
      </c>
      <c r="Z18" s="34" t="inlineStr">
        <is>
          <t>L</t>
        </is>
      </c>
      <c r="AA18" s="85" t="inlineStr">
        <is>
          <t>Less experience than the band's typical 6–9 yrs</t>
        </is>
      </c>
      <c r="AB18" s="85" t="inlineStr">
        <is>
          <t>Typical for the band: 6–9 yrs · market 6–10 yrs</t>
        </is>
      </c>
      <c r="AC18" s="85" t="inlineStr">
        <is>
          <t>More experience than the band's typical 6–9 yrs</t>
        </is>
      </c>
      <c r="AD18" s="34" t="inlineStr">
        <is>
          <t>L</t>
        </is>
      </c>
      <c r="AE18" s="85" t="inlineStr">
        <is>
          <t>Below: Graduate + relevant qualification or certification preferred</t>
        </is>
      </c>
      <c r="AF18" s="85" t="inlineStr">
        <is>
          <t>Graduate or postgraduate; professional qualification preferred</t>
        </is>
      </c>
      <c r="AG18" s="85" t="inlineStr">
        <is>
          <t>Above: Postgraduate or professional qualification preferred</t>
        </is>
      </c>
      <c r="AH18" s="44" t="inlineStr">
        <is>
          <t>37 · 18.3 · 11.3 · 15 · 8.7 · 6 · 4</t>
        </is>
      </c>
      <c r="AI18" s="38" t="inlineStr">
        <is>
          <t>6–10</t>
        </is>
      </c>
      <c r="AJ18" s="38" t="inlineStr">
        <is>
          <t>IC: none · People: 6–8 knowledge work, 8–12 standardised delivery</t>
        </is>
      </c>
      <c r="AK18" s="38" t="inlineStr">
        <is>
          <t>P4 / M3 · SFIA 4–5</t>
        </is>
      </c>
      <c r="AL18"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9" ht="120" customHeight="1">
      <c r="A19" s="90" t="inlineStr">
        <is>
          <t>B2</t>
        </is>
      </c>
      <c r="B19" s="29" t="inlineStr">
        <is>
          <t>Band B · Specialist / Manager</t>
        </is>
      </c>
      <c r="C19" s="29" t="inlineStr">
        <is>
          <t>Band B · Specialist / POD Lead</t>
        </is>
      </c>
      <c r="D19" s="29" t="inlineStr">
        <is>
          <t>Senior Specialist</t>
        </is>
      </c>
      <c r="E19" s="29" t="inlineStr">
        <is>
          <t>Service Delivery Operations · Senior Manager – Service Delivery
Taxonomy Design &amp; Regulatory Consulting · Senior Manager – Taxonomy Consulting · Manager – Taxonomy Consulting
Taxonomy Design &amp; Regulatory Consulting · Senior Taxonomy Specialist
XBRL Tagging, Conversion &amp; Filing · Manager – Assisted Services · Senior Manager – Assisted Services</t>
        </is>
      </c>
      <c r="F19" s="34" t="inlineStr">
        <is>
          <t>H</t>
        </is>
      </c>
      <c r="G19" s="84" t="inlineStr">
        <is>
          <t>Works at B1: Domain specialist work</t>
        </is>
      </c>
      <c r="H19" s="84" t="inlineStr">
        <is>
          <t>Hardest problems in the domain · in Consulting &amp; Professional Services: XBRL Domain</t>
        </is>
      </c>
      <c r="I19" s="84" t="inlineStr">
        <is>
          <t>Already works at B3: Sets standards for a practice; cross-team problems</t>
        </is>
      </c>
      <c r="J19" s="34" t="inlineStr">
        <is>
          <t>M</t>
        </is>
      </c>
      <c r="K19" s="84" t="inlineStr">
        <is>
          <t>Works at B1: Technical / QC / client calls for the domain</t>
        </is>
      </c>
      <c r="L19" s="84" t="inlineStr">
        <is>
          <t>Allocates people and sets team priorities</t>
        </is>
      </c>
      <c r="M19" s="84" t="inlineStr">
        <is>
          <t>Already works at B3: Commercial / strategic calls for the unit</t>
        </is>
      </c>
      <c r="N19" s="34" t="inlineStr">
        <is>
          <t>M</t>
        </is>
      </c>
      <c r="O19" s="84" t="inlineStr">
        <is>
          <t>Works at B1: A domain or a small team</t>
        </is>
      </c>
      <c r="P19" s="84" t="inlineStr">
        <is>
          <t>One team or a client portfolio · KRA themes: Common themes in manager-set KRAs: ifile business · analyst contribute · resolve · domain delivery · serve analyst · milestones on-time</t>
        </is>
      </c>
      <c r="Q19" s="84" t="inlineStr">
        <is>
          <t>Already works at B3: Several teams or a practice</t>
        </is>
      </c>
      <c r="R19" s="34" t="inlineStr">
        <is>
          <t>L</t>
        </is>
      </c>
      <c r="S19" s="56" t="inlineStr">
        <is>
          <t>Works at B1: IC: mentors and reviews · People: hands-on team lead of 3–5</t>
        </is>
      </c>
      <c r="T19" s="56" t="inlineStr">
        <is>
          <t>IC: guides others in the domain · People: manages a team of 6+</t>
        </is>
      </c>
      <c r="U19" s="56" t="inlineStr">
        <is>
          <t>Already works at B3: IC: leads a practice · People: team leads / managers report in</t>
        </is>
      </c>
      <c r="V19" s="34" t="inlineStr">
        <is>
          <t>L</t>
        </is>
      </c>
      <c r="W19" s="56" t="inlineStr">
        <is>
          <t>Works at B1: Moves a module's, product area's or client account's results</t>
        </is>
      </c>
      <c r="X19" s="56" t="inlineStr">
        <is>
          <t>Visible effect on a team's or client portfolio's revenue, quality or compliance · purpose: Allocates work and shifts, tracks deliveries, prepares billing inputs and services MIS. At B2: deep domain expertise, or one team.
Common themes in sub-family …</t>
        </is>
      </c>
      <c r="Y19" s="56" t="inlineStr">
        <is>
          <t>Already works at B3: Shapes the results of a practice or several teams</t>
        </is>
      </c>
      <c r="Z19" s="34" t="inlineStr">
        <is>
          <t>L</t>
        </is>
      </c>
      <c r="AA19" s="85" t="inlineStr">
        <is>
          <t>Less experience than the band's typical 6–9 yrs</t>
        </is>
      </c>
      <c r="AB19" s="85" t="inlineStr">
        <is>
          <t>Typical for the band: 6–9 yrs · market 6–10 yrs</t>
        </is>
      </c>
      <c r="AC19" s="85" t="inlineStr">
        <is>
          <t>More experience than the band's typical 6–9 yrs</t>
        </is>
      </c>
      <c r="AD19" s="34" t="inlineStr">
        <is>
          <t>L</t>
        </is>
      </c>
      <c r="AE19" s="85" t="inlineStr">
        <is>
          <t>Below: Graduate + relevant qualification or certification preferred</t>
        </is>
      </c>
      <c r="AF19" s="85" t="inlineStr">
        <is>
          <t>Graduate or postgraduate; professional qualification preferred</t>
        </is>
      </c>
      <c r="AG19" s="85" t="inlineStr">
        <is>
          <t>Above: Postgraduate or professional qualification preferred</t>
        </is>
      </c>
      <c r="AH19" s="44" t="inlineStr">
        <is>
          <t>51.3 · 17.3 · 9.7 · 5 · 7 · 6 · 4</t>
        </is>
      </c>
      <c r="AI19" s="38" t="inlineStr">
        <is>
          <t>6–10</t>
        </is>
      </c>
      <c r="AJ19" s="38" t="inlineStr">
        <is>
          <t>IC: none · People: 6–8 knowledge work, 8–12 standardised delivery</t>
        </is>
      </c>
      <c r="AK19" s="38" t="inlineStr">
        <is>
          <t>P4 / M3 · SFIA 4–5</t>
        </is>
      </c>
      <c r="AL19"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0" ht="120" customHeight="1">
      <c r="A20" s="90" t="inlineStr">
        <is>
          <t>B1</t>
        </is>
      </c>
      <c r="B20" s="29" t="inlineStr">
        <is>
          <t>Band B · Specialist / Manager</t>
        </is>
      </c>
      <c r="C20" s="29" t="inlineStr">
        <is>
          <t>Band B · People Manager</t>
        </is>
      </c>
      <c r="D20" s="29" t="inlineStr">
        <is>
          <t>Team Lead / Asst Manager</t>
        </is>
      </c>
      <c r="E20" s="29" t="inlineStr">
        <is>
          <t>Service Delivery Operations · Service Delivery Specialist
Taxonomy Design &amp; Regulatory Consulting · Taxonomy Specialist · Senior Taxonomy Specialist
XBRL Tagging, Conversion &amp; Filing · Team Lead – Assisted Services
XBRL Tagging, Conversion &amp; Filing · XBRL Specialist · XBRL Specialist – POD Lead</t>
        </is>
      </c>
      <c r="F20" s="34" t="inlineStr">
        <is>
          <t>H</t>
        </is>
      </c>
      <c r="G20" s="84" t="inlineStr">
        <is>
          <t>Works at A3: Varied and non-standard work; handles exceptions</t>
        </is>
      </c>
      <c r="H20" s="84" t="inlineStr">
        <is>
          <t>Domain specialist work · in Consulting &amp; Professional Services: XBRL Domain</t>
        </is>
      </c>
      <c r="I20" s="84" t="inlineStr">
        <is>
          <t>Already works at B2: Hardest problems in the domain</t>
        </is>
      </c>
      <c r="J20" s="34" t="inlineStr">
        <is>
          <t>M</t>
        </is>
      </c>
      <c r="K20" s="84" t="inlineStr">
        <is>
          <t>Works at A3: Technical / QC / client calls on own work</t>
        </is>
      </c>
      <c r="L20" s="84" t="inlineStr">
        <is>
          <t>Technical / QC / client calls for the domain</t>
        </is>
      </c>
      <c r="M20" s="84" t="inlineStr">
        <is>
          <t>Already works at B2: Allocates people and sets team priorities</t>
        </is>
      </c>
      <c r="N20" s="34" t="inlineStr">
        <is>
          <t>M</t>
        </is>
      </c>
      <c r="O20" s="84" t="inlineStr">
        <is>
          <t>Works at A3: A module / process, or work with client or regulatory consequences</t>
        </is>
      </c>
      <c r="P20" s="84" t="inlineStr">
        <is>
          <t>A domain or a small team · KRA themes: Common themes in manager-set KRAs: resolve · business · excel webform · deliver assigned · defect · critical</t>
        </is>
      </c>
      <c r="Q20" s="84" t="inlineStr">
        <is>
          <t>Already works at B2: One team or a client portfolio</t>
        </is>
      </c>
      <c r="R20" s="34" t="inlineStr">
        <is>
          <t>M</t>
        </is>
      </c>
      <c r="S20" s="56" t="inlineStr">
        <is>
          <t>Works at A3: contributes alone; guides others only informally</t>
        </is>
      </c>
      <c r="T20" s="56" t="inlineStr">
        <is>
          <t>IC: mentors and reviews · People: hands-on team lead of 3–5</t>
        </is>
      </c>
      <c r="U20" s="56" t="inlineStr">
        <is>
          <t>Already works at B2: IC: guides others in the domain · People: manages a team of 6+</t>
        </is>
      </c>
      <c r="V20" s="34" t="inlineStr">
        <is>
          <t>L</t>
        </is>
      </c>
      <c r="W20" s="56" t="inlineStr">
        <is>
          <t>Works at A3: A process or client deliverable depends on this work</t>
        </is>
      </c>
      <c r="X20" s="56" t="inlineStr">
        <is>
          <t>Moves a module's, product area's or client account's results · purpose: Allocates work and shifts, tracks deliveries, prepares billing inputs and services MIS. At B1: a domain / module, or a small team.
Common themes in sub-family …</t>
        </is>
      </c>
      <c r="Y20" s="56" t="inlineStr">
        <is>
          <t>Already works at B2: Visible effect on a team's or client portfolio's revenue, quality or compliance</t>
        </is>
      </c>
      <c r="Z20" s="34" t="inlineStr">
        <is>
          <t>L</t>
        </is>
      </c>
      <c r="AA20" s="85" t="inlineStr">
        <is>
          <t>Less experience than the band's typical 4–7 yrs</t>
        </is>
      </c>
      <c r="AB20" s="85" t="inlineStr">
        <is>
          <t>Typical for the band: 4–7 yrs · market 4–8 yrs</t>
        </is>
      </c>
      <c r="AC20" s="85" t="inlineStr">
        <is>
          <t>More experience than the band's typical 4–7 yrs</t>
        </is>
      </c>
      <c r="AD20" s="34" t="inlineStr">
        <is>
          <t>L</t>
        </is>
      </c>
      <c r="AE20" s="85" t="inlineStr">
        <is>
          <t>Below: Graduate; relevant certification preferred</t>
        </is>
      </c>
      <c r="AF20" s="85" t="inlineStr">
        <is>
          <t>Graduate + relevant qualification or certification preferred</t>
        </is>
      </c>
      <c r="AG20" s="85" t="inlineStr">
        <is>
          <t>Above: Graduate or postgraduate; professional qualification preferred</t>
        </is>
      </c>
      <c r="AH20" s="44" t="inlineStr">
        <is>
          <t>37 · 18.3 · 11.3 · 15 · 8.7 · 6 · 4</t>
        </is>
      </c>
      <c r="AI20" s="38" t="inlineStr">
        <is>
          <t>4–8</t>
        </is>
      </c>
      <c r="AJ20" s="38" t="inlineStr">
        <is>
          <t>IC: none · Team Lead: 3–5</t>
        </is>
      </c>
      <c r="AK20" s="38" t="inlineStr">
        <is>
          <t>P3 / M2 · SFIA 4 Enable</t>
        </is>
      </c>
      <c r="AL20"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1" ht="120" customHeight="1">
      <c r="A21" s="90" t="inlineStr">
        <is>
          <t>B1</t>
        </is>
      </c>
      <c r="B21" s="29" t="inlineStr">
        <is>
          <t>Band B · Specialist / Manager</t>
        </is>
      </c>
      <c r="C21" s="29" t="inlineStr">
        <is>
          <t>Band B · Specialist / POD Lead</t>
        </is>
      </c>
      <c r="D21" s="29" t="inlineStr">
        <is>
          <t>Specialist</t>
        </is>
      </c>
      <c r="E21" s="29" t="inlineStr">
        <is>
          <t>Service Delivery Operations · Service Delivery Specialist
Taxonomy Design &amp; Regulatory Consulting · Taxonomy Specialist · Senior Taxonomy Specialist
XBRL Tagging, Conversion &amp; Filing · Team Lead – Assisted Services
XBRL Tagging, Conversion &amp; Filing · XBRL Specialist · XBRL Specialist – POD Lead</t>
        </is>
      </c>
      <c r="F21" s="34" t="inlineStr">
        <is>
          <t>H</t>
        </is>
      </c>
      <c r="G21" s="84" t="inlineStr">
        <is>
          <t>Works at A3: Varied and non-standard work; handles exceptions</t>
        </is>
      </c>
      <c r="H21" s="84" t="inlineStr">
        <is>
          <t>Domain specialist work · in Consulting &amp; Professional Services: XBRL Domain</t>
        </is>
      </c>
      <c r="I21" s="84" t="inlineStr">
        <is>
          <t>Already works at B2: Hardest problems in the domain</t>
        </is>
      </c>
      <c r="J21" s="34" t="inlineStr">
        <is>
          <t>M</t>
        </is>
      </c>
      <c r="K21" s="84" t="inlineStr">
        <is>
          <t>Works at A3: Technical / QC / client calls on own work</t>
        </is>
      </c>
      <c r="L21" s="84" t="inlineStr">
        <is>
          <t>Technical / QC / client calls for the domain</t>
        </is>
      </c>
      <c r="M21" s="84" t="inlineStr">
        <is>
          <t>Already works at B2: Allocates people and sets team priorities</t>
        </is>
      </c>
      <c r="N21" s="34" t="inlineStr">
        <is>
          <t>M</t>
        </is>
      </c>
      <c r="O21" s="84" t="inlineStr">
        <is>
          <t>Works at A3: A module / process, or work with client or regulatory consequences</t>
        </is>
      </c>
      <c r="P21" s="84" t="inlineStr">
        <is>
          <t>A domain or a small team · KRA themes: Common themes in manager-set KRAs: resolve · business · excel webform · deliver assigned · defect · critical</t>
        </is>
      </c>
      <c r="Q21" s="84" t="inlineStr">
        <is>
          <t>Already works at B2: One team or a client portfolio</t>
        </is>
      </c>
      <c r="R21" s="34" t="inlineStr">
        <is>
          <t>L</t>
        </is>
      </c>
      <c r="S21" s="56" t="inlineStr">
        <is>
          <t>Works at A3: contributes alone; guides others only informally</t>
        </is>
      </c>
      <c r="T21" s="56" t="inlineStr">
        <is>
          <t>IC: mentors and reviews · People: hands-on team lead of 3–5</t>
        </is>
      </c>
      <c r="U21" s="56" t="inlineStr">
        <is>
          <t>Already works at B2: IC: guides others in the domain · People: manages a team of 6+</t>
        </is>
      </c>
      <c r="V21" s="34" t="inlineStr">
        <is>
          <t>L</t>
        </is>
      </c>
      <c r="W21" s="56" t="inlineStr">
        <is>
          <t>Works at A3: A process or client deliverable depends on this work</t>
        </is>
      </c>
      <c r="X21" s="56" t="inlineStr">
        <is>
          <t>Moves a module's, product area's or client account's results · purpose: Allocates work and shifts, tracks deliveries, prepares billing inputs and services MIS. At B1: a domain / module, or a small team.
Common themes in sub-family …</t>
        </is>
      </c>
      <c r="Y21" s="56" t="inlineStr">
        <is>
          <t>Already works at B2: Visible effect on a team's or client portfolio's revenue, quality or compliance</t>
        </is>
      </c>
      <c r="Z21" s="34" t="inlineStr">
        <is>
          <t>L</t>
        </is>
      </c>
      <c r="AA21" s="85" t="inlineStr">
        <is>
          <t>Less experience than the band's typical 4–7 yrs</t>
        </is>
      </c>
      <c r="AB21" s="85" t="inlineStr">
        <is>
          <t>Typical for the band: 4–7 yrs · market 4–8 yrs</t>
        </is>
      </c>
      <c r="AC21" s="85" t="inlineStr">
        <is>
          <t>More experience than the band's typical 4–7 yrs</t>
        </is>
      </c>
      <c r="AD21" s="34" t="inlineStr">
        <is>
          <t>L</t>
        </is>
      </c>
      <c r="AE21" s="85" t="inlineStr">
        <is>
          <t>Below: Graduate; relevant certification preferred</t>
        </is>
      </c>
      <c r="AF21" s="85" t="inlineStr">
        <is>
          <t>Graduate + relevant qualification or certification preferred</t>
        </is>
      </c>
      <c r="AG21" s="85" t="inlineStr">
        <is>
          <t>Above: Graduate or postgraduate; professional qualification preferred</t>
        </is>
      </c>
      <c r="AH21" s="44" t="inlineStr">
        <is>
          <t>51.3 · 17.3 · 9.7 · 5 · 7 · 6 · 4</t>
        </is>
      </c>
      <c r="AI21" s="38" t="inlineStr">
        <is>
          <t>4–8</t>
        </is>
      </c>
      <c r="AJ21" s="38" t="inlineStr">
        <is>
          <t>IC: none · Team Lead: 3–5</t>
        </is>
      </c>
      <c r="AK21" s="38" t="inlineStr">
        <is>
          <t>P3 / M2 · SFIA 4 Enable</t>
        </is>
      </c>
      <c r="AL21"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2" ht="120" customHeight="1">
      <c r="A22" s="91" t="inlineStr">
        <is>
          <t>A3</t>
        </is>
      </c>
      <c r="B22" s="29" t="inlineStr">
        <is>
          <t>Band A · Practitioner</t>
        </is>
      </c>
      <c r="C22" s="29" t="inlineStr">
        <is>
          <t>Band A · all tracks</t>
        </is>
      </c>
      <c r="D22" s="29" t="inlineStr">
        <is>
          <t>Senior Associate</t>
        </is>
      </c>
      <c r="E22" s="29" t="inlineStr">
        <is>
          <t>Service Delivery Operations · Senior Service Delivery Analyst
Taxonomy Design &amp; Regulatory Consulting · Senior Taxonomy Analyst · Taxonomy Specialist
XBRL Tagging, Conversion &amp; Filing · Senior Financial Analyst · XBRL Specialist</t>
        </is>
      </c>
      <c r="F22" s="34" t="inlineStr">
        <is>
          <t>H</t>
        </is>
      </c>
      <c r="G22" s="84" t="inlineStr">
        <is>
          <t>Works at A2: Standard work of the discipline</t>
        </is>
      </c>
      <c r="H22" s="84" t="inlineStr">
        <is>
          <t>Varied and non-standard work; handles exceptions · in Consulting &amp; Professional Services: XBRL Domain</t>
        </is>
      </c>
      <c r="I22" s="84" t="inlineStr">
        <is>
          <t>Already works at B1: Domain specialist work</t>
        </is>
      </c>
      <c r="J22" s="34" t="inlineStr">
        <is>
          <t>M</t>
        </is>
      </c>
      <c r="K22" s="84" t="inlineStr">
        <is>
          <t>Works at A2: Chooses own approach within standards</t>
        </is>
      </c>
      <c r="L22" s="84" t="inlineStr">
        <is>
          <t>Technical / QC / client calls on own work</t>
        </is>
      </c>
      <c r="M22" s="84" t="inlineStr">
        <is>
          <t>Already works at B1: Technical / QC / client calls for the domain</t>
        </is>
      </c>
      <c r="N22" s="34" t="inlineStr">
        <is>
          <t>M</t>
        </is>
      </c>
      <c r="O22" s="84" t="inlineStr">
        <is>
          <t>Works at A2: Own deliverables · accuracy, TAT</t>
        </is>
      </c>
      <c r="P22" s="84" t="inlineStr">
        <is>
          <t>A module / process, or work with client or regulatory consequences · KRA themes: Common themes in manager-set KRAs: resolve · defect · deliver · complete · modules · testing</t>
        </is>
      </c>
      <c r="Q22" s="84" t="inlineStr">
        <is>
          <t>Already works at B1: A domain or a small team</t>
        </is>
      </c>
      <c r="R22" s="34" t="inlineStr">
        <is>
          <t>L</t>
        </is>
      </c>
      <c r="S22" s="56" t="inlineStr">
        <is>
          <t>Works at A2: contributes alone; guides others only informally</t>
        </is>
      </c>
      <c r="T22" s="56" t="inlineStr">
        <is>
          <t>Helps peers and newer people informally · None · guides 1–3 juniors informally</t>
        </is>
      </c>
      <c r="U22" s="56" t="inlineStr">
        <is>
          <t>Already works at B1: IC: mentors and reviews · People: hands-on team lead of 3–5</t>
        </is>
      </c>
      <c r="V22" s="34" t="inlineStr">
        <is>
          <t>L</t>
        </is>
      </c>
      <c r="W22" s="56" t="inlineStr">
        <is>
          <t>Works at A2: Own deliverables feed a team's output and turnaround</t>
        </is>
      </c>
      <c r="X22" s="56" t="inlineStr">
        <is>
          <t>A process or client deliverable depends on this work · purpose: Allocates work and shifts, tracks deliveries, prepares billing inputs and services MIS. At A3: varied work; reviews juniors; go-to for a process.
Common themes …</t>
        </is>
      </c>
      <c r="Y22" s="56" t="inlineStr">
        <is>
          <t>Already works at B1: Moves a module's, product area's or client account's results</t>
        </is>
      </c>
      <c r="Z22" s="34" t="inlineStr">
        <is>
          <t>L</t>
        </is>
      </c>
      <c r="AA22" s="85" t="inlineStr">
        <is>
          <t>Less experience than the band's typical 2–4 yrs</t>
        </is>
      </c>
      <c r="AB22" s="85" t="inlineStr">
        <is>
          <t>Typical for the band: 2–4 yrs · market 2–5 yrs</t>
        </is>
      </c>
      <c r="AC22" s="85" t="inlineStr">
        <is>
          <t>More experience than the band's typical 2–4 yrs</t>
        </is>
      </c>
      <c r="AD22" s="34" t="inlineStr">
        <is>
          <t>L</t>
        </is>
      </c>
      <c r="AE22" s="85" t="inlineStr">
        <is>
          <t>Below: Graduate · or diploma with experience</t>
        </is>
      </c>
      <c r="AF22" s="85" t="inlineStr">
        <is>
          <t>Graduate; relevant certification preferred</t>
        </is>
      </c>
      <c r="AG22" s="85" t="inlineStr">
        <is>
          <t>Above: Graduate + relevant qualification or certification preferred</t>
        </is>
      </c>
      <c r="AH22" s="44" t="inlineStr">
        <is>
          <t>58.3 · 16 · 9 · 0 · 6.3 · 6 · 4</t>
        </is>
      </c>
      <c r="AI22" s="38" t="inlineStr">
        <is>
          <t>2–5</t>
        </is>
      </c>
      <c r="AJ22" s="38" t="inlineStr">
        <is>
          <t>None · guides 1–3 juniors informally</t>
        </is>
      </c>
      <c r="AK22" s="38" t="inlineStr">
        <is>
          <t>P2 · SFIA 3 Apply</t>
        </is>
      </c>
      <c r="AL22"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3" ht="120" customHeight="1">
      <c r="A23" s="91" t="inlineStr">
        <is>
          <t>A2</t>
        </is>
      </c>
      <c r="B23" s="29" t="inlineStr">
        <is>
          <t>Band A · Practitioner</t>
        </is>
      </c>
      <c r="C23" s="29" t="inlineStr">
        <is>
          <t>Band A · all tracks</t>
        </is>
      </c>
      <c r="D23" s="29" t="inlineStr">
        <is>
          <t>Associate</t>
        </is>
      </c>
      <c r="E23" s="29" t="inlineStr">
        <is>
          <t>Taxonomy Design &amp; Regulatory Consulting · Taxonomy Analyst
XBRL Tagging, Conversion &amp; Filing · Financial Analyst</t>
        </is>
      </c>
      <c r="F23" s="34" t="inlineStr">
        <is>
          <t>H</t>
        </is>
      </c>
      <c r="G23" s="84" t="inlineStr">
        <is>
          <t>Works at A1: Learning; follows worked examples</t>
        </is>
      </c>
      <c r="H23" s="84" t="inlineStr">
        <is>
          <t>Standard work of the discipline · in Consulting &amp; Professional Services: XBRL domain · XBRL specifications · analytical skills · Domain knowledge · XBRL · XBRl knowledge · Academic strength</t>
        </is>
      </c>
      <c r="I23" s="84" t="inlineStr">
        <is>
          <t>Already works at A3: Varied and non-standard work; handles exceptions</t>
        </is>
      </c>
      <c r="J23" s="34" t="inlineStr">
        <is>
          <t>M</t>
        </is>
      </c>
      <c r="K23" s="84" t="inlineStr">
        <is>
          <t>Works at A1: Needs approval / close guidance</t>
        </is>
      </c>
      <c r="L23" s="84" t="inlineStr">
        <is>
          <t>Chooses own approach within standards</t>
        </is>
      </c>
      <c r="M23" s="84" t="inlineStr">
        <is>
          <t>Already works at A3: Technical / QC / client calls on own work</t>
        </is>
      </c>
      <c r="N23" s="34" t="inlineStr">
        <is>
          <t>M</t>
        </is>
      </c>
      <c r="O23" s="84" t="inlineStr">
        <is>
          <t>Works at A1: Learning tasks</t>
        </is>
      </c>
      <c r="P23" s="84" t="inlineStr">
        <is>
          <t>Own deliverables · accuracy, TAT · KRA themes: Common themes in manager-set KRAs: complete iris · resolve · cycle full · accuracy targets · maintained · logs document</t>
        </is>
      </c>
      <c r="Q23" s="84" t="inlineStr">
        <is>
          <t>Already works at A3: A module / process, or work with client or regulatory consequences</t>
        </is>
      </c>
      <c r="R23" s="34" t="inlineStr">
        <is>
          <t>L</t>
        </is>
      </c>
      <c r="S23" s="56" t="inlineStr">
        <is>
          <t>Works at A1: contributes alone; guides others only informally</t>
        </is>
      </c>
      <c r="T23" s="56" t="inlineStr">
        <is>
          <t>Helps peers and newer people informally · No direct reports</t>
        </is>
      </c>
      <c r="U23" s="56" t="inlineStr">
        <is>
          <t>Already works at A3: Not scored in Band A</t>
        </is>
      </c>
      <c r="V23" s="34" t="inlineStr">
        <is>
          <t>L</t>
        </is>
      </c>
      <c r="W23" s="56" t="inlineStr">
        <is>
          <t>Works at A1: Learning; little direct effect on business results yet</t>
        </is>
      </c>
      <c r="X23" s="56" t="inlineStr">
        <is>
          <t>Own deliverables feed a team's output and turnaround · purpose: Designs XBRL/SDMX taxonomies, return templates, validation rules and SRS for regulators; supports implementation and CRs. At A2: standard work delivered …</t>
        </is>
      </c>
      <c r="Y23" s="56" t="inlineStr">
        <is>
          <t>Already works at A3: A process or client deliverable depends on this work</t>
        </is>
      </c>
      <c r="Z23" s="34" t="inlineStr">
        <is>
          <t>L</t>
        </is>
      </c>
      <c r="AA23" s="85" t="inlineStr">
        <is>
          <t>Less experience than the band's typical 0–2 yrs</t>
        </is>
      </c>
      <c r="AB23" s="85" t="inlineStr">
        <is>
          <t>Typical for the band: 0–2 yrs · market 0–3 yrs</t>
        </is>
      </c>
      <c r="AC23" s="85" t="inlineStr">
        <is>
          <t>More experience than the band's typical 0–2 yrs</t>
        </is>
      </c>
      <c r="AD23" s="34" t="inlineStr">
        <is>
          <t>L</t>
        </is>
      </c>
      <c r="AE23" s="85" t="inlineStr">
        <is>
          <t>Below: Pursuing or completed graduation / diploma</t>
        </is>
      </c>
      <c r="AF23" s="85" t="inlineStr">
        <is>
          <t>Graduate · or diploma with experience</t>
        </is>
      </c>
      <c r="AG23" s="85" t="inlineStr">
        <is>
          <t>Above: Graduate; relevant certification preferred</t>
        </is>
      </c>
      <c r="AH23" s="44" t="inlineStr">
        <is>
          <t>58.3 · 16 · 9 · 0 · 6.3 · 6 · 4</t>
        </is>
      </c>
      <c r="AI23" s="38" t="inlineStr">
        <is>
          <t>0–3</t>
        </is>
      </c>
      <c r="AJ23" s="38" t="inlineStr">
        <is>
          <t>No direct reports</t>
        </is>
      </c>
      <c r="AK23" s="38" t="inlineStr">
        <is>
          <t>P1–P2 · SFIA 2 Assist</t>
        </is>
      </c>
      <c r="AL23"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4" ht="120" customHeight="1">
      <c r="A24" s="91" t="inlineStr">
        <is>
          <t>A1</t>
        </is>
      </c>
      <c r="B24" s="29" t="inlineStr">
        <is>
          <t>Band A · Practitioner</t>
        </is>
      </c>
      <c r="C24" s="29" t="inlineStr">
        <is>
          <t>Band A · all tracks</t>
        </is>
      </c>
      <c r="D24" s="29" t="inlineStr">
        <is>
          <t>Intern / Trainee</t>
        </is>
      </c>
      <c r="E24" s="29" t="inlineStr">
        <is>
          <t>— no role at this level today</t>
        </is>
      </c>
      <c r="F24" s="34" t="inlineStr">
        <is>
          <t>H</t>
        </is>
      </c>
      <c r="G24" s="84" t="inlineStr">
        <is>
          <t>Not yet at the entry standard · in induction</t>
        </is>
      </c>
      <c r="H24" s="84" t="inlineStr">
        <is>
          <t>Learning; follows worked examples</t>
        </is>
      </c>
      <c r="I24" s="84" t="inlineStr">
        <is>
          <t>Already works at A2: Standard work of the discipline</t>
        </is>
      </c>
      <c r="J24" s="34" t="inlineStr">
        <is>
          <t>M</t>
        </is>
      </c>
      <c r="K24" s="84" t="inlineStr">
        <is>
          <t>Not yet at the entry standard · in induction</t>
        </is>
      </c>
      <c r="L24" s="84" t="inlineStr">
        <is>
          <t>Needs approval / close guidance</t>
        </is>
      </c>
      <c r="M24" s="84" t="inlineStr">
        <is>
          <t>Already works at A2: Chooses own approach within standards</t>
        </is>
      </c>
      <c r="N24" s="34" t="inlineStr">
        <is>
          <t>M</t>
        </is>
      </c>
      <c r="O24" s="84" t="inlineStr">
        <is>
          <t>Not yet at the entry standard · in induction</t>
        </is>
      </c>
      <c r="P24" s="84" t="inlineStr">
        <is>
          <t>Learning tasks</t>
        </is>
      </c>
      <c r="Q24" s="84" t="inlineStr">
        <is>
          <t>Already works at A2: Own deliverables · accuracy, TAT</t>
        </is>
      </c>
      <c r="R24" s="34" t="inlineStr">
        <is>
          <t>L</t>
        </is>
      </c>
      <c r="S24" s="56" t="inlineStr">
        <is>
          <t>Not yet at the entry standard · in induction</t>
        </is>
      </c>
      <c r="T24" s="56" t="inlineStr">
        <is>
          <t>Helps peers and newer people informally · No direct reports</t>
        </is>
      </c>
      <c r="U24" s="56" t="inlineStr">
        <is>
          <t>Already works at A2: Not scored in Band A</t>
        </is>
      </c>
      <c r="V24" s="34" t="inlineStr">
        <is>
          <t>L</t>
        </is>
      </c>
      <c r="W24" s="56" t="inlineStr">
        <is>
          <t>Not yet at the entry standard · in induction</t>
        </is>
      </c>
      <c r="X24" s="56" t="inlineStr">
        <is>
          <t>Learning; little direct effect on business results yet</t>
        </is>
      </c>
      <c r="Y24" s="56" t="inlineStr">
        <is>
          <t>Already works at A2: Own deliverables feed a team's output and turnaround</t>
        </is>
      </c>
      <c r="Z24" s="34" t="inlineStr">
        <is>
          <t>L</t>
        </is>
      </c>
      <c r="AA24" s="85" t="inlineStr">
        <is>
          <t>Less experience than the band's typical 0 yrs · fresher / intern</t>
        </is>
      </c>
      <c r="AB24" s="85" t="inlineStr">
        <is>
          <t>Typical for the band: 0 yrs · fresher / intern · market — yrs</t>
        </is>
      </c>
      <c r="AC24" s="85" t="inlineStr">
        <is>
          <t>More experience than the band's typical 0 yrs · fresher / intern</t>
        </is>
      </c>
      <c r="AD24" s="34" t="inlineStr">
        <is>
          <t>L</t>
        </is>
      </c>
      <c r="AE24" s="85" t="inlineStr">
        <is>
          <t>Below graduation · still studying</t>
        </is>
      </c>
      <c r="AF24" s="85" t="inlineStr">
        <is>
          <t>Pursuing or completed graduation / diploma</t>
        </is>
      </c>
      <c r="AG24" s="85" t="inlineStr">
        <is>
          <t>Above: Graduate · or diploma with experience</t>
        </is>
      </c>
      <c r="AH24" s="44" t="inlineStr">
        <is>
          <t>58.3 · 16 · 9 · 0 · 6.3 · 6 · 4</t>
        </is>
      </c>
      <c r="AI24" s="38" t="inlineStr">
        <is>
          <t>0 yrs · fresher / intern</t>
        </is>
      </c>
      <c r="AJ24" s="38" t="inlineStr">
        <is>
          <t>No direct reports</t>
        </is>
      </c>
      <c r="AK24" s="38" t="inlineStr">
        <is>
          <t>Entry / P1 · intern · SFIA 1 Follow</t>
        </is>
      </c>
      <c r="AL24"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sheetData>
  <autoFilter ref="A5:AL24"/>
  <mergeCells count="1">
    <mergeCell ref="A2:N2"/>
  </mergeCells>
  <dataValidations count="1">
    <dataValidation sqref="F6 F7 F8 F9 F10 F11 F12 F13 F14 F15 F16 F17 F18 F19 F20 F21 F22 F23 F24 J6 J7 J8 J9 J10 J11 J12 J13 J14 J15 J16 J17 J18 J19 J20 J21 J22 J23 J24 N6 N7 N8 N9 N10 N11 N12 N13 N14 N15 N16 N17 N18 N19 N20 N21 N22 N23 N24 R6 R7 R8 R9 R10 R11 R12 R13 R14 R15 R16 R17 R18 R19 R20 R21 R22 R23 R24 V6 V7 V8 V9 V10 V11 V12 V13 V14 V15 V16 V17 V18 V19 V20 V21 V22 V23 V24 Z6 Z7 Z8 Z9 Z10 Z11 Z12 Z13 Z14 Z15 Z16 Z17 Z18 Z19 Z20 Z21 Z22 Z23 Z24 AD6 AD7 AD8 AD9 AD10 AD11 AD12 AD13 AD14 AD15 AD16 AD17 AD18 AD19 AD20 AD21 AD22 AD23 AD24" showDropDown="0" showInputMessage="0" showErrorMessage="0" allowBlank="1" type="list">
      <formula1>LIST_LMH</formula1>
    </dataValidation>
  </dataValidations>
  <hyperlinks>
    <hyperlink xmlns:r="http://schemas.openxmlformats.org/officeDocument/2006/relationships" ref="O1"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L24"/>
  <sheetViews>
    <sheetView zoomScale="85" workbookViewId="0">
      <pane xSplit="5" ySplit="5" topLeftCell="F6" activePane="bottomRight" state="frozen"/>
      <selection pane="topRight"/>
      <selection pane="bottomLeft"/>
      <selection pane="bottomRight" activeCell="A1" sqref="A1"/>
    </sheetView>
  </sheetViews>
  <sheetFormatPr baseColWidth="8" defaultRowHeight="15"/>
  <cols>
    <col width="7" customWidth="1" min="1" max="1"/>
    <col width="16" customWidth="1" min="2" max="2"/>
    <col width="18" customWidth="1" min="3" max="3"/>
    <col width="20" customWidth="1" min="4" max="4"/>
    <col width="34" customWidth="1" min="5" max="5"/>
    <col width="9" customWidth="1" min="6" max="6"/>
    <col width="30" customWidth="1" min="7" max="7"/>
    <col width="34" customWidth="1" min="8" max="8"/>
    <col width="30" customWidth="1" min="9" max="9"/>
    <col width="9" customWidth="1" min="10" max="10"/>
    <col width="30" customWidth="1" min="11" max="11"/>
    <col width="34" customWidth="1" min="12" max="12"/>
    <col width="30" customWidth="1" min="13" max="13"/>
    <col width="9" customWidth="1" min="14" max="14"/>
    <col width="30" customWidth="1" min="15" max="15"/>
    <col width="34" customWidth="1" min="16" max="16"/>
    <col width="30" customWidth="1" min="17" max="17"/>
    <col width="9" customWidth="1" min="18" max="18"/>
    <col width="30" customWidth="1" min="19" max="19"/>
    <col width="34" customWidth="1" min="20" max="20"/>
    <col width="30" customWidth="1" min="21" max="21"/>
    <col width="9" customWidth="1" min="22" max="22"/>
    <col width="30" customWidth="1" min="23" max="23"/>
    <col width="34" customWidth="1" min="24" max="24"/>
    <col width="30" customWidth="1" min="25" max="25"/>
    <col width="9" customWidth="1" min="26" max="26"/>
    <col width="30" customWidth="1" min="27" max="27"/>
    <col width="34" customWidth="1" min="28" max="28"/>
    <col width="30" customWidth="1" min="29" max="29"/>
    <col width="9" customWidth="1" min="30" max="30"/>
    <col width="30" customWidth="1" min="31" max="31"/>
    <col width="34" customWidth="1" min="32" max="32"/>
    <col width="30" customWidth="1" min="33" max="33"/>
    <col width="26" customWidth="1" min="34" max="34"/>
    <col width="16" customWidth="1" min="35" max="35"/>
    <col width="22" customWidth="1" min="36" max="36"/>
    <col width="18" customWidth="1" min="37" max="37"/>
    <col width="40" customWidth="1" min="38" max="38"/>
  </cols>
  <sheetData>
    <row r="1" ht="24" customHeight="1">
      <c r="A1" s="1" t="inlineStr">
        <is>
          <t>Role &amp; band matrix — Customer Success &amp; Support</t>
        </is>
      </c>
      <c r="O1" s="7" t="inlineStr">
        <is>
          <t>◂ Start</t>
        </is>
      </c>
    </row>
    <row r="2" ht="30" customHeight="1">
      <c r="A2" s="2" t="inlineStr">
        <is>
          <t>What Low, Medium and High mean for each of the seven parameters at every level of Customer Success &amp; Support, and how much each parameter counts · main type of work: Customer support &amp; success. Medium is the band as described; Low is the level below; High is the level above. Change a yellow weightage and every role, department ladder and person in this family recalculates.</t>
        </is>
      </c>
    </row>
    <row r="3">
      <c r="A3" s="3" t="inlineStr">
        <is>
          <t>IRIS · Job Architecture &amp; Job Design · Final v1.15 · October 2026 · Internal — Confidential · HR only</t>
        </is>
      </c>
    </row>
    <row r="4" ht="30" customHeight="1">
      <c r="A4" s="6" t="inlineStr">
        <is>
          <t>LEVEL</t>
        </is>
      </c>
      <c r="B4" s="6" t="n"/>
      <c r="C4" s="6" t="n"/>
      <c r="D4" s="6" t="n"/>
      <c r="E4" s="6" t="n"/>
      <c r="F4" s="45" t="inlineStr">
        <is>
          <t>COMPLEXITY &amp; EXPERTISE</t>
        </is>
      </c>
      <c r="G4" s="45" t="n"/>
      <c r="H4" s="45" t="n"/>
      <c r="I4" s="45" t="n"/>
      <c r="J4" s="45" t="inlineStr">
        <is>
          <t>AUTONOMY &amp; DECISION</t>
        </is>
      </c>
      <c r="K4" s="45" t="n"/>
      <c r="L4" s="45" t="n"/>
      <c r="M4" s="45" t="n"/>
      <c r="N4" s="45" t="inlineStr">
        <is>
          <t>ACCOUNTABILITY &amp; IMPACT</t>
        </is>
      </c>
      <c r="O4" s="45" t="n"/>
      <c r="P4" s="45" t="n"/>
      <c r="Q4" s="45" t="n"/>
      <c r="R4" s="47" t="inlineStr">
        <is>
          <t>LEADERSHIP &amp; STRATEGY</t>
        </is>
      </c>
      <c r="S4" s="47" t="n"/>
      <c r="T4" s="47" t="n"/>
      <c r="U4" s="47" t="n"/>
      <c r="V4" s="47" t="inlineStr">
        <is>
          <t>BUSINESS IMPACT</t>
        </is>
      </c>
      <c r="W4" s="47" t="n"/>
      <c r="X4" s="47" t="n"/>
      <c r="Y4" s="47" t="n"/>
      <c r="Z4" s="81" t="inlineStr">
        <is>
          <t>EXPERIENCE</t>
        </is>
      </c>
      <c r="AA4" s="81" t="n"/>
      <c r="AB4" s="81" t="n"/>
      <c r="AC4" s="81" t="n"/>
      <c r="AD4" s="81" t="inlineStr">
        <is>
          <t>EDUCATION</t>
        </is>
      </c>
      <c r="AE4" s="81" t="n"/>
      <c r="AF4" s="81" t="n"/>
      <c r="AG4" s="81" t="n"/>
      <c r="AH4" s="20" t="inlineStr">
        <is>
          <t>MARKET BENCHMARK &amp; REFERENCES</t>
        </is>
      </c>
      <c r="AI4" s="20" t="n"/>
      <c r="AJ4" s="20" t="n"/>
      <c r="AK4" s="20" t="n"/>
      <c r="AL4" s="20" t="n"/>
    </row>
    <row r="5" ht="60" customHeight="1">
      <c r="A5" s="22" t="inlineStr">
        <is>
          <t>Level</t>
        </is>
      </c>
      <c r="B5" s="22" t="inlineStr">
        <is>
          <t>Band</t>
        </is>
      </c>
      <c r="C5" s="22" t="inlineStr">
        <is>
          <t>Role group</t>
        </is>
      </c>
      <c r="D5" s="22" t="inlineStr">
        <is>
          <t>Level title</t>
        </is>
      </c>
      <c r="E5" s="22" t="inlineStr">
        <is>
          <t>Roles at this level in this family</t>
        </is>
      </c>
      <c r="F5" s="48" t="inlineStr">
        <is>
          <t>Weightage · L/M/H</t>
        </is>
      </c>
      <c r="G5" s="48" t="inlineStr">
        <is>
          <t>Low</t>
        </is>
      </c>
      <c r="H5" s="48" t="inlineStr">
        <is>
          <t>Medium</t>
        </is>
      </c>
      <c r="I5" s="48" t="inlineStr">
        <is>
          <t>High</t>
        </is>
      </c>
      <c r="J5" s="48" t="inlineStr">
        <is>
          <t>Weightage · L/M/H</t>
        </is>
      </c>
      <c r="K5" s="48" t="inlineStr">
        <is>
          <t>Low</t>
        </is>
      </c>
      <c r="L5" s="48" t="inlineStr">
        <is>
          <t>Medium</t>
        </is>
      </c>
      <c r="M5" s="48" t="inlineStr">
        <is>
          <t>High</t>
        </is>
      </c>
      <c r="N5" s="48" t="inlineStr">
        <is>
          <t>Weightage · L/M/H</t>
        </is>
      </c>
      <c r="O5" s="48" t="inlineStr">
        <is>
          <t>Low</t>
        </is>
      </c>
      <c r="P5" s="48" t="inlineStr">
        <is>
          <t>Medium</t>
        </is>
      </c>
      <c r="Q5" s="48" t="inlineStr">
        <is>
          <t>High</t>
        </is>
      </c>
      <c r="R5" s="50" t="inlineStr">
        <is>
          <t>Weightage · L/M/H</t>
        </is>
      </c>
      <c r="S5" s="50" t="inlineStr">
        <is>
          <t>Low</t>
        </is>
      </c>
      <c r="T5" s="50" t="inlineStr">
        <is>
          <t>Medium</t>
        </is>
      </c>
      <c r="U5" s="50" t="inlineStr">
        <is>
          <t>High</t>
        </is>
      </c>
      <c r="V5" s="50" t="inlineStr">
        <is>
          <t>Weightage · L/M/H</t>
        </is>
      </c>
      <c r="W5" s="50" t="inlineStr">
        <is>
          <t>Low</t>
        </is>
      </c>
      <c r="X5" s="50" t="inlineStr">
        <is>
          <t>Medium</t>
        </is>
      </c>
      <c r="Y5" s="50" t="inlineStr">
        <is>
          <t>High</t>
        </is>
      </c>
      <c r="Z5" s="82" t="inlineStr">
        <is>
          <t>Weightage · L/M/H</t>
        </is>
      </c>
      <c r="AA5" s="82" t="inlineStr">
        <is>
          <t>Low</t>
        </is>
      </c>
      <c r="AB5" s="82" t="inlineStr">
        <is>
          <t>Medium</t>
        </is>
      </c>
      <c r="AC5" s="82" t="inlineStr">
        <is>
          <t>High</t>
        </is>
      </c>
      <c r="AD5" s="82" t="inlineStr">
        <is>
          <t>Weightage · L/M/H</t>
        </is>
      </c>
      <c r="AE5" s="82" t="inlineStr">
        <is>
          <t>Low</t>
        </is>
      </c>
      <c r="AF5" s="82" t="inlineStr">
        <is>
          <t>Medium</t>
        </is>
      </c>
      <c r="AG5" s="82" t="inlineStr">
        <is>
          <t>High</t>
        </is>
      </c>
      <c r="AH5" s="26" t="inlineStr">
        <is>
          <t>Market weight % · C · Au · Ac · L · BI · Exp · Edu</t>
        </is>
      </c>
      <c r="AI5" s="26" t="inlineStr">
        <is>
          <t>Market experience · yrs</t>
        </is>
      </c>
      <c r="AJ5" s="26" t="inlineStr">
        <is>
          <t>Span norm</t>
        </is>
      </c>
      <c r="AK5" s="26" t="inlineStr">
        <is>
          <t>Radford / Mercer · SFIA 9</t>
        </is>
      </c>
      <c r="AL5" s="26" t="inlineStr">
        <is>
          <t>References</t>
        </is>
      </c>
    </row>
    <row r="6" ht="120" customHeight="1">
      <c r="A6" s="83" t="inlineStr">
        <is>
          <t>E2</t>
        </is>
      </c>
      <c r="B6" s="29" t="inlineStr">
        <is>
          <t>Band E · Enterprise leadership</t>
        </is>
      </c>
      <c r="C6" s="29" t="inlineStr">
        <is>
          <t>Bands D–E · Leadership</t>
        </is>
      </c>
      <c r="D6" s="29" t="inlineStr">
        <is>
          <t>Chief Executive Officer</t>
        </is>
      </c>
      <c r="E6" s="29" t="inlineStr">
        <is>
          <t>— no role at this level today</t>
        </is>
      </c>
      <c r="F6" s="34" t="inlineStr">
        <is>
          <t>H</t>
        </is>
      </c>
      <c r="G6" s="84" t="inlineStr">
        <is>
          <t>Works at E1: Enterprise-level functional strategy</t>
        </is>
      </c>
      <c r="H6" s="84" t="inlineStr">
        <is>
          <t>Enterprise-wide uncertainty, transformation and external forces</t>
        </is>
      </c>
      <c r="I6" s="84" t="inlineStr">
        <is>
          <t>Beyond the role · a board-level mandate</t>
        </is>
      </c>
      <c r="J6" s="34" t="inlineStr">
        <is>
          <t>M</t>
        </is>
      </c>
      <c r="K6" s="84" t="inlineStr">
        <is>
          <t>Works at E1: Sets enterprise priorities for the function</t>
        </is>
      </c>
      <c r="L6" s="84" t="inlineStr">
        <is>
          <t>Accountable to the board</t>
        </is>
      </c>
      <c r="M6" s="84" t="inlineStr">
        <is>
          <t>Beyond the role · a board-level mandate</t>
        </is>
      </c>
      <c r="N6" s="34" t="inlineStr">
        <is>
          <t>M</t>
        </is>
      </c>
      <c r="O6" s="84" t="inlineStr">
        <is>
          <t>Works at E1: Enterprise-wide functional results</t>
        </is>
      </c>
      <c r="P6" s="84" t="inlineStr">
        <is>
          <t>Enterprise results, risk, culture and long-term viability</t>
        </is>
      </c>
      <c r="Q6" s="84" t="inlineStr">
        <is>
          <t>Beyond the role · a board-level mandate</t>
        </is>
      </c>
      <c r="R6" s="34" t="inlineStr">
        <is>
          <t>M</t>
        </is>
      </c>
      <c r="S6" s="56" t="inlineStr">
        <is>
          <t>Works at E1: Shapes enterprise strategy</t>
        </is>
      </c>
      <c r="T6" s="56" t="inlineStr">
        <is>
          <t>Sets enterprise strategy; leads the executive team</t>
        </is>
      </c>
      <c r="U6" s="56" t="inlineStr">
        <is>
          <t>Beyond the role · a board-level mandate</t>
        </is>
      </c>
      <c r="V6" s="34" t="inlineStr">
        <is>
          <t>L</t>
        </is>
      </c>
      <c r="W6" s="56" t="inlineStr">
        <is>
          <t>Works at E1: Shapes company-wide results through a function</t>
        </is>
      </c>
      <c r="X6" s="56" t="inlineStr">
        <is>
          <t>Answers for the whole company's results and long-term value</t>
        </is>
      </c>
      <c r="Y6" s="56" t="inlineStr">
        <is>
          <t>Beyond the role · a board-level mandate</t>
        </is>
      </c>
      <c r="Z6" s="34" t="inlineStr">
        <is>
          <t>L</t>
        </is>
      </c>
      <c r="AA6" s="85" t="inlineStr">
        <is>
          <t>Less experience than the band's typical 20+ yrs</t>
        </is>
      </c>
      <c r="AB6" s="85" t="inlineStr">
        <is>
          <t>Typical for the band: 20+ yrs · market — yrs</t>
        </is>
      </c>
      <c r="AC6" s="85" t="inlineStr">
        <is>
          <t>More experience than the band's typical 20+ yrs</t>
        </is>
      </c>
      <c r="AD6" s="34" t="inlineStr">
        <is>
          <t>L</t>
        </is>
      </c>
      <c r="AE6" s="85" t="inlineStr">
        <is>
          <t>Below: Postgraduate / professional qualification; business leadership record</t>
        </is>
      </c>
      <c r="AF6" s="85" t="inlineStr">
        <is>
          <t>Postgraduate / professional qualification; proven business leadership</t>
        </is>
      </c>
      <c r="AG6" s="85" t="inlineStr">
        <is>
          <t>Board-level credentials beyond the role's need</t>
        </is>
      </c>
      <c r="AH6" s="44" t="inlineStr">
        <is>
          <t>36.3 · 19 · 11.3 · 20 · 8.7 · 4 · 1</t>
        </is>
      </c>
      <c r="AI6" s="38" t="inlineStr">
        <is>
          <t>20+ yrs</t>
        </is>
      </c>
      <c r="AJ6" s="38" t="inlineStr">
        <is>
          <t>Executive team</t>
        </is>
      </c>
      <c r="AK6" s="38" t="inlineStr">
        <is>
          <t>E6 · SFIA 7</t>
        </is>
      </c>
      <c r="AL6"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7" ht="120" customHeight="1">
      <c r="A7" s="83" t="inlineStr">
        <is>
          <t>E1</t>
        </is>
      </c>
      <c r="B7" s="29" t="inlineStr">
        <is>
          <t>Band E · Enterprise leadership</t>
        </is>
      </c>
      <c r="C7" s="29" t="inlineStr">
        <is>
          <t>Bands D–E · Leadership</t>
        </is>
      </c>
      <c r="D7" s="29" t="inlineStr">
        <is>
          <t>CXO / President</t>
        </is>
      </c>
      <c r="E7" s="29" t="inlineStr">
        <is>
          <t>— no role at this level today</t>
        </is>
      </c>
      <c r="F7" s="34" t="inlineStr">
        <is>
          <t>H</t>
        </is>
      </c>
      <c r="G7" s="84" t="inlineStr">
        <is>
          <t>Works at D2: Portfolio-level strategic, financial and regulatory trade-offs</t>
        </is>
      </c>
      <c r="H7" s="84" t="inlineStr">
        <is>
          <t>Enterprise-level functional strategy</t>
        </is>
      </c>
      <c r="I7" s="84" t="inlineStr">
        <is>
          <t>Already works at E2: Enterprise-wide uncertainty, transformation and external forces</t>
        </is>
      </c>
      <c r="J7" s="34" t="inlineStr">
        <is>
          <t>M</t>
        </is>
      </c>
      <c r="K7" s="84" t="inlineStr">
        <is>
          <t>Works at D2: Sets direction across business lines</t>
        </is>
      </c>
      <c r="L7" s="84" t="inlineStr">
        <is>
          <t>Sets enterprise priorities for the function</t>
        </is>
      </c>
      <c r="M7" s="84" t="inlineStr">
        <is>
          <t>Already works at E2: Accountable to the board</t>
        </is>
      </c>
      <c r="N7" s="34" t="inlineStr">
        <is>
          <t>M</t>
        </is>
      </c>
      <c r="O7" s="84" t="inlineStr">
        <is>
          <t>Works at D2: Multi-business results</t>
        </is>
      </c>
      <c r="P7" s="84" t="inlineStr">
        <is>
          <t>Enterprise-wide functional results</t>
        </is>
      </c>
      <c r="Q7" s="84" t="inlineStr">
        <is>
          <t>Already works at E2: Enterprise results, risk, culture and long-term viability</t>
        </is>
      </c>
      <c r="R7" s="34" t="inlineStr">
        <is>
          <t>M</t>
        </is>
      </c>
      <c r="S7" s="56" t="inlineStr">
        <is>
          <t>Works at D2: Builds the leadership team across businesses</t>
        </is>
      </c>
      <c r="T7" s="56" t="inlineStr">
        <is>
          <t>Shapes enterprise strategy</t>
        </is>
      </c>
      <c r="U7" s="56" t="inlineStr">
        <is>
          <t>Already works at E2: Sets enterprise strategy; leads the executive team</t>
        </is>
      </c>
      <c r="V7" s="34" t="inlineStr">
        <is>
          <t>L</t>
        </is>
      </c>
      <c r="W7" s="56" t="inlineStr">
        <is>
          <t>Works at D2: Owns the results of several business lines</t>
        </is>
      </c>
      <c r="X7" s="56" t="inlineStr">
        <is>
          <t>Shapes company-wide results through a function</t>
        </is>
      </c>
      <c r="Y7" s="56" t="inlineStr">
        <is>
          <t>Already works at E2: Answers for the whole company's results and long-term value</t>
        </is>
      </c>
      <c r="Z7" s="34" t="inlineStr">
        <is>
          <t>L</t>
        </is>
      </c>
      <c r="AA7" s="85" t="inlineStr">
        <is>
          <t>Less experience than the band's typical 20+ yrs</t>
        </is>
      </c>
      <c r="AB7" s="85" t="inlineStr">
        <is>
          <t>Typical for the band: 20+ yrs · market — yrs</t>
        </is>
      </c>
      <c r="AC7" s="85" t="inlineStr">
        <is>
          <t>More experience than the band's typical 20+ yrs</t>
        </is>
      </c>
      <c r="AD7" s="34" t="inlineStr">
        <is>
          <t>L</t>
        </is>
      </c>
      <c r="AE7" s="85" t="inlineStr">
        <is>
          <t>Below: Postgraduate / professional qualification preferred</t>
        </is>
      </c>
      <c r="AF7" s="85" t="inlineStr">
        <is>
          <t>Postgraduate / professional qualification; business leadership record</t>
        </is>
      </c>
      <c r="AG7" s="85" t="inlineStr">
        <is>
          <t>Above: Postgraduate / professional qualification; proven business leadership</t>
        </is>
      </c>
      <c r="AH7" s="44" t="inlineStr">
        <is>
          <t>36.3 · 19 · 11.3 · 20 · 8.7 · 4 · 1</t>
        </is>
      </c>
      <c r="AI7" s="38" t="inlineStr">
        <is>
          <t>20+ yrs</t>
        </is>
      </c>
      <c r="AJ7" s="38" t="inlineStr">
        <is>
          <t>5–8 function heads</t>
        </is>
      </c>
      <c r="AK7" s="38" t="inlineStr">
        <is>
          <t>E5 · SFIA 7</t>
        </is>
      </c>
      <c r="AL7"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8" ht="120" customHeight="1">
      <c r="A8" s="86" t="inlineStr">
        <is>
          <t>D2</t>
        </is>
      </c>
      <c r="B8" s="29" t="inlineStr">
        <is>
          <t>Band D · Business leadership</t>
        </is>
      </c>
      <c r="C8" s="29" t="inlineStr">
        <is>
          <t>Bands D–E · Leadership</t>
        </is>
      </c>
      <c r="D8" s="29" t="inlineStr">
        <is>
          <t>Senior Vice President / Business Head</t>
        </is>
      </c>
      <c r="E8" s="29" t="inlineStr">
        <is>
          <t>— no role at this level today</t>
        </is>
      </c>
      <c r="F8" s="34" t="inlineStr">
        <is>
          <t>H</t>
        </is>
      </c>
      <c r="G8" s="84" t="inlineStr">
        <is>
          <t>Works at D1: Competing strategic, financial and regulatory priorities</t>
        </is>
      </c>
      <c r="H8" s="84" t="inlineStr">
        <is>
          <t>Portfolio-level strategic, financial and regulatory trade-offs</t>
        </is>
      </c>
      <c r="I8" s="84" t="inlineStr">
        <is>
          <t>Already works at E1: Enterprise-level functional strategy</t>
        </is>
      </c>
      <c r="J8" s="34" t="inlineStr">
        <is>
          <t>M</t>
        </is>
      </c>
      <c r="K8" s="84" t="inlineStr">
        <is>
          <t>Works at D1: Sets business-line direction, pricing and investment</t>
        </is>
      </c>
      <c r="L8" s="84" t="inlineStr">
        <is>
          <t>Sets direction across business lines</t>
        </is>
      </c>
      <c r="M8" s="84" t="inlineStr">
        <is>
          <t>Already works at E1: Sets enterprise priorities for the function</t>
        </is>
      </c>
      <c r="N8" s="34" t="inlineStr">
        <is>
          <t>M</t>
        </is>
      </c>
      <c r="O8" s="84" t="inlineStr">
        <is>
          <t>Works at D1: Business-line P&amp;L and market position</t>
        </is>
      </c>
      <c r="P8" s="84" t="inlineStr">
        <is>
          <t>Multi-business results</t>
        </is>
      </c>
      <c r="Q8" s="84" t="inlineStr">
        <is>
          <t>Already works at E1: Enterprise-wide functional results</t>
        </is>
      </c>
      <c r="R8" s="34" t="inlineStr">
        <is>
          <t>M</t>
        </is>
      </c>
      <c r="S8" s="56" t="inlineStr">
        <is>
          <t>Works at D1: Defines business strategy; builds the leadership bench</t>
        </is>
      </c>
      <c r="T8" s="56" t="inlineStr">
        <is>
          <t>Builds the leadership team across businesses</t>
        </is>
      </c>
      <c r="U8" s="56" t="inlineStr">
        <is>
          <t>Already works at E1: Shapes enterprise strategy</t>
        </is>
      </c>
      <c r="V8" s="34" t="inlineStr">
        <is>
          <t>L</t>
        </is>
      </c>
      <c r="W8" s="56" t="inlineStr">
        <is>
          <t>Works at D1: Owns a business line's P&amp;L and growth, or a company-wide function</t>
        </is>
      </c>
      <c r="X8" s="56" t="inlineStr">
        <is>
          <t>Owns the results of several business lines</t>
        </is>
      </c>
      <c r="Y8" s="56" t="inlineStr">
        <is>
          <t>Already works at E1: Shapes company-wide results through a function</t>
        </is>
      </c>
      <c r="Z8" s="34" t="inlineStr">
        <is>
          <t>L</t>
        </is>
      </c>
      <c r="AA8" s="85" t="inlineStr">
        <is>
          <t>Less experience than the band's typical 18–24 yrs</t>
        </is>
      </c>
      <c r="AB8" s="85" t="inlineStr">
        <is>
          <t>Typical for the band: 18–24 yrs · market — yrs</t>
        </is>
      </c>
      <c r="AC8" s="85" t="inlineStr">
        <is>
          <t>More experience than the band's typical 18–24 yrs</t>
        </is>
      </c>
      <c r="AD8" s="34" t="inlineStr">
        <is>
          <t>L</t>
        </is>
      </c>
      <c r="AE8" s="85" t="inlineStr">
        <is>
          <t>Below: Postgraduate / professional qualification preferred</t>
        </is>
      </c>
      <c r="AF8" s="85" t="inlineStr">
        <is>
          <t>Postgraduate / professional qualification preferred</t>
        </is>
      </c>
      <c r="AG8" s="85" t="inlineStr">
        <is>
          <t>Above: Postgraduate / professional qualification; business leadership record</t>
        </is>
      </c>
      <c r="AH8" s="44" t="inlineStr">
        <is>
          <t>36.3 · 19 · 11.3 · 20 · 8.7 · 4 · 1</t>
        </is>
      </c>
      <c r="AI8" s="38" t="inlineStr">
        <is>
          <t>18–24 yrs</t>
        </is>
      </c>
      <c r="AJ8" s="38" t="inlineStr">
        <is>
          <t>5–8 AVPs / heads</t>
        </is>
      </c>
      <c r="AK8" s="38" t="inlineStr">
        <is>
          <t>E3–E4 · SFIA 7 Set strategy</t>
        </is>
      </c>
      <c r="AL8"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9" ht="120" customHeight="1">
      <c r="A9" s="86" t="inlineStr">
        <is>
          <t>D1</t>
        </is>
      </c>
      <c r="B9" s="29" t="inlineStr">
        <is>
          <t>Band D · Business leadership</t>
        </is>
      </c>
      <c r="C9" s="29" t="inlineStr">
        <is>
          <t>Bands D–E · Leadership</t>
        </is>
      </c>
      <c r="D9" s="29" t="inlineStr">
        <is>
          <t>Associate Vice President</t>
        </is>
      </c>
      <c r="E9" s="29" t="inlineStr">
        <is>
          <t>— no role at this level today</t>
        </is>
      </c>
      <c r="F9" s="34" t="inlineStr">
        <is>
          <t>H</t>
        </is>
      </c>
      <c r="G9" s="84" t="inlineStr">
        <is>
          <t>Works at C2: Function-wide or company-wide problems; creates methods and standards</t>
        </is>
      </c>
      <c r="H9" s="84" t="inlineStr">
        <is>
          <t>Competing strategic, financial and regulatory priorities</t>
        </is>
      </c>
      <c r="I9" s="84" t="inlineStr">
        <is>
          <t>Already works at D2: Portfolio-level strategic, financial and regulatory trade-offs</t>
        </is>
      </c>
      <c r="J9" s="34" t="inlineStr">
        <is>
          <t>M</t>
        </is>
      </c>
      <c r="K9" s="84" t="inlineStr">
        <is>
          <t>Works at C2: Sets direction for a function</t>
        </is>
      </c>
      <c r="L9" s="84" t="inlineStr">
        <is>
          <t>Sets business-line direction, pricing and investment</t>
        </is>
      </c>
      <c r="M9" s="84" t="inlineStr">
        <is>
          <t>Already works at D2: Sets direction across business lines</t>
        </is>
      </c>
      <c r="N9" s="34" t="inlineStr">
        <is>
          <t>M</t>
        </is>
      </c>
      <c r="O9" s="84" t="inlineStr">
        <is>
          <t>Works at C2: Function results, budget and risk</t>
        </is>
      </c>
      <c r="P9" s="84" t="inlineStr">
        <is>
          <t>Business-line P&amp;L and market position</t>
        </is>
      </c>
      <c r="Q9" s="84" t="inlineStr">
        <is>
          <t>Already works at D2: Multi-business results</t>
        </is>
      </c>
      <c r="R9" s="34" t="inlineStr">
        <is>
          <t>M</t>
        </is>
      </c>
      <c r="S9" s="56" t="inlineStr">
        <is>
          <t>Works at C2: Leads a function; shapes functional strategy</t>
        </is>
      </c>
      <c r="T9" s="56" t="inlineStr">
        <is>
          <t>Defines business strategy; builds the leadership bench</t>
        </is>
      </c>
      <c r="U9" s="56" t="inlineStr">
        <is>
          <t>Already works at D2: Builds the leadership team across businesses</t>
        </is>
      </c>
      <c r="V9" s="34" t="inlineStr">
        <is>
          <t>L</t>
        </is>
      </c>
      <c r="W9" s="56" t="inlineStr">
        <is>
          <t>Works at C2: Drives a function's or department's results and costs</t>
        </is>
      </c>
      <c r="X9" s="56" t="inlineStr">
        <is>
          <t>Owns a business line's P&amp;L and growth, or a company-wide function</t>
        </is>
      </c>
      <c r="Y9" s="56" t="inlineStr">
        <is>
          <t>Already works at D2: Owns the results of several business lines</t>
        </is>
      </c>
      <c r="Z9" s="34" t="inlineStr">
        <is>
          <t>L</t>
        </is>
      </c>
      <c r="AA9" s="85" t="inlineStr">
        <is>
          <t>Less experience than the band's typical 15–20 yrs</t>
        </is>
      </c>
      <c r="AB9" s="85" t="inlineStr">
        <is>
          <t>Typical for the band: 15–20 yrs · market — yrs</t>
        </is>
      </c>
      <c r="AC9" s="85" t="inlineStr">
        <is>
          <t>More experience than the band's typical 15–20 yrs</t>
        </is>
      </c>
      <c r="AD9" s="34" t="inlineStr">
        <is>
          <t>L</t>
        </is>
      </c>
      <c r="AE9" s="85" t="inlineStr">
        <is>
          <t>Below: Postgraduate / professional qualification preferred</t>
        </is>
      </c>
      <c r="AF9" s="85" t="inlineStr">
        <is>
          <t>Postgraduate / professional qualification preferred</t>
        </is>
      </c>
      <c r="AG9" s="85" t="inlineStr">
        <is>
          <t>Above: Postgraduate / professional qualification preferred</t>
        </is>
      </c>
      <c r="AH9" s="44" t="inlineStr">
        <is>
          <t>36.3 · 19 · 11.3 · 20 · 8.7 · 4 · 1</t>
        </is>
      </c>
      <c r="AI9" s="38" t="inlineStr">
        <is>
          <t>15–20 yrs</t>
        </is>
      </c>
      <c r="AJ9" s="38" t="inlineStr">
        <is>
          <t>5–8 heads</t>
        </is>
      </c>
      <c r="AK9" s="38" t="inlineStr">
        <is>
          <t>E1–E2 · SFIA 6–7</t>
        </is>
      </c>
      <c r="AL9"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0" ht="120" customHeight="1">
      <c r="A10" s="87" t="inlineStr">
        <is>
          <t>C+</t>
        </is>
      </c>
      <c r="B10" s="29" t="inlineStr">
        <is>
          <t>C+ · Player-Coach</t>
        </is>
      </c>
      <c r="C10" s="29" t="inlineStr">
        <is>
          <t>C+ · Player-Coach</t>
        </is>
      </c>
      <c r="D10" s="29" t="inlineStr">
        <is>
          <t>Group Head · Player-Coach</t>
        </is>
      </c>
      <c r="E10" s="29" t="inlineStr">
        <is>
          <t>— no role at this level today</t>
        </is>
      </c>
      <c r="F10" s="34" t="inlineStr">
        <is>
          <t>H</t>
        </is>
      </c>
      <c r="G10" s="84" t="inlineStr">
        <is>
          <t>Works at C2: Function-wide or company-wide problems; creates methods and standards</t>
        </is>
      </c>
      <c r="H10" s="84" t="inlineStr">
        <is>
          <t>Function-wide and cross-product problems; personally handles the most critical client or technical work</t>
        </is>
      </c>
      <c r="I10" s="84" t="inlineStr">
        <is>
          <t>Already works at D1: Competing strategic, financial and regulatory priorities</t>
        </is>
      </c>
      <c r="J10" s="34" t="inlineStr">
        <is>
          <t>M</t>
        </is>
      </c>
      <c r="K10" s="84" t="inlineStr">
        <is>
          <t>Works at C2: Sets direction for a function</t>
        </is>
      </c>
      <c r="L10" s="84" t="inlineStr">
        <is>
          <t>Sets direction for the function; business-line trade-offs go to the Business Head</t>
        </is>
      </c>
      <c r="M10" s="84" t="inlineStr">
        <is>
          <t>Already works at D1: Sets business-line direction, pricing and investment</t>
        </is>
      </c>
      <c r="N10" s="34" t="inlineStr">
        <is>
          <t>M</t>
        </is>
      </c>
      <c r="O10" s="84" t="inlineStr">
        <is>
          <t>Works at C2: Function results, budget and risk</t>
        </is>
      </c>
      <c r="P10" s="84" t="inlineStr">
        <is>
          <t>Function results, budget and key-client outcomes; carries own book or principal delivery</t>
        </is>
      </c>
      <c r="Q10" s="84" t="inlineStr">
        <is>
          <t>Already works at D1: Business-line P&amp;L and market position</t>
        </is>
      </c>
      <c r="R10" s="34" t="inlineStr">
        <is>
          <t>M</t>
        </is>
      </c>
      <c r="S10" s="56" t="inlineStr">
        <is>
          <t>Works at C2: Leads a function; shapes functional strategy</t>
        </is>
      </c>
      <c r="T10" s="56" t="inlineStr">
        <is>
          <t>Leads managers and leads and 10+ people in the function while staying hands-on</t>
        </is>
      </c>
      <c r="U10" s="56" t="inlineStr">
        <is>
          <t>Already works at D1: Defines business strategy; builds the leadership bench</t>
        </is>
      </c>
      <c r="V10" s="34" t="inlineStr">
        <is>
          <t>L</t>
        </is>
      </c>
      <c r="W10" s="56" t="inlineStr">
        <is>
          <t>Works at C2: Drives a function's or department's results and costs</t>
        </is>
      </c>
      <c r="X10" s="56" t="inlineStr">
        <is>
          <t>Drives a function's results and personally wins or delivers key work</t>
        </is>
      </c>
      <c r="Y10" s="56" t="inlineStr">
        <is>
          <t>Already works at D1: Owns a business line's P&amp;L and growth, or a company-wide function</t>
        </is>
      </c>
      <c r="Z10" s="34" t="inlineStr">
        <is>
          <t>L</t>
        </is>
      </c>
      <c r="AA10" s="85" t="inlineStr">
        <is>
          <t>Less experience than the band's typical 13–18 yrs</t>
        </is>
      </c>
      <c r="AB10" s="85" t="inlineStr">
        <is>
          <t>Typical for the band: 13–18 yrs · market 15–18 yrs</t>
        </is>
      </c>
      <c r="AC10" s="85" t="inlineStr">
        <is>
          <t>More experience than the band's typical 13–18 yrs</t>
        </is>
      </c>
      <c r="AD10" s="34" t="inlineStr">
        <is>
          <t>L</t>
        </is>
      </c>
      <c r="AE10" s="85" t="inlineStr">
        <is>
          <t>Below: Postgraduate / professional qualification preferred</t>
        </is>
      </c>
      <c r="AF10" s="85" t="inlineStr">
        <is>
          <t>Postgraduate / professional qualification preferred</t>
        </is>
      </c>
      <c r="AG10" s="85" t="inlineStr">
        <is>
          <t>Above: Postgraduate / professional qualification preferred</t>
        </is>
      </c>
      <c r="AH10" s="44" t="inlineStr">
        <is>
          <t>37.7 · 18.3 · 10.7 · 20 · 8 · 4 · 1</t>
        </is>
      </c>
      <c r="AI10" s="38" t="inlineStr">
        <is>
          <t>15–18</t>
        </is>
      </c>
      <c r="AJ10" s="38" t="inlineStr">
        <is>
          <t>4–8 managers / leads with ≥ 25% of time on own principal delivery</t>
        </is>
      </c>
      <c r="AK10" s="38" t="inlineStr">
        <is>
          <t>M6 / E1 · SFIA 6 Initiate, influence</t>
        </is>
      </c>
      <c r="AL10"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1" ht="120" customHeight="1">
      <c r="A11" s="88" t="inlineStr">
        <is>
          <t>C2</t>
        </is>
      </c>
      <c r="B11" s="29" t="inlineStr">
        <is>
          <t>Band C · Principal / Head</t>
        </is>
      </c>
      <c r="C11" s="29" t="inlineStr">
        <is>
          <t>Band C · Head / manager</t>
        </is>
      </c>
      <c r="D11" s="29" t="inlineStr">
        <is>
          <t>Head of Function</t>
        </is>
      </c>
      <c r="E11" s="29" t="inlineStr">
        <is>
          <t>— no role at this level today</t>
        </is>
      </c>
      <c r="F11" s="34" t="inlineStr">
        <is>
          <t>H</t>
        </is>
      </c>
      <c r="G11" s="84" t="inlineStr">
        <is>
          <t>Works at C1: Ambiguous, cross-product problems</t>
        </is>
      </c>
      <c r="H11" s="84" t="inlineStr">
        <is>
          <t>Function-wide or company-wide problems; creates methods and standards</t>
        </is>
      </c>
      <c r="I11" s="84" t="inlineStr">
        <is>
          <t>Already works at D1: Competing strategic, financial and regulatory priorities</t>
        </is>
      </c>
      <c r="J11" s="34" t="inlineStr">
        <is>
          <t>M</t>
        </is>
      </c>
      <c r="K11" s="84" t="inlineStr">
        <is>
          <t>Works at C1: Sets direction for a sub-function or domain</t>
        </is>
      </c>
      <c r="L11" s="84" t="inlineStr">
        <is>
          <t>Sets direction for a function</t>
        </is>
      </c>
      <c r="M11" s="84" t="inlineStr">
        <is>
          <t>Already works at D1: Sets business-line direction, pricing and investment</t>
        </is>
      </c>
      <c r="N11" s="34" t="inlineStr">
        <is>
          <t>M</t>
        </is>
      </c>
      <c r="O11" s="84" t="inlineStr">
        <is>
          <t>Works at C1: Sub-function results or domain quality across products</t>
        </is>
      </c>
      <c r="P11" s="84" t="inlineStr">
        <is>
          <t>Function results, budget and risk</t>
        </is>
      </c>
      <c r="Q11" s="84" t="inlineStr">
        <is>
          <t>Already works at D1: Business-line P&amp;L and market position</t>
        </is>
      </c>
      <c r="R11" s="34" t="inlineStr">
        <is>
          <t>M</t>
        </is>
      </c>
      <c r="S11" s="56" t="inlineStr">
        <is>
          <t>Works at C1: Leads managers or a community of practice</t>
        </is>
      </c>
      <c r="T11" s="56" t="inlineStr">
        <is>
          <t>Leads a function; shapes functional strategy</t>
        </is>
      </c>
      <c r="U11" s="56" t="inlineStr">
        <is>
          <t>Already works at D1: Defines business strategy; builds the leadership bench</t>
        </is>
      </c>
      <c r="V11" s="34" t="inlineStr">
        <is>
          <t>M</t>
        </is>
      </c>
      <c r="W11" s="56" t="inlineStr">
        <is>
          <t>Works at C1: Changes results across a sub-function or across products</t>
        </is>
      </c>
      <c r="X11" s="56" t="inlineStr">
        <is>
          <t>Drives a function's or department's results and costs</t>
        </is>
      </c>
      <c r="Y11" s="56" t="inlineStr">
        <is>
          <t>Already works at D1: Owns a business line's P&amp;L and growth, or a company-wide function</t>
        </is>
      </c>
      <c r="Z11" s="34" t="inlineStr">
        <is>
          <t>L</t>
        </is>
      </c>
      <c r="AA11" s="85" t="inlineStr">
        <is>
          <t>Less experience than the band's typical 12–17 yrs</t>
        </is>
      </c>
      <c r="AB11" s="85" t="inlineStr">
        <is>
          <t>Typical for the band: 12–17 yrs · market — yrs</t>
        </is>
      </c>
      <c r="AC11" s="85" t="inlineStr">
        <is>
          <t>More experience than the band's typical 12–17 yrs</t>
        </is>
      </c>
      <c r="AD11" s="34" t="inlineStr">
        <is>
          <t>L</t>
        </is>
      </c>
      <c r="AE11" s="85" t="inlineStr">
        <is>
          <t>Below: Postgraduate / professional qualification preferred</t>
        </is>
      </c>
      <c r="AF11" s="85" t="inlineStr">
        <is>
          <t>Postgraduate / professional qualification preferred</t>
        </is>
      </c>
      <c r="AG11" s="85" t="inlineStr">
        <is>
          <t>Above: Postgraduate / professional qualification preferred</t>
        </is>
      </c>
      <c r="AH11" s="44" t="inlineStr">
        <is>
          <t>43.3 · 18 · 10.7 · 15 · 8 · 4 · 1</t>
        </is>
      </c>
      <c r="AI11" s="38" t="inlineStr">
        <is>
          <t>12–17 yrs</t>
        </is>
      </c>
      <c r="AJ11" s="38" t="inlineStr">
        <is>
          <t>5–8 managers / associate heads</t>
        </is>
      </c>
      <c r="AK11" s="38" t="inlineStr">
        <is>
          <t>P7 / M6 · SFIA 6 Initiate, influence</t>
        </is>
      </c>
      <c r="AL11"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2" ht="120" customHeight="1">
      <c r="A12" s="88" t="inlineStr">
        <is>
          <t>C2</t>
        </is>
      </c>
      <c r="B12" s="29" t="inlineStr">
        <is>
          <t>Band C · Principal / Head</t>
        </is>
      </c>
      <c r="C12" s="29" t="inlineStr">
        <is>
          <t>Band C · Principal specialist</t>
        </is>
      </c>
      <c r="D12" s="29" t="inlineStr">
        <is>
          <t>Senior Principal / Architect</t>
        </is>
      </c>
      <c r="E12" s="29" t="inlineStr">
        <is>
          <t>— no role at this level today</t>
        </is>
      </c>
      <c r="F12" s="34" t="inlineStr">
        <is>
          <t>H</t>
        </is>
      </c>
      <c r="G12" s="84" t="inlineStr">
        <is>
          <t>Works at C1: Ambiguous, cross-product problems</t>
        </is>
      </c>
      <c r="H12" s="84" t="inlineStr">
        <is>
          <t>Function-wide or company-wide problems; creates methods and standards</t>
        </is>
      </c>
      <c r="I12" s="84" t="inlineStr">
        <is>
          <t>Already works at D1: Competing strategic, financial and regulatory priorities</t>
        </is>
      </c>
      <c r="J12" s="34" t="inlineStr">
        <is>
          <t>M</t>
        </is>
      </c>
      <c r="K12" s="84" t="inlineStr">
        <is>
          <t>Works at C1: Sets direction for a sub-function or domain</t>
        </is>
      </c>
      <c r="L12" s="84" t="inlineStr">
        <is>
          <t>Sets direction for a function</t>
        </is>
      </c>
      <c r="M12" s="84" t="inlineStr">
        <is>
          <t>Already works at D1: Sets business-line direction, pricing and investment</t>
        </is>
      </c>
      <c r="N12" s="34" t="inlineStr">
        <is>
          <t>M</t>
        </is>
      </c>
      <c r="O12" s="84" t="inlineStr">
        <is>
          <t>Works at C1: Sub-function results or domain quality across products</t>
        </is>
      </c>
      <c r="P12" s="84" t="inlineStr">
        <is>
          <t>Function results, budget and risk</t>
        </is>
      </c>
      <c r="Q12" s="84" t="inlineStr">
        <is>
          <t>Already works at D1: Business-line P&amp;L and market position</t>
        </is>
      </c>
      <c r="R12" s="34" t="inlineStr">
        <is>
          <t>L</t>
        </is>
      </c>
      <c r="S12" s="56" t="inlineStr">
        <is>
          <t>Works at C1: Leads managers or a community of practice</t>
        </is>
      </c>
      <c r="T12" s="56" t="inlineStr">
        <is>
          <t>Leads a function; shapes functional strategy</t>
        </is>
      </c>
      <c r="U12" s="56" t="inlineStr">
        <is>
          <t>Already works at D1: Defines business strategy; builds the leadership bench</t>
        </is>
      </c>
      <c r="V12" s="34" t="inlineStr">
        <is>
          <t>M</t>
        </is>
      </c>
      <c r="W12" s="56" t="inlineStr">
        <is>
          <t>Works at C1: Changes results across a sub-function or across products</t>
        </is>
      </c>
      <c r="X12" s="56" t="inlineStr">
        <is>
          <t>Drives a function's or department's results and costs</t>
        </is>
      </c>
      <c r="Y12" s="56" t="inlineStr">
        <is>
          <t>Already works at D1: Owns a business line's P&amp;L and growth, or a company-wide function</t>
        </is>
      </c>
      <c r="Z12" s="34" t="inlineStr">
        <is>
          <t>L</t>
        </is>
      </c>
      <c r="AA12" s="85" t="inlineStr">
        <is>
          <t>Less experience than the band's typical 12–17 yrs</t>
        </is>
      </c>
      <c r="AB12" s="85" t="inlineStr">
        <is>
          <t>Typical for the band: 12–17 yrs · market — yrs</t>
        </is>
      </c>
      <c r="AC12" s="85" t="inlineStr">
        <is>
          <t>More experience than the band's typical 12–17 yrs</t>
        </is>
      </c>
      <c r="AD12" s="34" t="inlineStr">
        <is>
          <t>L</t>
        </is>
      </c>
      <c r="AE12" s="85" t="inlineStr">
        <is>
          <t>Below: Postgraduate / professional qualification preferred</t>
        </is>
      </c>
      <c r="AF12" s="85" t="inlineStr">
        <is>
          <t>Postgraduate / professional qualification preferred</t>
        </is>
      </c>
      <c r="AG12" s="85" t="inlineStr">
        <is>
          <t>Above: Postgraduate / professional qualification preferred</t>
        </is>
      </c>
      <c r="AH12" s="44" t="inlineStr">
        <is>
          <t>54.3 · 17.7 · 10.3 · 5 · 7.7 · 4 · 1</t>
        </is>
      </c>
      <c r="AI12" s="38" t="inlineStr">
        <is>
          <t>12–17 yrs</t>
        </is>
      </c>
      <c r="AJ12" s="38" t="inlineStr">
        <is>
          <t>5–8 managers / associate heads</t>
        </is>
      </c>
      <c r="AK12" s="38" t="inlineStr">
        <is>
          <t>P7 / M6 · SFIA 6 Initiate, influence</t>
        </is>
      </c>
      <c r="AL12"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3" ht="120" customHeight="1">
      <c r="A13" s="88" t="inlineStr">
        <is>
          <t>C1</t>
        </is>
      </c>
      <c r="B13" s="29" t="inlineStr">
        <is>
          <t>Band C · Principal / Head</t>
        </is>
      </c>
      <c r="C13" s="29" t="inlineStr">
        <is>
          <t>Band C · Head / manager</t>
        </is>
      </c>
      <c r="D13" s="29" t="inlineStr">
        <is>
          <t>Associate Head</t>
        </is>
      </c>
      <c r="E13" s="29" t="inlineStr">
        <is>
          <t>Customer Success Leadership · Associate Head – Customer Success</t>
        </is>
      </c>
      <c r="F13" s="34" t="inlineStr">
        <is>
          <t>H</t>
        </is>
      </c>
      <c r="G13" s="84" t="inlineStr">
        <is>
          <t>Works at B3: Sets standards for a practice; cross-team problems</t>
        </is>
      </c>
      <c r="H13" s="84" t="inlineStr">
        <is>
          <t>Ambiguous, cross-product problems</t>
        </is>
      </c>
      <c r="I13" s="84" t="inlineStr">
        <is>
          <t>Already works at C2: Function-wide or company-wide problems; creates methods and standards</t>
        </is>
      </c>
      <c r="J13" s="34" t="inlineStr">
        <is>
          <t>M</t>
        </is>
      </c>
      <c r="K13" s="84" t="inlineStr">
        <is>
          <t>Works at B3: Commercial / strategic calls for the unit</t>
        </is>
      </c>
      <c r="L13" s="84" t="inlineStr">
        <is>
          <t>Sets direction for a sub-function or domain</t>
        </is>
      </c>
      <c r="M13" s="84" t="inlineStr">
        <is>
          <t>Already works at C2: Sets direction for a function</t>
        </is>
      </c>
      <c r="N13" s="34" t="inlineStr">
        <is>
          <t>M</t>
        </is>
      </c>
      <c r="O13" s="84" t="inlineStr">
        <is>
          <t>Works at B3: Several teams or a practice</t>
        </is>
      </c>
      <c r="P13" s="84" t="inlineStr">
        <is>
          <t>Sub-function results or domain quality across products</t>
        </is>
      </c>
      <c r="Q13" s="84" t="inlineStr">
        <is>
          <t>Already works at C2: Function results, budget and risk</t>
        </is>
      </c>
      <c r="R13" s="34" t="inlineStr">
        <is>
          <t>M</t>
        </is>
      </c>
      <c r="S13" s="56" t="inlineStr">
        <is>
          <t>Works at B3: IC: leads a practice · People: team leads / managers report in</t>
        </is>
      </c>
      <c r="T13" s="56" t="inlineStr">
        <is>
          <t>Leads managers or a community of practice</t>
        </is>
      </c>
      <c r="U13" s="56" t="inlineStr">
        <is>
          <t>Already works at C2: Leads a function; shapes functional strategy</t>
        </is>
      </c>
      <c r="V13" s="34" t="inlineStr">
        <is>
          <t>M</t>
        </is>
      </c>
      <c r="W13" s="56" t="inlineStr">
        <is>
          <t>Works at B3: Shapes the results of a practice or several teams</t>
        </is>
      </c>
      <c r="X13" s="56" t="inlineStr">
        <is>
          <t>Changes results across a sub-function or across products · purpose: Leads the customer success &amp; support function. At C1: a sub-function, or principal authority across products.</t>
        </is>
      </c>
      <c r="Y13" s="56" t="inlineStr">
        <is>
          <t>Already works at C2: Drives a function's or department's results and costs</t>
        </is>
      </c>
      <c r="Z13" s="34" t="inlineStr">
        <is>
          <t>L</t>
        </is>
      </c>
      <c r="AA13" s="85" t="inlineStr">
        <is>
          <t>Less experience than the band's typical 10–14 yrs</t>
        </is>
      </c>
      <c r="AB13" s="85" t="inlineStr">
        <is>
          <t>Typical for the band: 10–14 yrs · market 12–17 yrs</t>
        </is>
      </c>
      <c r="AC13" s="85" t="inlineStr">
        <is>
          <t>More experience than the band's typical 10–14 yrs</t>
        </is>
      </c>
      <c r="AD13" s="34" t="inlineStr">
        <is>
          <t>L</t>
        </is>
      </c>
      <c r="AE13" s="85" t="inlineStr">
        <is>
          <t>Below: Postgraduate or professional qualification preferred</t>
        </is>
      </c>
      <c r="AF13" s="85" t="inlineStr">
        <is>
          <t>Postgraduate / professional qualification preferred</t>
        </is>
      </c>
      <c r="AG13" s="85" t="inlineStr">
        <is>
          <t>Above: Postgraduate / professional qualification preferred</t>
        </is>
      </c>
      <c r="AH13" s="44" t="inlineStr">
        <is>
          <t>43.3 · 18 · 10.7 · 15 · 8 · 4 · 1</t>
        </is>
      </c>
      <c r="AI13" s="38" t="inlineStr">
        <is>
          <t>12–17</t>
        </is>
      </c>
      <c r="AJ13" s="38" t="inlineStr">
        <is>
          <t>5–8, mostly managers</t>
        </is>
      </c>
      <c r="AK13" s="38" t="inlineStr">
        <is>
          <t>P6 / M5 · SFIA 5–6</t>
        </is>
      </c>
      <c r="AL13"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4" ht="120" customHeight="1">
      <c r="A14" s="88" t="inlineStr">
        <is>
          <t>C1</t>
        </is>
      </c>
      <c r="B14" s="29" t="inlineStr">
        <is>
          <t>Band C · Principal / Head</t>
        </is>
      </c>
      <c r="C14" s="29" t="inlineStr">
        <is>
          <t>Band C · Principal specialist</t>
        </is>
      </c>
      <c r="D14" s="29" t="inlineStr">
        <is>
          <t>Principal</t>
        </is>
      </c>
      <c r="E14" s="29" t="inlineStr">
        <is>
          <t>Customer Success Leadership · Associate Head – Customer Success</t>
        </is>
      </c>
      <c r="F14" s="34" t="inlineStr">
        <is>
          <t>H</t>
        </is>
      </c>
      <c r="G14" s="84" t="inlineStr">
        <is>
          <t>Works at B3: Sets standards for a practice; cross-team problems</t>
        </is>
      </c>
      <c r="H14" s="84" t="inlineStr">
        <is>
          <t>Ambiguous, cross-product problems</t>
        </is>
      </c>
      <c r="I14" s="84" t="inlineStr">
        <is>
          <t>Already works at C2: Function-wide or company-wide problems; creates methods and standards</t>
        </is>
      </c>
      <c r="J14" s="34" t="inlineStr">
        <is>
          <t>M</t>
        </is>
      </c>
      <c r="K14" s="84" t="inlineStr">
        <is>
          <t>Works at B3: Commercial / strategic calls for the unit</t>
        </is>
      </c>
      <c r="L14" s="84" t="inlineStr">
        <is>
          <t>Sets direction for a sub-function or domain</t>
        </is>
      </c>
      <c r="M14" s="84" t="inlineStr">
        <is>
          <t>Already works at C2: Sets direction for a function</t>
        </is>
      </c>
      <c r="N14" s="34" t="inlineStr">
        <is>
          <t>M</t>
        </is>
      </c>
      <c r="O14" s="84" t="inlineStr">
        <is>
          <t>Works at B3: Several teams or a practice</t>
        </is>
      </c>
      <c r="P14" s="84" t="inlineStr">
        <is>
          <t>Sub-function results or domain quality across products</t>
        </is>
      </c>
      <c r="Q14" s="84" t="inlineStr">
        <is>
          <t>Already works at C2: Function results, budget and risk</t>
        </is>
      </c>
      <c r="R14" s="34" t="inlineStr">
        <is>
          <t>L</t>
        </is>
      </c>
      <c r="S14" s="56" t="inlineStr">
        <is>
          <t>Works at B3: IC: leads a practice · People: team leads / managers report in</t>
        </is>
      </c>
      <c r="T14" s="56" t="inlineStr">
        <is>
          <t>Leads managers or a community of practice</t>
        </is>
      </c>
      <c r="U14" s="56" t="inlineStr">
        <is>
          <t>Already works at C2: Leads a function; shapes functional strategy</t>
        </is>
      </c>
      <c r="V14" s="34" t="inlineStr">
        <is>
          <t>M</t>
        </is>
      </c>
      <c r="W14" s="56" t="inlineStr">
        <is>
          <t>Works at B3: Shapes the results of a practice or several teams</t>
        </is>
      </c>
      <c r="X14" s="56" t="inlineStr">
        <is>
          <t>Changes results across a sub-function or across products · purpose: Leads the customer success &amp; support function. At C1: a sub-function, or principal authority across products.</t>
        </is>
      </c>
      <c r="Y14" s="56" t="inlineStr">
        <is>
          <t>Already works at C2: Drives a function's or department's results and costs</t>
        </is>
      </c>
      <c r="Z14" s="34" t="inlineStr">
        <is>
          <t>L</t>
        </is>
      </c>
      <c r="AA14" s="85" t="inlineStr">
        <is>
          <t>Less experience than the band's typical 10–14 yrs</t>
        </is>
      </c>
      <c r="AB14" s="85" t="inlineStr">
        <is>
          <t>Typical for the band: 10–14 yrs · market 12–17 yrs</t>
        </is>
      </c>
      <c r="AC14" s="85" t="inlineStr">
        <is>
          <t>More experience than the band's typical 10–14 yrs</t>
        </is>
      </c>
      <c r="AD14" s="34" t="inlineStr">
        <is>
          <t>L</t>
        </is>
      </c>
      <c r="AE14" s="85" t="inlineStr">
        <is>
          <t>Below: Postgraduate or professional qualification preferred</t>
        </is>
      </c>
      <c r="AF14" s="85" t="inlineStr">
        <is>
          <t>Postgraduate / professional qualification preferred</t>
        </is>
      </c>
      <c r="AG14" s="85" t="inlineStr">
        <is>
          <t>Above: Postgraduate / professional qualification preferred</t>
        </is>
      </c>
      <c r="AH14" s="44" t="inlineStr">
        <is>
          <t>54.3 · 17.7 · 10.3 · 5 · 7.7 · 4 · 1</t>
        </is>
      </c>
      <c r="AI14" s="38" t="inlineStr">
        <is>
          <t>12–17</t>
        </is>
      </c>
      <c r="AJ14" s="38" t="inlineStr">
        <is>
          <t>5–8, mostly managers</t>
        </is>
      </c>
      <c r="AK14" s="38" t="inlineStr">
        <is>
          <t>P6 / M5 · SFIA 5–6</t>
        </is>
      </c>
      <c r="AL14"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5" ht="120" customHeight="1">
      <c r="A15" s="89" t="inlineStr">
        <is>
          <t>B+</t>
        </is>
      </c>
      <c r="B15" s="29" t="inlineStr">
        <is>
          <t>B+ · Player-Coach</t>
        </is>
      </c>
      <c r="C15" s="29" t="inlineStr">
        <is>
          <t>B+ · Player-Coach</t>
        </is>
      </c>
      <c r="D15" s="29" t="inlineStr">
        <is>
          <t>Practice Lead · Player-Coach</t>
        </is>
      </c>
      <c r="E15" s="29" t="inlineStr">
        <is>
          <t>— no role at this level today</t>
        </is>
      </c>
      <c r="F15" s="34" t="inlineStr">
        <is>
          <t>H</t>
        </is>
      </c>
      <c r="G15" s="84" t="inlineStr">
        <is>
          <t>Works at B3: Sets standards for a practice; cross-team problems</t>
        </is>
      </c>
      <c r="H15" s="84" t="inlineStr">
        <is>
          <t>Principal-level problems in own domain; sets technical or quality standards and still builds</t>
        </is>
      </c>
      <c r="I15" s="84" t="inlineStr">
        <is>
          <t>Already works at C1: Ambiguous, cross-product problems</t>
        </is>
      </c>
      <c r="J15" s="34" t="inlineStr">
        <is>
          <t>M</t>
        </is>
      </c>
      <c r="K15" s="84" t="inlineStr">
        <is>
          <t>Works at B3: Commercial / strategic calls for the unit</t>
        </is>
      </c>
      <c r="L15" s="84" t="inlineStr">
        <is>
          <t>Decides approach and priorities for the practice; escalates only cross-function trade-offs</t>
        </is>
      </c>
      <c r="M15" s="84" t="inlineStr">
        <is>
          <t>Already works at C1: Sets direction for a sub-function or domain</t>
        </is>
      </c>
      <c r="N15" s="34" t="inlineStr">
        <is>
          <t>M</t>
        </is>
      </c>
      <c r="O15" s="84" t="inlineStr">
        <is>
          <t>Works at B3: Several teams or a practice</t>
        </is>
      </c>
      <c r="P15" s="84" t="inlineStr">
        <is>
          <t>Practice outcomes plus own deliverables; quality and delivery of the team</t>
        </is>
      </c>
      <c r="Q15" s="84" t="inlineStr">
        <is>
          <t>Already works at C1: Sub-function results or domain quality across products</t>
        </is>
      </c>
      <c r="R15" s="34" t="inlineStr">
        <is>
          <t>M</t>
        </is>
      </c>
      <c r="S15" s="56" t="inlineStr">
        <is>
          <t>Works at B3: IC: leads a practice · People: team leads / managers report in</t>
        </is>
      </c>
      <c r="T15" s="56" t="inlineStr">
        <is>
          <t>Leads 3–6 people · or a pod while remaining a hands-on expert; coaches, allocates, reviews</t>
        </is>
      </c>
      <c r="U15" s="56" t="inlineStr">
        <is>
          <t>Already works at C1: Leads managers or a community of practice</t>
        </is>
      </c>
      <c r="V15" s="34" t="inlineStr">
        <is>
          <t>M</t>
        </is>
      </c>
      <c r="W15" s="56" t="inlineStr">
        <is>
          <t>Works at B3: Shapes the results of a practice or several teams</t>
        </is>
      </c>
      <c r="X15" s="56" t="inlineStr">
        <is>
          <t>Drives a practice's results while delivering the hardest work</t>
        </is>
      </c>
      <c r="Y15" s="56" t="inlineStr">
        <is>
          <t>Already works at C1: Changes results across a sub-function or across products</t>
        </is>
      </c>
      <c r="Z15" s="34" t="inlineStr">
        <is>
          <t>L</t>
        </is>
      </c>
      <c r="AA15" s="85" t="inlineStr">
        <is>
          <t>Less experience than the band's typical 9–14 yrs</t>
        </is>
      </c>
      <c r="AB15" s="85" t="inlineStr">
        <is>
          <t>Typical for the band: 9–14 yrs · market 9–14 yrs</t>
        </is>
      </c>
      <c r="AC15" s="85" t="inlineStr">
        <is>
          <t>More experience than the band's typical 9–14 yrs</t>
        </is>
      </c>
      <c r="AD15" s="34" t="inlineStr">
        <is>
          <t>L</t>
        </is>
      </c>
      <c r="AE15" s="85" t="inlineStr">
        <is>
          <t>Below: Postgraduate or professional qualification preferred</t>
        </is>
      </c>
      <c r="AF15" s="85" t="inlineStr">
        <is>
          <t>Postgraduate or professional qualification preferred</t>
        </is>
      </c>
      <c r="AG15" s="85" t="inlineStr">
        <is>
          <t>Above: Postgraduate / professional qualification preferred</t>
        </is>
      </c>
      <c r="AH15" s="44" t="inlineStr">
        <is>
          <t>44 · 17.7 · 10.3 · 10 · 7.7 · 6 · 4</t>
        </is>
      </c>
      <c r="AI15" s="38" t="inlineStr">
        <is>
          <t>9–14</t>
        </is>
      </c>
      <c r="AJ15" s="38" t="inlineStr">
        <is>
          <t>3–6 direct reports with ≥ 40% of time on own delivery · McKinsey player/coach 3–5; Google Tech Lead Manager</t>
        </is>
      </c>
      <c r="AK15" s="38" t="inlineStr">
        <is>
          <t>P5–P6 / M4–M5 · SFIA 5 Ensure, advise</t>
        </is>
      </c>
      <c r="AL15"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6" ht="120" customHeight="1">
      <c r="A16" s="90" t="inlineStr">
        <is>
          <t>B3</t>
        </is>
      </c>
      <c r="B16" s="29" t="inlineStr">
        <is>
          <t>Band B · Specialist / Manager</t>
        </is>
      </c>
      <c r="C16" s="29" t="inlineStr">
        <is>
          <t>Band B · People Manager</t>
        </is>
      </c>
      <c r="D16" s="29" t="inlineStr">
        <is>
          <t>Senior Manager</t>
        </is>
      </c>
      <c r="E16" s="29" t="inlineStr">
        <is>
          <t>— no role at this level today</t>
        </is>
      </c>
      <c r="F16" s="34" t="inlineStr">
        <is>
          <t>H</t>
        </is>
      </c>
      <c r="G16" s="84" t="inlineStr">
        <is>
          <t>Works at B2: Hardest problems in the domain</t>
        </is>
      </c>
      <c r="H16" s="84" t="inlineStr">
        <is>
          <t>Sets standards for a practice; cross-team problems</t>
        </is>
      </c>
      <c r="I16" s="84" t="inlineStr">
        <is>
          <t>Already works at C1: Ambiguous, cross-product problems</t>
        </is>
      </c>
      <c r="J16" s="34" t="inlineStr">
        <is>
          <t>M</t>
        </is>
      </c>
      <c r="K16" s="84" t="inlineStr">
        <is>
          <t>Works at B2: Allocates people and sets team priorities</t>
        </is>
      </c>
      <c r="L16" s="84" t="inlineStr">
        <is>
          <t>Commercial / strategic calls for the unit</t>
        </is>
      </c>
      <c r="M16" s="84" t="inlineStr">
        <is>
          <t>Already works at C1: Sets direction for a sub-function or domain</t>
        </is>
      </c>
      <c r="N16" s="34" t="inlineStr">
        <is>
          <t>M</t>
        </is>
      </c>
      <c r="O16" s="84" t="inlineStr">
        <is>
          <t>Works at B2: One team or a client portfolio</t>
        </is>
      </c>
      <c r="P16" s="84" t="inlineStr">
        <is>
          <t>Several teams or a practice</t>
        </is>
      </c>
      <c r="Q16" s="84" t="inlineStr">
        <is>
          <t>Already works at C1: Sub-function results or domain quality across products</t>
        </is>
      </c>
      <c r="R16" s="34" t="inlineStr">
        <is>
          <t>M</t>
        </is>
      </c>
      <c r="S16" s="56" t="inlineStr">
        <is>
          <t>Works at B2: IC: guides others in the domain · People: manages a team of 6+</t>
        </is>
      </c>
      <c r="T16" s="56" t="inlineStr">
        <is>
          <t>IC: leads a practice · People: team leads / managers report in</t>
        </is>
      </c>
      <c r="U16" s="56" t="inlineStr">
        <is>
          <t>Already works at C1: Leads managers or a community of practice</t>
        </is>
      </c>
      <c r="V16" s="34" t="inlineStr">
        <is>
          <t>M</t>
        </is>
      </c>
      <c r="W16" s="56" t="inlineStr">
        <is>
          <t>Works at B2: Visible effect on a team's or client portfolio's revenue, quality or compliance</t>
        </is>
      </c>
      <c r="X16" s="56" t="inlineStr">
        <is>
          <t>Shapes the results of a practice or several teams</t>
        </is>
      </c>
      <c r="Y16" s="56" t="inlineStr">
        <is>
          <t>Already works at C1: Changes results across a sub-function or across products</t>
        </is>
      </c>
      <c r="Z16" s="34" t="inlineStr">
        <is>
          <t>L</t>
        </is>
      </c>
      <c r="AA16" s="85" t="inlineStr">
        <is>
          <t>Less experience than the band's typical 8–12 yrs</t>
        </is>
      </c>
      <c r="AB16" s="85" t="inlineStr">
        <is>
          <t>Typical for the band: 8–12 yrs · market 8–13 yrs</t>
        </is>
      </c>
      <c r="AC16" s="85" t="inlineStr">
        <is>
          <t>More experience than the band's typical 8–12 yrs</t>
        </is>
      </c>
      <c r="AD16" s="34" t="inlineStr">
        <is>
          <t>L</t>
        </is>
      </c>
      <c r="AE16" s="85" t="inlineStr">
        <is>
          <t>Below: Graduate or postgraduate; professional qualification preferred</t>
        </is>
      </c>
      <c r="AF16" s="85" t="inlineStr">
        <is>
          <t>Postgraduate or professional qualification preferred</t>
        </is>
      </c>
      <c r="AG16" s="85" t="inlineStr">
        <is>
          <t>Above: Postgraduate / professional qualification preferred</t>
        </is>
      </c>
      <c r="AH16" s="44" t="inlineStr">
        <is>
          <t>37 · 18.3 · 11.3 · 15 · 8.7 · 6 · 4</t>
        </is>
      </c>
      <c r="AI16" s="38" t="inlineStr">
        <is>
          <t>8–13</t>
        </is>
      </c>
      <c r="AJ16" s="38" t="inlineStr">
        <is>
          <t>IC: none · People: 5–8 incl. team leads</t>
        </is>
      </c>
      <c r="AK16" s="38" t="inlineStr">
        <is>
          <t>P5 / M4 · SFIA 5 Ensure, advise</t>
        </is>
      </c>
      <c r="AL16"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7" ht="120" customHeight="1">
      <c r="A17" s="90" t="inlineStr">
        <is>
          <t>B3</t>
        </is>
      </c>
      <c r="B17" s="29" t="inlineStr">
        <is>
          <t>Band B · Specialist / Manager</t>
        </is>
      </c>
      <c r="C17" s="29" t="inlineStr">
        <is>
          <t>Band B · Specialist / POD Lead</t>
        </is>
      </c>
      <c r="D17" s="29" t="inlineStr">
        <is>
          <t>Lead Specialist</t>
        </is>
      </c>
      <c r="E17" s="29" t="inlineStr">
        <is>
          <t>— no role at this level today</t>
        </is>
      </c>
      <c r="F17" s="34" t="inlineStr">
        <is>
          <t>H</t>
        </is>
      </c>
      <c r="G17" s="84" t="inlineStr">
        <is>
          <t>Works at B2: Hardest problems in the domain</t>
        </is>
      </c>
      <c r="H17" s="84" t="inlineStr">
        <is>
          <t>Sets standards for a practice; cross-team problems</t>
        </is>
      </c>
      <c r="I17" s="84" t="inlineStr">
        <is>
          <t>Already works at C1: Ambiguous, cross-product problems</t>
        </is>
      </c>
      <c r="J17" s="34" t="inlineStr">
        <is>
          <t>M</t>
        </is>
      </c>
      <c r="K17" s="84" t="inlineStr">
        <is>
          <t>Works at B2: Allocates people and sets team priorities</t>
        </is>
      </c>
      <c r="L17" s="84" t="inlineStr">
        <is>
          <t>Commercial / strategic calls for the unit</t>
        </is>
      </c>
      <c r="M17" s="84" t="inlineStr">
        <is>
          <t>Already works at C1: Sets direction for a sub-function or domain</t>
        </is>
      </c>
      <c r="N17" s="34" t="inlineStr">
        <is>
          <t>M</t>
        </is>
      </c>
      <c r="O17" s="84" t="inlineStr">
        <is>
          <t>Works at B2: One team or a client portfolio</t>
        </is>
      </c>
      <c r="P17" s="84" t="inlineStr">
        <is>
          <t>Several teams or a practice</t>
        </is>
      </c>
      <c r="Q17" s="84" t="inlineStr">
        <is>
          <t>Already works at C1: Sub-function results or domain quality across products</t>
        </is>
      </c>
      <c r="R17" s="34" t="inlineStr">
        <is>
          <t>L</t>
        </is>
      </c>
      <c r="S17" s="56" t="inlineStr">
        <is>
          <t>Works at B2: IC: guides others in the domain · People: manages a team of 6+</t>
        </is>
      </c>
      <c r="T17" s="56" t="inlineStr">
        <is>
          <t>IC: leads a practice · People: team leads / managers report in</t>
        </is>
      </c>
      <c r="U17" s="56" t="inlineStr">
        <is>
          <t>Already works at C1: Leads managers or a community of practice</t>
        </is>
      </c>
      <c r="V17" s="34" t="inlineStr">
        <is>
          <t>M</t>
        </is>
      </c>
      <c r="W17" s="56" t="inlineStr">
        <is>
          <t>Works at B2: Visible effect on a team's or client portfolio's revenue, quality or compliance</t>
        </is>
      </c>
      <c r="X17" s="56" t="inlineStr">
        <is>
          <t>Shapes the results of a practice or several teams</t>
        </is>
      </c>
      <c r="Y17" s="56" t="inlineStr">
        <is>
          <t>Already works at C1: Changes results across a sub-function or across products</t>
        </is>
      </c>
      <c r="Z17" s="34" t="inlineStr">
        <is>
          <t>L</t>
        </is>
      </c>
      <c r="AA17" s="85" t="inlineStr">
        <is>
          <t>Less experience than the band's typical 8–12 yrs</t>
        </is>
      </c>
      <c r="AB17" s="85" t="inlineStr">
        <is>
          <t>Typical for the band: 8–12 yrs · market 8–13 yrs</t>
        </is>
      </c>
      <c r="AC17" s="85" t="inlineStr">
        <is>
          <t>More experience than the band's typical 8–12 yrs</t>
        </is>
      </c>
      <c r="AD17" s="34" t="inlineStr">
        <is>
          <t>L</t>
        </is>
      </c>
      <c r="AE17" s="85" t="inlineStr">
        <is>
          <t>Below: Graduate or postgraduate; professional qualification preferred</t>
        </is>
      </c>
      <c r="AF17" s="85" t="inlineStr">
        <is>
          <t>Postgraduate or professional qualification preferred</t>
        </is>
      </c>
      <c r="AG17" s="85" t="inlineStr">
        <is>
          <t>Above: Postgraduate / professional qualification preferred</t>
        </is>
      </c>
      <c r="AH17" s="44" t="inlineStr">
        <is>
          <t>51.3 · 17.3 · 9.7 · 5 · 7 · 6 · 4</t>
        </is>
      </c>
      <c r="AI17" s="38" t="inlineStr">
        <is>
          <t>8–13</t>
        </is>
      </c>
      <c r="AJ17" s="38" t="inlineStr">
        <is>
          <t>IC: none · People: 5–8 incl. team leads</t>
        </is>
      </c>
      <c r="AK17" s="38" t="inlineStr">
        <is>
          <t>P5 / M4 · SFIA 5 Ensure, advise</t>
        </is>
      </c>
      <c r="AL17"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8" ht="120" customHeight="1">
      <c r="A18" s="90" t="inlineStr">
        <is>
          <t>B2</t>
        </is>
      </c>
      <c r="B18" s="29" t="inlineStr">
        <is>
          <t>Band B · Specialist / Manager</t>
        </is>
      </c>
      <c r="C18" s="29" t="inlineStr">
        <is>
          <t>Band B · People Manager</t>
        </is>
      </c>
      <c r="D18" s="29" t="inlineStr">
        <is>
          <t>Manager</t>
        </is>
      </c>
      <c r="E18" s="29" t="inlineStr">
        <is>
          <t>Application &amp; Product Support · Support Manager
Customer Success &amp; Account Management · Senior Customer Success Specialist · Senior Customer Success Specialist – POD Lead · Customer Success Specialist</t>
        </is>
      </c>
      <c r="F18" s="34" t="inlineStr">
        <is>
          <t>H</t>
        </is>
      </c>
      <c r="G18" s="84" t="inlineStr">
        <is>
          <t>Works at B1: Domain specialist work</t>
        </is>
      </c>
      <c r="H18" s="84" t="inlineStr">
        <is>
          <t>Hardest problems in the domain · in Customer Success &amp; Support: Tech Support · Domain Support · Communication · Domain Knowledge · Business Analysis · Platform knowledge · Sales</t>
        </is>
      </c>
      <c r="I18" s="84" t="inlineStr">
        <is>
          <t>Already works at B3: Sets standards for a practice; cross-team problems</t>
        </is>
      </c>
      <c r="J18" s="34" t="inlineStr">
        <is>
          <t>M</t>
        </is>
      </c>
      <c r="K18" s="84" t="inlineStr">
        <is>
          <t>Works at B1: Technical / QC / client calls for the domain</t>
        </is>
      </c>
      <c r="L18" s="84" t="inlineStr">
        <is>
          <t>Allocates people and sets team priorities</t>
        </is>
      </c>
      <c r="M18" s="84" t="inlineStr">
        <is>
          <t>Already works at B3: Commercial / strategic calls for the unit</t>
        </is>
      </c>
      <c r="N18" s="34" t="inlineStr">
        <is>
          <t>M</t>
        </is>
      </c>
      <c r="O18" s="84" t="inlineStr">
        <is>
          <t>Works at B1: A domain or a small team</t>
        </is>
      </c>
      <c r="P18" s="84" t="inlineStr">
        <is>
          <t>One team or a client portfolio</t>
        </is>
      </c>
      <c r="Q18" s="84" t="inlineStr">
        <is>
          <t>Already works at B3: Several teams or a practice</t>
        </is>
      </c>
      <c r="R18" s="34" t="inlineStr">
        <is>
          <t>M</t>
        </is>
      </c>
      <c r="S18" s="56" t="inlineStr">
        <is>
          <t>Works at B1: IC: mentors and reviews · People: hands-on team lead of 3–5</t>
        </is>
      </c>
      <c r="T18" s="56" t="inlineStr">
        <is>
          <t>IC: guides others in the domain · People: manages a team of 6+</t>
        </is>
      </c>
      <c r="U18" s="56" t="inlineStr">
        <is>
          <t>Already works at B3: IC: leads a practice · People: team leads / managers report in</t>
        </is>
      </c>
      <c r="V18" s="34" t="inlineStr">
        <is>
          <t>M</t>
        </is>
      </c>
      <c r="W18" s="56" t="inlineStr">
        <is>
          <t>Works at B1: Moves a module's, product area's or client account's results</t>
        </is>
      </c>
      <c r="X18" s="56" t="inlineStr">
        <is>
          <t>Visible effect on a team's or client portfolio's revenue, quality or compliance · purpose: Resolves client product and filing issues, troubleshoots, handles UAT/change requests and escalates to engineering. At B2: deep domain expertise, or one …</t>
        </is>
      </c>
      <c r="Y18" s="56" t="inlineStr">
        <is>
          <t>Already works at B3: Shapes the results of a practice or several teams</t>
        </is>
      </c>
      <c r="Z18" s="34" t="inlineStr">
        <is>
          <t>L</t>
        </is>
      </c>
      <c r="AA18" s="85" t="inlineStr">
        <is>
          <t>Less experience than the band's typical 6–9 yrs</t>
        </is>
      </c>
      <c r="AB18" s="85" t="inlineStr">
        <is>
          <t>Typical for the band: 6–9 yrs · market 6–10 yrs</t>
        </is>
      </c>
      <c r="AC18" s="85" t="inlineStr">
        <is>
          <t>More experience than the band's typical 6–9 yrs</t>
        </is>
      </c>
      <c r="AD18" s="34" t="inlineStr">
        <is>
          <t>L</t>
        </is>
      </c>
      <c r="AE18" s="85" t="inlineStr">
        <is>
          <t>Below: Graduate + relevant qualification or certification preferred</t>
        </is>
      </c>
      <c r="AF18" s="85" t="inlineStr">
        <is>
          <t>Graduate or postgraduate; professional qualification preferred</t>
        </is>
      </c>
      <c r="AG18" s="85" t="inlineStr">
        <is>
          <t>Above: Postgraduate or professional qualification preferred</t>
        </is>
      </c>
      <c r="AH18" s="44" t="inlineStr">
        <is>
          <t>37 · 18.3 · 11.3 · 15 · 8.7 · 6 · 4</t>
        </is>
      </c>
      <c r="AI18" s="38" t="inlineStr">
        <is>
          <t>6–10</t>
        </is>
      </c>
      <c r="AJ18" s="38" t="inlineStr">
        <is>
          <t>IC: none · People: 6–8 knowledge work, 8–12 standardised delivery</t>
        </is>
      </c>
      <c r="AK18" s="38" t="inlineStr">
        <is>
          <t>P4 / M3 · SFIA 4–5</t>
        </is>
      </c>
      <c r="AL18"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9" ht="120" customHeight="1">
      <c r="A19" s="90" t="inlineStr">
        <is>
          <t>B2</t>
        </is>
      </c>
      <c r="B19" s="29" t="inlineStr">
        <is>
          <t>Band B · Specialist / Manager</t>
        </is>
      </c>
      <c r="C19" s="29" t="inlineStr">
        <is>
          <t>Band B · Specialist / POD Lead</t>
        </is>
      </c>
      <c r="D19" s="29" t="inlineStr">
        <is>
          <t>Senior Specialist</t>
        </is>
      </c>
      <c r="E19" s="29" t="inlineStr">
        <is>
          <t>Application &amp; Product Support · Support Manager
Customer Success &amp; Account Management · Senior Customer Success Specialist · Senior Customer Success Specialist – POD Lead · Customer Success Specialist</t>
        </is>
      </c>
      <c r="F19" s="34" t="inlineStr">
        <is>
          <t>H</t>
        </is>
      </c>
      <c r="G19" s="84" t="inlineStr">
        <is>
          <t>Works at B1: Domain specialist work</t>
        </is>
      </c>
      <c r="H19" s="84" t="inlineStr">
        <is>
          <t>Hardest problems in the domain · in Customer Success &amp; Support: Tech Support · Domain Support · Communication · Domain Knowledge · Business Analysis · Platform knowledge · Sales</t>
        </is>
      </c>
      <c r="I19" s="84" t="inlineStr">
        <is>
          <t>Already works at B3: Sets standards for a practice; cross-team problems</t>
        </is>
      </c>
      <c r="J19" s="34" t="inlineStr">
        <is>
          <t>M</t>
        </is>
      </c>
      <c r="K19" s="84" t="inlineStr">
        <is>
          <t>Works at B1: Technical / QC / client calls for the domain</t>
        </is>
      </c>
      <c r="L19" s="84" t="inlineStr">
        <is>
          <t>Allocates people and sets team priorities</t>
        </is>
      </c>
      <c r="M19" s="84" t="inlineStr">
        <is>
          <t>Already works at B3: Commercial / strategic calls for the unit</t>
        </is>
      </c>
      <c r="N19" s="34" t="inlineStr">
        <is>
          <t>M</t>
        </is>
      </c>
      <c r="O19" s="84" t="inlineStr">
        <is>
          <t>Works at B1: A domain or a small team</t>
        </is>
      </c>
      <c r="P19" s="84" t="inlineStr">
        <is>
          <t>One team or a client portfolio</t>
        </is>
      </c>
      <c r="Q19" s="84" t="inlineStr">
        <is>
          <t>Already works at B3: Several teams or a practice</t>
        </is>
      </c>
      <c r="R19" s="34" t="inlineStr">
        <is>
          <t>L</t>
        </is>
      </c>
      <c r="S19" s="56" t="inlineStr">
        <is>
          <t>Works at B1: IC: mentors and reviews · People: hands-on team lead of 3–5</t>
        </is>
      </c>
      <c r="T19" s="56" t="inlineStr">
        <is>
          <t>IC: guides others in the domain · People: manages a team of 6+</t>
        </is>
      </c>
      <c r="U19" s="56" t="inlineStr">
        <is>
          <t>Already works at B3: IC: leads a practice · People: team leads / managers report in</t>
        </is>
      </c>
      <c r="V19" s="34" t="inlineStr">
        <is>
          <t>M</t>
        </is>
      </c>
      <c r="W19" s="56" t="inlineStr">
        <is>
          <t>Works at B1: Moves a module's, product area's or client account's results</t>
        </is>
      </c>
      <c r="X19" s="56" t="inlineStr">
        <is>
          <t>Visible effect on a team's or client portfolio's revenue, quality or compliance · purpose: Resolves client product and filing issues, troubleshoots, handles UAT/change requests and escalates to engineering. At B2: deep domain expertise, or one …</t>
        </is>
      </c>
      <c r="Y19" s="56" t="inlineStr">
        <is>
          <t>Already works at B3: Shapes the results of a practice or several teams</t>
        </is>
      </c>
      <c r="Z19" s="34" t="inlineStr">
        <is>
          <t>L</t>
        </is>
      </c>
      <c r="AA19" s="85" t="inlineStr">
        <is>
          <t>Less experience than the band's typical 6–9 yrs</t>
        </is>
      </c>
      <c r="AB19" s="85" t="inlineStr">
        <is>
          <t>Typical for the band: 6–9 yrs · market 6–10 yrs</t>
        </is>
      </c>
      <c r="AC19" s="85" t="inlineStr">
        <is>
          <t>More experience than the band's typical 6–9 yrs</t>
        </is>
      </c>
      <c r="AD19" s="34" t="inlineStr">
        <is>
          <t>L</t>
        </is>
      </c>
      <c r="AE19" s="85" t="inlineStr">
        <is>
          <t>Below: Graduate + relevant qualification or certification preferred</t>
        </is>
      </c>
      <c r="AF19" s="85" t="inlineStr">
        <is>
          <t>Graduate or postgraduate; professional qualification preferred</t>
        </is>
      </c>
      <c r="AG19" s="85" t="inlineStr">
        <is>
          <t>Above: Postgraduate or professional qualification preferred</t>
        </is>
      </c>
      <c r="AH19" s="44" t="inlineStr">
        <is>
          <t>51.3 · 17.3 · 9.7 · 5 · 7 · 6 · 4</t>
        </is>
      </c>
      <c r="AI19" s="38" t="inlineStr">
        <is>
          <t>6–10</t>
        </is>
      </c>
      <c r="AJ19" s="38" t="inlineStr">
        <is>
          <t>IC: none · People: 6–8 knowledge work, 8–12 standardised delivery</t>
        </is>
      </c>
      <c r="AK19" s="38" t="inlineStr">
        <is>
          <t>P4 / M3 · SFIA 4–5</t>
        </is>
      </c>
      <c r="AL19"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0" ht="120" customHeight="1">
      <c r="A20" s="90" t="inlineStr">
        <is>
          <t>B1</t>
        </is>
      </c>
      <c r="B20" s="29" t="inlineStr">
        <is>
          <t>Band B · Specialist / Manager</t>
        </is>
      </c>
      <c r="C20" s="29" t="inlineStr">
        <is>
          <t>Band B · People Manager</t>
        </is>
      </c>
      <c r="D20" s="29" t="inlineStr">
        <is>
          <t>Team Lead / Asst Manager</t>
        </is>
      </c>
      <c r="E20" s="29" t="inlineStr">
        <is>
          <t>Application &amp; Product Support · Support Specialist · Functional Specialist
Customer Success &amp; Account Management · Senior Customer Success Specialist – POD Lead · Senior Customer Success Specialist
Customer Training &amp; Enablement · Customer Enablement Specialist – POD Lead</t>
        </is>
      </c>
      <c r="F20" s="34" t="inlineStr">
        <is>
          <t>H</t>
        </is>
      </c>
      <c r="G20" s="84" t="inlineStr">
        <is>
          <t>Works at A3: Varied and non-standard work; handles exceptions</t>
        </is>
      </c>
      <c r="H20" s="84" t="inlineStr">
        <is>
          <t>Domain specialist work · in Customer Success &amp; Support: Tech Support</t>
        </is>
      </c>
      <c r="I20" s="84" t="inlineStr">
        <is>
          <t>Already works at B2: Hardest problems in the domain</t>
        </is>
      </c>
      <c r="J20" s="34" t="inlineStr">
        <is>
          <t>M</t>
        </is>
      </c>
      <c r="K20" s="84" t="inlineStr">
        <is>
          <t>Works at A3: Technical / QC / client calls on own work</t>
        </is>
      </c>
      <c r="L20" s="84" t="inlineStr">
        <is>
          <t>Technical / QC / client calls for the domain</t>
        </is>
      </c>
      <c r="M20" s="84" t="inlineStr">
        <is>
          <t>Already works at B2: Allocates people and sets team priorities</t>
        </is>
      </c>
      <c r="N20" s="34" t="inlineStr">
        <is>
          <t>M</t>
        </is>
      </c>
      <c r="O20" s="84" t="inlineStr">
        <is>
          <t>Works at A3: A module / process, or work with client or regulatory consequences</t>
        </is>
      </c>
      <c r="P20" s="84" t="inlineStr">
        <is>
          <t>A domain or a small team · KRA themes: Common themes in manager-set KRAs: accounts · csat · documentation · reduce · drive · keep</t>
        </is>
      </c>
      <c r="Q20" s="84" t="inlineStr">
        <is>
          <t>Already works at B2: One team or a client portfolio</t>
        </is>
      </c>
      <c r="R20" s="34" t="inlineStr">
        <is>
          <t>M</t>
        </is>
      </c>
      <c r="S20" s="56" t="inlineStr">
        <is>
          <t>Works at A3: contributes alone; guides others only informally</t>
        </is>
      </c>
      <c r="T20" s="56" t="inlineStr">
        <is>
          <t>IC: mentors and reviews · People: hands-on team lead of 3–5</t>
        </is>
      </c>
      <c r="U20" s="56" t="inlineStr">
        <is>
          <t>Already works at B2: IC: guides others in the domain · People: manages a team of 6+</t>
        </is>
      </c>
      <c r="V20" s="34" t="inlineStr">
        <is>
          <t>M</t>
        </is>
      </c>
      <c r="W20" s="56" t="inlineStr">
        <is>
          <t>Works at A3: A process or client deliverable depends on this work</t>
        </is>
      </c>
      <c r="X20" s="56" t="inlineStr">
        <is>
          <t>Moves a module's, product area's or client account's results · purpose: Resolves client product and filing issues, troubleshoots, handles UAT/change requests and escalates to engineering. At B1: a domain / module, or a small team.</t>
        </is>
      </c>
      <c r="Y20" s="56" t="inlineStr">
        <is>
          <t>Already works at B2: Visible effect on a team's or client portfolio's revenue, quality or compliance</t>
        </is>
      </c>
      <c r="Z20" s="34" t="inlineStr">
        <is>
          <t>L</t>
        </is>
      </c>
      <c r="AA20" s="85" t="inlineStr">
        <is>
          <t>Less experience than the band's typical 4–7 yrs</t>
        </is>
      </c>
      <c r="AB20" s="85" t="inlineStr">
        <is>
          <t>Typical for the band: 4–7 yrs · market 4–8 yrs</t>
        </is>
      </c>
      <c r="AC20" s="85" t="inlineStr">
        <is>
          <t>More experience than the band's typical 4–7 yrs</t>
        </is>
      </c>
      <c r="AD20" s="34" t="inlineStr">
        <is>
          <t>L</t>
        </is>
      </c>
      <c r="AE20" s="85" t="inlineStr">
        <is>
          <t>Below: Graduate; relevant certification preferred</t>
        </is>
      </c>
      <c r="AF20" s="85" t="inlineStr">
        <is>
          <t>Graduate + relevant qualification or certification preferred</t>
        </is>
      </c>
      <c r="AG20" s="85" t="inlineStr">
        <is>
          <t>Above: Graduate or postgraduate; professional qualification preferred</t>
        </is>
      </c>
      <c r="AH20" s="44" t="inlineStr">
        <is>
          <t>37 · 18.3 · 11.3 · 15 · 8.7 · 6 · 4</t>
        </is>
      </c>
      <c r="AI20" s="38" t="inlineStr">
        <is>
          <t>4–8</t>
        </is>
      </c>
      <c r="AJ20" s="38" t="inlineStr">
        <is>
          <t>IC: none · Team Lead: 3–5</t>
        </is>
      </c>
      <c r="AK20" s="38" t="inlineStr">
        <is>
          <t>P3 / M2 · SFIA 4 Enable</t>
        </is>
      </c>
      <c r="AL20"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1" ht="120" customHeight="1">
      <c r="A21" s="90" t="inlineStr">
        <is>
          <t>B1</t>
        </is>
      </c>
      <c r="B21" s="29" t="inlineStr">
        <is>
          <t>Band B · Specialist / Manager</t>
        </is>
      </c>
      <c r="C21" s="29" t="inlineStr">
        <is>
          <t>Band B · Specialist / POD Lead</t>
        </is>
      </c>
      <c r="D21" s="29" t="inlineStr">
        <is>
          <t>Specialist</t>
        </is>
      </c>
      <c r="E21" s="29" t="inlineStr">
        <is>
          <t>Application &amp; Product Support · Support Specialist · Functional Specialist
Customer Success &amp; Account Management · Senior Customer Success Specialist – POD Lead · Senior Customer Success Specialist
Customer Training &amp; Enablement · Customer Enablement Specialist – POD Lead</t>
        </is>
      </c>
      <c r="F21" s="34" t="inlineStr">
        <is>
          <t>H</t>
        </is>
      </c>
      <c r="G21" s="84" t="inlineStr">
        <is>
          <t>Works at A3: Varied and non-standard work; handles exceptions</t>
        </is>
      </c>
      <c r="H21" s="84" t="inlineStr">
        <is>
          <t>Domain specialist work · in Customer Success &amp; Support: Tech Support</t>
        </is>
      </c>
      <c r="I21" s="84" t="inlineStr">
        <is>
          <t>Already works at B2: Hardest problems in the domain</t>
        </is>
      </c>
      <c r="J21" s="34" t="inlineStr">
        <is>
          <t>M</t>
        </is>
      </c>
      <c r="K21" s="84" t="inlineStr">
        <is>
          <t>Works at A3: Technical / QC / client calls on own work</t>
        </is>
      </c>
      <c r="L21" s="84" t="inlineStr">
        <is>
          <t>Technical / QC / client calls for the domain</t>
        </is>
      </c>
      <c r="M21" s="84" t="inlineStr">
        <is>
          <t>Already works at B2: Allocates people and sets team priorities</t>
        </is>
      </c>
      <c r="N21" s="34" t="inlineStr">
        <is>
          <t>M</t>
        </is>
      </c>
      <c r="O21" s="84" t="inlineStr">
        <is>
          <t>Works at A3: A module / process, or work with client or regulatory consequences</t>
        </is>
      </c>
      <c r="P21" s="84" t="inlineStr">
        <is>
          <t>A domain or a small team · KRA themes: Common themes in manager-set KRAs: accounts · csat · documentation · reduce · drive · keep</t>
        </is>
      </c>
      <c r="Q21" s="84" t="inlineStr">
        <is>
          <t>Already works at B2: One team or a client portfolio</t>
        </is>
      </c>
      <c r="R21" s="34" t="inlineStr">
        <is>
          <t>L</t>
        </is>
      </c>
      <c r="S21" s="56" t="inlineStr">
        <is>
          <t>Works at A3: contributes alone; guides others only informally</t>
        </is>
      </c>
      <c r="T21" s="56" t="inlineStr">
        <is>
          <t>IC: mentors and reviews · People: hands-on team lead of 3–5</t>
        </is>
      </c>
      <c r="U21" s="56" t="inlineStr">
        <is>
          <t>Already works at B2: IC: guides others in the domain · People: manages a team of 6+</t>
        </is>
      </c>
      <c r="V21" s="34" t="inlineStr">
        <is>
          <t>M</t>
        </is>
      </c>
      <c r="W21" s="56" t="inlineStr">
        <is>
          <t>Works at A3: A process or client deliverable depends on this work</t>
        </is>
      </c>
      <c r="X21" s="56" t="inlineStr">
        <is>
          <t>Moves a module's, product area's or client account's results · purpose: Resolves client product and filing issues, troubleshoots, handles UAT/change requests and escalates to engineering. At B1: a domain / module, or a small team.</t>
        </is>
      </c>
      <c r="Y21" s="56" t="inlineStr">
        <is>
          <t>Already works at B2: Visible effect on a team's or client portfolio's revenue, quality or compliance</t>
        </is>
      </c>
      <c r="Z21" s="34" t="inlineStr">
        <is>
          <t>L</t>
        </is>
      </c>
      <c r="AA21" s="85" t="inlineStr">
        <is>
          <t>Less experience than the band's typical 4–7 yrs</t>
        </is>
      </c>
      <c r="AB21" s="85" t="inlineStr">
        <is>
          <t>Typical for the band: 4–7 yrs · market 4–8 yrs</t>
        </is>
      </c>
      <c r="AC21" s="85" t="inlineStr">
        <is>
          <t>More experience than the band's typical 4–7 yrs</t>
        </is>
      </c>
      <c r="AD21" s="34" t="inlineStr">
        <is>
          <t>L</t>
        </is>
      </c>
      <c r="AE21" s="85" t="inlineStr">
        <is>
          <t>Below: Graduate; relevant certification preferred</t>
        </is>
      </c>
      <c r="AF21" s="85" t="inlineStr">
        <is>
          <t>Graduate + relevant qualification or certification preferred</t>
        </is>
      </c>
      <c r="AG21" s="85" t="inlineStr">
        <is>
          <t>Above: Graduate or postgraduate; professional qualification preferred</t>
        </is>
      </c>
      <c r="AH21" s="44" t="inlineStr">
        <is>
          <t>51.3 · 17.3 · 9.7 · 5 · 7 · 6 · 4</t>
        </is>
      </c>
      <c r="AI21" s="38" t="inlineStr">
        <is>
          <t>4–8</t>
        </is>
      </c>
      <c r="AJ21" s="38" t="inlineStr">
        <is>
          <t>IC: none · Team Lead: 3–5</t>
        </is>
      </c>
      <c r="AK21" s="38" t="inlineStr">
        <is>
          <t>P3 / M2 · SFIA 4 Enable</t>
        </is>
      </c>
      <c r="AL21"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2" ht="120" customHeight="1">
      <c r="A22" s="91" t="inlineStr">
        <is>
          <t>A3</t>
        </is>
      </c>
      <c r="B22" s="29" t="inlineStr">
        <is>
          <t>Band A · Practitioner</t>
        </is>
      </c>
      <c r="C22" s="29" t="inlineStr">
        <is>
          <t>Band A · all tracks</t>
        </is>
      </c>
      <c r="D22" s="29" t="inlineStr">
        <is>
          <t>Senior Associate</t>
        </is>
      </c>
      <c r="E22" s="29" t="inlineStr">
        <is>
          <t>Application &amp; Product Support · Senior Support Executive · Support Specialist
Customer Success &amp; Account Management · Senior Customer Success Executive</t>
        </is>
      </c>
      <c r="F22" s="34" t="inlineStr">
        <is>
          <t>H</t>
        </is>
      </c>
      <c r="G22" s="84" t="inlineStr">
        <is>
          <t>Works at A2: Standard work of the discipline</t>
        </is>
      </c>
      <c r="H22" s="84" t="inlineStr">
        <is>
          <t>Varied and non-standard work; handles exceptions · in Customer Success &amp; Support: Tech Support · Domain Support · Domain Knowledge · Platform knowledge · Business Analysis</t>
        </is>
      </c>
      <c r="I22" s="84" t="inlineStr">
        <is>
          <t>Already works at B1: Domain specialist work</t>
        </is>
      </c>
      <c r="J22" s="34" t="inlineStr">
        <is>
          <t>M</t>
        </is>
      </c>
      <c r="K22" s="84" t="inlineStr">
        <is>
          <t>Works at A2: Chooses own approach within standards</t>
        </is>
      </c>
      <c r="L22" s="84" t="inlineStr">
        <is>
          <t>Technical / QC / client calls on own work</t>
        </is>
      </c>
      <c r="M22" s="84" t="inlineStr">
        <is>
          <t>Already works at B1: Technical / QC / client calls for the domain</t>
        </is>
      </c>
      <c r="N22" s="34" t="inlineStr">
        <is>
          <t>M</t>
        </is>
      </c>
      <c r="O22" s="84" t="inlineStr">
        <is>
          <t>Works at A2: Own deliverables · accuracy, TAT</t>
        </is>
      </c>
      <c r="P22" s="84" t="inlineStr">
        <is>
          <t>A module / process, or work with client or regulatory consequences · KRA themes: Common themes in manager-set KRAs: resolve · accounts · maintain accurate · accurate up-to-date · escalations owned · tickets/queries sla</t>
        </is>
      </c>
      <c r="Q22" s="84" t="inlineStr">
        <is>
          <t>Already works at B1: A domain or a small team</t>
        </is>
      </c>
      <c r="R22" s="34" t="inlineStr">
        <is>
          <t>L</t>
        </is>
      </c>
      <c r="S22" s="56" t="inlineStr">
        <is>
          <t>Works at A2: contributes alone; guides others only informally</t>
        </is>
      </c>
      <c r="T22" s="56" t="inlineStr">
        <is>
          <t>Helps peers and newer people informally · None · guides 1–3 juniors informally</t>
        </is>
      </c>
      <c r="U22" s="56" t="inlineStr">
        <is>
          <t>Already works at B1: IC: mentors and reviews · People: hands-on team lead of 3–5</t>
        </is>
      </c>
      <c r="V22" s="34" t="inlineStr">
        <is>
          <t>M</t>
        </is>
      </c>
      <c r="W22" s="56" t="inlineStr">
        <is>
          <t>Works at A2: Own deliverables feed a team's output and turnaround</t>
        </is>
      </c>
      <c r="X22" s="56" t="inlineStr">
        <is>
          <t>A process or client deliverable depends on this work · purpose: Resolves client product and filing issues, troubleshoots, handles UAT/change requests and escalates to engineering. At A3: varied work; reviews juniors; go-to …</t>
        </is>
      </c>
      <c r="Y22" s="56" t="inlineStr">
        <is>
          <t>Already works at B1: Moves a module's, product area's or client account's results</t>
        </is>
      </c>
      <c r="Z22" s="34" t="inlineStr">
        <is>
          <t>L</t>
        </is>
      </c>
      <c r="AA22" s="85" t="inlineStr">
        <is>
          <t>Less experience than the band's typical 2–4 yrs</t>
        </is>
      </c>
      <c r="AB22" s="85" t="inlineStr">
        <is>
          <t>Typical for the band: 2–4 yrs · market 2–5 yrs</t>
        </is>
      </c>
      <c r="AC22" s="85" t="inlineStr">
        <is>
          <t>More experience than the band's typical 2–4 yrs</t>
        </is>
      </c>
      <c r="AD22" s="34" t="inlineStr">
        <is>
          <t>L</t>
        </is>
      </c>
      <c r="AE22" s="85" t="inlineStr">
        <is>
          <t>Below: Graduate · or diploma with experience</t>
        </is>
      </c>
      <c r="AF22" s="85" t="inlineStr">
        <is>
          <t>Graduate; relevant certification preferred</t>
        </is>
      </c>
      <c r="AG22" s="85" t="inlineStr">
        <is>
          <t>Above: Graduate + relevant qualification or certification preferred</t>
        </is>
      </c>
      <c r="AH22" s="44" t="inlineStr">
        <is>
          <t>58.3 · 16 · 9 · 0 · 6.3 · 6 · 4</t>
        </is>
      </c>
      <c r="AI22" s="38" t="inlineStr">
        <is>
          <t>2–5</t>
        </is>
      </c>
      <c r="AJ22" s="38" t="inlineStr">
        <is>
          <t>None · guides 1–3 juniors informally</t>
        </is>
      </c>
      <c r="AK22" s="38" t="inlineStr">
        <is>
          <t>P2 · SFIA 3 Apply</t>
        </is>
      </c>
      <c r="AL22"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3" ht="120" customHeight="1">
      <c r="A23" s="91" t="inlineStr">
        <is>
          <t>A2</t>
        </is>
      </c>
      <c r="B23" s="29" t="inlineStr">
        <is>
          <t>Band A · Practitioner</t>
        </is>
      </c>
      <c r="C23" s="29" t="inlineStr">
        <is>
          <t>Band A · all tracks</t>
        </is>
      </c>
      <c r="D23" s="29" t="inlineStr">
        <is>
          <t>Associate</t>
        </is>
      </c>
      <c r="E23" s="29" t="inlineStr">
        <is>
          <t>Application &amp; Product Support · Support Executive</t>
        </is>
      </c>
      <c r="F23" s="34" t="inlineStr">
        <is>
          <t>H</t>
        </is>
      </c>
      <c r="G23" s="84" t="inlineStr">
        <is>
          <t>Works at A1: Learning; follows worked examples</t>
        </is>
      </c>
      <c r="H23" s="84" t="inlineStr">
        <is>
          <t>Standard work of the discipline · in Customer Success &amp; Support: Tech Support · Domain Support · Communication · Domain Knowledge · Business Analysis · Platform knowledge · Sales</t>
        </is>
      </c>
      <c r="I23" s="84" t="inlineStr">
        <is>
          <t>Already works at A3: Varied and non-standard work; handles exceptions</t>
        </is>
      </c>
      <c r="J23" s="34" t="inlineStr">
        <is>
          <t>M</t>
        </is>
      </c>
      <c r="K23" s="84" t="inlineStr">
        <is>
          <t>Works at A1: Needs approval / close guidance</t>
        </is>
      </c>
      <c r="L23" s="84" t="inlineStr">
        <is>
          <t>Chooses own approach within standards</t>
        </is>
      </c>
      <c r="M23" s="84" t="inlineStr">
        <is>
          <t>Already works at A3: Technical / QC / client calls on own work</t>
        </is>
      </c>
      <c r="N23" s="34" t="inlineStr">
        <is>
          <t>M</t>
        </is>
      </c>
      <c r="O23" s="84" t="inlineStr">
        <is>
          <t>Works at A1: Learning tasks</t>
        </is>
      </c>
      <c r="P23" s="84" t="inlineStr">
        <is>
          <t>Own deliverables · accuracy, TAT</t>
        </is>
      </c>
      <c r="Q23" s="84" t="inlineStr">
        <is>
          <t>Already works at A3: A module / process, or work with client or regulatory consequences</t>
        </is>
      </c>
      <c r="R23" s="34" t="inlineStr">
        <is>
          <t>L</t>
        </is>
      </c>
      <c r="S23" s="56" t="inlineStr">
        <is>
          <t>Works at A1: contributes alone; guides others only informally</t>
        </is>
      </c>
      <c r="T23" s="56" t="inlineStr">
        <is>
          <t>Helps peers and newer people informally · No direct reports</t>
        </is>
      </c>
      <c r="U23" s="56" t="inlineStr">
        <is>
          <t>Already works at A3: Not scored in Band A</t>
        </is>
      </c>
      <c r="V23" s="34" t="inlineStr">
        <is>
          <t>M</t>
        </is>
      </c>
      <c r="W23" s="56" t="inlineStr">
        <is>
          <t>Works at A1: Learning; little direct effect on business results yet</t>
        </is>
      </c>
      <c r="X23" s="56" t="inlineStr">
        <is>
          <t>Own deliverables feed a team's output and turnaround · purpose: Resolves client product and filing issues, troubleshoots, handles UAT/change requests and escalates to engineering. At A2: standard work delivered …</t>
        </is>
      </c>
      <c r="Y23" s="56" t="inlineStr">
        <is>
          <t>Already works at A3: A process or client deliverable depends on this work</t>
        </is>
      </c>
      <c r="Z23" s="34" t="inlineStr">
        <is>
          <t>L</t>
        </is>
      </c>
      <c r="AA23" s="85" t="inlineStr">
        <is>
          <t>Less experience than the band's typical 0–2 yrs</t>
        </is>
      </c>
      <c r="AB23" s="85" t="inlineStr">
        <is>
          <t>Typical for the band: 0–2 yrs · market 0–3 yrs</t>
        </is>
      </c>
      <c r="AC23" s="85" t="inlineStr">
        <is>
          <t>More experience than the band's typical 0–2 yrs</t>
        </is>
      </c>
      <c r="AD23" s="34" t="inlineStr">
        <is>
          <t>L</t>
        </is>
      </c>
      <c r="AE23" s="85" t="inlineStr">
        <is>
          <t>Below: Pursuing or completed graduation / diploma</t>
        </is>
      </c>
      <c r="AF23" s="85" t="inlineStr">
        <is>
          <t>Graduate · or diploma with experience</t>
        </is>
      </c>
      <c r="AG23" s="85" t="inlineStr">
        <is>
          <t>Above: Graduate; relevant certification preferred</t>
        </is>
      </c>
      <c r="AH23" s="44" t="inlineStr">
        <is>
          <t>58.3 · 16 · 9 · 0 · 6.3 · 6 · 4</t>
        </is>
      </c>
      <c r="AI23" s="38" t="inlineStr">
        <is>
          <t>0–3</t>
        </is>
      </c>
      <c r="AJ23" s="38" t="inlineStr">
        <is>
          <t>No direct reports</t>
        </is>
      </c>
      <c r="AK23" s="38" t="inlineStr">
        <is>
          <t>P1–P2 · SFIA 2 Assist</t>
        </is>
      </c>
      <c r="AL23"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4" ht="120" customHeight="1">
      <c r="A24" s="91" t="inlineStr">
        <is>
          <t>A1</t>
        </is>
      </c>
      <c r="B24" s="29" t="inlineStr">
        <is>
          <t>Band A · Practitioner</t>
        </is>
      </c>
      <c r="C24" s="29" t="inlineStr">
        <is>
          <t>Band A · all tracks</t>
        </is>
      </c>
      <c r="D24" s="29" t="inlineStr">
        <is>
          <t>Intern / Trainee</t>
        </is>
      </c>
      <c r="E24" s="29" t="inlineStr">
        <is>
          <t>Application &amp; Product Support · Intern – Application &amp; Product Support</t>
        </is>
      </c>
      <c r="F24" s="34" t="inlineStr">
        <is>
          <t>H</t>
        </is>
      </c>
      <c r="G24" s="84" t="inlineStr">
        <is>
          <t>Not yet at the entry standard · in induction</t>
        </is>
      </c>
      <c r="H24" s="84" t="inlineStr">
        <is>
          <t>Learning; follows worked examples · in Customer Success &amp; Support: Tech Support · Domain Support · Communication · Domain Knowledge · Business Analysis · Platform knowledge · Sales</t>
        </is>
      </c>
      <c r="I24" s="84" t="inlineStr">
        <is>
          <t>Already works at A2: Standard work of the discipline</t>
        </is>
      </c>
      <c r="J24" s="34" t="inlineStr">
        <is>
          <t>M</t>
        </is>
      </c>
      <c r="K24" s="84" t="inlineStr">
        <is>
          <t>Not yet at the entry standard · in induction</t>
        </is>
      </c>
      <c r="L24" s="84" t="inlineStr">
        <is>
          <t>Needs approval / close guidance</t>
        </is>
      </c>
      <c r="M24" s="84" t="inlineStr">
        <is>
          <t>Already works at A2: Chooses own approach within standards</t>
        </is>
      </c>
      <c r="N24" s="34" t="inlineStr">
        <is>
          <t>M</t>
        </is>
      </c>
      <c r="O24" s="84" t="inlineStr">
        <is>
          <t>Not yet at the entry standard · in induction</t>
        </is>
      </c>
      <c r="P24" s="84" t="inlineStr">
        <is>
          <t>Learning tasks</t>
        </is>
      </c>
      <c r="Q24" s="84" t="inlineStr">
        <is>
          <t>Already works at A2: Own deliverables · accuracy, TAT</t>
        </is>
      </c>
      <c r="R24" s="34" t="inlineStr">
        <is>
          <t>L</t>
        </is>
      </c>
      <c r="S24" s="56" t="inlineStr">
        <is>
          <t>Not yet at the entry standard · in induction</t>
        </is>
      </c>
      <c r="T24" s="56" t="inlineStr">
        <is>
          <t>Helps peers and newer people informally · No direct reports</t>
        </is>
      </c>
      <c r="U24" s="56" t="inlineStr">
        <is>
          <t>Already works at A2: Not scored in Band A</t>
        </is>
      </c>
      <c r="V24" s="34" t="inlineStr">
        <is>
          <t>M</t>
        </is>
      </c>
      <c r="W24" s="56" t="inlineStr">
        <is>
          <t>Not yet at the entry standard · in induction</t>
        </is>
      </c>
      <c r="X24" s="56" t="inlineStr">
        <is>
          <t>Learning; little direct effect on business results yet · purpose: Resolves client product and filing issues, troubleshoots, handles UAT/change requests and escalates to engineering. At A1: learning the role; all work …</t>
        </is>
      </c>
      <c r="Y24" s="56" t="inlineStr">
        <is>
          <t>Already works at A2: Own deliverables feed a team's output and turnaround</t>
        </is>
      </c>
      <c r="Z24" s="34" t="inlineStr">
        <is>
          <t>L</t>
        </is>
      </c>
      <c r="AA24" s="85" t="inlineStr">
        <is>
          <t>Less experience than the band's typical 0 yrs · fresher / intern</t>
        </is>
      </c>
      <c r="AB24" s="85" t="inlineStr">
        <is>
          <t>Typical for the band: 0 yrs · fresher / intern · market — yrs</t>
        </is>
      </c>
      <c r="AC24" s="85" t="inlineStr">
        <is>
          <t>More experience than the band's typical 0 yrs · fresher / intern</t>
        </is>
      </c>
      <c r="AD24" s="34" t="inlineStr">
        <is>
          <t>L</t>
        </is>
      </c>
      <c r="AE24" s="85" t="inlineStr">
        <is>
          <t>Below graduation · still studying</t>
        </is>
      </c>
      <c r="AF24" s="85" t="inlineStr">
        <is>
          <t>Pursuing or completed graduation / diploma</t>
        </is>
      </c>
      <c r="AG24" s="85" t="inlineStr">
        <is>
          <t>Above: Graduate · or diploma with experience</t>
        </is>
      </c>
      <c r="AH24" s="44" t="inlineStr">
        <is>
          <t>58.3 · 16 · 9 · 0 · 6.3 · 6 · 4</t>
        </is>
      </c>
      <c r="AI24" s="38" t="inlineStr">
        <is>
          <t>0 yrs · fresher / intern</t>
        </is>
      </c>
      <c r="AJ24" s="38" t="inlineStr">
        <is>
          <t>No direct reports</t>
        </is>
      </c>
      <c r="AK24" s="38" t="inlineStr">
        <is>
          <t>Entry / P1 · intern · SFIA 1 Follow</t>
        </is>
      </c>
      <c r="AL24"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sheetData>
  <autoFilter ref="A5:AL24"/>
  <mergeCells count="1">
    <mergeCell ref="A2:N2"/>
  </mergeCells>
  <dataValidations count="1">
    <dataValidation sqref="F6 F7 F8 F9 F10 F11 F12 F13 F14 F15 F16 F17 F18 F19 F20 F21 F22 F23 F24 J6 J7 J8 J9 J10 J11 J12 J13 J14 J15 J16 J17 J18 J19 J20 J21 J22 J23 J24 N6 N7 N8 N9 N10 N11 N12 N13 N14 N15 N16 N17 N18 N19 N20 N21 N22 N23 N24 R6 R7 R8 R9 R10 R11 R12 R13 R14 R15 R16 R17 R18 R19 R20 R21 R22 R23 R24 V6 V7 V8 V9 V10 V11 V12 V13 V14 V15 V16 V17 V18 V19 V20 V21 V22 V23 V24 Z6 Z7 Z8 Z9 Z10 Z11 Z12 Z13 Z14 Z15 Z16 Z17 Z18 Z19 Z20 Z21 Z22 Z23 Z24 AD6 AD7 AD8 AD9 AD10 AD11 AD12 AD13 AD14 AD15 AD16 AD17 AD18 AD19 AD20 AD21 AD22 AD23 AD24" showDropDown="0" showInputMessage="0" showErrorMessage="0" allowBlank="1" type="list">
      <formula1>LIST_LMH</formula1>
    </dataValidation>
  </dataValidations>
  <hyperlinks>
    <hyperlink xmlns:r="http://schemas.openxmlformats.org/officeDocument/2006/relationships" ref="O1"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L24"/>
  <sheetViews>
    <sheetView zoomScale="85" workbookViewId="0">
      <pane xSplit="5" ySplit="5" topLeftCell="F6" activePane="bottomRight" state="frozen"/>
      <selection pane="topRight"/>
      <selection pane="bottomLeft"/>
      <selection pane="bottomRight" activeCell="A1" sqref="A1"/>
    </sheetView>
  </sheetViews>
  <sheetFormatPr baseColWidth="8" defaultRowHeight="15"/>
  <cols>
    <col width="7" customWidth="1" min="1" max="1"/>
    <col width="16" customWidth="1" min="2" max="2"/>
    <col width="18" customWidth="1" min="3" max="3"/>
    <col width="20" customWidth="1" min="4" max="4"/>
    <col width="34" customWidth="1" min="5" max="5"/>
    <col width="9" customWidth="1" min="6" max="6"/>
    <col width="30" customWidth="1" min="7" max="7"/>
    <col width="34" customWidth="1" min="8" max="8"/>
    <col width="30" customWidth="1" min="9" max="9"/>
    <col width="9" customWidth="1" min="10" max="10"/>
    <col width="30" customWidth="1" min="11" max="11"/>
    <col width="34" customWidth="1" min="12" max="12"/>
    <col width="30" customWidth="1" min="13" max="13"/>
    <col width="9" customWidth="1" min="14" max="14"/>
    <col width="30" customWidth="1" min="15" max="15"/>
    <col width="34" customWidth="1" min="16" max="16"/>
    <col width="30" customWidth="1" min="17" max="17"/>
    <col width="9" customWidth="1" min="18" max="18"/>
    <col width="30" customWidth="1" min="19" max="19"/>
    <col width="34" customWidth="1" min="20" max="20"/>
    <col width="30" customWidth="1" min="21" max="21"/>
    <col width="9" customWidth="1" min="22" max="22"/>
    <col width="30" customWidth="1" min="23" max="23"/>
    <col width="34" customWidth="1" min="24" max="24"/>
    <col width="30" customWidth="1" min="25" max="25"/>
    <col width="9" customWidth="1" min="26" max="26"/>
    <col width="30" customWidth="1" min="27" max="27"/>
    <col width="34" customWidth="1" min="28" max="28"/>
    <col width="30" customWidth="1" min="29" max="29"/>
    <col width="9" customWidth="1" min="30" max="30"/>
    <col width="30" customWidth="1" min="31" max="31"/>
    <col width="34" customWidth="1" min="32" max="32"/>
    <col width="30" customWidth="1" min="33" max="33"/>
    <col width="26" customWidth="1" min="34" max="34"/>
    <col width="16" customWidth="1" min="35" max="35"/>
    <col width="22" customWidth="1" min="36" max="36"/>
    <col width="18" customWidth="1" min="37" max="37"/>
    <col width="40" customWidth="1" min="38" max="38"/>
  </cols>
  <sheetData>
    <row r="1" ht="24" customHeight="1">
      <c r="A1" s="1" t="inlineStr">
        <is>
          <t>Role &amp; band matrix — Data &amp; Analytics</t>
        </is>
      </c>
      <c r="O1" s="7" t="inlineStr">
        <is>
          <t>◂ Start</t>
        </is>
      </c>
    </row>
    <row r="2" ht="30" customHeight="1">
      <c r="A2" s="2" t="inlineStr">
        <is>
          <t>What Low, Medium and High mean for each of the seven parameters at every level of Data &amp; Analytics, and how much each parameter counts · main type of work: Service delivery &amp; data operations. Medium is the band as described; Low is the level below; High is the level above. Change a yellow weightage and every role, department ladder and person in this family recalculates.</t>
        </is>
      </c>
    </row>
    <row r="3">
      <c r="A3" s="3" t="inlineStr">
        <is>
          <t>IRIS · Job Architecture &amp; Job Design · Final v1.15 · October 2026 · Internal — Confidential · HR only</t>
        </is>
      </c>
    </row>
    <row r="4" ht="30" customHeight="1">
      <c r="A4" s="6" t="inlineStr">
        <is>
          <t>LEVEL</t>
        </is>
      </c>
      <c r="B4" s="6" t="n"/>
      <c r="C4" s="6" t="n"/>
      <c r="D4" s="6" t="n"/>
      <c r="E4" s="6" t="n"/>
      <c r="F4" s="45" t="inlineStr">
        <is>
          <t>COMPLEXITY &amp; EXPERTISE</t>
        </is>
      </c>
      <c r="G4" s="45" t="n"/>
      <c r="H4" s="45" t="n"/>
      <c r="I4" s="45" t="n"/>
      <c r="J4" s="45" t="inlineStr">
        <is>
          <t>AUTONOMY &amp; DECISION</t>
        </is>
      </c>
      <c r="K4" s="45" t="n"/>
      <c r="L4" s="45" t="n"/>
      <c r="M4" s="45" t="n"/>
      <c r="N4" s="45" t="inlineStr">
        <is>
          <t>ACCOUNTABILITY &amp; IMPACT</t>
        </is>
      </c>
      <c r="O4" s="45" t="n"/>
      <c r="P4" s="45" t="n"/>
      <c r="Q4" s="45" t="n"/>
      <c r="R4" s="47" t="inlineStr">
        <is>
          <t>LEADERSHIP &amp; STRATEGY</t>
        </is>
      </c>
      <c r="S4" s="47" t="n"/>
      <c r="T4" s="47" t="n"/>
      <c r="U4" s="47" t="n"/>
      <c r="V4" s="47" t="inlineStr">
        <is>
          <t>BUSINESS IMPACT</t>
        </is>
      </c>
      <c r="W4" s="47" t="n"/>
      <c r="X4" s="47" t="n"/>
      <c r="Y4" s="47" t="n"/>
      <c r="Z4" s="81" t="inlineStr">
        <is>
          <t>EXPERIENCE</t>
        </is>
      </c>
      <c r="AA4" s="81" t="n"/>
      <c r="AB4" s="81" t="n"/>
      <c r="AC4" s="81" t="n"/>
      <c r="AD4" s="81" t="inlineStr">
        <is>
          <t>EDUCATION</t>
        </is>
      </c>
      <c r="AE4" s="81" t="n"/>
      <c r="AF4" s="81" t="n"/>
      <c r="AG4" s="81" t="n"/>
      <c r="AH4" s="20" t="inlineStr">
        <is>
          <t>MARKET BENCHMARK &amp; REFERENCES</t>
        </is>
      </c>
      <c r="AI4" s="20" t="n"/>
      <c r="AJ4" s="20" t="n"/>
      <c r="AK4" s="20" t="n"/>
      <c r="AL4" s="20" t="n"/>
    </row>
    <row r="5" ht="60" customHeight="1">
      <c r="A5" s="22" t="inlineStr">
        <is>
          <t>Level</t>
        </is>
      </c>
      <c r="B5" s="22" t="inlineStr">
        <is>
          <t>Band</t>
        </is>
      </c>
      <c r="C5" s="22" t="inlineStr">
        <is>
          <t>Role group</t>
        </is>
      </c>
      <c r="D5" s="22" t="inlineStr">
        <is>
          <t>Level title</t>
        </is>
      </c>
      <c r="E5" s="22" t="inlineStr">
        <is>
          <t>Roles at this level in this family</t>
        </is>
      </c>
      <c r="F5" s="48" t="inlineStr">
        <is>
          <t>Weightage · L/M/H</t>
        </is>
      </c>
      <c r="G5" s="48" t="inlineStr">
        <is>
          <t>Low</t>
        </is>
      </c>
      <c r="H5" s="48" t="inlineStr">
        <is>
          <t>Medium</t>
        </is>
      </c>
      <c r="I5" s="48" t="inlineStr">
        <is>
          <t>High</t>
        </is>
      </c>
      <c r="J5" s="48" t="inlineStr">
        <is>
          <t>Weightage · L/M/H</t>
        </is>
      </c>
      <c r="K5" s="48" t="inlineStr">
        <is>
          <t>Low</t>
        </is>
      </c>
      <c r="L5" s="48" t="inlineStr">
        <is>
          <t>Medium</t>
        </is>
      </c>
      <c r="M5" s="48" t="inlineStr">
        <is>
          <t>High</t>
        </is>
      </c>
      <c r="N5" s="48" t="inlineStr">
        <is>
          <t>Weightage · L/M/H</t>
        </is>
      </c>
      <c r="O5" s="48" t="inlineStr">
        <is>
          <t>Low</t>
        </is>
      </c>
      <c r="P5" s="48" t="inlineStr">
        <is>
          <t>Medium</t>
        </is>
      </c>
      <c r="Q5" s="48" t="inlineStr">
        <is>
          <t>High</t>
        </is>
      </c>
      <c r="R5" s="50" t="inlineStr">
        <is>
          <t>Weightage · L/M/H</t>
        </is>
      </c>
      <c r="S5" s="50" t="inlineStr">
        <is>
          <t>Low</t>
        </is>
      </c>
      <c r="T5" s="50" t="inlineStr">
        <is>
          <t>Medium</t>
        </is>
      </c>
      <c r="U5" s="50" t="inlineStr">
        <is>
          <t>High</t>
        </is>
      </c>
      <c r="V5" s="50" t="inlineStr">
        <is>
          <t>Weightage · L/M/H</t>
        </is>
      </c>
      <c r="W5" s="50" t="inlineStr">
        <is>
          <t>Low</t>
        </is>
      </c>
      <c r="X5" s="50" t="inlineStr">
        <is>
          <t>Medium</t>
        </is>
      </c>
      <c r="Y5" s="50" t="inlineStr">
        <is>
          <t>High</t>
        </is>
      </c>
      <c r="Z5" s="82" t="inlineStr">
        <is>
          <t>Weightage · L/M/H</t>
        </is>
      </c>
      <c r="AA5" s="82" t="inlineStr">
        <is>
          <t>Low</t>
        </is>
      </c>
      <c r="AB5" s="82" t="inlineStr">
        <is>
          <t>Medium</t>
        </is>
      </c>
      <c r="AC5" s="82" t="inlineStr">
        <is>
          <t>High</t>
        </is>
      </c>
      <c r="AD5" s="82" t="inlineStr">
        <is>
          <t>Weightage · L/M/H</t>
        </is>
      </c>
      <c r="AE5" s="82" t="inlineStr">
        <is>
          <t>Low</t>
        </is>
      </c>
      <c r="AF5" s="82" t="inlineStr">
        <is>
          <t>Medium</t>
        </is>
      </c>
      <c r="AG5" s="82" t="inlineStr">
        <is>
          <t>High</t>
        </is>
      </c>
      <c r="AH5" s="26" t="inlineStr">
        <is>
          <t>Market weight % · C · Au · Ac · L · BI · Exp · Edu</t>
        </is>
      </c>
      <c r="AI5" s="26" t="inlineStr">
        <is>
          <t>Market experience · yrs</t>
        </is>
      </c>
      <c r="AJ5" s="26" t="inlineStr">
        <is>
          <t>Span norm</t>
        </is>
      </c>
      <c r="AK5" s="26" t="inlineStr">
        <is>
          <t>Radford / Mercer · SFIA 9</t>
        </is>
      </c>
      <c r="AL5" s="26" t="inlineStr">
        <is>
          <t>References</t>
        </is>
      </c>
    </row>
    <row r="6" ht="120" customHeight="1">
      <c r="A6" s="83" t="inlineStr">
        <is>
          <t>E2</t>
        </is>
      </c>
      <c r="B6" s="29" t="inlineStr">
        <is>
          <t>Band E · Enterprise leadership</t>
        </is>
      </c>
      <c r="C6" s="29" t="inlineStr">
        <is>
          <t>Bands D–E · Leadership</t>
        </is>
      </c>
      <c r="D6" s="29" t="inlineStr">
        <is>
          <t>Chief Executive Officer</t>
        </is>
      </c>
      <c r="E6" s="29" t="inlineStr">
        <is>
          <t>— no role at this level today</t>
        </is>
      </c>
      <c r="F6" s="34" t="inlineStr">
        <is>
          <t>H</t>
        </is>
      </c>
      <c r="G6" s="84" t="inlineStr">
        <is>
          <t>Works at E1: Enterprise-level functional strategy</t>
        </is>
      </c>
      <c r="H6" s="84" t="inlineStr">
        <is>
          <t>Enterprise-wide uncertainty, transformation and external forces</t>
        </is>
      </c>
      <c r="I6" s="84" t="inlineStr">
        <is>
          <t>Beyond the role · a board-level mandate</t>
        </is>
      </c>
      <c r="J6" s="34" t="inlineStr">
        <is>
          <t>M</t>
        </is>
      </c>
      <c r="K6" s="84" t="inlineStr">
        <is>
          <t>Works at E1: Sets enterprise priorities for the function</t>
        </is>
      </c>
      <c r="L6" s="84" t="inlineStr">
        <is>
          <t>Accountable to the board</t>
        </is>
      </c>
      <c r="M6" s="84" t="inlineStr">
        <is>
          <t>Beyond the role · a board-level mandate</t>
        </is>
      </c>
      <c r="N6" s="34" t="inlineStr">
        <is>
          <t>M</t>
        </is>
      </c>
      <c r="O6" s="84" t="inlineStr">
        <is>
          <t>Works at E1: Enterprise-wide functional results</t>
        </is>
      </c>
      <c r="P6" s="84" t="inlineStr">
        <is>
          <t>Enterprise results, risk, culture and long-term viability</t>
        </is>
      </c>
      <c r="Q6" s="84" t="inlineStr">
        <is>
          <t>Beyond the role · a board-level mandate</t>
        </is>
      </c>
      <c r="R6" s="34" t="inlineStr">
        <is>
          <t>M</t>
        </is>
      </c>
      <c r="S6" s="56" t="inlineStr">
        <is>
          <t>Works at E1: Shapes enterprise strategy</t>
        </is>
      </c>
      <c r="T6" s="56" t="inlineStr">
        <is>
          <t>Sets enterprise strategy; leads the executive team</t>
        </is>
      </c>
      <c r="U6" s="56" t="inlineStr">
        <is>
          <t>Beyond the role · a board-level mandate</t>
        </is>
      </c>
      <c r="V6" s="34" t="inlineStr">
        <is>
          <t>L</t>
        </is>
      </c>
      <c r="W6" s="56" t="inlineStr">
        <is>
          <t>Works at E1: Shapes company-wide results through a function</t>
        </is>
      </c>
      <c r="X6" s="56" t="inlineStr">
        <is>
          <t>Answers for the whole company's results and long-term value</t>
        </is>
      </c>
      <c r="Y6" s="56" t="inlineStr">
        <is>
          <t>Beyond the role · a board-level mandate</t>
        </is>
      </c>
      <c r="Z6" s="34" t="inlineStr">
        <is>
          <t>L</t>
        </is>
      </c>
      <c r="AA6" s="85" t="inlineStr">
        <is>
          <t>Less experience than the band's typical 20+ yrs</t>
        </is>
      </c>
      <c r="AB6" s="85" t="inlineStr">
        <is>
          <t>Typical for the band: 20+ yrs · market — yrs</t>
        </is>
      </c>
      <c r="AC6" s="85" t="inlineStr">
        <is>
          <t>More experience than the band's typical 20+ yrs</t>
        </is>
      </c>
      <c r="AD6" s="34" t="inlineStr">
        <is>
          <t>L</t>
        </is>
      </c>
      <c r="AE6" s="85" t="inlineStr">
        <is>
          <t>Below: Postgraduate / professional qualification; business leadership record</t>
        </is>
      </c>
      <c r="AF6" s="85" t="inlineStr">
        <is>
          <t>Postgraduate / professional qualification; proven business leadership</t>
        </is>
      </c>
      <c r="AG6" s="85" t="inlineStr">
        <is>
          <t>Board-level credentials beyond the role's need</t>
        </is>
      </c>
      <c r="AH6" s="44" t="inlineStr">
        <is>
          <t>36.3 · 19 · 11.3 · 20 · 8.7 · 4 · 1</t>
        </is>
      </c>
      <c r="AI6" s="38" t="inlineStr">
        <is>
          <t>20+ yrs</t>
        </is>
      </c>
      <c r="AJ6" s="38" t="inlineStr">
        <is>
          <t>Executive team</t>
        </is>
      </c>
      <c r="AK6" s="38" t="inlineStr">
        <is>
          <t>E6 · SFIA 7</t>
        </is>
      </c>
      <c r="AL6"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7" ht="120" customHeight="1">
      <c r="A7" s="83" t="inlineStr">
        <is>
          <t>E1</t>
        </is>
      </c>
      <c r="B7" s="29" t="inlineStr">
        <is>
          <t>Band E · Enterprise leadership</t>
        </is>
      </c>
      <c r="C7" s="29" t="inlineStr">
        <is>
          <t>Bands D–E · Leadership</t>
        </is>
      </c>
      <c r="D7" s="29" t="inlineStr">
        <is>
          <t>CXO / President</t>
        </is>
      </c>
      <c r="E7" s="29" t="inlineStr">
        <is>
          <t>— no role at this level today</t>
        </is>
      </c>
      <c r="F7" s="34" t="inlineStr">
        <is>
          <t>H</t>
        </is>
      </c>
      <c r="G7" s="84" t="inlineStr">
        <is>
          <t>Works at D2: Portfolio-level strategic, financial and regulatory trade-offs</t>
        </is>
      </c>
      <c r="H7" s="84" t="inlineStr">
        <is>
          <t>Enterprise-level functional strategy</t>
        </is>
      </c>
      <c r="I7" s="84" t="inlineStr">
        <is>
          <t>Already works at E2: Enterprise-wide uncertainty, transformation and external forces</t>
        </is>
      </c>
      <c r="J7" s="34" t="inlineStr">
        <is>
          <t>M</t>
        </is>
      </c>
      <c r="K7" s="84" t="inlineStr">
        <is>
          <t>Works at D2: Sets direction across business lines</t>
        </is>
      </c>
      <c r="L7" s="84" t="inlineStr">
        <is>
          <t>Sets enterprise priorities for the function</t>
        </is>
      </c>
      <c r="M7" s="84" t="inlineStr">
        <is>
          <t>Already works at E2: Accountable to the board</t>
        </is>
      </c>
      <c r="N7" s="34" t="inlineStr">
        <is>
          <t>M</t>
        </is>
      </c>
      <c r="O7" s="84" t="inlineStr">
        <is>
          <t>Works at D2: Multi-business results</t>
        </is>
      </c>
      <c r="P7" s="84" t="inlineStr">
        <is>
          <t>Enterprise-wide functional results</t>
        </is>
      </c>
      <c r="Q7" s="84" t="inlineStr">
        <is>
          <t>Already works at E2: Enterprise results, risk, culture and long-term viability</t>
        </is>
      </c>
      <c r="R7" s="34" t="inlineStr">
        <is>
          <t>M</t>
        </is>
      </c>
      <c r="S7" s="56" t="inlineStr">
        <is>
          <t>Works at D2: Builds the leadership team across businesses</t>
        </is>
      </c>
      <c r="T7" s="56" t="inlineStr">
        <is>
          <t>Shapes enterprise strategy</t>
        </is>
      </c>
      <c r="U7" s="56" t="inlineStr">
        <is>
          <t>Already works at E2: Sets enterprise strategy; leads the executive team</t>
        </is>
      </c>
      <c r="V7" s="34" t="inlineStr">
        <is>
          <t>L</t>
        </is>
      </c>
      <c r="W7" s="56" t="inlineStr">
        <is>
          <t>Works at D2: Owns the results of several business lines</t>
        </is>
      </c>
      <c r="X7" s="56" t="inlineStr">
        <is>
          <t>Shapes company-wide results through a function</t>
        </is>
      </c>
      <c r="Y7" s="56" t="inlineStr">
        <is>
          <t>Already works at E2: Answers for the whole company's results and long-term value</t>
        </is>
      </c>
      <c r="Z7" s="34" t="inlineStr">
        <is>
          <t>L</t>
        </is>
      </c>
      <c r="AA7" s="85" t="inlineStr">
        <is>
          <t>Less experience than the band's typical 20+ yrs</t>
        </is>
      </c>
      <c r="AB7" s="85" t="inlineStr">
        <is>
          <t>Typical for the band: 20+ yrs · market — yrs</t>
        </is>
      </c>
      <c r="AC7" s="85" t="inlineStr">
        <is>
          <t>More experience than the band's typical 20+ yrs</t>
        </is>
      </c>
      <c r="AD7" s="34" t="inlineStr">
        <is>
          <t>L</t>
        </is>
      </c>
      <c r="AE7" s="85" t="inlineStr">
        <is>
          <t>Below: Postgraduate / professional qualification preferred</t>
        </is>
      </c>
      <c r="AF7" s="85" t="inlineStr">
        <is>
          <t>Postgraduate / professional qualification; business leadership record</t>
        </is>
      </c>
      <c r="AG7" s="85" t="inlineStr">
        <is>
          <t>Above: Postgraduate / professional qualification; proven business leadership</t>
        </is>
      </c>
      <c r="AH7" s="44" t="inlineStr">
        <is>
          <t>36.3 · 19 · 11.3 · 20 · 8.7 · 4 · 1</t>
        </is>
      </c>
      <c r="AI7" s="38" t="inlineStr">
        <is>
          <t>20+ yrs</t>
        </is>
      </c>
      <c r="AJ7" s="38" t="inlineStr">
        <is>
          <t>5–8 function heads</t>
        </is>
      </c>
      <c r="AK7" s="38" t="inlineStr">
        <is>
          <t>E5 · SFIA 7</t>
        </is>
      </c>
      <c r="AL7"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8" ht="120" customHeight="1">
      <c r="A8" s="86" t="inlineStr">
        <is>
          <t>D2</t>
        </is>
      </c>
      <c r="B8" s="29" t="inlineStr">
        <is>
          <t>Band D · Business leadership</t>
        </is>
      </c>
      <c r="C8" s="29" t="inlineStr">
        <is>
          <t>Bands D–E · Leadership</t>
        </is>
      </c>
      <c r="D8" s="29" t="inlineStr">
        <is>
          <t>Senior Vice President / Business Head</t>
        </is>
      </c>
      <c r="E8" s="29" t="inlineStr">
        <is>
          <t>— no role at this level today</t>
        </is>
      </c>
      <c r="F8" s="34" t="inlineStr">
        <is>
          <t>H</t>
        </is>
      </c>
      <c r="G8" s="84" t="inlineStr">
        <is>
          <t>Works at D1: Competing strategic, financial and regulatory priorities</t>
        </is>
      </c>
      <c r="H8" s="84" t="inlineStr">
        <is>
          <t>Portfolio-level strategic, financial and regulatory trade-offs</t>
        </is>
      </c>
      <c r="I8" s="84" t="inlineStr">
        <is>
          <t>Already works at E1: Enterprise-level functional strategy</t>
        </is>
      </c>
      <c r="J8" s="34" t="inlineStr">
        <is>
          <t>M</t>
        </is>
      </c>
      <c r="K8" s="84" t="inlineStr">
        <is>
          <t>Works at D1: Sets business-line direction, pricing and investment</t>
        </is>
      </c>
      <c r="L8" s="84" t="inlineStr">
        <is>
          <t>Sets direction across business lines</t>
        </is>
      </c>
      <c r="M8" s="84" t="inlineStr">
        <is>
          <t>Already works at E1: Sets enterprise priorities for the function</t>
        </is>
      </c>
      <c r="N8" s="34" t="inlineStr">
        <is>
          <t>M</t>
        </is>
      </c>
      <c r="O8" s="84" t="inlineStr">
        <is>
          <t>Works at D1: Business-line P&amp;L and market position</t>
        </is>
      </c>
      <c r="P8" s="84" t="inlineStr">
        <is>
          <t>Multi-business results</t>
        </is>
      </c>
      <c r="Q8" s="84" t="inlineStr">
        <is>
          <t>Already works at E1: Enterprise-wide functional results</t>
        </is>
      </c>
      <c r="R8" s="34" t="inlineStr">
        <is>
          <t>M</t>
        </is>
      </c>
      <c r="S8" s="56" t="inlineStr">
        <is>
          <t>Works at D1: Defines business strategy; builds the leadership bench</t>
        </is>
      </c>
      <c r="T8" s="56" t="inlineStr">
        <is>
          <t>Builds the leadership team across businesses</t>
        </is>
      </c>
      <c r="U8" s="56" t="inlineStr">
        <is>
          <t>Already works at E1: Shapes enterprise strategy</t>
        </is>
      </c>
      <c r="V8" s="34" t="inlineStr">
        <is>
          <t>L</t>
        </is>
      </c>
      <c r="W8" s="56" t="inlineStr">
        <is>
          <t>Works at D1: Owns a business line's P&amp;L and growth, or a company-wide function</t>
        </is>
      </c>
      <c r="X8" s="56" t="inlineStr">
        <is>
          <t>Owns the results of several business lines</t>
        </is>
      </c>
      <c r="Y8" s="56" t="inlineStr">
        <is>
          <t>Already works at E1: Shapes company-wide results through a function</t>
        </is>
      </c>
      <c r="Z8" s="34" t="inlineStr">
        <is>
          <t>L</t>
        </is>
      </c>
      <c r="AA8" s="85" t="inlineStr">
        <is>
          <t>Less experience than the band's typical 18–24 yrs</t>
        </is>
      </c>
      <c r="AB8" s="85" t="inlineStr">
        <is>
          <t>Typical for the band: 18–24 yrs · market — yrs</t>
        </is>
      </c>
      <c r="AC8" s="85" t="inlineStr">
        <is>
          <t>More experience than the band's typical 18–24 yrs</t>
        </is>
      </c>
      <c r="AD8" s="34" t="inlineStr">
        <is>
          <t>L</t>
        </is>
      </c>
      <c r="AE8" s="85" t="inlineStr">
        <is>
          <t>Below: Postgraduate / professional qualification preferred</t>
        </is>
      </c>
      <c r="AF8" s="85" t="inlineStr">
        <is>
          <t>Postgraduate / professional qualification preferred</t>
        </is>
      </c>
      <c r="AG8" s="85" t="inlineStr">
        <is>
          <t>Above: Postgraduate / professional qualification; business leadership record</t>
        </is>
      </c>
      <c r="AH8" s="44" t="inlineStr">
        <is>
          <t>36.3 · 19 · 11.3 · 20 · 8.7 · 4 · 1</t>
        </is>
      </c>
      <c r="AI8" s="38" t="inlineStr">
        <is>
          <t>18–24 yrs</t>
        </is>
      </c>
      <c r="AJ8" s="38" t="inlineStr">
        <is>
          <t>5–8 AVPs / heads</t>
        </is>
      </c>
      <c r="AK8" s="38" t="inlineStr">
        <is>
          <t>E3–E4 · SFIA 7 Set strategy</t>
        </is>
      </c>
      <c r="AL8"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9" ht="120" customHeight="1">
      <c r="A9" s="86" t="inlineStr">
        <is>
          <t>D1</t>
        </is>
      </c>
      <c r="B9" s="29" t="inlineStr">
        <is>
          <t>Band D · Business leadership</t>
        </is>
      </c>
      <c r="C9" s="29" t="inlineStr">
        <is>
          <t>Bands D–E · Leadership</t>
        </is>
      </c>
      <c r="D9" s="29" t="inlineStr">
        <is>
          <t>Associate Vice President</t>
        </is>
      </c>
      <c r="E9" s="29" t="inlineStr">
        <is>
          <t>— no role at this level today</t>
        </is>
      </c>
      <c r="F9" s="34" t="inlineStr">
        <is>
          <t>H</t>
        </is>
      </c>
      <c r="G9" s="84" t="inlineStr">
        <is>
          <t>Works at C2: Function-wide or company-wide problems; creates methods and standards</t>
        </is>
      </c>
      <c r="H9" s="84" t="inlineStr">
        <is>
          <t>Competing strategic, financial and regulatory priorities</t>
        </is>
      </c>
      <c r="I9" s="84" t="inlineStr">
        <is>
          <t>Already works at D2: Portfolio-level strategic, financial and regulatory trade-offs</t>
        </is>
      </c>
      <c r="J9" s="34" t="inlineStr">
        <is>
          <t>M</t>
        </is>
      </c>
      <c r="K9" s="84" t="inlineStr">
        <is>
          <t>Works at C2: Sets direction for a function</t>
        </is>
      </c>
      <c r="L9" s="84" t="inlineStr">
        <is>
          <t>Sets business-line direction, pricing and investment</t>
        </is>
      </c>
      <c r="M9" s="84" t="inlineStr">
        <is>
          <t>Already works at D2: Sets direction across business lines</t>
        </is>
      </c>
      <c r="N9" s="34" t="inlineStr">
        <is>
          <t>M</t>
        </is>
      </c>
      <c r="O9" s="84" t="inlineStr">
        <is>
          <t>Works at C2: Function results, budget and risk</t>
        </is>
      </c>
      <c r="P9" s="84" t="inlineStr">
        <is>
          <t>Business-line P&amp;L and market position</t>
        </is>
      </c>
      <c r="Q9" s="84" t="inlineStr">
        <is>
          <t>Already works at D2: Multi-business results</t>
        </is>
      </c>
      <c r="R9" s="34" t="inlineStr">
        <is>
          <t>M</t>
        </is>
      </c>
      <c r="S9" s="56" t="inlineStr">
        <is>
          <t>Works at C2: Leads a function; shapes functional strategy</t>
        </is>
      </c>
      <c r="T9" s="56" t="inlineStr">
        <is>
          <t>Defines business strategy; builds the leadership bench</t>
        </is>
      </c>
      <c r="U9" s="56" t="inlineStr">
        <is>
          <t>Already works at D2: Builds the leadership team across businesses</t>
        </is>
      </c>
      <c r="V9" s="34" t="inlineStr">
        <is>
          <t>L</t>
        </is>
      </c>
      <c r="W9" s="56" t="inlineStr">
        <is>
          <t>Works at C2: Drives a function's or department's results and costs</t>
        </is>
      </c>
      <c r="X9" s="56" t="inlineStr">
        <is>
          <t>Owns a business line's P&amp;L and growth, or a company-wide function</t>
        </is>
      </c>
      <c r="Y9" s="56" t="inlineStr">
        <is>
          <t>Already works at D2: Owns the results of several business lines</t>
        </is>
      </c>
      <c r="Z9" s="34" t="inlineStr">
        <is>
          <t>L</t>
        </is>
      </c>
      <c r="AA9" s="85" t="inlineStr">
        <is>
          <t>Less experience than the band's typical 15–20 yrs</t>
        </is>
      </c>
      <c r="AB9" s="85" t="inlineStr">
        <is>
          <t>Typical for the band: 15–20 yrs · market — yrs</t>
        </is>
      </c>
      <c r="AC9" s="85" t="inlineStr">
        <is>
          <t>More experience than the band's typical 15–20 yrs</t>
        </is>
      </c>
      <c r="AD9" s="34" t="inlineStr">
        <is>
          <t>L</t>
        </is>
      </c>
      <c r="AE9" s="85" t="inlineStr">
        <is>
          <t>Below: Postgraduate / professional qualification preferred</t>
        </is>
      </c>
      <c r="AF9" s="85" t="inlineStr">
        <is>
          <t>Postgraduate / professional qualification preferred</t>
        </is>
      </c>
      <c r="AG9" s="85" t="inlineStr">
        <is>
          <t>Above: Postgraduate / professional qualification preferred</t>
        </is>
      </c>
      <c r="AH9" s="44" t="inlineStr">
        <is>
          <t>36.3 · 19 · 11.3 · 20 · 8.7 · 4 · 1</t>
        </is>
      </c>
      <c r="AI9" s="38" t="inlineStr">
        <is>
          <t>15–20 yrs</t>
        </is>
      </c>
      <c r="AJ9" s="38" t="inlineStr">
        <is>
          <t>5–8 heads</t>
        </is>
      </c>
      <c r="AK9" s="38" t="inlineStr">
        <is>
          <t>E1–E2 · SFIA 6–7</t>
        </is>
      </c>
      <c r="AL9"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0" ht="120" customHeight="1">
      <c r="A10" s="87" t="inlineStr">
        <is>
          <t>C+</t>
        </is>
      </c>
      <c r="B10" s="29" t="inlineStr">
        <is>
          <t>C+ · Player-Coach</t>
        </is>
      </c>
      <c r="C10" s="29" t="inlineStr">
        <is>
          <t>C+ · Player-Coach</t>
        </is>
      </c>
      <c r="D10" s="29" t="inlineStr">
        <is>
          <t>Group Head · Player-Coach</t>
        </is>
      </c>
      <c r="E10" s="29" t="inlineStr">
        <is>
          <t>— no role at this level today</t>
        </is>
      </c>
      <c r="F10" s="34" t="inlineStr">
        <is>
          <t>H</t>
        </is>
      </c>
      <c r="G10" s="84" t="inlineStr">
        <is>
          <t>Works at C2: Function-wide or company-wide problems; creates methods and standards</t>
        </is>
      </c>
      <c r="H10" s="84" t="inlineStr">
        <is>
          <t>Function-wide and cross-product problems; personally handles the most critical client or technical work</t>
        </is>
      </c>
      <c r="I10" s="84" t="inlineStr">
        <is>
          <t>Already works at D1: Competing strategic, financial and regulatory priorities</t>
        </is>
      </c>
      <c r="J10" s="34" t="inlineStr">
        <is>
          <t>M</t>
        </is>
      </c>
      <c r="K10" s="84" t="inlineStr">
        <is>
          <t>Works at C2: Sets direction for a function</t>
        </is>
      </c>
      <c r="L10" s="84" t="inlineStr">
        <is>
          <t>Sets direction for the function; business-line trade-offs go to the Business Head</t>
        </is>
      </c>
      <c r="M10" s="84" t="inlineStr">
        <is>
          <t>Already works at D1: Sets business-line direction, pricing and investment</t>
        </is>
      </c>
      <c r="N10" s="34" t="inlineStr">
        <is>
          <t>M</t>
        </is>
      </c>
      <c r="O10" s="84" t="inlineStr">
        <is>
          <t>Works at C2: Function results, budget and risk</t>
        </is>
      </c>
      <c r="P10" s="84" t="inlineStr">
        <is>
          <t>Function results, budget and key-client outcomes; carries own book or principal delivery</t>
        </is>
      </c>
      <c r="Q10" s="84" t="inlineStr">
        <is>
          <t>Already works at D1: Business-line P&amp;L and market position</t>
        </is>
      </c>
      <c r="R10" s="34" t="inlineStr">
        <is>
          <t>M</t>
        </is>
      </c>
      <c r="S10" s="56" t="inlineStr">
        <is>
          <t>Works at C2: Leads a function; shapes functional strategy</t>
        </is>
      </c>
      <c r="T10" s="56" t="inlineStr">
        <is>
          <t>Leads managers and leads and 10+ people in the function while staying hands-on</t>
        </is>
      </c>
      <c r="U10" s="56" t="inlineStr">
        <is>
          <t>Already works at D1: Defines business strategy; builds the leadership bench</t>
        </is>
      </c>
      <c r="V10" s="34" t="inlineStr">
        <is>
          <t>L</t>
        </is>
      </c>
      <c r="W10" s="56" t="inlineStr">
        <is>
          <t>Works at C2: Drives a function's or department's results and costs</t>
        </is>
      </c>
      <c r="X10" s="56" t="inlineStr">
        <is>
          <t>Drives a function's results and personally wins or delivers key work</t>
        </is>
      </c>
      <c r="Y10" s="56" t="inlineStr">
        <is>
          <t>Already works at D1: Owns a business line's P&amp;L and growth, or a company-wide function</t>
        </is>
      </c>
      <c r="Z10" s="34" t="inlineStr">
        <is>
          <t>L</t>
        </is>
      </c>
      <c r="AA10" s="85" t="inlineStr">
        <is>
          <t>Less experience than the band's typical 13–18 yrs</t>
        </is>
      </c>
      <c r="AB10" s="85" t="inlineStr">
        <is>
          <t>Typical for the band: 13–18 yrs · market 15–18 yrs</t>
        </is>
      </c>
      <c r="AC10" s="85" t="inlineStr">
        <is>
          <t>More experience than the band's typical 13–18 yrs</t>
        </is>
      </c>
      <c r="AD10" s="34" t="inlineStr">
        <is>
          <t>L</t>
        </is>
      </c>
      <c r="AE10" s="85" t="inlineStr">
        <is>
          <t>Below: Postgraduate / professional qualification preferred</t>
        </is>
      </c>
      <c r="AF10" s="85" t="inlineStr">
        <is>
          <t>Postgraduate / professional qualification preferred</t>
        </is>
      </c>
      <c r="AG10" s="85" t="inlineStr">
        <is>
          <t>Above: Postgraduate / professional qualification preferred</t>
        </is>
      </c>
      <c r="AH10" s="44" t="inlineStr">
        <is>
          <t>37.7 · 18.3 · 10.7 · 20 · 8 · 4 · 1</t>
        </is>
      </c>
      <c r="AI10" s="38" t="inlineStr">
        <is>
          <t>15–18</t>
        </is>
      </c>
      <c r="AJ10" s="38" t="inlineStr">
        <is>
          <t>4–8 managers / leads with ≥ 25% of time on own principal delivery</t>
        </is>
      </c>
      <c r="AK10" s="38" t="inlineStr">
        <is>
          <t>M6 / E1 · SFIA 6 Initiate, influence</t>
        </is>
      </c>
      <c r="AL10"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1" ht="120" customHeight="1">
      <c r="A11" s="88" t="inlineStr">
        <is>
          <t>C2</t>
        </is>
      </c>
      <c r="B11" s="29" t="inlineStr">
        <is>
          <t>Band C · Principal / Head</t>
        </is>
      </c>
      <c r="C11" s="29" t="inlineStr">
        <is>
          <t>Band C · Head / manager</t>
        </is>
      </c>
      <c r="D11" s="29" t="inlineStr">
        <is>
          <t>Head of Function</t>
        </is>
      </c>
      <c r="E11" s="29" t="inlineStr">
        <is>
          <t>— no role at this level today</t>
        </is>
      </c>
      <c r="F11" s="34" t="inlineStr">
        <is>
          <t>H</t>
        </is>
      </c>
      <c r="G11" s="84" t="inlineStr">
        <is>
          <t>Works at C1: Ambiguous, cross-product problems</t>
        </is>
      </c>
      <c r="H11" s="84" t="inlineStr">
        <is>
          <t>Function-wide or company-wide problems; creates methods and standards</t>
        </is>
      </c>
      <c r="I11" s="84" t="inlineStr">
        <is>
          <t>Already works at D1: Competing strategic, financial and regulatory priorities</t>
        </is>
      </c>
      <c r="J11" s="34" t="inlineStr">
        <is>
          <t>M</t>
        </is>
      </c>
      <c r="K11" s="84" t="inlineStr">
        <is>
          <t>Works at C1: Sets direction for a sub-function or domain</t>
        </is>
      </c>
      <c r="L11" s="84" t="inlineStr">
        <is>
          <t>Sets direction for a function</t>
        </is>
      </c>
      <c r="M11" s="84" t="inlineStr">
        <is>
          <t>Already works at D1: Sets business-line direction, pricing and investment</t>
        </is>
      </c>
      <c r="N11" s="34" t="inlineStr">
        <is>
          <t>M</t>
        </is>
      </c>
      <c r="O11" s="84" t="inlineStr">
        <is>
          <t>Works at C1: Sub-function results or domain quality across products</t>
        </is>
      </c>
      <c r="P11" s="84" t="inlineStr">
        <is>
          <t>Function results, budget and risk</t>
        </is>
      </c>
      <c r="Q11" s="84" t="inlineStr">
        <is>
          <t>Already works at D1: Business-line P&amp;L and market position</t>
        </is>
      </c>
      <c r="R11" s="34" t="inlineStr">
        <is>
          <t>M</t>
        </is>
      </c>
      <c r="S11" s="56" t="inlineStr">
        <is>
          <t>Works at C1: Leads managers or a community of practice</t>
        </is>
      </c>
      <c r="T11" s="56" t="inlineStr">
        <is>
          <t>Leads a function; shapes functional strategy</t>
        </is>
      </c>
      <c r="U11" s="56" t="inlineStr">
        <is>
          <t>Already works at D1: Defines business strategy; builds the leadership bench</t>
        </is>
      </c>
      <c r="V11" s="34" t="inlineStr">
        <is>
          <t>L</t>
        </is>
      </c>
      <c r="W11" s="56" t="inlineStr">
        <is>
          <t>Works at C1: Changes results across a sub-function or across products</t>
        </is>
      </c>
      <c r="X11" s="56" t="inlineStr">
        <is>
          <t>Drives a function's or department's results and costs</t>
        </is>
      </c>
      <c r="Y11" s="56" t="inlineStr">
        <is>
          <t>Already works at D1: Owns a business line's P&amp;L and growth, or a company-wide function</t>
        </is>
      </c>
      <c r="Z11" s="34" t="inlineStr">
        <is>
          <t>L</t>
        </is>
      </c>
      <c r="AA11" s="85" t="inlineStr">
        <is>
          <t>Less experience than the band's typical 12–17 yrs</t>
        </is>
      </c>
      <c r="AB11" s="85" t="inlineStr">
        <is>
          <t>Typical for the band: 12–17 yrs · market — yrs</t>
        </is>
      </c>
      <c r="AC11" s="85" t="inlineStr">
        <is>
          <t>More experience than the band's typical 12–17 yrs</t>
        </is>
      </c>
      <c r="AD11" s="34" t="inlineStr">
        <is>
          <t>L</t>
        </is>
      </c>
      <c r="AE11" s="85" t="inlineStr">
        <is>
          <t>Below: Postgraduate / professional qualification preferred</t>
        </is>
      </c>
      <c r="AF11" s="85" t="inlineStr">
        <is>
          <t>Postgraduate / professional qualification preferred</t>
        </is>
      </c>
      <c r="AG11" s="85" t="inlineStr">
        <is>
          <t>Above: Postgraduate / professional qualification preferred</t>
        </is>
      </c>
      <c r="AH11" s="44" t="inlineStr">
        <is>
          <t>43.3 · 18 · 10.7 · 15 · 8 · 4 · 1</t>
        </is>
      </c>
      <c r="AI11" s="38" t="inlineStr">
        <is>
          <t>12–17 yrs</t>
        </is>
      </c>
      <c r="AJ11" s="38" t="inlineStr">
        <is>
          <t>5–8 managers / associate heads</t>
        </is>
      </c>
      <c r="AK11" s="38" t="inlineStr">
        <is>
          <t>P7 / M6 · SFIA 6 Initiate, influence</t>
        </is>
      </c>
      <c r="AL11"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2" ht="120" customHeight="1">
      <c r="A12" s="88" t="inlineStr">
        <is>
          <t>C2</t>
        </is>
      </c>
      <c r="B12" s="29" t="inlineStr">
        <is>
          <t>Band C · Principal / Head</t>
        </is>
      </c>
      <c r="C12" s="29" t="inlineStr">
        <is>
          <t>Band C · Principal specialist</t>
        </is>
      </c>
      <c r="D12" s="29" t="inlineStr">
        <is>
          <t>Senior Principal / Architect</t>
        </is>
      </c>
      <c r="E12" s="29" t="inlineStr">
        <is>
          <t>— no role at this level today</t>
        </is>
      </c>
      <c r="F12" s="34" t="inlineStr">
        <is>
          <t>H</t>
        </is>
      </c>
      <c r="G12" s="84" t="inlineStr">
        <is>
          <t>Works at C1: Ambiguous, cross-product problems</t>
        </is>
      </c>
      <c r="H12" s="84" t="inlineStr">
        <is>
          <t>Function-wide or company-wide problems; creates methods and standards</t>
        </is>
      </c>
      <c r="I12" s="84" t="inlineStr">
        <is>
          <t>Already works at D1: Competing strategic, financial and regulatory priorities</t>
        </is>
      </c>
      <c r="J12" s="34" t="inlineStr">
        <is>
          <t>M</t>
        </is>
      </c>
      <c r="K12" s="84" t="inlineStr">
        <is>
          <t>Works at C1: Sets direction for a sub-function or domain</t>
        </is>
      </c>
      <c r="L12" s="84" t="inlineStr">
        <is>
          <t>Sets direction for a function</t>
        </is>
      </c>
      <c r="M12" s="84" t="inlineStr">
        <is>
          <t>Already works at D1: Sets business-line direction, pricing and investment</t>
        </is>
      </c>
      <c r="N12" s="34" t="inlineStr">
        <is>
          <t>M</t>
        </is>
      </c>
      <c r="O12" s="84" t="inlineStr">
        <is>
          <t>Works at C1: Sub-function results or domain quality across products</t>
        </is>
      </c>
      <c r="P12" s="84" t="inlineStr">
        <is>
          <t>Function results, budget and risk</t>
        </is>
      </c>
      <c r="Q12" s="84" t="inlineStr">
        <is>
          <t>Already works at D1: Business-line P&amp;L and market position</t>
        </is>
      </c>
      <c r="R12" s="34" t="inlineStr">
        <is>
          <t>L</t>
        </is>
      </c>
      <c r="S12" s="56" t="inlineStr">
        <is>
          <t>Works at C1: Leads managers or a community of practice</t>
        </is>
      </c>
      <c r="T12" s="56" t="inlineStr">
        <is>
          <t>Leads a function; shapes functional strategy</t>
        </is>
      </c>
      <c r="U12" s="56" t="inlineStr">
        <is>
          <t>Already works at D1: Defines business strategy; builds the leadership bench</t>
        </is>
      </c>
      <c r="V12" s="34" t="inlineStr">
        <is>
          <t>L</t>
        </is>
      </c>
      <c r="W12" s="56" t="inlineStr">
        <is>
          <t>Works at C1: Changes results across a sub-function or across products</t>
        </is>
      </c>
      <c r="X12" s="56" t="inlineStr">
        <is>
          <t>Drives a function's or department's results and costs</t>
        </is>
      </c>
      <c r="Y12" s="56" t="inlineStr">
        <is>
          <t>Already works at D1: Owns a business line's P&amp;L and growth, or a company-wide function</t>
        </is>
      </c>
      <c r="Z12" s="34" t="inlineStr">
        <is>
          <t>L</t>
        </is>
      </c>
      <c r="AA12" s="85" t="inlineStr">
        <is>
          <t>Less experience than the band's typical 12–17 yrs</t>
        </is>
      </c>
      <c r="AB12" s="85" t="inlineStr">
        <is>
          <t>Typical for the band: 12–17 yrs · market — yrs</t>
        </is>
      </c>
      <c r="AC12" s="85" t="inlineStr">
        <is>
          <t>More experience than the band's typical 12–17 yrs</t>
        </is>
      </c>
      <c r="AD12" s="34" t="inlineStr">
        <is>
          <t>L</t>
        </is>
      </c>
      <c r="AE12" s="85" t="inlineStr">
        <is>
          <t>Below: Postgraduate / professional qualification preferred</t>
        </is>
      </c>
      <c r="AF12" s="85" t="inlineStr">
        <is>
          <t>Postgraduate / professional qualification preferred</t>
        </is>
      </c>
      <c r="AG12" s="85" t="inlineStr">
        <is>
          <t>Above: Postgraduate / professional qualification preferred</t>
        </is>
      </c>
      <c r="AH12" s="44" t="inlineStr">
        <is>
          <t>54.3 · 17.7 · 10.3 · 5 · 7.7 · 4 · 1</t>
        </is>
      </c>
      <c r="AI12" s="38" t="inlineStr">
        <is>
          <t>12–17 yrs</t>
        </is>
      </c>
      <c r="AJ12" s="38" t="inlineStr">
        <is>
          <t>5–8 managers / associate heads</t>
        </is>
      </c>
      <c r="AK12" s="38" t="inlineStr">
        <is>
          <t>P7 / M6 · SFIA 6 Initiate, influence</t>
        </is>
      </c>
      <c r="AL12"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3" ht="120" customHeight="1">
      <c r="A13" s="88" t="inlineStr">
        <is>
          <t>C1</t>
        </is>
      </c>
      <c r="B13" s="29" t="inlineStr">
        <is>
          <t>Band C · Principal / Head</t>
        </is>
      </c>
      <c r="C13" s="29" t="inlineStr">
        <is>
          <t>Band C · Head / manager</t>
        </is>
      </c>
      <c r="D13" s="29" t="inlineStr">
        <is>
          <t>Associate Head</t>
        </is>
      </c>
      <c r="E13" s="29" t="inlineStr">
        <is>
          <t>— no role at this level today</t>
        </is>
      </c>
      <c r="F13" s="34" t="inlineStr">
        <is>
          <t>H</t>
        </is>
      </c>
      <c r="G13" s="84" t="inlineStr">
        <is>
          <t>Works at B3: Sets standards for a practice; cross-team problems</t>
        </is>
      </c>
      <c r="H13" s="84" t="inlineStr">
        <is>
          <t>Ambiguous, cross-product problems</t>
        </is>
      </c>
      <c r="I13" s="84" t="inlineStr">
        <is>
          <t>Already works at C2: Function-wide or company-wide problems; creates methods and standards</t>
        </is>
      </c>
      <c r="J13" s="34" t="inlineStr">
        <is>
          <t>M</t>
        </is>
      </c>
      <c r="K13" s="84" t="inlineStr">
        <is>
          <t>Works at B3: Commercial / strategic calls for the unit</t>
        </is>
      </c>
      <c r="L13" s="84" t="inlineStr">
        <is>
          <t>Sets direction for a sub-function or domain</t>
        </is>
      </c>
      <c r="M13" s="84" t="inlineStr">
        <is>
          <t>Already works at C2: Sets direction for a function</t>
        </is>
      </c>
      <c r="N13" s="34" t="inlineStr">
        <is>
          <t>M</t>
        </is>
      </c>
      <c r="O13" s="84" t="inlineStr">
        <is>
          <t>Works at B3: Several teams or a practice</t>
        </is>
      </c>
      <c r="P13" s="84" t="inlineStr">
        <is>
          <t>Sub-function results or domain quality across products</t>
        </is>
      </c>
      <c r="Q13" s="84" t="inlineStr">
        <is>
          <t>Already works at C2: Function results, budget and risk</t>
        </is>
      </c>
      <c r="R13" s="34" t="inlineStr">
        <is>
          <t>M</t>
        </is>
      </c>
      <c r="S13" s="56" t="inlineStr">
        <is>
          <t>Works at B3: IC: leads a practice · People: team leads / managers report in</t>
        </is>
      </c>
      <c r="T13" s="56" t="inlineStr">
        <is>
          <t>Leads managers or a community of practice</t>
        </is>
      </c>
      <c r="U13" s="56" t="inlineStr">
        <is>
          <t>Already works at C2: Leads a function; shapes functional strategy</t>
        </is>
      </c>
      <c r="V13" s="34" t="inlineStr">
        <is>
          <t>L</t>
        </is>
      </c>
      <c r="W13" s="56" t="inlineStr">
        <is>
          <t>Works at B3: Shapes the results of a practice or several teams</t>
        </is>
      </c>
      <c r="X13" s="56" t="inlineStr">
        <is>
          <t>Changes results across a sub-function or across products</t>
        </is>
      </c>
      <c r="Y13" s="56" t="inlineStr">
        <is>
          <t>Already works at C2: Drives a function's or department's results and costs</t>
        </is>
      </c>
      <c r="Z13" s="34" t="inlineStr">
        <is>
          <t>L</t>
        </is>
      </c>
      <c r="AA13" s="85" t="inlineStr">
        <is>
          <t>Less experience than the band's typical 10–14 yrs</t>
        </is>
      </c>
      <c r="AB13" s="85" t="inlineStr">
        <is>
          <t>Typical for the band: 10–14 yrs · market 12–17 yrs</t>
        </is>
      </c>
      <c r="AC13" s="85" t="inlineStr">
        <is>
          <t>More experience than the band's typical 10–14 yrs</t>
        </is>
      </c>
      <c r="AD13" s="34" t="inlineStr">
        <is>
          <t>L</t>
        </is>
      </c>
      <c r="AE13" s="85" t="inlineStr">
        <is>
          <t>Below: Postgraduate or professional qualification preferred</t>
        </is>
      </c>
      <c r="AF13" s="85" t="inlineStr">
        <is>
          <t>Postgraduate / professional qualification preferred</t>
        </is>
      </c>
      <c r="AG13" s="85" t="inlineStr">
        <is>
          <t>Above: Postgraduate / professional qualification preferred</t>
        </is>
      </c>
      <c r="AH13" s="44" t="inlineStr">
        <is>
          <t>43.3 · 18 · 10.7 · 15 · 8 · 4 · 1</t>
        </is>
      </c>
      <c r="AI13" s="38" t="inlineStr">
        <is>
          <t>12–17</t>
        </is>
      </c>
      <c r="AJ13" s="38" t="inlineStr">
        <is>
          <t>5–8, mostly managers</t>
        </is>
      </c>
      <c r="AK13" s="38" t="inlineStr">
        <is>
          <t>P6 / M5 · SFIA 5–6</t>
        </is>
      </c>
      <c r="AL13"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4" ht="120" customHeight="1">
      <c r="A14" s="88" t="inlineStr">
        <is>
          <t>C1</t>
        </is>
      </c>
      <c r="B14" s="29" t="inlineStr">
        <is>
          <t>Band C · Principal / Head</t>
        </is>
      </c>
      <c r="C14" s="29" t="inlineStr">
        <is>
          <t>Band C · Principal specialist</t>
        </is>
      </c>
      <c r="D14" s="29" t="inlineStr">
        <is>
          <t>Principal</t>
        </is>
      </c>
      <c r="E14" s="29" t="inlineStr">
        <is>
          <t>— no role at this level today</t>
        </is>
      </c>
      <c r="F14" s="34" t="inlineStr">
        <is>
          <t>H</t>
        </is>
      </c>
      <c r="G14" s="84" t="inlineStr">
        <is>
          <t>Works at B3: Sets standards for a practice; cross-team problems</t>
        </is>
      </c>
      <c r="H14" s="84" t="inlineStr">
        <is>
          <t>Ambiguous, cross-product problems</t>
        </is>
      </c>
      <c r="I14" s="84" t="inlineStr">
        <is>
          <t>Already works at C2: Function-wide or company-wide problems; creates methods and standards</t>
        </is>
      </c>
      <c r="J14" s="34" t="inlineStr">
        <is>
          <t>M</t>
        </is>
      </c>
      <c r="K14" s="84" t="inlineStr">
        <is>
          <t>Works at B3: Commercial / strategic calls for the unit</t>
        </is>
      </c>
      <c r="L14" s="84" t="inlineStr">
        <is>
          <t>Sets direction for a sub-function or domain</t>
        </is>
      </c>
      <c r="M14" s="84" t="inlineStr">
        <is>
          <t>Already works at C2: Sets direction for a function</t>
        </is>
      </c>
      <c r="N14" s="34" t="inlineStr">
        <is>
          <t>M</t>
        </is>
      </c>
      <c r="O14" s="84" t="inlineStr">
        <is>
          <t>Works at B3: Several teams or a practice</t>
        </is>
      </c>
      <c r="P14" s="84" t="inlineStr">
        <is>
          <t>Sub-function results or domain quality across products</t>
        </is>
      </c>
      <c r="Q14" s="84" t="inlineStr">
        <is>
          <t>Already works at C2: Function results, budget and risk</t>
        </is>
      </c>
      <c r="R14" s="34" t="inlineStr">
        <is>
          <t>L</t>
        </is>
      </c>
      <c r="S14" s="56" t="inlineStr">
        <is>
          <t>Works at B3: IC: leads a practice · People: team leads / managers report in</t>
        </is>
      </c>
      <c r="T14" s="56" t="inlineStr">
        <is>
          <t>Leads managers or a community of practice</t>
        </is>
      </c>
      <c r="U14" s="56" t="inlineStr">
        <is>
          <t>Already works at C2: Leads a function; shapes functional strategy</t>
        </is>
      </c>
      <c r="V14" s="34" t="inlineStr">
        <is>
          <t>L</t>
        </is>
      </c>
      <c r="W14" s="56" t="inlineStr">
        <is>
          <t>Works at B3: Shapes the results of a practice or several teams</t>
        </is>
      </c>
      <c r="X14" s="56" t="inlineStr">
        <is>
          <t>Changes results across a sub-function or across products</t>
        </is>
      </c>
      <c r="Y14" s="56" t="inlineStr">
        <is>
          <t>Already works at C2: Drives a function's or department's results and costs</t>
        </is>
      </c>
      <c r="Z14" s="34" t="inlineStr">
        <is>
          <t>L</t>
        </is>
      </c>
      <c r="AA14" s="85" t="inlineStr">
        <is>
          <t>Less experience than the band's typical 10–14 yrs</t>
        </is>
      </c>
      <c r="AB14" s="85" t="inlineStr">
        <is>
          <t>Typical for the band: 10–14 yrs · market 12–17 yrs</t>
        </is>
      </c>
      <c r="AC14" s="85" t="inlineStr">
        <is>
          <t>More experience than the band's typical 10–14 yrs</t>
        </is>
      </c>
      <c r="AD14" s="34" t="inlineStr">
        <is>
          <t>L</t>
        </is>
      </c>
      <c r="AE14" s="85" t="inlineStr">
        <is>
          <t>Below: Postgraduate or professional qualification preferred</t>
        </is>
      </c>
      <c r="AF14" s="85" t="inlineStr">
        <is>
          <t>Postgraduate / professional qualification preferred</t>
        </is>
      </c>
      <c r="AG14" s="85" t="inlineStr">
        <is>
          <t>Above: Postgraduate / professional qualification preferred</t>
        </is>
      </c>
      <c r="AH14" s="44" t="inlineStr">
        <is>
          <t>54.3 · 17.7 · 10.3 · 5 · 7.7 · 4 · 1</t>
        </is>
      </c>
      <c r="AI14" s="38" t="inlineStr">
        <is>
          <t>12–17</t>
        </is>
      </c>
      <c r="AJ14" s="38" t="inlineStr">
        <is>
          <t>5–8, mostly managers</t>
        </is>
      </c>
      <c r="AK14" s="38" t="inlineStr">
        <is>
          <t>P6 / M5 · SFIA 5–6</t>
        </is>
      </c>
      <c r="AL14"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5" ht="120" customHeight="1">
      <c r="A15" s="89" t="inlineStr">
        <is>
          <t>B+</t>
        </is>
      </c>
      <c r="B15" s="29" t="inlineStr">
        <is>
          <t>B+ · Player-Coach</t>
        </is>
      </c>
      <c r="C15" s="29" t="inlineStr">
        <is>
          <t>B+ · Player-Coach</t>
        </is>
      </c>
      <c r="D15" s="29" t="inlineStr">
        <is>
          <t>Practice Lead · Player-Coach</t>
        </is>
      </c>
      <c r="E15" s="29" t="inlineStr">
        <is>
          <t>— no role at this level today</t>
        </is>
      </c>
      <c r="F15" s="34" t="inlineStr">
        <is>
          <t>H</t>
        </is>
      </c>
      <c r="G15" s="84" t="inlineStr">
        <is>
          <t>Works at B3: Sets standards for a practice; cross-team problems</t>
        </is>
      </c>
      <c r="H15" s="84" t="inlineStr">
        <is>
          <t>Principal-level problems in own domain; sets technical or quality standards and still builds</t>
        </is>
      </c>
      <c r="I15" s="84" t="inlineStr">
        <is>
          <t>Already works at C1: Ambiguous, cross-product problems</t>
        </is>
      </c>
      <c r="J15" s="34" t="inlineStr">
        <is>
          <t>M</t>
        </is>
      </c>
      <c r="K15" s="84" t="inlineStr">
        <is>
          <t>Works at B3: Commercial / strategic calls for the unit</t>
        </is>
      </c>
      <c r="L15" s="84" t="inlineStr">
        <is>
          <t>Decides approach and priorities for the practice; escalates only cross-function trade-offs</t>
        </is>
      </c>
      <c r="M15" s="84" t="inlineStr">
        <is>
          <t>Already works at C1: Sets direction for a sub-function or domain</t>
        </is>
      </c>
      <c r="N15" s="34" t="inlineStr">
        <is>
          <t>M</t>
        </is>
      </c>
      <c r="O15" s="84" t="inlineStr">
        <is>
          <t>Works at B3: Several teams or a practice</t>
        </is>
      </c>
      <c r="P15" s="84" t="inlineStr">
        <is>
          <t>Practice outcomes plus own deliverables; quality and delivery of the team</t>
        </is>
      </c>
      <c r="Q15" s="84" t="inlineStr">
        <is>
          <t>Already works at C1: Sub-function results or domain quality across products</t>
        </is>
      </c>
      <c r="R15" s="34" t="inlineStr">
        <is>
          <t>M</t>
        </is>
      </c>
      <c r="S15" s="56" t="inlineStr">
        <is>
          <t>Works at B3: IC: leads a practice · People: team leads / managers report in</t>
        </is>
      </c>
      <c r="T15" s="56" t="inlineStr">
        <is>
          <t>Leads 3–6 people · or a pod while remaining a hands-on expert; coaches, allocates, reviews</t>
        </is>
      </c>
      <c r="U15" s="56" t="inlineStr">
        <is>
          <t>Already works at C1: Leads managers or a community of practice</t>
        </is>
      </c>
      <c r="V15" s="34" t="inlineStr">
        <is>
          <t>L</t>
        </is>
      </c>
      <c r="W15" s="56" t="inlineStr">
        <is>
          <t>Works at B3: Shapes the results of a practice or several teams</t>
        </is>
      </c>
      <c r="X15" s="56" t="inlineStr">
        <is>
          <t>Drives a practice's results while delivering the hardest work</t>
        </is>
      </c>
      <c r="Y15" s="56" t="inlineStr">
        <is>
          <t>Already works at C1: Changes results across a sub-function or across products</t>
        </is>
      </c>
      <c r="Z15" s="34" t="inlineStr">
        <is>
          <t>L</t>
        </is>
      </c>
      <c r="AA15" s="85" t="inlineStr">
        <is>
          <t>Less experience than the band's typical 9–14 yrs</t>
        </is>
      </c>
      <c r="AB15" s="85" t="inlineStr">
        <is>
          <t>Typical for the band: 9–14 yrs · market 9–14 yrs</t>
        </is>
      </c>
      <c r="AC15" s="85" t="inlineStr">
        <is>
          <t>More experience than the band's typical 9–14 yrs</t>
        </is>
      </c>
      <c r="AD15" s="34" t="inlineStr">
        <is>
          <t>L</t>
        </is>
      </c>
      <c r="AE15" s="85" t="inlineStr">
        <is>
          <t>Below: Postgraduate or professional qualification preferred</t>
        </is>
      </c>
      <c r="AF15" s="85" t="inlineStr">
        <is>
          <t>Postgraduate or professional qualification preferred</t>
        </is>
      </c>
      <c r="AG15" s="85" t="inlineStr">
        <is>
          <t>Above: Postgraduate / professional qualification preferred</t>
        </is>
      </c>
      <c r="AH15" s="44" t="inlineStr">
        <is>
          <t>44 · 17.7 · 10.3 · 10 · 7.7 · 6 · 4</t>
        </is>
      </c>
      <c r="AI15" s="38" t="inlineStr">
        <is>
          <t>9–14</t>
        </is>
      </c>
      <c r="AJ15" s="38" t="inlineStr">
        <is>
          <t>3–6 direct reports with ≥ 40% of time on own delivery · McKinsey player/coach 3–5; Google Tech Lead Manager</t>
        </is>
      </c>
      <c r="AK15" s="38" t="inlineStr">
        <is>
          <t>P5–P6 / M4–M5 · SFIA 5 Ensure, advise</t>
        </is>
      </c>
      <c r="AL15"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6" ht="120" customHeight="1">
      <c r="A16" s="90" t="inlineStr">
        <is>
          <t>B3</t>
        </is>
      </c>
      <c r="B16" s="29" t="inlineStr">
        <is>
          <t>Band B · Specialist / Manager</t>
        </is>
      </c>
      <c r="C16" s="29" t="inlineStr">
        <is>
          <t>Band B · People Manager</t>
        </is>
      </c>
      <c r="D16" s="29" t="inlineStr">
        <is>
          <t>Senior Manager</t>
        </is>
      </c>
      <c r="E16" s="29" t="inlineStr">
        <is>
          <t>— no role at this level today</t>
        </is>
      </c>
      <c r="F16" s="34" t="inlineStr">
        <is>
          <t>H</t>
        </is>
      </c>
      <c r="G16" s="84" t="inlineStr">
        <is>
          <t>Works at B2: Hardest problems in the domain</t>
        </is>
      </c>
      <c r="H16" s="84" t="inlineStr">
        <is>
          <t>Sets standards for a practice; cross-team problems</t>
        </is>
      </c>
      <c r="I16" s="84" t="inlineStr">
        <is>
          <t>Already works at C1: Ambiguous, cross-product problems</t>
        </is>
      </c>
      <c r="J16" s="34" t="inlineStr">
        <is>
          <t>M</t>
        </is>
      </c>
      <c r="K16" s="84" t="inlineStr">
        <is>
          <t>Works at B2: Allocates people and sets team priorities</t>
        </is>
      </c>
      <c r="L16" s="84" t="inlineStr">
        <is>
          <t>Commercial / strategic calls for the unit</t>
        </is>
      </c>
      <c r="M16" s="84" t="inlineStr">
        <is>
          <t>Already works at C1: Sets direction for a sub-function or domain</t>
        </is>
      </c>
      <c r="N16" s="34" t="inlineStr">
        <is>
          <t>M</t>
        </is>
      </c>
      <c r="O16" s="84" t="inlineStr">
        <is>
          <t>Works at B2: One team or a client portfolio</t>
        </is>
      </c>
      <c r="P16" s="84" t="inlineStr">
        <is>
          <t>Several teams or a practice</t>
        </is>
      </c>
      <c r="Q16" s="84" t="inlineStr">
        <is>
          <t>Already works at C1: Sub-function results or domain quality across products</t>
        </is>
      </c>
      <c r="R16" s="34" t="inlineStr">
        <is>
          <t>M</t>
        </is>
      </c>
      <c r="S16" s="56" t="inlineStr">
        <is>
          <t>Works at B2: IC: guides others in the domain · People: manages a team of 6+</t>
        </is>
      </c>
      <c r="T16" s="56" t="inlineStr">
        <is>
          <t>IC: leads a practice · People: team leads / managers report in</t>
        </is>
      </c>
      <c r="U16" s="56" t="inlineStr">
        <is>
          <t>Already works at C1: Leads managers or a community of practice</t>
        </is>
      </c>
      <c r="V16" s="34" t="inlineStr">
        <is>
          <t>L</t>
        </is>
      </c>
      <c r="W16" s="56" t="inlineStr">
        <is>
          <t>Works at B2: Visible effect on a team's or client portfolio's revenue, quality or compliance</t>
        </is>
      </c>
      <c r="X16" s="56" t="inlineStr">
        <is>
          <t>Shapes the results of a practice or several teams</t>
        </is>
      </c>
      <c r="Y16" s="56" t="inlineStr">
        <is>
          <t>Already works at C1: Changes results across a sub-function or across products</t>
        </is>
      </c>
      <c r="Z16" s="34" t="inlineStr">
        <is>
          <t>L</t>
        </is>
      </c>
      <c r="AA16" s="85" t="inlineStr">
        <is>
          <t>Less experience than the band's typical 8–12 yrs</t>
        </is>
      </c>
      <c r="AB16" s="85" t="inlineStr">
        <is>
          <t>Typical for the band: 8–12 yrs · market 8–13 yrs</t>
        </is>
      </c>
      <c r="AC16" s="85" t="inlineStr">
        <is>
          <t>More experience than the band's typical 8–12 yrs</t>
        </is>
      </c>
      <c r="AD16" s="34" t="inlineStr">
        <is>
          <t>L</t>
        </is>
      </c>
      <c r="AE16" s="85" t="inlineStr">
        <is>
          <t>Below: Graduate or postgraduate; professional qualification preferred</t>
        </is>
      </c>
      <c r="AF16" s="85" t="inlineStr">
        <is>
          <t>Postgraduate or professional qualification preferred</t>
        </is>
      </c>
      <c r="AG16" s="85" t="inlineStr">
        <is>
          <t>Above: Postgraduate / professional qualification preferred</t>
        </is>
      </c>
      <c r="AH16" s="44" t="inlineStr">
        <is>
          <t>37 · 18.3 · 11.3 · 15 · 8.7 · 6 · 4</t>
        </is>
      </c>
      <c r="AI16" s="38" t="inlineStr">
        <is>
          <t>8–13</t>
        </is>
      </c>
      <c r="AJ16" s="38" t="inlineStr">
        <is>
          <t>IC: none · People: 5–8 incl. team leads</t>
        </is>
      </c>
      <c r="AK16" s="38" t="inlineStr">
        <is>
          <t>P5 / M4 · SFIA 5 Ensure, advise</t>
        </is>
      </c>
      <c r="AL16"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7" ht="120" customHeight="1">
      <c r="A17" s="90" t="inlineStr">
        <is>
          <t>B3</t>
        </is>
      </c>
      <c r="B17" s="29" t="inlineStr">
        <is>
          <t>Band B · Specialist / Manager</t>
        </is>
      </c>
      <c r="C17" s="29" t="inlineStr">
        <is>
          <t>Band B · Specialist / POD Lead</t>
        </is>
      </c>
      <c r="D17" s="29" t="inlineStr">
        <is>
          <t>Lead Specialist</t>
        </is>
      </c>
      <c r="E17" s="29" t="inlineStr">
        <is>
          <t>— no role at this level today</t>
        </is>
      </c>
      <c r="F17" s="34" t="inlineStr">
        <is>
          <t>H</t>
        </is>
      </c>
      <c r="G17" s="84" t="inlineStr">
        <is>
          <t>Works at B2: Hardest problems in the domain</t>
        </is>
      </c>
      <c r="H17" s="84" t="inlineStr">
        <is>
          <t>Sets standards for a practice; cross-team problems</t>
        </is>
      </c>
      <c r="I17" s="84" t="inlineStr">
        <is>
          <t>Already works at C1: Ambiguous, cross-product problems</t>
        </is>
      </c>
      <c r="J17" s="34" t="inlineStr">
        <is>
          <t>M</t>
        </is>
      </c>
      <c r="K17" s="84" t="inlineStr">
        <is>
          <t>Works at B2: Allocates people and sets team priorities</t>
        </is>
      </c>
      <c r="L17" s="84" t="inlineStr">
        <is>
          <t>Commercial / strategic calls for the unit</t>
        </is>
      </c>
      <c r="M17" s="84" t="inlineStr">
        <is>
          <t>Already works at C1: Sets direction for a sub-function or domain</t>
        </is>
      </c>
      <c r="N17" s="34" t="inlineStr">
        <is>
          <t>M</t>
        </is>
      </c>
      <c r="O17" s="84" t="inlineStr">
        <is>
          <t>Works at B2: One team or a client portfolio</t>
        </is>
      </c>
      <c r="P17" s="84" t="inlineStr">
        <is>
          <t>Several teams or a practice</t>
        </is>
      </c>
      <c r="Q17" s="84" t="inlineStr">
        <is>
          <t>Already works at C1: Sub-function results or domain quality across products</t>
        </is>
      </c>
      <c r="R17" s="34" t="inlineStr">
        <is>
          <t>L</t>
        </is>
      </c>
      <c r="S17" s="56" t="inlineStr">
        <is>
          <t>Works at B2: IC: guides others in the domain · People: manages a team of 6+</t>
        </is>
      </c>
      <c r="T17" s="56" t="inlineStr">
        <is>
          <t>IC: leads a practice · People: team leads / managers report in</t>
        </is>
      </c>
      <c r="U17" s="56" t="inlineStr">
        <is>
          <t>Already works at C1: Leads managers or a community of practice</t>
        </is>
      </c>
      <c r="V17" s="34" t="inlineStr">
        <is>
          <t>L</t>
        </is>
      </c>
      <c r="W17" s="56" t="inlineStr">
        <is>
          <t>Works at B2: Visible effect on a team's or client portfolio's revenue, quality or compliance</t>
        </is>
      </c>
      <c r="X17" s="56" t="inlineStr">
        <is>
          <t>Shapes the results of a practice or several teams</t>
        </is>
      </c>
      <c r="Y17" s="56" t="inlineStr">
        <is>
          <t>Already works at C1: Changes results across a sub-function or across products</t>
        </is>
      </c>
      <c r="Z17" s="34" t="inlineStr">
        <is>
          <t>L</t>
        </is>
      </c>
      <c r="AA17" s="85" t="inlineStr">
        <is>
          <t>Less experience than the band's typical 8–12 yrs</t>
        </is>
      </c>
      <c r="AB17" s="85" t="inlineStr">
        <is>
          <t>Typical for the band: 8–12 yrs · market 8–13 yrs</t>
        </is>
      </c>
      <c r="AC17" s="85" t="inlineStr">
        <is>
          <t>More experience than the band's typical 8–12 yrs</t>
        </is>
      </c>
      <c r="AD17" s="34" t="inlineStr">
        <is>
          <t>L</t>
        </is>
      </c>
      <c r="AE17" s="85" t="inlineStr">
        <is>
          <t>Below: Graduate or postgraduate; professional qualification preferred</t>
        </is>
      </c>
      <c r="AF17" s="85" t="inlineStr">
        <is>
          <t>Postgraduate or professional qualification preferred</t>
        </is>
      </c>
      <c r="AG17" s="85" t="inlineStr">
        <is>
          <t>Above: Postgraduate / professional qualification preferred</t>
        </is>
      </c>
      <c r="AH17" s="44" t="inlineStr">
        <is>
          <t>51.3 · 17.3 · 9.7 · 5 · 7 · 6 · 4</t>
        </is>
      </c>
      <c r="AI17" s="38" t="inlineStr">
        <is>
          <t>8–13</t>
        </is>
      </c>
      <c r="AJ17" s="38" t="inlineStr">
        <is>
          <t>IC: none · People: 5–8 incl. team leads</t>
        </is>
      </c>
      <c r="AK17" s="38" t="inlineStr">
        <is>
          <t>P5 / M4 · SFIA 5 Ensure, advise</t>
        </is>
      </c>
      <c r="AL17"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8" ht="120" customHeight="1">
      <c r="A18" s="90" t="inlineStr">
        <is>
          <t>B2</t>
        </is>
      </c>
      <c r="B18" s="29" t="inlineStr">
        <is>
          <t>Band B · Specialist / Manager</t>
        </is>
      </c>
      <c r="C18" s="29" t="inlineStr">
        <is>
          <t>Band B · People Manager</t>
        </is>
      </c>
      <c r="D18" s="29" t="inlineStr">
        <is>
          <t>Manager</t>
        </is>
      </c>
      <c r="E18" s="29" t="inlineStr">
        <is>
          <t>Financial Data Processing · Data Operations Manager</t>
        </is>
      </c>
      <c r="F18" s="34" t="inlineStr">
        <is>
          <t>H</t>
        </is>
      </c>
      <c r="G18" s="84" t="inlineStr">
        <is>
          <t>Works at B1: Domain specialist work</t>
        </is>
      </c>
      <c r="H18" s="84" t="inlineStr">
        <is>
          <t>Hardest problems in the domain · in Data &amp; Analytics: Data processing · Mutual fund · Data validation</t>
        </is>
      </c>
      <c r="I18" s="84" t="inlineStr">
        <is>
          <t>Already works at B3: Sets standards for a practice; cross-team problems</t>
        </is>
      </c>
      <c r="J18" s="34" t="inlineStr">
        <is>
          <t>M</t>
        </is>
      </c>
      <c r="K18" s="84" t="inlineStr">
        <is>
          <t>Works at B1: Technical / QC / client calls for the domain</t>
        </is>
      </c>
      <c r="L18" s="84" t="inlineStr">
        <is>
          <t>Allocates people and sets team priorities</t>
        </is>
      </c>
      <c r="M18" s="84" t="inlineStr">
        <is>
          <t>Already works at B3: Commercial / strategic calls for the unit</t>
        </is>
      </c>
      <c r="N18" s="34" t="inlineStr">
        <is>
          <t>M</t>
        </is>
      </c>
      <c r="O18" s="84" t="inlineStr">
        <is>
          <t>Works at B1: A domain or a small team</t>
        </is>
      </c>
      <c r="P18" s="84" t="inlineStr">
        <is>
          <t>One team or a client portfolio</t>
        </is>
      </c>
      <c r="Q18" s="84" t="inlineStr">
        <is>
          <t>Already works at B3: Several teams or a practice</t>
        </is>
      </c>
      <c r="R18" s="34" t="inlineStr">
        <is>
          <t>M</t>
        </is>
      </c>
      <c r="S18" s="56" t="inlineStr">
        <is>
          <t>Works at B1: IC: mentors and reviews · People: hands-on team lead of 3–5</t>
        </is>
      </c>
      <c r="T18" s="56" t="inlineStr">
        <is>
          <t>IC: guides others in the domain · People: manages a team of 6+</t>
        </is>
      </c>
      <c r="U18" s="56" t="inlineStr">
        <is>
          <t>Already works at B3: IC: leads a practice · People: team leads / managers report in</t>
        </is>
      </c>
      <c r="V18" s="34" t="inlineStr">
        <is>
          <t>L</t>
        </is>
      </c>
      <c r="W18" s="56" t="inlineStr">
        <is>
          <t>Works at B1: Moves a module's, product area's or client account's results</t>
        </is>
      </c>
      <c r="X18" s="56" t="inlineStr">
        <is>
          <t>Visible effect on a team's or client portfolio's revenue, quality or compliance · purpose: Processes and delivers mutual-fund, scheme and capital-market data feeds and reports. At B2: deep domain expertise, or one team.
Common themes in sub-family …</t>
        </is>
      </c>
      <c r="Y18" s="56" t="inlineStr">
        <is>
          <t>Already works at B3: Shapes the results of a practice or several teams</t>
        </is>
      </c>
      <c r="Z18" s="34" t="inlineStr">
        <is>
          <t>L</t>
        </is>
      </c>
      <c r="AA18" s="85" t="inlineStr">
        <is>
          <t>Less experience than the band's typical 6–9 yrs</t>
        </is>
      </c>
      <c r="AB18" s="85" t="inlineStr">
        <is>
          <t>Typical for the band: 6–9 yrs · market 6–10 yrs</t>
        </is>
      </c>
      <c r="AC18" s="85" t="inlineStr">
        <is>
          <t>More experience than the band's typical 6–9 yrs</t>
        </is>
      </c>
      <c r="AD18" s="34" t="inlineStr">
        <is>
          <t>L</t>
        </is>
      </c>
      <c r="AE18" s="85" t="inlineStr">
        <is>
          <t>Below: Graduate + relevant qualification or certification preferred</t>
        </is>
      </c>
      <c r="AF18" s="85" t="inlineStr">
        <is>
          <t>Graduate or postgraduate; professional qualification preferred</t>
        </is>
      </c>
      <c r="AG18" s="85" t="inlineStr">
        <is>
          <t>Above: Postgraduate or professional qualification preferred</t>
        </is>
      </c>
      <c r="AH18" s="44" t="inlineStr">
        <is>
          <t>37 · 18.3 · 11.3 · 15 · 8.7 · 6 · 4</t>
        </is>
      </c>
      <c r="AI18" s="38" t="inlineStr">
        <is>
          <t>6–10</t>
        </is>
      </c>
      <c r="AJ18" s="38" t="inlineStr">
        <is>
          <t>IC: none · People: 6–8 knowledge work, 8–12 standardised delivery</t>
        </is>
      </c>
      <c r="AK18" s="38" t="inlineStr">
        <is>
          <t>P4 / M3 · SFIA 4–5</t>
        </is>
      </c>
      <c r="AL18"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9" ht="120" customHeight="1">
      <c r="A19" s="90" t="inlineStr">
        <is>
          <t>B2</t>
        </is>
      </c>
      <c r="B19" s="29" t="inlineStr">
        <is>
          <t>Band B · Specialist / Manager</t>
        </is>
      </c>
      <c r="C19" s="29" t="inlineStr">
        <is>
          <t>Band B · Specialist / POD Lead</t>
        </is>
      </c>
      <c r="D19" s="29" t="inlineStr">
        <is>
          <t>Senior Specialist</t>
        </is>
      </c>
      <c r="E19" s="29" t="inlineStr">
        <is>
          <t>Financial Data Processing · Data Operations Manager</t>
        </is>
      </c>
      <c r="F19" s="34" t="inlineStr">
        <is>
          <t>H</t>
        </is>
      </c>
      <c r="G19" s="84" t="inlineStr">
        <is>
          <t>Works at B1: Domain specialist work</t>
        </is>
      </c>
      <c r="H19" s="84" t="inlineStr">
        <is>
          <t>Hardest problems in the domain · in Data &amp; Analytics: Data processing · Mutual fund · Data validation</t>
        </is>
      </c>
      <c r="I19" s="84" t="inlineStr">
        <is>
          <t>Already works at B3: Sets standards for a practice; cross-team problems</t>
        </is>
      </c>
      <c r="J19" s="34" t="inlineStr">
        <is>
          <t>M</t>
        </is>
      </c>
      <c r="K19" s="84" t="inlineStr">
        <is>
          <t>Works at B1: Technical / QC / client calls for the domain</t>
        </is>
      </c>
      <c r="L19" s="84" t="inlineStr">
        <is>
          <t>Allocates people and sets team priorities</t>
        </is>
      </c>
      <c r="M19" s="84" t="inlineStr">
        <is>
          <t>Already works at B3: Commercial / strategic calls for the unit</t>
        </is>
      </c>
      <c r="N19" s="34" t="inlineStr">
        <is>
          <t>M</t>
        </is>
      </c>
      <c r="O19" s="84" t="inlineStr">
        <is>
          <t>Works at B1: A domain or a small team</t>
        </is>
      </c>
      <c r="P19" s="84" t="inlineStr">
        <is>
          <t>One team or a client portfolio</t>
        </is>
      </c>
      <c r="Q19" s="84" t="inlineStr">
        <is>
          <t>Already works at B3: Several teams or a practice</t>
        </is>
      </c>
      <c r="R19" s="34" t="inlineStr">
        <is>
          <t>L</t>
        </is>
      </c>
      <c r="S19" s="56" t="inlineStr">
        <is>
          <t>Works at B1: IC: mentors and reviews · People: hands-on team lead of 3–5</t>
        </is>
      </c>
      <c r="T19" s="56" t="inlineStr">
        <is>
          <t>IC: guides others in the domain · People: manages a team of 6+</t>
        </is>
      </c>
      <c r="U19" s="56" t="inlineStr">
        <is>
          <t>Already works at B3: IC: leads a practice · People: team leads / managers report in</t>
        </is>
      </c>
      <c r="V19" s="34" t="inlineStr">
        <is>
          <t>L</t>
        </is>
      </c>
      <c r="W19" s="56" t="inlineStr">
        <is>
          <t>Works at B1: Moves a module's, product area's or client account's results</t>
        </is>
      </c>
      <c r="X19" s="56" t="inlineStr">
        <is>
          <t>Visible effect on a team's or client portfolio's revenue, quality or compliance · purpose: Processes and delivers mutual-fund, scheme and capital-market data feeds and reports. At B2: deep domain expertise, or one team.
Common themes in sub-family …</t>
        </is>
      </c>
      <c r="Y19" s="56" t="inlineStr">
        <is>
          <t>Already works at B3: Shapes the results of a practice or several teams</t>
        </is>
      </c>
      <c r="Z19" s="34" t="inlineStr">
        <is>
          <t>L</t>
        </is>
      </c>
      <c r="AA19" s="85" t="inlineStr">
        <is>
          <t>Less experience than the band's typical 6–9 yrs</t>
        </is>
      </c>
      <c r="AB19" s="85" t="inlineStr">
        <is>
          <t>Typical for the band: 6–9 yrs · market 6–10 yrs</t>
        </is>
      </c>
      <c r="AC19" s="85" t="inlineStr">
        <is>
          <t>More experience than the band's typical 6–9 yrs</t>
        </is>
      </c>
      <c r="AD19" s="34" t="inlineStr">
        <is>
          <t>L</t>
        </is>
      </c>
      <c r="AE19" s="85" t="inlineStr">
        <is>
          <t>Below: Graduate + relevant qualification or certification preferred</t>
        </is>
      </c>
      <c r="AF19" s="85" t="inlineStr">
        <is>
          <t>Graduate or postgraduate; professional qualification preferred</t>
        </is>
      </c>
      <c r="AG19" s="85" t="inlineStr">
        <is>
          <t>Above: Postgraduate or professional qualification preferred</t>
        </is>
      </c>
      <c r="AH19" s="44" t="inlineStr">
        <is>
          <t>51.3 · 17.3 · 9.7 · 5 · 7 · 6 · 4</t>
        </is>
      </c>
      <c r="AI19" s="38" t="inlineStr">
        <is>
          <t>6–10</t>
        </is>
      </c>
      <c r="AJ19" s="38" t="inlineStr">
        <is>
          <t>IC: none · People: 6–8 knowledge work, 8–12 standardised delivery</t>
        </is>
      </c>
      <c r="AK19" s="38" t="inlineStr">
        <is>
          <t>P4 / M3 · SFIA 4–5</t>
        </is>
      </c>
      <c r="AL19"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0" ht="120" customHeight="1">
      <c r="A20" s="90" t="inlineStr">
        <is>
          <t>B1</t>
        </is>
      </c>
      <c r="B20" s="29" t="inlineStr">
        <is>
          <t>Band B · Specialist / Manager</t>
        </is>
      </c>
      <c r="C20" s="29" t="inlineStr">
        <is>
          <t>Band B · People Manager</t>
        </is>
      </c>
      <c r="D20" s="29" t="inlineStr">
        <is>
          <t>Team Lead / Asst Manager</t>
        </is>
      </c>
      <c r="E20" s="29" t="inlineStr">
        <is>
          <t>Financial Data Processing · Data Specialist</t>
        </is>
      </c>
      <c r="F20" s="34" t="inlineStr">
        <is>
          <t>H</t>
        </is>
      </c>
      <c r="G20" s="84" t="inlineStr">
        <is>
          <t>Works at A3: Varied and non-standard work; handles exceptions</t>
        </is>
      </c>
      <c r="H20" s="84" t="inlineStr">
        <is>
          <t>Domain specialist work · in Data &amp; Analytics: Data processing · Mutual fund · Data validation</t>
        </is>
      </c>
      <c r="I20" s="84" t="inlineStr">
        <is>
          <t>Already works at B2: Hardest problems in the domain</t>
        </is>
      </c>
      <c r="J20" s="34" t="inlineStr">
        <is>
          <t>M</t>
        </is>
      </c>
      <c r="K20" s="84" t="inlineStr">
        <is>
          <t>Works at A3: Technical / QC / client calls on own work</t>
        </is>
      </c>
      <c r="L20" s="84" t="inlineStr">
        <is>
          <t>Technical / QC / client calls for the domain</t>
        </is>
      </c>
      <c r="M20" s="84" t="inlineStr">
        <is>
          <t>Already works at B2: Allocates people and sets team priorities</t>
        </is>
      </c>
      <c r="N20" s="34" t="inlineStr">
        <is>
          <t>M</t>
        </is>
      </c>
      <c r="O20" s="84" t="inlineStr">
        <is>
          <t>Works at A3: A module / process, or work with client or regulatory consequences</t>
        </is>
      </c>
      <c r="P20" s="84" t="inlineStr">
        <is>
          <t>A domain or a small team</t>
        </is>
      </c>
      <c r="Q20" s="84" t="inlineStr">
        <is>
          <t>Already works at B2: One team or a client portfolio</t>
        </is>
      </c>
      <c r="R20" s="34" t="inlineStr">
        <is>
          <t>M</t>
        </is>
      </c>
      <c r="S20" s="56" t="inlineStr">
        <is>
          <t>Works at A3: contributes alone; guides others only informally</t>
        </is>
      </c>
      <c r="T20" s="56" t="inlineStr">
        <is>
          <t>IC: mentors and reviews · People: hands-on team lead of 3–5</t>
        </is>
      </c>
      <c r="U20" s="56" t="inlineStr">
        <is>
          <t>Already works at B2: IC: guides others in the domain · People: manages a team of 6+</t>
        </is>
      </c>
      <c r="V20" s="34" t="inlineStr">
        <is>
          <t>L</t>
        </is>
      </c>
      <c r="W20" s="56" t="inlineStr">
        <is>
          <t>Works at A3: A process or client deliverable depends on this work</t>
        </is>
      </c>
      <c r="X20" s="56" t="inlineStr">
        <is>
          <t>Moves a module's, product area's or client account's results · purpose: Processes and delivers mutual-fund, scheme and capital-market data feeds and reports. At B1: a domain / module, or a small team.
Common themes in sub-family …</t>
        </is>
      </c>
      <c r="Y20" s="56" t="inlineStr">
        <is>
          <t>Already works at B2: Visible effect on a team's or client portfolio's revenue, quality or compliance</t>
        </is>
      </c>
      <c r="Z20" s="34" t="inlineStr">
        <is>
          <t>L</t>
        </is>
      </c>
      <c r="AA20" s="85" t="inlineStr">
        <is>
          <t>Less experience than the band's typical 4–7 yrs</t>
        </is>
      </c>
      <c r="AB20" s="85" t="inlineStr">
        <is>
          <t>Typical for the band: 4–7 yrs · market 4–8 yrs</t>
        </is>
      </c>
      <c r="AC20" s="85" t="inlineStr">
        <is>
          <t>More experience than the band's typical 4–7 yrs</t>
        </is>
      </c>
      <c r="AD20" s="34" t="inlineStr">
        <is>
          <t>L</t>
        </is>
      </c>
      <c r="AE20" s="85" t="inlineStr">
        <is>
          <t>Below: Graduate; relevant certification preferred</t>
        </is>
      </c>
      <c r="AF20" s="85" t="inlineStr">
        <is>
          <t>Graduate + relevant qualification or certification preferred</t>
        </is>
      </c>
      <c r="AG20" s="85" t="inlineStr">
        <is>
          <t>Above: Graduate or postgraduate; professional qualification preferred</t>
        </is>
      </c>
      <c r="AH20" s="44" t="inlineStr">
        <is>
          <t>37 · 18.3 · 11.3 · 15 · 8.7 · 6 · 4</t>
        </is>
      </c>
      <c r="AI20" s="38" t="inlineStr">
        <is>
          <t>4–8</t>
        </is>
      </c>
      <c r="AJ20" s="38" t="inlineStr">
        <is>
          <t>IC: none · Team Lead: 3–5</t>
        </is>
      </c>
      <c r="AK20" s="38" t="inlineStr">
        <is>
          <t>P3 / M2 · SFIA 4 Enable</t>
        </is>
      </c>
      <c r="AL20"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1" ht="120" customHeight="1">
      <c r="A21" s="90" t="inlineStr">
        <is>
          <t>B1</t>
        </is>
      </c>
      <c r="B21" s="29" t="inlineStr">
        <is>
          <t>Band B · Specialist / Manager</t>
        </is>
      </c>
      <c r="C21" s="29" t="inlineStr">
        <is>
          <t>Band B · Specialist / POD Lead</t>
        </is>
      </c>
      <c r="D21" s="29" t="inlineStr">
        <is>
          <t>Specialist</t>
        </is>
      </c>
      <c r="E21" s="29" t="inlineStr">
        <is>
          <t>Financial Data Processing · Data Specialist</t>
        </is>
      </c>
      <c r="F21" s="34" t="inlineStr">
        <is>
          <t>H</t>
        </is>
      </c>
      <c r="G21" s="84" t="inlineStr">
        <is>
          <t>Works at A3: Varied and non-standard work; handles exceptions</t>
        </is>
      </c>
      <c r="H21" s="84" t="inlineStr">
        <is>
          <t>Domain specialist work · in Data &amp; Analytics: Data processing · Mutual fund · Data validation</t>
        </is>
      </c>
      <c r="I21" s="84" t="inlineStr">
        <is>
          <t>Already works at B2: Hardest problems in the domain</t>
        </is>
      </c>
      <c r="J21" s="34" t="inlineStr">
        <is>
          <t>M</t>
        </is>
      </c>
      <c r="K21" s="84" t="inlineStr">
        <is>
          <t>Works at A3: Technical / QC / client calls on own work</t>
        </is>
      </c>
      <c r="L21" s="84" t="inlineStr">
        <is>
          <t>Technical / QC / client calls for the domain</t>
        </is>
      </c>
      <c r="M21" s="84" t="inlineStr">
        <is>
          <t>Already works at B2: Allocates people and sets team priorities</t>
        </is>
      </c>
      <c r="N21" s="34" t="inlineStr">
        <is>
          <t>M</t>
        </is>
      </c>
      <c r="O21" s="84" t="inlineStr">
        <is>
          <t>Works at A3: A module / process, or work with client or regulatory consequences</t>
        </is>
      </c>
      <c r="P21" s="84" t="inlineStr">
        <is>
          <t>A domain or a small team</t>
        </is>
      </c>
      <c r="Q21" s="84" t="inlineStr">
        <is>
          <t>Already works at B2: One team or a client portfolio</t>
        </is>
      </c>
      <c r="R21" s="34" t="inlineStr">
        <is>
          <t>L</t>
        </is>
      </c>
      <c r="S21" s="56" t="inlineStr">
        <is>
          <t>Works at A3: contributes alone; guides others only informally</t>
        </is>
      </c>
      <c r="T21" s="56" t="inlineStr">
        <is>
          <t>IC: mentors and reviews · People: hands-on team lead of 3–5</t>
        </is>
      </c>
      <c r="U21" s="56" t="inlineStr">
        <is>
          <t>Already works at B2: IC: guides others in the domain · People: manages a team of 6+</t>
        </is>
      </c>
      <c r="V21" s="34" t="inlineStr">
        <is>
          <t>L</t>
        </is>
      </c>
      <c r="W21" s="56" t="inlineStr">
        <is>
          <t>Works at A3: A process or client deliverable depends on this work</t>
        </is>
      </c>
      <c r="X21" s="56" t="inlineStr">
        <is>
          <t>Moves a module's, product area's or client account's results · purpose: Processes and delivers mutual-fund, scheme and capital-market data feeds and reports. At B1: a domain / module, or a small team.
Common themes in sub-family …</t>
        </is>
      </c>
      <c r="Y21" s="56" t="inlineStr">
        <is>
          <t>Already works at B2: Visible effect on a team's or client portfolio's revenue, quality or compliance</t>
        </is>
      </c>
      <c r="Z21" s="34" t="inlineStr">
        <is>
          <t>L</t>
        </is>
      </c>
      <c r="AA21" s="85" t="inlineStr">
        <is>
          <t>Less experience than the band's typical 4–7 yrs</t>
        </is>
      </c>
      <c r="AB21" s="85" t="inlineStr">
        <is>
          <t>Typical for the band: 4–7 yrs · market 4–8 yrs</t>
        </is>
      </c>
      <c r="AC21" s="85" t="inlineStr">
        <is>
          <t>More experience than the band's typical 4–7 yrs</t>
        </is>
      </c>
      <c r="AD21" s="34" t="inlineStr">
        <is>
          <t>L</t>
        </is>
      </c>
      <c r="AE21" s="85" t="inlineStr">
        <is>
          <t>Below: Graduate; relevant certification preferred</t>
        </is>
      </c>
      <c r="AF21" s="85" t="inlineStr">
        <is>
          <t>Graduate + relevant qualification or certification preferred</t>
        </is>
      </c>
      <c r="AG21" s="85" t="inlineStr">
        <is>
          <t>Above: Graduate or postgraduate; professional qualification preferred</t>
        </is>
      </c>
      <c r="AH21" s="44" t="inlineStr">
        <is>
          <t>51.3 · 17.3 · 9.7 · 5 · 7 · 6 · 4</t>
        </is>
      </c>
      <c r="AI21" s="38" t="inlineStr">
        <is>
          <t>4–8</t>
        </is>
      </c>
      <c r="AJ21" s="38" t="inlineStr">
        <is>
          <t>IC: none · Team Lead: 3–5</t>
        </is>
      </c>
      <c r="AK21" s="38" t="inlineStr">
        <is>
          <t>P3 / M2 · SFIA 4 Enable</t>
        </is>
      </c>
      <c r="AL21"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2" ht="120" customHeight="1">
      <c r="A22" s="91" t="inlineStr">
        <is>
          <t>A3</t>
        </is>
      </c>
      <c r="B22" s="29" t="inlineStr">
        <is>
          <t>Band A · Practitioner</t>
        </is>
      </c>
      <c r="C22" s="29" t="inlineStr">
        <is>
          <t>Band A · all tracks</t>
        </is>
      </c>
      <c r="D22" s="29" t="inlineStr">
        <is>
          <t>Senior Associate</t>
        </is>
      </c>
      <c r="E22" s="29" t="inlineStr">
        <is>
          <t>Financial Data Processing · Senior Data Analyst
MIS &amp; Business Reporting · MIS Specialist</t>
        </is>
      </c>
      <c r="F22" s="34" t="inlineStr">
        <is>
          <t>H</t>
        </is>
      </c>
      <c r="G22" s="84" t="inlineStr">
        <is>
          <t>Works at A2: Standard work of the discipline</t>
        </is>
      </c>
      <c r="H22" s="84" t="inlineStr">
        <is>
          <t>Varied and non-standard work; handles exceptions · in Data &amp; Analytics: Data Processing · Data validation</t>
        </is>
      </c>
      <c r="I22" s="84" t="inlineStr">
        <is>
          <t>Already works at B1: Domain specialist work</t>
        </is>
      </c>
      <c r="J22" s="34" t="inlineStr">
        <is>
          <t>M</t>
        </is>
      </c>
      <c r="K22" s="84" t="inlineStr">
        <is>
          <t>Works at A2: Chooses own approach within standards</t>
        </is>
      </c>
      <c r="L22" s="84" t="inlineStr">
        <is>
          <t>Technical / QC / client calls on own work</t>
        </is>
      </c>
      <c r="M22" s="84" t="inlineStr">
        <is>
          <t>Already works at B1: Technical / QC / client calls for the domain</t>
        </is>
      </c>
      <c r="N22" s="34" t="inlineStr">
        <is>
          <t>M</t>
        </is>
      </c>
      <c r="O22" s="84" t="inlineStr">
        <is>
          <t>Works at A2: Own deliverables · accuracy, TAT</t>
        </is>
      </c>
      <c r="P22" s="84" t="inlineStr">
        <is>
          <t>A module / process, or work with client or regulatory consequences · KRA themes: Common themes in manager-set KRAs: business-day response · manual · contribute · delivery time · provide solutions · complete assigned</t>
        </is>
      </c>
      <c r="Q22" s="84" t="inlineStr">
        <is>
          <t>Already works at B1: A domain or a small team</t>
        </is>
      </c>
      <c r="R22" s="34" t="inlineStr">
        <is>
          <t>L</t>
        </is>
      </c>
      <c r="S22" s="56" t="inlineStr">
        <is>
          <t>Works at A2: contributes alone; guides others only informally</t>
        </is>
      </c>
      <c r="T22" s="56" t="inlineStr">
        <is>
          <t>Helps peers and newer people informally · None · guides 1–3 juniors informally</t>
        </is>
      </c>
      <c r="U22" s="56" t="inlineStr">
        <is>
          <t>Already works at B1: IC: mentors and reviews · People: hands-on team lead of 3–5</t>
        </is>
      </c>
      <c r="V22" s="34" t="inlineStr">
        <is>
          <t>L</t>
        </is>
      </c>
      <c r="W22" s="56" t="inlineStr">
        <is>
          <t>Works at A2: Own deliverables feed a team's output and turnaround</t>
        </is>
      </c>
      <c r="X22" s="56" t="inlineStr">
        <is>
          <t>A process or client deliverable depends on this work · purpose: Processes and delivers mutual-fund, scheme and capital-market data feeds and reports. At A3: varied work; reviews juniors; go-to for a process.
Common themes …</t>
        </is>
      </c>
      <c r="Y22" s="56" t="inlineStr">
        <is>
          <t>Already works at B1: Moves a module's, product area's or client account's results</t>
        </is>
      </c>
      <c r="Z22" s="34" t="inlineStr">
        <is>
          <t>L</t>
        </is>
      </c>
      <c r="AA22" s="85" t="inlineStr">
        <is>
          <t>Less experience than the band's typical 2–4 yrs</t>
        </is>
      </c>
      <c r="AB22" s="85" t="inlineStr">
        <is>
          <t>Typical for the band: 2–4 yrs · market 2–5 yrs</t>
        </is>
      </c>
      <c r="AC22" s="85" t="inlineStr">
        <is>
          <t>More experience than the band's typical 2–4 yrs</t>
        </is>
      </c>
      <c r="AD22" s="34" t="inlineStr">
        <is>
          <t>L</t>
        </is>
      </c>
      <c r="AE22" s="85" t="inlineStr">
        <is>
          <t>Below: Graduate · or diploma with experience</t>
        </is>
      </c>
      <c r="AF22" s="85" t="inlineStr">
        <is>
          <t>Graduate; relevant certification preferred</t>
        </is>
      </c>
      <c r="AG22" s="85" t="inlineStr">
        <is>
          <t>Above: Graduate + relevant qualification or certification preferred</t>
        </is>
      </c>
      <c r="AH22" s="44" t="inlineStr">
        <is>
          <t>58.3 · 16 · 9 · 0 · 6.3 · 6 · 4</t>
        </is>
      </c>
      <c r="AI22" s="38" t="inlineStr">
        <is>
          <t>2–5</t>
        </is>
      </c>
      <c r="AJ22" s="38" t="inlineStr">
        <is>
          <t>None · guides 1–3 juniors informally</t>
        </is>
      </c>
      <c r="AK22" s="38" t="inlineStr">
        <is>
          <t>P2 · SFIA 3 Apply</t>
        </is>
      </c>
      <c r="AL22"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3" ht="120" customHeight="1">
      <c r="A23" s="91" t="inlineStr">
        <is>
          <t>A2</t>
        </is>
      </c>
      <c r="B23" s="29" t="inlineStr">
        <is>
          <t>Band A · Practitioner</t>
        </is>
      </c>
      <c r="C23" s="29" t="inlineStr">
        <is>
          <t>Band A · all tracks</t>
        </is>
      </c>
      <c r="D23" s="29" t="inlineStr">
        <is>
          <t>Associate</t>
        </is>
      </c>
      <c r="E23" s="29" t="inlineStr">
        <is>
          <t>MIS &amp; Business Reporting · MIS Associate</t>
        </is>
      </c>
      <c r="F23" s="34" t="inlineStr">
        <is>
          <t>H</t>
        </is>
      </c>
      <c r="G23" s="84" t="inlineStr">
        <is>
          <t>Works at A1: Learning; follows worked examples</t>
        </is>
      </c>
      <c r="H23" s="84" t="inlineStr">
        <is>
          <t>Standard work of the discipline</t>
        </is>
      </c>
      <c r="I23" s="84" t="inlineStr">
        <is>
          <t>Already works at A3: Varied and non-standard work; handles exceptions</t>
        </is>
      </c>
      <c r="J23" s="34" t="inlineStr">
        <is>
          <t>M</t>
        </is>
      </c>
      <c r="K23" s="84" t="inlineStr">
        <is>
          <t>Works at A1: Needs approval / close guidance</t>
        </is>
      </c>
      <c r="L23" s="84" t="inlineStr">
        <is>
          <t>Chooses own approach within standards</t>
        </is>
      </c>
      <c r="M23" s="84" t="inlineStr">
        <is>
          <t>Already works at A3: Technical / QC / client calls on own work</t>
        </is>
      </c>
      <c r="N23" s="34" t="inlineStr">
        <is>
          <t>M</t>
        </is>
      </c>
      <c r="O23" s="84" t="inlineStr">
        <is>
          <t>Works at A1: Learning tasks</t>
        </is>
      </c>
      <c r="P23" s="84" t="inlineStr">
        <is>
          <t>Own deliverables · accuracy, TAT</t>
        </is>
      </c>
      <c r="Q23" s="84" t="inlineStr">
        <is>
          <t>Already works at A3: A module / process, or work with client or regulatory consequences</t>
        </is>
      </c>
      <c r="R23" s="34" t="inlineStr">
        <is>
          <t>L</t>
        </is>
      </c>
      <c r="S23" s="56" t="inlineStr">
        <is>
          <t>Works at A1: contributes alone; guides others only informally</t>
        </is>
      </c>
      <c r="T23" s="56" t="inlineStr">
        <is>
          <t>Helps peers and newer people informally · No direct reports</t>
        </is>
      </c>
      <c r="U23" s="56" t="inlineStr">
        <is>
          <t>Already works at A3: Not scored in Band A</t>
        </is>
      </c>
      <c r="V23" s="34" t="inlineStr">
        <is>
          <t>L</t>
        </is>
      </c>
      <c r="W23" s="56" t="inlineStr">
        <is>
          <t>Works at A1: Learning; little direct effect on business results yet</t>
        </is>
      </c>
      <c r="X23" s="56" t="inlineStr">
        <is>
          <t>Own deliverables feed a team's output and turnaround · purpose: Builds MIS, dashboards and revenue/ARR forecasts. At A2: standard work delivered independently.</t>
        </is>
      </c>
      <c r="Y23" s="56" t="inlineStr">
        <is>
          <t>Already works at A3: A process or client deliverable depends on this work</t>
        </is>
      </c>
      <c r="Z23" s="34" t="inlineStr">
        <is>
          <t>L</t>
        </is>
      </c>
      <c r="AA23" s="85" t="inlineStr">
        <is>
          <t>Less experience than the band's typical 0–2 yrs</t>
        </is>
      </c>
      <c r="AB23" s="85" t="inlineStr">
        <is>
          <t>Typical for the band: 0–2 yrs · market 0–3 yrs</t>
        </is>
      </c>
      <c r="AC23" s="85" t="inlineStr">
        <is>
          <t>More experience than the band's typical 0–2 yrs</t>
        </is>
      </c>
      <c r="AD23" s="34" t="inlineStr">
        <is>
          <t>L</t>
        </is>
      </c>
      <c r="AE23" s="85" t="inlineStr">
        <is>
          <t>Below: Pursuing or completed graduation / diploma</t>
        </is>
      </c>
      <c r="AF23" s="85" t="inlineStr">
        <is>
          <t>Graduate · or diploma with experience</t>
        </is>
      </c>
      <c r="AG23" s="85" t="inlineStr">
        <is>
          <t>Above: Graduate; relevant certification preferred</t>
        </is>
      </c>
      <c r="AH23" s="44" t="inlineStr">
        <is>
          <t>58.3 · 16 · 9 · 0 · 6.3 · 6 · 4</t>
        </is>
      </c>
      <c r="AI23" s="38" t="inlineStr">
        <is>
          <t>0–3</t>
        </is>
      </c>
      <c r="AJ23" s="38" t="inlineStr">
        <is>
          <t>No direct reports</t>
        </is>
      </c>
      <c r="AK23" s="38" t="inlineStr">
        <is>
          <t>P1–P2 · SFIA 2 Assist</t>
        </is>
      </c>
      <c r="AL23"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4" ht="120" customHeight="1">
      <c r="A24" s="91" t="inlineStr">
        <is>
          <t>A1</t>
        </is>
      </c>
      <c r="B24" s="29" t="inlineStr">
        <is>
          <t>Band A · Practitioner</t>
        </is>
      </c>
      <c r="C24" s="29" t="inlineStr">
        <is>
          <t>Band A · all tracks</t>
        </is>
      </c>
      <c r="D24" s="29" t="inlineStr">
        <is>
          <t>Intern / Trainee</t>
        </is>
      </c>
      <c r="E24" s="29" t="inlineStr">
        <is>
          <t>— no role at this level today</t>
        </is>
      </c>
      <c r="F24" s="34" t="inlineStr">
        <is>
          <t>H</t>
        </is>
      </c>
      <c r="G24" s="84" t="inlineStr">
        <is>
          <t>Not yet at the entry standard · in induction</t>
        </is>
      </c>
      <c r="H24" s="84" t="inlineStr">
        <is>
          <t>Learning; follows worked examples</t>
        </is>
      </c>
      <c r="I24" s="84" t="inlineStr">
        <is>
          <t>Already works at A2: Standard work of the discipline</t>
        </is>
      </c>
      <c r="J24" s="34" t="inlineStr">
        <is>
          <t>M</t>
        </is>
      </c>
      <c r="K24" s="84" t="inlineStr">
        <is>
          <t>Not yet at the entry standard · in induction</t>
        </is>
      </c>
      <c r="L24" s="84" t="inlineStr">
        <is>
          <t>Needs approval / close guidance</t>
        </is>
      </c>
      <c r="M24" s="84" t="inlineStr">
        <is>
          <t>Already works at A2: Chooses own approach within standards</t>
        </is>
      </c>
      <c r="N24" s="34" t="inlineStr">
        <is>
          <t>M</t>
        </is>
      </c>
      <c r="O24" s="84" t="inlineStr">
        <is>
          <t>Not yet at the entry standard · in induction</t>
        </is>
      </c>
      <c r="P24" s="84" t="inlineStr">
        <is>
          <t>Learning tasks</t>
        </is>
      </c>
      <c r="Q24" s="84" t="inlineStr">
        <is>
          <t>Already works at A2: Own deliverables · accuracy, TAT</t>
        </is>
      </c>
      <c r="R24" s="34" t="inlineStr">
        <is>
          <t>L</t>
        </is>
      </c>
      <c r="S24" s="56" t="inlineStr">
        <is>
          <t>Not yet at the entry standard · in induction</t>
        </is>
      </c>
      <c r="T24" s="56" t="inlineStr">
        <is>
          <t>Helps peers and newer people informally · No direct reports</t>
        </is>
      </c>
      <c r="U24" s="56" t="inlineStr">
        <is>
          <t>Already works at A2: Not scored in Band A</t>
        </is>
      </c>
      <c r="V24" s="34" t="inlineStr">
        <is>
          <t>L</t>
        </is>
      </c>
      <c r="W24" s="56" t="inlineStr">
        <is>
          <t>Not yet at the entry standard · in induction</t>
        </is>
      </c>
      <c r="X24" s="56" t="inlineStr">
        <is>
          <t>Learning; little direct effect on business results yet</t>
        </is>
      </c>
      <c r="Y24" s="56" t="inlineStr">
        <is>
          <t>Already works at A2: Own deliverables feed a team's output and turnaround</t>
        </is>
      </c>
      <c r="Z24" s="34" t="inlineStr">
        <is>
          <t>L</t>
        </is>
      </c>
      <c r="AA24" s="85" t="inlineStr">
        <is>
          <t>Less experience than the band's typical 0 yrs · fresher / intern</t>
        </is>
      </c>
      <c r="AB24" s="85" t="inlineStr">
        <is>
          <t>Typical for the band: 0 yrs · fresher / intern · market — yrs</t>
        </is>
      </c>
      <c r="AC24" s="85" t="inlineStr">
        <is>
          <t>More experience than the band's typical 0 yrs · fresher / intern</t>
        </is>
      </c>
      <c r="AD24" s="34" t="inlineStr">
        <is>
          <t>L</t>
        </is>
      </c>
      <c r="AE24" s="85" t="inlineStr">
        <is>
          <t>Below graduation · still studying</t>
        </is>
      </c>
      <c r="AF24" s="85" t="inlineStr">
        <is>
          <t>Pursuing or completed graduation / diploma</t>
        </is>
      </c>
      <c r="AG24" s="85" t="inlineStr">
        <is>
          <t>Above: Graduate · or diploma with experience</t>
        </is>
      </c>
      <c r="AH24" s="44" t="inlineStr">
        <is>
          <t>58.3 · 16 · 9 · 0 · 6.3 · 6 · 4</t>
        </is>
      </c>
      <c r="AI24" s="38" t="inlineStr">
        <is>
          <t>0 yrs · fresher / intern</t>
        </is>
      </c>
      <c r="AJ24" s="38" t="inlineStr">
        <is>
          <t>No direct reports</t>
        </is>
      </c>
      <c r="AK24" s="38" t="inlineStr">
        <is>
          <t>Entry / P1 · intern · SFIA 1 Follow</t>
        </is>
      </c>
      <c r="AL24"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sheetData>
  <autoFilter ref="A5:AL24"/>
  <mergeCells count="1">
    <mergeCell ref="A2:N2"/>
  </mergeCells>
  <dataValidations count="1">
    <dataValidation sqref="F6 F7 F8 F9 F10 F11 F12 F13 F14 F15 F16 F17 F18 F19 F20 F21 F22 F23 F24 J6 J7 J8 J9 J10 J11 J12 J13 J14 J15 J16 J17 J18 J19 J20 J21 J22 J23 J24 N6 N7 N8 N9 N10 N11 N12 N13 N14 N15 N16 N17 N18 N19 N20 N21 N22 N23 N24 R6 R7 R8 R9 R10 R11 R12 R13 R14 R15 R16 R17 R18 R19 R20 R21 R22 R23 R24 V6 V7 V8 V9 V10 V11 V12 V13 V14 V15 V16 V17 V18 V19 V20 V21 V22 V23 V24 Z6 Z7 Z8 Z9 Z10 Z11 Z12 Z13 Z14 Z15 Z16 Z17 Z18 Z19 Z20 Z21 Z22 Z23 Z24 AD6 AD7 AD8 AD9 AD10 AD11 AD12 AD13 AD14 AD15 AD16 AD17 AD18 AD19 AD20 AD21 AD22 AD23 AD24" showDropDown="0" showInputMessage="0" showErrorMessage="0" allowBlank="1" type="list">
      <formula1>LIST_LMH</formula1>
    </dataValidation>
  </dataValidations>
  <hyperlinks>
    <hyperlink xmlns:r="http://schemas.openxmlformats.org/officeDocument/2006/relationships" ref="O1" r:id="rId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L24"/>
  <sheetViews>
    <sheetView zoomScale="85" workbookViewId="0">
      <pane xSplit="5" ySplit="5" topLeftCell="F6" activePane="bottomRight" state="frozen"/>
      <selection pane="topRight"/>
      <selection pane="bottomLeft"/>
      <selection pane="bottomRight" activeCell="A1" sqref="A1"/>
    </sheetView>
  </sheetViews>
  <sheetFormatPr baseColWidth="8" defaultRowHeight="15"/>
  <cols>
    <col width="7" customWidth="1" min="1" max="1"/>
    <col width="16" customWidth="1" min="2" max="2"/>
    <col width="18" customWidth="1" min="3" max="3"/>
    <col width="20" customWidth="1" min="4" max="4"/>
    <col width="34" customWidth="1" min="5" max="5"/>
    <col width="9" customWidth="1" min="6" max="6"/>
    <col width="30" customWidth="1" min="7" max="7"/>
    <col width="34" customWidth="1" min="8" max="8"/>
    <col width="30" customWidth="1" min="9" max="9"/>
    <col width="9" customWidth="1" min="10" max="10"/>
    <col width="30" customWidth="1" min="11" max="11"/>
    <col width="34" customWidth="1" min="12" max="12"/>
    <col width="30" customWidth="1" min="13" max="13"/>
    <col width="9" customWidth="1" min="14" max="14"/>
    <col width="30" customWidth="1" min="15" max="15"/>
    <col width="34" customWidth="1" min="16" max="16"/>
    <col width="30" customWidth="1" min="17" max="17"/>
    <col width="9" customWidth="1" min="18" max="18"/>
    <col width="30" customWidth="1" min="19" max="19"/>
    <col width="34" customWidth="1" min="20" max="20"/>
    <col width="30" customWidth="1" min="21" max="21"/>
    <col width="9" customWidth="1" min="22" max="22"/>
    <col width="30" customWidth="1" min="23" max="23"/>
    <col width="34" customWidth="1" min="24" max="24"/>
    <col width="30" customWidth="1" min="25" max="25"/>
    <col width="9" customWidth="1" min="26" max="26"/>
    <col width="30" customWidth="1" min="27" max="27"/>
    <col width="34" customWidth="1" min="28" max="28"/>
    <col width="30" customWidth="1" min="29" max="29"/>
    <col width="9" customWidth="1" min="30" max="30"/>
    <col width="30" customWidth="1" min="31" max="31"/>
    <col width="34" customWidth="1" min="32" max="32"/>
    <col width="30" customWidth="1" min="33" max="33"/>
    <col width="26" customWidth="1" min="34" max="34"/>
    <col width="16" customWidth="1" min="35" max="35"/>
    <col width="22" customWidth="1" min="36" max="36"/>
    <col width="18" customWidth="1" min="37" max="37"/>
    <col width="40" customWidth="1" min="38" max="38"/>
  </cols>
  <sheetData>
    <row r="1" ht="24" customHeight="1">
      <c r="A1" s="1" t="inlineStr">
        <is>
          <t>Role &amp; band matrix — Data Operations &amp; Digitization</t>
        </is>
      </c>
      <c r="O1" s="7" t="inlineStr">
        <is>
          <t>◂ Start</t>
        </is>
      </c>
    </row>
    <row r="2" ht="30" customHeight="1">
      <c r="A2" s="2" t="inlineStr">
        <is>
          <t>What Low, Medium and High mean for each of the seven parameters at every level of Data Operations &amp; Digitization, and how much each parameter counts · main type of work: Service delivery &amp; data operations. Medium is the band as described; Low is the level below; High is the level above. Change a yellow weightage and every role, department ladder and person in this family recalculates.</t>
        </is>
      </c>
    </row>
    <row r="3">
      <c r="A3" s="3" t="inlineStr">
        <is>
          <t>IRIS · Job Architecture &amp; Job Design · Final v1.15 · October 2026 · Internal — Confidential · HR only</t>
        </is>
      </c>
    </row>
    <row r="4" ht="30" customHeight="1">
      <c r="A4" s="6" t="inlineStr">
        <is>
          <t>LEVEL</t>
        </is>
      </c>
      <c r="B4" s="6" t="n"/>
      <c r="C4" s="6" t="n"/>
      <c r="D4" s="6" t="n"/>
      <c r="E4" s="6" t="n"/>
      <c r="F4" s="45" t="inlineStr">
        <is>
          <t>COMPLEXITY &amp; EXPERTISE</t>
        </is>
      </c>
      <c r="G4" s="45" t="n"/>
      <c r="H4" s="45" t="n"/>
      <c r="I4" s="45" t="n"/>
      <c r="J4" s="45" t="inlineStr">
        <is>
          <t>AUTONOMY &amp; DECISION</t>
        </is>
      </c>
      <c r="K4" s="45" t="n"/>
      <c r="L4" s="45" t="n"/>
      <c r="M4" s="45" t="n"/>
      <c r="N4" s="45" t="inlineStr">
        <is>
          <t>ACCOUNTABILITY &amp; IMPACT</t>
        </is>
      </c>
      <c r="O4" s="45" t="n"/>
      <c r="P4" s="45" t="n"/>
      <c r="Q4" s="45" t="n"/>
      <c r="R4" s="47" t="inlineStr">
        <is>
          <t>LEADERSHIP &amp; STRATEGY</t>
        </is>
      </c>
      <c r="S4" s="47" t="n"/>
      <c r="T4" s="47" t="n"/>
      <c r="U4" s="47" t="n"/>
      <c r="V4" s="47" t="inlineStr">
        <is>
          <t>BUSINESS IMPACT</t>
        </is>
      </c>
      <c r="W4" s="47" t="n"/>
      <c r="X4" s="47" t="n"/>
      <c r="Y4" s="47" t="n"/>
      <c r="Z4" s="81" t="inlineStr">
        <is>
          <t>EXPERIENCE</t>
        </is>
      </c>
      <c r="AA4" s="81" t="n"/>
      <c r="AB4" s="81" t="n"/>
      <c r="AC4" s="81" t="n"/>
      <c r="AD4" s="81" t="inlineStr">
        <is>
          <t>EDUCATION</t>
        </is>
      </c>
      <c r="AE4" s="81" t="n"/>
      <c r="AF4" s="81" t="n"/>
      <c r="AG4" s="81" t="n"/>
      <c r="AH4" s="20" t="inlineStr">
        <is>
          <t>MARKET BENCHMARK &amp; REFERENCES</t>
        </is>
      </c>
      <c r="AI4" s="20" t="n"/>
      <c r="AJ4" s="20" t="n"/>
      <c r="AK4" s="20" t="n"/>
      <c r="AL4" s="20" t="n"/>
    </row>
    <row r="5" ht="60" customHeight="1">
      <c r="A5" s="22" t="inlineStr">
        <is>
          <t>Level</t>
        </is>
      </c>
      <c r="B5" s="22" t="inlineStr">
        <is>
          <t>Band</t>
        </is>
      </c>
      <c r="C5" s="22" t="inlineStr">
        <is>
          <t>Role group</t>
        </is>
      </c>
      <c r="D5" s="22" t="inlineStr">
        <is>
          <t>Level title</t>
        </is>
      </c>
      <c r="E5" s="22" t="inlineStr">
        <is>
          <t>Roles at this level in this family</t>
        </is>
      </c>
      <c r="F5" s="48" t="inlineStr">
        <is>
          <t>Weightage · L/M/H</t>
        </is>
      </c>
      <c r="G5" s="48" t="inlineStr">
        <is>
          <t>Low</t>
        </is>
      </c>
      <c r="H5" s="48" t="inlineStr">
        <is>
          <t>Medium</t>
        </is>
      </c>
      <c r="I5" s="48" t="inlineStr">
        <is>
          <t>High</t>
        </is>
      </c>
      <c r="J5" s="48" t="inlineStr">
        <is>
          <t>Weightage · L/M/H</t>
        </is>
      </c>
      <c r="K5" s="48" t="inlineStr">
        <is>
          <t>Low</t>
        </is>
      </c>
      <c r="L5" s="48" t="inlineStr">
        <is>
          <t>Medium</t>
        </is>
      </c>
      <c r="M5" s="48" t="inlineStr">
        <is>
          <t>High</t>
        </is>
      </c>
      <c r="N5" s="48" t="inlineStr">
        <is>
          <t>Weightage · L/M/H</t>
        </is>
      </c>
      <c r="O5" s="48" t="inlineStr">
        <is>
          <t>Low</t>
        </is>
      </c>
      <c r="P5" s="48" t="inlineStr">
        <is>
          <t>Medium</t>
        </is>
      </c>
      <c r="Q5" s="48" t="inlineStr">
        <is>
          <t>High</t>
        </is>
      </c>
      <c r="R5" s="50" t="inlineStr">
        <is>
          <t>Weightage · L/M/H</t>
        </is>
      </c>
      <c r="S5" s="50" t="inlineStr">
        <is>
          <t>Low</t>
        </is>
      </c>
      <c r="T5" s="50" t="inlineStr">
        <is>
          <t>Medium</t>
        </is>
      </c>
      <c r="U5" s="50" t="inlineStr">
        <is>
          <t>High</t>
        </is>
      </c>
      <c r="V5" s="50" t="inlineStr">
        <is>
          <t>Weightage · L/M/H</t>
        </is>
      </c>
      <c r="W5" s="50" t="inlineStr">
        <is>
          <t>Low</t>
        </is>
      </c>
      <c r="X5" s="50" t="inlineStr">
        <is>
          <t>Medium</t>
        </is>
      </c>
      <c r="Y5" s="50" t="inlineStr">
        <is>
          <t>High</t>
        </is>
      </c>
      <c r="Z5" s="82" t="inlineStr">
        <is>
          <t>Weightage · L/M/H</t>
        </is>
      </c>
      <c r="AA5" s="82" t="inlineStr">
        <is>
          <t>Low</t>
        </is>
      </c>
      <c r="AB5" s="82" t="inlineStr">
        <is>
          <t>Medium</t>
        </is>
      </c>
      <c r="AC5" s="82" t="inlineStr">
        <is>
          <t>High</t>
        </is>
      </c>
      <c r="AD5" s="82" t="inlineStr">
        <is>
          <t>Weightage · L/M/H</t>
        </is>
      </c>
      <c r="AE5" s="82" t="inlineStr">
        <is>
          <t>Low</t>
        </is>
      </c>
      <c r="AF5" s="82" t="inlineStr">
        <is>
          <t>Medium</t>
        </is>
      </c>
      <c r="AG5" s="82" t="inlineStr">
        <is>
          <t>High</t>
        </is>
      </c>
      <c r="AH5" s="26" t="inlineStr">
        <is>
          <t>Market weight % · C · Au · Ac · L · BI · Exp · Edu</t>
        </is>
      </c>
      <c r="AI5" s="26" t="inlineStr">
        <is>
          <t>Market experience · yrs</t>
        </is>
      </c>
      <c r="AJ5" s="26" t="inlineStr">
        <is>
          <t>Span norm</t>
        </is>
      </c>
      <c r="AK5" s="26" t="inlineStr">
        <is>
          <t>Radford / Mercer · SFIA 9</t>
        </is>
      </c>
      <c r="AL5" s="26" t="inlineStr">
        <is>
          <t>References</t>
        </is>
      </c>
    </row>
    <row r="6" ht="120" customHeight="1">
      <c r="A6" s="83" t="inlineStr">
        <is>
          <t>E2</t>
        </is>
      </c>
      <c r="B6" s="29" t="inlineStr">
        <is>
          <t>Band E · Enterprise leadership</t>
        </is>
      </c>
      <c r="C6" s="29" t="inlineStr">
        <is>
          <t>Bands D–E · Leadership</t>
        </is>
      </c>
      <c r="D6" s="29" t="inlineStr">
        <is>
          <t>Chief Executive Officer</t>
        </is>
      </c>
      <c r="E6" s="29" t="inlineStr">
        <is>
          <t>— no role at this level today</t>
        </is>
      </c>
      <c r="F6" s="34" t="inlineStr">
        <is>
          <t>H</t>
        </is>
      </c>
      <c r="G6" s="84" t="inlineStr">
        <is>
          <t>Works at E1: Enterprise-level functional strategy</t>
        </is>
      </c>
      <c r="H6" s="84" t="inlineStr">
        <is>
          <t>Enterprise-wide uncertainty, transformation and external forces</t>
        </is>
      </c>
      <c r="I6" s="84" t="inlineStr">
        <is>
          <t>Beyond the role · a board-level mandate</t>
        </is>
      </c>
      <c r="J6" s="34" t="inlineStr">
        <is>
          <t>M</t>
        </is>
      </c>
      <c r="K6" s="84" t="inlineStr">
        <is>
          <t>Works at E1: Sets enterprise priorities for the function</t>
        </is>
      </c>
      <c r="L6" s="84" t="inlineStr">
        <is>
          <t>Accountable to the board</t>
        </is>
      </c>
      <c r="M6" s="84" t="inlineStr">
        <is>
          <t>Beyond the role · a board-level mandate</t>
        </is>
      </c>
      <c r="N6" s="34" t="inlineStr">
        <is>
          <t>M</t>
        </is>
      </c>
      <c r="O6" s="84" t="inlineStr">
        <is>
          <t>Works at E1: Enterprise-wide functional results</t>
        </is>
      </c>
      <c r="P6" s="84" t="inlineStr">
        <is>
          <t>Enterprise results, risk, culture and long-term viability</t>
        </is>
      </c>
      <c r="Q6" s="84" t="inlineStr">
        <is>
          <t>Beyond the role · a board-level mandate</t>
        </is>
      </c>
      <c r="R6" s="34" t="inlineStr">
        <is>
          <t>M</t>
        </is>
      </c>
      <c r="S6" s="56" t="inlineStr">
        <is>
          <t>Works at E1: Shapes enterprise strategy</t>
        </is>
      </c>
      <c r="T6" s="56" t="inlineStr">
        <is>
          <t>Sets enterprise strategy; leads the executive team</t>
        </is>
      </c>
      <c r="U6" s="56" t="inlineStr">
        <is>
          <t>Beyond the role · a board-level mandate</t>
        </is>
      </c>
      <c r="V6" s="34" t="inlineStr">
        <is>
          <t>L</t>
        </is>
      </c>
      <c r="W6" s="56" t="inlineStr">
        <is>
          <t>Works at E1: Shapes company-wide results through a function</t>
        </is>
      </c>
      <c r="X6" s="56" t="inlineStr">
        <is>
          <t>Answers for the whole company's results and long-term value</t>
        </is>
      </c>
      <c r="Y6" s="56" t="inlineStr">
        <is>
          <t>Beyond the role · a board-level mandate</t>
        </is>
      </c>
      <c r="Z6" s="34" t="inlineStr">
        <is>
          <t>L</t>
        </is>
      </c>
      <c r="AA6" s="85" t="inlineStr">
        <is>
          <t>Less experience than the band's typical 20+ yrs</t>
        </is>
      </c>
      <c r="AB6" s="85" t="inlineStr">
        <is>
          <t>Typical for the band: 20+ yrs · market — yrs</t>
        </is>
      </c>
      <c r="AC6" s="85" t="inlineStr">
        <is>
          <t>More experience than the band's typical 20+ yrs</t>
        </is>
      </c>
      <c r="AD6" s="34" t="inlineStr">
        <is>
          <t>L</t>
        </is>
      </c>
      <c r="AE6" s="85" t="inlineStr">
        <is>
          <t>Below: Postgraduate / professional qualification; business leadership record</t>
        </is>
      </c>
      <c r="AF6" s="85" t="inlineStr">
        <is>
          <t>Postgraduate / professional qualification; proven business leadership</t>
        </is>
      </c>
      <c r="AG6" s="85" t="inlineStr">
        <is>
          <t>Board-level credentials beyond the role's need</t>
        </is>
      </c>
      <c r="AH6" s="44" t="inlineStr">
        <is>
          <t>36.3 · 19 · 11.3 · 20 · 8.7 · 4 · 1</t>
        </is>
      </c>
      <c r="AI6" s="38" t="inlineStr">
        <is>
          <t>20+ yrs</t>
        </is>
      </c>
      <c r="AJ6" s="38" t="inlineStr">
        <is>
          <t>Executive team</t>
        </is>
      </c>
      <c r="AK6" s="38" t="inlineStr">
        <is>
          <t>E6 · SFIA 7</t>
        </is>
      </c>
      <c r="AL6"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7" ht="120" customHeight="1">
      <c r="A7" s="83" t="inlineStr">
        <is>
          <t>E1</t>
        </is>
      </c>
      <c r="B7" s="29" t="inlineStr">
        <is>
          <t>Band E · Enterprise leadership</t>
        </is>
      </c>
      <c r="C7" s="29" t="inlineStr">
        <is>
          <t>Bands D–E · Leadership</t>
        </is>
      </c>
      <c r="D7" s="29" t="inlineStr">
        <is>
          <t>CXO / President</t>
        </is>
      </c>
      <c r="E7" s="29" t="inlineStr">
        <is>
          <t>— no role at this level today</t>
        </is>
      </c>
      <c r="F7" s="34" t="inlineStr">
        <is>
          <t>H</t>
        </is>
      </c>
      <c r="G7" s="84" t="inlineStr">
        <is>
          <t>Works at D2: Portfolio-level strategic, financial and regulatory trade-offs</t>
        </is>
      </c>
      <c r="H7" s="84" t="inlineStr">
        <is>
          <t>Enterprise-level functional strategy</t>
        </is>
      </c>
      <c r="I7" s="84" t="inlineStr">
        <is>
          <t>Already works at E2: Enterprise-wide uncertainty, transformation and external forces</t>
        </is>
      </c>
      <c r="J7" s="34" t="inlineStr">
        <is>
          <t>M</t>
        </is>
      </c>
      <c r="K7" s="84" t="inlineStr">
        <is>
          <t>Works at D2: Sets direction across business lines</t>
        </is>
      </c>
      <c r="L7" s="84" t="inlineStr">
        <is>
          <t>Sets enterprise priorities for the function</t>
        </is>
      </c>
      <c r="M7" s="84" t="inlineStr">
        <is>
          <t>Already works at E2: Accountable to the board</t>
        </is>
      </c>
      <c r="N7" s="34" t="inlineStr">
        <is>
          <t>M</t>
        </is>
      </c>
      <c r="O7" s="84" t="inlineStr">
        <is>
          <t>Works at D2: Multi-business results</t>
        </is>
      </c>
      <c r="P7" s="84" t="inlineStr">
        <is>
          <t>Enterprise-wide functional results</t>
        </is>
      </c>
      <c r="Q7" s="84" t="inlineStr">
        <is>
          <t>Already works at E2: Enterprise results, risk, culture and long-term viability</t>
        </is>
      </c>
      <c r="R7" s="34" t="inlineStr">
        <is>
          <t>M</t>
        </is>
      </c>
      <c r="S7" s="56" t="inlineStr">
        <is>
          <t>Works at D2: Builds the leadership team across businesses</t>
        </is>
      </c>
      <c r="T7" s="56" t="inlineStr">
        <is>
          <t>Shapes enterprise strategy</t>
        </is>
      </c>
      <c r="U7" s="56" t="inlineStr">
        <is>
          <t>Already works at E2: Sets enterprise strategy; leads the executive team</t>
        </is>
      </c>
      <c r="V7" s="34" t="inlineStr">
        <is>
          <t>L</t>
        </is>
      </c>
      <c r="W7" s="56" t="inlineStr">
        <is>
          <t>Works at D2: Owns the results of several business lines</t>
        </is>
      </c>
      <c r="X7" s="56" t="inlineStr">
        <is>
          <t>Shapes company-wide results through a function</t>
        </is>
      </c>
      <c r="Y7" s="56" t="inlineStr">
        <is>
          <t>Already works at E2: Answers for the whole company's results and long-term value</t>
        </is>
      </c>
      <c r="Z7" s="34" t="inlineStr">
        <is>
          <t>L</t>
        </is>
      </c>
      <c r="AA7" s="85" t="inlineStr">
        <is>
          <t>Less experience than the band's typical 20+ yrs</t>
        </is>
      </c>
      <c r="AB7" s="85" t="inlineStr">
        <is>
          <t>Typical for the band: 20+ yrs · market — yrs</t>
        </is>
      </c>
      <c r="AC7" s="85" t="inlineStr">
        <is>
          <t>More experience than the band's typical 20+ yrs</t>
        </is>
      </c>
      <c r="AD7" s="34" t="inlineStr">
        <is>
          <t>L</t>
        </is>
      </c>
      <c r="AE7" s="85" t="inlineStr">
        <is>
          <t>Below: Postgraduate / professional qualification preferred</t>
        </is>
      </c>
      <c r="AF7" s="85" t="inlineStr">
        <is>
          <t>Postgraduate / professional qualification; business leadership record</t>
        </is>
      </c>
      <c r="AG7" s="85" t="inlineStr">
        <is>
          <t>Above: Postgraduate / professional qualification; proven business leadership</t>
        </is>
      </c>
      <c r="AH7" s="44" t="inlineStr">
        <is>
          <t>36.3 · 19 · 11.3 · 20 · 8.7 · 4 · 1</t>
        </is>
      </c>
      <c r="AI7" s="38" t="inlineStr">
        <is>
          <t>20+ yrs</t>
        </is>
      </c>
      <c r="AJ7" s="38" t="inlineStr">
        <is>
          <t>5–8 function heads</t>
        </is>
      </c>
      <c r="AK7" s="38" t="inlineStr">
        <is>
          <t>E5 · SFIA 7</t>
        </is>
      </c>
      <c r="AL7"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8" ht="120" customHeight="1">
      <c r="A8" s="86" t="inlineStr">
        <is>
          <t>D2</t>
        </is>
      </c>
      <c r="B8" s="29" t="inlineStr">
        <is>
          <t>Band D · Business leadership</t>
        </is>
      </c>
      <c r="C8" s="29" t="inlineStr">
        <is>
          <t>Bands D–E · Leadership</t>
        </is>
      </c>
      <c r="D8" s="29" t="inlineStr">
        <is>
          <t>Senior Vice President / Business Head</t>
        </is>
      </c>
      <c r="E8" s="29" t="inlineStr">
        <is>
          <t>— no role at this level today</t>
        </is>
      </c>
      <c r="F8" s="34" t="inlineStr">
        <is>
          <t>H</t>
        </is>
      </c>
      <c r="G8" s="84" t="inlineStr">
        <is>
          <t>Works at D1: Competing strategic, financial and regulatory priorities</t>
        </is>
      </c>
      <c r="H8" s="84" t="inlineStr">
        <is>
          <t>Portfolio-level strategic, financial and regulatory trade-offs</t>
        </is>
      </c>
      <c r="I8" s="84" t="inlineStr">
        <is>
          <t>Already works at E1: Enterprise-level functional strategy</t>
        </is>
      </c>
      <c r="J8" s="34" t="inlineStr">
        <is>
          <t>M</t>
        </is>
      </c>
      <c r="K8" s="84" t="inlineStr">
        <is>
          <t>Works at D1: Sets business-line direction, pricing and investment</t>
        </is>
      </c>
      <c r="L8" s="84" t="inlineStr">
        <is>
          <t>Sets direction across business lines</t>
        </is>
      </c>
      <c r="M8" s="84" t="inlineStr">
        <is>
          <t>Already works at E1: Sets enterprise priorities for the function</t>
        </is>
      </c>
      <c r="N8" s="34" t="inlineStr">
        <is>
          <t>M</t>
        </is>
      </c>
      <c r="O8" s="84" t="inlineStr">
        <is>
          <t>Works at D1: Business-line P&amp;L and market position</t>
        </is>
      </c>
      <c r="P8" s="84" t="inlineStr">
        <is>
          <t>Multi-business results</t>
        </is>
      </c>
      <c r="Q8" s="84" t="inlineStr">
        <is>
          <t>Already works at E1: Enterprise-wide functional results</t>
        </is>
      </c>
      <c r="R8" s="34" t="inlineStr">
        <is>
          <t>M</t>
        </is>
      </c>
      <c r="S8" s="56" t="inlineStr">
        <is>
          <t>Works at D1: Defines business strategy; builds the leadership bench</t>
        </is>
      </c>
      <c r="T8" s="56" t="inlineStr">
        <is>
          <t>Builds the leadership team across businesses</t>
        </is>
      </c>
      <c r="U8" s="56" t="inlineStr">
        <is>
          <t>Already works at E1: Shapes enterprise strategy</t>
        </is>
      </c>
      <c r="V8" s="34" t="inlineStr">
        <is>
          <t>L</t>
        </is>
      </c>
      <c r="W8" s="56" t="inlineStr">
        <is>
          <t>Works at D1: Owns a business line's P&amp;L and growth, or a company-wide function</t>
        </is>
      </c>
      <c r="X8" s="56" t="inlineStr">
        <is>
          <t>Owns the results of several business lines</t>
        </is>
      </c>
      <c r="Y8" s="56" t="inlineStr">
        <is>
          <t>Already works at E1: Shapes company-wide results through a function</t>
        </is>
      </c>
      <c r="Z8" s="34" t="inlineStr">
        <is>
          <t>L</t>
        </is>
      </c>
      <c r="AA8" s="85" t="inlineStr">
        <is>
          <t>Less experience than the band's typical 18–24 yrs</t>
        </is>
      </c>
      <c r="AB8" s="85" t="inlineStr">
        <is>
          <t>Typical for the band: 18–24 yrs · market — yrs</t>
        </is>
      </c>
      <c r="AC8" s="85" t="inlineStr">
        <is>
          <t>More experience than the band's typical 18–24 yrs</t>
        </is>
      </c>
      <c r="AD8" s="34" t="inlineStr">
        <is>
          <t>L</t>
        </is>
      </c>
      <c r="AE8" s="85" t="inlineStr">
        <is>
          <t>Below: Postgraduate / professional qualification preferred</t>
        </is>
      </c>
      <c r="AF8" s="85" t="inlineStr">
        <is>
          <t>Postgraduate / professional qualification preferred</t>
        </is>
      </c>
      <c r="AG8" s="85" t="inlineStr">
        <is>
          <t>Above: Postgraduate / professional qualification; business leadership record</t>
        </is>
      </c>
      <c r="AH8" s="44" t="inlineStr">
        <is>
          <t>36.3 · 19 · 11.3 · 20 · 8.7 · 4 · 1</t>
        </is>
      </c>
      <c r="AI8" s="38" t="inlineStr">
        <is>
          <t>18–24 yrs</t>
        </is>
      </c>
      <c r="AJ8" s="38" t="inlineStr">
        <is>
          <t>5–8 AVPs / heads</t>
        </is>
      </c>
      <c r="AK8" s="38" t="inlineStr">
        <is>
          <t>E3–E4 · SFIA 7 Set strategy</t>
        </is>
      </c>
      <c r="AL8"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9" ht="120" customHeight="1">
      <c r="A9" s="86" t="inlineStr">
        <is>
          <t>D1</t>
        </is>
      </c>
      <c r="B9" s="29" t="inlineStr">
        <is>
          <t>Band D · Business leadership</t>
        </is>
      </c>
      <c r="C9" s="29" t="inlineStr">
        <is>
          <t>Bands D–E · Leadership</t>
        </is>
      </c>
      <c r="D9" s="29" t="inlineStr">
        <is>
          <t>Associate Vice President</t>
        </is>
      </c>
      <c r="E9" s="29" t="inlineStr">
        <is>
          <t>— no role at this level today</t>
        </is>
      </c>
      <c r="F9" s="34" t="inlineStr">
        <is>
          <t>H</t>
        </is>
      </c>
      <c r="G9" s="84" t="inlineStr">
        <is>
          <t>Works at C2: Function-wide or company-wide problems; creates methods and standards</t>
        </is>
      </c>
      <c r="H9" s="84" t="inlineStr">
        <is>
          <t>Competing strategic, financial and regulatory priorities</t>
        </is>
      </c>
      <c r="I9" s="84" t="inlineStr">
        <is>
          <t>Already works at D2: Portfolio-level strategic, financial and regulatory trade-offs</t>
        </is>
      </c>
      <c r="J9" s="34" t="inlineStr">
        <is>
          <t>M</t>
        </is>
      </c>
      <c r="K9" s="84" t="inlineStr">
        <is>
          <t>Works at C2: Sets direction for a function</t>
        </is>
      </c>
      <c r="L9" s="84" t="inlineStr">
        <is>
          <t>Sets business-line direction, pricing and investment</t>
        </is>
      </c>
      <c r="M9" s="84" t="inlineStr">
        <is>
          <t>Already works at D2: Sets direction across business lines</t>
        </is>
      </c>
      <c r="N9" s="34" t="inlineStr">
        <is>
          <t>M</t>
        </is>
      </c>
      <c r="O9" s="84" t="inlineStr">
        <is>
          <t>Works at C2: Function results, budget and risk</t>
        </is>
      </c>
      <c r="P9" s="84" t="inlineStr">
        <is>
          <t>Business-line P&amp;L and market position</t>
        </is>
      </c>
      <c r="Q9" s="84" t="inlineStr">
        <is>
          <t>Already works at D2: Multi-business results</t>
        </is>
      </c>
      <c r="R9" s="34" t="inlineStr">
        <is>
          <t>M</t>
        </is>
      </c>
      <c r="S9" s="56" t="inlineStr">
        <is>
          <t>Works at C2: Leads a function; shapes functional strategy</t>
        </is>
      </c>
      <c r="T9" s="56" t="inlineStr">
        <is>
          <t>Defines business strategy; builds the leadership bench</t>
        </is>
      </c>
      <c r="U9" s="56" t="inlineStr">
        <is>
          <t>Already works at D2: Builds the leadership team across businesses</t>
        </is>
      </c>
      <c r="V9" s="34" t="inlineStr">
        <is>
          <t>L</t>
        </is>
      </c>
      <c r="W9" s="56" t="inlineStr">
        <is>
          <t>Works at C2: Drives a function's or department's results and costs</t>
        </is>
      </c>
      <c r="X9" s="56" t="inlineStr">
        <is>
          <t>Owns a business line's P&amp;L and growth, or a company-wide function</t>
        </is>
      </c>
      <c r="Y9" s="56" t="inlineStr">
        <is>
          <t>Already works at D2: Owns the results of several business lines</t>
        </is>
      </c>
      <c r="Z9" s="34" t="inlineStr">
        <is>
          <t>L</t>
        </is>
      </c>
      <c r="AA9" s="85" t="inlineStr">
        <is>
          <t>Less experience than the band's typical 15–20 yrs</t>
        </is>
      </c>
      <c r="AB9" s="85" t="inlineStr">
        <is>
          <t>Typical for the band: 15–20 yrs · market — yrs</t>
        </is>
      </c>
      <c r="AC9" s="85" t="inlineStr">
        <is>
          <t>More experience than the band's typical 15–20 yrs</t>
        </is>
      </c>
      <c r="AD9" s="34" t="inlineStr">
        <is>
          <t>L</t>
        </is>
      </c>
      <c r="AE9" s="85" t="inlineStr">
        <is>
          <t>Below: Postgraduate / professional qualification preferred</t>
        </is>
      </c>
      <c r="AF9" s="85" t="inlineStr">
        <is>
          <t>Postgraduate / professional qualification preferred</t>
        </is>
      </c>
      <c r="AG9" s="85" t="inlineStr">
        <is>
          <t>Above: Postgraduate / professional qualification preferred</t>
        </is>
      </c>
      <c r="AH9" s="44" t="inlineStr">
        <is>
          <t>36.3 · 19 · 11.3 · 20 · 8.7 · 4 · 1</t>
        </is>
      </c>
      <c r="AI9" s="38" t="inlineStr">
        <is>
          <t>15–20 yrs</t>
        </is>
      </c>
      <c r="AJ9" s="38" t="inlineStr">
        <is>
          <t>5–8 heads</t>
        </is>
      </c>
      <c r="AK9" s="38" t="inlineStr">
        <is>
          <t>E1–E2 · SFIA 6–7</t>
        </is>
      </c>
      <c r="AL9"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0" ht="120" customHeight="1">
      <c r="A10" s="87" t="inlineStr">
        <is>
          <t>C+</t>
        </is>
      </c>
      <c r="B10" s="29" t="inlineStr">
        <is>
          <t>C+ · Player-Coach</t>
        </is>
      </c>
      <c r="C10" s="29" t="inlineStr">
        <is>
          <t>C+ · Player-Coach</t>
        </is>
      </c>
      <c r="D10" s="29" t="inlineStr">
        <is>
          <t>Group Head · Player-Coach</t>
        </is>
      </c>
      <c r="E10" s="29" t="inlineStr">
        <is>
          <t>— no role at this level today</t>
        </is>
      </c>
      <c r="F10" s="34" t="inlineStr">
        <is>
          <t>H</t>
        </is>
      </c>
      <c r="G10" s="84" t="inlineStr">
        <is>
          <t>Works at C2: Function-wide or company-wide problems; creates methods and standards</t>
        </is>
      </c>
      <c r="H10" s="84" t="inlineStr">
        <is>
          <t>Function-wide and cross-product problems; personally handles the most critical client or technical work</t>
        </is>
      </c>
      <c r="I10" s="84" t="inlineStr">
        <is>
          <t>Already works at D1: Competing strategic, financial and regulatory priorities</t>
        </is>
      </c>
      <c r="J10" s="34" t="inlineStr">
        <is>
          <t>M</t>
        </is>
      </c>
      <c r="K10" s="84" t="inlineStr">
        <is>
          <t>Works at C2: Sets direction for a function</t>
        </is>
      </c>
      <c r="L10" s="84" t="inlineStr">
        <is>
          <t>Sets direction for the function; business-line trade-offs go to the Business Head</t>
        </is>
      </c>
      <c r="M10" s="84" t="inlineStr">
        <is>
          <t>Already works at D1: Sets business-line direction, pricing and investment</t>
        </is>
      </c>
      <c r="N10" s="34" t="inlineStr">
        <is>
          <t>M</t>
        </is>
      </c>
      <c r="O10" s="84" t="inlineStr">
        <is>
          <t>Works at C2: Function results, budget and risk</t>
        </is>
      </c>
      <c r="P10" s="84" t="inlineStr">
        <is>
          <t>Function results, budget and key-client outcomes; carries own book or principal delivery</t>
        </is>
      </c>
      <c r="Q10" s="84" t="inlineStr">
        <is>
          <t>Already works at D1: Business-line P&amp;L and market position</t>
        </is>
      </c>
      <c r="R10" s="34" t="inlineStr">
        <is>
          <t>M</t>
        </is>
      </c>
      <c r="S10" s="56" t="inlineStr">
        <is>
          <t>Works at C2: Leads a function; shapes functional strategy</t>
        </is>
      </c>
      <c r="T10" s="56" t="inlineStr">
        <is>
          <t>Leads managers and leads and 10+ people in the function while staying hands-on</t>
        </is>
      </c>
      <c r="U10" s="56" t="inlineStr">
        <is>
          <t>Already works at D1: Defines business strategy; builds the leadership bench</t>
        </is>
      </c>
      <c r="V10" s="34" t="inlineStr">
        <is>
          <t>L</t>
        </is>
      </c>
      <c r="W10" s="56" t="inlineStr">
        <is>
          <t>Works at C2: Drives a function's or department's results and costs</t>
        </is>
      </c>
      <c r="X10" s="56" t="inlineStr">
        <is>
          <t>Drives a function's results and personally wins or delivers key work</t>
        </is>
      </c>
      <c r="Y10" s="56" t="inlineStr">
        <is>
          <t>Already works at D1: Owns a business line's P&amp;L and growth, or a company-wide function</t>
        </is>
      </c>
      <c r="Z10" s="34" t="inlineStr">
        <is>
          <t>L</t>
        </is>
      </c>
      <c r="AA10" s="85" t="inlineStr">
        <is>
          <t>Less experience than the band's typical 13–18 yrs</t>
        </is>
      </c>
      <c r="AB10" s="85" t="inlineStr">
        <is>
          <t>Typical for the band: 13–18 yrs · market 15–18 yrs</t>
        </is>
      </c>
      <c r="AC10" s="85" t="inlineStr">
        <is>
          <t>More experience than the band's typical 13–18 yrs</t>
        </is>
      </c>
      <c r="AD10" s="34" t="inlineStr">
        <is>
          <t>L</t>
        </is>
      </c>
      <c r="AE10" s="85" t="inlineStr">
        <is>
          <t>Below: Postgraduate / professional qualification preferred</t>
        </is>
      </c>
      <c r="AF10" s="85" t="inlineStr">
        <is>
          <t>Postgraduate / professional qualification preferred</t>
        </is>
      </c>
      <c r="AG10" s="85" t="inlineStr">
        <is>
          <t>Above: Postgraduate / professional qualification preferred</t>
        </is>
      </c>
      <c r="AH10" s="44" t="inlineStr">
        <is>
          <t>37.7 · 18.3 · 10.7 · 20 · 8 · 4 · 1</t>
        </is>
      </c>
      <c r="AI10" s="38" t="inlineStr">
        <is>
          <t>15–18</t>
        </is>
      </c>
      <c r="AJ10" s="38" t="inlineStr">
        <is>
          <t>4–8 managers / leads with ≥ 25% of time on own principal delivery</t>
        </is>
      </c>
      <c r="AK10" s="38" t="inlineStr">
        <is>
          <t>M6 / E1 · SFIA 6 Initiate, influence</t>
        </is>
      </c>
      <c r="AL10"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1" ht="120" customHeight="1">
      <c r="A11" s="88" t="inlineStr">
        <is>
          <t>C2</t>
        </is>
      </c>
      <c r="B11" s="29" t="inlineStr">
        <is>
          <t>Band C · Principal / Head</t>
        </is>
      </c>
      <c r="C11" s="29" t="inlineStr">
        <is>
          <t>Band C · Head / manager</t>
        </is>
      </c>
      <c r="D11" s="29" t="inlineStr">
        <is>
          <t>Head of Function</t>
        </is>
      </c>
      <c r="E11" s="29" t="inlineStr">
        <is>
          <t>— no role at this level today</t>
        </is>
      </c>
      <c r="F11" s="34" t="inlineStr">
        <is>
          <t>H</t>
        </is>
      </c>
      <c r="G11" s="84" t="inlineStr">
        <is>
          <t>Works at C1: Ambiguous, cross-product problems</t>
        </is>
      </c>
      <c r="H11" s="84" t="inlineStr">
        <is>
          <t>Function-wide or company-wide problems; creates methods and standards</t>
        </is>
      </c>
      <c r="I11" s="84" t="inlineStr">
        <is>
          <t>Already works at D1: Competing strategic, financial and regulatory priorities</t>
        </is>
      </c>
      <c r="J11" s="34" t="inlineStr">
        <is>
          <t>M</t>
        </is>
      </c>
      <c r="K11" s="84" t="inlineStr">
        <is>
          <t>Works at C1: Sets direction for a sub-function or domain</t>
        </is>
      </c>
      <c r="L11" s="84" t="inlineStr">
        <is>
          <t>Sets direction for a function</t>
        </is>
      </c>
      <c r="M11" s="84" t="inlineStr">
        <is>
          <t>Already works at D1: Sets business-line direction, pricing and investment</t>
        </is>
      </c>
      <c r="N11" s="34" t="inlineStr">
        <is>
          <t>M</t>
        </is>
      </c>
      <c r="O11" s="84" t="inlineStr">
        <is>
          <t>Works at C1: Sub-function results or domain quality across products</t>
        </is>
      </c>
      <c r="P11" s="84" t="inlineStr">
        <is>
          <t>Function results, budget and risk</t>
        </is>
      </c>
      <c r="Q11" s="84" t="inlineStr">
        <is>
          <t>Already works at D1: Business-line P&amp;L and market position</t>
        </is>
      </c>
      <c r="R11" s="34" t="inlineStr">
        <is>
          <t>M</t>
        </is>
      </c>
      <c r="S11" s="56" t="inlineStr">
        <is>
          <t>Works at C1: Leads managers or a community of practice</t>
        </is>
      </c>
      <c r="T11" s="56" t="inlineStr">
        <is>
          <t>Leads a function; shapes functional strategy</t>
        </is>
      </c>
      <c r="U11" s="56" t="inlineStr">
        <is>
          <t>Already works at D1: Defines business strategy; builds the leadership bench</t>
        </is>
      </c>
      <c r="V11" s="34" t="inlineStr">
        <is>
          <t>L</t>
        </is>
      </c>
      <c r="W11" s="56" t="inlineStr">
        <is>
          <t>Works at C1: Changes results across a sub-function or across products</t>
        </is>
      </c>
      <c r="X11" s="56" t="inlineStr">
        <is>
          <t>Drives a function's or department's results and costs</t>
        </is>
      </c>
      <c r="Y11" s="56" t="inlineStr">
        <is>
          <t>Already works at D1: Owns a business line's P&amp;L and growth, or a company-wide function</t>
        </is>
      </c>
      <c r="Z11" s="34" t="inlineStr">
        <is>
          <t>L</t>
        </is>
      </c>
      <c r="AA11" s="85" t="inlineStr">
        <is>
          <t>Less experience than the band's typical 12–17 yrs</t>
        </is>
      </c>
      <c r="AB11" s="85" t="inlineStr">
        <is>
          <t>Typical for the band: 12–17 yrs · market — yrs</t>
        </is>
      </c>
      <c r="AC11" s="85" t="inlineStr">
        <is>
          <t>More experience than the band's typical 12–17 yrs</t>
        </is>
      </c>
      <c r="AD11" s="34" t="inlineStr">
        <is>
          <t>L</t>
        </is>
      </c>
      <c r="AE11" s="85" t="inlineStr">
        <is>
          <t>Below: Postgraduate / professional qualification preferred</t>
        </is>
      </c>
      <c r="AF11" s="85" t="inlineStr">
        <is>
          <t>Postgraduate / professional qualification preferred</t>
        </is>
      </c>
      <c r="AG11" s="85" t="inlineStr">
        <is>
          <t>Above: Postgraduate / professional qualification preferred</t>
        </is>
      </c>
      <c r="AH11" s="44" t="inlineStr">
        <is>
          <t>43.3 · 18 · 10.7 · 15 · 8 · 4 · 1</t>
        </is>
      </c>
      <c r="AI11" s="38" t="inlineStr">
        <is>
          <t>12–17 yrs</t>
        </is>
      </c>
      <c r="AJ11" s="38" t="inlineStr">
        <is>
          <t>5–8 managers / associate heads</t>
        </is>
      </c>
      <c r="AK11" s="38" t="inlineStr">
        <is>
          <t>P7 / M6 · SFIA 6 Initiate, influence</t>
        </is>
      </c>
      <c r="AL11"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2" ht="120" customHeight="1">
      <c r="A12" s="88" t="inlineStr">
        <is>
          <t>C2</t>
        </is>
      </c>
      <c r="B12" s="29" t="inlineStr">
        <is>
          <t>Band C · Principal / Head</t>
        </is>
      </c>
      <c r="C12" s="29" t="inlineStr">
        <is>
          <t>Band C · Principal specialist</t>
        </is>
      </c>
      <c r="D12" s="29" t="inlineStr">
        <is>
          <t>Senior Principal / Architect</t>
        </is>
      </c>
      <c r="E12" s="29" t="inlineStr">
        <is>
          <t>— no role at this level today</t>
        </is>
      </c>
      <c r="F12" s="34" t="inlineStr">
        <is>
          <t>H</t>
        </is>
      </c>
      <c r="G12" s="84" t="inlineStr">
        <is>
          <t>Works at C1: Ambiguous, cross-product problems</t>
        </is>
      </c>
      <c r="H12" s="84" t="inlineStr">
        <is>
          <t>Function-wide or company-wide problems; creates methods and standards</t>
        </is>
      </c>
      <c r="I12" s="84" t="inlineStr">
        <is>
          <t>Already works at D1: Competing strategic, financial and regulatory priorities</t>
        </is>
      </c>
      <c r="J12" s="34" t="inlineStr">
        <is>
          <t>M</t>
        </is>
      </c>
      <c r="K12" s="84" t="inlineStr">
        <is>
          <t>Works at C1: Sets direction for a sub-function or domain</t>
        </is>
      </c>
      <c r="L12" s="84" t="inlineStr">
        <is>
          <t>Sets direction for a function</t>
        </is>
      </c>
      <c r="M12" s="84" t="inlineStr">
        <is>
          <t>Already works at D1: Sets business-line direction, pricing and investment</t>
        </is>
      </c>
      <c r="N12" s="34" t="inlineStr">
        <is>
          <t>M</t>
        </is>
      </c>
      <c r="O12" s="84" t="inlineStr">
        <is>
          <t>Works at C1: Sub-function results or domain quality across products</t>
        </is>
      </c>
      <c r="P12" s="84" t="inlineStr">
        <is>
          <t>Function results, budget and risk</t>
        </is>
      </c>
      <c r="Q12" s="84" t="inlineStr">
        <is>
          <t>Already works at D1: Business-line P&amp;L and market position</t>
        </is>
      </c>
      <c r="R12" s="34" t="inlineStr">
        <is>
          <t>L</t>
        </is>
      </c>
      <c r="S12" s="56" t="inlineStr">
        <is>
          <t>Works at C1: Leads managers or a community of practice</t>
        </is>
      </c>
      <c r="T12" s="56" t="inlineStr">
        <is>
          <t>Leads a function; shapes functional strategy</t>
        </is>
      </c>
      <c r="U12" s="56" t="inlineStr">
        <is>
          <t>Already works at D1: Defines business strategy; builds the leadership bench</t>
        </is>
      </c>
      <c r="V12" s="34" t="inlineStr">
        <is>
          <t>L</t>
        </is>
      </c>
      <c r="W12" s="56" t="inlineStr">
        <is>
          <t>Works at C1: Changes results across a sub-function or across products</t>
        </is>
      </c>
      <c r="X12" s="56" t="inlineStr">
        <is>
          <t>Drives a function's or department's results and costs</t>
        </is>
      </c>
      <c r="Y12" s="56" t="inlineStr">
        <is>
          <t>Already works at D1: Owns a business line's P&amp;L and growth, or a company-wide function</t>
        </is>
      </c>
      <c r="Z12" s="34" t="inlineStr">
        <is>
          <t>L</t>
        </is>
      </c>
      <c r="AA12" s="85" t="inlineStr">
        <is>
          <t>Less experience than the band's typical 12–17 yrs</t>
        </is>
      </c>
      <c r="AB12" s="85" t="inlineStr">
        <is>
          <t>Typical for the band: 12–17 yrs · market — yrs</t>
        </is>
      </c>
      <c r="AC12" s="85" t="inlineStr">
        <is>
          <t>More experience than the band's typical 12–17 yrs</t>
        </is>
      </c>
      <c r="AD12" s="34" t="inlineStr">
        <is>
          <t>L</t>
        </is>
      </c>
      <c r="AE12" s="85" t="inlineStr">
        <is>
          <t>Below: Postgraduate / professional qualification preferred</t>
        </is>
      </c>
      <c r="AF12" s="85" t="inlineStr">
        <is>
          <t>Postgraduate / professional qualification preferred</t>
        </is>
      </c>
      <c r="AG12" s="85" t="inlineStr">
        <is>
          <t>Above: Postgraduate / professional qualification preferred</t>
        </is>
      </c>
      <c r="AH12" s="44" t="inlineStr">
        <is>
          <t>54.3 · 17.7 · 10.3 · 5 · 7.7 · 4 · 1</t>
        </is>
      </c>
      <c r="AI12" s="38" t="inlineStr">
        <is>
          <t>12–17 yrs</t>
        </is>
      </c>
      <c r="AJ12" s="38" t="inlineStr">
        <is>
          <t>5–8 managers / associate heads</t>
        </is>
      </c>
      <c r="AK12" s="38" t="inlineStr">
        <is>
          <t>P7 / M6 · SFIA 6 Initiate, influence</t>
        </is>
      </c>
      <c r="AL12"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3" ht="120" customHeight="1">
      <c r="A13" s="88" t="inlineStr">
        <is>
          <t>C1</t>
        </is>
      </c>
      <c r="B13" s="29" t="inlineStr">
        <is>
          <t>Band C · Principal / Head</t>
        </is>
      </c>
      <c r="C13" s="29" t="inlineStr">
        <is>
          <t>Band C · Head / manager</t>
        </is>
      </c>
      <c r="D13" s="29" t="inlineStr">
        <is>
          <t>Associate Head</t>
        </is>
      </c>
      <c r="E13" s="29" t="inlineStr">
        <is>
          <t>Digitization Leadership · Associate Head – Digitization</t>
        </is>
      </c>
      <c r="F13" s="34" t="inlineStr">
        <is>
          <t>H</t>
        </is>
      </c>
      <c r="G13" s="84" t="inlineStr">
        <is>
          <t>Works at B3: Sets standards for a practice; cross-team problems</t>
        </is>
      </c>
      <c r="H13" s="84" t="inlineStr">
        <is>
          <t>Ambiguous, cross-product problems</t>
        </is>
      </c>
      <c r="I13" s="84" t="inlineStr">
        <is>
          <t>Already works at C2: Function-wide or company-wide problems; creates methods and standards</t>
        </is>
      </c>
      <c r="J13" s="34" t="inlineStr">
        <is>
          <t>M</t>
        </is>
      </c>
      <c r="K13" s="84" t="inlineStr">
        <is>
          <t>Works at B3: Commercial / strategic calls for the unit</t>
        </is>
      </c>
      <c r="L13" s="84" t="inlineStr">
        <is>
          <t>Sets direction for a sub-function or domain</t>
        </is>
      </c>
      <c r="M13" s="84" t="inlineStr">
        <is>
          <t>Already works at C2: Sets direction for a function</t>
        </is>
      </c>
      <c r="N13" s="34" t="inlineStr">
        <is>
          <t>M</t>
        </is>
      </c>
      <c r="O13" s="84" t="inlineStr">
        <is>
          <t>Works at B3: Several teams or a practice</t>
        </is>
      </c>
      <c r="P13" s="84" t="inlineStr">
        <is>
          <t>Sub-function results or domain quality across products</t>
        </is>
      </c>
      <c r="Q13" s="84" t="inlineStr">
        <is>
          <t>Already works at C2: Function results, budget and risk</t>
        </is>
      </c>
      <c r="R13" s="34" t="inlineStr">
        <is>
          <t>M</t>
        </is>
      </c>
      <c r="S13" s="56" t="inlineStr">
        <is>
          <t>Works at B3: IC: leads a practice · People: team leads / managers report in</t>
        </is>
      </c>
      <c r="T13" s="56" t="inlineStr">
        <is>
          <t>Leads managers or a community of practice</t>
        </is>
      </c>
      <c r="U13" s="56" t="inlineStr">
        <is>
          <t>Already works at C2: Leads a function; shapes functional strategy</t>
        </is>
      </c>
      <c r="V13" s="34" t="inlineStr">
        <is>
          <t>L</t>
        </is>
      </c>
      <c r="W13" s="56" t="inlineStr">
        <is>
          <t>Works at B3: Shapes the results of a practice or several teams</t>
        </is>
      </c>
      <c r="X13" s="56" t="inlineStr">
        <is>
          <t>Changes results across a sub-function or across products · purpose: Leads the data operations &amp; digitization function. At C1: a sub-function, or principal authority across products.</t>
        </is>
      </c>
      <c r="Y13" s="56" t="inlineStr">
        <is>
          <t>Already works at C2: Drives a function's or department's results and costs</t>
        </is>
      </c>
      <c r="Z13" s="34" t="inlineStr">
        <is>
          <t>L</t>
        </is>
      </c>
      <c r="AA13" s="85" t="inlineStr">
        <is>
          <t>Less experience than the band's typical 10–14 yrs</t>
        </is>
      </c>
      <c r="AB13" s="85" t="inlineStr">
        <is>
          <t>Typical for the band: 10–14 yrs · market 12–17 yrs</t>
        </is>
      </c>
      <c r="AC13" s="85" t="inlineStr">
        <is>
          <t>More experience than the band's typical 10–14 yrs</t>
        </is>
      </c>
      <c r="AD13" s="34" t="inlineStr">
        <is>
          <t>L</t>
        </is>
      </c>
      <c r="AE13" s="85" t="inlineStr">
        <is>
          <t>Below: Postgraduate or professional qualification preferred</t>
        </is>
      </c>
      <c r="AF13" s="85" t="inlineStr">
        <is>
          <t>Postgraduate / professional qualification preferred</t>
        </is>
      </c>
      <c r="AG13" s="85" t="inlineStr">
        <is>
          <t>Above: Postgraduate / professional qualification preferred</t>
        </is>
      </c>
      <c r="AH13" s="44" t="inlineStr">
        <is>
          <t>43.3 · 18 · 10.7 · 15 · 8 · 4 · 1</t>
        </is>
      </c>
      <c r="AI13" s="38" t="inlineStr">
        <is>
          <t>12–17</t>
        </is>
      </c>
      <c r="AJ13" s="38" t="inlineStr">
        <is>
          <t>5–8, mostly managers</t>
        </is>
      </c>
      <c r="AK13" s="38" t="inlineStr">
        <is>
          <t>P6 / M5 · SFIA 5–6</t>
        </is>
      </c>
      <c r="AL13"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4" ht="120" customHeight="1">
      <c r="A14" s="88" t="inlineStr">
        <is>
          <t>C1</t>
        </is>
      </c>
      <c r="B14" s="29" t="inlineStr">
        <is>
          <t>Band C · Principal / Head</t>
        </is>
      </c>
      <c r="C14" s="29" t="inlineStr">
        <is>
          <t>Band C · Principal specialist</t>
        </is>
      </c>
      <c r="D14" s="29" t="inlineStr">
        <is>
          <t>Principal</t>
        </is>
      </c>
      <c r="E14" s="29" t="inlineStr">
        <is>
          <t>Digitization Leadership · Associate Head – Digitization</t>
        </is>
      </c>
      <c r="F14" s="34" t="inlineStr">
        <is>
          <t>H</t>
        </is>
      </c>
      <c r="G14" s="84" t="inlineStr">
        <is>
          <t>Works at B3: Sets standards for a practice; cross-team problems</t>
        </is>
      </c>
      <c r="H14" s="84" t="inlineStr">
        <is>
          <t>Ambiguous, cross-product problems</t>
        </is>
      </c>
      <c r="I14" s="84" t="inlineStr">
        <is>
          <t>Already works at C2: Function-wide or company-wide problems; creates methods and standards</t>
        </is>
      </c>
      <c r="J14" s="34" t="inlineStr">
        <is>
          <t>M</t>
        </is>
      </c>
      <c r="K14" s="84" t="inlineStr">
        <is>
          <t>Works at B3: Commercial / strategic calls for the unit</t>
        </is>
      </c>
      <c r="L14" s="84" t="inlineStr">
        <is>
          <t>Sets direction for a sub-function or domain</t>
        </is>
      </c>
      <c r="M14" s="84" t="inlineStr">
        <is>
          <t>Already works at C2: Sets direction for a function</t>
        </is>
      </c>
      <c r="N14" s="34" t="inlineStr">
        <is>
          <t>M</t>
        </is>
      </c>
      <c r="O14" s="84" t="inlineStr">
        <is>
          <t>Works at B3: Several teams or a practice</t>
        </is>
      </c>
      <c r="P14" s="84" t="inlineStr">
        <is>
          <t>Sub-function results or domain quality across products</t>
        </is>
      </c>
      <c r="Q14" s="84" t="inlineStr">
        <is>
          <t>Already works at C2: Function results, budget and risk</t>
        </is>
      </c>
      <c r="R14" s="34" t="inlineStr">
        <is>
          <t>L</t>
        </is>
      </c>
      <c r="S14" s="56" t="inlineStr">
        <is>
          <t>Works at B3: IC: leads a practice · People: team leads / managers report in</t>
        </is>
      </c>
      <c r="T14" s="56" t="inlineStr">
        <is>
          <t>Leads managers or a community of practice</t>
        </is>
      </c>
      <c r="U14" s="56" t="inlineStr">
        <is>
          <t>Already works at C2: Leads a function; shapes functional strategy</t>
        </is>
      </c>
      <c r="V14" s="34" t="inlineStr">
        <is>
          <t>L</t>
        </is>
      </c>
      <c r="W14" s="56" t="inlineStr">
        <is>
          <t>Works at B3: Shapes the results of a practice or several teams</t>
        </is>
      </c>
      <c r="X14" s="56" t="inlineStr">
        <is>
          <t>Changes results across a sub-function or across products · purpose: Leads the data operations &amp; digitization function. At C1: a sub-function, or principal authority across products.</t>
        </is>
      </c>
      <c r="Y14" s="56" t="inlineStr">
        <is>
          <t>Already works at C2: Drives a function's or department's results and costs</t>
        </is>
      </c>
      <c r="Z14" s="34" t="inlineStr">
        <is>
          <t>L</t>
        </is>
      </c>
      <c r="AA14" s="85" t="inlineStr">
        <is>
          <t>Less experience than the band's typical 10–14 yrs</t>
        </is>
      </c>
      <c r="AB14" s="85" t="inlineStr">
        <is>
          <t>Typical for the band: 10–14 yrs · market 12–17 yrs</t>
        </is>
      </c>
      <c r="AC14" s="85" t="inlineStr">
        <is>
          <t>More experience than the band's typical 10–14 yrs</t>
        </is>
      </c>
      <c r="AD14" s="34" t="inlineStr">
        <is>
          <t>L</t>
        </is>
      </c>
      <c r="AE14" s="85" t="inlineStr">
        <is>
          <t>Below: Postgraduate or professional qualification preferred</t>
        </is>
      </c>
      <c r="AF14" s="85" t="inlineStr">
        <is>
          <t>Postgraduate / professional qualification preferred</t>
        </is>
      </c>
      <c r="AG14" s="85" t="inlineStr">
        <is>
          <t>Above: Postgraduate / professional qualification preferred</t>
        </is>
      </c>
      <c r="AH14" s="44" t="inlineStr">
        <is>
          <t>54.3 · 17.7 · 10.3 · 5 · 7.7 · 4 · 1</t>
        </is>
      </c>
      <c r="AI14" s="38" t="inlineStr">
        <is>
          <t>12–17</t>
        </is>
      </c>
      <c r="AJ14" s="38" t="inlineStr">
        <is>
          <t>5–8, mostly managers</t>
        </is>
      </c>
      <c r="AK14" s="38" t="inlineStr">
        <is>
          <t>P6 / M5 · SFIA 5–6</t>
        </is>
      </c>
      <c r="AL14"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5" ht="120" customHeight="1">
      <c r="A15" s="89" t="inlineStr">
        <is>
          <t>B+</t>
        </is>
      </c>
      <c r="B15" s="29" t="inlineStr">
        <is>
          <t>B+ · Player-Coach</t>
        </is>
      </c>
      <c r="C15" s="29" t="inlineStr">
        <is>
          <t>B+ · Player-Coach</t>
        </is>
      </c>
      <c r="D15" s="29" t="inlineStr">
        <is>
          <t>Practice Lead · Player-Coach</t>
        </is>
      </c>
      <c r="E15" s="29" t="inlineStr">
        <is>
          <t>— no role at this level today</t>
        </is>
      </c>
      <c r="F15" s="34" t="inlineStr">
        <is>
          <t>H</t>
        </is>
      </c>
      <c r="G15" s="84" t="inlineStr">
        <is>
          <t>Works at B3: Sets standards for a practice; cross-team problems</t>
        </is>
      </c>
      <c r="H15" s="84" t="inlineStr">
        <is>
          <t>Principal-level problems in own domain; sets technical or quality standards and still builds</t>
        </is>
      </c>
      <c r="I15" s="84" t="inlineStr">
        <is>
          <t>Already works at C1: Ambiguous, cross-product problems</t>
        </is>
      </c>
      <c r="J15" s="34" t="inlineStr">
        <is>
          <t>M</t>
        </is>
      </c>
      <c r="K15" s="84" t="inlineStr">
        <is>
          <t>Works at B3: Commercial / strategic calls for the unit</t>
        </is>
      </c>
      <c r="L15" s="84" t="inlineStr">
        <is>
          <t>Decides approach and priorities for the practice; escalates only cross-function trade-offs</t>
        </is>
      </c>
      <c r="M15" s="84" t="inlineStr">
        <is>
          <t>Already works at C1: Sets direction for a sub-function or domain</t>
        </is>
      </c>
      <c r="N15" s="34" t="inlineStr">
        <is>
          <t>M</t>
        </is>
      </c>
      <c r="O15" s="84" t="inlineStr">
        <is>
          <t>Works at B3: Several teams or a practice</t>
        </is>
      </c>
      <c r="P15" s="84" t="inlineStr">
        <is>
          <t>Practice outcomes plus own deliverables; quality and delivery of the team</t>
        </is>
      </c>
      <c r="Q15" s="84" t="inlineStr">
        <is>
          <t>Already works at C1: Sub-function results or domain quality across products</t>
        </is>
      </c>
      <c r="R15" s="34" t="inlineStr">
        <is>
          <t>M</t>
        </is>
      </c>
      <c r="S15" s="56" t="inlineStr">
        <is>
          <t>Works at B3: IC: leads a practice · People: team leads / managers report in</t>
        </is>
      </c>
      <c r="T15" s="56" t="inlineStr">
        <is>
          <t>Leads 3–6 people · or a pod while remaining a hands-on expert; coaches, allocates, reviews</t>
        </is>
      </c>
      <c r="U15" s="56" t="inlineStr">
        <is>
          <t>Already works at C1: Leads managers or a community of practice</t>
        </is>
      </c>
      <c r="V15" s="34" t="inlineStr">
        <is>
          <t>L</t>
        </is>
      </c>
      <c r="W15" s="56" t="inlineStr">
        <is>
          <t>Works at B3: Shapes the results of a practice or several teams</t>
        </is>
      </c>
      <c r="X15" s="56" t="inlineStr">
        <is>
          <t>Drives a practice's results while delivering the hardest work</t>
        </is>
      </c>
      <c r="Y15" s="56" t="inlineStr">
        <is>
          <t>Already works at C1: Changes results across a sub-function or across products</t>
        </is>
      </c>
      <c r="Z15" s="34" t="inlineStr">
        <is>
          <t>L</t>
        </is>
      </c>
      <c r="AA15" s="85" t="inlineStr">
        <is>
          <t>Less experience than the band's typical 9–14 yrs</t>
        </is>
      </c>
      <c r="AB15" s="85" t="inlineStr">
        <is>
          <t>Typical for the band: 9–14 yrs · market 9–14 yrs</t>
        </is>
      </c>
      <c r="AC15" s="85" t="inlineStr">
        <is>
          <t>More experience than the band's typical 9–14 yrs</t>
        </is>
      </c>
      <c r="AD15" s="34" t="inlineStr">
        <is>
          <t>L</t>
        </is>
      </c>
      <c r="AE15" s="85" t="inlineStr">
        <is>
          <t>Below: Postgraduate or professional qualification preferred</t>
        </is>
      </c>
      <c r="AF15" s="85" t="inlineStr">
        <is>
          <t>Postgraduate or professional qualification preferred</t>
        </is>
      </c>
      <c r="AG15" s="85" t="inlineStr">
        <is>
          <t>Above: Postgraduate / professional qualification preferred</t>
        </is>
      </c>
      <c r="AH15" s="44" t="inlineStr">
        <is>
          <t>44 · 17.7 · 10.3 · 10 · 7.7 · 6 · 4</t>
        </is>
      </c>
      <c r="AI15" s="38" t="inlineStr">
        <is>
          <t>9–14</t>
        </is>
      </c>
      <c r="AJ15" s="38" t="inlineStr">
        <is>
          <t>3–6 direct reports with ≥ 40% of time on own delivery · McKinsey player/coach 3–5; Google Tech Lead Manager</t>
        </is>
      </c>
      <c r="AK15" s="38" t="inlineStr">
        <is>
          <t>P5–P6 / M4–M5 · SFIA 5 Ensure, advise</t>
        </is>
      </c>
      <c r="AL15"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6" ht="120" customHeight="1">
      <c r="A16" s="90" t="inlineStr">
        <is>
          <t>B3</t>
        </is>
      </c>
      <c r="B16" s="29" t="inlineStr">
        <is>
          <t>Band B · Specialist / Manager</t>
        </is>
      </c>
      <c r="C16" s="29" t="inlineStr">
        <is>
          <t>Band B · People Manager</t>
        </is>
      </c>
      <c r="D16" s="29" t="inlineStr">
        <is>
          <t>Senior Manager</t>
        </is>
      </c>
      <c r="E16" s="29" t="inlineStr">
        <is>
          <t>— no role at this level today</t>
        </is>
      </c>
      <c r="F16" s="34" t="inlineStr">
        <is>
          <t>H</t>
        </is>
      </c>
      <c r="G16" s="84" t="inlineStr">
        <is>
          <t>Works at B2: Hardest problems in the domain</t>
        </is>
      </c>
      <c r="H16" s="84" t="inlineStr">
        <is>
          <t>Sets standards for a practice; cross-team problems</t>
        </is>
      </c>
      <c r="I16" s="84" t="inlineStr">
        <is>
          <t>Already works at C1: Ambiguous, cross-product problems</t>
        </is>
      </c>
      <c r="J16" s="34" t="inlineStr">
        <is>
          <t>M</t>
        </is>
      </c>
      <c r="K16" s="84" t="inlineStr">
        <is>
          <t>Works at B2: Allocates people and sets team priorities</t>
        </is>
      </c>
      <c r="L16" s="84" t="inlineStr">
        <is>
          <t>Commercial / strategic calls for the unit</t>
        </is>
      </c>
      <c r="M16" s="84" t="inlineStr">
        <is>
          <t>Already works at C1: Sets direction for a sub-function or domain</t>
        </is>
      </c>
      <c r="N16" s="34" t="inlineStr">
        <is>
          <t>M</t>
        </is>
      </c>
      <c r="O16" s="84" t="inlineStr">
        <is>
          <t>Works at B2: One team or a client portfolio</t>
        </is>
      </c>
      <c r="P16" s="84" t="inlineStr">
        <is>
          <t>Several teams or a practice</t>
        </is>
      </c>
      <c r="Q16" s="84" t="inlineStr">
        <is>
          <t>Already works at C1: Sub-function results or domain quality across products</t>
        </is>
      </c>
      <c r="R16" s="34" t="inlineStr">
        <is>
          <t>M</t>
        </is>
      </c>
      <c r="S16" s="56" t="inlineStr">
        <is>
          <t>Works at B2: IC: guides others in the domain · People: manages a team of 6+</t>
        </is>
      </c>
      <c r="T16" s="56" t="inlineStr">
        <is>
          <t>IC: leads a practice · People: team leads / managers report in</t>
        </is>
      </c>
      <c r="U16" s="56" t="inlineStr">
        <is>
          <t>Already works at C1: Leads managers or a community of practice</t>
        </is>
      </c>
      <c r="V16" s="34" t="inlineStr">
        <is>
          <t>L</t>
        </is>
      </c>
      <c r="W16" s="56" t="inlineStr">
        <is>
          <t>Works at B2: Visible effect on a team's or client portfolio's revenue, quality or compliance</t>
        </is>
      </c>
      <c r="X16" s="56" t="inlineStr">
        <is>
          <t>Shapes the results of a practice or several teams</t>
        </is>
      </c>
      <c r="Y16" s="56" t="inlineStr">
        <is>
          <t>Already works at C1: Changes results across a sub-function or across products</t>
        </is>
      </c>
      <c r="Z16" s="34" t="inlineStr">
        <is>
          <t>L</t>
        </is>
      </c>
      <c r="AA16" s="85" t="inlineStr">
        <is>
          <t>Less experience than the band's typical 8–12 yrs</t>
        </is>
      </c>
      <c r="AB16" s="85" t="inlineStr">
        <is>
          <t>Typical for the band: 8–12 yrs · market 8–13 yrs</t>
        </is>
      </c>
      <c r="AC16" s="85" t="inlineStr">
        <is>
          <t>More experience than the band's typical 8–12 yrs</t>
        </is>
      </c>
      <c r="AD16" s="34" t="inlineStr">
        <is>
          <t>L</t>
        </is>
      </c>
      <c r="AE16" s="85" t="inlineStr">
        <is>
          <t>Below: Graduate or postgraduate; professional qualification preferred</t>
        </is>
      </c>
      <c r="AF16" s="85" t="inlineStr">
        <is>
          <t>Postgraduate or professional qualification preferred</t>
        </is>
      </c>
      <c r="AG16" s="85" t="inlineStr">
        <is>
          <t>Above: Postgraduate / professional qualification preferred</t>
        </is>
      </c>
      <c r="AH16" s="44" t="inlineStr">
        <is>
          <t>37 · 18.3 · 11.3 · 15 · 8.7 · 6 · 4</t>
        </is>
      </c>
      <c r="AI16" s="38" t="inlineStr">
        <is>
          <t>8–13</t>
        </is>
      </c>
      <c r="AJ16" s="38" t="inlineStr">
        <is>
          <t>IC: none · People: 5–8 incl. team leads</t>
        </is>
      </c>
      <c r="AK16" s="38" t="inlineStr">
        <is>
          <t>P5 / M4 · SFIA 5 Ensure, advise</t>
        </is>
      </c>
      <c r="AL16"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7" ht="120" customHeight="1">
      <c r="A17" s="90" t="inlineStr">
        <is>
          <t>B3</t>
        </is>
      </c>
      <c r="B17" s="29" t="inlineStr">
        <is>
          <t>Band B · Specialist / Manager</t>
        </is>
      </c>
      <c r="C17" s="29" t="inlineStr">
        <is>
          <t>Band B · Specialist / POD Lead</t>
        </is>
      </c>
      <c r="D17" s="29" t="inlineStr">
        <is>
          <t>Lead Specialist</t>
        </is>
      </c>
      <c r="E17" s="29" t="inlineStr">
        <is>
          <t>— no role at this level today</t>
        </is>
      </c>
      <c r="F17" s="34" t="inlineStr">
        <is>
          <t>H</t>
        </is>
      </c>
      <c r="G17" s="84" t="inlineStr">
        <is>
          <t>Works at B2: Hardest problems in the domain</t>
        </is>
      </c>
      <c r="H17" s="84" t="inlineStr">
        <is>
          <t>Sets standards for a practice; cross-team problems</t>
        </is>
      </c>
      <c r="I17" s="84" t="inlineStr">
        <is>
          <t>Already works at C1: Ambiguous, cross-product problems</t>
        </is>
      </c>
      <c r="J17" s="34" t="inlineStr">
        <is>
          <t>M</t>
        </is>
      </c>
      <c r="K17" s="84" t="inlineStr">
        <is>
          <t>Works at B2: Allocates people and sets team priorities</t>
        </is>
      </c>
      <c r="L17" s="84" t="inlineStr">
        <is>
          <t>Commercial / strategic calls for the unit</t>
        </is>
      </c>
      <c r="M17" s="84" t="inlineStr">
        <is>
          <t>Already works at C1: Sets direction for a sub-function or domain</t>
        </is>
      </c>
      <c r="N17" s="34" t="inlineStr">
        <is>
          <t>M</t>
        </is>
      </c>
      <c r="O17" s="84" t="inlineStr">
        <is>
          <t>Works at B2: One team or a client portfolio</t>
        </is>
      </c>
      <c r="P17" s="84" t="inlineStr">
        <is>
          <t>Several teams or a practice</t>
        </is>
      </c>
      <c r="Q17" s="84" t="inlineStr">
        <is>
          <t>Already works at C1: Sub-function results or domain quality across products</t>
        </is>
      </c>
      <c r="R17" s="34" t="inlineStr">
        <is>
          <t>L</t>
        </is>
      </c>
      <c r="S17" s="56" t="inlineStr">
        <is>
          <t>Works at B2: IC: guides others in the domain · People: manages a team of 6+</t>
        </is>
      </c>
      <c r="T17" s="56" t="inlineStr">
        <is>
          <t>IC: leads a practice · People: team leads / managers report in</t>
        </is>
      </c>
      <c r="U17" s="56" t="inlineStr">
        <is>
          <t>Already works at C1: Leads managers or a community of practice</t>
        </is>
      </c>
      <c r="V17" s="34" t="inlineStr">
        <is>
          <t>L</t>
        </is>
      </c>
      <c r="W17" s="56" t="inlineStr">
        <is>
          <t>Works at B2: Visible effect on a team's or client portfolio's revenue, quality or compliance</t>
        </is>
      </c>
      <c r="X17" s="56" t="inlineStr">
        <is>
          <t>Shapes the results of a practice or several teams</t>
        </is>
      </c>
      <c r="Y17" s="56" t="inlineStr">
        <is>
          <t>Already works at C1: Changes results across a sub-function or across products</t>
        </is>
      </c>
      <c r="Z17" s="34" t="inlineStr">
        <is>
          <t>L</t>
        </is>
      </c>
      <c r="AA17" s="85" t="inlineStr">
        <is>
          <t>Less experience than the band's typical 8–12 yrs</t>
        </is>
      </c>
      <c r="AB17" s="85" t="inlineStr">
        <is>
          <t>Typical for the band: 8–12 yrs · market 8–13 yrs</t>
        </is>
      </c>
      <c r="AC17" s="85" t="inlineStr">
        <is>
          <t>More experience than the band's typical 8–12 yrs</t>
        </is>
      </c>
      <c r="AD17" s="34" t="inlineStr">
        <is>
          <t>L</t>
        </is>
      </c>
      <c r="AE17" s="85" t="inlineStr">
        <is>
          <t>Below: Graduate or postgraduate; professional qualification preferred</t>
        </is>
      </c>
      <c r="AF17" s="85" t="inlineStr">
        <is>
          <t>Postgraduate or professional qualification preferred</t>
        </is>
      </c>
      <c r="AG17" s="85" t="inlineStr">
        <is>
          <t>Above: Postgraduate / professional qualification preferred</t>
        </is>
      </c>
      <c r="AH17" s="44" t="inlineStr">
        <is>
          <t>51.3 · 17.3 · 9.7 · 5 · 7 · 6 · 4</t>
        </is>
      </c>
      <c r="AI17" s="38" t="inlineStr">
        <is>
          <t>8–13</t>
        </is>
      </c>
      <c r="AJ17" s="38" t="inlineStr">
        <is>
          <t>IC: none · People: 5–8 incl. team leads</t>
        </is>
      </c>
      <c r="AK17" s="38" t="inlineStr">
        <is>
          <t>P5 / M4 · SFIA 5 Ensure, advise</t>
        </is>
      </c>
      <c r="AL17"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8" ht="120" customHeight="1">
      <c r="A18" s="90" t="inlineStr">
        <is>
          <t>B2</t>
        </is>
      </c>
      <c r="B18" s="29" t="inlineStr">
        <is>
          <t>Band B · Specialist / Manager</t>
        </is>
      </c>
      <c r="C18" s="29" t="inlineStr">
        <is>
          <t>Band B · People Manager</t>
        </is>
      </c>
      <c r="D18" s="29" t="inlineStr">
        <is>
          <t>Manager</t>
        </is>
      </c>
      <c r="E18" s="29" t="inlineStr">
        <is>
          <t>Document Conversion, Formatting &amp; Web Publishing · Digitization Manager</t>
        </is>
      </c>
      <c r="F18" s="34" t="inlineStr">
        <is>
          <t>H</t>
        </is>
      </c>
      <c r="G18" s="84" t="inlineStr">
        <is>
          <t>Works at B1: Domain specialist work</t>
        </is>
      </c>
      <c r="H18" s="84" t="inlineStr">
        <is>
          <t>Hardest problems in the domain · in Data Operations &amp; Digitization: OCR/Image procesing · attention to detail · quality checking · Excel · timely delivery · HTML · Word · ABYYY Fine Reader</t>
        </is>
      </c>
      <c r="I18" s="84" t="inlineStr">
        <is>
          <t>Already works at B3: Sets standards for a practice; cross-team problems</t>
        </is>
      </c>
      <c r="J18" s="34" t="inlineStr">
        <is>
          <t>M</t>
        </is>
      </c>
      <c r="K18" s="84" t="inlineStr">
        <is>
          <t>Works at B1: Technical / QC / client calls for the domain</t>
        </is>
      </c>
      <c r="L18" s="84" t="inlineStr">
        <is>
          <t>Allocates people and sets team priorities</t>
        </is>
      </c>
      <c r="M18" s="84" t="inlineStr">
        <is>
          <t>Already works at B3: Commercial / strategic calls for the unit</t>
        </is>
      </c>
      <c r="N18" s="34" t="inlineStr">
        <is>
          <t>M</t>
        </is>
      </c>
      <c r="O18" s="84" t="inlineStr">
        <is>
          <t>Works at B1: A domain or a small team</t>
        </is>
      </c>
      <c r="P18" s="84" t="inlineStr">
        <is>
          <t>One team or a client portfolio</t>
        </is>
      </c>
      <c r="Q18" s="84" t="inlineStr">
        <is>
          <t>Already works at B3: Several teams or a practice</t>
        </is>
      </c>
      <c r="R18" s="34" t="inlineStr">
        <is>
          <t>M</t>
        </is>
      </c>
      <c r="S18" s="56" t="inlineStr">
        <is>
          <t>Works at B1: IC: mentors and reviews · People: hands-on team lead of 3–5</t>
        </is>
      </c>
      <c r="T18" s="56" t="inlineStr">
        <is>
          <t>IC: guides others in the domain · People: manages a team of 6+</t>
        </is>
      </c>
      <c r="U18" s="56" t="inlineStr">
        <is>
          <t>Already works at B3: IC: leads a practice · People: team leads / managers report in</t>
        </is>
      </c>
      <c r="V18" s="34" t="inlineStr">
        <is>
          <t>L</t>
        </is>
      </c>
      <c r="W18" s="56" t="inlineStr">
        <is>
          <t>Works at B1: Moves a module's, product area's or client account's results</t>
        </is>
      </c>
      <c r="X18" s="56" t="inlineStr">
        <is>
          <t>Visible effect on a team's or client portfolio's revenue, quality or compliance · purpose: Converts and formats documents into HTML/PDF/Word to filing or web standards, and publishes content · incl. RBI website. At B2: deep domain expertise, or one …</t>
        </is>
      </c>
      <c r="Y18" s="56" t="inlineStr">
        <is>
          <t>Already works at B3: Shapes the results of a practice or several teams</t>
        </is>
      </c>
      <c r="Z18" s="34" t="inlineStr">
        <is>
          <t>L</t>
        </is>
      </c>
      <c r="AA18" s="85" t="inlineStr">
        <is>
          <t>Less experience than the band's typical 6–9 yrs</t>
        </is>
      </c>
      <c r="AB18" s="85" t="inlineStr">
        <is>
          <t>Typical for the band: 6–9 yrs · market 6–10 yrs</t>
        </is>
      </c>
      <c r="AC18" s="85" t="inlineStr">
        <is>
          <t>More experience than the band's typical 6–9 yrs</t>
        </is>
      </c>
      <c r="AD18" s="34" t="inlineStr">
        <is>
          <t>L</t>
        </is>
      </c>
      <c r="AE18" s="85" t="inlineStr">
        <is>
          <t>Below: Graduate + relevant qualification or certification preferred</t>
        </is>
      </c>
      <c r="AF18" s="85" t="inlineStr">
        <is>
          <t>Graduate or postgraduate; professional qualification preferred</t>
        </is>
      </c>
      <c r="AG18" s="85" t="inlineStr">
        <is>
          <t>Above: Postgraduate or professional qualification preferred</t>
        </is>
      </c>
      <c r="AH18" s="44" t="inlineStr">
        <is>
          <t>37 · 18.3 · 11.3 · 15 · 8.7 · 6 · 4</t>
        </is>
      </c>
      <c r="AI18" s="38" t="inlineStr">
        <is>
          <t>6–10</t>
        </is>
      </c>
      <c r="AJ18" s="38" t="inlineStr">
        <is>
          <t>IC: none · People: 6–8 knowledge work, 8–12 standardised delivery</t>
        </is>
      </c>
      <c r="AK18" s="38" t="inlineStr">
        <is>
          <t>P4 / M3 · SFIA 4–5</t>
        </is>
      </c>
      <c r="AL18"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9" ht="120" customHeight="1">
      <c r="A19" s="90" t="inlineStr">
        <is>
          <t>B2</t>
        </is>
      </c>
      <c r="B19" s="29" t="inlineStr">
        <is>
          <t>Band B · Specialist / Manager</t>
        </is>
      </c>
      <c r="C19" s="29" t="inlineStr">
        <is>
          <t>Band B · Specialist / POD Lead</t>
        </is>
      </c>
      <c r="D19" s="29" t="inlineStr">
        <is>
          <t>Senior Specialist</t>
        </is>
      </c>
      <c r="E19" s="29" t="inlineStr">
        <is>
          <t>Document Conversion, Formatting &amp; Web Publishing · Digitization Manager</t>
        </is>
      </c>
      <c r="F19" s="34" t="inlineStr">
        <is>
          <t>H</t>
        </is>
      </c>
      <c r="G19" s="84" t="inlineStr">
        <is>
          <t>Works at B1: Domain specialist work</t>
        </is>
      </c>
      <c r="H19" s="84" t="inlineStr">
        <is>
          <t>Hardest problems in the domain · in Data Operations &amp; Digitization: OCR/Image procesing · attention to detail · quality checking · Excel · timely delivery · HTML · Word · ABYYY Fine Reader</t>
        </is>
      </c>
      <c r="I19" s="84" t="inlineStr">
        <is>
          <t>Already works at B3: Sets standards for a practice; cross-team problems</t>
        </is>
      </c>
      <c r="J19" s="34" t="inlineStr">
        <is>
          <t>M</t>
        </is>
      </c>
      <c r="K19" s="84" t="inlineStr">
        <is>
          <t>Works at B1: Technical / QC / client calls for the domain</t>
        </is>
      </c>
      <c r="L19" s="84" t="inlineStr">
        <is>
          <t>Allocates people and sets team priorities</t>
        </is>
      </c>
      <c r="M19" s="84" t="inlineStr">
        <is>
          <t>Already works at B3: Commercial / strategic calls for the unit</t>
        </is>
      </c>
      <c r="N19" s="34" t="inlineStr">
        <is>
          <t>M</t>
        </is>
      </c>
      <c r="O19" s="84" t="inlineStr">
        <is>
          <t>Works at B1: A domain or a small team</t>
        </is>
      </c>
      <c r="P19" s="84" t="inlineStr">
        <is>
          <t>One team or a client portfolio</t>
        </is>
      </c>
      <c r="Q19" s="84" t="inlineStr">
        <is>
          <t>Already works at B3: Several teams or a practice</t>
        </is>
      </c>
      <c r="R19" s="34" t="inlineStr">
        <is>
          <t>L</t>
        </is>
      </c>
      <c r="S19" s="56" t="inlineStr">
        <is>
          <t>Works at B1: IC: mentors and reviews · People: hands-on team lead of 3–5</t>
        </is>
      </c>
      <c r="T19" s="56" t="inlineStr">
        <is>
          <t>IC: guides others in the domain · People: manages a team of 6+</t>
        </is>
      </c>
      <c r="U19" s="56" t="inlineStr">
        <is>
          <t>Already works at B3: IC: leads a practice · People: team leads / managers report in</t>
        </is>
      </c>
      <c r="V19" s="34" t="inlineStr">
        <is>
          <t>L</t>
        </is>
      </c>
      <c r="W19" s="56" t="inlineStr">
        <is>
          <t>Works at B1: Moves a module's, product area's or client account's results</t>
        </is>
      </c>
      <c r="X19" s="56" t="inlineStr">
        <is>
          <t>Visible effect on a team's or client portfolio's revenue, quality or compliance · purpose: Converts and formats documents into HTML/PDF/Word to filing or web standards, and publishes content · incl. RBI website. At B2: deep domain expertise, or one …</t>
        </is>
      </c>
      <c r="Y19" s="56" t="inlineStr">
        <is>
          <t>Already works at B3: Shapes the results of a practice or several teams</t>
        </is>
      </c>
      <c r="Z19" s="34" t="inlineStr">
        <is>
          <t>L</t>
        </is>
      </c>
      <c r="AA19" s="85" t="inlineStr">
        <is>
          <t>Less experience than the band's typical 6–9 yrs</t>
        </is>
      </c>
      <c r="AB19" s="85" t="inlineStr">
        <is>
          <t>Typical for the band: 6–9 yrs · market 6–10 yrs</t>
        </is>
      </c>
      <c r="AC19" s="85" t="inlineStr">
        <is>
          <t>More experience than the band's typical 6–9 yrs</t>
        </is>
      </c>
      <c r="AD19" s="34" t="inlineStr">
        <is>
          <t>L</t>
        </is>
      </c>
      <c r="AE19" s="85" t="inlineStr">
        <is>
          <t>Below: Graduate + relevant qualification or certification preferred</t>
        </is>
      </c>
      <c r="AF19" s="85" t="inlineStr">
        <is>
          <t>Graduate or postgraduate; professional qualification preferred</t>
        </is>
      </c>
      <c r="AG19" s="85" t="inlineStr">
        <is>
          <t>Above: Postgraduate or professional qualification preferred</t>
        </is>
      </c>
      <c r="AH19" s="44" t="inlineStr">
        <is>
          <t>51.3 · 17.3 · 9.7 · 5 · 7 · 6 · 4</t>
        </is>
      </c>
      <c r="AI19" s="38" t="inlineStr">
        <is>
          <t>6–10</t>
        </is>
      </c>
      <c r="AJ19" s="38" t="inlineStr">
        <is>
          <t>IC: none · People: 6–8 knowledge work, 8–12 standardised delivery</t>
        </is>
      </c>
      <c r="AK19" s="38" t="inlineStr">
        <is>
          <t>P4 / M3 · SFIA 4–5</t>
        </is>
      </c>
      <c r="AL19"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0" ht="120" customHeight="1">
      <c r="A20" s="90" t="inlineStr">
        <is>
          <t>B1</t>
        </is>
      </c>
      <c r="B20" s="29" t="inlineStr">
        <is>
          <t>Band B · Specialist / Manager</t>
        </is>
      </c>
      <c r="C20" s="29" t="inlineStr">
        <is>
          <t>Band B · People Manager</t>
        </is>
      </c>
      <c r="D20" s="29" t="inlineStr">
        <is>
          <t>Team Lead / Asst Manager</t>
        </is>
      </c>
      <c r="E20" s="29" t="inlineStr">
        <is>
          <t>Document Conversion, Formatting &amp; Web Publishing · Digitization Specialist – POD Lead · Digitization Specialist
Document Conversion, Formatting &amp; Web Publishing · Team Lead – Digitization</t>
        </is>
      </c>
      <c r="F20" s="34" t="inlineStr">
        <is>
          <t>H</t>
        </is>
      </c>
      <c r="G20" s="84" t="inlineStr">
        <is>
          <t>Works at A3: Varied and non-standard work; handles exceptions</t>
        </is>
      </c>
      <c r="H20" s="84" t="inlineStr">
        <is>
          <t>Domain specialist work · in Data Operations &amp; Digitization: OCR/Image procesing</t>
        </is>
      </c>
      <c r="I20" s="84" t="inlineStr">
        <is>
          <t>Already works at B2: Hardest problems in the domain</t>
        </is>
      </c>
      <c r="J20" s="34" t="inlineStr">
        <is>
          <t>M</t>
        </is>
      </c>
      <c r="K20" s="84" t="inlineStr">
        <is>
          <t>Works at A3: Technical / QC / client calls on own work</t>
        </is>
      </c>
      <c r="L20" s="84" t="inlineStr">
        <is>
          <t>Technical / QC / client calls for the domain</t>
        </is>
      </c>
      <c r="M20" s="84" t="inlineStr">
        <is>
          <t>Already works at B2: Allocates people and sets team priorities</t>
        </is>
      </c>
      <c r="N20" s="34" t="inlineStr">
        <is>
          <t>M</t>
        </is>
      </c>
      <c r="O20" s="84" t="inlineStr">
        <is>
          <t>Works at A3: A module / process, or work with client or regulatory consequences</t>
        </is>
      </c>
      <c r="P20" s="84" t="inlineStr">
        <is>
          <t>A domain or a small team</t>
        </is>
      </c>
      <c r="Q20" s="84" t="inlineStr">
        <is>
          <t>Already works at B2: One team or a client portfolio</t>
        </is>
      </c>
      <c r="R20" s="34" t="inlineStr">
        <is>
          <t>M</t>
        </is>
      </c>
      <c r="S20" s="56" t="inlineStr">
        <is>
          <t>Works at A3: contributes alone; guides others only informally</t>
        </is>
      </c>
      <c r="T20" s="56" t="inlineStr">
        <is>
          <t>IC: mentors and reviews · People: hands-on team lead of 3–5</t>
        </is>
      </c>
      <c r="U20" s="56" t="inlineStr">
        <is>
          <t>Already works at B2: IC: guides others in the domain · People: manages a team of 6+</t>
        </is>
      </c>
      <c r="V20" s="34" t="inlineStr">
        <is>
          <t>L</t>
        </is>
      </c>
      <c r="W20" s="56" t="inlineStr">
        <is>
          <t>Works at A3: A process or client deliverable depends on this work</t>
        </is>
      </c>
      <c r="X20" s="56" t="inlineStr">
        <is>
          <t>Moves a module's, product area's or client account's results · purpose: Converts and formats documents into HTML/PDF/Word to filing or web standards, and publishes content · incl. RBI website. At B1: a domain / module, or a small …</t>
        </is>
      </c>
      <c r="Y20" s="56" t="inlineStr">
        <is>
          <t>Already works at B2: Visible effect on a team's or client portfolio's revenue, quality or compliance</t>
        </is>
      </c>
      <c r="Z20" s="34" t="inlineStr">
        <is>
          <t>L</t>
        </is>
      </c>
      <c r="AA20" s="85" t="inlineStr">
        <is>
          <t>Less experience than the band's typical 4–7 yrs</t>
        </is>
      </c>
      <c r="AB20" s="85" t="inlineStr">
        <is>
          <t>Typical for the band: 4–7 yrs · market 4–8 yrs</t>
        </is>
      </c>
      <c r="AC20" s="85" t="inlineStr">
        <is>
          <t>More experience than the band's typical 4–7 yrs</t>
        </is>
      </c>
      <c r="AD20" s="34" t="inlineStr">
        <is>
          <t>L</t>
        </is>
      </c>
      <c r="AE20" s="85" t="inlineStr">
        <is>
          <t>Below: Graduate; relevant certification preferred</t>
        </is>
      </c>
      <c r="AF20" s="85" t="inlineStr">
        <is>
          <t>Graduate + relevant qualification or certification preferred</t>
        </is>
      </c>
      <c r="AG20" s="85" t="inlineStr">
        <is>
          <t>Above: Graduate or postgraduate; professional qualification preferred</t>
        </is>
      </c>
      <c r="AH20" s="44" t="inlineStr">
        <is>
          <t>37 · 18.3 · 11.3 · 15 · 8.7 · 6 · 4</t>
        </is>
      </c>
      <c r="AI20" s="38" t="inlineStr">
        <is>
          <t>4–8</t>
        </is>
      </c>
      <c r="AJ20" s="38" t="inlineStr">
        <is>
          <t>IC: none · Team Lead: 3–5</t>
        </is>
      </c>
      <c r="AK20" s="38" t="inlineStr">
        <is>
          <t>P3 / M2 · SFIA 4 Enable</t>
        </is>
      </c>
      <c r="AL20"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1" ht="120" customHeight="1">
      <c r="A21" s="90" t="inlineStr">
        <is>
          <t>B1</t>
        </is>
      </c>
      <c r="B21" s="29" t="inlineStr">
        <is>
          <t>Band B · Specialist / Manager</t>
        </is>
      </c>
      <c r="C21" s="29" t="inlineStr">
        <is>
          <t>Band B · Specialist / POD Lead</t>
        </is>
      </c>
      <c r="D21" s="29" t="inlineStr">
        <is>
          <t>Specialist</t>
        </is>
      </c>
      <c r="E21" s="29" t="inlineStr">
        <is>
          <t>Document Conversion, Formatting &amp; Web Publishing · Digitization Specialist – POD Lead · Digitization Specialist
Document Conversion, Formatting &amp; Web Publishing · Team Lead – Digitization</t>
        </is>
      </c>
      <c r="F21" s="34" t="inlineStr">
        <is>
          <t>H</t>
        </is>
      </c>
      <c r="G21" s="84" t="inlineStr">
        <is>
          <t>Works at A3: Varied and non-standard work; handles exceptions</t>
        </is>
      </c>
      <c r="H21" s="84" t="inlineStr">
        <is>
          <t>Domain specialist work · in Data Operations &amp; Digitization: OCR/Image procesing</t>
        </is>
      </c>
      <c r="I21" s="84" t="inlineStr">
        <is>
          <t>Already works at B2: Hardest problems in the domain</t>
        </is>
      </c>
      <c r="J21" s="34" t="inlineStr">
        <is>
          <t>M</t>
        </is>
      </c>
      <c r="K21" s="84" t="inlineStr">
        <is>
          <t>Works at A3: Technical / QC / client calls on own work</t>
        </is>
      </c>
      <c r="L21" s="84" t="inlineStr">
        <is>
          <t>Technical / QC / client calls for the domain</t>
        </is>
      </c>
      <c r="M21" s="84" t="inlineStr">
        <is>
          <t>Already works at B2: Allocates people and sets team priorities</t>
        </is>
      </c>
      <c r="N21" s="34" t="inlineStr">
        <is>
          <t>M</t>
        </is>
      </c>
      <c r="O21" s="84" t="inlineStr">
        <is>
          <t>Works at A3: A module / process, or work with client or regulatory consequences</t>
        </is>
      </c>
      <c r="P21" s="84" t="inlineStr">
        <is>
          <t>A domain or a small team</t>
        </is>
      </c>
      <c r="Q21" s="84" t="inlineStr">
        <is>
          <t>Already works at B2: One team or a client portfolio</t>
        </is>
      </c>
      <c r="R21" s="34" t="inlineStr">
        <is>
          <t>L</t>
        </is>
      </c>
      <c r="S21" s="56" t="inlineStr">
        <is>
          <t>Works at A3: contributes alone; guides others only informally</t>
        </is>
      </c>
      <c r="T21" s="56" t="inlineStr">
        <is>
          <t>IC: mentors and reviews · People: hands-on team lead of 3–5</t>
        </is>
      </c>
      <c r="U21" s="56" t="inlineStr">
        <is>
          <t>Already works at B2: IC: guides others in the domain · People: manages a team of 6+</t>
        </is>
      </c>
      <c r="V21" s="34" t="inlineStr">
        <is>
          <t>L</t>
        </is>
      </c>
      <c r="W21" s="56" t="inlineStr">
        <is>
          <t>Works at A3: A process or client deliverable depends on this work</t>
        </is>
      </c>
      <c r="X21" s="56" t="inlineStr">
        <is>
          <t>Moves a module's, product area's or client account's results · purpose: Converts and formats documents into HTML/PDF/Word to filing or web standards, and publishes content · incl. RBI website. At B1: a domain / module, or a small …</t>
        </is>
      </c>
      <c r="Y21" s="56" t="inlineStr">
        <is>
          <t>Already works at B2: Visible effect on a team's or client portfolio's revenue, quality or compliance</t>
        </is>
      </c>
      <c r="Z21" s="34" t="inlineStr">
        <is>
          <t>L</t>
        </is>
      </c>
      <c r="AA21" s="85" t="inlineStr">
        <is>
          <t>Less experience than the band's typical 4–7 yrs</t>
        </is>
      </c>
      <c r="AB21" s="85" t="inlineStr">
        <is>
          <t>Typical for the band: 4–7 yrs · market 4–8 yrs</t>
        </is>
      </c>
      <c r="AC21" s="85" t="inlineStr">
        <is>
          <t>More experience than the band's typical 4–7 yrs</t>
        </is>
      </c>
      <c r="AD21" s="34" t="inlineStr">
        <is>
          <t>L</t>
        </is>
      </c>
      <c r="AE21" s="85" t="inlineStr">
        <is>
          <t>Below: Graduate; relevant certification preferred</t>
        </is>
      </c>
      <c r="AF21" s="85" t="inlineStr">
        <is>
          <t>Graduate + relevant qualification or certification preferred</t>
        </is>
      </c>
      <c r="AG21" s="85" t="inlineStr">
        <is>
          <t>Above: Graduate or postgraduate; professional qualification preferred</t>
        </is>
      </c>
      <c r="AH21" s="44" t="inlineStr">
        <is>
          <t>51.3 · 17.3 · 9.7 · 5 · 7 · 6 · 4</t>
        </is>
      </c>
      <c r="AI21" s="38" t="inlineStr">
        <is>
          <t>4–8</t>
        </is>
      </c>
      <c r="AJ21" s="38" t="inlineStr">
        <is>
          <t>IC: none · Team Lead: 3–5</t>
        </is>
      </c>
      <c r="AK21" s="38" t="inlineStr">
        <is>
          <t>P3 / M2 · SFIA 4 Enable</t>
        </is>
      </c>
      <c r="AL21"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2" ht="120" customHeight="1">
      <c r="A22" s="91" t="inlineStr">
        <is>
          <t>A3</t>
        </is>
      </c>
      <c r="B22" s="29" t="inlineStr">
        <is>
          <t>Band A · Practitioner</t>
        </is>
      </c>
      <c r="C22" s="29" t="inlineStr">
        <is>
          <t>Band A · all tracks</t>
        </is>
      </c>
      <c r="D22" s="29" t="inlineStr">
        <is>
          <t>Senior Associate</t>
        </is>
      </c>
      <c r="E22" s="29" t="inlineStr">
        <is>
          <t>Document Conversion, Formatting &amp; Web Publishing · Senior Digitization Associate</t>
        </is>
      </c>
      <c r="F22" s="34" t="inlineStr">
        <is>
          <t>H</t>
        </is>
      </c>
      <c r="G22" s="84" t="inlineStr">
        <is>
          <t>Works at A2: Standard work of the discipline</t>
        </is>
      </c>
      <c r="H22" s="84" t="inlineStr">
        <is>
          <t>Varied and non-standard work; handles exceptions · in Data Operations &amp; Digitization: OCR/Image procesing · attention to detail · Excel · quality checking · HTML · timely delivery · OCR · Word</t>
        </is>
      </c>
      <c r="I22" s="84" t="inlineStr">
        <is>
          <t>Already works at B1: Domain specialist work</t>
        </is>
      </c>
      <c r="J22" s="34" t="inlineStr">
        <is>
          <t>M</t>
        </is>
      </c>
      <c r="K22" s="84" t="inlineStr">
        <is>
          <t>Works at A2: Chooses own approach within standards</t>
        </is>
      </c>
      <c r="L22" s="84" t="inlineStr">
        <is>
          <t>Technical / QC / client calls on own work</t>
        </is>
      </c>
      <c r="M22" s="84" t="inlineStr">
        <is>
          <t>Already works at B1: Technical / QC / client calls for the domain</t>
        </is>
      </c>
      <c r="N22" s="34" t="inlineStr">
        <is>
          <t>M</t>
        </is>
      </c>
      <c r="O22" s="84" t="inlineStr">
        <is>
          <t>Works at A2: Own deliverables · accuracy, TAT</t>
        </is>
      </c>
      <c r="P22" s="84" t="inlineStr">
        <is>
          <t>A module / process, or work with client or regulatory consequences</t>
        </is>
      </c>
      <c r="Q22" s="84" t="inlineStr">
        <is>
          <t>Already works at B1: A domain or a small team</t>
        </is>
      </c>
      <c r="R22" s="34" t="inlineStr">
        <is>
          <t>L</t>
        </is>
      </c>
      <c r="S22" s="56" t="inlineStr">
        <is>
          <t>Works at A2: contributes alone; guides others only informally</t>
        </is>
      </c>
      <c r="T22" s="56" t="inlineStr">
        <is>
          <t>Helps peers and newer people informally · None · guides 1–3 juniors informally</t>
        </is>
      </c>
      <c r="U22" s="56" t="inlineStr">
        <is>
          <t>Already works at B1: IC: mentors and reviews · People: hands-on team lead of 3–5</t>
        </is>
      </c>
      <c r="V22" s="34" t="inlineStr">
        <is>
          <t>L</t>
        </is>
      </c>
      <c r="W22" s="56" t="inlineStr">
        <is>
          <t>Works at A2: Own deliverables feed a team's output and turnaround</t>
        </is>
      </c>
      <c r="X22" s="56" t="inlineStr">
        <is>
          <t>A process or client deliverable depends on this work · purpose: Converts and formats documents into HTML/PDF/Word to filing or web standards, and publishes content · incl. RBI website. At A3: varied work; reviews juniors; …</t>
        </is>
      </c>
      <c r="Y22" s="56" t="inlineStr">
        <is>
          <t>Already works at B1: Moves a module's, product area's or client account's results</t>
        </is>
      </c>
      <c r="Z22" s="34" t="inlineStr">
        <is>
          <t>L</t>
        </is>
      </c>
      <c r="AA22" s="85" t="inlineStr">
        <is>
          <t>Less experience than the band's typical 2–4 yrs</t>
        </is>
      </c>
      <c r="AB22" s="85" t="inlineStr">
        <is>
          <t>Typical for the band: 2–4 yrs · market 2–5 yrs</t>
        </is>
      </c>
      <c r="AC22" s="85" t="inlineStr">
        <is>
          <t>More experience than the band's typical 2–4 yrs</t>
        </is>
      </c>
      <c r="AD22" s="34" t="inlineStr">
        <is>
          <t>L</t>
        </is>
      </c>
      <c r="AE22" s="85" t="inlineStr">
        <is>
          <t>Below: Graduate · or diploma with experience</t>
        </is>
      </c>
      <c r="AF22" s="85" t="inlineStr">
        <is>
          <t>Graduate; relevant certification preferred</t>
        </is>
      </c>
      <c r="AG22" s="85" t="inlineStr">
        <is>
          <t>Above: Graduate + relevant qualification or certification preferred</t>
        </is>
      </c>
      <c r="AH22" s="44" t="inlineStr">
        <is>
          <t>58.3 · 16 · 9 · 0 · 6.3 · 6 · 4</t>
        </is>
      </c>
      <c r="AI22" s="38" t="inlineStr">
        <is>
          <t>2–5</t>
        </is>
      </c>
      <c r="AJ22" s="38" t="inlineStr">
        <is>
          <t>None · guides 1–3 juniors informally</t>
        </is>
      </c>
      <c r="AK22" s="38" t="inlineStr">
        <is>
          <t>P2 · SFIA 3 Apply</t>
        </is>
      </c>
      <c r="AL22"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3" ht="120" customHeight="1">
      <c r="A23" s="91" t="inlineStr">
        <is>
          <t>A2</t>
        </is>
      </c>
      <c r="B23" s="29" t="inlineStr">
        <is>
          <t>Band A · Practitioner</t>
        </is>
      </c>
      <c r="C23" s="29" t="inlineStr">
        <is>
          <t>Band A · all tracks</t>
        </is>
      </c>
      <c r="D23" s="29" t="inlineStr">
        <is>
          <t>Associate</t>
        </is>
      </c>
      <c r="E23" s="29" t="inlineStr">
        <is>
          <t>Document Conversion, Formatting &amp; Web Publishing · Digitization Associate</t>
        </is>
      </c>
      <c r="F23" s="34" t="inlineStr">
        <is>
          <t>H</t>
        </is>
      </c>
      <c r="G23" s="84" t="inlineStr">
        <is>
          <t>Works at A1: Learning; follows worked examples</t>
        </is>
      </c>
      <c r="H23" s="84" t="inlineStr">
        <is>
          <t>Standard work of the discipline · in Data Operations &amp; Digitization: OCR/Image procesing</t>
        </is>
      </c>
      <c r="I23" s="84" t="inlineStr">
        <is>
          <t>Already works at A3: Varied and non-standard work; handles exceptions</t>
        </is>
      </c>
      <c r="J23" s="34" t="inlineStr">
        <is>
          <t>M</t>
        </is>
      </c>
      <c r="K23" s="84" t="inlineStr">
        <is>
          <t>Works at A1: Needs approval / close guidance</t>
        </is>
      </c>
      <c r="L23" s="84" t="inlineStr">
        <is>
          <t>Chooses own approach within standards</t>
        </is>
      </c>
      <c r="M23" s="84" t="inlineStr">
        <is>
          <t>Already works at A3: Technical / QC / client calls on own work</t>
        </is>
      </c>
      <c r="N23" s="34" t="inlineStr">
        <is>
          <t>M</t>
        </is>
      </c>
      <c r="O23" s="84" t="inlineStr">
        <is>
          <t>Works at A1: Learning tasks</t>
        </is>
      </c>
      <c r="P23" s="84" t="inlineStr">
        <is>
          <t>Own deliverables · accuracy, TAT</t>
        </is>
      </c>
      <c r="Q23" s="84" t="inlineStr">
        <is>
          <t>Already works at A3: A module / process, or work with client or regulatory consequences</t>
        </is>
      </c>
      <c r="R23" s="34" t="inlineStr">
        <is>
          <t>L</t>
        </is>
      </c>
      <c r="S23" s="56" t="inlineStr">
        <is>
          <t>Works at A1: contributes alone; guides others only informally</t>
        </is>
      </c>
      <c r="T23" s="56" t="inlineStr">
        <is>
          <t>Helps peers and newer people informally · No direct reports</t>
        </is>
      </c>
      <c r="U23" s="56" t="inlineStr">
        <is>
          <t>Already works at A3: Not scored in Band A</t>
        </is>
      </c>
      <c r="V23" s="34" t="inlineStr">
        <is>
          <t>L</t>
        </is>
      </c>
      <c r="W23" s="56" t="inlineStr">
        <is>
          <t>Works at A1: Learning; little direct effect on business results yet</t>
        </is>
      </c>
      <c r="X23" s="56" t="inlineStr">
        <is>
          <t>Own deliverables feed a team's output and turnaround · purpose: Converts and formats documents into HTML/PDF/Word to filing or web standards, and publishes content · incl. RBI website. At A2: standard work delivered …</t>
        </is>
      </c>
      <c r="Y23" s="56" t="inlineStr">
        <is>
          <t>Already works at A3: A process or client deliverable depends on this work</t>
        </is>
      </c>
      <c r="Z23" s="34" t="inlineStr">
        <is>
          <t>L</t>
        </is>
      </c>
      <c r="AA23" s="85" t="inlineStr">
        <is>
          <t>Less experience than the band's typical 0–2 yrs</t>
        </is>
      </c>
      <c r="AB23" s="85" t="inlineStr">
        <is>
          <t>Typical for the band: 0–2 yrs · market 0–3 yrs</t>
        </is>
      </c>
      <c r="AC23" s="85" t="inlineStr">
        <is>
          <t>More experience than the band's typical 0–2 yrs</t>
        </is>
      </c>
      <c r="AD23" s="34" t="inlineStr">
        <is>
          <t>L</t>
        </is>
      </c>
      <c r="AE23" s="85" t="inlineStr">
        <is>
          <t>Below: Pursuing or completed graduation / diploma</t>
        </is>
      </c>
      <c r="AF23" s="85" t="inlineStr">
        <is>
          <t>Graduate · or diploma with experience</t>
        </is>
      </c>
      <c r="AG23" s="85" t="inlineStr">
        <is>
          <t>Above: Graduate; relevant certification preferred</t>
        </is>
      </c>
      <c r="AH23" s="44" t="inlineStr">
        <is>
          <t>58.3 · 16 · 9 · 0 · 6.3 · 6 · 4</t>
        </is>
      </c>
      <c r="AI23" s="38" t="inlineStr">
        <is>
          <t>0–3</t>
        </is>
      </c>
      <c r="AJ23" s="38" t="inlineStr">
        <is>
          <t>No direct reports</t>
        </is>
      </c>
      <c r="AK23" s="38" t="inlineStr">
        <is>
          <t>P1–P2 · SFIA 2 Assist</t>
        </is>
      </c>
      <c r="AL23"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4" ht="120" customHeight="1">
      <c r="A24" s="91" t="inlineStr">
        <is>
          <t>A1</t>
        </is>
      </c>
      <c r="B24" s="29" t="inlineStr">
        <is>
          <t>Band A · Practitioner</t>
        </is>
      </c>
      <c r="C24" s="29" t="inlineStr">
        <is>
          <t>Band A · all tracks</t>
        </is>
      </c>
      <c r="D24" s="29" t="inlineStr">
        <is>
          <t>Intern / Trainee</t>
        </is>
      </c>
      <c r="E24" s="29" t="inlineStr">
        <is>
          <t>— no role at this level today</t>
        </is>
      </c>
      <c r="F24" s="34" t="inlineStr">
        <is>
          <t>H</t>
        </is>
      </c>
      <c r="G24" s="84" t="inlineStr">
        <is>
          <t>Not yet at the entry standard · in induction</t>
        </is>
      </c>
      <c r="H24" s="84" t="inlineStr">
        <is>
          <t>Learning; follows worked examples</t>
        </is>
      </c>
      <c r="I24" s="84" t="inlineStr">
        <is>
          <t>Already works at A2: Standard work of the discipline</t>
        </is>
      </c>
      <c r="J24" s="34" t="inlineStr">
        <is>
          <t>M</t>
        </is>
      </c>
      <c r="K24" s="84" t="inlineStr">
        <is>
          <t>Not yet at the entry standard · in induction</t>
        </is>
      </c>
      <c r="L24" s="84" t="inlineStr">
        <is>
          <t>Needs approval / close guidance</t>
        </is>
      </c>
      <c r="M24" s="84" t="inlineStr">
        <is>
          <t>Already works at A2: Chooses own approach within standards</t>
        </is>
      </c>
      <c r="N24" s="34" t="inlineStr">
        <is>
          <t>M</t>
        </is>
      </c>
      <c r="O24" s="84" t="inlineStr">
        <is>
          <t>Not yet at the entry standard · in induction</t>
        </is>
      </c>
      <c r="P24" s="84" t="inlineStr">
        <is>
          <t>Learning tasks</t>
        </is>
      </c>
      <c r="Q24" s="84" t="inlineStr">
        <is>
          <t>Already works at A2: Own deliverables · accuracy, TAT</t>
        </is>
      </c>
      <c r="R24" s="34" t="inlineStr">
        <is>
          <t>L</t>
        </is>
      </c>
      <c r="S24" s="56" t="inlineStr">
        <is>
          <t>Not yet at the entry standard · in induction</t>
        </is>
      </c>
      <c r="T24" s="56" t="inlineStr">
        <is>
          <t>Helps peers and newer people informally · No direct reports</t>
        </is>
      </c>
      <c r="U24" s="56" t="inlineStr">
        <is>
          <t>Already works at A2: Not scored in Band A</t>
        </is>
      </c>
      <c r="V24" s="34" t="inlineStr">
        <is>
          <t>L</t>
        </is>
      </c>
      <c r="W24" s="56" t="inlineStr">
        <is>
          <t>Not yet at the entry standard · in induction</t>
        </is>
      </c>
      <c r="X24" s="56" t="inlineStr">
        <is>
          <t>Learning; little direct effect on business results yet</t>
        </is>
      </c>
      <c r="Y24" s="56" t="inlineStr">
        <is>
          <t>Already works at A2: Own deliverables feed a team's output and turnaround</t>
        </is>
      </c>
      <c r="Z24" s="34" t="inlineStr">
        <is>
          <t>L</t>
        </is>
      </c>
      <c r="AA24" s="85" t="inlineStr">
        <is>
          <t>Less experience than the band's typical 0 yrs · fresher / intern</t>
        </is>
      </c>
      <c r="AB24" s="85" t="inlineStr">
        <is>
          <t>Typical for the band: 0 yrs · fresher / intern · market — yrs</t>
        </is>
      </c>
      <c r="AC24" s="85" t="inlineStr">
        <is>
          <t>More experience than the band's typical 0 yrs · fresher / intern</t>
        </is>
      </c>
      <c r="AD24" s="34" t="inlineStr">
        <is>
          <t>L</t>
        </is>
      </c>
      <c r="AE24" s="85" t="inlineStr">
        <is>
          <t>Below graduation · still studying</t>
        </is>
      </c>
      <c r="AF24" s="85" t="inlineStr">
        <is>
          <t>Pursuing or completed graduation / diploma</t>
        </is>
      </c>
      <c r="AG24" s="85" t="inlineStr">
        <is>
          <t>Above: Graduate · or diploma with experience</t>
        </is>
      </c>
      <c r="AH24" s="44" t="inlineStr">
        <is>
          <t>58.3 · 16 · 9 · 0 · 6.3 · 6 · 4</t>
        </is>
      </c>
      <c r="AI24" s="38" t="inlineStr">
        <is>
          <t>0 yrs · fresher / intern</t>
        </is>
      </c>
      <c r="AJ24" s="38" t="inlineStr">
        <is>
          <t>No direct reports</t>
        </is>
      </c>
      <c r="AK24" s="38" t="inlineStr">
        <is>
          <t>Entry / P1 · intern · SFIA 1 Follow</t>
        </is>
      </c>
      <c r="AL24"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sheetData>
  <autoFilter ref="A5:AL24"/>
  <mergeCells count="1">
    <mergeCell ref="A2:N2"/>
  </mergeCells>
  <dataValidations count="1">
    <dataValidation sqref="F6 F7 F8 F9 F10 F11 F12 F13 F14 F15 F16 F17 F18 F19 F20 F21 F22 F23 F24 J6 J7 J8 J9 J10 J11 J12 J13 J14 J15 J16 J17 J18 J19 J20 J21 J22 J23 J24 N6 N7 N8 N9 N10 N11 N12 N13 N14 N15 N16 N17 N18 N19 N20 N21 N22 N23 N24 R6 R7 R8 R9 R10 R11 R12 R13 R14 R15 R16 R17 R18 R19 R20 R21 R22 R23 R24 V6 V7 V8 V9 V10 V11 V12 V13 V14 V15 V16 V17 V18 V19 V20 V21 V22 V23 V24 Z6 Z7 Z8 Z9 Z10 Z11 Z12 Z13 Z14 Z15 Z16 Z17 Z18 Z19 Z20 Z21 Z22 Z23 Z24 AD6 AD7 AD8 AD9 AD10 AD11 AD12 AD13 AD14 AD15 AD16 AD17 AD18 AD19 AD20 AD21 AD22 AD23 AD24" showDropDown="0" showInputMessage="0" showErrorMessage="0" allowBlank="1" type="list">
      <formula1>LIST_LMH</formula1>
    </dataValidation>
  </dataValidations>
  <hyperlinks>
    <hyperlink xmlns:r="http://schemas.openxmlformats.org/officeDocument/2006/relationships" ref="O1"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L24"/>
  <sheetViews>
    <sheetView zoomScale="85" workbookViewId="0">
      <pane xSplit="5" ySplit="5" topLeftCell="F6" activePane="bottomRight" state="frozen"/>
      <selection pane="topRight"/>
      <selection pane="bottomLeft"/>
      <selection pane="bottomRight" activeCell="A1" sqref="A1"/>
    </sheetView>
  </sheetViews>
  <sheetFormatPr baseColWidth="8" defaultRowHeight="15"/>
  <cols>
    <col width="7" customWidth="1" min="1" max="1"/>
    <col width="16" customWidth="1" min="2" max="2"/>
    <col width="18" customWidth="1" min="3" max="3"/>
    <col width="20" customWidth="1" min="4" max="4"/>
    <col width="34" customWidth="1" min="5" max="5"/>
    <col width="9" customWidth="1" min="6" max="6"/>
    <col width="30" customWidth="1" min="7" max="7"/>
    <col width="34" customWidth="1" min="8" max="8"/>
    <col width="30" customWidth="1" min="9" max="9"/>
    <col width="9" customWidth="1" min="10" max="10"/>
    <col width="30" customWidth="1" min="11" max="11"/>
    <col width="34" customWidth="1" min="12" max="12"/>
    <col width="30" customWidth="1" min="13" max="13"/>
    <col width="9" customWidth="1" min="14" max="14"/>
    <col width="30" customWidth="1" min="15" max="15"/>
    <col width="34" customWidth="1" min="16" max="16"/>
    <col width="30" customWidth="1" min="17" max="17"/>
    <col width="9" customWidth="1" min="18" max="18"/>
    <col width="30" customWidth="1" min="19" max="19"/>
    <col width="34" customWidth="1" min="20" max="20"/>
    <col width="30" customWidth="1" min="21" max="21"/>
    <col width="9" customWidth="1" min="22" max="22"/>
    <col width="30" customWidth="1" min="23" max="23"/>
    <col width="34" customWidth="1" min="24" max="24"/>
    <col width="30" customWidth="1" min="25" max="25"/>
    <col width="9" customWidth="1" min="26" max="26"/>
    <col width="30" customWidth="1" min="27" max="27"/>
    <col width="34" customWidth="1" min="28" max="28"/>
    <col width="30" customWidth="1" min="29" max="29"/>
    <col width="9" customWidth="1" min="30" max="30"/>
    <col width="30" customWidth="1" min="31" max="31"/>
    <col width="34" customWidth="1" min="32" max="32"/>
    <col width="30" customWidth="1" min="33" max="33"/>
    <col width="26" customWidth="1" min="34" max="34"/>
    <col width="16" customWidth="1" min="35" max="35"/>
    <col width="22" customWidth="1" min="36" max="36"/>
    <col width="18" customWidth="1" min="37" max="37"/>
    <col width="40" customWidth="1" min="38" max="38"/>
  </cols>
  <sheetData>
    <row r="1" ht="24" customHeight="1">
      <c r="A1" s="1" t="inlineStr">
        <is>
          <t>Role &amp; band matrix — Design &amp; Creative</t>
        </is>
      </c>
      <c r="O1" s="7" t="inlineStr">
        <is>
          <t>◂ Start</t>
        </is>
      </c>
    </row>
    <row r="2" ht="30" customHeight="1">
      <c r="A2" s="2" t="inlineStr">
        <is>
          <t>What Low, Medium and High mean for each of the seven parameters at every level of Design &amp; Creative, and how much each parameter counts · main type of work: Sales &amp; marketing. Medium is the band as described; Low is the level below; High is the level above. Change a yellow weightage and every role, department ladder and person in this family recalculates.</t>
        </is>
      </c>
    </row>
    <row r="3">
      <c r="A3" s="3" t="inlineStr">
        <is>
          <t>IRIS · Job Architecture &amp; Job Design · Final v1.15 · October 2026 · Internal — Confidential · HR only</t>
        </is>
      </c>
    </row>
    <row r="4" ht="30" customHeight="1">
      <c r="A4" s="6" t="inlineStr">
        <is>
          <t>LEVEL</t>
        </is>
      </c>
      <c r="B4" s="6" t="n"/>
      <c r="C4" s="6" t="n"/>
      <c r="D4" s="6" t="n"/>
      <c r="E4" s="6" t="n"/>
      <c r="F4" s="45" t="inlineStr">
        <is>
          <t>COMPLEXITY &amp; EXPERTISE</t>
        </is>
      </c>
      <c r="G4" s="45" t="n"/>
      <c r="H4" s="45" t="n"/>
      <c r="I4" s="45" t="n"/>
      <c r="J4" s="45" t="inlineStr">
        <is>
          <t>AUTONOMY &amp; DECISION</t>
        </is>
      </c>
      <c r="K4" s="45" t="n"/>
      <c r="L4" s="45" t="n"/>
      <c r="M4" s="45" t="n"/>
      <c r="N4" s="45" t="inlineStr">
        <is>
          <t>ACCOUNTABILITY &amp; IMPACT</t>
        </is>
      </c>
      <c r="O4" s="45" t="n"/>
      <c r="P4" s="45" t="n"/>
      <c r="Q4" s="45" t="n"/>
      <c r="R4" s="47" t="inlineStr">
        <is>
          <t>LEADERSHIP &amp; STRATEGY</t>
        </is>
      </c>
      <c r="S4" s="47" t="n"/>
      <c r="T4" s="47" t="n"/>
      <c r="U4" s="47" t="n"/>
      <c r="V4" s="47" t="inlineStr">
        <is>
          <t>BUSINESS IMPACT</t>
        </is>
      </c>
      <c r="W4" s="47" t="n"/>
      <c r="X4" s="47" t="n"/>
      <c r="Y4" s="47" t="n"/>
      <c r="Z4" s="81" t="inlineStr">
        <is>
          <t>EXPERIENCE</t>
        </is>
      </c>
      <c r="AA4" s="81" t="n"/>
      <c r="AB4" s="81" t="n"/>
      <c r="AC4" s="81" t="n"/>
      <c r="AD4" s="81" t="inlineStr">
        <is>
          <t>EDUCATION</t>
        </is>
      </c>
      <c r="AE4" s="81" t="n"/>
      <c r="AF4" s="81" t="n"/>
      <c r="AG4" s="81" t="n"/>
      <c r="AH4" s="20" t="inlineStr">
        <is>
          <t>MARKET BENCHMARK &amp; REFERENCES</t>
        </is>
      </c>
      <c r="AI4" s="20" t="n"/>
      <c r="AJ4" s="20" t="n"/>
      <c r="AK4" s="20" t="n"/>
      <c r="AL4" s="20" t="n"/>
    </row>
    <row r="5" ht="60" customHeight="1">
      <c r="A5" s="22" t="inlineStr">
        <is>
          <t>Level</t>
        </is>
      </c>
      <c r="B5" s="22" t="inlineStr">
        <is>
          <t>Band</t>
        </is>
      </c>
      <c r="C5" s="22" t="inlineStr">
        <is>
          <t>Role group</t>
        </is>
      </c>
      <c r="D5" s="22" t="inlineStr">
        <is>
          <t>Level title</t>
        </is>
      </c>
      <c r="E5" s="22" t="inlineStr">
        <is>
          <t>Roles at this level in this family</t>
        </is>
      </c>
      <c r="F5" s="48" t="inlineStr">
        <is>
          <t>Weightage · L/M/H</t>
        </is>
      </c>
      <c r="G5" s="48" t="inlineStr">
        <is>
          <t>Low</t>
        </is>
      </c>
      <c r="H5" s="48" t="inlineStr">
        <is>
          <t>Medium</t>
        </is>
      </c>
      <c r="I5" s="48" t="inlineStr">
        <is>
          <t>High</t>
        </is>
      </c>
      <c r="J5" s="48" t="inlineStr">
        <is>
          <t>Weightage · L/M/H</t>
        </is>
      </c>
      <c r="K5" s="48" t="inlineStr">
        <is>
          <t>Low</t>
        </is>
      </c>
      <c r="L5" s="48" t="inlineStr">
        <is>
          <t>Medium</t>
        </is>
      </c>
      <c r="M5" s="48" t="inlineStr">
        <is>
          <t>High</t>
        </is>
      </c>
      <c r="N5" s="48" t="inlineStr">
        <is>
          <t>Weightage · L/M/H</t>
        </is>
      </c>
      <c r="O5" s="48" t="inlineStr">
        <is>
          <t>Low</t>
        </is>
      </c>
      <c r="P5" s="48" t="inlineStr">
        <is>
          <t>Medium</t>
        </is>
      </c>
      <c r="Q5" s="48" t="inlineStr">
        <is>
          <t>High</t>
        </is>
      </c>
      <c r="R5" s="50" t="inlineStr">
        <is>
          <t>Weightage · L/M/H</t>
        </is>
      </c>
      <c r="S5" s="50" t="inlineStr">
        <is>
          <t>Low</t>
        </is>
      </c>
      <c r="T5" s="50" t="inlineStr">
        <is>
          <t>Medium</t>
        </is>
      </c>
      <c r="U5" s="50" t="inlineStr">
        <is>
          <t>High</t>
        </is>
      </c>
      <c r="V5" s="50" t="inlineStr">
        <is>
          <t>Weightage · L/M/H</t>
        </is>
      </c>
      <c r="W5" s="50" t="inlineStr">
        <is>
          <t>Low</t>
        </is>
      </c>
      <c r="X5" s="50" t="inlineStr">
        <is>
          <t>Medium</t>
        </is>
      </c>
      <c r="Y5" s="50" t="inlineStr">
        <is>
          <t>High</t>
        </is>
      </c>
      <c r="Z5" s="82" t="inlineStr">
        <is>
          <t>Weightage · L/M/H</t>
        </is>
      </c>
      <c r="AA5" s="82" t="inlineStr">
        <is>
          <t>Low</t>
        </is>
      </c>
      <c r="AB5" s="82" t="inlineStr">
        <is>
          <t>Medium</t>
        </is>
      </c>
      <c r="AC5" s="82" t="inlineStr">
        <is>
          <t>High</t>
        </is>
      </c>
      <c r="AD5" s="82" t="inlineStr">
        <is>
          <t>Weightage · L/M/H</t>
        </is>
      </c>
      <c r="AE5" s="82" t="inlineStr">
        <is>
          <t>Low</t>
        </is>
      </c>
      <c r="AF5" s="82" t="inlineStr">
        <is>
          <t>Medium</t>
        </is>
      </c>
      <c r="AG5" s="82" t="inlineStr">
        <is>
          <t>High</t>
        </is>
      </c>
      <c r="AH5" s="26" t="inlineStr">
        <is>
          <t>Market weight % · C · Au · Ac · L · BI · Exp · Edu</t>
        </is>
      </c>
      <c r="AI5" s="26" t="inlineStr">
        <is>
          <t>Market experience · yrs</t>
        </is>
      </c>
      <c r="AJ5" s="26" t="inlineStr">
        <is>
          <t>Span norm</t>
        </is>
      </c>
      <c r="AK5" s="26" t="inlineStr">
        <is>
          <t>Radford / Mercer · SFIA 9</t>
        </is>
      </c>
      <c r="AL5" s="26" t="inlineStr">
        <is>
          <t>References</t>
        </is>
      </c>
    </row>
    <row r="6" ht="120" customHeight="1">
      <c r="A6" s="83" t="inlineStr">
        <is>
          <t>E2</t>
        </is>
      </c>
      <c r="B6" s="29" t="inlineStr">
        <is>
          <t>Band E · Enterprise leadership</t>
        </is>
      </c>
      <c r="C6" s="29" t="inlineStr">
        <is>
          <t>Bands D–E · Leadership</t>
        </is>
      </c>
      <c r="D6" s="29" t="inlineStr">
        <is>
          <t>Chief Executive Officer</t>
        </is>
      </c>
      <c r="E6" s="29" t="inlineStr">
        <is>
          <t>— no role at this level today</t>
        </is>
      </c>
      <c r="F6" s="34" t="inlineStr">
        <is>
          <t>H</t>
        </is>
      </c>
      <c r="G6" s="84" t="inlineStr">
        <is>
          <t>Works at E1: Enterprise-level functional strategy</t>
        </is>
      </c>
      <c r="H6" s="84" t="inlineStr">
        <is>
          <t>Enterprise-wide uncertainty, transformation and external forces</t>
        </is>
      </c>
      <c r="I6" s="84" t="inlineStr">
        <is>
          <t>Beyond the role · a board-level mandate</t>
        </is>
      </c>
      <c r="J6" s="34" t="inlineStr">
        <is>
          <t>M</t>
        </is>
      </c>
      <c r="K6" s="84" t="inlineStr">
        <is>
          <t>Works at E1: Sets enterprise priorities for the function</t>
        </is>
      </c>
      <c r="L6" s="84" t="inlineStr">
        <is>
          <t>Accountable to the board</t>
        </is>
      </c>
      <c r="M6" s="84" t="inlineStr">
        <is>
          <t>Beyond the role · a board-level mandate</t>
        </is>
      </c>
      <c r="N6" s="34" t="inlineStr">
        <is>
          <t>M</t>
        </is>
      </c>
      <c r="O6" s="84" t="inlineStr">
        <is>
          <t>Works at E1: Enterprise-wide functional results</t>
        </is>
      </c>
      <c r="P6" s="84" t="inlineStr">
        <is>
          <t>Enterprise results, risk, culture and long-term viability</t>
        </is>
      </c>
      <c r="Q6" s="84" t="inlineStr">
        <is>
          <t>Beyond the role · a board-level mandate</t>
        </is>
      </c>
      <c r="R6" s="34" t="inlineStr">
        <is>
          <t>M</t>
        </is>
      </c>
      <c r="S6" s="56" t="inlineStr">
        <is>
          <t>Works at E1: Shapes enterprise strategy</t>
        </is>
      </c>
      <c r="T6" s="56" t="inlineStr">
        <is>
          <t>Sets enterprise strategy; leads the executive team</t>
        </is>
      </c>
      <c r="U6" s="56" t="inlineStr">
        <is>
          <t>Beyond the role · a board-level mandate</t>
        </is>
      </c>
      <c r="V6" s="34" t="inlineStr">
        <is>
          <t>L</t>
        </is>
      </c>
      <c r="W6" s="56" t="inlineStr">
        <is>
          <t>Works at E1: Shapes company-wide results through a function</t>
        </is>
      </c>
      <c r="X6" s="56" t="inlineStr">
        <is>
          <t>Answers for the whole company's results and long-term value</t>
        </is>
      </c>
      <c r="Y6" s="56" t="inlineStr">
        <is>
          <t>Beyond the role · a board-level mandate</t>
        </is>
      </c>
      <c r="Z6" s="34" t="inlineStr">
        <is>
          <t>L</t>
        </is>
      </c>
      <c r="AA6" s="85" t="inlineStr">
        <is>
          <t>Less experience than the band's typical 20+ yrs</t>
        </is>
      </c>
      <c r="AB6" s="85" t="inlineStr">
        <is>
          <t>Typical for the band: 20+ yrs · market — yrs</t>
        </is>
      </c>
      <c r="AC6" s="85" t="inlineStr">
        <is>
          <t>More experience than the band's typical 20+ yrs</t>
        </is>
      </c>
      <c r="AD6" s="34" t="inlineStr">
        <is>
          <t>L</t>
        </is>
      </c>
      <c r="AE6" s="85" t="inlineStr">
        <is>
          <t>Below: Postgraduate / professional qualification; business leadership record</t>
        </is>
      </c>
      <c r="AF6" s="85" t="inlineStr">
        <is>
          <t>Postgraduate / professional qualification; proven business leadership</t>
        </is>
      </c>
      <c r="AG6" s="85" t="inlineStr">
        <is>
          <t>Board-level credentials beyond the role's need</t>
        </is>
      </c>
      <c r="AH6" s="44" t="inlineStr">
        <is>
          <t>36.3 · 19 · 11.3 · 20 · 8.7 · 4 · 1</t>
        </is>
      </c>
      <c r="AI6" s="38" t="inlineStr">
        <is>
          <t>20+ yrs</t>
        </is>
      </c>
      <c r="AJ6" s="38" t="inlineStr">
        <is>
          <t>Executive team</t>
        </is>
      </c>
      <c r="AK6" s="38" t="inlineStr">
        <is>
          <t>E6 · SFIA 7</t>
        </is>
      </c>
      <c r="AL6"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7" ht="120" customHeight="1">
      <c r="A7" s="83" t="inlineStr">
        <is>
          <t>E1</t>
        </is>
      </c>
      <c r="B7" s="29" t="inlineStr">
        <is>
          <t>Band E · Enterprise leadership</t>
        </is>
      </c>
      <c r="C7" s="29" t="inlineStr">
        <is>
          <t>Bands D–E · Leadership</t>
        </is>
      </c>
      <c r="D7" s="29" t="inlineStr">
        <is>
          <t>CXO / President</t>
        </is>
      </c>
      <c r="E7" s="29" t="inlineStr">
        <is>
          <t>— no role at this level today</t>
        </is>
      </c>
      <c r="F7" s="34" t="inlineStr">
        <is>
          <t>H</t>
        </is>
      </c>
      <c r="G7" s="84" t="inlineStr">
        <is>
          <t>Works at D2: Portfolio-level strategic, financial and regulatory trade-offs</t>
        </is>
      </c>
      <c r="H7" s="84" t="inlineStr">
        <is>
          <t>Enterprise-level functional strategy</t>
        </is>
      </c>
      <c r="I7" s="84" t="inlineStr">
        <is>
          <t>Already works at E2: Enterprise-wide uncertainty, transformation and external forces</t>
        </is>
      </c>
      <c r="J7" s="34" t="inlineStr">
        <is>
          <t>M</t>
        </is>
      </c>
      <c r="K7" s="84" t="inlineStr">
        <is>
          <t>Works at D2: Sets direction across business lines</t>
        </is>
      </c>
      <c r="L7" s="84" t="inlineStr">
        <is>
          <t>Sets enterprise priorities for the function</t>
        </is>
      </c>
      <c r="M7" s="84" t="inlineStr">
        <is>
          <t>Already works at E2: Accountable to the board</t>
        </is>
      </c>
      <c r="N7" s="34" t="inlineStr">
        <is>
          <t>M</t>
        </is>
      </c>
      <c r="O7" s="84" t="inlineStr">
        <is>
          <t>Works at D2: Multi-business results</t>
        </is>
      </c>
      <c r="P7" s="84" t="inlineStr">
        <is>
          <t>Enterprise-wide functional results</t>
        </is>
      </c>
      <c r="Q7" s="84" t="inlineStr">
        <is>
          <t>Already works at E2: Enterprise results, risk, culture and long-term viability</t>
        </is>
      </c>
      <c r="R7" s="34" t="inlineStr">
        <is>
          <t>M</t>
        </is>
      </c>
      <c r="S7" s="56" t="inlineStr">
        <is>
          <t>Works at D2: Builds the leadership team across businesses</t>
        </is>
      </c>
      <c r="T7" s="56" t="inlineStr">
        <is>
          <t>Shapes enterprise strategy</t>
        </is>
      </c>
      <c r="U7" s="56" t="inlineStr">
        <is>
          <t>Already works at E2: Sets enterprise strategy; leads the executive team</t>
        </is>
      </c>
      <c r="V7" s="34" t="inlineStr">
        <is>
          <t>L</t>
        </is>
      </c>
      <c r="W7" s="56" t="inlineStr">
        <is>
          <t>Works at D2: Owns the results of several business lines</t>
        </is>
      </c>
      <c r="X7" s="56" t="inlineStr">
        <is>
          <t>Shapes company-wide results through a function</t>
        </is>
      </c>
      <c r="Y7" s="56" t="inlineStr">
        <is>
          <t>Already works at E2: Answers for the whole company's results and long-term value</t>
        </is>
      </c>
      <c r="Z7" s="34" t="inlineStr">
        <is>
          <t>L</t>
        </is>
      </c>
      <c r="AA7" s="85" t="inlineStr">
        <is>
          <t>Less experience than the band's typical 20+ yrs</t>
        </is>
      </c>
      <c r="AB7" s="85" t="inlineStr">
        <is>
          <t>Typical for the band: 20+ yrs · market — yrs</t>
        </is>
      </c>
      <c r="AC7" s="85" t="inlineStr">
        <is>
          <t>More experience than the band's typical 20+ yrs</t>
        </is>
      </c>
      <c r="AD7" s="34" t="inlineStr">
        <is>
          <t>L</t>
        </is>
      </c>
      <c r="AE7" s="85" t="inlineStr">
        <is>
          <t>Below: Postgraduate / professional qualification preferred</t>
        </is>
      </c>
      <c r="AF7" s="85" t="inlineStr">
        <is>
          <t>Postgraduate / professional qualification; business leadership record</t>
        </is>
      </c>
      <c r="AG7" s="85" t="inlineStr">
        <is>
          <t>Above: Postgraduate / professional qualification; proven business leadership</t>
        </is>
      </c>
      <c r="AH7" s="44" t="inlineStr">
        <is>
          <t>36.3 · 19 · 11.3 · 20 · 8.7 · 4 · 1</t>
        </is>
      </c>
      <c r="AI7" s="38" t="inlineStr">
        <is>
          <t>20+ yrs</t>
        </is>
      </c>
      <c r="AJ7" s="38" t="inlineStr">
        <is>
          <t>5–8 function heads</t>
        </is>
      </c>
      <c r="AK7" s="38" t="inlineStr">
        <is>
          <t>E5 · SFIA 7</t>
        </is>
      </c>
      <c r="AL7"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8" ht="120" customHeight="1">
      <c r="A8" s="86" t="inlineStr">
        <is>
          <t>D2</t>
        </is>
      </c>
      <c r="B8" s="29" t="inlineStr">
        <is>
          <t>Band D · Business leadership</t>
        </is>
      </c>
      <c r="C8" s="29" t="inlineStr">
        <is>
          <t>Bands D–E · Leadership</t>
        </is>
      </c>
      <c r="D8" s="29" t="inlineStr">
        <is>
          <t>Senior Vice President / Business Head</t>
        </is>
      </c>
      <c r="E8" s="29" t="inlineStr">
        <is>
          <t>— no role at this level today</t>
        </is>
      </c>
      <c r="F8" s="34" t="inlineStr">
        <is>
          <t>H</t>
        </is>
      </c>
      <c r="G8" s="84" t="inlineStr">
        <is>
          <t>Works at D1: Competing strategic, financial and regulatory priorities</t>
        </is>
      </c>
      <c r="H8" s="84" t="inlineStr">
        <is>
          <t>Portfolio-level strategic, financial and regulatory trade-offs</t>
        </is>
      </c>
      <c r="I8" s="84" t="inlineStr">
        <is>
          <t>Already works at E1: Enterprise-level functional strategy</t>
        </is>
      </c>
      <c r="J8" s="34" t="inlineStr">
        <is>
          <t>M</t>
        </is>
      </c>
      <c r="K8" s="84" t="inlineStr">
        <is>
          <t>Works at D1: Sets business-line direction, pricing and investment</t>
        </is>
      </c>
      <c r="L8" s="84" t="inlineStr">
        <is>
          <t>Sets direction across business lines</t>
        </is>
      </c>
      <c r="M8" s="84" t="inlineStr">
        <is>
          <t>Already works at E1: Sets enterprise priorities for the function</t>
        </is>
      </c>
      <c r="N8" s="34" t="inlineStr">
        <is>
          <t>M</t>
        </is>
      </c>
      <c r="O8" s="84" t="inlineStr">
        <is>
          <t>Works at D1: Business-line P&amp;L and market position</t>
        </is>
      </c>
      <c r="P8" s="84" t="inlineStr">
        <is>
          <t>Multi-business results</t>
        </is>
      </c>
      <c r="Q8" s="84" t="inlineStr">
        <is>
          <t>Already works at E1: Enterprise-wide functional results</t>
        </is>
      </c>
      <c r="R8" s="34" t="inlineStr">
        <is>
          <t>M</t>
        </is>
      </c>
      <c r="S8" s="56" t="inlineStr">
        <is>
          <t>Works at D1: Defines business strategy; builds the leadership bench</t>
        </is>
      </c>
      <c r="T8" s="56" t="inlineStr">
        <is>
          <t>Builds the leadership team across businesses</t>
        </is>
      </c>
      <c r="U8" s="56" t="inlineStr">
        <is>
          <t>Already works at E1: Shapes enterprise strategy</t>
        </is>
      </c>
      <c r="V8" s="34" t="inlineStr">
        <is>
          <t>L</t>
        </is>
      </c>
      <c r="W8" s="56" t="inlineStr">
        <is>
          <t>Works at D1: Owns a business line's P&amp;L and growth, or a company-wide function</t>
        </is>
      </c>
      <c r="X8" s="56" t="inlineStr">
        <is>
          <t>Owns the results of several business lines</t>
        </is>
      </c>
      <c r="Y8" s="56" t="inlineStr">
        <is>
          <t>Already works at E1: Shapes company-wide results through a function</t>
        </is>
      </c>
      <c r="Z8" s="34" t="inlineStr">
        <is>
          <t>L</t>
        </is>
      </c>
      <c r="AA8" s="85" t="inlineStr">
        <is>
          <t>Less experience than the band's typical 18–24 yrs</t>
        </is>
      </c>
      <c r="AB8" s="85" t="inlineStr">
        <is>
          <t>Typical for the band: 18–24 yrs · market — yrs</t>
        </is>
      </c>
      <c r="AC8" s="85" t="inlineStr">
        <is>
          <t>More experience than the band's typical 18–24 yrs</t>
        </is>
      </c>
      <c r="AD8" s="34" t="inlineStr">
        <is>
          <t>L</t>
        </is>
      </c>
      <c r="AE8" s="85" t="inlineStr">
        <is>
          <t>Below: Postgraduate / professional qualification preferred</t>
        </is>
      </c>
      <c r="AF8" s="85" t="inlineStr">
        <is>
          <t>Postgraduate / professional qualification preferred</t>
        </is>
      </c>
      <c r="AG8" s="85" t="inlineStr">
        <is>
          <t>Above: Postgraduate / professional qualification; business leadership record</t>
        </is>
      </c>
      <c r="AH8" s="44" t="inlineStr">
        <is>
          <t>36.3 · 19 · 11.3 · 20 · 8.7 · 4 · 1</t>
        </is>
      </c>
      <c r="AI8" s="38" t="inlineStr">
        <is>
          <t>18–24 yrs</t>
        </is>
      </c>
      <c r="AJ8" s="38" t="inlineStr">
        <is>
          <t>5–8 AVPs / heads</t>
        </is>
      </c>
      <c r="AK8" s="38" t="inlineStr">
        <is>
          <t>E3–E4 · SFIA 7 Set strategy</t>
        </is>
      </c>
      <c r="AL8"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9" ht="120" customHeight="1">
      <c r="A9" s="86" t="inlineStr">
        <is>
          <t>D1</t>
        </is>
      </c>
      <c r="B9" s="29" t="inlineStr">
        <is>
          <t>Band D · Business leadership</t>
        </is>
      </c>
      <c r="C9" s="29" t="inlineStr">
        <is>
          <t>Bands D–E · Leadership</t>
        </is>
      </c>
      <c r="D9" s="29" t="inlineStr">
        <is>
          <t>Associate Vice President</t>
        </is>
      </c>
      <c r="E9" s="29" t="inlineStr">
        <is>
          <t>— no role at this level today</t>
        </is>
      </c>
      <c r="F9" s="34" t="inlineStr">
        <is>
          <t>H</t>
        </is>
      </c>
      <c r="G9" s="84" t="inlineStr">
        <is>
          <t>Works at C2: Function-wide or company-wide problems; creates methods and standards</t>
        </is>
      </c>
      <c r="H9" s="84" t="inlineStr">
        <is>
          <t>Competing strategic, financial and regulatory priorities</t>
        </is>
      </c>
      <c r="I9" s="84" t="inlineStr">
        <is>
          <t>Already works at D2: Portfolio-level strategic, financial and regulatory trade-offs</t>
        </is>
      </c>
      <c r="J9" s="34" t="inlineStr">
        <is>
          <t>M</t>
        </is>
      </c>
      <c r="K9" s="84" t="inlineStr">
        <is>
          <t>Works at C2: Sets direction for a function</t>
        </is>
      </c>
      <c r="L9" s="84" t="inlineStr">
        <is>
          <t>Sets business-line direction, pricing and investment</t>
        </is>
      </c>
      <c r="M9" s="84" t="inlineStr">
        <is>
          <t>Already works at D2: Sets direction across business lines</t>
        </is>
      </c>
      <c r="N9" s="34" t="inlineStr">
        <is>
          <t>M</t>
        </is>
      </c>
      <c r="O9" s="84" t="inlineStr">
        <is>
          <t>Works at C2: Function results, budget and risk</t>
        </is>
      </c>
      <c r="P9" s="84" t="inlineStr">
        <is>
          <t>Business-line P&amp;L and market position</t>
        </is>
      </c>
      <c r="Q9" s="84" t="inlineStr">
        <is>
          <t>Already works at D2: Multi-business results</t>
        </is>
      </c>
      <c r="R9" s="34" t="inlineStr">
        <is>
          <t>M</t>
        </is>
      </c>
      <c r="S9" s="56" t="inlineStr">
        <is>
          <t>Works at C2: Leads a function; shapes functional strategy</t>
        </is>
      </c>
      <c r="T9" s="56" t="inlineStr">
        <is>
          <t>Defines business strategy; builds the leadership bench</t>
        </is>
      </c>
      <c r="U9" s="56" t="inlineStr">
        <is>
          <t>Already works at D2: Builds the leadership team across businesses</t>
        </is>
      </c>
      <c r="V9" s="34" t="inlineStr">
        <is>
          <t>L</t>
        </is>
      </c>
      <c r="W9" s="56" t="inlineStr">
        <is>
          <t>Works at C2: Drives a function's or department's results and costs</t>
        </is>
      </c>
      <c r="X9" s="56" t="inlineStr">
        <is>
          <t>Owns a business line's P&amp;L and growth, or a company-wide function</t>
        </is>
      </c>
      <c r="Y9" s="56" t="inlineStr">
        <is>
          <t>Already works at D2: Owns the results of several business lines</t>
        </is>
      </c>
      <c r="Z9" s="34" t="inlineStr">
        <is>
          <t>L</t>
        </is>
      </c>
      <c r="AA9" s="85" t="inlineStr">
        <is>
          <t>Less experience than the band's typical 15–20 yrs</t>
        </is>
      </c>
      <c r="AB9" s="85" t="inlineStr">
        <is>
          <t>Typical for the band: 15–20 yrs · market — yrs</t>
        </is>
      </c>
      <c r="AC9" s="85" t="inlineStr">
        <is>
          <t>More experience than the band's typical 15–20 yrs</t>
        </is>
      </c>
      <c r="AD9" s="34" t="inlineStr">
        <is>
          <t>L</t>
        </is>
      </c>
      <c r="AE9" s="85" t="inlineStr">
        <is>
          <t>Below: Postgraduate / professional qualification preferred</t>
        </is>
      </c>
      <c r="AF9" s="85" t="inlineStr">
        <is>
          <t>Postgraduate / professional qualification preferred</t>
        </is>
      </c>
      <c r="AG9" s="85" t="inlineStr">
        <is>
          <t>Above: Postgraduate / professional qualification preferred</t>
        </is>
      </c>
      <c r="AH9" s="44" t="inlineStr">
        <is>
          <t>36.3 · 19 · 11.3 · 20 · 8.7 · 4 · 1</t>
        </is>
      </c>
      <c r="AI9" s="38" t="inlineStr">
        <is>
          <t>15–20 yrs</t>
        </is>
      </c>
      <c r="AJ9" s="38" t="inlineStr">
        <is>
          <t>5–8 heads</t>
        </is>
      </c>
      <c r="AK9" s="38" t="inlineStr">
        <is>
          <t>E1–E2 · SFIA 6–7</t>
        </is>
      </c>
      <c r="AL9"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0" ht="120" customHeight="1">
      <c r="A10" s="87" t="inlineStr">
        <is>
          <t>C+</t>
        </is>
      </c>
      <c r="B10" s="29" t="inlineStr">
        <is>
          <t>C+ · Player-Coach</t>
        </is>
      </c>
      <c r="C10" s="29" t="inlineStr">
        <is>
          <t>C+ · Player-Coach</t>
        </is>
      </c>
      <c r="D10" s="29" t="inlineStr">
        <is>
          <t>Group Head · Player-Coach</t>
        </is>
      </c>
      <c r="E10" s="29" t="inlineStr">
        <is>
          <t>— no role at this level today</t>
        </is>
      </c>
      <c r="F10" s="34" t="inlineStr">
        <is>
          <t>H</t>
        </is>
      </c>
      <c r="G10" s="84" t="inlineStr">
        <is>
          <t>Works at C2: Function-wide or company-wide problems; creates methods and standards</t>
        </is>
      </c>
      <c r="H10" s="84" t="inlineStr">
        <is>
          <t>Function-wide and cross-product problems; personally handles the most critical client or technical work</t>
        </is>
      </c>
      <c r="I10" s="84" t="inlineStr">
        <is>
          <t>Already works at D1: Competing strategic, financial and regulatory priorities</t>
        </is>
      </c>
      <c r="J10" s="34" t="inlineStr">
        <is>
          <t>M</t>
        </is>
      </c>
      <c r="K10" s="84" t="inlineStr">
        <is>
          <t>Works at C2: Sets direction for a function</t>
        </is>
      </c>
      <c r="L10" s="84" t="inlineStr">
        <is>
          <t>Sets direction for the function; business-line trade-offs go to the Business Head</t>
        </is>
      </c>
      <c r="M10" s="84" t="inlineStr">
        <is>
          <t>Already works at D1: Sets business-line direction, pricing and investment</t>
        </is>
      </c>
      <c r="N10" s="34" t="inlineStr">
        <is>
          <t>M</t>
        </is>
      </c>
      <c r="O10" s="84" t="inlineStr">
        <is>
          <t>Works at C2: Function results, budget and risk</t>
        </is>
      </c>
      <c r="P10" s="84" t="inlineStr">
        <is>
          <t>Function results, budget and key-client outcomes; carries own book or principal delivery</t>
        </is>
      </c>
      <c r="Q10" s="84" t="inlineStr">
        <is>
          <t>Already works at D1: Business-line P&amp;L and market position</t>
        </is>
      </c>
      <c r="R10" s="34" t="inlineStr">
        <is>
          <t>M</t>
        </is>
      </c>
      <c r="S10" s="56" t="inlineStr">
        <is>
          <t>Works at C2: Leads a function; shapes functional strategy</t>
        </is>
      </c>
      <c r="T10" s="56" t="inlineStr">
        <is>
          <t>Leads managers and leads and 10+ people in the function while staying hands-on</t>
        </is>
      </c>
      <c r="U10" s="56" t="inlineStr">
        <is>
          <t>Already works at D1: Defines business strategy; builds the leadership bench</t>
        </is>
      </c>
      <c r="V10" s="34" t="inlineStr">
        <is>
          <t>L</t>
        </is>
      </c>
      <c r="W10" s="56" t="inlineStr">
        <is>
          <t>Works at C2: Drives a function's or department's results and costs</t>
        </is>
      </c>
      <c r="X10" s="56" t="inlineStr">
        <is>
          <t>Drives a function's results and personally wins or delivers key work</t>
        </is>
      </c>
      <c r="Y10" s="56" t="inlineStr">
        <is>
          <t>Already works at D1: Owns a business line's P&amp;L and growth, or a company-wide function</t>
        </is>
      </c>
      <c r="Z10" s="34" t="inlineStr">
        <is>
          <t>L</t>
        </is>
      </c>
      <c r="AA10" s="85" t="inlineStr">
        <is>
          <t>Less experience than the band's typical 13–18 yrs</t>
        </is>
      </c>
      <c r="AB10" s="85" t="inlineStr">
        <is>
          <t>Typical for the band: 13–18 yrs · market 15–18 yrs</t>
        </is>
      </c>
      <c r="AC10" s="85" t="inlineStr">
        <is>
          <t>More experience than the band's typical 13–18 yrs</t>
        </is>
      </c>
      <c r="AD10" s="34" t="inlineStr">
        <is>
          <t>L</t>
        </is>
      </c>
      <c r="AE10" s="85" t="inlineStr">
        <is>
          <t>Below: Postgraduate / professional qualification preferred</t>
        </is>
      </c>
      <c r="AF10" s="85" t="inlineStr">
        <is>
          <t>Postgraduate / professional qualification preferred</t>
        </is>
      </c>
      <c r="AG10" s="85" t="inlineStr">
        <is>
          <t>Above: Postgraduate / professional qualification preferred</t>
        </is>
      </c>
      <c r="AH10" s="44" t="inlineStr">
        <is>
          <t>37.7 · 18.3 · 10.7 · 20 · 8 · 4 · 1</t>
        </is>
      </c>
      <c r="AI10" s="38" t="inlineStr">
        <is>
          <t>15–18</t>
        </is>
      </c>
      <c r="AJ10" s="38" t="inlineStr">
        <is>
          <t>4–8 managers / leads with ≥ 25% of time on own principal delivery</t>
        </is>
      </c>
      <c r="AK10" s="38" t="inlineStr">
        <is>
          <t>M6 / E1 · SFIA 6 Initiate, influence</t>
        </is>
      </c>
      <c r="AL10"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1" ht="120" customHeight="1">
      <c r="A11" s="88" t="inlineStr">
        <is>
          <t>C2</t>
        </is>
      </c>
      <c r="B11" s="29" t="inlineStr">
        <is>
          <t>Band C · Principal / Head</t>
        </is>
      </c>
      <c r="C11" s="29" t="inlineStr">
        <is>
          <t>Band C · Head / manager</t>
        </is>
      </c>
      <c r="D11" s="29" t="inlineStr">
        <is>
          <t>Head of Function</t>
        </is>
      </c>
      <c r="E11" s="29" t="inlineStr">
        <is>
          <t>— no role at this level today</t>
        </is>
      </c>
      <c r="F11" s="34" t="inlineStr">
        <is>
          <t>H</t>
        </is>
      </c>
      <c r="G11" s="84" t="inlineStr">
        <is>
          <t>Works at C1: Ambiguous, cross-product problems</t>
        </is>
      </c>
      <c r="H11" s="84" t="inlineStr">
        <is>
          <t>Function-wide or company-wide problems; creates methods and standards</t>
        </is>
      </c>
      <c r="I11" s="84" t="inlineStr">
        <is>
          <t>Already works at D1: Competing strategic, financial and regulatory priorities</t>
        </is>
      </c>
      <c r="J11" s="34" t="inlineStr">
        <is>
          <t>M</t>
        </is>
      </c>
      <c r="K11" s="84" t="inlineStr">
        <is>
          <t>Works at C1: Sets direction for a sub-function or domain</t>
        </is>
      </c>
      <c r="L11" s="84" t="inlineStr">
        <is>
          <t>Sets direction for a function</t>
        </is>
      </c>
      <c r="M11" s="84" t="inlineStr">
        <is>
          <t>Already works at D1: Sets business-line direction, pricing and investment</t>
        </is>
      </c>
      <c r="N11" s="34" t="inlineStr">
        <is>
          <t>L</t>
        </is>
      </c>
      <c r="O11" s="84" t="inlineStr">
        <is>
          <t>Works at C1: Sub-function results or domain quality across products</t>
        </is>
      </c>
      <c r="P11" s="84" t="inlineStr">
        <is>
          <t>Function results, budget and risk</t>
        </is>
      </c>
      <c r="Q11" s="84" t="inlineStr">
        <is>
          <t>Already works at D1: Business-line P&amp;L and market position</t>
        </is>
      </c>
      <c r="R11" s="34" t="inlineStr">
        <is>
          <t>M</t>
        </is>
      </c>
      <c r="S11" s="56" t="inlineStr">
        <is>
          <t>Works at C1: Leads managers or a community of practice</t>
        </is>
      </c>
      <c r="T11" s="56" t="inlineStr">
        <is>
          <t>Leads a function; shapes functional strategy</t>
        </is>
      </c>
      <c r="U11" s="56" t="inlineStr">
        <is>
          <t>Already works at D1: Defines business strategy; builds the leadership bench</t>
        </is>
      </c>
      <c r="V11" s="34" t="inlineStr">
        <is>
          <t>M</t>
        </is>
      </c>
      <c r="W11" s="56" t="inlineStr">
        <is>
          <t>Works at C1: Changes results across a sub-function or across products</t>
        </is>
      </c>
      <c r="X11" s="56" t="inlineStr">
        <is>
          <t>Drives a function's or department's results and costs</t>
        </is>
      </c>
      <c r="Y11" s="56" t="inlineStr">
        <is>
          <t>Already works at D1: Owns a business line's P&amp;L and growth, or a company-wide function</t>
        </is>
      </c>
      <c r="Z11" s="34" t="inlineStr">
        <is>
          <t>L</t>
        </is>
      </c>
      <c r="AA11" s="85" t="inlineStr">
        <is>
          <t>Less experience than the band's typical 12–17 yrs</t>
        </is>
      </c>
      <c r="AB11" s="85" t="inlineStr">
        <is>
          <t>Typical for the band: 12–17 yrs · market — yrs</t>
        </is>
      </c>
      <c r="AC11" s="85" t="inlineStr">
        <is>
          <t>More experience than the band's typical 12–17 yrs</t>
        </is>
      </c>
      <c r="AD11" s="34" t="inlineStr">
        <is>
          <t>L</t>
        </is>
      </c>
      <c r="AE11" s="85" t="inlineStr">
        <is>
          <t>Below: Postgraduate / professional qualification preferred</t>
        </is>
      </c>
      <c r="AF11" s="85" t="inlineStr">
        <is>
          <t>Postgraduate / professional qualification preferred</t>
        </is>
      </c>
      <c r="AG11" s="85" t="inlineStr">
        <is>
          <t>Above: Postgraduate / professional qualification preferred</t>
        </is>
      </c>
      <c r="AH11" s="44" t="inlineStr">
        <is>
          <t>43.3 · 18 · 10.7 · 15 · 8 · 4 · 1</t>
        </is>
      </c>
      <c r="AI11" s="38" t="inlineStr">
        <is>
          <t>12–17 yrs</t>
        </is>
      </c>
      <c r="AJ11" s="38" t="inlineStr">
        <is>
          <t>5–8 managers / associate heads</t>
        </is>
      </c>
      <c r="AK11" s="38" t="inlineStr">
        <is>
          <t>P7 / M6 · SFIA 6 Initiate, influence</t>
        </is>
      </c>
      <c r="AL11"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2" ht="120" customHeight="1">
      <c r="A12" s="88" t="inlineStr">
        <is>
          <t>C2</t>
        </is>
      </c>
      <c r="B12" s="29" t="inlineStr">
        <is>
          <t>Band C · Principal / Head</t>
        </is>
      </c>
      <c r="C12" s="29" t="inlineStr">
        <is>
          <t>Band C · Principal specialist</t>
        </is>
      </c>
      <c r="D12" s="29" t="inlineStr">
        <is>
          <t>Senior Principal / Architect</t>
        </is>
      </c>
      <c r="E12" s="29" t="inlineStr">
        <is>
          <t>— no role at this level today</t>
        </is>
      </c>
      <c r="F12" s="34" t="inlineStr">
        <is>
          <t>H</t>
        </is>
      </c>
      <c r="G12" s="84" t="inlineStr">
        <is>
          <t>Works at C1: Ambiguous, cross-product problems</t>
        </is>
      </c>
      <c r="H12" s="84" t="inlineStr">
        <is>
          <t>Function-wide or company-wide problems; creates methods and standards</t>
        </is>
      </c>
      <c r="I12" s="84" t="inlineStr">
        <is>
          <t>Already works at D1: Competing strategic, financial and regulatory priorities</t>
        </is>
      </c>
      <c r="J12" s="34" t="inlineStr">
        <is>
          <t>M</t>
        </is>
      </c>
      <c r="K12" s="84" t="inlineStr">
        <is>
          <t>Works at C1: Sets direction for a sub-function or domain</t>
        </is>
      </c>
      <c r="L12" s="84" t="inlineStr">
        <is>
          <t>Sets direction for a function</t>
        </is>
      </c>
      <c r="M12" s="84" t="inlineStr">
        <is>
          <t>Already works at D1: Sets business-line direction, pricing and investment</t>
        </is>
      </c>
      <c r="N12" s="34" t="inlineStr">
        <is>
          <t>L</t>
        </is>
      </c>
      <c r="O12" s="84" t="inlineStr">
        <is>
          <t>Works at C1: Sub-function results or domain quality across products</t>
        </is>
      </c>
      <c r="P12" s="84" t="inlineStr">
        <is>
          <t>Function results, budget and risk</t>
        </is>
      </c>
      <c r="Q12" s="84" t="inlineStr">
        <is>
          <t>Already works at D1: Business-line P&amp;L and market position</t>
        </is>
      </c>
      <c r="R12" s="34" t="inlineStr">
        <is>
          <t>L</t>
        </is>
      </c>
      <c r="S12" s="56" t="inlineStr">
        <is>
          <t>Works at C1: Leads managers or a community of practice</t>
        </is>
      </c>
      <c r="T12" s="56" t="inlineStr">
        <is>
          <t>Leads a function; shapes functional strategy</t>
        </is>
      </c>
      <c r="U12" s="56" t="inlineStr">
        <is>
          <t>Already works at D1: Defines business strategy; builds the leadership bench</t>
        </is>
      </c>
      <c r="V12" s="34" t="inlineStr">
        <is>
          <t>M</t>
        </is>
      </c>
      <c r="W12" s="56" t="inlineStr">
        <is>
          <t>Works at C1: Changes results across a sub-function or across products</t>
        </is>
      </c>
      <c r="X12" s="56" t="inlineStr">
        <is>
          <t>Drives a function's or department's results and costs</t>
        </is>
      </c>
      <c r="Y12" s="56" t="inlineStr">
        <is>
          <t>Already works at D1: Owns a business line's P&amp;L and growth, or a company-wide function</t>
        </is>
      </c>
      <c r="Z12" s="34" t="inlineStr">
        <is>
          <t>L</t>
        </is>
      </c>
      <c r="AA12" s="85" t="inlineStr">
        <is>
          <t>Less experience than the band's typical 12–17 yrs</t>
        </is>
      </c>
      <c r="AB12" s="85" t="inlineStr">
        <is>
          <t>Typical for the band: 12–17 yrs · market — yrs</t>
        </is>
      </c>
      <c r="AC12" s="85" t="inlineStr">
        <is>
          <t>More experience than the band's typical 12–17 yrs</t>
        </is>
      </c>
      <c r="AD12" s="34" t="inlineStr">
        <is>
          <t>L</t>
        </is>
      </c>
      <c r="AE12" s="85" t="inlineStr">
        <is>
          <t>Below: Postgraduate / professional qualification preferred</t>
        </is>
      </c>
      <c r="AF12" s="85" t="inlineStr">
        <is>
          <t>Postgraduate / professional qualification preferred</t>
        </is>
      </c>
      <c r="AG12" s="85" t="inlineStr">
        <is>
          <t>Above: Postgraduate / professional qualification preferred</t>
        </is>
      </c>
      <c r="AH12" s="44" t="inlineStr">
        <is>
          <t>54.3 · 17.7 · 10.3 · 5 · 7.7 · 4 · 1</t>
        </is>
      </c>
      <c r="AI12" s="38" t="inlineStr">
        <is>
          <t>12–17 yrs</t>
        </is>
      </c>
      <c r="AJ12" s="38" t="inlineStr">
        <is>
          <t>5–8 managers / associate heads</t>
        </is>
      </c>
      <c r="AK12" s="38" t="inlineStr">
        <is>
          <t>P7 / M6 · SFIA 6 Initiate, influence</t>
        </is>
      </c>
      <c r="AL12"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3" ht="120" customHeight="1">
      <c r="A13" s="88" t="inlineStr">
        <is>
          <t>C1</t>
        </is>
      </c>
      <c r="B13" s="29" t="inlineStr">
        <is>
          <t>Band C · Principal / Head</t>
        </is>
      </c>
      <c r="C13" s="29" t="inlineStr">
        <is>
          <t>Band C · Head / manager</t>
        </is>
      </c>
      <c r="D13" s="29" t="inlineStr">
        <is>
          <t>Associate Head</t>
        </is>
      </c>
      <c r="E13" s="29" t="inlineStr">
        <is>
          <t>— no role at this level today</t>
        </is>
      </c>
      <c r="F13" s="34" t="inlineStr">
        <is>
          <t>H</t>
        </is>
      </c>
      <c r="G13" s="84" t="inlineStr">
        <is>
          <t>Works at B3: Sets standards for a practice; cross-team problems</t>
        </is>
      </c>
      <c r="H13" s="84" t="inlineStr">
        <is>
          <t>Ambiguous, cross-product problems</t>
        </is>
      </c>
      <c r="I13" s="84" t="inlineStr">
        <is>
          <t>Already works at C2: Function-wide or company-wide problems; creates methods and standards</t>
        </is>
      </c>
      <c r="J13" s="34" t="inlineStr">
        <is>
          <t>M</t>
        </is>
      </c>
      <c r="K13" s="84" t="inlineStr">
        <is>
          <t>Works at B3: Commercial / strategic calls for the unit</t>
        </is>
      </c>
      <c r="L13" s="84" t="inlineStr">
        <is>
          <t>Sets direction for a sub-function or domain</t>
        </is>
      </c>
      <c r="M13" s="84" t="inlineStr">
        <is>
          <t>Already works at C2: Sets direction for a function</t>
        </is>
      </c>
      <c r="N13" s="34" t="inlineStr">
        <is>
          <t>L</t>
        </is>
      </c>
      <c r="O13" s="84" t="inlineStr">
        <is>
          <t>Works at B3: Several teams or a practice</t>
        </is>
      </c>
      <c r="P13" s="84" t="inlineStr">
        <is>
          <t>Sub-function results or domain quality across products</t>
        </is>
      </c>
      <c r="Q13" s="84" t="inlineStr">
        <is>
          <t>Already works at C2: Function results, budget and risk</t>
        </is>
      </c>
      <c r="R13" s="34" t="inlineStr">
        <is>
          <t>M</t>
        </is>
      </c>
      <c r="S13" s="56" t="inlineStr">
        <is>
          <t>Works at B3: IC: leads a practice · People: team leads / managers report in</t>
        </is>
      </c>
      <c r="T13" s="56" t="inlineStr">
        <is>
          <t>Leads managers or a community of practice</t>
        </is>
      </c>
      <c r="U13" s="56" t="inlineStr">
        <is>
          <t>Already works at C2: Leads a function; shapes functional strategy</t>
        </is>
      </c>
      <c r="V13" s="34" t="inlineStr">
        <is>
          <t>M</t>
        </is>
      </c>
      <c r="W13" s="56" t="inlineStr">
        <is>
          <t>Works at B3: Shapes the results of a practice or several teams</t>
        </is>
      </c>
      <c r="X13" s="56" t="inlineStr">
        <is>
          <t>Changes results across a sub-function or across products</t>
        </is>
      </c>
      <c r="Y13" s="56" t="inlineStr">
        <is>
          <t>Already works at C2: Drives a function's or department's results and costs</t>
        </is>
      </c>
      <c r="Z13" s="34" t="inlineStr">
        <is>
          <t>L</t>
        </is>
      </c>
      <c r="AA13" s="85" t="inlineStr">
        <is>
          <t>Less experience than the band's typical 10–14 yrs</t>
        </is>
      </c>
      <c r="AB13" s="85" t="inlineStr">
        <is>
          <t>Typical for the band: 10–14 yrs · market 12–17 yrs</t>
        </is>
      </c>
      <c r="AC13" s="85" t="inlineStr">
        <is>
          <t>More experience than the band's typical 10–14 yrs</t>
        </is>
      </c>
      <c r="AD13" s="34" t="inlineStr">
        <is>
          <t>L</t>
        </is>
      </c>
      <c r="AE13" s="85" t="inlineStr">
        <is>
          <t>Below: Postgraduate or professional qualification preferred</t>
        </is>
      </c>
      <c r="AF13" s="85" t="inlineStr">
        <is>
          <t>Postgraduate / professional qualification preferred</t>
        </is>
      </c>
      <c r="AG13" s="85" t="inlineStr">
        <is>
          <t>Above: Postgraduate / professional qualification preferred</t>
        </is>
      </c>
      <c r="AH13" s="44" t="inlineStr">
        <is>
          <t>43.3 · 18 · 10.7 · 15 · 8 · 4 · 1</t>
        </is>
      </c>
      <c r="AI13" s="38" t="inlineStr">
        <is>
          <t>12–17</t>
        </is>
      </c>
      <c r="AJ13" s="38" t="inlineStr">
        <is>
          <t>5–8, mostly managers</t>
        </is>
      </c>
      <c r="AK13" s="38" t="inlineStr">
        <is>
          <t>P6 / M5 · SFIA 5–6</t>
        </is>
      </c>
      <c r="AL13"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4" ht="120" customHeight="1">
      <c r="A14" s="88" t="inlineStr">
        <is>
          <t>C1</t>
        </is>
      </c>
      <c r="B14" s="29" t="inlineStr">
        <is>
          <t>Band C · Principal / Head</t>
        </is>
      </c>
      <c r="C14" s="29" t="inlineStr">
        <is>
          <t>Band C · Principal specialist</t>
        </is>
      </c>
      <c r="D14" s="29" t="inlineStr">
        <is>
          <t>Principal</t>
        </is>
      </c>
      <c r="E14" s="29" t="inlineStr">
        <is>
          <t>— no role at this level today</t>
        </is>
      </c>
      <c r="F14" s="34" t="inlineStr">
        <is>
          <t>H</t>
        </is>
      </c>
      <c r="G14" s="84" t="inlineStr">
        <is>
          <t>Works at B3: Sets standards for a practice; cross-team problems</t>
        </is>
      </c>
      <c r="H14" s="84" t="inlineStr">
        <is>
          <t>Ambiguous, cross-product problems</t>
        </is>
      </c>
      <c r="I14" s="84" t="inlineStr">
        <is>
          <t>Already works at C2: Function-wide or company-wide problems; creates methods and standards</t>
        </is>
      </c>
      <c r="J14" s="34" t="inlineStr">
        <is>
          <t>M</t>
        </is>
      </c>
      <c r="K14" s="84" t="inlineStr">
        <is>
          <t>Works at B3: Commercial / strategic calls for the unit</t>
        </is>
      </c>
      <c r="L14" s="84" t="inlineStr">
        <is>
          <t>Sets direction for a sub-function or domain</t>
        </is>
      </c>
      <c r="M14" s="84" t="inlineStr">
        <is>
          <t>Already works at C2: Sets direction for a function</t>
        </is>
      </c>
      <c r="N14" s="34" t="inlineStr">
        <is>
          <t>L</t>
        </is>
      </c>
      <c r="O14" s="84" t="inlineStr">
        <is>
          <t>Works at B3: Several teams or a practice</t>
        </is>
      </c>
      <c r="P14" s="84" t="inlineStr">
        <is>
          <t>Sub-function results or domain quality across products</t>
        </is>
      </c>
      <c r="Q14" s="84" t="inlineStr">
        <is>
          <t>Already works at C2: Function results, budget and risk</t>
        </is>
      </c>
      <c r="R14" s="34" t="inlineStr">
        <is>
          <t>L</t>
        </is>
      </c>
      <c r="S14" s="56" t="inlineStr">
        <is>
          <t>Works at B3: IC: leads a practice · People: team leads / managers report in</t>
        </is>
      </c>
      <c r="T14" s="56" t="inlineStr">
        <is>
          <t>Leads managers or a community of practice</t>
        </is>
      </c>
      <c r="U14" s="56" t="inlineStr">
        <is>
          <t>Already works at C2: Leads a function; shapes functional strategy</t>
        </is>
      </c>
      <c r="V14" s="34" t="inlineStr">
        <is>
          <t>M</t>
        </is>
      </c>
      <c r="W14" s="56" t="inlineStr">
        <is>
          <t>Works at B3: Shapes the results of a practice or several teams</t>
        </is>
      </c>
      <c r="X14" s="56" t="inlineStr">
        <is>
          <t>Changes results across a sub-function or across products</t>
        </is>
      </c>
      <c r="Y14" s="56" t="inlineStr">
        <is>
          <t>Already works at C2: Drives a function's or department's results and costs</t>
        </is>
      </c>
      <c r="Z14" s="34" t="inlineStr">
        <is>
          <t>L</t>
        </is>
      </c>
      <c r="AA14" s="85" t="inlineStr">
        <is>
          <t>Less experience than the band's typical 10–14 yrs</t>
        </is>
      </c>
      <c r="AB14" s="85" t="inlineStr">
        <is>
          <t>Typical for the band: 10–14 yrs · market 12–17 yrs</t>
        </is>
      </c>
      <c r="AC14" s="85" t="inlineStr">
        <is>
          <t>More experience than the band's typical 10–14 yrs</t>
        </is>
      </c>
      <c r="AD14" s="34" t="inlineStr">
        <is>
          <t>L</t>
        </is>
      </c>
      <c r="AE14" s="85" t="inlineStr">
        <is>
          <t>Below: Postgraduate or professional qualification preferred</t>
        </is>
      </c>
      <c r="AF14" s="85" t="inlineStr">
        <is>
          <t>Postgraduate / professional qualification preferred</t>
        </is>
      </c>
      <c r="AG14" s="85" t="inlineStr">
        <is>
          <t>Above: Postgraduate / professional qualification preferred</t>
        </is>
      </c>
      <c r="AH14" s="44" t="inlineStr">
        <is>
          <t>54.3 · 17.7 · 10.3 · 5 · 7.7 · 4 · 1</t>
        </is>
      </c>
      <c r="AI14" s="38" t="inlineStr">
        <is>
          <t>12–17</t>
        </is>
      </c>
      <c r="AJ14" s="38" t="inlineStr">
        <is>
          <t>5–8, mostly managers</t>
        </is>
      </c>
      <c r="AK14" s="38" t="inlineStr">
        <is>
          <t>P6 / M5 · SFIA 5–6</t>
        </is>
      </c>
      <c r="AL14"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5" ht="120" customHeight="1">
      <c r="A15" s="89" t="inlineStr">
        <is>
          <t>B+</t>
        </is>
      </c>
      <c r="B15" s="29" t="inlineStr">
        <is>
          <t>B+ · Player-Coach</t>
        </is>
      </c>
      <c r="C15" s="29" t="inlineStr">
        <is>
          <t>B+ · Player-Coach</t>
        </is>
      </c>
      <c r="D15" s="29" t="inlineStr">
        <is>
          <t>Practice Lead · Player-Coach</t>
        </is>
      </c>
      <c r="E15" s="29" t="inlineStr">
        <is>
          <t>— no role at this level today</t>
        </is>
      </c>
      <c r="F15" s="34" t="inlineStr">
        <is>
          <t>H</t>
        </is>
      </c>
      <c r="G15" s="84" t="inlineStr">
        <is>
          <t>Works at B3: Sets standards for a practice; cross-team problems</t>
        </is>
      </c>
      <c r="H15" s="84" t="inlineStr">
        <is>
          <t>Principal-level problems in own domain; sets technical or quality standards and still builds</t>
        </is>
      </c>
      <c r="I15" s="84" t="inlineStr">
        <is>
          <t>Already works at C1: Ambiguous, cross-product problems</t>
        </is>
      </c>
      <c r="J15" s="34" t="inlineStr">
        <is>
          <t>M</t>
        </is>
      </c>
      <c r="K15" s="84" t="inlineStr">
        <is>
          <t>Works at B3: Commercial / strategic calls for the unit</t>
        </is>
      </c>
      <c r="L15" s="84" t="inlineStr">
        <is>
          <t>Decides approach and priorities for the practice; escalates only cross-function trade-offs</t>
        </is>
      </c>
      <c r="M15" s="84" t="inlineStr">
        <is>
          <t>Already works at C1: Sets direction for a sub-function or domain</t>
        </is>
      </c>
      <c r="N15" s="34" t="inlineStr">
        <is>
          <t>L</t>
        </is>
      </c>
      <c r="O15" s="84" t="inlineStr">
        <is>
          <t>Works at B3: Several teams or a practice</t>
        </is>
      </c>
      <c r="P15" s="84" t="inlineStr">
        <is>
          <t>Practice outcomes plus own deliverables; quality and delivery of the team</t>
        </is>
      </c>
      <c r="Q15" s="84" t="inlineStr">
        <is>
          <t>Already works at C1: Sub-function results or domain quality across products</t>
        </is>
      </c>
      <c r="R15" s="34" t="inlineStr">
        <is>
          <t>M</t>
        </is>
      </c>
      <c r="S15" s="56" t="inlineStr">
        <is>
          <t>Works at B3: IC: leads a practice · People: team leads / managers report in</t>
        </is>
      </c>
      <c r="T15" s="56" t="inlineStr">
        <is>
          <t>Leads 3–6 people · or a pod while remaining a hands-on expert; coaches, allocates, reviews</t>
        </is>
      </c>
      <c r="U15" s="56" t="inlineStr">
        <is>
          <t>Already works at C1: Leads managers or a community of practice</t>
        </is>
      </c>
      <c r="V15" s="34" t="inlineStr">
        <is>
          <t>M</t>
        </is>
      </c>
      <c r="W15" s="56" t="inlineStr">
        <is>
          <t>Works at B3: Shapes the results of a practice or several teams</t>
        </is>
      </c>
      <c r="X15" s="56" t="inlineStr">
        <is>
          <t>Drives a practice's results while delivering the hardest work</t>
        </is>
      </c>
      <c r="Y15" s="56" t="inlineStr">
        <is>
          <t>Already works at C1: Changes results across a sub-function or across products</t>
        </is>
      </c>
      <c r="Z15" s="34" t="inlineStr">
        <is>
          <t>L</t>
        </is>
      </c>
      <c r="AA15" s="85" t="inlineStr">
        <is>
          <t>Less experience than the band's typical 9–14 yrs</t>
        </is>
      </c>
      <c r="AB15" s="85" t="inlineStr">
        <is>
          <t>Typical for the band: 9–14 yrs · market 9–14 yrs</t>
        </is>
      </c>
      <c r="AC15" s="85" t="inlineStr">
        <is>
          <t>More experience than the band's typical 9–14 yrs</t>
        </is>
      </c>
      <c r="AD15" s="34" t="inlineStr">
        <is>
          <t>L</t>
        </is>
      </c>
      <c r="AE15" s="85" t="inlineStr">
        <is>
          <t>Below: Postgraduate or professional qualification preferred</t>
        </is>
      </c>
      <c r="AF15" s="85" t="inlineStr">
        <is>
          <t>Postgraduate or professional qualification preferred</t>
        </is>
      </c>
      <c r="AG15" s="85" t="inlineStr">
        <is>
          <t>Above: Postgraduate / professional qualification preferred</t>
        </is>
      </c>
      <c r="AH15" s="44" t="inlineStr">
        <is>
          <t>44 · 17.7 · 10.3 · 10 · 7.7 · 6 · 4</t>
        </is>
      </c>
      <c r="AI15" s="38" t="inlineStr">
        <is>
          <t>9–14</t>
        </is>
      </c>
      <c r="AJ15" s="38" t="inlineStr">
        <is>
          <t>3–6 direct reports with ≥ 40% of time on own delivery · McKinsey player/coach 3–5; Google Tech Lead Manager</t>
        </is>
      </c>
      <c r="AK15" s="38" t="inlineStr">
        <is>
          <t>P5–P6 / M4–M5 · SFIA 5 Ensure, advise</t>
        </is>
      </c>
      <c r="AL15"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6" ht="120" customHeight="1">
      <c r="A16" s="90" t="inlineStr">
        <is>
          <t>B3</t>
        </is>
      </c>
      <c r="B16" s="29" t="inlineStr">
        <is>
          <t>Band B · Specialist / Manager</t>
        </is>
      </c>
      <c r="C16" s="29" t="inlineStr">
        <is>
          <t>Band B · People Manager</t>
        </is>
      </c>
      <c r="D16" s="29" t="inlineStr">
        <is>
          <t>Senior Manager</t>
        </is>
      </c>
      <c r="E16" s="29" t="inlineStr">
        <is>
          <t>— no role at this level today</t>
        </is>
      </c>
      <c r="F16" s="34" t="inlineStr">
        <is>
          <t>H</t>
        </is>
      </c>
      <c r="G16" s="84" t="inlineStr">
        <is>
          <t>Works at B2: Hardest problems in the domain</t>
        </is>
      </c>
      <c r="H16" s="84" t="inlineStr">
        <is>
          <t>Sets standards for a practice; cross-team problems</t>
        </is>
      </c>
      <c r="I16" s="84" t="inlineStr">
        <is>
          <t>Already works at C1: Ambiguous, cross-product problems</t>
        </is>
      </c>
      <c r="J16" s="34" t="inlineStr">
        <is>
          <t>M</t>
        </is>
      </c>
      <c r="K16" s="84" t="inlineStr">
        <is>
          <t>Works at B2: Allocates people and sets team priorities</t>
        </is>
      </c>
      <c r="L16" s="84" t="inlineStr">
        <is>
          <t>Commercial / strategic calls for the unit</t>
        </is>
      </c>
      <c r="M16" s="84" t="inlineStr">
        <is>
          <t>Already works at C1: Sets direction for a sub-function or domain</t>
        </is>
      </c>
      <c r="N16" s="34" t="inlineStr">
        <is>
          <t>L</t>
        </is>
      </c>
      <c r="O16" s="84" t="inlineStr">
        <is>
          <t>Works at B2: One team or a client portfolio</t>
        </is>
      </c>
      <c r="P16" s="84" t="inlineStr">
        <is>
          <t>Several teams or a practice</t>
        </is>
      </c>
      <c r="Q16" s="84" t="inlineStr">
        <is>
          <t>Already works at C1: Sub-function results or domain quality across products</t>
        </is>
      </c>
      <c r="R16" s="34" t="inlineStr">
        <is>
          <t>M</t>
        </is>
      </c>
      <c r="S16" s="56" t="inlineStr">
        <is>
          <t>Works at B2: IC: guides others in the domain · People: manages a team of 6+</t>
        </is>
      </c>
      <c r="T16" s="56" t="inlineStr">
        <is>
          <t>IC: leads a practice · People: team leads / managers report in</t>
        </is>
      </c>
      <c r="U16" s="56" t="inlineStr">
        <is>
          <t>Already works at C1: Leads managers or a community of practice</t>
        </is>
      </c>
      <c r="V16" s="34" t="inlineStr">
        <is>
          <t>M</t>
        </is>
      </c>
      <c r="W16" s="56" t="inlineStr">
        <is>
          <t>Works at B2: Visible effect on a team's or client portfolio's revenue, quality or compliance</t>
        </is>
      </c>
      <c r="X16" s="56" t="inlineStr">
        <is>
          <t>Shapes the results of a practice or several teams</t>
        </is>
      </c>
      <c r="Y16" s="56" t="inlineStr">
        <is>
          <t>Already works at C1: Changes results across a sub-function or across products</t>
        </is>
      </c>
      <c r="Z16" s="34" t="inlineStr">
        <is>
          <t>L</t>
        </is>
      </c>
      <c r="AA16" s="85" t="inlineStr">
        <is>
          <t>Less experience than the band's typical 8–12 yrs</t>
        </is>
      </c>
      <c r="AB16" s="85" t="inlineStr">
        <is>
          <t>Typical for the band: 8–12 yrs · market 8–13 yrs</t>
        </is>
      </c>
      <c r="AC16" s="85" t="inlineStr">
        <is>
          <t>More experience than the band's typical 8–12 yrs</t>
        </is>
      </c>
      <c r="AD16" s="34" t="inlineStr">
        <is>
          <t>L</t>
        </is>
      </c>
      <c r="AE16" s="85" t="inlineStr">
        <is>
          <t>Below: Graduate or postgraduate; professional qualification preferred</t>
        </is>
      </c>
      <c r="AF16" s="85" t="inlineStr">
        <is>
          <t>Postgraduate or professional qualification preferred</t>
        </is>
      </c>
      <c r="AG16" s="85" t="inlineStr">
        <is>
          <t>Above: Postgraduate / professional qualification preferred</t>
        </is>
      </c>
      <c r="AH16" s="44" t="inlineStr">
        <is>
          <t>37 · 18.3 · 11.3 · 15 · 8.7 · 6 · 4</t>
        </is>
      </c>
      <c r="AI16" s="38" t="inlineStr">
        <is>
          <t>8–13</t>
        </is>
      </c>
      <c r="AJ16" s="38" t="inlineStr">
        <is>
          <t>IC: none · People: 5–8 incl. team leads</t>
        </is>
      </c>
      <c r="AK16" s="38" t="inlineStr">
        <is>
          <t>P5 / M4 · SFIA 5 Ensure, advise</t>
        </is>
      </c>
      <c r="AL16"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7" ht="120" customHeight="1">
      <c r="A17" s="90" t="inlineStr">
        <is>
          <t>B3</t>
        </is>
      </c>
      <c r="B17" s="29" t="inlineStr">
        <is>
          <t>Band B · Specialist / Manager</t>
        </is>
      </c>
      <c r="C17" s="29" t="inlineStr">
        <is>
          <t>Band B · Specialist / POD Lead</t>
        </is>
      </c>
      <c r="D17" s="29" t="inlineStr">
        <is>
          <t>Lead Specialist</t>
        </is>
      </c>
      <c r="E17" s="29" t="inlineStr">
        <is>
          <t>— no role at this level today</t>
        </is>
      </c>
      <c r="F17" s="34" t="inlineStr">
        <is>
          <t>H</t>
        </is>
      </c>
      <c r="G17" s="84" t="inlineStr">
        <is>
          <t>Works at B2: Hardest problems in the domain</t>
        </is>
      </c>
      <c r="H17" s="84" t="inlineStr">
        <is>
          <t>Sets standards for a practice; cross-team problems</t>
        </is>
      </c>
      <c r="I17" s="84" t="inlineStr">
        <is>
          <t>Already works at C1: Ambiguous, cross-product problems</t>
        </is>
      </c>
      <c r="J17" s="34" t="inlineStr">
        <is>
          <t>M</t>
        </is>
      </c>
      <c r="K17" s="84" t="inlineStr">
        <is>
          <t>Works at B2: Allocates people and sets team priorities</t>
        </is>
      </c>
      <c r="L17" s="84" t="inlineStr">
        <is>
          <t>Commercial / strategic calls for the unit</t>
        </is>
      </c>
      <c r="M17" s="84" t="inlineStr">
        <is>
          <t>Already works at C1: Sets direction for a sub-function or domain</t>
        </is>
      </c>
      <c r="N17" s="34" t="inlineStr">
        <is>
          <t>L</t>
        </is>
      </c>
      <c r="O17" s="84" t="inlineStr">
        <is>
          <t>Works at B2: One team or a client portfolio</t>
        </is>
      </c>
      <c r="P17" s="84" t="inlineStr">
        <is>
          <t>Several teams or a practice</t>
        </is>
      </c>
      <c r="Q17" s="84" t="inlineStr">
        <is>
          <t>Already works at C1: Sub-function results or domain quality across products</t>
        </is>
      </c>
      <c r="R17" s="34" t="inlineStr">
        <is>
          <t>L</t>
        </is>
      </c>
      <c r="S17" s="56" t="inlineStr">
        <is>
          <t>Works at B2: IC: guides others in the domain · People: manages a team of 6+</t>
        </is>
      </c>
      <c r="T17" s="56" t="inlineStr">
        <is>
          <t>IC: leads a practice · People: team leads / managers report in</t>
        </is>
      </c>
      <c r="U17" s="56" t="inlineStr">
        <is>
          <t>Already works at C1: Leads managers or a community of practice</t>
        </is>
      </c>
      <c r="V17" s="34" t="inlineStr">
        <is>
          <t>M</t>
        </is>
      </c>
      <c r="W17" s="56" t="inlineStr">
        <is>
          <t>Works at B2: Visible effect on a team's or client portfolio's revenue, quality or compliance</t>
        </is>
      </c>
      <c r="X17" s="56" t="inlineStr">
        <is>
          <t>Shapes the results of a practice or several teams</t>
        </is>
      </c>
      <c r="Y17" s="56" t="inlineStr">
        <is>
          <t>Already works at C1: Changes results across a sub-function or across products</t>
        </is>
      </c>
      <c r="Z17" s="34" t="inlineStr">
        <is>
          <t>L</t>
        </is>
      </c>
      <c r="AA17" s="85" t="inlineStr">
        <is>
          <t>Less experience than the band's typical 8–12 yrs</t>
        </is>
      </c>
      <c r="AB17" s="85" t="inlineStr">
        <is>
          <t>Typical for the band: 8–12 yrs · market 8–13 yrs</t>
        </is>
      </c>
      <c r="AC17" s="85" t="inlineStr">
        <is>
          <t>More experience than the band's typical 8–12 yrs</t>
        </is>
      </c>
      <c r="AD17" s="34" t="inlineStr">
        <is>
          <t>L</t>
        </is>
      </c>
      <c r="AE17" s="85" t="inlineStr">
        <is>
          <t>Below: Graduate or postgraduate; professional qualification preferred</t>
        </is>
      </c>
      <c r="AF17" s="85" t="inlineStr">
        <is>
          <t>Postgraduate or professional qualification preferred</t>
        </is>
      </c>
      <c r="AG17" s="85" t="inlineStr">
        <is>
          <t>Above: Postgraduate / professional qualification preferred</t>
        </is>
      </c>
      <c r="AH17" s="44" t="inlineStr">
        <is>
          <t>51.3 · 17.3 · 9.7 · 5 · 7 · 6 · 4</t>
        </is>
      </c>
      <c r="AI17" s="38" t="inlineStr">
        <is>
          <t>8–13</t>
        </is>
      </c>
      <c r="AJ17" s="38" t="inlineStr">
        <is>
          <t>IC: none · People: 5–8 incl. team leads</t>
        </is>
      </c>
      <c r="AK17" s="38" t="inlineStr">
        <is>
          <t>P5 / M4 · SFIA 5 Ensure, advise</t>
        </is>
      </c>
      <c r="AL17"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8" ht="120" customHeight="1">
      <c r="A18" s="90" t="inlineStr">
        <is>
          <t>B2</t>
        </is>
      </c>
      <c r="B18" s="29" t="inlineStr">
        <is>
          <t>Band B · Specialist / Manager</t>
        </is>
      </c>
      <c r="C18" s="29" t="inlineStr">
        <is>
          <t>Band B · People Manager</t>
        </is>
      </c>
      <c r="D18" s="29" t="inlineStr">
        <is>
          <t>Manager</t>
        </is>
      </c>
      <c r="E18" s="29" t="inlineStr">
        <is>
          <t>— no role at this level today</t>
        </is>
      </c>
      <c r="F18" s="34" t="inlineStr">
        <is>
          <t>H</t>
        </is>
      </c>
      <c r="G18" s="84" t="inlineStr">
        <is>
          <t>Works at B1: Domain specialist work</t>
        </is>
      </c>
      <c r="H18" s="84" t="inlineStr">
        <is>
          <t>Hardest problems in the domain</t>
        </is>
      </c>
      <c r="I18" s="84" t="inlineStr">
        <is>
          <t>Already works at B3: Sets standards for a practice; cross-team problems</t>
        </is>
      </c>
      <c r="J18" s="34" t="inlineStr">
        <is>
          <t>M</t>
        </is>
      </c>
      <c r="K18" s="84" t="inlineStr">
        <is>
          <t>Works at B1: Technical / QC / client calls for the domain</t>
        </is>
      </c>
      <c r="L18" s="84" t="inlineStr">
        <is>
          <t>Allocates people and sets team priorities</t>
        </is>
      </c>
      <c r="M18" s="84" t="inlineStr">
        <is>
          <t>Already works at B3: Commercial / strategic calls for the unit</t>
        </is>
      </c>
      <c r="N18" s="34" t="inlineStr">
        <is>
          <t>L</t>
        </is>
      </c>
      <c r="O18" s="84" t="inlineStr">
        <is>
          <t>Works at B1: A domain or a small team</t>
        </is>
      </c>
      <c r="P18" s="84" t="inlineStr">
        <is>
          <t>One team or a client portfolio</t>
        </is>
      </c>
      <c r="Q18" s="84" t="inlineStr">
        <is>
          <t>Already works at B3: Several teams or a practice</t>
        </is>
      </c>
      <c r="R18" s="34" t="inlineStr">
        <is>
          <t>M</t>
        </is>
      </c>
      <c r="S18" s="56" t="inlineStr">
        <is>
          <t>Works at B1: IC: mentors and reviews · People: hands-on team lead of 3–5</t>
        </is>
      </c>
      <c r="T18" s="56" t="inlineStr">
        <is>
          <t>IC: guides others in the domain · People: manages a team of 6+</t>
        </is>
      </c>
      <c r="U18" s="56" t="inlineStr">
        <is>
          <t>Already works at B3: IC: leads a practice · People: team leads / managers report in</t>
        </is>
      </c>
      <c r="V18" s="34" t="inlineStr">
        <is>
          <t>M</t>
        </is>
      </c>
      <c r="W18" s="56" t="inlineStr">
        <is>
          <t>Works at B1: Moves a module's, product area's or client account's results</t>
        </is>
      </c>
      <c r="X18" s="56" t="inlineStr">
        <is>
          <t>Visible effect on a team's or client portfolio's revenue, quality or compliance</t>
        </is>
      </c>
      <c r="Y18" s="56" t="inlineStr">
        <is>
          <t>Already works at B3: Shapes the results of a practice or several teams</t>
        </is>
      </c>
      <c r="Z18" s="34" t="inlineStr">
        <is>
          <t>L</t>
        </is>
      </c>
      <c r="AA18" s="85" t="inlineStr">
        <is>
          <t>Less experience than the band's typical 6–9 yrs</t>
        </is>
      </c>
      <c r="AB18" s="85" t="inlineStr">
        <is>
          <t>Typical for the band: 6–9 yrs · market 6–10 yrs</t>
        </is>
      </c>
      <c r="AC18" s="85" t="inlineStr">
        <is>
          <t>More experience than the band's typical 6–9 yrs</t>
        </is>
      </c>
      <c r="AD18" s="34" t="inlineStr">
        <is>
          <t>L</t>
        </is>
      </c>
      <c r="AE18" s="85" t="inlineStr">
        <is>
          <t>Below: Graduate + relevant qualification or certification preferred</t>
        </is>
      </c>
      <c r="AF18" s="85" t="inlineStr">
        <is>
          <t>Graduate or postgraduate; professional qualification preferred</t>
        </is>
      </c>
      <c r="AG18" s="85" t="inlineStr">
        <is>
          <t>Above: Postgraduate or professional qualification preferred</t>
        </is>
      </c>
      <c r="AH18" s="44" t="inlineStr">
        <is>
          <t>37 · 18.3 · 11.3 · 15 · 8.7 · 6 · 4</t>
        </is>
      </c>
      <c r="AI18" s="38" t="inlineStr">
        <is>
          <t>6–10</t>
        </is>
      </c>
      <c r="AJ18" s="38" t="inlineStr">
        <is>
          <t>IC: none · People: 6–8 knowledge work, 8–12 standardised delivery</t>
        </is>
      </c>
      <c r="AK18" s="38" t="inlineStr">
        <is>
          <t>P4 / M3 · SFIA 4–5</t>
        </is>
      </c>
      <c r="AL18"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9" ht="120" customHeight="1">
      <c r="A19" s="90" t="inlineStr">
        <is>
          <t>B2</t>
        </is>
      </c>
      <c r="B19" s="29" t="inlineStr">
        <is>
          <t>Band B · Specialist / Manager</t>
        </is>
      </c>
      <c r="C19" s="29" t="inlineStr">
        <is>
          <t>Band B · Specialist / POD Lead</t>
        </is>
      </c>
      <c r="D19" s="29" t="inlineStr">
        <is>
          <t>Senior Specialist</t>
        </is>
      </c>
      <c r="E19" s="29" t="inlineStr">
        <is>
          <t>— no role at this level today</t>
        </is>
      </c>
      <c r="F19" s="34" t="inlineStr">
        <is>
          <t>H</t>
        </is>
      </c>
      <c r="G19" s="84" t="inlineStr">
        <is>
          <t>Works at B1: Domain specialist work</t>
        </is>
      </c>
      <c r="H19" s="84" t="inlineStr">
        <is>
          <t>Hardest problems in the domain</t>
        </is>
      </c>
      <c r="I19" s="84" t="inlineStr">
        <is>
          <t>Already works at B3: Sets standards for a practice; cross-team problems</t>
        </is>
      </c>
      <c r="J19" s="34" t="inlineStr">
        <is>
          <t>M</t>
        </is>
      </c>
      <c r="K19" s="84" t="inlineStr">
        <is>
          <t>Works at B1: Technical / QC / client calls for the domain</t>
        </is>
      </c>
      <c r="L19" s="84" t="inlineStr">
        <is>
          <t>Allocates people and sets team priorities</t>
        </is>
      </c>
      <c r="M19" s="84" t="inlineStr">
        <is>
          <t>Already works at B3: Commercial / strategic calls for the unit</t>
        </is>
      </c>
      <c r="N19" s="34" t="inlineStr">
        <is>
          <t>L</t>
        </is>
      </c>
      <c r="O19" s="84" t="inlineStr">
        <is>
          <t>Works at B1: A domain or a small team</t>
        </is>
      </c>
      <c r="P19" s="84" t="inlineStr">
        <is>
          <t>One team or a client portfolio</t>
        </is>
      </c>
      <c r="Q19" s="84" t="inlineStr">
        <is>
          <t>Already works at B3: Several teams or a practice</t>
        </is>
      </c>
      <c r="R19" s="34" t="inlineStr">
        <is>
          <t>L</t>
        </is>
      </c>
      <c r="S19" s="56" t="inlineStr">
        <is>
          <t>Works at B1: IC: mentors and reviews · People: hands-on team lead of 3–5</t>
        </is>
      </c>
      <c r="T19" s="56" t="inlineStr">
        <is>
          <t>IC: guides others in the domain · People: manages a team of 6+</t>
        </is>
      </c>
      <c r="U19" s="56" t="inlineStr">
        <is>
          <t>Already works at B3: IC: leads a practice · People: team leads / managers report in</t>
        </is>
      </c>
      <c r="V19" s="34" t="inlineStr">
        <is>
          <t>M</t>
        </is>
      </c>
      <c r="W19" s="56" t="inlineStr">
        <is>
          <t>Works at B1: Moves a module's, product area's or client account's results</t>
        </is>
      </c>
      <c r="X19" s="56" t="inlineStr">
        <is>
          <t>Visible effect on a team's or client portfolio's revenue, quality or compliance</t>
        </is>
      </c>
      <c r="Y19" s="56" t="inlineStr">
        <is>
          <t>Already works at B3: Shapes the results of a practice or several teams</t>
        </is>
      </c>
      <c r="Z19" s="34" t="inlineStr">
        <is>
          <t>L</t>
        </is>
      </c>
      <c r="AA19" s="85" t="inlineStr">
        <is>
          <t>Less experience than the band's typical 6–9 yrs</t>
        </is>
      </c>
      <c r="AB19" s="85" t="inlineStr">
        <is>
          <t>Typical for the band: 6–9 yrs · market 6–10 yrs</t>
        </is>
      </c>
      <c r="AC19" s="85" t="inlineStr">
        <is>
          <t>More experience than the band's typical 6–9 yrs</t>
        </is>
      </c>
      <c r="AD19" s="34" t="inlineStr">
        <is>
          <t>L</t>
        </is>
      </c>
      <c r="AE19" s="85" t="inlineStr">
        <is>
          <t>Below: Graduate + relevant qualification or certification preferred</t>
        </is>
      </c>
      <c r="AF19" s="85" t="inlineStr">
        <is>
          <t>Graduate or postgraduate; professional qualification preferred</t>
        </is>
      </c>
      <c r="AG19" s="85" t="inlineStr">
        <is>
          <t>Above: Postgraduate or professional qualification preferred</t>
        </is>
      </c>
      <c r="AH19" s="44" t="inlineStr">
        <is>
          <t>51.3 · 17.3 · 9.7 · 5 · 7 · 6 · 4</t>
        </is>
      </c>
      <c r="AI19" s="38" t="inlineStr">
        <is>
          <t>6–10</t>
        </is>
      </c>
      <c r="AJ19" s="38" t="inlineStr">
        <is>
          <t>IC: none · People: 6–8 knowledge work, 8–12 standardised delivery</t>
        </is>
      </c>
      <c r="AK19" s="38" t="inlineStr">
        <is>
          <t>P4 / M3 · SFIA 4–5</t>
        </is>
      </c>
      <c r="AL19"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0" ht="120" customHeight="1">
      <c r="A20" s="90" t="inlineStr">
        <is>
          <t>B1</t>
        </is>
      </c>
      <c r="B20" s="29" t="inlineStr">
        <is>
          <t>Band B · Specialist / Manager</t>
        </is>
      </c>
      <c r="C20" s="29" t="inlineStr">
        <is>
          <t>Band B · People Manager</t>
        </is>
      </c>
      <c r="D20" s="29" t="inlineStr">
        <is>
          <t>Team Lead / Asst Manager</t>
        </is>
      </c>
      <c r="E20" s="29" t="inlineStr">
        <is>
          <t>Brand, Graphic &amp; Video Design · Design Specialist – POD Lead</t>
        </is>
      </c>
      <c r="F20" s="34" t="inlineStr">
        <is>
          <t>H</t>
        </is>
      </c>
      <c r="G20" s="84" t="inlineStr">
        <is>
          <t>Works at A3: Varied and non-standard work; handles exceptions</t>
        </is>
      </c>
      <c r="H20" s="84" t="inlineStr">
        <is>
          <t>Domain specialist work · in Design &amp; Creative: Graphic design</t>
        </is>
      </c>
      <c r="I20" s="84" t="inlineStr">
        <is>
          <t>Already works at B2: Hardest problems in the domain</t>
        </is>
      </c>
      <c r="J20" s="34" t="inlineStr">
        <is>
          <t>M</t>
        </is>
      </c>
      <c r="K20" s="84" t="inlineStr">
        <is>
          <t>Works at A3: Technical / QC / client calls on own work</t>
        </is>
      </c>
      <c r="L20" s="84" t="inlineStr">
        <is>
          <t>Technical / QC / client calls for the domain</t>
        </is>
      </c>
      <c r="M20" s="84" t="inlineStr">
        <is>
          <t>Already works at B2: Allocates people and sets team priorities</t>
        </is>
      </c>
      <c r="N20" s="34" t="inlineStr">
        <is>
          <t>L</t>
        </is>
      </c>
      <c r="O20" s="84" t="inlineStr">
        <is>
          <t>Works at A3: A module / process, or work with client or regulatory consequences</t>
        </is>
      </c>
      <c r="P20" s="84" t="inlineStr">
        <is>
          <t>A domain or a small team</t>
        </is>
      </c>
      <c r="Q20" s="84" t="inlineStr">
        <is>
          <t>Already works at B2: One team or a client portfolio</t>
        </is>
      </c>
      <c r="R20" s="34" t="inlineStr">
        <is>
          <t>M</t>
        </is>
      </c>
      <c r="S20" s="56" t="inlineStr">
        <is>
          <t>Works at A3: contributes alone; guides others only informally</t>
        </is>
      </c>
      <c r="T20" s="56" t="inlineStr">
        <is>
          <t>IC: mentors and reviews · People: hands-on team lead of 3–5</t>
        </is>
      </c>
      <c r="U20" s="56" t="inlineStr">
        <is>
          <t>Already works at B2: IC: guides others in the domain · People: manages a team of 6+</t>
        </is>
      </c>
      <c r="V20" s="34" t="inlineStr">
        <is>
          <t>M</t>
        </is>
      </c>
      <c r="W20" s="56" t="inlineStr">
        <is>
          <t>Works at A3: A process or client deliverable depends on this work</t>
        </is>
      </c>
      <c r="X20" s="56" t="inlineStr">
        <is>
          <t>Moves a module's, product area's or client account's results · purpose: Creates brand assets, creatives, decks, motion graphics and video. At B1: a domain / module, or a small team.
Common themes in sub-family holders, all levels' …</t>
        </is>
      </c>
      <c r="Y20" s="56" t="inlineStr">
        <is>
          <t>Already works at B2: Visible effect on a team's or client portfolio's revenue, quality or compliance</t>
        </is>
      </c>
      <c r="Z20" s="34" t="inlineStr">
        <is>
          <t>L</t>
        </is>
      </c>
      <c r="AA20" s="85" t="inlineStr">
        <is>
          <t>Less experience than the band's typical 4–7 yrs</t>
        </is>
      </c>
      <c r="AB20" s="85" t="inlineStr">
        <is>
          <t>Typical for the band: 4–7 yrs · market 4–8 yrs</t>
        </is>
      </c>
      <c r="AC20" s="85" t="inlineStr">
        <is>
          <t>More experience than the band's typical 4–7 yrs</t>
        </is>
      </c>
      <c r="AD20" s="34" t="inlineStr">
        <is>
          <t>L</t>
        </is>
      </c>
      <c r="AE20" s="85" t="inlineStr">
        <is>
          <t>Below: Graduate; relevant certification preferred</t>
        </is>
      </c>
      <c r="AF20" s="85" t="inlineStr">
        <is>
          <t>Graduate + relevant qualification or certification preferred</t>
        </is>
      </c>
      <c r="AG20" s="85" t="inlineStr">
        <is>
          <t>Above: Graduate or postgraduate; professional qualification preferred</t>
        </is>
      </c>
      <c r="AH20" s="44" t="inlineStr">
        <is>
          <t>37 · 18.3 · 11.3 · 15 · 8.7 · 6 · 4</t>
        </is>
      </c>
      <c r="AI20" s="38" t="inlineStr">
        <is>
          <t>4–8</t>
        </is>
      </c>
      <c r="AJ20" s="38" t="inlineStr">
        <is>
          <t>IC: none · Team Lead: 3–5</t>
        </is>
      </c>
      <c r="AK20" s="38" t="inlineStr">
        <is>
          <t>P3 / M2 · SFIA 4 Enable</t>
        </is>
      </c>
      <c r="AL20"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1" ht="120" customHeight="1">
      <c r="A21" s="90" t="inlineStr">
        <is>
          <t>B1</t>
        </is>
      </c>
      <c r="B21" s="29" t="inlineStr">
        <is>
          <t>Band B · Specialist / Manager</t>
        </is>
      </c>
      <c r="C21" s="29" t="inlineStr">
        <is>
          <t>Band B · Specialist / POD Lead</t>
        </is>
      </c>
      <c r="D21" s="29" t="inlineStr">
        <is>
          <t>Specialist</t>
        </is>
      </c>
      <c r="E21" s="29" t="inlineStr">
        <is>
          <t>Brand, Graphic &amp; Video Design · Design Specialist – POD Lead</t>
        </is>
      </c>
      <c r="F21" s="34" t="inlineStr">
        <is>
          <t>H</t>
        </is>
      </c>
      <c r="G21" s="84" t="inlineStr">
        <is>
          <t>Works at A3: Varied and non-standard work; handles exceptions</t>
        </is>
      </c>
      <c r="H21" s="84" t="inlineStr">
        <is>
          <t>Domain specialist work · in Design &amp; Creative: Graphic design</t>
        </is>
      </c>
      <c r="I21" s="84" t="inlineStr">
        <is>
          <t>Already works at B2: Hardest problems in the domain</t>
        </is>
      </c>
      <c r="J21" s="34" t="inlineStr">
        <is>
          <t>M</t>
        </is>
      </c>
      <c r="K21" s="84" t="inlineStr">
        <is>
          <t>Works at A3: Technical / QC / client calls on own work</t>
        </is>
      </c>
      <c r="L21" s="84" t="inlineStr">
        <is>
          <t>Technical / QC / client calls for the domain</t>
        </is>
      </c>
      <c r="M21" s="84" t="inlineStr">
        <is>
          <t>Already works at B2: Allocates people and sets team priorities</t>
        </is>
      </c>
      <c r="N21" s="34" t="inlineStr">
        <is>
          <t>L</t>
        </is>
      </c>
      <c r="O21" s="84" t="inlineStr">
        <is>
          <t>Works at A3: A module / process, or work with client or regulatory consequences</t>
        </is>
      </c>
      <c r="P21" s="84" t="inlineStr">
        <is>
          <t>A domain or a small team</t>
        </is>
      </c>
      <c r="Q21" s="84" t="inlineStr">
        <is>
          <t>Already works at B2: One team or a client portfolio</t>
        </is>
      </c>
      <c r="R21" s="34" t="inlineStr">
        <is>
          <t>L</t>
        </is>
      </c>
      <c r="S21" s="56" t="inlineStr">
        <is>
          <t>Works at A3: contributes alone; guides others only informally</t>
        </is>
      </c>
      <c r="T21" s="56" t="inlineStr">
        <is>
          <t>IC: mentors and reviews · People: hands-on team lead of 3–5</t>
        </is>
      </c>
      <c r="U21" s="56" t="inlineStr">
        <is>
          <t>Already works at B2: IC: guides others in the domain · People: manages a team of 6+</t>
        </is>
      </c>
      <c r="V21" s="34" t="inlineStr">
        <is>
          <t>M</t>
        </is>
      </c>
      <c r="W21" s="56" t="inlineStr">
        <is>
          <t>Works at A3: A process or client deliverable depends on this work</t>
        </is>
      </c>
      <c r="X21" s="56" t="inlineStr">
        <is>
          <t>Moves a module's, product area's or client account's results · purpose: Creates brand assets, creatives, decks, motion graphics and video. At B1: a domain / module, or a small team.
Common themes in sub-family holders, all levels' …</t>
        </is>
      </c>
      <c r="Y21" s="56" t="inlineStr">
        <is>
          <t>Already works at B2: Visible effect on a team's or client portfolio's revenue, quality or compliance</t>
        </is>
      </c>
      <c r="Z21" s="34" t="inlineStr">
        <is>
          <t>L</t>
        </is>
      </c>
      <c r="AA21" s="85" t="inlineStr">
        <is>
          <t>Less experience than the band's typical 4–7 yrs</t>
        </is>
      </c>
      <c r="AB21" s="85" t="inlineStr">
        <is>
          <t>Typical for the band: 4–7 yrs · market 4–8 yrs</t>
        </is>
      </c>
      <c r="AC21" s="85" t="inlineStr">
        <is>
          <t>More experience than the band's typical 4–7 yrs</t>
        </is>
      </c>
      <c r="AD21" s="34" t="inlineStr">
        <is>
          <t>L</t>
        </is>
      </c>
      <c r="AE21" s="85" t="inlineStr">
        <is>
          <t>Below: Graduate; relevant certification preferred</t>
        </is>
      </c>
      <c r="AF21" s="85" t="inlineStr">
        <is>
          <t>Graduate + relevant qualification or certification preferred</t>
        </is>
      </c>
      <c r="AG21" s="85" t="inlineStr">
        <is>
          <t>Above: Graduate or postgraduate; professional qualification preferred</t>
        </is>
      </c>
      <c r="AH21" s="44" t="inlineStr">
        <is>
          <t>51.3 · 17.3 · 9.7 · 5 · 7 · 6 · 4</t>
        </is>
      </c>
      <c r="AI21" s="38" t="inlineStr">
        <is>
          <t>4–8</t>
        </is>
      </c>
      <c r="AJ21" s="38" t="inlineStr">
        <is>
          <t>IC: none · Team Lead: 3–5</t>
        </is>
      </c>
      <c r="AK21" s="38" t="inlineStr">
        <is>
          <t>P3 / M2 · SFIA 4 Enable</t>
        </is>
      </c>
      <c r="AL21"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2" ht="120" customHeight="1">
      <c r="A22" s="91" t="inlineStr">
        <is>
          <t>A3</t>
        </is>
      </c>
      <c r="B22" s="29" t="inlineStr">
        <is>
          <t>Band A · Practitioner</t>
        </is>
      </c>
      <c r="C22" s="29" t="inlineStr">
        <is>
          <t>Band A · all tracks</t>
        </is>
      </c>
      <c r="D22" s="29" t="inlineStr">
        <is>
          <t>Senior Associate</t>
        </is>
      </c>
      <c r="E22" s="29" t="inlineStr">
        <is>
          <t>Brand, Graphic &amp; Video Design · Senior Designer
UX / UI Design · Senior Product Designer</t>
        </is>
      </c>
      <c r="F22" s="34" t="inlineStr">
        <is>
          <t>H</t>
        </is>
      </c>
      <c r="G22" s="84" t="inlineStr">
        <is>
          <t>Works at A2: Standard work of the discipline</t>
        </is>
      </c>
      <c r="H22" s="84" t="inlineStr">
        <is>
          <t>Varied and non-standard work; handles exceptions · in Design &amp; Creative: Graphic design</t>
        </is>
      </c>
      <c r="I22" s="84" t="inlineStr">
        <is>
          <t>Already works at B1: Domain specialist work</t>
        </is>
      </c>
      <c r="J22" s="34" t="inlineStr">
        <is>
          <t>M</t>
        </is>
      </c>
      <c r="K22" s="84" t="inlineStr">
        <is>
          <t>Works at A2: Chooses own approach within standards</t>
        </is>
      </c>
      <c r="L22" s="84" t="inlineStr">
        <is>
          <t>Technical / QC / client calls on own work</t>
        </is>
      </c>
      <c r="M22" s="84" t="inlineStr">
        <is>
          <t>Already works at B1: Technical / QC / client calls for the domain</t>
        </is>
      </c>
      <c r="N22" s="34" t="inlineStr">
        <is>
          <t>L</t>
        </is>
      </c>
      <c r="O22" s="84" t="inlineStr">
        <is>
          <t>Works at A2: Own deliverables · accuracy, TAT</t>
        </is>
      </c>
      <c r="P22" s="84" t="inlineStr">
        <is>
          <t>A module / process, or work with client or regulatory consequences</t>
        </is>
      </c>
      <c r="Q22" s="84" t="inlineStr">
        <is>
          <t>Already works at B1: A domain or a small team</t>
        </is>
      </c>
      <c r="R22" s="34" t="inlineStr">
        <is>
          <t>L</t>
        </is>
      </c>
      <c r="S22" s="56" t="inlineStr">
        <is>
          <t>Works at A2: contributes alone; guides others only informally</t>
        </is>
      </c>
      <c r="T22" s="56" t="inlineStr">
        <is>
          <t>Helps peers and newer people informally · None · guides 1–3 juniors informally</t>
        </is>
      </c>
      <c r="U22" s="56" t="inlineStr">
        <is>
          <t>Already works at B1: IC: mentors and reviews · People: hands-on team lead of 3–5</t>
        </is>
      </c>
      <c r="V22" s="34" t="inlineStr">
        <is>
          <t>M</t>
        </is>
      </c>
      <c r="W22" s="56" t="inlineStr">
        <is>
          <t>Works at A2: Own deliverables feed a team's output and turnaround</t>
        </is>
      </c>
      <c r="X22" s="56" t="inlineStr">
        <is>
          <t>A process or client deliverable depends on this work · purpose: Creates brand assets, creatives, decks, motion graphics and video. At A3: varied work; reviews juniors; go-to for a process.
Common themes in sub-family …</t>
        </is>
      </c>
      <c r="Y22" s="56" t="inlineStr">
        <is>
          <t>Already works at B1: Moves a module's, product area's or client account's results</t>
        </is>
      </c>
      <c r="Z22" s="34" t="inlineStr">
        <is>
          <t>L</t>
        </is>
      </c>
      <c r="AA22" s="85" t="inlineStr">
        <is>
          <t>Less experience than the band's typical 2–4 yrs</t>
        </is>
      </c>
      <c r="AB22" s="85" t="inlineStr">
        <is>
          <t>Typical for the band: 2–4 yrs · market 2–5 yrs</t>
        </is>
      </c>
      <c r="AC22" s="85" t="inlineStr">
        <is>
          <t>More experience than the band's typical 2–4 yrs</t>
        </is>
      </c>
      <c r="AD22" s="34" t="inlineStr">
        <is>
          <t>L</t>
        </is>
      </c>
      <c r="AE22" s="85" t="inlineStr">
        <is>
          <t>Below: Graduate · or diploma with experience</t>
        </is>
      </c>
      <c r="AF22" s="85" t="inlineStr">
        <is>
          <t>Graduate; relevant certification preferred</t>
        </is>
      </c>
      <c r="AG22" s="85" t="inlineStr">
        <is>
          <t>Above: Graduate + relevant qualification or certification preferred</t>
        </is>
      </c>
      <c r="AH22" s="44" t="inlineStr">
        <is>
          <t>58.3 · 16 · 9 · 0 · 6.3 · 6 · 4</t>
        </is>
      </c>
      <c r="AI22" s="38" t="inlineStr">
        <is>
          <t>2–5</t>
        </is>
      </c>
      <c r="AJ22" s="38" t="inlineStr">
        <is>
          <t>None · guides 1–3 juniors informally</t>
        </is>
      </c>
      <c r="AK22" s="38" t="inlineStr">
        <is>
          <t>P2 · SFIA 3 Apply</t>
        </is>
      </c>
      <c r="AL22"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3" ht="120" customHeight="1">
      <c r="A23" s="91" t="inlineStr">
        <is>
          <t>A2</t>
        </is>
      </c>
      <c r="B23" s="29" t="inlineStr">
        <is>
          <t>Band A · Practitioner</t>
        </is>
      </c>
      <c r="C23" s="29" t="inlineStr">
        <is>
          <t>Band A · all tracks</t>
        </is>
      </c>
      <c r="D23" s="29" t="inlineStr">
        <is>
          <t>Associate</t>
        </is>
      </c>
      <c r="E23" s="29" t="inlineStr">
        <is>
          <t>Brand, Graphic &amp; Video Design · Designer</t>
        </is>
      </c>
      <c r="F23" s="34" t="inlineStr">
        <is>
          <t>H</t>
        </is>
      </c>
      <c r="G23" s="84" t="inlineStr">
        <is>
          <t>Works at A1: Learning; follows worked examples</t>
        </is>
      </c>
      <c r="H23" s="84" t="inlineStr">
        <is>
          <t>Standard work of the discipline · in Design &amp; Creative: Graphic design</t>
        </is>
      </c>
      <c r="I23" s="84" t="inlineStr">
        <is>
          <t>Already works at A3: Varied and non-standard work; handles exceptions</t>
        </is>
      </c>
      <c r="J23" s="34" t="inlineStr">
        <is>
          <t>M</t>
        </is>
      </c>
      <c r="K23" s="84" t="inlineStr">
        <is>
          <t>Works at A1: Needs approval / close guidance</t>
        </is>
      </c>
      <c r="L23" s="84" t="inlineStr">
        <is>
          <t>Chooses own approach within standards</t>
        </is>
      </c>
      <c r="M23" s="84" t="inlineStr">
        <is>
          <t>Already works at A3: Technical / QC / client calls on own work</t>
        </is>
      </c>
      <c r="N23" s="34" t="inlineStr">
        <is>
          <t>L</t>
        </is>
      </c>
      <c r="O23" s="84" t="inlineStr">
        <is>
          <t>Works at A1: Learning tasks</t>
        </is>
      </c>
      <c r="P23" s="84" t="inlineStr">
        <is>
          <t>Own deliverables · accuracy, TAT</t>
        </is>
      </c>
      <c r="Q23" s="84" t="inlineStr">
        <is>
          <t>Already works at A3: A module / process, or work with client or regulatory consequences</t>
        </is>
      </c>
      <c r="R23" s="34" t="inlineStr">
        <is>
          <t>L</t>
        </is>
      </c>
      <c r="S23" s="56" t="inlineStr">
        <is>
          <t>Works at A1: contributes alone; guides others only informally</t>
        </is>
      </c>
      <c r="T23" s="56" t="inlineStr">
        <is>
          <t>Helps peers and newer people informally · No direct reports</t>
        </is>
      </c>
      <c r="U23" s="56" t="inlineStr">
        <is>
          <t>Already works at A3: Not scored in Band A</t>
        </is>
      </c>
      <c r="V23" s="34" t="inlineStr">
        <is>
          <t>M</t>
        </is>
      </c>
      <c r="W23" s="56" t="inlineStr">
        <is>
          <t>Works at A1: Learning; little direct effect on business results yet</t>
        </is>
      </c>
      <c r="X23" s="56" t="inlineStr">
        <is>
          <t>Own deliverables feed a team's output and turnaround · purpose: Creates brand assets, creatives, decks, motion graphics and video. At A2: standard work delivered independently.
Common themes in sub-family holders, all …</t>
        </is>
      </c>
      <c r="Y23" s="56" t="inlineStr">
        <is>
          <t>Already works at A3: A process or client deliverable depends on this work</t>
        </is>
      </c>
      <c r="Z23" s="34" t="inlineStr">
        <is>
          <t>L</t>
        </is>
      </c>
      <c r="AA23" s="85" t="inlineStr">
        <is>
          <t>Less experience than the band's typical 0–2 yrs</t>
        </is>
      </c>
      <c r="AB23" s="85" t="inlineStr">
        <is>
          <t>Typical for the band: 0–2 yrs · market 0–3 yrs</t>
        </is>
      </c>
      <c r="AC23" s="85" t="inlineStr">
        <is>
          <t>More experience than the band's typical 0–2 yrs</t>
        </is>
      </c>
      <c r="AD23" s="34" t="inlineStr">
        <is>
          <t>L</t>
        </is>
      </c>
      <c r="AE23" s="85" t="inlineStr">
        <is>
          <t>Below: Pursuing or completed graduation / diploma</t>
        </is>
      </c>
      <c r="AF23" s="85" t="inlineStr">
        <is>
          <t>Graduate · or diploma with experience</t>
        </is>
      </c>
      <c r="AG23" s="85" t="inlineStr">
        <is>
          <t>Above: Graduate; relevant certification preferred</t>
        </is>
      </c>
      <c r="AH23" s="44" t="inlineStr">
        <is>
          <t>58.3 · 16 · 9 · 0 · 6.3 · 6 · 4</t>
        </is>
      </c>
      <c r="AI23" s="38" t="inlineStr">
        <is>
          <t>0–3</t>
        </is>
      </c>
      <c r="AJ23" s="38" t="inlineStr">
        <is>
          <t>No direct reports</t>
        </is>
      </c>
      <c r="AK23" s="38" t="inlineStr">
        <is>
          <t>P1–P2 · SFIA 2 Assist</t>
        </is>
      </c>
      <c r="AL23"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4" ht="120" customHeight="1">
      <c r="A24" s="91" t="inlineStr">
        <is>
          <t>A1</t>
        </is>
      </c>
      <c r="B24" s="29" t="inlineStr">
        <is>
          <t>Band A · Practitioner</t>
        </is>
      </c>
      <c r="C24" s="29" t="inlineStr">
        <is>
          <t>Band A · all tracks</t>
        </is>
      </c>
      <c r="D24" s="29" t="inlineStr">
        <is>
          <t>Intern / Trainee</t>
        </is>
      </c>
      <c r="E24" s="29" t="inlineStr">
        <is>
          <t>— no role at this level today</t>
        </is>
      </c>
      <c r="F24" s="34" t="inlineStr">
        <is>
          <t>H</t>
        </is>
      </c>
      <c r="G24" s="84" t="inlineStr">
        <is>
          <t>Not yet at the entry standard · in induction</t>
        </is>
      </c>
      <c r="H24" s="84" t="inlineStr">
        <is>
          <t>Learning; follows worked examples</t>
        </is>
      </c>
      <c r="I24" s="84" t="inlineStr">
        <is>
          <t>Already works at A2: Standard work of the discipline</t>
        </is>
      </c>
      <c r="J24" s="34" t="inlineStr">
        <is>
          <t>M</t>
        </is>
      </c>
      <c r="K24" s="84" t="inlineStr">
        <is>
          <t>Not yet at the entry standard · in induction</t>
        </is>
      </c>
      <c r="L24" s="84" t="inlineStr">
        <is>
          <t>Needs approval / close guidance</t>
        </is>
      </c>
      <c r="M24" s="84" t="inlineStr">
        <is>
          <t>Already works at A2: Chooses own approach within standards</t>
        </is>
      </c>
      <c r="N24" s="34" t="inlineStr">
        <is>
          <t>L</t>
        </is>
      </c>
      <c r="O24" s="84" t="inlineStr">
        <is>
          <t>Not yet at the entry standard · in induction</t>
        </is>
      </c>
      <c r="P24" s="84" t="inlineStr">
        <is>
          <t>Learning tasks</t>
        </is>
      </c>
      <c r="Q24" s="84" t="inlineStr">
        <is>
          <t>Already works at A2: Own deliverables · accuracy, TAT</t>
        </is>
      </c>
      <c r="R24" s="34" t="inlineStr">
        <is>
          <t>L</t>
        </is>
      </c>
      <c r="S24" s="56" t="inlineStr">
        <is>
          <t>Not yet at the entry standard · in induction</t>
        </is>
      </c>
      <c r="T24" s="56" t="inlineStr">
        <is>
          <t>Helps peers and newer people informally · No direct reports</t>
        </is>
      </c>
      <c r="U24" s="56" t="inlineStr">
        <is>
          <t>Already works at A2: Not scored in Band A</t>
        </is>
      </c>
      <c r="V24" s="34" t="inlineStr">
        <is>
          <t>M</t>
        </is>
      </c>
      <c r="W24" s="56" t="inlineStr">
        <is>
          <t>Not yet at the entry standard · in induction</t>
        </is>
      </c>
      <c r="X24" s="56" t="inlineStr">
        <is>
          <t>Learning; little direct effect on business results yet</t>
        </is>
      </c>
      <c r="Y24" s="56" t="inlineStr">
        <is>
          <t>Already works at A2: Own deliverables feed a team's output and turnaround</t>
        </is>
      </c>
      <c r="Z24" s="34" t="inlineStr">
        <is>
          <t>L</t>
        </is>
      </c>
      <c r="AA24" s="85" t="inlineStr">
        <is>
          <t>Less experience than the band's typical 0 yrs · fresher / intern</t>
        </is>
      </c>
      <c r="AB24" s="85" t="inlineStr">
        <is>
          <t>Typical for the band: 0 yrs · fresher / intern · market — yrs</t>
        </is>
      </c>
      <c r="AC24" s="85" t="inlineStr">
        <is>
          <t>More experience than the band's typical 0 yrs · fresher / intern</t>
        </is>
      </c>
      <c r="AD24" s="34" t="inlineStr">
        <is>
          <t>L</t>
        </is>
      </c>
      <c r="AE24" s="85" t="inlineStr">
        <is>
          <t>Below graduation · still studying</t>
        </is>
      </c>
      <c r="AF24" s="85" t="inlineStr">
        <is>
          <t>Pursuing or completed graduation / diploma</t>
        </is>
      </c>
      <c r="AG24" s="85" t="inlineStr">
        <is>
          <t>Above: Graduate · or diploma with experience</t>
        </is>
      </c>
      <c r="AH24" s="44" t="inlineStr">
        <is>
          <t>58.3 · 16 · 9 · 0 · 6.3 · 6 · 4</t>
        </is>
      </c>
      <c r="AI24" s="38" t="inlineStr">
        <is>
          <t>0 yrs · fresher / intern</t>
        </is>
      </c>
      <c r="AJ24" s="38" t="inlineStr">
        <is>
          <t>No direct reports</t>
        </is>
      </c>
      <c r="AK24" s="38" t="inlineStr">
        <is>
          <t>Entry / P1 · intern · SFIA 1 Follow</t>
        </is>
      </c>
      <c r="AL24"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sheetData>
  <autoFilter ref="A5:AL24"/>
  <mergeCells count="1">
    <mergeCell ref="A2:N2"/>
  </mergeCells>
  <dataValidations count="1">
    <dataValidation sqref="F6 F7 F8 F9 F10 F11 F12 F13 F14 F15 F16 F17 F18 F19 F20 F21 F22 F23 F24 J6 J7 J8 J9 J10 J11 J12 J13 J14 J15 J16 J17 J18 J19 J20 J21 J22 J23 J24 N6 N7 N8 N9 N10 N11 N12 N13 N14 N15 N16 N17 N18 N19 N20 N21 N22 N23 N24 R6 R7 R8 R9 R10 R11 R12 R13 R14 R15 R16 R17 R18 R19 R20 R21 R22 R23 R24 V6 V7 V8 V9 V10 V11 V12 V13 V14 V15 V16 V17 V18 V19 V20 V21 V22 V23 V24 Z6 Z7 Z8 Z9 Z10 Z11 Z12 Z13 Z14 Z15 Z16 Z17 Z18 Z19 Z20 Z21 Z22 Z23 Z24 AD6 AD7 AD8 AD9 AD10 AD11 AD12 AD13 AD14 AD15 AD16 AD17 AD18 AD19 AD20 AD21 AD22 AD23 AD24" showDropDown="0" showInputMessage="0" showErrorMessage="0" allowBlank="1" type="list">
      <formula1>LIST_LMH</formula1>
    </dataValidation>
  </dataValidations>
  <hyperlinks>
    <hyperlink xmlns:r="http://schemas.openxmlformats.org/officeDocument/2006/relationships" ref="O1" r:id="rId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L24"/>
  <sheetViews>
    <sheetView zoomScale="85" workbookViewId="0">
      <pane xSplit="5" ySplit="5" topLeftCell="F6" activePane="bottomRight" state="frozen"/>
      <selection pane="topRight"/>
      <selection pane="bottomLeft"/>
      <selection pane="bottomRight" activeCell="A1" sqref="A1"/>
    </sheetView>
  </sheetViews>
  <sheetFormatPr baseColWidth="8" defaultRowHeight="15"/>
  <cols>
    <col width="7" customWidth="1" min="1" max="1"/>
    <col width="16" customWidth="1" min="2" max="2"/>
    <col width="18" customWidth="1" min="3" max="3"/>
    <col width="20" customWidth="1" min="4" max="4"/>
    <col width="34" customWidth="1" min="5" max="5"/>
    <col width="9" customWidth="1" min="6" max="6"/>
    <col width="30" customWidth="1" min="7" max="7"/>
    <col width="34" customWidth="1" min="8" max="8"/>
    <col width="30" customWidth="1" min="9" max="9"/>
    <col width="9" customWidth="1" min="10" max="10"/>
    <col width="30" customWidth="1" min="11" max="11"/>
    <col width="34" customWidth="1" min="12" max="12"/>
    <col width="30" customWidth="1" min="13" max="13"/>
    <col width="9" customWidth="1" min="14" max="14"/>
    <col width="30" customWidth="1" min="15" max="15"/>
    <col width="34" customWidth="1" min="16" max="16"/>
    <col width="30" customWidth="1" min="17" max="17"/>
    <col width="9" customWidth="1" min="18" max="18"/>
    <col width="30" customWidth="1" min="19" max="19"/>
    <col width="34" customWidth="1" min="20" max="20"/>
    <col width="30" customWidth="1" min="21" max="21"/>
    <col width="9" customWidth="1" min="22" max="22"/>
    <col width="30" customWidth="1" min="23" max="23"/>
    <col width="34" customWidth="1" min="24" max="24"/>
    <col width="30" customWidth="1" min="25" max="25"/>
    <col width="9" customWidth="1" min="26" max="26"/>
    <col width="30" customWidth="1" min="27" max="27"/>
    <col width="34" customWidth="1" min="28" max="28"/>
    <col width="30" customWidth="1" min="29" max="29"/>
    <col width="9" customWidth="1" min="30" max="30"/>
    <col width="30" customWidth="1" min="31" max="31"/>
    <col width="34" customWidth="1" min="32" max="32"/>
    <col width="30" customWidth="1" min="33" max="33"/>
    <col width="26" customWidth="1" min="34" max="34"/>
    <col width="16" customWidth="1" min="35" max="35"/>
    <col width="22" customWidth="1" min="36" max="36"/>
    <col width="18" customWidth="1" min="37" max="37"/>
    <col width="40" customWidth="1" min="38" max="38"/>
  </cols>
  <sheetData>
    <row r="1" ht="24" customHeight="1">
      <c r="A1" s="1" t="inlineStr">
        <is>
          <t>Role &amp; band matrix — Engineering &amp; Architecture</t>
        </is>
      </c>
      <c r="O1" s="7" t="inlineStr">
        <is>
          <t>◂ Start</t>
        </is>
      </c>
    </row>
    <row r="2" ht="30" customHeight="1">
      <c r="A2" s="2" t="inlineStr">
        <is>
          <t>What Low, Medium and High mean for each of the seven parameters at every level of Engineering &amp; Architecture, and how much each parameter counts · main type of work: Technology &amp; engineering. Medium is the band as described; Low is the level below; High is the level above. Change a yellow weightage and every role, department ladder and person in this family recalculates.</t>
        </is>
      </c>
    </row>
    <row r="3">
      <c r="A3" s="3" t="inlineStr">
        <is>
          <t>IRIS · Job Architecture &amp; Job Design · Final v1.15 · October 2026 · Internal — Confidential · HR only</t>
        </is>
      </c>
    </row>
    <row r="4" ht="30" customHeight="1">
      <c r="A4" s="6" t="inlineStr">
        <is>
          <t>LEVEL</t>
        </is>
      </c>
      <c r="B4" s="6" t="n"/>
      <c r="C4" s="6" t="n"/>
      <c r="D4" s="6" t="n"/>
      <c r="E4" s="6" t="n"/>
      <c r="F4" s="45" t="inlineStr">
        <is>
          <t>COMPLEXITY &amp; EXPERTISE</t>
        </is>
      </c>
      <c r="G4" s="45" t="n"/>
      <c r="H4" s="45" t="n"/>
      <c r="I4" s="45" t="n"/>
      <c r="J4" s="45" t="inlineStr">
        <is>
          <t>AUTONOMY &amp; DECISION</t>
        </is>
      </c>
      <c r="K4" s="45" t="n"/>
      <c r="L4" s="45" t="n"/>
      <c r="M4" s="45" t="n"/>
      <c r="N4" s="45" t="inlineStr">
        <is>
          <t>ACCOUNTABILITY &amp; IMPACT</t>
        </is>
      </c>
      <c r="O4" s="45" t="n"/>
      <c r="P4" s="45" t="n"/>
      <c r="Q4" s="45" t="n"/>
      <c r="R4" s="47" t="inlineStr">
        <is>
          <t>LEADERSHIP &amp; STRATEGY</t>
        </is>
      </c>
      <c r="S4" s="47" t="n"/>
      <c r="T4" s="47" t="n"/>
      <c r="U4" s="47" t="n"/>
      <c r="V4" s="47" t="inlineStr">
        <is>
          <t>BUSINESS IMPACT</t>
        </is>
      </c>
      <c r="W4" s="47" t="n"/>
      <c r="X4" s="47" t="n"/>
      <c r="Y4" s="47" t="n"/>
      <c r="Z4" s="81" t="inlineStr">
        <is>
          <t>EXPERIENCE</t>
        </is>
      </c>
      <c r="AA4" s="81" t="n"/>
      <c r="AB4" s="81" t="n"/>
      <c r="AC4" s="81" t="n"/>
      <c r="AD4" s="81" t="inlineStr">
        <is>
          <t>EDUCATION</t>
        </is>
      </c>
      <c r="AE4" s="81" t="n"/>
      <c r="AF4" s="81" t="n"/>
      <c r="AG4" s="81" t="n"/>
      <c r="AH4" s="20" t="inlineStr">
        <is>
          <t>MARKET BENCHMARK &amp; REFERENCES</t>
        </is>
      </c>
      <c r="AI4" s="20" t="n"/>
      <c r="AJ4" s="20" t="n"/>
      <c r="AK4" s="20" t="n"/>
      <c r="AL4" s="20" t="n"/>
    </row>
    <row r="5" ht="60" customHeight="1">
      <c r="A5" s="22" t="inlineStr">
        <is>
          <t>Level</t>
        </is>
      </c>
      <c r="B5" s="22" t="inlineStr">
        <is>
          <t>Band</t>
        </is>
      </c>
      <c r="C5" s="22" t="inlineStr">
        <is>
          <t>Role group</t>
        </is>
      </c>
      <c r="D5" s="22" t="inlineStr">
        <is>
          <t>Level title</t>
        </is>
      </c>
      <c r="E5" s="22" t="inlineStr">
        <is>
          <t>Roles at this level in this family</t>
        </is>
      </c>
      <c r="F5" s="48" t="inlineStr">
        <is>
          <t>Weightage · L/M/H</t>
        </is>
      </c>
      <c r="G5" s="48" t="inlineStr">
        <is>
          <t>Low</t>
        </is>
      </c>
      <c r="H5" s="48" t="inlineStr">
        <is>
          <t>Medium</t>
        </is>
      </c>
      <c r="I5" s="48" t="inlineStr">
        <is>
          <t>High</t>
        </is>
      </c>
      <c r="J5" s="48" t="inlineStr">
        <is>
          <t>Weightage · L/M/H</t>
        </is>
      </c>
      <c r="K5" s="48" t="inlineStr">
        <is>
          <t>Low</t>
        </is>
      </c>
      <c r="L5" s="48" t="inlineStr">
        <is>
          <t>Medium</t>
        </is>
      </c>
      <c r="M5" s="48" t="inlineStr">
        <is>
          <t>High</t>
        </is>
      </c>
      <c r="N5" s="48" t="inlineStr">
        <is>
          <t>Weightage · L/M/H</t>
        </is>
      </c>
      <c r="O5" s="48" t="inlineStr">
        <is>
          <t>Low</t>
        </is>
      </c>
      <c r="P5" s="48" t="inlineStr">
        <is>
          <t>Medium</t>
        </is>
      </c>
      <c r="Q5" s="48" t="inlineStr">
        <is>
          <t>High</t>
        </is>
      </c>
      <c r="R5" s="50" t="inlineStr">
        <is>
          <t>Weightage · L/M/H</t>
        </is>
      </c>
      <c r="S5" s="50" t="inlineStr">
        <is>
          <t>Low</t>
        </is>
      </c>
      <c r="T5" s="50" t="inlineStr">
        <is>
          <t>Medium</t>
        </is>
      </c>
      <c r="U5" s="50" t="inlineStr">
        <is>
          <t>High</t>
        </is>
      </c>
      <c r="V5" s="50" t="inlineStr">
        <is>
          <t>Weightage · L/M/H</t>
        </is>
      </c>
      <c r="W5" s="50" t="inlineStr">
        <is>
          <t>Low</t>
        </is>
      </c>
      <c r="X5" s="50" t="inlineStr">
        <is>
          <t>Medium</t>
        </is>
      </c>
      <c r="Y5" s="50" t="inlineStr">
        <is>
          <t>High</t>
        </is>
      </c>
      <c r="Z5" s="82" t="inlineStr">
        <is>
          <t>Weightage · L/M/H</t>
        </is>
      </c>
      <c r="AA5" s="82" t="inlineStr">
        <is>
          <t>Low</t>
        </is>
      </c>
      <c r="AB5" s="82" t="inlineStr">
        <is>
          <t>Medium</t>
        </is>
      </c>
      <c r="AC5" s="82" t="inlineStr">
        <is>
          <t>High</t>
        </is>
      </c>
      <c r="AD5" s="82" t="inlineStr">
        <is>
          <t>Weightage · L/M/H</t>
        </is>
      </c>
      <c r="AE5" s="82" t="inlineStr">
        <is>
          <t>Low</t>
        </is>
      </c>
      <c r="AF5" s="82" t="inlineStr">
        <is>
          <t>Medium</t>
        </is>
      </c>
      <c r="AG5" s="82" t="inlineStr">
        <is>
          <t>High</t>
        </is>
      </c>
      <c r="AH5" s="26" t="inlineStr">
        <is>
          <t>Market weight % · C · Au · Ac · L · BI · Exp · Edu</t>
        </is>
      </c>
      <c r="AI5" s="26" t="inlineStr">
        <is>
          <t>Market experience · yrs</t>
        </is>
      </c>
      <c r="AJ5" s="26" t="inlineStr">
        <is>
          <t>Span norm</t>
        </is>
      </c>
      <c r="AK5" s="26" t="inlineStr">
        <is>
          <t>Radford / Mercer · SFIA 9</t>
        </is>
      </c>
      <c r="AL5" s="26" t="inlineStr">
        <is>
          <t>References</t>
        </is>
      </c>
    </row>
    <row r="6" ht="120" customHeight="1">
      <c r="A6" s="83" t="inlineStr">
        <is>
          <t>E2</t>
        </is>
      </c>
      <c r="B6" s="29" t="inlineStr">
        <is>
          <t>Band E · Enterprise leadership</t>
        </is>
      </c>
      <c r="C6" s="29" t="inlineStr">
        <is>
          <t>Bands D–E · Leadership</t>
        </is>
      </c>
      <c r="D6" s="29" t="inlineStr">
        <is>
          <t>Chief Executive Officer</t>
        </is>
      </c>
      <c r="E6" s="29" t="inlineStr">
        <is>
          <t>— no role at this level today</t>
        </is>
      </c>
      <c r="F6" s="34" t="inlineStr">
        <is>
          <t>H</t>
        </is>
      </c>
      <c r="G6" s="84" t="inlineStr">
        <is>
          <t>Works at E1: Enterprise-level functional strategy</t>
        </is>
      </c>
      <c r="H6" s="84" t="inlineStr">
        <is>
          <t>Enterprise-wide uncertainty, transformation and external forces</t>
        </is>
      </c>
      <c r="I6" s="84" t="inlineStr">
        <is>
          <t>Beyond the role · a board-level mandate</t>
        </is>
      </c>
      <c r="J6" s="34" t="inlineStr">
        <is>
          <t>M</t>
        </is>
      </c>
      <c r="K6" s="84" t="inlineStr">
        <is>
          <t>Works at E1: Sets enterprise priorities for the function</t>
        </is>
      </c>
      <c r="L6" s="84" t="inlineStr">
        <is>
          <t>Accountable to the board</t>
        </is>
      </c>
      <c r="M6" s="84" t="inlineStr">
        <is>
          <t>Beyond the role · a board-level mandate</t>
        </is>
      </c>
      <c r="N6" s="34" t="inlineStr">
        <is>
          <t>M</t>
        </is>
      </c>
      <c r="O6" s="84" t="inlineStr">
        <is>
          <t>Works at E1: Enterprise-wide functional results</t>
        </is>
      </c>
      <c r="P6" s="84" t="inlineStr">
        <is>
          <t>Enterprise results, risk, culture and long-term viability</t>
        </is>
      </c>
      <c r="Q6" s="84" t="inlineStr">
        <is>
          <t>Beyond the role · a board-level mandate</t>
        </is>
      </c>
      <c r="R6" s="34" t="inlineStr">
        <is>
          <t>M</t>
        </is>
      </c>
      <c r="S6" s="56" t="inlineStr">
        <is>
          <t>Works at E1: Shapes enterprise strategy</t>
        </is>
      </c>
      <c r="T6" s="56" t="inlineStr">
        <is>
          <t>Sets enterprise strategy; leads the executive team</t>
        </is>
      </c>
      <c r="U6" s="56" t="inlineStr">
        <is>
          <t>Beyond the role · a board-level mandate</t>
        </is>
      </c>
      <c r="V6" s="34" t="inlineStr">
        <is>
          <t>L</t>
        </is>
      </c>
      <c r="W6" s="56" t="inlineStr">
        <is>
          <t>Works at E1: Shapes company-wide results through a function</t>
        </is>
      </c>
      <c r="X6" s="56" t="inlineStr">
        <is>
          <t>Answers for the whole company's results and long-term value</t>
        </is>
      </c>
      <c r="Y6" s="56" t="inlineStr">
        <is>
          <t>Beyond the role · a board-level mandate</t>
        </is>
      </c>
      <c r="Z6" s="34" t="inlineStr">
        <is>
          <t>L</t>
        </is>
      </c>
      <c r="AA6" s="85" t="inlineStr">
        <is>
          <t>Less experience than the band's typical 20+ yrs</t>
        </is>
      </c>
      <c r="AB6" s="85" t="inlineStr">
        <is>
          <t>Typical for the band: 20+ yrs · market — yrs</t>
        </is>
      </c>
      <c r="AC6" s="85" t="inlineStr">
        <is>
          <t>More experience than the band's typical 20+ yrs</t>
        </is>
      </c>
      <c r="AD6" s="34" t="inlineStr">
        <is>
          <t>L</t>
        </is>
      </c>
      <c r="AE6" s="85" t="inlineStr">
        <is>
          <t>Below: Postgraduate / professional qualification; business leadership record</t>
        </is>
      </c>
      <c r="AF6" s="85" t="inlineStr">
        <is>
          <t>Postgraduate / professional qualification; proven business leadership</t>
        </is>
      </c>
      <c r="AG6" s="85" t="inlineStr">
        <is>
          <t>Board-level credentials beyond the role's need</t>
        </is>
      </c>
      <c r="AH6" s="44" t="inlineStr">
        <is>
          <t>36.3 · 19 · 11.3 · 20 · 8.7 · 4 · 1</t>
        </is>
      </c>
      <c r="AI6" s="38" t="inlineStr">
        <is>
          <t>20+ yrs</t>
        </is>
      </c>
      <c r="AJ6" s="38" t="inlineStr">
        <is>
          <t>Executive team</t>
        </is>
      </c>
      <c r="AK6" s="38" t="inlineStr">
        <is>
          <t>E6 · SFIA 7</t>
        </is>
      </c>
      <c r="AL6"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7" ht="120" customHeight="1">
      <c r="A7" s="83" t="inlineStr">
        <is>
          <t>E1</t>
        </is>
      </c>
      <c r="B7" s="29" t="inlineStr">
        <is>
          <t>Band E · Enterprise leadership</t>
        </is>
      </c>
      <c r="C7" s="29" t="inlineStr">
        <is>
          <t>Bands D–E · Leadership</t>
        </is>
      </c>
      <c r="D7" s="29" t="inlineStr">
        <is>
          <t>CXO / President</t>
        </is>
      </c>
      <c r="E7" s="29" t="inlineStr">
        <is>
          <t>— no role at this level today</t>
        </is>
      </c>
      <c r="F7" s="34" t="inlineStr">
        <is>
          <t>H</t>
        </is>
      </c>
      <c r="G7" s="84" t="inlineStr">
        <is>
          <t>Works at D2: Portfolio-level strategic, financial and regulatory trade-offs</t>
        </is>
      </c>
      <c r="H7" s="84" t="inlineStr">
        <is>
          <t>Enterprise-level functional strategy</t>
        </is>
      </c>
      <c r="I7" s="84" t="inlineStr">
        <is>
          <t>Already works at E2: Enterprise-wide uncertainty, transformation and external forces</t>
        </is>
      </c>
      <c r="J7" s="34" t="inlineStr">
        <is>
          <t>M</t>
        </is>
      </c>
      <c r="K7" s="84" t="inlineStr">
        <is>
          <t>Works at D2: Sets direction across business lines</t>
        </is>
      </c>
      <c r="L7" s="84" t="inlineStr">
        <is>
          <t>Sets enterprise priorities for the function</t>
        </is>
      </c>
      <c r="M7" s="84" t="inlineStr">
        <is>
          <t>Already works at E2: Accountable to the board</t>
        </is>
      </c>
      <c r="N7" s="34" t="inlineStr">
        <is>
          <t>M</t>
        </is>
      </c>
      <c r="O7" s="84" t="inlineStr">
        <is>
          <t>Works at D2: Multi-business results</t>
        </is>
      </c>
      <c r="P7" s="84" t="inlineStr">
        <is>
          <t>Enterprise-wide functional results</t>
        </is>
      </c>
      <c r="Q7" s="84" t="inlineStr">
        <is>
          <t>Already works at E2: Enterprise results, risk, culture and long-term viability</t>
        </is>
      </c>
      <c r="R7" s="34" t="inlineStr">
        <is>
          <t>M</t>
        </is>
      </c>
      <c r="S7" s="56" t="inlineStr">
        <is>
          <t>Works at D2: Builds the leadership team across businesses</t>
        </is>
      </c>
      <c r="T7" s="56" t="inlineStr">
        <is>
          <t>Shapes enterprise strategy</t>
        </is>
      </c>
      <c r="U7" s="56" t="inlineStr">
        <is>
          <t>Already works at E2: Sets enterprise strategy; leads the executive team</t>
        </is>
      </c>
      <c r="V7" s="34" t="inlineStr">
        <is>
          <t>L</t>
        </is>
      </c>
      <c r="W7" s="56" t="inlineStr">
        <is>
          <t>Works at D2: Owns the results of several business lines</t>
        </is>
      </c>
      <c r="X7" s="56" t="inlineStr">
        <is>
          <t>Shapes company-wide results through a function</t>
        </is>
      </c>
      <c r="Y7" s="56" t="inlineStr">
        <is>
          <t>Already works at E2: Answers for the whole company's results and long-term value</t>
        </is>
      </c>
      <c r="Z7" s="34" t="inlineStr">
        <is>
          <t>L</t>
        </is>
      </c>
      <c r="AA7" s="85" t="inlineStr">
        <is>
          <t>Less experience than the band's typical 20+ yrs</t>
        </is>
      </c>
      <c r="AB7" s="85" t="inlineStr">
        <is>
          <t>Typical for the band: 20+ yrs · market — yrs</t>
        </is>
      </c>
      <c r="AC7" s="85" t="inlineStr">
        <is>
          <t>More experience than the band's typical 20+ yrs</t>
        </is>
      </c>
      <c r="AD7" s="34" t="inlineStr">
        <is>
          <t>L</t>
        </is>
      </c>
      <c r="AE7" s="85" t="inlineStr">
        <is>
          <t>Below: Postgraduate / professional qualification preferred</t>
        </is>
      </c>
      <c r="AF7" s="85" t="inlineStr">
        <is>
          <t>Postgraduate / professional qualification; business leadership record</t>
        </is>
      </c>
      <c r="AG7" s="85" t="inlineStr">
        <is>
          <t>Above: Postgraduate / professional qualification; proven business leadership</t>
        </is>
      </c>
      <c r="AH7" s="44" t="inlineStr">
        <is>
          <t>36.3 · 19 · 11.3 · 20 · 8.7 · 4 · 1</t>
        </is>
      </c>
      <c r="AI7" s="38" t="inlineStr">
        <is>
          <t>20+ yrs</t>
        </is>
      </c>
      <c r="AJ7" s="38" t="inlineStr">
        <is>
          <t>5–8 function heads</t>
        </is>
      </c>
      <c r="AK7" s="38" t="inlineStr">
        <is>
          <t>E5 · SFIA 7</t>
        </is>
      </c>
      <c r="AL7"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8" ht="120" customHeight="1">
      <c r="A8" s="86" t="inlineStr">
        <is>
          <t>D2</t>
        </is>
      </c>
      <c r="B8" s="29" t="inlineStr">
        <is>
          <t>Band D · Business leadership</t>
        </is>
      </c>
      <c r="C8" s="29" t="inlineStr">
        <is>
          <t>Bands D–E · Leadership</t>
        </is>
      </c>
      <c r="D8" s="29" t="inlineStr">
        <is>
          <t>Senior Vice President / Business Head</t>
        </is>
      </c>
      <c r="E8" s="29" t="inlineStr">
        <is>
          <t>— no role at this level today</t>
        </is>
      </c>
      <c r="F8" s="34" t="inlineStr">
        <is>
          <t>H</t>
        </is>
      </c>
      <c r="G8" s="84" t="inlineStr">
        <is>
          <t>Works at D1: Competing strategic, financial and regulatory priorities</t>
        </is>
      </c>
      <c r="H8" s="84" t="inlineStr">
        <is>
          <t>Portfolio-level strategic, financial and regulatory trade-offs</t>
        </is>
      </c>
      <c r="I8" s="84" t="inlineStr">
        <is>
          <t>Already works at E1: Enterprise-level functional strategy</t>
        </is>
      </c>
      <c r="J8" s="34" t="inlineStr">
        <is>
          <t>M</t>
        </is>
      </c>
      <c r="K8" s="84" t="inlineStr">
        <is>
          <t>Works at D1: Sets business-line direction, pricing and investment</t>
        </is>
      </c>
      <c r="L8" s="84" t="inlineStr">
        <is>
          <t>Sets direction across business lines</t>
        </is>
      </c>
      <c r="M8" s="84" t="inlineStr">
        <is>
          <t>Already works at E1: Sets enterprise priorities for the function</t>
        </is>
      </c>
      <c r="N8" s="34" t="inlineStr">
        <is>
          <t>M</t>
        </is>
      </c>
      <c r="O8" s="84" t="inlineStr">
        <is>
          <t>Works at D1: Business-line P&amp;L and market position</t>
        </is>
      </c>
      <c r="P8" s="84" t="inlineStr">
        <is>
          <t>Multi-business results</t>
        </is>
      </c>
      <c r="Q8" s="84" t="inlineStr">
        <is>
          <t>Already works at E1: Enterprise-wide functional results</t>
        </is>
      </c>
      <c r="R8" s="34" t="inlineStr">
        <is>
          <t>M</t>
        </is>
      </c>
      <c r="S8" s="56" t="inlineStr">
        <is>
          <t>Works at D1: Defines business strategy; builds the leadership bench</t>
        </is>
      </c>
      <c r="T8" s="56" t="inlineStr">
        <is>
          <t>Builds the leadership team across businesses</t>
        </is>
      </c>
      <c r="U8" s="56" t="inlineStr">
        <is>
          <t>Already works at E1: Shapes enterprise strategy</t>
        </is>
      </c>
      <c r="V8" s="34" t="inlineStr">
        <is>
          <t>L</t>
        </is>
      </c>
      <c r="W8" s="56" t="inlineStr">
        <is>
          <t>Works at D1: Owns a business line's P&amp;L and growth, or a company-wide function</t>
        </is>
      </c>
      <c r="X8" s="56" t="inlineStr">
        <is>
          <t>Owns the results of several business lines</t>
        </is>
      </c>
      <c r="Y8" s="56" t="inlineStr">
        <is>
          <t>Already works at E1: Shapes company-wide results through a function</t>
        </is>
      </c>
      <c r="Z8" s="34" t="inlineStr">
        <is>
          <t>L</t>
        </is>
      </c>
      <c r="AA8" s="85" t="inlineStr">
        <is>
          <t>Less experience than the band's typical 18–24 yrs</t>
        </is>
      </c>
      <c r="AB8" s="85" t="inlineStr">
        <is>
          <t>Typical for the band: 18–24 yrs · market — yrs</t>
        </is>
      </c>
      <c r="AC8" s="85" t="inlineStr">
        <is>
          <t>More experience than the band's typical 18–24 yrs</t>
        </is>
      </c>
      <c r="AD8" s="34" t="inlineStr">
        <is>
          <t>L</t>
        </is>
      </c>
      <c r="AE8" s="85" t="inlineStr">
        <is>
          <t>Below: Postgraduate / professional qualification preferred</t>
        </is>
      </c>
      <c r="AF8" s="85" t="inlineStr">
        <is>
          <t>Postgraduate / professional qualification preferred</t>
        </is>
      </c>
      <c r="AG8" s="85" t="inlineStr">
        <is>
          <t>Above: Postgraduate / professional qualification; business leadership record</t>
        </is>
      </c>
      <c r="AH8" s="44" t="inlineStr">
        <is>
          <t>36.3 · 19 · 11.3 · 20 · 8.7 · 4 · 1</t>
        </is>
      </c>
      <c r="AI8" s="38" t="inlineStr">
        <is>
          <t>18–24 yrs</t>
        </is>
      </c>
      <c r="AJ8" s="38" t="inlineStr">
        <is>
          <t>5–8 AVPs / heads</t>
        </is>
      </c>
      <c r="AK8" s="38" t="inlineStr">
        <is>
          <t>E3–E4 · SFIA 7 Set strategy</t>
        </is>
      </c>
      <c r="AL8"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9" ht="120" customHeight="1">
      <c r="A9" s="86" t="inlineStr">
        <is>
          <t>D1</t>
        </is>
      </c>
      <c r="B9" s="29" t="inlineStr">
        <is>
          <t>Band D · Business leadership</t>
        </is>
      </c>
      <c r="C9" s="29" t="inlineStr">
        <is>
          <t>Bands D–E · Leadership</t>
        </is>
      </c>
      <c r="D9" s="29" t="inlineStr">
        <is>
          <t>Associate Vice President</t>
        </is>
      </c>
      <c r="E9" s="29" t="inlineStr">
        <is>
          <t>— no role at this level today</t>
        </is>
      </c>
      <c r="F9" s="34" t="inlineStr">
        <is>
          <t>H</t>
        </is>
      </c>
      <c r="G9" s="84" t="inlineStr">
        <is>
          <t>Works at C2: Function-wide or company-wide problems; creates methods and standards</t>
        </is>
      </c>
      <c r="H9" s="84" t="inlineStr">
        <is>
          <t>Competing strategic, financial and regulatory priorities</t>
        </is>
      </c>
      <c r="I9" s="84" t="inlineStr">
        <is>
          <t>Already works at D2: Portfolio-level strategic, financial and regulatory trade-offs</t>
        </is>
      </c>
      <c r="J9" s="34" t="inlineStr">
        <is>
          <t>M</t>
        </is>
      </c>
      <c r="K9" s="84" t="inlineStr">
        <is>
          <t>Works at C2: Sets direction for a function</t>
        </is>
      </c>
      <c r="L9" s="84" t="inlineStr">
        <is>
          <t>Sets business-line direction, pricing and investment</t>
        </is>
      </c>
      <c r="M9" s="84" t="inlineStr">
        <is>
          <t>Already works at D2: Sets direction across business lines</t>
        </is>
      </c>
      <c r="N9" s="34" t="inlineStr">
        <is>
          <t>M</t>
        </is>
      </c>
      <c r="O9" s="84" t="inlineStr">
        <is>
          <t>Works at C2: Function results, budget and risk</t>
        </is>
      </c>
      <c r="P9" s="84" t="inlineStr">
        <is>
          <t>Business-line P&amp;L and market position</t>
        </is>
      </c>
      <c r="Q9" s="84" t="inlineStr">
        <is>
          <t>Already works at D2: Multi-business results</t>
        </is>
      </c>
      <c r="R9" s="34" t="inlineStr">
        <is>
          <t>M</t>
        </is>
      </c>
      <c r="S9" s="56" t="inlineStr">
        <is>
          <t>Works at C2: Leads a function; shapes functional strategy</t>
        </is>
      </c>
      <c r="T9" s="56" t="inlineStr">
        <is>
          <t>Defines business strategy; builds the leadership bench</t>
        </is>
      </c>
      <c r="U9" s="56" t="inlineStr">
        <is>
          <t>Already works at D2: Builds the leadership team across businesses</t>
        </is>
      </c>
      <c r="V9" s="34" t="inlineStr">
        <is>
          <t>L</t>
        </is>
      </c>
      <c r="W9" s="56" t="inlineStr">
        <is>
          <t>Works at C2: Drives a function's or department's results and costs</t>
        </is>
      </c>
      <c r="X9" s="56" t="inlineStr">
        <is>
          <t>Owns a business line's P&amp;L and growth, or a company-wide function</t>
        </is>
      </c>
      <c r="Y9" s="56" t="inlineStr">
        <is>
          <t>Already works at D2: Owns the results of several business lines</t>
        </is>
      </c>
      <c r="Z9" s="34" t="inlineStr">
        <is>
          <t>L</t>
        </is>
      </c>
      <c r="AA9" s="85" t="inlineStr">
        <is>
          <t>Less experience than the band's typical 15–20 yrs</t>
        </is>
      </c>
      <c r="AB9" s="85" t="inlineStr">
        <is>
          <t>Typical for the band: 15–20 yrs · market — yrs</t>
        </is>
      </c>
      <c r="AC9" s="85" t="inlineStr">
        <is>
          <t>More experience than the band's typical 15–20 yrs</t>
        </is>
      </c>
      <c r="AD9" s="34" t="inlineStr">
        <is>
          <t>L</t>
        </is>
      </c>
      <c r="AE9" s="85" t="inlineStr">
        <is>
          <t>Below: Postgraduate / professional qualification preferred</t>
        </is>
      </c>
      <c r="AF9" s="85" t="inlineStr">
        <is>
          <t>Postgraduate / professional qualification preferred</t>
        </is>
      </c>
      <c r="AG9" s="85" t="inlineStr">
        <is>
          <t>Above: Postgraduate / professional qualification preferred</t>
        </is>
      </c>
      <c r="AH9" s="44" t="inlineStr">
        <is>
          <t>36.3 · 19 · 11.3 · 20 · 8.7 · 4 · 1</t>
        </is>
      </c>
      <c r="AI9" s="38" t="inlineStr">
        <is>
          <t>15–20 yrs</t>
        </is>
      </c>
      <c r="AJ9" s="38" t="inlineStr">
        <is>
          <t>5–8 heads</t>
        </is>
      </c>
      <c r="AK9" s="38" t="inlineStr">
        <is>
          <t>E1–E2 · SFIA 6–7</t>
        </is>
      </c>
      <c r="AL9"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0" ht="120" customHeight="1">
      <c r="A10" s="87" t="inlineStr">
        <is>
          <t>C+</t>
        </is>
      </c>
      <c r="B10" s="29" t="inlineStr">
        <is>
          <t>C+ · Player-Coach</t>
        </is>
      </c>
      <c r="C10" s="29" t="inlineStr">
        <is>
          <t>C+ · Player-Coach</t>
        </is>
      </c>
      <c r="D10" s="29" t="inlineStr">
        <is>
          <t>Group Head · Player-Coach</t>
        </is>
      </c>
      <c r="E10" s="29" t="inlineStr">
        <is>
          <t>— no role at this level today</t>
        </is>
      </c>
      <c r="F10" s="34" t="inlineStr">
        <is>
          <t>H</t>
        </is>
      </c>
      <c r="G10" s="84" t="inlineStr">
        <is>
          <t>Works at C2: Function-wide or company-wide problems; creates methods and standards</t>
        </is>
      </c>
      <c r="H10" s="84" t="inlineStr">
        <is>
          <t>Function-wide and cross-product problems; personally handles the most critical client or technical work</t>
        </is>
      </c>
      <c r="I10" s="84" t="inlineStr">
        <is>
          <t>Already works at D1: Competing strategic, financial and regulatory priorities</t>
        </is>
      </c>
      <c r="J10" s="34" t="inlineStr">
        <is>
          <t>M</t>
        </is>
      </c>
      <c r="K10" s="84" t="inlineStr">
        <is>
          <t>Works at C2: Sets direction for a function</t>
        </is>
      </c>
      <c r="L10" s="84" t="inlineStr">
        <is>
          <t>Sets direction for the function; business-line trade-offs go to the Business Head</t>
        </is>
      </c>
      <c r="M10" s="84" t="inlineStr">
        <is>
          <t>Already works at D1: Sets business-line direction, pricing and investment</t>
        </is>
      </c>
      <c r="N10" s="34" t="inlineStr">
        <is>
          <t>M</t>
        </is>
      </c>
      <c r="O10" s="84" t="inlineStr">
        <is>
          <t>Works at C2: Function results, budget and risk</t>
        </is>
      </c>
      <c r="P10" s="84" t="inlineStr">
        <is>
          <t>Function results, budget and key-client outcomes; carries own book or principal delivery</t>
        </is>
      </c>
      <c r="Q10" s="84" t="inlineStr">
        <is>
          <t>Already works at D1: Business-line P&amp;L and market position</t>
        </is>
      </c>
      <c r="R10" s="34" t="inlineStr">
        <is>
          <t>M</t>
        </is>
      </c>
      <c r="S10" s="56" t="inlineStr">
        <is>
          <t>Works at C2: Leads a function; shapes functional strategy</t>
        </is>
      </c>
      <c r="T10" s="56" t="inlineStr">
        <is>
          <t>Leads managers and leads and 10+ people in the function while staying hands-on</t>
        </is>
      </c>
      <c r="U10" s="56" t="inlineStr">
        <is>
          <t>Already works at D1: Defines business strategy; builds the leadership bench</t>
        </is>
      </c>
      <c r="V10" s="34" t="inlineStr">
        <is>
          <t>L</t>
        </is>
      </c>
      <c r="W10" s="56" t="inlineStr">
        <is>
          <t>Works at C2: Drives a function's or department's results and costs</t>
        </is>
      </c>
      <c r="X10" s="56" t="inlineStr">
        <is>
          <t>Drives a function's results and personally wins or delivers key work</t>
        </is>
      </c>
      <c r="Y10" s="56" t="inlineStr">
        <is>
          <t>Already works at D1: Owns a business line's P&amp;L and growth, or a company-wide function</t>
        </is>
      </c>
      <c r="Z10" s="34" t="inlineStr">
        <is>
          <t>L</t>
        </is>
      </c>
      <c r="AA10" s="85" t="inlineStr">
        <is>
          <t>Less experience than the band's typical 13–18 yrs</t>
        </is>
      </c>
      <c r="AB10" s="85" t="inlineStr">
        <is>
          <t>Typical for the band: 13–18 yrs · market 15–18 yrs</t>
        </is>
      </c>
      <c r="AC10" s="85" t="inlineStr">
        <is>
          <t>More experience than the band's typical 13–18 yrs</t>
        </is>
      </c>
      <c r="AD10" s="34" t="inlineStr">
        <is>
          <t>L</t>
        </is>
      </c>
      <c r="AE10" s="85" t="inlineStr">
        <is>
          <t>Below: Postgraduate / professional qualification preferred</t>
        </is>
      </c>
      <c r="AF10" s="85" t="inlineStr">
        <is>
          <t>Postgraduate / professional qualification preferred</t>
        </is>
      </c>
      <c r="AG10" s="85" t="inlineStr">
        <is>
          <t>Above: Postgraduate / professional qualification preferred</t>
        </is>
      </c>
      <c r="AH10" s="44" t="inlineStr">
        <is>
          <t>37.7 · 18.3 · 10.7 · 20 · 8 · 4 · 1</t>
        </is>
      </c>
      <c r="AI10" s="38" t="inlineStr">
        <is>
          <t>15–18</t>
        </is>
      </c>
      <c r="AJ10" s="38" t="inlineStr">
        <is>
          <t>4–8 managers / leads with ≥ 25% of time on own principal delivery</t>
        </is>
      </c>
      <c r="AK10" s="38" t="inlineStr">
        <is>
          <t>M6 / E1 · SFIA 6 Initiate, influence</t>
        </is>
      </c>
      <c r="AL10"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1" ht="120" customHeight="1">
      <c r="A11" s="88" t="inlineStr">
        <is>
          <t>C2</t>
        </is>
      </c>
      <c r="B11" s="29" t="inlineStr">
        <is>
          <t>Band C · Principal / Head</t>
        </is>
      </c>
      <c r="C11" s="29" t="inlineStr">
        <is>
          <t>Band C · Head / manager</t>
        </is>
      </c>
      <c r="D11" s="29" t="inlineStr">
        <is>
          <t>Head of Function</t>
        </is>
      </c>
      <c r="E11" s="29" t="inlineStr">
        <is>
          <t>— no role at this level today</t>
        </is>
      </c>
      <c r="F11" s="34" t="inlineStr">
        <is>
          <t>H</t>
        </is>
      </c>
      <c r="G11" s="84" t="inlineStr">
        <is>
          <t>Works at C1: Ambiguous, cross-product problems</t>
        </is>
      </c>
      <c r="H11" s="84" t="inlineStr">
        <is>
          <t>Function-wide or company-wide problems; creates methods and standards</t>
        </is>
      </c>
      <c r="I11" s="84" t="inlineStr">
        <is>
          <t>Already works at D1: Competing strategic, financial and regulatory priorities</t>
        </is>
      </c>
      <c r="J11" s="34" t="inlineStr">
        <is>
          <t>M</t>
        </is>
      </c>
      <c r="K11" s="84" t="inlineStr">
        <is>
          <t>Works at C1: Sets direction for a sub-function or domain</t>
        </is>
      </c>
      <c r="L11" s="84" t="inlineStr">
        <is>
          <t>Sets direction for a function</t>
        </is>
      </c>
      <c r="M11" s="84" t="inlineStr">
        <is>
          <t>Already works at D1: Sets business-line direction, pricing and investment</t>
        </is>
      </c>
      <c r="N11" s="34" t="inlineStr">
        <is>
          <t>L</t>
        </is>
      </c>
      <c r="O11" s="84" t="inlineStr">
        <is>
          <t>Works at C1: Sub-function results or domain quality across products</t>
        </is>
      </c>
      <c r="P11" s="84" t="inlineStr">
        <is>
          <t>Function results, budget and risk</t>
        </is>
      </c>
      <c r="Q11" s="84" t="inlineStr">
        <is>
          <t>Already works at D1: Business-line P&amp;L and market position</t>
        </is>
      </c>
      <c r="R11" s="34" t="inlineStr">
        <is>
          <t>M</t>
        </is>
      </c>
      <c r="S11" s="56" t="inlineStr">
        <is>
          <t>Works at C1: Leads managers or a community of practice</t>
        </is>
      </c>
      <c r="T11" s="56" t="inlineStr">
        <is>
          <t>Leads a function; shapes functional strategy</t>
        </is>
      </c>
      <c r="U11" s="56" t="inlineStr">
        <is>
          <t>Already works at D1: Defines business strategy; builds the leadership bench</t>
        </is>
      </c>
      <c r="V11" s="34" t="inlineStr">
        <is>
          <t>L</t>
        </is>
      </c>
      <c r="W11" s="56" t="inlineStr">
        <is>
          <t>Works at C1: Changes results across a sub-function or across products</t>
        </is>
      </c>
      <c r="X11" s="56" t="inlineStr">
        <is>
          <t>Drives a function's or department's results and costs</t>
        </is>
      </c>
      <c r="Y11" s="56" t="inlineStr">
        <is>
          <t>Already works at D1: Owns a business line's P&amp;L and growth, or a company-wide function</t>
        </is>
      </c>
      <c r="Z11" s="34" t="inlineStr">
        <is>
          <t>L</t>
        </is>
      </c>
      <c r="AA11" s="85" t="inlineStr">
        <is>
          <t>Less experience than the band's typical 12–17 yrs</t>
        </is>
      </c>
      <c r="AB11" s="85" t="inlineStr">
        <is>
          <t>Typical for the band: 12–17 yrs · market — yrs</t>
        </is>
      </c>
      <c r="AC11" s="85" t="inlineStr">
        <is>
          <t>More experience than the band's typical 12–17 yrs</t>
        </is>
      </c>
      <c r="AD11" s="34" t="inlineStr">
        <is>
          <t>L</t>
        </is>
      </c>
      <c r="AE11" s="85" t="inlineStr">
        <is>
          <t>Below: Postgraduate / professional qualification preferred</t>
        </is>
      </c>
      <c r="AF11" s="85" t="inlineStr">
        <is>
          <t>Postgraduate / professional qualification preferred</t>
        </is>
      </c>
      <c r="AG11" s="85" t="inlineStr">
        <is>
          <t>Above: Postgraduate / professional qualification preferred</t>
        </is>
      </c>
      <c r="AH11" s="44" t="inlineStr">
        <is>
          <t>43.3 · 18 · 10.7 · 15 · 8 · 4 · 1</t>
        </is>
      </c>
      <c r="AI11" s="38" t="inlineStr">
        <is>
          <t>12–17 yrs</t>
        </is>
      </c>
      <c r="AJ11" s="38" t="inlineStr">
        <is>
          <t>5–8 managers / associate heads</t>
        </is>
      </c>
      <c r="AK11" s="38" t="inlineStr">
        <is>
          <t>P7 / M6 · SFIA 6 Initiate, influence</t>
        </is>
      </c>
      <c r="AL11"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2" ht="120" customHeight="1">
      <c r="A12" s="88" t="inlineStr">
        <is>
          <t>C2</t>
        </is>
      </c>
      <c r="B12" s="29" t="inlineStr">
        <is>
          <t>Band C · Principal / Head</t>
        </is>
      </c>
      <c r="C12" s="29" t="inlineStr">
        <is>
          <t>Band C · Principal specialist</t>
        </is>
      </c>
      <c r="D12" s="29" t="inlineStr">
        <is>
          <t>Senior Principal / Architect</t>
        </is>
      </c>
      <c r="E12" s="29" t="inlineStr">
        <is>
          <t>— no role at this level today</t>
        </is>
      </c>
      <c r="F12" s="34" t="inlineStr">
        <is>
          <t>H</t>
        </is>
      </c>
      <c r="G12" s="84" t="inlineStr">
        <is>
          <t>Works at C1: Ambiguous, cross-product problems</t>
        </is>
      </c>
      <c r="H12" s="84" t="inlineStr">
        <is>
          <t>Function-wide or company-wide problems; creates methods and standards</t>
        </is>
      </c>
      <c r="I12" s="84" t="inlineStr">
        <is>
          <t>Already works at D1: Competing strategic, financial and regulatory priorities</t>
        </is>
      </c>
      <c r="J12" s="34" t="inlineStr">
        <is>
          <t>M</t>
        </is>
      </c>
      <c r="K12" s="84" t="inlineStr">
        <is>
          <t>Works at C1: Sets direction for a sub-function or domain</t>
        </is>
      </c>
      <c r="L12" s="84" t="inlineStr">
        <is>
          <t>Sets direction for a function</t>
        </is>
      </c>
      <c r="M12" s="84" t="inlineStr">
        <is>
          <t>Already works at D1: Sets business-line direction, pricing and investment</t>
        </is>
      </c>
      <c r="N12" s="34" t="inlineStr">
        <is>
          <t>L</t>
        </is>
      </c>
      <c r="O12" s="84" t="inlineStr">
        <is>
          <t>Works at C1: Sub-function results or domain quality across products</t>
        </is>
      </c>
      <c r="P12" s="84" t="inlineStr">
        <is>
          <t>Function results, budget and risk</t>
        </is>
      </c>
      <c r="Q12" s="84" t="inlineStr">
        <is>
          <t>Already works at D1: Business-line P&amp;L and market position</t>
        </is>
      </c>
      <c r="R12" s="34" t="inlineStr">
        <is>
          <t>L</t>
        </is>
      </c>
      <c r="S12" s="56" t="inlineStr">
        <is>
          <t>Works at C1: Leads managers or a community of practice</t>
        </is>
      </c>
      <c r="T12" s="56" t="inlineStr">
        <is>
          <t>Leads a function; shapes functional strategy</t>
        </is>
      </c>
      <c r="U12" s="56" t="inlineStr">
        <is>
          <t>Already works at D1: Defines business strategy; builds the leadership bench</t>
        </is>
      </c>
      <c r="V12" s="34" t="inlineStr">
        <is>
          <t>L</t>
        </is>
      </c>
      <c r="W12" s="56" t="inlineStr">
        <is>
          <t>Works at C1: Changes results across a sub-function or across products</t>
        </is>
      </c>
      <c r="X12" s="56" t="inlineStr">
        <is>
          <t>Drives a function's or department's results and costs</t>
        </is>
      </c>
      <c r="Y12" s="56" t="inlineStr">
        <is>
          <t>Already works at D1: Owns a business line's P&amp;L and growth, or a company-wide function</t>
        </is>
      </c>
      <c r="Z12" s="34" t="inlineStr">
        <is>
          <t>L</t>
        </is>
      </c>
      <c r="AA12" s="85" t="inlineStr">
        <is>
          <t>Less experience than the band's typical 12–17 yrs</t>
        </is>
      </c>
      <c r="AB12" s="85" t="inlineStr">
        <is>
          <t>Typical for the band: 12–17 yrs · market — yrs</t>
        </is>
      </c>
      <c r="AC12" s="85" t="inlineStr">
        <is>
          <t>More experience than the band's typical 12–17 yrs</t>
        </is>
      </c>
      <c r="AD12" s="34" t="inlineStr">
        <is>
          <t>L</t>
        </is>
      </c>
      <c r="AE12" s="85" t="inlineStr">
        <is>
          <t>Below: Postgraduate / professional qualification preferred</t>
        </is>
      </c>
      <c r="AF12" s="85" t="inlineStr">
        <is>
          <t>Postgraduate / professional qualification preferred</t>
        </is>
      </c>
      <c r="AG12" s="85" t="inlineStr">
        <is>
          <t>Above: Postgraduate / professional qualification preferred</t>
        </is>
      </c>
      <c r="AH12" s="44" t="inlineStr">
        <is>
          <t>54.3 · 17.7 · 10.3 · 5 · 7.7 · 4 · 1</t>
        </is>
      </c>
      <c r="AI12" s="38" t="inlineStr">
        <is>
          <t>12–17 yrs</t>
        </is>
      </c>
      <c r="AJ12" s="38" t="inlineStr">
        <is>
          <t>5–8 managers / associate heads</t>
        </is>
      </c>
      <c r="AK12" s="38" t="inlineStr">
        <is>
          <t>P7 / M6 · SFIA 6 Initiate, influence</t>
        </is>
      </c>
      <c r="AL12"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3" ht="120" customHeight="1">
      <c r="A13" s="88" t="inlineStr">
        <is>
          <t>C1</t>
        </is>
      </c>
      <c r="B13" s="29" t="inlineStr">
        <is>
          <t>Band C · Principal / Head</t>
        </is>
      </c>
      <c r="C13" s="29" t="inlineStr">
        <is>
          <t>Band C · Head / manager</t>
        </is>
      </c>
      <c r="D13" s="29" t="inlineStr">
        <is>
          <t>Associate Head</t>
        </is>
      </c>
      <c r="E13" s="29" t="inlineStr">
        <is>
          <t>Solution &amp; Technical Architecture · Technical Architect · Solution Architect</t>
        </is>
      </c>
      <c r="F13" s="34" t="inlineStr">
        <is>
          <t>H</t>
        </is>
      </c>
      <c r="G13" s="84" t="inlineStr">
        <is>
          <t>Works at B3: Sets standards for a practice; cross-team problems</t>
        </is>
      </c>
      <c r="H13" s="84" t="inlineStr">
        <is>
          <t>Ambiguous, cross-product problems · in Engineering &amp; Architecture: Java · NET MVC · Spring Boot</t>
        </is>
      </c>
      <c r="I13" s="84" t="inlineStr">
        <is>
          <t>Already works at C2: Function-wide or company-wide problems; creates methods and standards</t>
        </is>
      </c>
      <c r="J13" s="34" t="inlineStr">
        <is>
          <t>M</t>
        </is>
      </c>
      <c r="K13" s="84" t="inlineStr">
        <is>
          <t>Works at B3: Commercial / strategic calls for the unit</t>
        </is>
      </c>
      <c r="L13" s="84" t="inlineStr">
        <is>
          <t>Sets direction for a sub-function or domain</t>
        </is>
      </c>
      <c r="M13" s="84" t="inlineStr">
        <is>
          <t>Already works at C2: Sets direction for a function</t>
        </is>
      </c>
      <c r="N13" s="34" t="inlineStr">
        <is>
          <t>L</t>
        </is>
      </c>
      <c r="O13" s="84" t="inlineStr">
        <is>
          <t>Works at B3: Several teams or a practice</t>
        </is>
      </c>
      <c r="P13" s="84" t="inlineStr">
        <is>
          <t>Sub-function results or domain quality across products</t>
        </is>
      </c>
      <c r="Q13" s="84" t="inlineStr">
        <is>
          <t>Already works at C2: Function results, budget and risk</t>
        </is>
      </c>
      <c r="R13" s="34" t="inlineStr">
        <is>
          <t>M</t>
        </is>
      </c>
      <c r="S13" s="56" t="inlineStr">
        <is>
          <t>Works at B3: IC: leads a practice · People: team leads / managers report in</t>
        </is>
      </c>
      <c r="T13" s="56" t="inlineStr">
        <is>
          <t>Leads managers or a community of practice</t>
        </is>
      </c>
      <c r="U13" s="56" t="inlineStr">
        <is>
          <t>Already works at C2: Leads a function; shapes functional strategy</t>
        </is>
      </c>
      <c r="V13" s="34" t="inlineStr">
        <is>
          <t>L</t>
        </is>
      </c>
      <c r="W13" s="56" t="inlineStr">
        <is>
          <t>Works at B3: Shapes the results of a practice or several teams</t>
        </is>
      </c>
      <c r="X13" s="56" t="inlineStr">
        <is>
          <t>Changes results across a sub-function or across products · purpose: Designs system / solution architecture, integrations and technical standards; guides build teams. At C1: a sub-function, or principal authority across …</t>
        </is>
      </c>
      <c r="Y13" s="56" t="inlineStr">
        <is>
          <t>Already works at C2: Drives a function's or department's results and costs</t>
        </is>
      </c>
      <c r="Z13" s="34" t="inlineStr">
        <is>
          <t>L</t>
        </is>
      </c>
      <c r="AA13" s="85" t="inlineStr">
        <is>
          <t>Less experience than the band's typical 10–14 yrs</t>
        </is>
      </c>
      <c r="AB13" s="85" t="inlineStr">
        <is>
          <t>Typical for the band: 10–14 yrs · market 12–17 yrs</t>
        </is>
      </c>
      <c r="AC13" s="85" t="inlineStr">
        <is>
          <t>More experience than the band's typical 10–14 yrs</t>
        </is>
      </c>
      <c r="AD13" s="34" t="inlineStr">
        <is>
          <t>L</t>
        </is>
      </c>
      <c r="AE13" s="85" t="inlineStr">
        <is>
          <t>Below: Postgraduate or professional qualification preferred</t>
        </is>
      </c>
      <c r="AF13" s="85" t="inlineStr">
        <is>
          <t>Postgraduate / professional qualification preferred</t>
        </is>
      </c>
      <c r="AG13" s="85" t="inlineStr">
        <is>
          <t>Above: Postgraduate / professional qualification preferred</t>
        </is>
      </c>
      <c r="AH13" s="44" t="inlineStr">
        <is>
          <t>43.3 · 18 · 10.7 · 15 · 8 · 4 · 1</t>
        </is>
      </c>
      <c r="AI13" s="38" t="inlineStr">
        <is>
          <t>12–17</t>
        </is>
      </c>
      <c r="AJ13" s="38" t="inlineStr">
        <is>
          <t>5–8, mostly managers</t>
        </is>
      </c>
      <c r="AK13" s="38" t="inlineStr">
        <is>
          <t>P6 / M5 · SFIA 5–6</t>
        </is>
      </c>
      <c r="AL13"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4" ht="120" customHeight="1">
      <c r="A14" s="88" t="inlineStr">
        <is>
          <t>C1</t>
        </is>
      </c>
      <c r="B14" s="29" t="inlineStr">
        <is>
          <t>Band C · Principal / Head</t>
        </is>
      </c>
      <c r="C14" s="29" t="inlineStr">
        <is>
          <t>Band C · Principal specialist</t>
        </is>
      </c>
      <c r="D14" s="29" t="inlineStr">
        <is>
          <t>Principal</t>
        </is>
      </c>
      <c r="E14" s="29" t="inlineStr">
        <is>
          <t>Solution &amp; Technical Architecture · Technical Architect · Solution Architect</t>
        </is>
      </c>
      <c r="F14" s="34" t="inlineStr">
        <is>
          <t>H</t>
        </is>
      </c>
      <c r="G14" s="84" t="inlineStr">
        <is>
          <t>Works at B3: Sets standards for a practice; cross-team problems</t>
        </is>
      </c>
      <c r="H14" s="84" t="inlineStr">
        <is>
          <t>Ambiguous, cross-product problems · in Engineering &amp; Architecture: Java · NET MVC · Spring Boot</t>
        </is>
      </c>
      <c r="I14" s="84" t="inlineStr">
        <is>
          <t>Already works at C2: Function-wide or company-wide problems; creates methods and standards</t>
        </is>
      </c>
      <c r="J14" s="34" t="inlineStr">
        <is>
          <t>M</t>
        </is>
      </c>
      <c r="K14" s="84" t="inlineStr">
        <is>
          <t>Works at B3: Commercial / strategic calls for the unit</t>
        </is>
      </c>
      <c r="L14" s="84" t="inlineStr">
        <is>
          <t>Sets direction for a sub-function or domain</t>
        </is>
      </c>
      <c r="M14" s="84" t="inlineStr">
        <is>
          <t>Already works at C2: Sets direction for a function</t>
        </is>
      </c>
      <c r="N14" s="34" t="inlineStr">
        <is>
          <t>L</t>
        </is>
      </c>
      <c r="O14" s="84" t="inlineStr">
        <is>
          <t>Works at B3: Several teams or a practice</t>
        </is>
      </c>
      <c r="P14" s="84" t="inlineStr">
        <is>
          <t>Sub-function results or domain quality across products</t>
        </is>
      </c>
      <c r="Q14" s="84" t="inlineStr">
        <is>
          <t>Already works at C2: Function results, budget and risk</t>
        </is>
      </c>
      <c r="R14" s="34" t="inlineStr">
        <is>
          <t>L</t>
        </is>
      </c>
      <c r="S14" s="56" t="inlineStr">
        <is>
          <t>Works at B3: IC: leads a practice · People: team leads / managers report in</t>
        </is>
      </c>
      <c r="T14" s="56" t="inlineStr">
        <is>
          <t>Leads managers or a community of practice</t>
        </is>
      </c>
      <c r="U14" s="56" t="inlineStr">
        <is>
          <t>Already works at C2: Leads a function; shapes functional strategy</t>
        </is>
      </c>
      <c r="V14" s="34" t="inlineStr">
        <is>
          <t>L</t>
        </is>
      </c>
      <c r="W14" s="56" t="inlineStr">
        <is>
          <t>Works at B3: Shapes the results of a practice or several teams</t>
        </is>
      </c>
      <c r="X14" s="56" t="inlineStr">
        <is>
          <t>Changes results across a sub-function or across products · purpose: Designs system / solution architecture, integrations and technical standards; guides build teams. At C1: a sub-function, or principal authority across …</t>
        </is>
      </c>
      <c r="Y14" s="56" t="inlineStr">
        <is>
          <t>Already works at C2: Drives a function's or department's results and costs</t>
        </is>
      </c>
      <c r="Z14" s="34" t="inlineStr">
        <is>
          <t>L</t>
        </is>
      </c>
      <c r="AA14" s="85" t="inlineStr">
        <is>
          <t>Less experience than the band's typical 10–14 yrs</t>
        </is>
      </c>
      <c r="AB14" s="85" t="inlineStr">
        <is>
          <t>Typical for the band: 10–14 yrs · market 12–17 yrs</t>
        </is>
      </c>
      <c r="AC14" s="85" t="inlineStr">
        <is>
          <t>More experience than the band's typical 10–14 yrs</t>
        </is>
      </c>
      <c r="AD14" s="34" t="inlineStr">
        <is>
          <t>L</t>
        </is>
      </c>
      <c r="AE14" s="85" t="inlineStr">
        <is>
          <t>Below: Postgraduate or professional qualification preferred</t>
        </is>
      </c>
      <c r="AF14" s="85" t="inlineStr">
        <is>
          <t>Postgraduate / professional qualification preferred</t>
        </is>
      </c>
      <c r="AG14" s="85" t="inlineStr">
        <is>
          <t>Above: Postgraduate / professional qualification preferred</t>
        </is>
      </c>
      <c r="AH14" s="44" t="inlineStr">
        <is>
          <t>54.3 · 17.7 · 10.3 · 5 · 7.7 · 4 · 1</t>
        </is>
      </c>
      <c r="AI14" s="38" t="inlineStr">
        <is>
          <t>12–17</t>
        </is>
      </c>
      <c r="AJ14" s="38" t="inlineStr">
        <is>
          <t>5–8, mostly managers</t>
        </is>
      </c>
      <c r="AK14" s="38" t="inlineStr">
        <is>
          <t>P6 / M5 · SFIA 5–6</t>
        </is>
      </c>
      <c r="AL14"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5" ht="120" customHeight="1">
      <c r="A15" s="89" t="inlineStr">
        <is>
          <t>B+</t>
        </is>
      </c>
      <c r="B15" s="29" t="inlineStr">
        <is>
          <t>B+ · Player-Coach</t>
        </is>
      </c>
      <c r="C15" s="29" t="inlineStr">
        <is>
          <t>B+ · Player-Coach</t>
        </is>
      </c>
      <c r="D15" s="29" t="inlineStr">
        <is>
          <t>Practice Lead · Player-Coach</t>
        </is>
      </c>
      <c r="E15" s="29" t="inlineStr">
        <is>
          <t>Solution &amp; Technical Architecture · Practice Lead – Solution &amp; Technical Architecture · Player-Coach</t>
        </is>
      </c>
      <c r="F15" s="34" t="inlineStr">
        <is>
          <t>H</t>
        </is>
      </c>
      <c r="G15" s="84" t="inlineStr">
        <is>
          <t>Works at B3: Sets standards for a practice; cross-team problems</t>
        </is>
      </c>
      <c r="H15" s="84" t="inlineStr">
        <is>
          <t>Principal-level problems in own domain; sets technical or quality standards and still builds · in Engineering &amp; Architecture: Java · Spring Boot · NET MVC</t>
        </is>
      </c>
      <c r="I15" s="84" t="inlineStr">
        <is>
          <t>Already works at C1: Ambiguous, cross-product problems</t>
        </is>
      </c>
      <c r="J15" s="34" t="inlineStr">
        <is>
          <t>M</t>
        </is>
      </c>
      <c r="K15" s="84" t="inlineStr">
        <is>
          <t>Works at B3: Commercial / strategic calls for the unit</t>
        </is>
      </c>
      <c r="L15" s="84" t="inlineStr">
        <is>
          <t>Decides approach and priorities for the practice; escalates only cross-function trade-offs</t>
        </is>
      </c>
      <c r="M15" s="84" t="inlineStr">
        <is>
          <t>Already works at C1: Sets direction for a sub-function or domain</t>
        </is>
      </c>
      <c r="N15" s="34" t="inlineStr">
        <is>
          <t>L</t>
        </is>
      </c>
      <c r="O15" s="84" t="inlineStr">
        <is>
          <t>Works at B3: Several teams or a practice</t>
        </is>
      </c>
      <c r="P15" s="84" t="inlineStr">
        <is>
          <t>Practice outcomes plus own deliverables; quality and delivery of the team · KRA themes: Common themes in manager-set KRAs: support · technical · project · completion · develop · year</t>
        </is>
      </c>
      <c r="Q15" s="84" t="inlineStr">
        <is>
          <t>Already works at C1: Sub-function results or domain quality across products</t>
        </is>
      </c>
      <c r="R15" s="34" t="inlineStr">
        <is>
          <t>M</t>
        </is>
      </c>
      <c r="S15" s="56" t="inlineStr">
        <is>
          <t>Works at B3: IC: leads a practice · People: team leads / managers report in</t>
        </is>
      </c>
      <c r="T15" s="56" t="inlineStr">
        <is>
          <t>Leads 3–6 people · or a pod while remaining a hands-on expert; coaches, allocates, reviews</t>
        </is>
      </c>
      <c r="U15" s="56" t="inlineStr">
        <is>
          <t>Already works at C1: Leads managers or a community of practice</t>
        </is>
      </c>
      <c r="V15" s="34" t="inlineStr">
        <is>
          <t>L</t>
        </is>
      </c>
      <c r="W15" s="56" t="inlineStr">
        <is>
          <t>Works at B3: Shapes the results of a practice or several teams</t>
        </is>
      </c>
      <c r="X15" s="56" t="inlineStr">
        <is>
          <t>Drives a practice's results while delivering the hardest work · purpose: Designs system / solution architecture, integrations and technical standards; guides build teams. At B+: a practice or product area: does the hardest hands-on …</t>
        </is>
      </c>
      <c r="Y15" s="56" t="inlineStr">
        <is>
          <t>Already works at C1: Changes results across a sub-function or across products</t>
        </is>
      </c>
      <c r="Z15" s="34" t="inlineStr">
        <is>
          <t>L</t>
        </is>
      </c>
      <c r="AA15" s="85" t="inlineStr">
        <is>
          <t>Less experience than the band's typical 9–14 yrs</t>
        </is>
      </c>
      <c r="AB15" s="85" t="inlineStr">
        <is>
          <t>Typical for the band: 9–14 yrs · market 9–14 yrs</t>
        </is>
      </c>
      <c r="AC15" s="85" t="inlineStr">
        <is>
          <t>More experience than the band's typical 9–14 yrs</t>
        </is>
      </c>
      <c r="AD15" s="34" t="inlineStr">
        <is>
          <t>L</t>
        </is>
      </c>
      <c r="AE15" s="85" t="inlineStr">
        <is>
          <t>Below: Postgraduate or professional qualification preferred</t>
        </is>
      </c>
      <c r="AF15" s="85" t="inlineStr">
        <is>
          <t>Postgraduate or professional qualification preferred</t>
        </is>
      </c>
      <c r="AG15" s="85" t="inlineStr">
        <is>
          <t>Above: Postgraduate / professional qualification preferred</t>
        </is>
      </c>
      <c r="AH15" s="44" t="inlineStr">
        <is>
          <t>44 · 17.7 · 10.3 · 10 · 7.7 · 6 · 4</t>
        </is>
      </c>
      <c r="AI15" s="38" t="inlineStr">
        <is>
          <t>9–14</t>
        </is>
      </c>
      <c r="AJ15" s="38" t="inlineStr">
        <is>
          <t>3–6 direct reports with ≥ 40% of time on own delivery · McKinsey player/coach 3–5; Google Tech Lead Manager</t>
        </is>
      </c>
      <c r="AK15" s="38" t="inlineStr">
        <is>
          <t>P5–P6 / M4–M5 · SFIA 5 Ensure, advise</t>
        </is>
      </c>
      <c r="AL15"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6" ht="120" customHeight="1">
      <c r="A16" s="90" t="inlineStr">
        <is>
          <t>B3</t>
        </is>
      </c>
      <c r="B16" s="29" t="inlineStr">
        <is>
          <t>Band B · Specialist / Manager</t>
        </is>
      </c>
      <c r="C16" s="29" t="inlineStr">
        <is>
          <t>Band B · People Manager</t>
        </is>
      </c>
      <c r="D16" s="29" t="inlineStr">
        <is>
          <t>Senior Manager</t>
        </is>
      </c>
      <c r="E16" s="29" t="inlineStr">
        <is>
          <t>Solution &amp; Technical Architecture · Technical Architect · Associate Technical Architect – POD Lead · Associate Technical Architect</t>
        </is>
      </c>
      <c r="F16" s="34" t="inlineStr">
        <is>
          <t>H</t>
        </is>
      </c>
      <c r="G16" s="84" t="inlineStr">
        <is>
          <t>Works at B2: Hardest problems in the domain</t>
        </is>
      </c>
      <c r="H16" s="84" t="inlineStr">
        <is>
          <t>Sets standards for a practice; cross-team problems · in Engineering &amp; Architecture: Java · NET MVC</t>
        </is>
      </c>
      <c r="I16" s="84" t="inlineStr">
        <is>
          <t>Already works at C1: Ambiguous, cross-product problems</t>
        </is>
      </c>
      <c r="J16" s="34" t="inlineStr">
        <is>
          <t>M</t>
        </is>
      </c>
      <c r="K16" s="84" t="inlineStr">
        <is>
          <t>Works at B2: Allocates people and sets team priorities</t>
        </is>
      </c>
      <c r="L16" s="84" t="inlineStr">
        <is>
          <t>Commercial / strategic calls for the unit</t>
        </is>
      </c>
      <c r="M16" s="84" t="inlineStr">
        <is>
          <t>Already works at C1: Sets direction for a sub-function or domain</t>
        </is>
      </c>
      <c r="N16" s="34" t="inlineStr">
        <is>
          <t>L</t>
        </is>
      </c>
      <c r="O16" s="84" t="inlineStr">
        <is>
          <t>Works at B2: One team or a client portfolio</t>
        </is>
      </c>
      <c r="P16" s="84" t="inlineStr">
        <is>
          <t>Several teams or a practice · KRA themes: Common themes in manager-set KRAs: code · leakage qa/uat · defect · technical · quality · agreed</t>
        </is>
      </c>
      <c r="Q16" s="84" t="inlineStr">
        <is>
          <t>Already works at C1: Sub-function results or domain quality across products</t>
        </is>
      </c>
      <c r="R16" s="34" t="inlineStr">
        <is>
          <t>M</t>
        </is>
      </c>
      <c r="S16" s="56" t="inlineStr">
        <is>
          <t>Works at B2: IC: guides others in the domain · People: manages a team of 6+</t>
        </is>
      </c>
      <c r="T16" s="56" t="inlineStr">
        <is>
          <t>IC: leads a practice · People: team leads / managers report in</t>
        </is>
      </c>
      <c r="U16" s="56" t="inlineStr">
        <is>
          <t>Already works at C1: Leads managers or a community of practice</t>
        </is>
      </c>
      <c r="V16" s="34" t="inlineStr">
        <is>
          <t>L</t>
        </is>
      </c>
      <c r="W16" s="56" t="inlineStr">
        <is>
          <t>Works at B2: Visible effect on a team's or client portfolio's revenue, quality or compliance</t>
        </is>
      </c>
      <c r="X16" s="56" t="inlineStr">
        <is>
          <t>Shapes the results of a practice or several teams · purpose: Designs system / solution architecture, integrations and technical standards; guides build teams. At B3: a practice, or several teams through team …</t>
        </is>
      </c>
      <c r="Y16" s="56" t="inlineStr">
        <is>
          <t>Already works at C1: Changes results across a sub-function or across products</t>
        </is>
      </c>
      <c r="Z16" s="34" t="inlineStr">
        <is>
          <t>L</t>
        </is>
      </c>
      <c r="AA16" s="85" t="inlineStr">
        <is>
          <t>Less experience than the band's typical 8–12 yrs</t>
        </is>
      </c>
      <c r="AB16" s="85" t="inlineStr">
        <is>
          <t>Typical for the band: 8–12 yrs · market 8–13 yrs</t>
        </is>
      </c>
      <c r="AC16" s="85" t="inlineStr">
        <is>
          <t>More experience than the band's typical 8–12 yrs</t>
        </is>
      </c>
      <c r="AD16" s="34" t="inlineStr">
        <is>
          <t>L</t>
        </is>
      </c>
      <c r="AE16" s="85" t="inlineStr">
        <is>
          <t>Below: Graduate or postgraduate; professional qualification preferred</t>
        </is>
      </c>
      <c r="AF16" s="85" t="inlineStr">
        <is>
          <t>Postgraduate or professional qualification preferred</t>
        </is>
      </c>
      <c r="AG16" s="85" t="inlineStr">
        <is>
          <t>Above: Postgraduate / professional qualification preferred</t>
        </is>
      </c>
      <c r="AH16" s="44" t="inlineStr">
        <is>
          <t>37 · 18.3 · 11.3 · 15 · 8.7 · 6 · 4</t>
        </is>
      </c>
      <c r="AI16" s="38" t="inlineStr">
        <is>
          <t>8–13</t>
        </is>
      </c>
      <c r="AJ16" s="38" t="inlineStr">
        <is>
          <t>IC: none · People: 5–8 incl. team leads</t>
        </is>
      </c>
      <c r="AK16" s="38" t="inlineStr">
        <is>
          <t>P5 / M4 · SFIA 5 Ensure, advise</t>
        </is>
      </c>
      <c r="AL16"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7" ht="120" customHeight="1">
      <c r="A17" s="90" t="inlineStr">
        <is>
          <t>B3</t>
        </is>
      </c>
      <c r="B17" s="29" t="inlineStr">
        <is>
          <t>Band B · Specialist / Manager</t>
        </is>
      </c>
      <c r="C17" s="29" t="inlineStr">
        <is>
          <t>Band B · Specialist / POD Lead</t>
        </is>
      </c>
      <c r="D17" s="29" t="inlineStr">
        <is>
          <t>Lead Specialist</t>
        </is>
      </c>
      <c r="E17" s="29" t="inlineStr">
        <is>
          <t>Solution &amp; Technical Architecture · Technical Architect · Associate Technical Architect – POD Lead · Associate Technical Architect</t>
        </is>
      </c>
      <c r="F17" s="34" t="inlineStr">
        <is>
          <t>H</t>
        </is>
      </c>
      <c r="G17" s="84" t="inlineStr">
        <is>
          <t>Works at B2: Hardest problems in the domain</t>
        </is>
      </c>
      <c r="H17" s="84" t="inlineStr">
        <is>
          <t>Sets standards for a practice; cross-team problems · in Engineering &amp; Architecture: Java · NET MVC</t>
        </is>
      </c>
      <c r="I17" s="84" t="inlineStr">
        <is>
          <t>Already works at C1: Ambiguous, cross-product problems</t>
        </is>
      </c>
      <c r="J17" s="34" t="inlineStr">
        <is>
          <t>M</t>
        </is>
      </c>
      <c r="K17" s="84" t="inlineStr">
        <is>
          <t>Works at B2: Allocates people and sets team priorities</t>
        </is>
      </c>
      <c r="L17" s="84" t="inlineStr">
        <is>
          <t>Commercial / strategic calls for the unit</t>
        </is>
      </c>
      <c r="M17" s="84" t="inlineStr">
        <is>
          <t>Already works at C1: Sets direction for a sub-function or domain</t>
        </is>
      </c>
      <c r="N17" s="34" t="inlineStr">
        <is>
          <t>L</t>
        </is>
      </c>
      <c r="O17" s="84" t="inlineStr">
        <is>
          <t>Works at B2: One team or a client portfolio</t>
        </is>
      </c>
      <c r="P17" s="84" t="inlineStr">
        <is>
          <t>Several teams or a practice · KRA themes: Common themes in manager-set KRAs: code · leakage qa/uat · defect · technical · quality · agreed</t>
        </is>
      </c>
      <c r="Q17" s="84" t="inlineStr">
        <is>
          <t>Already works at C1: Sub-function results or domain quality across products</t>
        </is>
      </c>
      <c r="R17" s="34" t="inlineStr">
        <is>
          <t>L</t>
        </is>
      </c>
      <c r="S17" s="56" t="inlineStr">
        <is>
          <t>Works at B2: IC: guides others in the domain · People: manages a team of 6+</t>
        </is>
      </c>
      <c r="T17" s="56" t="inlineStr">
        <is>
          <t>IC: leads a practice · People: team leads / managers report in</t>
        </is>
      </c>
      <c r="U17" s="56" t="inlineStr">
        <is>
          <t>Already works at C1: Leads managers or a community of practice</t>
        </is>
      </c>
      <c r="V17" s="34" t="inlineStr">
        <is>
          <t>L</t>
        </is>
      </c>
      <c r="W17" s="56" t="inlineStr">
        <is>
          <t>Works at B2: Visible effect on a team's or client portfolio's revenue, quality or compliance</t>
        </is>
      </c>
      <c r="X17" s="56" t="inlineStr">
        <is>
          <t>Shapes the results of a practice or several teams · purpose: Designs system / solution architecture, integrations and technical standards; guides build teams. At B3: a practice, or several teams through team …</t>
        </is>
      </c>
      <c r="Y17" s="56" t="inlineStr">
        <is>
          <t>Already works at C1: Changes results across a sub-function or across products</t>
        </is>
      </c>
      <c r="Z17" s="34" t="inlineStr">
        <is>
          <t>L</t>
        </is>
      </c>
      <c r="AA17" s="85" t="inlineStr">
        <is>
          <t>Less experience than the band's typical 8–12 yrs</t>
        </is>
      </c>
      <c r="AB17" s="85" t="inlineStr">
        <is>
          <t>Typical for the band: 8–12 yrs · market 8–13 yrs</t>
        </is>
      </c>
      <c r="AC17" s="85" t="inlineStr">
        <is>
          <t>More experience than the band's typical 8–12 yrs</t>
        </is>
      </c>
      <c r="AD17" s="34" t="inlineStr">
        <is>
          <t>L</t>
        </is>
      </c>
      <c r="AE17" s="85" t="inlineStr">
        <is>
          <t>Below: Graduate or postgraduate; professional qualification preferred</t>
        </is>
      </c>
      <c r="AF17" s="85" t="inlineStr">
        <is>
          <t>Postgraduate or professional qualification preferred</t>
        </is>
      </c>
      <c r="AG17" s="85" t="inlineStr">
        <is>
          <t>Above: Postgraduate / professional qualification preferred</t>
        </is>
      </c>
      <c r="AH17" s="44" t="inlineStr">
        <is>
          <t>51.3 · 17.3 · 9.7 · 5 · 7 · 6 · 4</t>
        </is>
      </c>
      <c r="AI17" s="38" t="inlineStr">
        <is>
          <t>8–13</t>
        </is>
      </c>
      <c r="AJ17" s="38" t="inlineStr">
        <is>
          <t>IC: none · People: 5–8 incl. team leads</t>
        </is>
      </c>
      <c r="AK17" s="38" t="inlineStr">
        <is>
          <t>P5 / M4 · SFIA 5 Ensure, advise</t>
        </is>
      </c>
      <c r="AL17"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8" ht="120" customHeight="1">
      <c r="A18" s="90" t="inlineStr">
        <is>
          <t>B2</t>
        </is>
      </c>
      <c r="B18" s="29" t="inlineStr">
        <is>
          <t>Band B · Specialist / Manager</t>
        </is>
      </c>
      <c r="C18" s="29" t="inlineStr">
        <is>
          <t>Band B · People Manager</t>
        </is>
      </c>
      <c r="D18" s="29" t="inlineStr">
        <is>
          <t>Manager</t>
        </is>
      </c>
      <c r="E18" s="29" t="inlineStr">
        <is>
          <t>— no role at this level today</t>
        </is>
      </c>
      <c r="F18" s="34" t="inlineStr">
        <is>
          <t>H</t>
        </is>
      </c>
      <c r="G18" s="84" t="inlineStr">
        <is>
          <t>Works at B1: Domain specialist work</t>
        </is>
      </c>
      <c r="H18" s="84" t="inlineStr">
        <is>
          <t>Hardest problems in the domain</t>
        </is>
      </c>
      <c r="I18" s="84" t="inlineStr">
        <is>
          <t>Already works at B3: Sets standards for a practice; cross-team problems</t>
        </is>
      </c>
      <c r="J18" s="34" t="inlineStr">
        <is>
          <t>M</t>
        </is>
      </c>
      <c r="K18" s="84" t="inlineStr">
        <is>
          <t>Works at B1: Technical / QC / client calls for the domain</t>
        </is>
      </c>
      <c r="L18" s="84" t="inlineStr">
        <is>
          <t>Allocates people and sets team priorities</t>
        </is>
      </c>
      <c r="M18" s="84" t="inlineStr">
        <is>
          <t>Already works at B3: Commercial / strategic calls for the unit</t>
        </is>
      </c>
      <c r="N18" s="34" t="inlineStr">
        <is>
          <t>L</t>
        </is>
      </c>
      <c r="O18" s="84" t="inlineStr">
        <is>
          <t>Works at B1: A domain or a small team</t>
        </is>
      </c>
      <c r="P18" s="84" t="inlineStr">
        <is>
          <t>One team or a client portfolio</t>
        </is>
      </c>
      <c r="Q18" s="84" t="inlineStr">
        <is>
          <t>Already works at B3: Several teams or a practice</t>
        </is>
      </c>
      <c r="R18" s="34" t="inlineStr">
        <is>
          <t>M</t>
        </is>
      </c>
      <c r="S18" s="56" t="inlineStr">
        <is>
          <t>Works at B1: IC: mentors and reviews · People: hands-on team lead of 3–5</t>
        </is>
      </c>
      <c r="T18" s="56" t="inlineStr">
        <is>
          <t>IC: guides others in the domain · People: manages a team of 6+</t>
        </is>
      </c>
      <c r="U18" s="56" t="inlineStr">
        <is>
          <t>Already works at B3: IC: leads a practice · People: team leads / managers report in</t>
        </is>
      </c>
      <c r="V18" s="34" t="inlineStr">
        <is>
          <t>L</t>
        </is>
      </c>
      <c r="W18" s="56" t="inlineStr">
        <is>
          <t>Works at B1: Moves a module's, product area's or client account's results</t>
        </is>
      </c>
      <c r="X18" s="56" t="inlineStr">
        <is>
          <t>Visible effect on a team's or client portfolio's revenue, quality or compliance</t>
        </is>
      </c>
      <c r="Y18" s="56" t="inlineStr">
        <is>
          <t>Already works at B3: Shapes the results of a practice or several teams</t>
        </is>
      </c>
      <c r="Z18" s="34" t="inlineStr">
        <is>
          <t>L</t>
        </is>
      </c>
      <c r="AA18" s="85" t="inlineStr">
        <is>
          <t>Less experience than the band's typical 6–9 yrs</t>
        </is>
      </c>
      <c r="AB18" s="85" t="inlineStr">
        <is>
          <t>Typical for the band: 6–9 yrs · market 6–10 yrs</t>
        </is>
      </c>
      <c r="AC18" s="85" t="inlineStr">
        <is>
          <t>More experience than the band's typical 6–9 yrs</t>
        </is>
      </c>
      <c r="AD18" s="34" t="inlineStr">
        <is>
          <t>L</t>
        </is>
      </c>
      <c r="AE18" s="85" t="inlineStr">
        <is>
          <t>Below: Graduate + relevant qualification or certification preferred</t>
        </is>
      </c>
      <c r="AF18" s="85" t="inlineStr">
        <is>
          <t>Graduate or postgraduate; professional qualification preferred</t>
        </is>
      </c>
      <c r="AG18" s="85" t="inlineStr">
        <is>
          <t>Above: Postgraduate or professional qualification preferred</t>
        </is>
      </c>
      <c r="AH18" s="44" t="inlineStr">
        <is>
          <t>37 · 18.3 · 11.3 · 15 · 8.7 · 6 · 4</t>
        </is>
      </c>
      <c r="AI18" s="38" t="inlineStr">
        <is>
          <t>6–10</t>
        </is>
      </c>
      <c r="AJ18" s="38" t="inlineStr">
        <is>
          <t>IC: none · People: 6–8 knowledge work, 8–12 standardised delivery</t>
        </is>
      </c>
      <c r="AK18" s="38" t="inlineStr">
        <is>
          <t>P4 / M3 · SFIA 4–5</t>
        </is>
      </c>
      <c r="AL18"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9" ht="120" customHeight="1">
      <c r="A19" s="90" t="inlineStr">
        <is>
          <t>B2</t>
        </is>
      </c>
      <c r="B19" s="29" t="inlineStr">
        <is>
          <t>Band B · Specialist / Manager</t>
        </is>
      </c>
      <c r="C19" s="29" t="inlineStr">
        <is>
          <t>Band B · Specialist / POD Lead</t>
        </is>
      </c>
      <c r="D19" s="29" t="inlineStr">
        <is>
          <t>Senior Specialist</t>
        </is>
      </c>
      <c r="E19" s="29" t="inlineStr">
        <is>
          <t>— no role at this level today</t>
        </is>
      </c>
      <c r="F19" s="34" t="inlineStr">
        <is>
          <t>H</t>
        </is>
      </c>
      <c r="G19" s="84" t="inlineStr">
        <is>
          <t>Works at B1: Domain specialist work</t>
        </is>
      </c>
      <c r="H19" s="84" t="inlineStr">
        <is>
          <t>Hardest problems in the domain</t>
        </is>
      </c>
      <c r="I19" s="84" t="inlineStr">
        <is>
          <t>Already works at B3: Sets standards for a practice; cross-team problems</t>
        </is>
      </c>
      <c r="J19" s="34" t="inlineStr">
        <is>
          <t>M</t>
        </is>
      </c>
      <c r="K19" s="84" t="inlineStr">
        <is>
          <t>Works at B1: Technical / QC / client calls for the domain</t>
        </is>
      </c>
      <c r="L19" s="84" t="inlineStr">
        <is>
          <t>Allocates people and sets team priorities</t>
        </is>
      </c>
      <c r="M19" s="84" t="inlineStr">
        <is>
          <t>Already works at B3: Commercial / strategic calls for the unit</t>
        </is>
      </c>
      <c r="N19" s="34" t="inlineStr">
        <is>
          <t>L</t>
        </is>
      </c>
      <c r="O19" s="84" t="inlineStr">
        <is>
          <t>Works at B1: A domain or a small team</t>
        </is>
      </c>
      <c r="P19" s="84" t="inlineStr">
        <is>
          <t>One team or a client portfolio</t>
        </is>
      </c>
      <c r="Q19" s="84" t="inlineStr">
        <is>
          <t>Already works at B3: Several teams or a practice</t>
        </is>
      </c>
      <c r="R19" s="34" t="inlineStr">
        <is>
          <t>L</t>
        </is>
      </c>
      <c r="S19" s="56" t="inlineStr">
        <is>
          <t>Works at B1: IC: mentors and reviews · People: hands-on team lead of 3–5</t>
        </is>
      </c>
      <c r="T19" s="56" t="inlineStr">
        <is>
          <t>IC: guides others in the domain · People: manages a team of 6+</t>
        </is>
      </c>
      <c r="U19" s="56" t="inlineStr">
        <is>
          <t>Already works at B3: IC: leads a practice · People: team leads / managers report in</t>
        </is>
      </c>
      <c r="V19" s="34" t="inlineStr">
        <is>
          <t>L</t>
        </is>
      </c>
      <c r="W19" s="56" t="inlineStr">
        <is>
          <t>Works at B1: Moves a module's, product area's or client account's results</t>
        </is>
      </c>
      <c r="X19" s="56" t="inlineStr">
        <is>
          <t>Visible effect on a team's or client portfolio's revenue, quality or compliance</t>
        </is>
      </c>
      <c r="Y19" s="56" t="inlineStr">
        <is>
          <t>Already works at B3: Shapes the results of a practice or several teams</t>
        </is>
      </c>
      <c r="Z19" s="34" t="inlineStr">
        <is>
          <t>L</t>
        </is>
      </c>
      <c r="AA19" s="85" t="inlineStr">
        <is>
          <t>Less experience than the band's typical 6–9 yrs</t>
        </is>
      </c>
      <c r="AB19" s="85" t="inlineStr">
        <is>
          <t>Typical for the band: 6–9 yrs · market 6–10 yrs</t>
        </is>
      </c>
      <c r="AC19" s="85" t="inlineStr">
        <is>
          <t>More experience than the band's typical 6–9 yrs</t>
        </is>
      </c>
      <c r="AD19" s="34" t="inlineStr">
        <is>
          <t>L</t>
        </is>
      </c>
      <c r="AE19" s="85" t="inlineStr">
        <is>
          <t>Below: Graduate + relevant qualification or certification preferred</t>
        </is>
      </c>
      <c r="AF19" s="85" t="inlineStr">
        <is>
          <t>Graduate or postgraduate; professional qualification preferred</t>
        </is>
      </c>
      <c r="AG19" s="85" t="inlineStr">
        <is>
          <t>Above: Postgraduate or professional qualification preferred</t>
        </is>
      </c>
      <c r="AH19" s="44" t="inlineStr">
        <is>
          <t>51.3 · 17.3 · 9.7 · 5 · 7 · 6 · 4</t>
        </is>
      </c>
      <c r="AI19" s="38" t="inlineStr">
        <is>
          <t>6–10</t>
        </is>
      </c>
      <c r="AJ19" s="38" t="inlineStr">
        <is>
          <t>IC: none · People: 6–8 knowledge work, 8–12 standardised delivery</t>
        </is>
      </c>
      <c r="AK19" s="38" t="inlineStr">
        <is>
          <t>P4 / M3 · SFIA 4–5</t>
        </is>
      </c>
      <c r="AL19"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0" ht="120" customHeight="1">
      <c r="A20" s="90" t="inlineStr">
        <is>
          <t>B1</t>
        </is>
      </c>
      <c r="B20" s="29" t="inlineStr">
        <is>
          <t>Band B · Specialist / Manager</t>
        </is>
      </c>
      <c r="C20" s="29" t="inlineStr">
        <is>
          <t>Band B · People Manager</t>
        </is>
      </c>
      <c r="D20" s="29" t="inlineStr">
        <is>
          <t>Team Lead / Asst Manager</t>
        </is>
      </c>
      <c r="E20" s="29" t="inlineStr">
        <is>
          <t>— no role at this level today</t>
        </is>
      </c>
      <c r="F20" s="34" t="inlineStr">
        <is>
          <t>H</t>
        </is>
      </c>
      <c r="G20" s="84" t="inlineStr">
        <is>
          <t>Works at A3: Varied and non-standard work; handles exceptions</t>
        </is>
      </c>
      <c r="H20" s="84" t="inlineStr">
        <is>
          <t>Domain specialist work</t>
        </is>
      </c>
      <c r="I20" s="84" t="inlineStr">
        <is>
          <t>Already works at B2: Hardest problems in the domain</t>
        </is>
      </c>
      <c r="J20" s="34" t="inlineStr">
        <is>
          <t>M</t>
        </is>
      </c>
      <c r="K20" s="84" t="inlineStr">
        <is>
          <t>Works at A3: Technical / QC / client calls on own work</t>
        </is>
      </c>
      <c r="L20" s="84" t="inlineStr">
        <is>
          <t>Technical / QC / client calls for the domain</t>
        </is>
      </c>
      <c r="M20" s="84" t="inlineStr">
        <is>
          <t>Already works at B2: Allocates people and sets team priorities</t>
        </is>
      </c>
      <c r="N20" s="34" t="inlineStr">
        <is>
          <t>L</t>
        </is>
      </c>
      <c r="O20" s="84" t="inlineStr">
        <is>
          <t>Works at A3: A module / process, or work with client or regulatory consequences</t>
        </is>
      </c>
      <c r="P20" s="84" t="inlineStr">
        <is>
          <t>A domain or a small team</t>
        </is>
      </c>
      <c r="Q20" s="84" t="inlineStr">
        <is>
          <t>Already works at B2: One team or a client portfolio</t>
        </is>
      </c>
      <c r="R20" s="34" t="inlineStr">
        <is>
          <t>M</t>
        </is>
      </c>
      <c r="S20" s="56" t="inlineStr">
        <is>
          <t>Works at A3: contributes alone; guides others only informally</t>
        </is>
      </c>
      <c r="T20" s="56" t="inlineStr">
        <is>
          <t>IC: mentors and reviews · People: hands-on team lead of 3–5</t>
        </is>
      </c>
      <c r="U20" s="56" t="inlineStr">
        <is>
          <t>Already works at B2: IC: guides others in the domain · People: manages a team of 6+</t>
        </is>
      </c>
      <c r="V20" s="34" t="inlineStr">
        <is>
          <t>L</t>
        </is>
      </c>
      <c r="W20" s="56" t="inlineStr">
        <is>
          <t>Works at A3: A process or client deliverable depends on this work</t>
        </is>
      </c>
      <c r="X20" s="56" t="inlineStr">
        <is>
          <t>Moves a module's, product area's or client account's results</t>
        </is>
      </c>
      <c r="Y20" s="56" t="inlineStr">
        <is>
          <t>Already works at B2: Visible effect on a team's or client portfolio's revenue, quality or compliance</t>
        </is>
      </c>
      <c r="Z20" s="34" t="inlineStr">
        <is>
          <t>L</t>
        </is>
      </c>
      <c r="AA20" s="85" t="inlineStr">
        <is>
          <t>Less experience than the band's typical 4–7 yrs</t>
        </is>
      </c>
      <c r="AB20" s="85" t="inlineStr">
        <is>
          <t>Typical for the band: 4–7 yrs · market 4–8 yrs</t>
        </is>
      </c>
      <c r="AC20" s="85" t="inlineStr">
        <is>
          <t>More experience than the band's typical 4–7 yrs</t>
        </is>
      </c>
      <c r="AD20" s="34" t="inlineStr">
        <is>
          <t>L</t>
        </is>
      </c>
      <c r="AE20" s="85" t="inlineStr">
        <is>
          <t>Below: Graduate; relevant certification preferred</t>
        </is>
      </c>
      <c r="AF20" s="85" t="inlineStr">
        <is>
          <t>Graduate + relevant qualification or certification preferred</t>
        </is>
      </c>
      <c r="AG20" s="85" t="inlineStr">
        <is>
          <t>Above: Graduate or postgraduate; professional qualification preferred</t>
        </is>
      </c>
      <c r="AH20" s="44" t="inlineStr">
        <is>
          <t>37 · 18.3 · 11.3 · 15 · 8.7 · 6 · 4</t>
        </is>
      </c>
      <c r="AI20" s="38" t="inlineStr">
        <is>
          <t>4–8</t>
        </is>
      </c>
      <c r="AJ20" s="38" t="inlineStr">
        <is>
          <t>IC: none · Team Lead: 3–5</t>
        </is>
      </c>
      <c r="AK20" s="38" t="inlineStr">
        <is>
          <t>P3 / M2 · SFIA 4 Enable</t>
        </is>
      </c>
      <c r="AL20"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1" ht="120" customHeight="1">
      <c r="A21" s="90" t="inlineStr">
        <is>
          <t>B1</t>
        </is>
      </c>
      <c r="B21" s="29" t="inlineStr">
        <is>
          <t>Band B · Specialist / Manager</t>
        </is>
      </c>
      <c r="C21" s="29" t="inlineStr">
        <is>
          <t>Band B · Specialist / POD Lead</t>
        </is>
      </c>
      <c r="D21" s="29" t="inlineStr">
        <is>
          <t>Specialist</t>
        </is>
      </c>
      <c r="E21" s="29" t="inlineStr">
        <is>
          <t>— no role at this level today</t>
        </is>
      </c>
      <c r="F21" s="34" t="inlineStr">
        <is>
          <t>H</t>
        </is>
      </c>
      <c r="G21" s="84" t="inlineStr">
        <is>
          <t>Works at A3: Varied and non-standard work; handles exceptions</t>
        </is>
      </c>
      <c r="H21" s="84" t="inlineStr">
        <is>
          <t>Domain specialist work</t>
        </is>
      </c>
      <c r="I21" s="84" t="inlineStr">
        <is>
          <t>Already works at B2: Hardest problems in the domain</t>
        </is>
      </c>
      <c r="J21" s="34" t="inlineStr">
        <is>
          <t>M</t>
        </is>
      </c>
      <c r="K21" s="84" t="inlineStr">
        <is>
          <t>Works at A3: Technical / QC / client calls on own work</t>
        </is>
      </c>
      <c r="L21" s="84" t="inlineStr">
        <is>
          <t>Technical / QC / client calls for the domain</t>
        </is>
      </c>
      <c r="M21" s="84" t="inlineStr">
        <is>
          <t>Already works at B2: Allocates people and sets team priorities</t>
        </is>
      </c>
      <c r="N21" s="34" t="inlineStr">
        <is>
          <t>L</t>
        </is>
      </c>
      <c r="O21" s="84" t="inlineStr">
        <is>
          <t>Works at A3: A module / process, or work with client or regulatory consequences</t>
        </is>
      </c>
      <c r="P21" s="84" t="inlineStr">
        <is>
          <t>A domain or a small team</t>
        </is>
      </c>
      <c r="Q21" s="84" t="inlineStr">
        <is>
          <t>Already works at B2: One team or a client portfolio</t>
        </is>
      </c>
      <c r="R21" s="34" t="inlineStr">
        <is>
          <t>L</t>
        </is>
      </c>
      <c r="S21" s="56" t="inlineStr">
        <is>
          <t>Works at A3: contributes alone; guides others only informally</t>
        </is>
      </c>
      <c r="T21" s="56" t="inlineStr">
        <is>
          <t>IC: mentors and reviews · People: hands-on team lead of 3–5</t>
        </is>
      </c>
      <c r="U21" s="56" t="inlineStr">
        <is>
          <t>Already works at B2: IC: guides others in the domain · People: manages a team of 6+</t>
        </is>
      </c>
      <c r="V21" s="34" t="inlineStr">
        <is>
          <t>L</t>
        </is>
      </c>
      <c r="W21" s="56" t="inlineStr">
        <is>
          <t>Works at A3: A process or client deliverable depends on this work</t>
        </is>
      </c>
      <c r="X21" s="56" t="inlineStr">
        <is>
          <t>Moves a module's, product area's or client account's results</t>
        </is>
      </c>
      <c r="Y21" s="56" t="inlineStr">
        <is>
          <t>Already works at B2: Visible effect on a team's or client portfolio's revenue, quality or compliance</t>
        </is>
      </c>
      <c r="Z21" s="34" t="inlineStr">
        <is>
          <t>L</t>
        </is>
      </c>
      <c r="AA21" s="85" t="inlineStr">
        <is>
          <t>Less experience than the band's typical 4–7 yrs</t>
        </is>
      </c>
      <c r="AB21" s="85" t="inlineStr">
        <is>
          <t>Typical for the band: 4–7 yrs · market 4–8 yrs</t>
        </is>
      </c>
      <c r="AC21" s="85" t="inlineStr">
        <is>
          <t>More experience than the band's typical 4–7 yrs</t>
        </is>
      </c>
      <c r="AD21" s="34" t="inlineStr">
        <is>
          <t>L</t>
        </is>
      </c>
      <c r="AE21" s="85" t="inlineStr">
        <is>
          <t>Below: Graduate; relevant certification preferred</t>
        </is>
      </c>
      <c r="AF21" s="85" t="inlineStr">
        <is>
          <t>Graduate + relevant qualification or certification preferred</t>
        </is>
      </c>
      <c r="AG21" s="85" t="inlineStr">
        <is>
          <t>Above: Graduate or postgraduate; professional qualification preferred</t>
        </is>
      </c>
      <c r="AH21" s="44" t="inlineStr">
        <is>
          <t>51.3 · 17.3 · 9.7 · 5 · 7 · 6 · 4</t>
        </is>
      </c>
      <c r="AI21" s="38" t="inlineStr">
        <is>
          <t>4–8</t>
        </is>
      </c>
      <c r="AJ21" s="38" t="inlineStr">
        <is>
          <t>IC: none · Team Lead: 3–5</t>
        </is>
      </c>
      <c r="AK21" s="38" t="inlineStr">
        <is>
          <t>P3 / M2 · SFIA 4 Enable</t>
        </is>
      </c>
      <c r="AL21"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2" ht="120" customHeight="1">
      <c r="A22" s="91" t="inlineStr">
        <is>
          <t>A3</t>
        </is>
      </c>
      <c r="B22" s="29" t="inlineStr">
        <is>
          <t>Band A · Practitioner</t>
        </is>
      </c>
      <c r="C22" s="29" t="inlineStr">
        <is>
          <t>Band A · all tracks</t>
        </is>
      </c>
      <c r="D22" s="29" t="inlineStr">
        <is>
          <t>Senior Associate</t>
        </is>
      </c>
      <c r="E22" s="29" t="inlineStr">
        <is>
          <t>— no role at this level today</t>
        </is>
      </c>
      <c r="F22" s="34" t="inlineStr">
        <is>
          <t>H</t>
        </is>
      </c>
      <c r="G22" s="84" t="inlineStr">
        <is>
          <t>Works at A2: Standard work of the discipline</t>
        </is>
      </c>
      <c r="H22" s="84" t="inlineStr">
        <is>
          <t>Varied and non-standard work; handles exceptions</t>
        </is>
      </c>
      <c r="I22" s="84" t="inlineStr">
        <is>
          <t>Already works at B1: Domain specialist work</t>
        </is>
      </c>
      <c r="J22" s="34" t="inlineStr">
        <is>
          <t>M</t>
        </is>
      </c>
      <c r="K22" s="84" t="inlineStr">
        <is>
          <t>Works at A2: Chooses own approach within standards</t>
        </is>
      </c>
      <c r="L22" s="84" t="inlineStr">
        <is>
          <t>Technical / QC / client calls on own work</t>
        </is>
      </c>
      <c r="M22" s="84" t="inlineStr">
        <is>
          <t>Already works at B1: Technical / QC / client calls for the domain</t>
        </is>
      </c>
      <c r="N22" s="34" t="inlineStr">
        <is>
          <t>L</t>
        </is>
      </c>
      <c r="O22" s="84" t="inlineStr">
        <is>
          <t>Works at A2: Own deliverables · accuracy, TAT</t>
        </is>
      </c>
      <c r="P22" s="84" t="inlineStr">
        <is>
          <t>A module / process, or work with client or regulatory consequences</t>
        </is>
      </c>
      <c r="Q22" s="84" t="inlineStr">
        <is>
          <t>Already works at B1: A domain or a small team</t>
        </is>
      </c>
      <c r="R22" s="34" t="inlineStr">
        <is>
          <t>L</t>
        </is>
      </c>
      <c r="S22" s="56" t="inlineStr">
        <is>
          <t>Works at A2: contributes alone; guides others only informally</t>
        </is>
      </c>
      <c r="T22" s="56" t="inlineStr">
        <is>
          <t>Helps peers and newer people informally · None · guides 1–3 juniors informally</t>
        </is>
      </c>
      <c r="U22" s="56" t="inlineStr">
        <is>
          <t>Already works at B1: IC: mentors and reviews · People: hands-on team lead of 3–5</t>
        </is>
      </c>
      <c r="V22" s="34" t="inlineStr">
        <is>
          <t>L</t>
        </is>
      </c>
      <c r="W22" s="56" t="inlineStr">
        <is>
          <t>Works at A2: Own deliverables feed a team's output and turnaround</t>
        </is>
      </c>
      <c r="X22" s="56" t="inlineStr">
        <is>
          <t>A process or client deliverable depends on this work</t>
        </is>
      </c>
      <c r="Y22" s="56" t="inlineStr">
        <is>
          <t>Already works at B1: Moves a module's, product area's or client account's results</t>
        </is>
      </c>
      <c r="Z22" s="34" t="inlineStr">
        <is>
          <t>L</t>
        </is>
      </c>
      <c r="AA22" s="85" t="inlineStr">
        <is>
          <t>Less experience than the band's typical 2–4 yrs</t>
        </is>
      </c>
      <c r="AB22" s="85" t="inlineStr">
        <is>
          <t>Typical for the band: 2–4 yrs · market 2–5 yrs</t>
        </is>
      </c>
      <c r="AC22" s="85" t="inlineStr">
        <is>
          <t>More experience than the band's typical 2–4 yrs</t>
        </is>
      </c>
      <c r="AD22" s="34" t="inlineStr">
        <is>
          <t>L</t>
        </is>
      </c>
      <c r="AE22" s="85" t="inlineStr">
        <is>
          <t>Below: Graduate · or diploma with experience</t>
        </is>
      </c>
      <c r="AF22" s="85" t="inlineStr">
        <is>
          <t>Graduate; relevant certification preferred</t>
        </is>
      </c>
      <c r="AG22" s="85" t="inlineStr">
        <is>
          <t>Above: Graduate + relevant qualification or certification preferred</t>
        </is>
      </c>
      <c r="AH22" s="44" t="inlineStr">
        <is>
          <t>58.3 · 16 · 9 · 0 · 6.3 · 6 · 4</t>
        </is>
      </c>
      <c r="AI22" s="38" t="inlineStr">
        <is>
          <t>2–5</t>
        </is>
      </c>
      <c r="AJ22" s="38" t="inlineStr">
        <is>
          <t>None · guides 1–3 juniors informally</t>
        </is>
      </c>
      <c r="AK22" s="38" t="inlineStr">
        <is>
          <t>P2 · SFIA 3 Apply</t>
        </is>
      </c>
      <c r="AL22"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3" ht="120" customHeight="1">
      <c r="A23" s="91" t="inlineStr">
        <is>
          <t>A2</t>
        </is>
      </c>
      <c r="B23" s="29" t="inlineStr">
        <is>
          <t>Band A · Practitioner</t>
        </is>
      </c>
      <c r="C23" s="29" t="inlineStr">
        <is>
          <t>Band A · all tracks</t>
        </is>
      </c>
      <c r="D23" s="29" t="inlineStr">
        <is>
          <t>Associate</t>
        </is>
      </c>
      <c r="E23" s="29" t="inlineStr">
        <is>
          <t>— no role at this level today</t>
        </is>
      </c>
      <c r="F23" s="34" t="inlineStr">
        <is>
          <t>H</t>
        </is>
      </c>
      <c r="G23" s="84" t="inlineStr">
        <is>
          <t>Works at A1: Learning; follows worked examples</t>
        </is>
      </c>
      <c r="H23" s="84" t="inlineStr">
        <is>
          <t>Standard work of the discipline</t>
        </is>
      </c>
      <c r="I23" s="84" t="inlineStr">
        <is>
          <t>Already works at A3: Varied and non-standard work; handles exceptions</t>
        </is>
      </c>
      <c r="J23" s="34" t="inlineStr">
        <is>
          <t>M</t>
        </is>
      </c>
      <c r="K23" s="84" t="inlineStr">
        <is>
          <t>Works at A1: Needs approval / close guidance</t>
        </is>
      </c>
      <c r="L23" s="84" t="inlineStr">
        <is>
          <t>Chooses own approach within standards</t>
        </is>
      </c>
      <c r="M23" s="84" t="inlineStr">
        <is>
          <t>Already works at A3: Technical / QC / client calls on own work</t>
        </is>
      </c>
      <c r="N23" s="34" t="inlineStr">
        <is>
          <t>L</t>
        </is>
      </c>
      <c r="O23" s="84" t="inlineStr">
        <is>
          <t>Works at A1: Learning tasks</t>
        </is>
      </c>
      <c r="P23" s="84" t="inlineStr">
        <is>
          <t>Own deliverables · accuracy, TAT</t>
        </is>
      </c>
      <c r="Q23" s="84" t="inlineStr">
        <is>
          <t>Already works at A3: A module / process, or work with client or regulatory consequences</t>
        </is>
      </c>
      <c r="R23" s="34" t="inlineStr">
        <is>
          <t>L</t>
        </is>
      </c>
      <c r="S23" s="56" t="inlineStr">
        <is>
          <t>Works at A1: contributes alone; guides others only informally</t>
        </is>
      </c>
      <c r="T23" s="56" t="inlineStr">
        <is>
          <t>Helps peers and newer people informally · No direct reports</t>
        </is>
      </c>
      <c r="U23" s="56" t="inlineStr">
        <is>
          <t>Already works at A3: Not scored in Band A</t>
        </is>
      </c>
      <c r="V23" s="34" t="inlineStr">
        <is>
          <t>L</t>
        </is>
      </c>
      <c r="W23" s="56" t="inlineStr">
        <is>
          <t>Works at A1: Learning; little direct effect on business results yet</t>
        </is>
      </c>
      <c r="X23" s="56" t="inlineStr">
        <is>
          <t>Own deliverables feed a team's output and turnaround</t>
        </is>
      </c>
      <c r="Y23" s="56" t="inlineStr">
        <is>
          <t>Already works at A3: A process or client deliverable depends on this work</t>
        </is>
      </c>
      <c r="Z23" s="34" t="inlineStr">
        <is>
          <t>L</t>
        </is>
      </c>
      <c r="AA23" s="85" t="inlineStr">
        <is>
          <t>Less experience than the band's typical 0–2 yrs</t>
        </is>
      </c>
      <c r="AB23" s="85" t="inlineStr">
        <is>
          <t>Typical for the band: 0–2 yrs · market 0–3 yrs</t>
        </is>
      </c>
      <c r="AC23" s="85" t="inlineStr">
        <is>
          <t>More experience than the band's typical 0–2 yrs</t>
        </is>
      </c>
      <c r="AD23" s="34" t="inlineStr">
        <is>
          <t>L</t>
        </is>
      </c>
      <c r="AE23" s="85" t="inlineStr">
        <is>
          <t>Below: Pursuing or completed graduation / diploma</t>
        </is>
      </c>
      <c r="AF23" s="85" t="inlineStr">
        <is>
          <t>Graduate · or diploma with experience</t>
        </is>
      </c>
      <c r="AG23" s="85" t="inlineStr">
        <is>
          <t>Above: Graduate; relevant certification preferred</t>
        </is>
      </c>
      <c r="AH23" s="44" t="inlineStr">
        <is>
          <t>58.3 · 16 · 9 · 0 · 6.3 · 6 · 4</t>
        </is>
      </c>
      <c r="AI23" s="38" t="inlineStr">
        <is>
          <t>0–3</t>
        </is>
      </c>
      <c r="AJ23" s="38" t="inlineStr">
        <is>
          <t>No direct reports</t>
        </is>
      </c>
      <c r="AK23" s="38" t="inlineStr">
        <is>
          <t>P1–P2 · SFIA 2 Assist</t>
        </is>
      </c>
      <c r="AL23"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4" ht="120" customHeight="1">
      <c r="A24" s="91" t="inlineStr">
        <is>
          <t>A1</t>
        </is>
      </c>
      <c r="B24" s="29" t="inlineStr">
        <is>
          <t>Band A · Practitioner</t>
        </is>
      </c>
      <c r="C24" s="29" t="inlineStr">
        <is>
          <t>Band A · all tracks</t>
        </is>
      </c>
      <c r="D24" s="29" t="inlineStr">
        <is>
          <t>Intern / Trainee</t>
        </is>
      </c>
      <c r="E24" s="29" t="inlineStr">
        <is>
          <t>— no role at this level today</t>
        </is>
      </c>
      <c r="F24" s="34" t="inlineStr">
        <is>
          <t>H</t>
        </is>
      </c>
      <c r="G24" s="84" t="inlineStr">
        <is>
          <t>Not yet at the entry standard · in induction</t>
        </is>
      </c>
      <c r="H24" s="84" t="inlineStr">
        <is>
          <t>Learning; follows worked examples</t>
        </is>
      </c>
      <c r="I24" s="84" t="inlineStr">
        <is>
          <t>Already works at A2: Standard work of the discipline</t>
        </is>
      </c>
      <c r="J24" s="34" t="inlineStr">
        <is>
          <t>M</t>
        </is>
      </c>
      <c r="K24" s="84" t="inlineStr">
        <is>
          <t>Not yet at the entry standard · in induction</t>
        </is>
      </c>
      <c r="L24" s="84" t="inlineStr">
        <is>
          <t>Needs approval / close guidance</t>
        </is>
      </c>
      <c r="M24" s="84" t="inlineStr">
        <is>
          <t>Already works at A2: Chooses own approach within standards</t>
        </is>
      </c>
      <c r="N24" s="34" t="inlineStr">
        <is>
          <t>L</t>
        </is>
      </c>
      <c r="O24" s="84" t="inlineStr">
        <is>
          <t>Not yet at the entry standard · in induction</t>
        </is>
      </c>
      <c r="P24" s="84" t="inlineStr">
        <is>
          <t>Learning tasks</t>
        </is>
      </c>
      <c r="Q24" s="84" t="inlineStr">
        <is>
          <t>Already works at A2: Own deliverables · accuracy, TAT</t>
        </is>
      </c>
      <c r="R24" s="34" t="inlineStr">
        <is>
          <t>L</t>
        </is>
      </c>
      <c r="S24" s="56" t="inlineStr">
        <is>
          <t>Not yet at the entry standard · in induction</t>
        </is>
      </c>
      <c r="T24" s="56" t="inlineStr">
        <is>
          <t>Helps peers and newer people informally · No direct reports</t>
        </is>
      </c>
      <c r="U24" s="56" t="inlineStr">
        <is>
          <t>Already works at A2: Not scored in Band A</t>
        </is>
      </c>
      <c r="V24" s="34" t="inlineStr">
        <is>
          <t>L</t>
        </is>
      </c>
      <c r="W24" s="56" t="inlineStr">
        <is>
          <t>Not yet at the entry standard · in induction</t>
        </is>
      </c>
      <c r="X24" s="56" t="inlineStr">
        <is>
          <t>Learning; little direct effect on business results yet</t>
        </is>
      </c>
      <c r="Y24" s="56" t="inlineStr">
        <is>
          <t>Already works at A2: Own deliverables feed a team's output and turnaround</t>
        </is>
      </c>
      <c r="Z24" s="34" t="inlineStr">
        <is>
          <t>L</t>
        </is>
      </c>
      <c r="AA24" s="85" t="inlineStr">
        <is>
          <t>Less experience than the band's typical 0 yrs · fresher / intern</t>
        </is>
      </c>
      <c r="AB24" s="85" t="inlineStr">
        <is>
          <t>Typical for the band: 0 yrs · fresher / intern · market — yrs</t>
        </is>
      </c>
      <c r="AC24" s="85" t="inlineStr">
        <is>
          <t>More experience than the band's typical 0 yrs · fresher / intern</t>
        </is>
      </c>
      <c r="AD24" s="34" t="inlineStr">
        <is>
          <t>L</t>
        </is>
      </c>
      <c r="AE24" s="85" t="inlineStr">
        <is>
          <t>Below graduation · still studying</t>
        </is>
      </c>
      <c r="AF24" s="85" t="inlineStr">
        <is>
          <t>Pursuing or completed graduation / diploma</t>
        </is>
      </c>
      <c r="AG24" s="85" t="inlineStr">
        <is>
          <t>Above: Graduate · or diploma with experience</t>
        </is>
      </c>
      <c r="AH24" s="44" t="inlineStr">
        <is>
          <t>58.3 · 16 · 9 · 0 · 6.3 · 6 · 4</t>
        </is>
      </c>
      <c r="AI24" s="38" t="inlineStr">
        <is>
          <t>0 yrs · fresher / intern</t>
        </is>
      </c>
      <c r="AJ24" s="38" t="inlineStr">
        <is>
          <t>No direct reports</t>
        </is>
      </c>
      <c r="AK24" s="38" t="inlineStr">
        <is>
          <t>Entry / P1 · intern · SFIA 1 Follow</t>
        </is>
      </c>
      <c r="AL24"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sheetData>
  <autoFilter ref="A5:AL24"/>
  <mergeCells count="1">
    <mergeCell ref="A2:N2"/>
  </mergeCells>
  <dataValidations count="1">
    <dataValidation sqref="F6 F7 F8 F9 F10 F11 F12 F13 F14 F15 F16 F17 F18 F19 F20 F21 F22 F23 F24 J6 J7 J8 J9 J10 J11 J12 J13 J14 J15 J16 J17 J18 J19 J20 J21 J22 J23 J24 N6 N7 N8 N9 N10 N11 N12 N13 N14 N15 N16 N17 N18 N19 N20 N21 N22 N23 N24 R6 R7 R8 R9 R10 R11 R12 R13 R14 R15 R16 R17 R18 R19 R20 R21 R22 R23 R24 V6 V7 V8 V9 V10 V11 V12 V13 V14 V15 V16 V17 V18 V19 V20 V21 V22 V23 V24 Z6 Z7 Z8 Z9 Z10 Z11 Z12 Z13 Z14 Z15 Z16 Z17 Z18 Z19 Z20 Z21 Z22 Z23 Z24 AD6 AD7 AD8 AD9 AD10 AD11 AD12 AD13 AD14 AD15 AD16 AD17 AD18 AD19 AD20 AD21 AD22 AD23 AD24" showDropDown="0" showInputMessage="0" showErrorMessage="0" allowBlank="1" type="list">
      <formula1>LIST_LMH</formula1>
    </dataValidation>
  </dataValidations>
  <hyperlinks>
    <hyperlink xmlns:r="http://schemas.openxmlformats.org/officeDocument/2006/relationships" ref="O1"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L24"/>
  <sheetViews>
    <sheetView zoomScale="85" workbookViewId="0">
      <pane xSplit="5" ySplit="5" topLeftCell="F6" activePane="bottomRight" state="frozen"/>
      <selection pane="topRight"/>
      <selection pane="bottomLeft"/>
      <selection pane="bottomRight" activeCell="A1" sqref="A1"/>
    </sheetView>
  </sheetViews>
  <sheetFormatPr baseColWidth="8" defaultRowHeight="15"/>
  <cols>
    <col width="7" customWidth="1" min="1" max="1"/>
    <col width="16" customWidth="1" min="2" max="2"/>
    <col width="18" customWidth="1" min="3" max="3"/>
    <col width="20" customWidth="1" min="4" max="4"/>
    <col width="34" customWidth="1" min="5" max="5"/>
    <col width="9" customWidth="1" min="6" max="6"/>
    <col width="30" customWidth="1" min="7" max="7"/>
    <col width="34" customWidth="1" min="8" max="8"/>
    <col width="30" customWidth="1" min="9" max="9"/>
    <col width="9" customWidth="1" min="10" max="10"/>
    <col width="30" customWidth="1" min="11" max="11"/>
    <col width="34" customWidth="1" min="12" max="12"/>
    <col width="30" customWidth="1" min="13" max="13"/>
    <col width="9" customWidth="1" min="14" max="14"/>
    <col width="30" customWidth="1" min="15" max="15"/>
    <col width="34" customWidth="1" min="16" max="16"/>
    <col width="30" customWidth="1" min="17" max="17"/>
    <col width="9" customWidth="1" min="18" max="18"/>
    <col width="30" customWidth="1" min="19" max="19"/>
    <col width="34" customWidth="1" min="20" max="20"/>
    <col width="30" customWidth="1" min="21" max="21"/>
    <col width="9" customWidth="1" min="22" max="22"/>
    <col width="30" customWidth="1" min="23" max="23"/>
    <col width="34" customWidth="1" min="24" max="24"/>
    <col width="30" customWidth="1" min="25" max="25"/>
    <col width="9" customWidth="1" min="26" max="26"/>
    <col width="30" customWidth="1" min="27" max="27"/>
    <col width="34" customWidth="1" min="28" max="28"/>
    <col width="30" customWidth="1" min="29" max="29"/>
    <col width="9" customWidth="1" min="30" max="30"/>
    <col width="30" customWidth="1" min="31" max="31"/>
    <col width="34" customWidth="1" min="32" max="32"/>
    <col width="30" customWidth="1" min="33" max="33"/>
    <col width="26" customWidth="1" min="34" max="34"/>
    <col width="16" customWidth="1" min="35" max="35"/>
    <col width="22" customWidth="1" min="36" max="36"/>
    <col width="18" customWidth="1" min="37" max="37"/>
    <col width="40" customWidth="1" min="38" max="38"/>
  </cols>
  <sheetData>
    <row r="1" ht="24" customHeight="1">
      <c r="A1" s="1" t="inlineStr">
        <is>
          <t>Role &amp; band matrix — Engineering &amp; Development</t>
        </is>
      </c>
      <c r="O1" s="7" t="inlineStr">
        <is>
          <t>◂ Start</t>
        </is>
      </c>
    </row>
    <row r="2" ht="30" customHeight="1">
      <c r="A2" s="2" t="inlineStr">
        <is>
          <t>What Low, Medium and High mean for each of the seven parameters at every level of Engineering &amp; Development, and how much each parameter counts · main type of work: Technology &amp; engineering. Medium is the band as described; Low is the level below; High is the level above. Change a yellow weightage and every role, department ladder and person in this family recalculates.</t>
        </is>
      </c>
    </row>
    <row r="3">
      <c r="A3" s="3" t="inlineStr">
        <is>
          <t>IRIS · Job Architecture &amp; Job Design · Final v1.15 · October 2026 · Internal — Confidential · HR only</t>
        </is>
      </c>
    </row>
    <row r="4" ht="30" customHeight="1">
      <c r="A4" s="6" t="inlineStr">
        <is>
          <t>LEVEL</t>
        </is>
      </c>
      <c r="B4" s="6" t="n"/>
      <c r="C4" s="6" t="n"/>
      <c r="D4" s="6" t="n"/>
      <c r="E4" s="6" t="n"/>
      <c r="F4" s="45" t="inlineStr">
        <is>
          <t>COMPLEXITY &amp; EXPERTISE</t>
        </is>
      </c>
      <c r="G4" s="45" t="n"/>
      <c r="H4" s="45" t="n"/>
      <c r="I4" s="45" t="n"/>
      <c r="J4" s="45" t="inlineStr">
        <is>
          <t>AUTONOMY &amp; DECISION</t>
        </is>
      </c>
      <c r="K4" s="45" t="n"/>
      <c r="L4" s="45" t="n"/>
      <c r="M4" s="45" t="n"/>
      <c r="N4" s="45" t="inlineStr">
        <is>
          <t>ACCOUNTABILITY &amp; IMPACT</t>
        </is>
      </c>
      <c r="O4" s="45" t="n"/>
      <c r="P4" s="45" t="n"/>
      <c r="Q4" s="45" t="n"/>
      <c r="R4" s="47" t="inlineStr">
        <is>
          <t>LEADERSHIP &amp; STRATEGY</t>
        </is>
      </c>
      <c r="S4" s="47" t="n"/>
      <c r="T4" s="47" t="n"/>
      <c r="U4" s="47" t="n"/>
      <c r="V4" s="47" t="inlineStr">
        <is>
          <t>BUSINESS IMPACT</t>
        </is>
      </c>
      <c r="W4" s="47" t="n"/>
      <c r="X4" s="47" t="n"/>
      <c r="Y4" s="47" t="n"/>
      <c r="Z4" s="81" t="inlineStr">
        <is>
          <t>EXPERIENCE</t>
        </is>
      </c>
      <c r="AA4" s="81" t="n"/>
      <c r="AB4" s="81" t="n"/>
      <c r="AC4" s="81" t="n"/>
      <c r="AD4" s="81" t="inlineStr">
        <is>
          <t>EDUCATION</t>
        </is>
      </c>
      <c r="AE4" s="81" t="n"/>
      <c r="AF4" s="81" t="n"/>
      <c r="AG4" s="81" t="n"/>
      <c r="AH4" s="20" t="inlineStr">
        <is>
          <t>MARKET BENCHMARK &amp; REFERENCES</t>
        </is>
      </c>
      <c r="AI4" s="20" t="n"/>
      <c r="AJ4" s="20" t="n"/>
      <c r="AK4" s="20" t="n"/>
      <c r="AL4" s="20" t="n"/>
    </row>
    <row r="5" ht="60" customHeight="1">
      <c r="A5" s="22" t="inlineStr">
        <is>
          <t>Level</t>
        </is>
      </c>
      <c r="B5" s="22" t="inlineStr">
        <is>
          <t>Band</t>
        </is>
      </c>
      <c r="C5" s="22" t="inlineStr">
        <is>
          <t>Role group</t>
        </is>
      </c>
      <c r="D5" s="22" t="inlineStr">
        <is>
          <t>Level title</t>
        </is>
      </c>
      <c r="E5" s="22" t="inlineStr">
        <is>
          <t>Roles at this level in this family</t>
        </is>
      </c>
      <c r="F5" s="48" t="inlineStr">
        <is>
          <t>Weightage · L/M/H</t>
        </is>
      </c>
      <c r="G5" s="48" t="inlineStr">
        <is>
          <t>Low</t>
        </is>
      </c>
      <c r="H5" s="48" t="inlineStr">
        <is>
          <t>Medium</t>
        </is>
      </c>
      <c r="I5" s="48" t="inlineStr">
        <is>
          <t>High</t>
        </is>
      </c>
      <c r="J5" s="48" t="inlineStr">
        <is>
          <t>Weightage · L/M/H</t>
        </is>
      </c>
      <c r="K5" s="48" t="inlineStr">
        <is>
          <t>Low</t>
        </is>
      </c>
      <c r="L5" s="48" t="inlineStr">
        <is>
          <t>Medium</t>
        </is>
      </c>
      <c r="M5" s="48" t="inlineStr">
        <is>
          <t>High</t>
        </is>
      </c>
      <c r="N5" s="48" t="inlineStr">
        <is>
          <t>Weightage · L/M/H</t>
        </is>
      </c>
      <c r="O5" s="48" t="inlineStr">
        <is>
          <t>Low</t>
        </is>
      </c>
      <c r="P5" s="48" t="inlineStr">
        <is>
          <t>Medium</t>
        </is>
      </c>
      <c r="Q5" s="48" t="inlineStr">
        <is>
          <t>High</t>
        </is>
      </c>
      <c r="R5" s="50" t="inlineStr">
        <is>
          <t>Weightage · L/M/H</t>
        </is>
      </c>
      <c r="S5" s="50" t="inlineStr">
        <is>
          <t>Low</t>
        </is>
      </c>
      <c r="T5" s="50" t="inlineStr">
        <is>
          <t>Medium</t>
        </is>
      </c>
      <c r="U5" s="50" t="inlineStr">
        <is>
          <t>High</t>
        </is>
      </c>
      <c r="V5" s="50" t="inlineStr">
        <is>
          <t>Weightage · L/M/H</t>
        </is>
      </c>
      <c r="W5" s="50" t="inlineStr">
        <is>
          <t>Low</t>
        </is>
      </c>
      <c r="X5" s="50" t="inlineStr">
        <is>
          <t>Medium</t>
        </is>
      </c>
      <c r="Y5" s="50" t="inlineStr">
        <is>
          <t>High</t>
        </is>
      </c>
      <c r="Z5" s="82" t="inlineStr">
        <is>
          <t>Weightage · L/M/H</t>
        </is>
      </c>
      <c r="AA5" s="82" t="inlineStr">
        <is>
          <t>Low</t>
        </is>
      </c>
      <c r="AB5" s="82" t="inlineStr">
        <is>
          <t>Medium</t>
        </is>
      </c>
      <c r="AC5" s="82" t="inlineStr">
        <is>
          <t>High</t>
        </is>
      </c>
      <c r="AD5" s="82" t="inlineStr">
        <is>
          <t>Weightage · L/M/H</t>
        </is>
      </c>
      <c r="AE5" s="82" t="inlineStr">
        <is>
          <t>Low</t>
        </is>
      </c>
      <c r="AF5" s="82" t="inlineStr">
        <is>
          <t>Medium</t>
        </is>
      </c>
      <c r="AG5" s="82" t="inlineStr">
        <is>
          <t>High</t>
        </is>
      </c>
      <c r="AH5" s="26" t="inlineStr">
        <is>
          <t>Market weight % · C · Au · Ac · L · BI · Exp · Edu</t>
        </is>
      </c>
      <c r="AI5" s="26" t="inlineStr">
        <is>
          <t>Market experience · yrs</t>
        </is>
      </c>
      <c r="AJ5" s="26" t="inlineStr">
        <is>
          <t>Span norm</t>
        </is>
      </c>
      <c r="AK5" s="26" t="inlineStr">
        <is>
          <t>Radford / Mercer · SFIA 9</t>
        </is>
      </c>
      <c r="AL5" s="26" t="inlineStr">
        <is>
          <t>References</t>
        </is>
      </c>
    </row>
    <row r="6" ht="120" customHeight="1">
      <c r="A6" s="83" t="inlineStr">
        <is>
          <t>E2</t>
        </is>
      </c>
      <c r="B6" s="29" t="inlineStr">
        <is>
          <t>Band E · Enterprise leadership</t>
        </is>
      </c>
      <c r="C6" s="29" t="inlineStr">
        <is>
          <t>Bands D–E · Leadership</t>
        </is>
      </c>
      <c r="D6" s="29" t="inlineStr">
        <is>
          <t>Chief Executive Officer</t>
        </is>
      </c>
      <c r="E6" s="29" t="inlineStr">
        <is>
          <t>— no role at this level today</t>
        </is>
      </c>
      <c r="F6" s="34" t="inlineStr">
        <is>
          <t>H</t>
        </is>
      </c>
      <c r="G6" s="84" t="inlineStr">
        <is>
          <t>Works at E1: Enterprise-level functional strategy</t>
        </is>
      </c>
      <c r="H6" s="84" t="inlineStr">
        <is>
          <t>Enterprise-wide uncertainty, transformation and external forces</t>
        </is>
      </c>
      <c r="I6" s="84" t="inlineStr">
        <is>
          <t>Beyond the role · a board-level mandate</t>
        </is>
      </c>
      <c r="J6" s="34" t="inlineStr">
        <is>
          <t>M</t>
        </is>
      </c>
      <c r="K6" s="84" t="inlineStr">
        <is>
          <t>Works at E1: Sets enterprise priorities for the function</t>
        </is>
      </c>
      <c r="L6" s="84" t="inlineStr">
        <is>
          <t>Accountable to the board</t>
        </is>
      </c>
      <c r="M6" s="84" t="inlineStr">
        <is>
          <t>Beyond the role · a board-level mandate</t>
        </is>
      </c>
      <c r="N6" s="34" t="inlineStr">
        <is>
          <t>M</t>
        </is>
      </c>
      <c r="O6" s="84" t="inlineStr">
        <is>
          <t>Works at E1: Enterprise-wide functional results</t>
        </is>
      </c>
      <c r="P6" s="84" t="inlineStr">
        <is>
          <t>Enterprise results, risk, culture and long-term viability</t>
        </is>
      </c>
      <c r="Q6" s="84" t="inlineStr">
        <is>
          <t>Beyond the role · a board-level mandate</t>
        </is>
      </c>
      <c r="R6" s="34" t="inlineStr">
        <is>
          <t>M</t>
        </is>
      </c>
      <c r="S6" s="56" t="inlineStr">
        <is>
          <t>Works at E1: Shapes enterprise strategy</t>
        </is>
      </c>
      <c r="T6" s="56" t="inlineStr">
        <is>
          <t>Sets enterprise strategy; leads the executive team</t>
        </is>
      </c>
      <c r="U6" s="56" t="inlineStr">
        <is>
          <t>Beyond the role · a board-level mandate</t>
        </is>
      </c>
      <c r="V6" s="34" t="inlineStr">
        <is>
          <t>L</t>
        </is>
      </c>
      <c r="W6" s="56" t="inlineStr">
        <is>
          <t>Works at E1: Shapes company-wide results through a function</t>
        </is>
      </c>
      <c r="X6" s="56" t="inlineStr">
        <is>
          <t>Answers for the whole company's results and long-term value</t>
        </is>
      </c>
      <c r="Y6" s="56" t="inlineStr">
        <is>
          <t>Beyond the role · a board-level mandate</t>
        </is>
      </c>
      <c r="Z6" s="34" t="inlineStr">
        <is>
          <t>L</t>
        </is>
      </c>
      <c r="AA6" s="85" t="inlineStr">
        <is>
          <t>Less experience than the band's typical 20+ yrs</t>
        </is>
      </c>
      <c r="AB6" s="85" t="inlineStr">
        <is>
          <t>Typical for the band: 20+ yrs · market — yrs</t>
        </is>
      </c>
      <c r="AC6" s="85" t="inlineStr">
        <is>
          <t>More experience than the band's typical 20+ yrs</t>
        </is>
      </c>
      <c r="AD6" s="34" t="inlineStr">
        <is>
          <t>L</t>
        </is>
      </c>
      <c r="AE6" s="85" t="inlineStr">
        <is>
          <t>Below: Postgraduate / professional qualification; business leadership record</t>
        </is>
      </c>
      <c r="AF6" s="85" t="inlineStr">
        <is>
          <t>Postgraduate / professional qualification; proven business leadership</t>
        </is>
      </c>
      <c r="AG6" s="85" t="inlineStr">
        <is>
          <t>Board-level credentials beyond the role's need</t>
        </is>
      </c>
      <c r="AH6" s="44" t="inlineStr">
        <is>
          <t>36.3 · 19 · 11.3 · 20 · 8.7 · 4 · 1</t>
        </is>
      </c>
      <c r="AI6" s="38" t="inlineStr">
        <is>
          <t>20+ yrs</t>
        </is>
      </c>
      <c r="AJ6" s="38" t="inlineStr">
        <is>
          <t>Executive team</t>
        </is>
      </c>
      <c r="AK6" s="38" t="inlineStr">
        <is>
          <t>E6 · SFIA 7</t>
        </is>
      </c>
      <c r="AL6"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7" ht="120" customHeight="1">
      <c r="A7" s="83" t="inlineStr">
        <is>
          <t>E1</t>
        </is>
      </c>
      <c r="B7" s="29" t="inlineStr">
        <is>
          <t>Band E · Enterprise leadership</t>
        </is>
      </c>
      <c r="C7" s="29" t="inlineStr">
        <is>
          <t>Bands D–E · Leadership</t>
        </is>
      </c>
      <c r="D7" s="29" t="inlineStr">
        <is>
          <t>CXO / President</t>
        </is>
      </c>
      <c r="E7" s="29" t="inlineStr">
        <is>
          <t>— no role at this level today</t>
        </is>
      </c>
      <c r="F7" s="34" t="inlineStr">
        <is>
          <t>H</t>
        </is>
      </c>
      <c r="G7" s="84" t="inlineStr">
        <is>
          <t>Works at D2: Portfolio-level strategic, financial and regulatory trade-offs</t>
        </is>
      </c>
      <c r="H7" s="84" t="inlineStr">
        <is>
          <t>Enterprise-level functional strategy</t>
        </is>
      </c>
      <c r="I7" s="84" t="inlineStr">
        <is>
          <t>Already works at E2: Enterprise-wide uncertainty, transformation and external forces</t>
        </is>
      </c>
      <c r="J7" s="34" t="inlineStr">
        <is>
          <t>M</t>
        </is>
      </c>
      <c r="K7" s="84" t="inlineStr">
        <is>
          <t>Works at D2: Sets direction across business lines</t>
        </is>
      </c>
      <c r="L7" s="84" t="inlineStr">
        <is>
          <t>Sets enterprise priorities for the function</t>
        </is>
      </c>
      <c r="M7" s="84" t="inlineStr">
        <is>
          <t>Already works at E2: Accountable to the board</t>
        </is>
      </c>
      <c r="N7" s="34" t="inlineStr">
        <is>
          <t>M</t>
        </is>
      </c>
      <c r="O7" s="84" t="inlineStr">
        <is>
          <t>Works at D2: Multi-business results</t>
        </is>
      </c>
      <c r="P7" s="84" t="inlineStr">
        <is>
          <t>Enterprise-wide functional results</t>
        </is>
      </c>
      <c r="Q7" s="84" t="inlineStr">
        <is>
          <t>Already works at E2: Enterprise results, risk, culture and long-term viability</t>
        </is>
      </c>
      <c r="R7" s="34" t="inlineStr">
        <is>
          <t>M</t>
        </is>
      </c>
      <c r="S7" s="56" t="inlineStr">
        <is>
          <t>Works at D2: Builds the leadership team across businesses</t>
        </is>
      </c>
      <c r="T7" s="56" t="inlineStr">
        <is>
          <t>Shapes enterprise strategy</t>
        </is>
      </c>
      <c r="U7" s="56" t="inlineStr">
        <is>
          <t>Already works at E2: Sets enterprise strategy; leads the executive team</t>
        </is>
      </c>
      <c r="V7" s="34" t="inlineStr">
        <is>
          <t>L</t>
        </is>
      </c>
      <c r="W7" s="56" t="inlineStr">
        <is>
          <t>Works at D2: Owns the results of several business lines</t>
        </is>
      </c>
      <c r="X7" s="56" t="inlineStr">
        <is>
          <t>Shapes company-wide results through a function</t>
        </is>
      </c>
      <c r="Y7" s="56" t="inlineStr">
        <is>
          <t>Already works at E2: Answers for the whole company's results and long-term value</t>
        </is>
      </c>
      <c r="Z7" s="34" t="inlineStr">
        <is>
          <t>L</t>
        </is>
      </c>
      <c r="AA7" s="85" t="inlineStr">
        <is>
          <t>Less experience than the band's typical 20+ yrs</t>
        </is>
      </c>
      <c r="AB7" s="85" t="inlineStr">
        <is>
          <t>Typical for the band: 20+ yrs · market — yrs</t>
        </is>
      </c>
      <c r="AC7" s="85" t="inlineStr">
        <is>
          <t>More experience than the band's typical 20+ yrs</t>
        </is>
      </c>
      <c r="AD7" s="34" t="inlineStr">
        <is>
          <t>L</t>
        </is>
      </c>
      <c r="AE7" s="85" t="inlineStr">
        <is>
          <t>Below: Postgraduate / professional qualification preferred</t>
        </is>
      </c>
      <c r="AF7" s="85" t="inlineStr">
        <is>
          <t>Postgraduate / professional qualification; business leadership record</t>
        </is>
      </c>
      <c r="AG7" s="85" t="inlineStr">
        <is>
          <t>Above: Postgraduate / professional qualification; proven business leadership</t>
        </is>
      </c>
      <c r="AH7" s="44" t="inlineStr">
        <is>
          <t>36.3 · 19 · 11.3 · 20 · 8.7 · 4 · 1</t>
        </is>
      </c>
      <c r="AI7" s="38" t="inlineStr">
        <is>
          <t>20+ yrs</t>
        </is>
      </c>
      <c r="AJ7" s="38" t="inlineStr">
        <is>
          <t>5–8 function heads</t>
        </is>
      </c>
      <c r="AK7" s="38" t="inlineStr">
        <is>
          <t>E5 · SFIA 7</t>
        </is>
      </c>
      <c r="AL7"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8" ht="120" customHeight="1">
      <c r="A8" s="86" t="inlineStr">
        <is>
          <t>D2</t>
        </is>
      </c>
      <c r="B8" s="29" t="inlineStr">
        <is>
          <t>Band D · Business leadership</t>
        </is>
      </c>
      <c r="C8" s="29" t="inlineStr">
        <is>
          <t>Bands D–E · Leadership</t>
        </is>
      </c>
      <c r="D8" s="29" t="inlineStr">
        <is>
          <t>Senior Vice President / Business Head</t>
        </is>
      </c>
      <c r="E8" s="29" t="inlineStr">
        <is>
          <t>— no role at this level today</t>
        </is>
      </c>
      <c r="F8" s="34" t="inlineStr">
        <is>
          <t>H</t>
        </is>
      </c>
      <c r="G8" s="84" t="inlineStr">
        <is>
          <t>Works at D1: Competing strategic, financial and regulatory priorities</t>
        </is>
      </c>
      <c r="H8" s="84" t="inlineStr">
        <is>
          <t>Portfolio-level strategic, financial and regulatory trade-offs</t>
        </is>
      </c>
      <c r="I8" s="84" t="inlineStr">
        <is>
          <t>Already works at E1: Enterprise-level functional strategy</t>
        </is>
      </c>
      <c r="J8" s="34" t="inlineStr">
        <is>
          <t>M</t>
        </is>
      </c>
      <c r="K8" s="84" t="inlineStr">
        <is>
          <t>Works at D1: Sets business-line direction, pricing and investment</t>
        </is>
      </c>
      <c r="L8" s="84" t="inlineStr">
        <is>
          <t>Sets direction across business lines</t>
        </is>
      </c>
      <c r="M8" s="84" t="inlineStr">
        <is>
          <t>Already works at E1: Sets enterprise priorities for the function</t>
        </is>
      </c>
      <c r="N8" s="34" t="inlineStr">
        <is>
          <t>M</t>
        </is>
      </c>
      <c r="O8" s="84" t="inlineStr">
        <is>
          <t>Works at D1: Business-line P&amp;L and market position</t>
        </is>
      </c>
      <c r="P8" s="84" t="inlineStr">
        <is>
          <t>Multi-business results</t>
        </is>
      </c>
      <c r="Q8" s="84" t="inlineStr">
        <is>
          <t>Already works at E1: Enterprise-wide functional results</t>
        </is>
      </c>
      <c r="R8" s="34" t="inlineStr">
        <is>
          <t>M</t>
        </is>
      </c>
      <c r="S8" s="56" t="inlineStr">
        <is>
          <t>Works at D1: Defines business strategy; builds the leadership bench</t>
        </is>
      </c>
      <c r="T8" s="56" t="inlineStr">
        <is>
          <t>Builds the leadership team across businesses</t>
        </is>
      </c>
      <c r="U8" s="56" t="inlineStr">
        <is>
          <t>Already works at E1: Shapes enterprise strategy</t>
        </is>
      </c>
      <c r="V8" s="34" t="inlineStr">
        <is>
          <t>L</t>
        </is>
      </c>
      <c r="W8" s="56" t="inlineStr">
        <is>
          <t>Works at D1: Owns a business line's P&amp;L and growth, or a company-wide function</t>
        </is>
      </c>
      <c r="X8" s="56" t="inlineStr">
        <is>
          <t>Owns the results of several business lines</t>
        </is>
      </c>
      <c r="Y8" s="56" t="inlineStr">
        <is>
          <t>Already works at E1: Shapes company-wide results through a function</t>
        </is>
      </c>
      <c r="Z8" s="34" t="inlineStr">
        <is>
          <t>L</t>
        </is>
      </c>
      <c r="AA8" s="85" t="inlineStr">
        <is>
          <t>Less experience than the band's typical 18–24 yrs</t>
        </is>
      </c>
      <c r="AB8" s="85" t="inlineStr">
        <is>
          <t>Typical for the band: 18–24 yrs · market — yrs</t>
        </is>
      </c>
      <c r="AC8" s="85" t="inlineStr">
        <is>
          <t>More experience than the band's typical 18–24 yrs</t>
        </is>
      </c>
      <c r="AD8" s="34" t="inlineStr">
        <is>
          <t>L</t>
        </is>
      </c>
      <c r="AE8" s="85" t="inlineStr">
        <is>
          <t>Below: Postgraduate / professional qualification preferred</t>
        </is>
      </c>
      <c r="AF8" s="85" t="inlineStr">
        <is>
          <t>Postgraduate / professional qualification preferred</t>
        </is>
      </c>
      <c r="AG8" s="85" t="inlineStr">
        <is>
          <t>Above: Postgraduate / professional qualification; business leadership record</t>
        </is>
      </c>
      <c r="AH8" s="44" t="inlineStr">
        <is>
          <t>36.3 · 19 · 11.3 · 20 · 8.7 · 4 · 1</t>
        </is>
      </c>
      <c r="AI8" s="38" t="inlineStr">
        <is>
          <t>18–24 yrs</t>
        </is>
      </c>
      <c r="AJ8" s="38" t="inlineStr">
        <is>
          <t>5–8 AVPs / heads</t>
        </is>
      </c>
      <c r="AK8" s="38" t="inlineStr">
        <is>
          <t>E3–E4 · SFIA 7 Set strategy</t>
        </is>
      </c>
      <c r="AL8"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9" ht="120" customHeight="1">
      <c r="A9" s="86" t="inlineStr">
        <is>
          <t>D1</t>
        </is>
      </c>
      <c r="B9" s="29" t="inlineStr">
        <is>
          <t>Band D · Business leadership</t>
        </is>
      </c>
      <c r="C9" s="29" t="inlineStr">
        <is>
          <t>Bands D–E · Leadership</t>
        </is>
      </c>
      <c r="D9" s="29" t="inlineStr">
        <is>
          <t>Associate Vice President</t>
        </is>
      </c>
      <c r="E9" s="29" t="inlineStr">
        <is>
          <t>— no role at this level today</t>
        </is>
      </c>
      <c r="F9" s="34" t="inlineStr">
        <is>
          <t>H</t>
        </is>
      </c>
      <c r="G9" s="84" t="inlineStr">
        <is>
          <t>Works at C2: Function-wide or company-wide problems; creates methods and standards</t>
        </is>
      </c>
      <c r="H9" s="84" t="inlineStr">
        <is>
          <t>Competing strategic, financial and regulatory priorities</t>
        </is>
      </c>
      <c r="I9" s="84" t="inlineStr">
        <is>
          <t>Already works at D2: Portfolio-level strategic, financial and regulatory trade-offs</t>
        </is>
      </c>
      <c r="J9" s="34" t="inlineStr">
        <is>
          <t>M</t>
        </is>
      </c>
      <c r="K9" s="84" t="inlineStr">
        <is>
          <t>Works at C2: Sets direction for a function</t>
        </is>
      </c>
      <c r="L9" s="84" t="inlineStr">
        <is>
          <t>Sets business-line direction, pricing and investment</t>
        </is>
      </c>
      <c r="M9" s="84" t="inlineStr">
        <is>
          <t>Already works at D2: Sets direction across business lines</t>
        </is>
      </c>
      <c r="N9" s="34" t="inlineStr">
        <is>
          <t>M</t>
        </is>
      </c>
      <c r="O9" s="84" t="inlineStr">
        <is>
          <t>Works at C2: Function results, budget and risk</t>
        </is>
      </c>
      <c r="P9" s="84" t="inlineStr">
        <is>
          <t>Business-line P&amp;L and market position</t>
        </is>
      </c>
      <c r="Q9" s="84" t="inlineStr">
        <is>
          <t>Already works at D2: Multi-business results</t>
        </is>
      </c>
      <c r="R9" s="34" t="inlineStr">
        <is>
          <t>M</t>
        </is>
      </c>
      <c r="S9" s="56" t="inlineStr">
        <is>
          <t>Works at C2: Leads a function; shapes functional strategy</t>
        </is>
      </c>
      <c r="T9" s="56" t="inlineStr">
        <is>
          <t>Defines business strategy; builds the leadership bench</t>
        </is>
      </c>
      <c r="U9" s="56" t="inlineStr">
        <is>
          <t>Already works at D2: Builds the leadership team across businesses</t>
        </is>
      </c>
      <c r="V9" s="34" t="inlineStr">
        <is>
          <t>L</t>
        </is>
      </c>
      <c r="W9" s="56" t="inlineStr">
        <is>
          <t>Works at C2: Drives a function's or department's results and costs</t>
        </is>
      </c>
      <c r="X9" s="56" t="inlineStr">
        <is>
          <t>Owns a business line's P&amp;L and growth, or a company-wide function</t>
        </is>
      </c>
      <c r="Y9" s="56" t="inlineStr">
        <is>
          <t>Already works at D2: Owns the results of several business lines</t>
        </is>
      </c>
      <c r="Z9" s="34" t="inlineStr">
        <is>
          <t>L</t>
        </is>
      </c>
      <c r="AA9" s="85" t="inlineStr">
        <is>
          <t>Less experience than the band's typical 15–20 yrs</t>
        </is>
      </c>
      <c r="AB9" s="85" t="inlineStr">
        <is>
          <t>Typical for the band: 15–20 yrs · market — yrs</t>
        </is>
      </c>
      <c r="AC9" s="85" t="inlineStr">
        <is>
          <t>More experience than the band's typical 15–20 yrs</t>
        </is>
      </c>
      <c r="AD9" s="34" t="inlineStr">
        <is>
          <t>L</t>
        </is>
      </c>
      <c r="AE9" s="85" t="inlineStr">
        <is>
          <t>Below: Postgraduate / professional qualification preferred</t>
        </is>
      </c>
      <c r="AF9" s="85" t="inlineStr">
        <is>
          <t>Postgraduate / professional qualification preferred</t>
        </is>
      </c>
      <c r="AG9" s="85" t="inlineStr">
        <is>
          <t>Above: Postgraduate / professional qualification preferred</t>
        </is>
      </c>
      <c r="AH9" s="44" t="inlineStr">
        <is>
          <t>36.3 · 19 · 11.3 · 20 · 8.7 · 4 · 1</t>
        </is>
      </c>
      <c r="AI9" s="38" t="inlineStr">
        <is>
          <t>15–20 yrs</t>
        </is>
      </c>
      <c r="AJ9" s="38" t="inlineStr">
        <is>
          <t>5–8 heads</t>
        </is>
      </c>
      <c r="AK9" s="38" t="inlineStr">
        <is>
          <t>E1–E2 · SFIA 6–7</t>
        </is>
      </c>
      <c r="AL9"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0" ht="120" customHeight="1">
      <c r="A10" s="87" t="inlineStr">
        <is>
          <t>C+</t>
        </is>
      </c>
      <c r="B10" s="29" t="inlineStr">
        <is>
          <t>C+ · Player-Coach</t>
        </is>
      </c>
      <c r="C10" s="29" t="inlineStr">
        <is>
          <t>C+ · Player-Coach</t>
        </is>
      </c>
      <c r="D10" s="29" t="inlineStr">
        <is>
          <t>Group Head · Player-Coach</t>
        </is>
      </c>
      <c r="E10" s="29" t="inlineStr">
        <is>
          <t>— no role at this level today</t>
        </is>
      </c>
      <c r="F10" s="34" t="inlineStr">
        <is>
          <t>H</t>
        </is>
      </c>
      <c r="G10" s="84" t="inlineStr">
        <is>
          <t>Works at C2: Function-wide or company-wide problems; creates methods and standards</t>
        </is>
      </c>
      <c r="H10" s="84" t="inlineStr">
        <is>
          <t>Function-wide and cross-product problems; personally handles the most critical client or technical work</t>
        </is>
      </c>
      <c r="I10" s="84" t="inlineStr">
        <is>
          <t>Already works at D1: Competing strategic, financial and regulatory priorities</t>
        </is>
      </c>
      <c r="J10" s="34" t="inlineStr">
        <is>
          <t>M</t>
        </is>
      </c>
      <c r="K10" s="84" t="inlineStr">
        <is>
          <t>Works at C2: Sets direction for a function</t>
        </is>
      </c>
      <c r="L10" s="84" t="inlineStr">
        <is>
          <t>Sets direction for the function; business-line trade-offs go to the Business Head</t>
        </is>
      </c>
      <c r="M10" s="84" t="inlineStr">
        <is>
          <t>Already works at D1: Sets business-line direction, pricing and investment</t>
        </is>
      </c>
      <c r="N10" s="34" t="inlineStr">
        <is>
          <t>M</t>
        </is>
      </c>
      <c r="O10" s="84" t="inlineStr">
        <is>
          <t>Works at C2: Function results, budget and risk</t>
        </is>
      </c>
      <c r="P10" s="84" t="inlineStr">
        <is>
          <t>Function results, budget and key-client outcomes; carries own book or principal delivery</t>
        </is>
      </c>
      <c r="Q10" s="84" t="inlineStr">
        <is>
          <t>Already works at D1: Business-line P&amp;L and market position</t>
        </is>
      </c>
      <c r="R10" s="34" t="inlineStr">
        <is>
          <t>M</t>
        </is>
      </c>
      <c r="S10" s="56" t="inlineStr">
        <is>
          <t>Works at C2: Leads a function; shapes functional strategy</t>
        </is>
      </c>
      <c r="T10" s="56" t="inlineStr">
        <is>
          <t>Leads managers and leads and 10+ people in the function while staying hands-on</t>
        </is>
      </c>
      <c r="U10" s="56" t="inlineStr">
        <is>
          <t>Already works at D1: Defines business strategy; builds the leadership bench</t>
        </is>
      </c>
      <c r="V10" s="34" t="inlineStr">
        <is>
          <t>L</t>
        </is>
      </c>
      <c r="W10" s="56" t="inlineStr">
        <is>
          <t>Works at C2: Drives a function's or department's results and costs</t>
        </is>
      </c>
      <c r="X10" s="56" t="inlineStr">
        <is>
          <t>Drives a function's results and personally wins or delivers key work</t>
        </is>
      </c>
      <c r="Y10" s="56" t="inlineStr">
        <is>
          <t>Already works at D1: Owns a business line's P&amp;L and growth, or a company-wide function</t>
        </is>
      </c>
      <c r="Z10" s="34" t="inlineStr">
        <is>
          <t>L</t>
        </is>
      </c>
      <c r="AA10" s="85" t="inlineStr">
        <is>
          <t>Less experience than the band's typical 13–18 yrs</t>
        </is>
      </c>
      <c r="AB10" s="85" t="inlineStr">
        <is>
          <t>Typical for the band: 13–18 yrs · market 15–18 yrs</t>
        </is>
      </c>
      <c r="AC10" s="85" t="inlineStr">
        <is>
          <t>More experience than the band's typical 13–18 yrs</t>
        </is>
      </c>
      <c r="AD10" s="34" t="inlineStr">
        <is>
          <t>L</t>
        </is>
      </c>
      <c r="AE10" s="85" t="inlineStr">
        <is>
          <t>Below: Postgraduate / professional qualification preferred</t>
        </is>
      </c>
      <c r="AF10" s="85" t="inlineStr">
        <is>
          <t>Postgraduate / professional qualification preferred</t>
        </is>
      </c>
      <c r="AG10" s="85" t="inlineStr">
        <is>
          <t>Above: Postgraduate / professional qualification preferred</t>
        </is>
      </c>
      <c r="AH10" s="44" t="inlineStr">
        <is>
          <t>37.7 · 18.3 · 10.7 · 20 · 8 · 4 · 1</t>
        </is>
      </c>
      <c r="AI10" s="38" t="inlineStr">
        <is>
          <t>15–18</t>
        </is>
      </c>
      <c r="AJ10" s="38" t="inlineStr">
        <is>
          <t>4–8 managers / leads with ≥ 25% of time on own principal delivery</t>
        </is>
      </c>
      <c r="AK10" s="38" t="inlineStr">
        <is>
          <t>M6 / E1 · SFIA 6 Initiate, influence</t>
        </is>
      </c>
      <c r="AL10"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1" ht="120" customHeight="1">
      <c r="A11" s="88" t="inlineStr">
        <is>
          <t>C2</t>
        </is>
      </c>
      <c r="B11" s="29" t="inlineStr">
        <is>
          <t>Band C · Principal / Head</t>
        </is>
      </c>
      <c r="C11" s="29" t="inlineStr">
        <is>
          <t>Band C · Head / manager</t>
        </is>
      </c>
      <c r="D11" s="29" t="inlineStr">
        <is>
          <t>Head of Function</t>
        </is>
      </c>
      <c r="E11" s="29" t="inlineStr">
        <is>
          <t>Engineering Leadership · Head – Product Engineering</t>
        </is>
      </c>
      <c r="F11" s="34" t="inlineStr">
        <is>
          <t>H</t>
        </is>
      </c>
      <c r="G11" s="84" t="inlineStr">
        <is>
          <t>Works at C1: Ambiguous, cross-product problems</t>
        </is>
      </c>
      <c r="H11" s="84" t="inlineStr">
        <is>
          <t>Function-wide or company-wide problems; creates methods and standards</t>
        </is>
      </c>
      <c r="I11" s="84" t="inlineStr">
        <is>
          <t>Already works at D1: Competing strategic, financial and regulatory priorities</t>
        </is>
      </c>
      <c r="J11" s="34" t="inlineStr">
        <is>
          <t>M</t>
        </is>
      </c>
      <c r="K11" s="84" t="inlineStr">
        <is>
          <t>Works at C1: Sets direction for a sub-function or domain</t>
        </is>
      </c>
      <c r="L11" s="84" t="inlineStr">
        <is>
          <t>Sets direction for a function</t>
        </is>
      </c>
      <c r="M11" s="84" t="inlineStr">
        <is>
          <t>Already works at D1: Sets business-line direction, pricing and investment</t>
        </is>
      </c>
      <c r="N11" s="34" t="inlineStr">
        <is>
          <t>L</t>
        </is>
      </c>
      <c r="O11" s="84" t="inlineStr">
        <is>
          <t>Works at C1: Sub-function results or domain quality across products</t>
        </is>
      </c>
      <c r="P11" s="84" t="inlineStr">
        <is>
          <t>Function results, budget and risk</t>
        </is>
      </c>
      <c r="Q11" s="84" t="inlineStr">
        <is>
          <t>Already works at D1: Business-line P&amp;L and market position</t>
        </is>
      </c>
      <c r="R11" s="34" t="inlineStr">
        <is>
          <t>M</t>
        </is>
      </c>
      <c r="S11" s="56" t="inlineStr">
        <is>
          <t>Works at C1: Leads managers or a community of practice</t>
        </is>
      </c>
      <c r="T11" s="56" t="inlineStr">
        <is>
          <t>Leads a function; shapes functional strategy</t>
        </is>
      </c>
      <c r="U11" s="56" t="inlineStr">
        <is>
          <t>Already works at D1: Defines business strategy; builds the leadership bench</t>
        </is>
      </c>
      <c r="V11" s="34" t="inlineStr">
        <is>
          <t>L</t>
        </is>
      </c>
      <c r="W11" s="56" t="inlineStr">
        <is>
          <t>Works at C1: Changes results across a sub-function or across products</t>
        </is>
      </c>
      <c r="X11" s="56" t="inlineStr">
        <is>
          <t>Drives a function's or department's results and costs · purpose: Leads the product engineering organisation. At C2: a function or department, or a company-wide discipline.</t>
        </is>
      </c>
      <c r="Y11" s="56" t="inlineStr">
        <is>
          <t>Already works at D1: Owns a business line's P&amp;L and growth, or a company-wide function</t>
        </is>
      </c>
      <c r="Z11" s="34" t="inlineStr">
        <is>
          <t>L</t>
        </is>
      </c>
      <c r="AA11" s="85" t="inlineStr">
        <is>
          <t>Less experience than the band's typical 12–17 yrs</t>
        </is>
      </c>
      <c r="AB11" s="85" t="inlineStr">
        <is>
          <t>Typical for the band: 12–17 yrs · market — yrs</t>
        </is>
      </c>
      <c r="AC11" s="85" t="inlineStr">
        <is>
          <t>More experience than the band's typical 12–17 yrs</t>
        </is>
      </c>
      <c r="AD11" s="34" t="inlineStr">
        <is>
          <t>L</t>
        </is>
      </c>
      <c r="AE11" s="85" t="inlineStr">
        <is>
          <t>Below: Postgraduate / professional qualification preferred</t>
        </is>
      </c>
      <c r="AF11" s="85" t="inlineStr">
        <is>
          <t>Postgraduate / professional qualification preferred</t>
        </is>
      </c>
      <c r="AG11" s="85" t="inlineStr">
        <is>
          <t>Above: Postgraduate / professional qualification preferred</t>
        </is>
      </c>
      <c r="AH11" s="44" t="inlineStr">
        <is>
          <t>43.3 · 18 · 10.7 · 15 · 8 · 4 · 1</t>
        </is>
      </c>
      <c r="AI11" s="38" t="inlineStr">
        <is>
          <t>12–17 yrs</t>
        </is>
      </c>
      <c r="AJ11" s="38" t="inlineStr">
        <is>
          <t>5–8 managers / associate heads</t>
        </is>
      </c>
      <c r="AK11" s="38" t="inlineStr">
        <is>
          <t>P7 / M6 · SFIA 6 Initiate, influence</t>
        </is>
      </c>
      <c r="AL11"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2" ht="120" customHeight="1">
      <c r="A12" s="88" t="inlineStr">
        <is>
          <t>C2</t>
        </is>
      </c>
      <c r="B12" s="29" t="inlineStr">
        <is>
          <t>Band C · Principal / Head</t>
        </is>
      </c>
      <c r="C12" s="29" t="inlineStr">
        <is>
          <t>Band C · Principal specialist</t>
        </is>
      </c>
      <c r="D12" s="29" t="inlineStr">
        <is>
          <t>Senior Principal / Architect</t>
        </is>
      </c>
      <c r="E12" s="29" t="inlineStr">
        <is>
          <t>Engineering Leadership · Head – Product Engineering</t>
        </is>
      </c>
      <c r="F12" s="34" t="inlineStr">
        <is>
          <t>H</t>
        </is>
      </c>
      <c r="G12" s="84" t="inlineStr">
        <is>
          <t>Works at C1: Ambiguous, cross-product problems</t>
        </is>
      </c>
      <c r="H12" s="84" t="inlineStr">
        <is>
          <t>Function-wide or company-wide problems; creates methods and standards</t>
        </is>
      </c>
      <c r="I12" s="84" t="inlineStr">
        <is>
          <t>Already works at D1: Competing strategic, financial and regulatory priorities</t>
        </is>
      </c>
      <c r="J12" s="34" t="inlineStr">
        <is>
          <t>M</t>
        </is>
      </c>
      <c r="K12" s="84" t="inlineStr">
        <is>
          <t>Works at C1: Sets direction for a sub-function or domain</t>
        </is>
      </c>
      <c r="L12" s="84" t="inlineStr">
        <is>
          <t>Sets direction for a function</t>
        </is>
      </c>
      <c r="M12" s="84" t="inlineStr">
        <is>
          <t>Already works at D1: Sets business-line direction, pricing and investment</t>
        </is>
      </c>
      <c r="N12" s="34" t="inlineStr">
        <is>
          <t>L</t>
        </is>
      </c>
      <c r="O12" s="84" t="inlineStr">
        <is>
          <t>Works at C1: Sub-function results or domain quality across products</t>
        </is>
      </c>
      <c r="P12" s="84" t="inlineStr">
        <is>
          <t>Function results, budget and risk</t>
        </is>
      </c>
      <c r="Q12" s="84" t="inlineStr">
        <is>
          <t>Already works at D1: Business-line P&amp;L and market position</t>
        </is>
      </c>
      <c r="R12" s="34" t="inlineStr">
        <is>
          <t>L</t>
        </is>
      </c>
      <c r="S12" s="56" t="inlineStr">
        <is>
          <t>Works at C1: Leads managers or a community of practice</t>
        </is>
      </c>
      <c r="T12" s="56" t="inlineStr">
        <is>
          <t>Leads a function; shapes functional strategy</t>
        </is>
      </c>
      <c r="U12" s="56" t="inlineStr">
        <is>
          <t>Already works at D1: Defines business strategy; builds the leadership bench</t>
        </is>
      </c>
      <c r="V12" s="34" t="inlineStr">
        <is>
          <t>L</t>
        </is>
      </c>
      <c r="W12" s="56" t="inlineStr">
        <is>
          <t>Works at C1: Changes results across a sub-function or across products</t>
        </is>
      </c>
      <c r="X12" s="56" t="inlineStr">
        <is>
          <t>Drives a function's or department's results and costs · purpose: Leads the product engineering organisation. At C2: a function or department, or a company-wide discipline.</t>
        </is>
      </c>
      <c r="Y12" s="56" t="inlineStr">
        <is>
          <t>Already works at D1: Owns a business line's P&amp;L and growth, or a company-wide function</t>
        </is>
      </c>
      <c r="Z12" s="34" t="inlineStr">
        <is>
          <t>L</t>
        </is>
      </c>
      <c r="AA12" s="85" t="inlineStr">
        <is>
          <t>Less experience than the band's typical 12–17 yrs</t>
        </is>
      </c>
      <c r="AB12" s="85" t="inlineStr">
        <is>
          <t>Typical for the band: 12–17 yrs · market — yrs</t>
        </is>
      </c>
      <c r="AC12" s="85" t="inlineStr">
        <is>
          <t>More experience than the band's typical 12–17 yrs</t>
        </is>
      </c>
      <c r="AD12" s="34" t="inlineStr">
        <is>
          <t>L</t>
        </is>
      </c>
      <c r="AE12" s="85" t="inlineStr">
        <is>
          <t>Below: Postgraduate / professional qualification preferred</t>
        </is>
      </c>
      <c r="AF12" s="85" t="inlineStr">
        <is>
          <t>Postgraduate / professional qualification preferred</t>
        </is>
      </c>
      <c r="AG12" s="85" t="inlineStr">
        <is>
          <t>Above: Postgraduate / professional qualification preferred</t>
        </is>
      </c>
      <c r="AH12" s="44" t="inlineStr">
        <is>
          <t>54.3 · 17.7 · 10.3 · 5 · 7.7 · 4 · 1</t>
        </is>
      </c>
      <c r="AI12" s="38" t="inlineStr">
        <is>
          <t>12–17 yrs</t>
        </is>
      </c>
      <c r="AJ12" s="38" t="inlineStr">
        <is>
          <t>5–8 managers / associate heads</t>
        </is>
      </c>
      <c r="AK12" s="38" t="inlineStr">
        <is>
          <t>P7 / M6 · SFIA 6 Initiate, influence</t>
        </is>
      </c>
      <c r="AL12"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3" ht="120" customHeight="1">
      <c r="A13" s="88" t="inlineStr">
        <is>
          <t>C1</t>
        </is>
      </c>
      <c r="B13" s="29" t="inlineStr">
        <is>
          <t>Band C · Principal / Head</t>
        </is>
      </c>
      <c r="C13" s="29" t="inlineStr">
        <is>
          <t>Band C · Head / manager</t>
        </is>
      </c>
      <c r="D13" s="29" t="inlineStr">
        <is>
          <t>Associate Head</t>
        </is>
      </c>
      <c r="E13" s="29" t="inlineStr">
        <is>
          <t>— no role at this level today</t>
        </is>
      </c>
      <c r="F13" s="34" t="inlineStr">
        <is>
          <t>H</t>
        </is>
      </c>
      <c r="G13" s="84" t="inlineStr">
        <is>
          <t>Works at B3: Sets standards for a practice; cross-team problems</t>
        </is>
      </c>
      <c r="H13" s="84" t="inlineStr">
        <is>
          <t>Ambiguous, cross-product problems</t>
        </is>
      </c>
      <c r="I13" s="84" t="inlineStr">
        <is>
          <t>Already works at C2: Function-wide or company-wide problems; creates methods and standards</t>
        </is>
      </c>
      <c r="J13" s="34" t="inlineStr">
        <is>
          <t>M</t>
        </is>
      </c>
      <c r="K13" s="84" t="inlineStr">
        <is>
          <t>Works at B3: Commercial / strategic calls for the unit</t>
        </is>
      </c>
      <c r="L13" s="84" t="inlineStr">
        <is>
          <t>Sets direction for a sub-function or domain</t>
        </is>
      </c>
      <c r="M13" s="84" t="inlineStr">
        <is>
          <t>Already works at C2: Sets direction for a function</t>
        </is>
      </c>
      <c r="N13" s="34" t="inlineStr">
        <is>
          <t>L</t>
        </is>
      </c>
      <c r="O13" s="84" t="inlineStr">
        <is>
          <t>Works at B3: Several teams or a practice</t>
        </is>
      </c>
      <c r="P13" s="84" t="inlineStr">
        <is>
          <t>Sub-function results or domain quality across products</t>
        </is>
      </c>
      <c r="Q13" s="84" t="inlineStr">
        <is>
          <t>Already works at C2: Function results, budget and risk</t>
        </is>
      </c>
      <c r="R13" s="34" t="inlineStr">
        <is>
          <t>M</t>
        </is>
      </c>
      <c r="S13" s="56" t="inlineStr">
        <is>
          <t>Works at B3: IC: leads a practice · People: team leads / managers report in</t>
        </is>
      </c>
      <c r="T13" s="56" t="inlineStr">
        <is>
          <t>Leads managers or a community of practice</t>
        </is>
      </c>
      <c r="U13" s="56" t="inlineStr">
        <is>
          <t>Already works at C2: Leads a function; shapes functional strategy</t>
        </is>
      </c>
      <c r="V13" s="34" t="inlineStr">
        <is>
          <t>L</t>
        </is>
      </c>
      <c r="W13" s="56" t="inlineStr">
        <is>
          <t>Works at B3: Shapes the results of a practice or several teams</t>
        </is>
      </c>
      <c r="X13" s="56" t="inlineStr">
        <is>
          <t>Changes results across a sub-function or across products</t>
        </is>
      </c>
      <c r="Y13" s="56" t="inlineStr">
        <is>
          <t>Already works at C2: Drives a function's or department's results and costs</t>
        </is>
      </c>
      <c r="Z13" s="34" t="inlineStr">
        <is>
          <t>L</t>
        </is>
      </c>
      <c r="AA13" s="85" t="inlineStr">
        <is>
          <t>Less experience than the band's typical 10–14 yrs</t>
        </is>
      </c>
      <c r="AB13" s="85" t="inlineStr">
        <is>
          <t>Typical for the band: 10–14 yrs · market 12–17 yrs</t>
        </is>
      </c>
      <c r="AC13" s="85" t="inlineStr">
        <is>
          <t>More experience than the band's typical 10–14 yrs</t>
        </is>
      </c>
      <c r="AD13" s="34" t="inlineStr">
        <is>
          <t>L</t>
        </is>
      </c>
      <c r="AE13" s="85" t="inlineStr">
        <is>
          <t>Below: Postgraduate or professional qualification preferred</t>
        </is>
      </c>
      <c r="AF13" s="85" t="inlineStr">
        <is>
          <t>Postgraduate / professional qualification preferred</t>
        </is>
      </c>
      <c r="AG13" s="85" t="inlineStr">
        <is>
          <t>Above: Postgraduate / professional qualification preferred</t>
        </is>
      </c>
      <c r="AH13" s="44" t="inlineStr">
        <is>
          <t>43.3 · 18 · 10.7 · 15 · 8 · 4 · 1</t>
        </is>
      </c>
      <c r="AI13" s="38" t="inlineStr">
        <is>
          <t>12–17</t>
        </is>
      </c>
      <c r="AJ13" s="38" t="inlineStr">
        <is>
          <t>5–8, mostly managers</t>
        </is>
      </c>
      <c r="AK13" s="38" t="inlineStr">
        <is>
          <t>P6 / M5 · SFIA 5–6</t>
        </is>
      </c>
      <c r="AL13"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4" ht="120" customHeight="1">
      <c r="A14" s="88" t="inlineStr">
        <is>
          <t>C1</t>
        </is>
      </c>
      <c r="B14" s="29" t="inlineStr">
        <is>
          <t>Band C · Principal / Head</t>
        </is>
      </c>
      <c r="C14" s="29" t="inlineStr">
        <is>
          <t>Band C · Principal specialist</t>
        </is>
      </c>
      <c r="D14" s="29" t="inlineStr">
        <is>
          <t>Principal</t>
        </is>
      </c>
      <c r="E14" s="29" t="inlineStr">
        <is>
          <t>— no role at this level today</t>
        </is>
      </c>
      <c r="F14" s="34" t="inlineStr">
        <is>
          <t>H</t>
        </is>
      </c>
      <c r="G14" s="84" t="inlineStr">
        <is>
          <t>Works at B3: Sets standards for a practice; cross-team problems</t>
        </is>
      </c>
      <c r="H14" s="84" t="inlineStr">
        <is>
          <t>Ambiguous, cross-product problems</t>
        </is>
      </c>
      <c r="I14" s="84" t="inlineStr">
        <is>
          <t>Already works at C2: Function-wide or company-wide problems; creates methods and standards</t>
        </is>
      </c>
      <c r="J14" s="34" t="inlineStr">
        <is>
          <t>M</t>
        </is>
      </c>
      <c r="K14" s="84" t="inlineStr">
        <is>
          <t>Works at B3: Commercial / strategic calls for the unit</t>
        </is>
      </c>
      <c r="L14" s="84" t="inlineStr">
        <is>
          <t>Sets direction for a sub-function or domain</t>
        </is>
      </c>
      <c r="M14" s="84" t="inlineStr">
        <is>
          <t>Already works at C2: Sets direction for a function</t>
        </is>
      </c>
      <c r="N14" s="34" t="inlineStr">
        <is>
          <t>L</t>
        </is>
      </c>
      <c r="O14" s="84" t="inlineStr">
        <is>
          <t>Works at B3: Several teams or a practice</t>
        </is>
      </c>
      <c r="P14" s="84" t="inlineStr">
        <is>
          <t>Sub-function results or domain quality across products</t>
        </is>
      </c>
      <c r="Q14" s="84" t="inlineStr">
        <is>
          <t>Already works at C2: Function results, budget and risk</t>
        </is>
      </c>
      <c r="R14" s="34" t="inlineStr">
        <is>
          <t>L</t>
        </is>
      </c>
      <c r="S14" s="56" t="inlineStr">
        <is>
          <t>Works at B3: IC: leads a practice · People: team leads / managers report in</t>
        </is>
      </c>
      <c r="T14" s="56" t="inlineStr">
        <is>
          <t>Leads managers or a community of practice</t>
        </is>
      </c>
      <c r="U14" s="56" t="inlineStr">
        <is>
          <t>Already works at C2: Leads a function; shapes functional strategy</t>
        </is>
      </c>
      <c r="V14" s="34" t="inlineStr">
        <is>
          <t>L</t>
        </is>
      </c>
      <c r="W14" s="56" t="inlineStr">
        <is>
          <t>Works at B3: Shapes the results of a practice or several teams</t>
        </is>
      </c>
      <c r="X14" s="56" t="inlineStr">
        <is>
          <t>Changes results across a sub-function or across products</t>
        </is>
      </c>
      <c r="Y14" s="56" t="inlineStr">
        <is>
          <t>Already works at C2: Drives a function's or department's results and costs</t>
        </is>
      </c>
      <c r="Z14" s="34" t="inlineStr">
        <is>
          <t>L</t>
        </is>
      </c>
      <c r="AA14" s="85" t="inlineStr">
        <is>
          <t>Less experience than the band's typical 10–14 yrs</t>
        </is>
      </c>
      <c r="AB14" s="85" t="inlineStr">
        <is>
          <t>Typical for the band: 10–14 yrs · market 12–17 yrs</t>
        </is>
      </c>
      <c r="AC14" s="85" t="inlineStr">
        <is>
          <t>More experience than the band's typical 10–14 yrs</t>
        </is>
      </c>
      <c r="AD14" s="34" t="inlineStr">
        <is>
          <t>L</t>
        </is>
      </c>
      <c r="AE14" s="85" t="inlineStr">
        <is>
          <t>Below: Postgraduate or professional qualification preferred</t>
        </is>
      </c>
      <c r="AF14" s="85" t="inlineStr">
        <is>
          <t>Postgraduate / professional qualification preferred</t>
        </is>
      </c>
      <c r="AG14" s="85" t="inlineStr">
        <is>
          <t>Above: Postgraduate / professional qualification preferred</t>
        </is>
      </c>
      <c r="AH14" s="44" t="inlineStr">
        <is>
          <t>54.3 · 17.7 · 10.3 · 5 · 7.7 · 4 · 1</t>
        </is>
      </c>
      <c r="AI14" s="38" t="inlineStr">
        <is>
          <t>12–17</t>
        </is>
      </c>
      <c r="AJ14" s="38" t="inlineStr">
        <is>
          <t>5–8, mostly managers</t>
        </is>
      </c>
      <c r="AK14" s="38" t="inlineStr">
        <is>
          <t>P6 / M5 · SFIA 5–6</t>
        </is>
      </c>
      <c r="AL14"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5" ht="120" customHeight="1">
      <c r="A15" s="89" t="inlineStr">
        <is>
          <t>B+</t>
        </is>
      </c>
      <c r="B15" s="29" t="inlineStr">
        <is>
          <t>B+ · Player-Coach</t>
        </is>
      </c>
      <c r="C15" s="29" t="inlineStr">
        <is>
          <t>B+ · Player-Coach</t>
        </is>
      </c>
      <c r="D15" s="29" t="inlineStr">
        <is>
          <t>Practice Lead · Player-Coach</t>
        </is>
      </c>
      <c r="E15" s="29" t="inlineStr">
        <is>
          <t>— no role at this level today</t>
        </is>
      </c>
      <c r="F15" s="34" t="inlineStr">
        <is>
          <t>H</t>
        </is>
      </c>
      <c r="G15" s="84" t="inlineStr">
        <is>
          <t>Works at B3: Sets standards for a practice; cross-team problems</t>
        </is>
      </c>
      <c r="H15" s="84" t="inlineStr">
        <is>
          <t>Principal-level problems in own domain; sets technical or quality standards and still builds</t>
        </is>
      </c>
      <c r="I15" s="84" t="inlineStr">
        <is>
          <t>Already works at C1: Ambiguous, cross-product problems</t>
        </is>
      </c>
      <c r="J15" s="34" t="inlineStr">
        <is>
          <t>M</t>
        </is>
      </c>
      <c r="K15" s="84" t="inlineStr">
        <is>
          <t>Works at B3: Commercial / strategic calls for the unit</t>
        </is>
      </c>
      <c r="L15" s="84" t="inlineStr">
        <is>
          <t>Decides approach and priorities for the practice; escalates only cross-function trade-offs</t>
        </is>
      </c>
      <c r="M15" s="84" t="inlineStr">
        <is>
          <t>Already works at C1: Sets direction for a sub-function or domain</t>
        </is>
      </c>
      <c r="N15" s="34" t="inlineStr">
        <is>
          <t>L</t>
        </is>
      </c>
      <c r="O15" s="84" t="inlineStr">
        <is>
          <t>Works at B3: Several teams or a practice</t>
        </is>
      </c>
      <c r="P15" s="84" t="inlineStr">
        <is>
          <t>Practice outcomes plus own deliverables; quality and delivery of the team</t>
        </is>
      </c>
      <c r="Q15" s="84" t="inlineStr">
        <is>
          <t>Already works at C1: Sub-function results or domain quality across products</t>
        </is>
      </c>
      <c r="R15" s="34" t="inlineStr">
        <is>
          <t>M</t>
        </is>
      </c>
      <c r="S15" s="56" t="inlineStr">
        <is>
          <t>Works at B3: IC: leads a practice · People: team leads / managers report in</t>
        </is>
      </c>
      <c r="T15" s="56" t="inlineStr">
        <is>
          <t>Leads 3–6 people · or a pod while remaining a hands-on expert; coaches, allocates, reviews</t>
        </is>
      </c>
      <c r="U15" s="56" t="inlineStr">
        <is>
          <t>Already works at C1: Leads managers or a community of practice</t>
        </is>
      </c>
      <c r="V15" s="34" t="inlineStr">
        <is>
          <t>L</t>
        </is>
      </c>
      <c r="W15" s="56" t="inlineStr">
        <is>
          <t>Works at B3: Shapes the results of a practice or several teams</t>
        </is>
      </c>
      <c r="X15" s="56" t="inlineStr">
        <is>
          <t>Drives a practice's results while delivering the hardest work</t>
        </is>
      </c>
      <c r="Y15" s="56" t="inlineStr">
        <is>
          <t>Already works at C1: Changes results across a sub-function or across products</t>
        </is>
      </c>
      <c r="Z15" s="34" t="inlineStr">
        <is>
          <t>L</t>
        </is>
      </c>
      <c r="AA15" s="85" t="inlineStr">
        <is>
          <t>Less experience than the band's typical 9–14 yrs</t>
        </is>
      </c>
      <c r="AB15" s="85" t="inlineStr">
        <is>
          <t>Typical for the band: 9–14 yrs · market 9–14 yrs</t>
        </is>
      </c>
      <c r="AC15" s="85" t="inlineStr">
        <is>
          <t>More experience than the band's typical 9–14 yrs</t>
        </is>
      </c>
      <c r="AD15" s="34" t="inlineStr">
        <is>
          <t>L</t>
        </is>
      </c>
      <c r="AE15" s="85" t="inlineStr">
        <is>
          <t>Below: Postgraduate or professional qualification preferred</t>
        </is>
      </c>
      <c r="AF15" s="85" t="inlineStr">
        <is>
          <t>Postgraduate or professional qualification preferred</t>
        </is>
      </c>
      <c r="AG15" s="85" t="inlineStr">
        <is>
          <t>Above: Postgraduate / professional qualification preferred</t>
        </is>
      </c>
      <c r="AH15" s="44" t="inlineStr">
        <is>
          <t>44 · 17.7 · 10.3 · 10 · 7.7 · 6 · 4</t>
        </is>
      </c>
      <c r="AI15" s="38" t="inlineStr">
        <is>
          <t>9–14</t>
        </is>
      </c>
      <c r="AJ15" s="38" t="inlineStr">
        <is>
          <t>3–6 direct reports with ≥ 40% of time on own delivery · McKinsey player/coach 3–5; Google Tech Lead Manager</t>
        </is>
      </c>
      <c r="AK15" s="38" t="inlineStr">
        <is>
          <t>P5–P6 / M4–M5 · SFIA 5 Ensure, advise</t>
        </is>
      </c>
      <c r="AL15"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6" ht="120" customHeight="1">
      <c r="A16" s="90" t="inlineStr">
        <is>
          <t>B3</t>
        </is>
      </c>
      <c r="B16" s="29" t="inlineStr">
        <is>
          <t>Band B · Specialist / Manager</t>
        </is>
      </c>
      <c r="C16" s="29" t="inlineStr">
        <is>
          <t>Band B · People Manager</t>
        </is>
      </c>
      <c r="D16" s="29" t="inlineStr">
        <is>
          <t>Senior Manager</t>
        </is>
      </c>
      <c r="E16" s="29" t="inlineStr">
        <is>
          <t>Application Maintenance &amp; Production Support · Lead Software Engineer
Backend Development · Lead Software Engineer · Lead Software Engineer – POD Lead
Backend Development · Senior Engineering Manager
Full-Stack Development · Lead Software Engineer – POD Lead</t>
        </is>
      </c>
      <c r="F16" s="34" t="inlineStr">
        <is>
          <t>H</t>
        </is>
      </c>
      <c r="G16" s="84" t="inlineStr">
        <is>
          <t>Works at B2: Hardest problems in the domain</t>
        </is>
      </c>
      <c r="H16" s="84" t="inlineStr">
        <is>
          <t>Sets standards for a practice; cross-team problems · in Engineering &amp; Development: NET MVC</t>
        </is>
      </c>
      <c r="I16" s="84" t="inlineStr">
        <is>
          <t>Already works at C1: Ambiguous, cross-product problems</t>
        </is>
      </c>
      <c r="J16" s="34" t="inlineStr">
        <is>
          <t>M</t>
        </is>
      </c>
      <c r="K16" s="84" t="inlineStr">
        <is>
          <t>Works at B2: Allocates people and sets team priorities</t>
        </is>
      </c>
      <c r="L16" s="84" t="inlineStr">
        <is>
          <t>Commercial / strategic calls for the unit</t>
        </is>
      </c>
      <c r="M16" s="84" t="inlineStr">
        <is>
          <t>Already works at C1: Sets direction for a sub-function or domain</t>
        </is>
      </c>
      <c r="N16" s="34" t="inlineStr">
        <is>
          <t>L</t>
        </is>
      </c>
      <c r="O16" s="84" t="inlineStr">
        <is>
          <t>Works at B2: One team or a client portfolio</t>
        </is>
      </c>
      <c r="P16" s="84" t="inlineStr">
        <is>
          <t>Several teams or a practice · KRA themes: Common themes in manager-set KRAs: technical · defect · quality · agreed · deliver · reviews</t>
        </is>
      </c>
      <c r="Q16" s="84" t="inlineStr">
        <is>
          <t>Already works at C1: Sub-function results or domain quality across products</t>
        </is>
      </c>
      <c r="R16" s="34" t="inlineStr">
        <is>
          <t>M</t>
        </is>
      </c>
      <c r="S16" s="56" t="inlineStr">
        <is>
          <t>Works at B2: IC: guides others in the domain · People: manages a team of 6+</t>
        </is>
      </c>
      <c r="T16" s="56" t="inlineStr">
        <is>
          <t>IC: leads a practice · People: team leads / managers report in</t>
        </is>
      </c>
      <c r="U16" s="56" t="inlineStr">
        <is>
          <t>Already works at C1: Leads managers or a community of practice</t>
        </is>
      </c>
      <c r="V16" s="34" t="inlineStr">
        <is>
          <t>L</t>
        </is>
      </c>
      <c r="W16" s="56" t="inlineStr">
        <is>
          <t>Works at B2: Visible effect on a team's or client portfolio's revenue, quality or compliance</t>
        </is>
      </c>
      <c r="X16" s="56" t="inlineStr">
        <is>
          <t>Shapes the results of a practice or several teams · purpose: Keeps live applications/portals running — production fixes, patches, small enhancements, CRs. At B3: a practice, or several teams through team leads.
Common …</t>
        </is>
      </c>
      <c r="Y16" s="56" t="inlineStr">
        <is>
          <t>Already works at C1: Changes results across a sub-function or across products</t>
        </is>
      </c>
      <c r="Z16" s="34" t="inlineStr">
        <is>
          <t>L</t>
        </is>
      </c>
      <c r="AA16" s="85" t="inlineStr">
        <is>
          <t>Less experience than the band's typical 8–12 yrs</t>
        </is>
      </c>
      <c r="AB16" s="85" t="inlineStr">
        <is>
          <t>Typical for the band: 8–12 yrs · market 8–13 yrs</t>
        </is>
      </c>
      <c r="AC16" s="85" t="inlineStr">
        <is>
          <t>More experience than the band's typical 8–12 yrs</t>
        </is>
      </c>
      <c r="AD16" s="34" t="inlineStr">
        <is>
          <t>L</t>
        </is>
      </c>
      <c r="AE16" s="85" t="inlineStr">
        <is>
          <t>Below: Graduate or postgraduate; professional qualification preferred</t>
        </is>
      </c>
      <c r="AF16" s="85" t="inlineStr">
        <is>
          <t>Postgraduate or professional qualification preferred</t>
        </is>
      </c>
      <c r="AG16" s="85" t="inlineStr">
        <is>
          <t>Above: Postgraduate / professional qualification preferred</t>
        </is>
      </c>
      <c r="AH16" s="44" t="inlineStr">
        <is>
          <t>37 · 18.3 · 11.3 · 15 · 8.7 · 6 · 4</t>
        </is>
      </c>
      <c r="AI16" s="38" t="inlineStr">
        <is>
          <t>8–13</t>
        </is>
      </c>
      <c r="AJ16" s="38" t="inlineStr">
        <is>
          <t>IC: none · People: 5–8 incl. team leads</t>
        </is>
      </c>
      <c r="AK16" s="38" t="inlineStr">
        <is>
          <t>P5 / M4 · SFIA 5 Ensure, advise</t>
        </is>
      </c>
      <c r="AL16"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7" ht="120" customHeight="1">
      <c r="A17" s="90" t="inlineStr">
        <is>
          <t>B3</t>
        </is>
      </c>
      <c r="B17" s="29" t="inlineStr">
        <is>
          <t>Band B · Specialist / Manager</t>
        </is>
      </c>
      <c r="C17" s="29" t="inlineStr">
        <is>
          <t>Band B · Specialist / POD Lead</t>
        </is>
      </c>
      <c r="D17" s="29" t="inlineStr">
        <is>
          <t>Lead Specialist</t>
        </is>
      </c>
      <c r="E17" s="29" t="inlineStr">
        <is>
          <t>Application Maintenance &amp; Production Support · Lead Software Engineer
Backend Development · Lead Software Engineer · Lead Software Engineer – POD Lead
Backend Development · Senior Engineering Manager
Full-Stack Development · Lead Software Engineer – POD Lead</t>
        </is>
      </c>
      <c r="F17" s="34" t="inlineStr">
        <is>
          <t>H</t>
        </is>
      </c>
      <c r="G17" s="84" t="inlineStr">
        <is>
          <t>Works at B2: Hardest problems in the domain</t>
        </is>
      </c>
      <c r="H17" s="84" t="inlineStr">
        <is>
          <t>Sets standards for a practice; cross-team problems · in Engineering &amp; Development: NET MVC</t>
        </is>
      </c>
      <c r="I17" s="84" t="inlineStr">
        <is>
          <t>Already works at C1: Ambiguous, cross-product problems</t>
        </is>
      </c>
      <c r="J17" s="34" t="inlineStr">
        <is>
          <t>M</t>
        </is>
      </c>
      <c r="K17" s="84" t="inlineStr">
        <is>
          <t>Works at B2: Allocates people and sets team priorities</t>
        </is>
      </c>
      <c r="L17" s="84" t="inlineStr">
        <is>
          <t>Commercial / strategic calls for the unit</t>
        </is>
      </c>
      <c r="M17" s="84" t="inlineStr">
        <is>
          <t>Already works at C1: Sets direction for a sub-function or domain</t>
        </is>
      </c>
      <c r="N17" s="34" t="inlineStr">
        <is>
          <t>L</t>
        </is>
      </c>
      <c r="O17" s="84" t="inlineStr">
        <is>
          <t>Works at B2: One team or a client portfolio</t>
        </is>
      </c>
      <c r="P17" s="84" t="inlineStr">
        <is>
          <t>Several teams or a practice · KRA themes: Common themes in manager-set KRAs: technical · defect · quality · agreed · deliver · reviews</t>
        </is>
      </c>
      <c r="Q17" s="84" t="inlineStr">
        <is>
          <t>Already works at C1: Sub-function results or domain quality across products</t>
        </is>
      </c>
      <c r="R17" s="34" t="inlineStr">
        <is>
          <t>L</t>
        </is>
      </c>
      <c r="S17" s="56" t="inlineStr">
        <is>
          <t>Works at B2: IC: guides others in the domain · People: manages a team of 6+</t>
        </is>
      </c>
      <c r="T17" s="56" t="inlineStr">
        <is>
          <t>IC: leads a practice · People: team leads / managers report in</t>
        </is>
      </c>
      <c r="U17" s="56" t="inlineStr">
        <is>
          <t>Already works at C1: Leads managers or a community of practice</t>
        </is>
      </c>
      <c r="V17" s="34" t="inlineStr">
        <is>
          <t>L</t>
        </is>
      </c>
      <c r="W17" s="56" t="inlineStr">
        <is>
          <t>Works at B2: Visible effect on a team's or client portfolio's revenue, quality or compliance</t>
        </is>
      </c>
      <c r="X17" s="56" t="inlineStr">
        <is>
          <t>Shapes the results of a practice or several teams · purpose: Keeps live applications/portals running — production fixes, patches, small enhancements, CRs. At B3: a practice, or several teams through team leads.
Common …</t>
        </is>
      </c>
      <c r="Y17" s="56" t="inlineStr">
        <is>
          <t>Already works at C1: Changes results across a sub-function or across products</t>
        </is>
      </c>
      <c r="Z17" s="34" t="inlineStr">
        <is>
          <t>L</t>
        </is>
      </c>
      <c r="AA17" s="85" t="inlineStr">
        <is>
          <t>Less experience than the band's typical 8–12 yrs</t>
        </is>
      </c>
      <c r="AB17" s="85" t="inlineStr">
        <is>
          <t>Typical for the band: 8–12 yrs · market 8–13 yrs</t>
        </is>
      </c>
      <c r="AC17" s="85" t="inlineStr">
        <is>
          <t>More experience than the band's typical 8–12 yrs</t>
        </is>
      </c>
      <c r="AD17" s="34" t="inlineStr">
        <is>
          <t>L</t>
        </is>
      </c>
      <c r="AE17" s="85" t="inlineStr">
        <is>
          <t>Below: Graduate or postgraduate; professional qualification preferred</t>
        </is>
      </c>
      <c r="AF17" s="85" t="inlineStr">
        <is>
          <t>Postgraduate or professional qualification preferred</t>
        </is>
      </c>
      <c r="AG17" s="85" t="inlineStr">
        <is>
          <t>Above: Postgraduate / professional qualification preferred</t>
        </is>
      </c>
      <c r="AH17" s="44" t="inlineStr">
        <is>
          <t>51.3 · 17.3 · 9.7 · 5 · 7 · 6 · 4</t>
        </is>
      </c>
      <c r="AI17" s="38" t="inlineStr">
        <is>
          <t>8–13</t>
        </is>
      </c>
      <c r="AJ17" s="38" t="inlineStr">
        <is>
          <t>IC: none · People: 5–8 incl. team leads</t>
        </is>
      </c>
      <c r="AK17" s="38" t="inlineStr">
        <is>
          <t>P5 / M4 · SFIA 5 Ensure, advise</t>
        </is>
      </c>
      <c r="AL17"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8" ht="120" customHeight="1">
      <c r="A18" s="90" t="inlineStr">
        <is>
          <t>B2</t>
        </is>
      </c>
      <c r="B18" s="29" t="inlineStr">
        <is>
          <t>Band B · Specialist / Manager</t>
        </is>
      </c>
      <c r="C18" s="29" t="inlineStr">
        <is>
          <t>Band B · People Manager</t>
        </is>
      </c>
      <c r="D18" s="29" t="inlineStr">
        <is>
          <t>Manager</t>
        </is>
      </c>
      <c r="E18" s="29" t="inlineStr">
        <is>
          <t>Backend Development · Engineering Manager
Backend Development · Senior Technical Specialist – POD Lead · Lead Software Engineer · Lead Software Engineer – POD Lead · Senior Technical Specialist
Full-Stack Development · Engineering Manager
Full-Stack Development · Lead Software Engineer – POD Lead · Senior Technical Specialist – POD Lead</t>
        </is>
      </c>
      <c r="F18" s="34" t="inlineStr">
        <is>
          <t>H</t>
        </is>
      </c>
      <c r="G18" s="84" t="inlineStr">
        <is>
          <t>Works at B1: Domain specialist work</t>
        </is>
      </c>
      <c r="H18" s="84" t="inlineStr">
        <is>
          <t>Hardest problems in the domain · in Engineering &amp; Development: NET MVC · Java</t>
        </is>
      </c>
      <c r="I18" s="84" t="inlineStr">
        <is>
          <t>Already works at B3: Sets standards for a practice; cross-team problems</t>
        </is>
      </c>
      <c r="J18" s="34" t="inlineStr">
        <is>
          <t>M</t>
        </is>
      </c>
      <c r="K18" s="84" t="inlineStr">
        <is>
          <t>Works at B1: Technical / QC / client calls for the domain</t>
        </is>
      </c>
      <c r="L18" s="84" t="inlineStr">
        <is>
          <t>Allocates people and sets team priorities</t>
        </is>
      </c>
      <c r="M18" s="84" t="inlineStr">
        <is>
          <t>Already works at B3: Commercial / strategic calls for the unit</t>
        </is>
      </c>
      <c r="N18" s="34" t="inlineStr">
        <is>
          <t>L</t>
        </is>
      </c>
      <c r="O18" s="84" t="inlineStr">
        <is>
          <t>Works at B1: A domain or a small team</t>
        </is>
      </c>
      <c r="P18" s="84" t="inlineStr">
        <is>
          <t>One team or a client portfolio · KRA themes: Common themes in manager-set KRAs: modules · coverage · complete · components · committed · sprint</t>
        </is>
      </c>
      <c r="Q18" s="84" t="inlineStr">
        <is>
          <t>Already works at B3: Several teams or a practice</t>
        </is>
      </c>
      <c r="R18" s="34" t="inlineStr">
        <is>
          <t>M</t>
        </is>
      </c>
      <c r="S18" s="56" t="inlineStr">
        <is>
          <t>Works at B1: IC: mentors and reviews · People: hands-on team lead of 3–5</t>
        </is>
      </c>
      <c r="T18" s="56" t="inlineStr">
        <is>
          <t>IC: guides others in the domain · People: manages a team of 6+</t>
        </is>
      </c>
      <c r="U18" s="56" t="inlineStr">
        <is>
          <t>Already works at B3: IC: leads a practice · People: team leads / managers report in</t>
        </is>
      </c>
      <c r="V18" s="34" t="inlineStr">
        <is>
          <t>L</t>
        </is>
      </c>
      <c r="W18" s="56" t="inlineStr">
        <is>
          <t>Works at B1: Moves a module's, product area's or client account's results</t>
        </is>
      </c>
      <c r="X18" s="56" t="inlineStr">
        <is>
          <t>Visible effect on a team's or client portfolio's revenue, quality or compliance · purpose: Builds back-end services, APIs, processing/validation logic and DB code; fixes defects and delivers change requests. At B2: deep domain expertise, or one …</t>
        </is>
      </c>
      <c r="Y18" s="56" t="inlineStr">
        <is>
          <t>Already works at B3: Shapes the results of a practice or several teams</t>
        </is>
      </c>
      <c r="Z18" s="34" t="inlineStr">
        <is>
          <t>L</t>
        </is>
      </c>
      <c r="AA18" s="85" t="inlineStr">
        <is>
          <t>Less experience than the band's typical 6–9 yrs</t>
        </is>
      </c>
      <c r="AB18" s="85" t="inlineStr">
        <is>
          <t>Typical for the band: 6–9 yrs · market 6–10 yrs</t>
        </is>
      </c>
      <c r="AC18" s="85" t="inlineStr">
        <is>
          <t>More experience than the band's typical 6–9 yrs</t>
        </is>
      </c>
      <c r="AD18" s="34" t="inlineStr">
        <is>
          <t>L</t>
        </is>
      </c>
      <c r="AE18" s="85" t="inlineStr">
        <is>
          <t>Below: Graduate + relevant qualification or certification preferred</t>
        </is>
      </c>
      <c r="AF18" s="85" t="inlineStr">
        <is>
          <t>Graduate or postgraduate; professional qualification preferred</t>
        </is>
      </c>
      <c r="AG18" s="85" t="inlineStr">
        <is>
          <t>Above: Postgraduate or professional qualification preferred</t>
        </is>
      </c>
      <c r="AH18" s="44" t="inlineStr">
        <is>
          <t>37 · 18.3 · 11.3 · 15 · 8.7 · 6 · 4</t>
        </is>
      </c>
      <c r="AI18" s="38" t="inlineStr">
        <is>
          <t>6–10</t>
        </is>
      </c>
      <c r="AJ18" s="38" t="inlineStr">
        <is>
          <t>IC: none · People: 6–8 knowledge work, 8–12 standardised delivery</t>
        </is>
      </c>
      <c r="AK18" s="38" t="inlineStr">
        <is>
          <t>P4 / M3 · SFIA 4–5</t>
        </is>
      </c>
      <c r="AL18"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9" ht="120" customHeight="1">
      <c r="A19" s="90" t="inlineStr">
        <is>
          <t>B2</t>
        </is>
      </c>
      <c r="B19" s="29" t="inlineStr">
        <is>
          <t>Band B · Specialist / Manager</t>
        </is>
      </c>
      <c r="C19" s="29" t="inlineStr">
        <is>
          <t>Band B · Specialist / POD Lead</t>
        </is>
      </c>
      <c r="D19" s="29" t="inlineStr">
        <is>
          <t>Senior Specialist</t>
        </is>
      </c>
      <c r="E19" s="29" t="inlineStr">
        <is>
          <t>Backend Development · Engineering Manager
Backend Development · Senior Technical Specialist – POD Lead · Lead Software Engineer · Lead Software Engineer – POD Lead · Senior Technical Specialist
Full-Stack Development · Engineering Manager
Full-Stack Development · Lead Software Engineer – POD Lead · Senior Technical Specialist – POD Lead</t>
        </is>
      </c>
      <c r="F19" s="34" t="inlineStr">
        <is>
          <t>H</t>
        </is>
      </c>
      <c r="G19" s="84" t="inlineStr">
        <is>
          <t>Works at B1: Domain specialist work</t>
        </is>
      </c>
      <c r="H19" s="84" t="inlineStr">
        <is>
          <t>Hardest problems in the domain · in Engineering &amp; Development: NET MVC · Java</t>
        </is>
      </c>
      <c r="I19" s="84" t="inlineStr">
        <is>
          <t>Already works at B3: Sets standards for a practice; cross-team problems</t>
        </is>
      </c>
      <c r="J19" s="34" t="inlineStr">
        <is>
          <t>M</t>
        </is>
      </c>
      <c r="K19" s="84" t="inlineStr">
        <is>
          <t>Works at B1: Technical / QC / client calls for the domain</t>
        </is>
      </c>
      <c r="L19" s="84" t="inlineStr">
        <is>
          <t>Allocates people and sets team priorities</t>
        </is>
      </c>
      <c r="M19" s="84" t="inlineStr">
        <is>
          <t>Already works at B3: Commercial / strategic calls for the unit</t>
        </is>
      </c>
      <c r="N19" s="34" t="inlineStr">
        <is>
          <t>L</t>
        </is>
      </c>
      <c r="O19" s="84" t="inlineStr">
        <is>
          <t>Works at B1: A domain or a small team</t>
        </is>
      </c>
      <c r="P19" s="84" t="inlineStr">
        <is>
          <t>One team or a client portfolio · KRA themes: Common themes in manager-set KRAs: modules · coverage · complete · components · committed · sprint</t>
        </is>
      </c>
      <c r="Q19" s="84" t="inlineStr">
        <is>
          <t>Already works at B3: Several teams or a practice</t>
        </is>
      </c>
      <c r="R19" s="34" t="inlineStr">
        <is>
          <t>L</t>
        </is>
      </c>
      <c r="S19" s="56" t="inlineStr">
        <is>
          <t>Works at B1: IC: mentors and reviews · People: hands-on team lead of 3–5</t>
        </is>
      </c>
      <c r="T19" s="56" t="inlineStr">
        <is>
          <t>IC: guides others in the domain · People: manages a team of 6+</t>
        </is>
      </c>
      <c r="U19" s="56" t="inlineStr">
        <is>
          <t>Already works at B3: IC: leads a practice · People: team leads / managers report in</t>
        </is>
      </c>
      <c r="V19" s="34" t="inlineStr">
        <is>
          <t>L</t>
        </is>
      </c>
      <c r="W19" s="56" t="inlineStr">
        <is>
          <t>Works at B1: Moves a module's, product area's or client account's results</t>
        </is>
      </c>
      <c r="X19" s="56" t="inlineStr">
        <is>
          <t>Visible effect on a team's or client portfolio's revenue, quality or compliance · purpose: Builds back-end services, APIs, processing/validation logic and DB code; fixes defects and delivers change requests. At B2: deep domain expertise, or one …</t>
        </is>
      </c>
      <c r="Y19" s="56" t="inlineStr">
        <is>
          <t>Already works at B3: Shapes the results of a practice or several teams</t>
        </is>
      </c>
      <c r="Z19" s="34" t="inlineStr">
        <is>
          <t>L</t>
        </is>
      </c>
      <c r="AA19" s="85" t="inlineStr">
        <is>
          <t>Less experience than the band's typical 6–9 yrs</t>
        </is>
      </c>
      <c r="AB19" s="85" t="inlineStr">
        <is>
          <t>Typical for the band: 6–9 yrs · market 6–10 yrs</t>
        </is>
      </c>
      <c r="AC19" s="85" t="inlineStr">
        <is>
          <t>More experience than the band's typical 6–9 yrs</t>
        </is>
      </c>
      <c r="AD19" s="34" t="inlineStr">
        <is>
          <t>L</t>
        </is>
      </c>
      <c r="AE19" s="85" t="inlineStr">
        <is>
          <t>Below: Graduate + relevant qualification or certification preferred</t>
        </is>
      </c>
      <c r="AF19" s="85" t="inlineStr">
        <is>
          <t>Graduate or postgraduate; professional qualification preferred</t>
        </is>
      </c>
      <c r="AG19" s="85" t="inlineStr">
        <is>
          <t>Above: Postgraduate or professional qualification preferred</t>
        </is>
      </c>
      <c r="AH19" s="44" t="inlineStr">
        <is>
          <t>51.3 · 17.3 · 9.7 · 5 · 7 · 6 · 4</t>
        </is>
      </c>
      <c r="AI19" s="38" t="inlineStr">
        <is>
          <t>6–10</t>
        </is>
      </c>
      <c r="AJ19" s="38" t="inlineStr">
        <is>
          <t>IC: none · People: 6–8 knowledge work, 8–12 standardised delivery</t>
        </is>
      </c>
      <c r="AK19" s="38" t="inlineStr">
        <is>
          <t>P4 / M3 · SFIA 4–5</t>
        </is>
      </c>
      <c r="AL19"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0" ht="120" customHeight="1">
      <c r="A20" s="90" t="inlineStr">
        <is>
          <t>B1</t>
        </is>
      </c>
      <c r="B20" s="29" t="inlineStr">
        <is>
          <t>Band B · Specialist / Manager</t>
        </is>
      </c>
      <c r="C20" s="29" t="inlineStr">
        <is>
          <t>Band B · People Manager</t>
        </is>
      </c>
      <c r="D20" s="29" t="inlineStr">
        <is>
          <t>Team Lead / Asst Manager</t>
        </is>
      </c>
      <c r="E20" s="29" t="inlineStr">
        <is>
          <t>AI / ML &amp; GenAI Engineering · AI/ML Specialist – POD Lead
Application Maintenance &amp; Production Support · Technical Specialist
Backend Development · Technical Specialist – POD Lead · Technical Specialist · Senior Technical Specialist – POD Lead
Data Engineering &amp; Database Development · Database Specialist – POD Lead
DevOps &amp; Release Engineering · DevOps Specialist – POD Lead
Front-End / UI Development · UI Specialist – POD Lead
Full-Stack Development · Technical Specialist · Technical Specialist – POD Lead</t>
        </is>
      </c>
      <c r="F20" s="34" t="inlineStr">
        <is>
          <t>H</t>
        </is>
      </c>
      <c r="G20" s="84" t="inlineStr">
        <is>
          <t>Works at A3: Varied and non-standard work; handles exceptions</t>
        </is>
      </c>
      <c r="H20" s="84" t="inlineStr">
        <is>
          <t>Domain specialist work · in Engineering &amp; Development: AI/ML · Python</t>
        </is>
      </c>
      <c r="I20" s="84" t="inlineStr">
        <is>
          <t>Already works at B2: Hardest problems in the domain</t>
        </is>
      </c>
      <c r="J20" s="34" t="inlineStr">
        <is>
          <t>M</t>
        </is>
      </c>
      <c r="K20" s="84" t="inlineStr">
        <is>
          <t>Works at A3: Technical / QC / client calls on own work</t>
        </is>
      </c>
      <c r="L20" s="84" t="inlineStr">
        <is>
          <t>Technical / QC / client calls for the domain</t>
        </is>
      </c>
      <c r="M20" s="84" t="inlineStr">
        <is>
          <t>Already works at B2: Allocates people and sets team priorities</t>
        </is>
      </c>
      <c r="N20" s="34" t="inlineStr">
        <is>
          <t>L</t>
        </is>
      </c>
      <c r="O20" s="84" t="inlineStr">
        <is>
          <t>Works at A3: A module / process, or work with client or regulatory consequences</t>
        </is>
      </c>
      <c r="P20" s="84" t="inlineStr">
        <is>
          <t>A domain or a small team · KRA themes: Common themes in manager-set KRAs: reduce · production · time · quarterly · incidents resolved · stability critical</t>
        </is>
      </c>
      <c r="Q20" s="84" t="inlineStr">
        <is>
          <t>Already works at B2: One team or a client portfolio</t>
        </is>
      </c>
      <c r="R20" s="34" t="inlineStr">
        <is>
          <t>M</t>
        </is>
      </c>
      <c r="S20" s="56" t="inlineStr">
        <is>
          <t>Works at A3: contributes alone; guides others only informally</t>
        </is>
      </c>
      <c r="T20" s="56" t="inlineStr">
        <is>
          <t>IC: mentors and reviews · People: hands-on team lead of 3–5</t>
        </is>
      </c>
      <c r="U20" s="56" t="inlineStr">
        <is>
          <t>Already works at B2: IC: guides others in the domain · People: manages a team of 6+</t>
        </is>
      </c>
      <c r="V20" s="34" t="inlineStr">
        <is>
          <t>L</t>
        </is>
      </c>
      <c r="W20" s="56" t="inlineStr">
        <is>
          <t>Works at A3: A process or client deliverable depends on this work</t>
        </is>
      </c>
      <c r="X20" s="56" t="inlineStr">
        <is>
          <t>Moves a module's, product area's or client account's results · purpose: Builds AI/ML and LLM features — auto-tagging, classification, agentic workflows, anomaly detection. At B1: a domain / module, or a small team.
Common themes in …</t>
        </is>
      </c>
      <c r="Y20" s="56" t="inlineStr">
        <is>
          <t>Already works at B2: Visible effect on a team's or client portfolio's revenue, quality or compliance</t>
        </is>
      </c>
      <c r="Z20" s="34" t="inlineStr">
        <is>
          <t>L</t>
        </is>
      </c>
      <c r="AA20" s="85" t="inlineStr">
        <is>
          <t>Less experience than the band's typical 4–7 yrs</t>
        </is>
      </c>
      <c r="AB20" s="85" t="inlineStr">
        <is>
          <t>Typical for the band: 4–7 yrs · market 4–8 yrs</t>
        </is>
      </c>
      <c r="AC20" s="85" t="inlineStr">
        <is>
          <t>More experience than the band's typical 4–7 yrs</t>
        </is>
      </c>
      <c r="AD20" s="34" t="inlineStr">
        <is>
          <t>L</t>
        </is>
      </c>
      <c r="AE20" s="85" t="inlineStr">
        <is>
          <t>Below: Graduate; relevant certification preferred</t>
        </is>
      </c>
      <c r="AF20" s="85" t="inlineStr">
        <is>
          <t>Graduate + relevant qualification or certification preferred</t>
        </is>
      </c>
      <c r="AG20" s="85" t="inlineStr">
        <is>
          <t>Above: Graduate or postgraduate; professional qualification preferred</t>
        </is>
      </c>
      <c r="AH20" s="44" t="inlineStr">
        <is>
          <t>37 · 18.3 · 11.3 · 15 · 8.7 · 6 · 4</t>
        </is>
      </c>
      <c r="AI20" s="38" t="inlineStr">
        <is>
          <t>4–8</t>
        </is>
      </c>
      <c r="AJ20" s="38" t="inlineStr">
        <is>
          <t>IC: none · Team Lead: 3–5</t>
        </is>
      </c>
      <c r="AK20" s="38" t="inlineStr">
        <is>
          <t>P3 / M2 · SFIA 4 Enable</t>
        </is>
      </c>
      <c r="AL20"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1" ht="120" customHeight="1">
      <c r="A21" s="90" t="inlineStr">
        <is>
          <t>B1</t>
        </is>
      </c>
      <c r="B21" s="29" t="inlineStr">
        <is>
          <t>Band B · Specialist / Manager</t>
        </is>
      </c>
      <c r="C21" s="29" t="inlineStr">
        <is>
          <t>Band B · Specialist / POD Lead</t>
        </is>
      </c>
      <c r="D21" s="29" t="inlineStr">
        <is>
          <t>Specialist</t>
        </is>
      </c>
      <c r="E21" s="29" t="inlineStr">
        <is>
          <t>AI / ML &amp; GenAI Engineering · AI/ML Specialist – POD Lead
Application Maintenance &amp; Production Support · Technical Specialist
Backend Development · Technical Specialist – POD Lead · Technical Specialist · Senior Technical Specialist – POD Lead
Data Engineering &amp; Database Development · Database Specialist – POD Lead
DevOps &amp; Release Engineering · DevOps Specialist – POD Lead
Front-End / UI Development · UI Specialist – POD Lead
Full-Stack Development · Technical Specialist · Technical Specialist – POD Lead</t>
        </is>
      </c>
      <c r="F21" s="34" t="inlineStr">
        <is>
          <t>H</t>
        </is>
      </c>
      <c r="G21" s="84" t="inlineStr">
        <is>
          <t>Works at A3: Varied and non-standard work; handles exceptions</t>
        </is>
      </c>
      <c r="H21" s="84" t="inlineStr">
        <is>
          <t>Domain specialist work · in Engineering &amp; Development: AI/ML · Python</t>
        </is>
      </c>
      <c r="I21" s="84" t="inlineStr">
        <is>
          <t>Already works at B2: Hardest problems in the domain</t>
        </is>
      </c>
      <c r="J21" s="34" t="inlineStr">
        <is>
          <t>M</t>
        </is>
      </c>
      <c r="K21" s="84" t="inlineStr">
        <is>
          <t>Works at A3: Technical / QC / client calls on own work</t>
        </is>
      </c>
      <c r="L21" s="84" t="inlineStr">
        <is>
          <t>Technical / QC / client calls for the domain</t>
        </is>
      </c>
      <c r="M21" s="84" t="inlineStr">
        <is>
          <t>Already works at B2: Allocates people and sets team priorities</t>
        </is>
      </c>
      <c r="N21" s="34" t="inlineStr">
        <is>
          <t>L</t>
        </is>
      </c>
      <c r="O21" s="84" t="inlineStr">
        <is>
          <t>Works at A3: A module / process, or work with client or regulatory consequences</t>
        </is>
      </c>
      <c r="P21" s="84" t="inlineStr">
        <is>
          <t>A domain or a small team · KRA themes: Common themes in manager-set KRAs: reduce · production · time · quarterly · incidents resolved · stability critical</t>
        </is>
      </c>
      <c r="Q21" s="84" t="inlineStr">
        <is>
          <t>Already works at B2: One team or a client portfolio</t>
        </is>
      </c>
      <c r="R21" s="34" t="inlineStr">
        <is>
          <t>L</t>
        </is>
      </c>
      <c r="S21" s="56" t="inlineStr">
        <is>
          <t>Works at A3: contributes alone; guides others only informally</t>
        </is>
      </c>
      <c r="T21" s="56" t="inlineStr">
        <is>
          <t>IC: mentors and reviews · People: hands-on team lead of 3–5</t>
        </is>
      </c>
      <c r="U21" s="56" t="inlineStr">
        <is>
          <t>Already works at B2: IC: guides others in the domain · People: manages a team of 6+</t>
        </is>
      </c>
      <c r="V21" s="34" t="inlineStr">
        <is>
          <t>L</t>
        </is>
      </c>
      <c r="W21" s="56" t="inlineStr">
        <is>
          <t>Works at A3: A process or client deliverable depends on this work</t>
        </is>
      </c>
      <c r="X21" s="56" t="inlineStr">
        <is>
          <t>Moves a module's, product area's or client account's results · purpose: Builds AI/ML and LLM features — auto-tagging, classification, agentic workflows, anomaly detection. At B1: a domain / module, or a small team.
Common themes in …</t>
        </is>
      </c>
      <c r="Y21" s="56" t="inlineStr">
        <is>
          <t>Already works at B2: Visible effect on a team's or client portfolio's revenue, quality or compliance</t>
        </is>
      </c>
      <c r="Z21" s="34" t="inlineStr">
        <is>
          <t>L</t>
        </is>
      </c>
      <c r="AA21" s="85" t="inlineStr">
        <is>
          <t>Less experience than the band's typical 4–7 yrs</t>
        </is>
      </c>
      <c r="AB21" s="85" t="inlineStr">
        <is>
          <t>Typical for the band: 4–7 yrs · market 4–8 yrs</t>
        </is>
      </c>
      <c r="AC21" s="85" t="inlineStr">
        <is>
          <t>More experience than the band's typical 4–7 yrs</t>
        </is>
      </c>
      <c r="AD21" s="34" t="inlineStr">
        <is>
          <t>L</t>
        </is>
      </c>
      <c r="AE21" s="85" t="inlineStr">
        <is>
          <t>Below: Graduate; relevant certification preferred</t>
        </is>
      </c>
      <c r="AF21" s="85" t="inlineStr">
        <is>
          <t>Graduate + relevant qualification or certification preferred</t>
        </is>
      </c>
      <c r="AG21" s="85" t="inlineStr">
        <is>
          <t>Above: Graduate or postgraduate; professional qualification preferred</t>
        </is>
      </c>
      <c r="AH21" s="44" t="inlineStr">
        <is>
          <t>51.3 · 17.3 · 9.7 · 5 · 7 · 6 · 4</t>
        </is>
      </c>
      <c r="AI21" s="38" t="inlineStr">
        <is>
          <t>4–8</t>
        </is>
      </c>
      <c r="AJ21" s="38" t="inlineStr">
        <is>
          <t>IC: none · Team Lead: 3–5</t>
        </is>
      </c>
      <c r="AK21" s="38" t="inlineStr">
        <is>
          <t>P3 / M2 · SFIA 4 Enable</t>
        </is>
      </c>
      <c r="AL21"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2" ht="120" customHeight="1">
      <c r="A22" s="91" t="inlineStr">
        <is>
          <t>A3</t>
        </is>
      </c>
      <c r="B22" s="29" t="inlineStr">
        <is>
          <t>Band A · Practitioner</t>
        </is>
      </c>
      <c r="C22" s="29" t="inlineStr">
        <is>
          <t>Band A · all tracks</t>
        </is>
      </c>
      <c r="D22" s="29" t="inlineStr">
        <is>
          <t>Senior Associate</t>
        </is>
      </c>
      <c r="E22" s="29" t="inlineStr">
        <is>
          <t>AI / ML &amp; GenAI Engineering · Senior AI/ML Engineer
Application Maintenance &amp; Production Support · Senior Software Engineer · Technical Specialist
Backend Development · Senior Software Engineer · Technical Specialist
Data Engineering &amp; Database Development · Senior Database Engineer · Database Specialist
DevOps &amp; Release Engineering · Senior DevOps Engineer
Front-End / UI Development · Senior UI Developer
Full-Stack Development · Senior Software Engineer · Technical Specialist</t>
        </is>
      </c>
      <c r="F22" s="34" t="inlineStr">
        <is>
          <t>H</t>
        </is>
      </c>
      <c r="G22" s="84" t="inlineStr">
        <is>
          <t>Works at A2: Standard work of the discipline</t>
        </is>
      </c>
      <c r="H22" s="84" t="inlineStr">
        <is>
          <t>Varied and non-standard work; handles exceptions · in Engineering &amp; Development: AI/ML · Python</t>
        </is>
      </c>
      <c r="I22" s="84" t="inlineStr">
        <is>
          <t>Already works at B1: Domain specialist work</t>
        </is>
      </c>
      <c r="J22" s="34" t="inlineStr">
        <is>
          <t>M</t>
        </is>
      </c>
      <c r="K22" s="84" t="inlineStr">
        <is>
          <t>Works at A2: Chooses own approach within standards</t>
        </is>
      </c>
      <c r="L22" s="84" t="inlineStr">
        <is>
          <t>Technical / QC / client calls on own work</t>
        </is>
      </c>
      <c r="M22" s="84" t="inlineStr">
        <is>
          <t>Already works at B1: Technical / QC / client calls for the domain</t>
        </is>
      </c>
      <c r="N22" s="34" t="inlineStr">
        <is>
          <t>L</t>
        </is>
      </c>
      <c r="O22" s="84" t="inlineStr">
        <is>
          <t>Works at A2: Own deliverables · accuracy, TAT</t>
        </is>
      </c>
      <c r="P22" s="84" t="inlineStr">
        <is>
          <t>A module / process, or work with client or regulatory consequences · KRA themes: Common themes in manager-set KRAs: considering critical · stories considering · leakage qa/uat · production support · live production · responsibilities</t>
        </is>
      </c>
      <c r="Q22" s="84" t="inlineStr">
        <is>
          <t>Already works at B1: A domain or a small team</t>
        </is>
      </c>
      <c r="R22" s="34" t="inlineStr">
        <is>
          <t>L</t>
        </is>
      </c>
      <c r="S22" s="56" t="inlineStr">
        <is>
          <t>Works at A2: contributes alone; guides others only informally</t>
        </is>
      </c>
      <c r="T22" s="56" t="inlineStr">
        <is>
          <t>Helps peers and newer people informally · None · guides 1–3 juniors informally</t>
        </is>
      </c>
      <c r="U22" s="56" t="inlineStr">
        <is>
          <t>Already works at B1: IC: mentors and reviews · People: hands-on team lead of 3–5</t>
        </is>
      </c>
      <c r="V22" s="34" t="inlineStr">
        <is>
          <t>L</t>
        </is>
      </c>
      <c r="W22" s="56" t="inlineStr">
        <is>
          <t>Works at A2: Own deliverables feed a team's output and turnaround</t>
        </is>
      </c>
      <c r="X22" s="56" t="inlineStr">
        <is>
          <t>A process or client deliverable depends on this work · purpose: Builds AI/ML and LLM features — auto-tagging, classification, agentic workflows, anomaly detection. At A3: varied work; reviews juniors; go-to for a …</t>
        </is>
      </c>
      <c r="Y22" s="56" t="inlineStr">
        <is>
          <t>Already works at B1: Moves a module's, product area's or client account's results</t>
        </is>
      </c>
      <c r="Z22" s="34" t="inlineStr">
        <is>
          <t>L</t>
        </is>
      </c>
      <c r="AA22" s="85" t="inlineStr">
        <is>
          <t>Less experience than the band's typical 2–4 yrs</t>
        </is>
      </c>
      <c r="AB22" s="85" t="inlineStr">
        <is>
          <t>Typical for the band: 2–4 yrs · market 2–5 yrs</t>
        </is>
      </c>
      <c r="AC22" s="85" t="inlineStr">
        <is>
          <t>More experience than the band's typical 2–4 yrs</t>
        </is>
      </c>
      <c r="AD22" s="34" t="inlineStr">
        <is>
          <t>L</t>
        </is>
      </c>
      <c r="AE22" s="85" t="inlineStr">
        <is>
          <t>Below: Graduate · or diploma with experience</t>
        </is>
      </c>
      <c r="AF22" s="85" t="inlineStr">
        <is>
          <t>Graduate; relevant certification preferred</t>
        </is>
      </c>
      <c r="AG22" s="85" t="inlineStr">
        <is>
          <t>Above: Graduate + relevant qualification or certification preferred</t>
        </is>
      </c>
      <c r="AH22" s="44" t="inlineStr">
        <is>
          <t>58.3 · 16 · 9 · 0 · 6.3 · 6 · 4</t>
        </is>
      </c>
      <c r="AI22" s="38" t="inlineStr">
        <is>
          <t>2–5</t>
        </is>
      </c>
      <c r="AJ22" s="38" t="inlineStr">
        <is>
          <t>None · guides 1–3 juniors informally</t>
        </is>
      </c>
      <c r="AK22" s="38" t="inlineStr">
        <is>
          <t>P2 · SFIA 3 Apply</t>
        </is>
      </c>
      <c r="AL22"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3" ht="120" customHeight="1">
      <c r="A23" s="91" t="inlineStr">
        <is>
          <t>A2</t>
        </is>
      </c>
      <c r="B23" s="29" t="inlineStr">
        <is>
          <t>Band A · Practitioner</t>
        </is>
      </c>
      <c r="C23" s="29" t="inlineStr">
        <is>
          <t>Band A · all tracks</t>
        </is>
      </c>
      <c r="D23" s="29" t="inlineStr">
        <is>
          <t>Associate</t>
        </is>
      </c>
      <c r="E23" s="29" t="inlineStr">
        <is>
          <t>AI / ML &amp; GenAI Engineering · AI/ML Engineer
Backend Development · Software Engineer
Front-End / UI Development · UI Developer
Full-Stack Development · Software Engineer</t>
        </is>
      </c>
      <c r="F23" s="34" t="inlineStr">
        <is>
          <t>H</t>
        </is>
      </c>
      <c r="G23" s="84" t="inlineStr">
        <is>
          <t>Works at A1: Learning; follows worked examples</t>
        </is>
      </c>
      <c r="H23" s="84" t="inlineStr">
        <is>
          <t>Standard work of the discipline · in Engineering &amp; Development: AI/ML</t>
        </is>
      </c>
      <c r="I23" s="84" t="inlineStr">
        <is>
          <t>Already works at A3: Varied and non-standard work; handles exceptions</t>
        </is>
      </c>
      <c r="J23" s="34" t="inlineStr">
        <is>
          <t>M</t>
        </is>
      </c>
      <c r="K23" s="84" t="inlineStr">
        <is>
          <t>Works at A1: Needs approval / close guidance</t>
        </is>
      </c>
      <c r="L23" s="84" t="inlineStr">
        <is>
          <t>Chooses own approach within standards</t>
        </is>
      </c>
      <c r="M23" s="84" t="inlineStr">
        <is>
          <t>Already works at A3: Technical / QC / client calls on own work</t>
        </is>
      </c>
      <c r="N23" s="34" t="inlineStr">
        <is>
          <t>L</t>
        </is>
      </c>
      <c r="O23" s="84" t="inlineStr">
        <is>
          <t>Works at A1: Learning tasks</t>
        </is>
      </c>
      <c r="P23" s="84" t="inlineStr">
        <is>
          <t>Own deliverables · accuracy, TAT · KRA themes: Common themes in manager-set KRAs: improve · deliver · modules · committed · coverage · automated</t>
        </is>
      </c>
      <c r="Q23" s="84" t="inlineStr">
        <is>
          <t>Already works at A3: A module / process, or work with client or regulatory consequences</t>
        </is>
      </c>
      <c r="R23" s="34" t="inlineStr">
        <is>
          <t>L</t>
        </is>
      </c>
      <c r="S23" s="56" t="inlineStr">
        <is>
          <t>Works at A1: contributes alone; guides others only informally</t>
        </is>
      </c>
      <c r="T23" s="56" t="inlineStr">
        <is>
          <t>Helps peers and newer people informally · No direct reports</t>
        </is>
      </c>
      <c r="U23" s="56" t="inlineStr">
        <is>
          <t>Already works at A3: Not scored in Band A</t>
        </is>
      </c>
      <c r="V23" s="34" t="inlineStr">
        <is>
          <t>L</t>
        </is>
      </c>
      <c r="W23" s="56" t="inlineStr">
        <is>
          <t>Works at A1: Learning; little direct effect on business results yet</t>
        </is>
      </c>
      <c r="X23" s="56" t="inlineStr">
        <is>
          <t>Own deliverables feed a team's output and turnaround · purpose: Builds AI/ML and LLM features — auto-tagging, classification, agentic workflows, anomaly detection. At A2: standard work delivered independently.
Common themes …</t>
        </is>
      </c>
      <c r="Y23" s="56" t="inlineStr">
        <is>
          <t>Already works at A3: A process or client deliverable depends on this work</t>
        </is>
      </c>
      <c r="Z23" s="34" t="inlineStr">
        <is>
          <t>L</t>
        </is>
      </c>
      <c r="AA23" s="85" t="inlineStr">
        <is>
          <t>Less experience than the band's typical 0–2 yrs</t>
        </is>
      </c>
      <c r="AB23" s="85" t="inlineStr">
        <is>
          <t>Typical for the band: 0–2 yrs · market 0–3 yrs</t>
        </is>
      </c>
      <c r="AC23" s="85" t="inlineStr">
        <is>
          <t>More experience than the band's typical 0–2 yrs</t>
        </is>
      </c>
      <c r="AD23" s="34" t="inlineStr">
        <is>
          <t>L</t>
        </is>
      </c>
      <c r="AE23" s="85" t="inlineStr">
        <is>
          <t>Below: Pursuing or completed graduation / diploma</t>
        </is>
      </c>
      <c r="AF23" s="85" t="inlineStr">
        <is>
          <t>Graduate · or diploma with experience</t>
        </is>
      </c>
      <c r="AG23" s="85" t="inlineStr">
        <is>
          <t>Above: Graduate; relevant certification preferred</t>
        </is>
      </c>
      <c r="AH23" s="44" t="inlineStr">
        <is>
          <t>58.3 · 16 · 9 · 0 · 6.3 · 6 · 4</t>
        </is>
      </c>
      <c r="AI23" s="38" t="inlineStr">
        <is>
          <t>0–3</t>
        </is>
      </c>
      <c r="AJ23" s="38" t="inlineStr">
        <is>
          <t>No direct reports</t>
        </is>
      </c>
      <c r="AK23" s="38" t="inlineStr">
        <is>
          <t>P1–P2 · SFIA 2 Assist</t>
        </is>
      </c>
      <c r="AL23"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4" ht="120" customHeight="1">
      <c r="A24" s="91" t="inlineStr">
        <is>
          <t>A1</t>
        </is>
      </c>
      <c r="B24" s="29" t="inlineStr">
        <is>
          <t>Band A · Practitioner</t>
        </is>
      </c>
      <c r="C24" s="29" t="inlineStr">
        <is>
          <t>Band A · all tracks</t>
        </is>
      </c>
      <c r="D24" s="29" t="inlineStr">
        <is>
          <t>Intern / Trainee</t>
        </is>
      </c>
      <c r="E24" s="29" t="inlineStr">
        <is>
          <t>AI / ML &amp; GenAI Engineering · Trainee AI/ML Engineer
Backend Development · Trainee Software Engineer · Intern – Software Development
Front-End / UI Development · Intern – Front-End / UI Development
Full-Stack Development · Trainee Software Engineer</t>
        </is>
      </c>
      <c r="F24" s="34" t="inlineStr">
        <is>
          <t>H</t>
        </is>
      </c>
      <c r="G24" s="84" t="inlineStr">
        <is>
          <t>Not yet at the entry standard · in induction</t>
        </is>
      </c>
      <c r="H24" s="84" t="inlineStr">
        <is>
          <t>Learning; follows worked examples · in Engineering &amp; Development: AI/ML · Python</t>
        </is>
      </c>
      <c r="I24" s="84" t="inlineStr">
        <is>
          <t>Already works at A2: Standard work of the discipline</t>
        </is>
      </c>
      <c r="J24" s="34" t="inlineStr">
        <is>
          <t>M</t>
        </is>
      </c>
      <c r="K24" s="84" t="inlineStr">
        <is>
          <t>Not yet at the entry standard · in induction</t>
        </is>
      </c>
      <c r="L24" s="84" t="inlineStr">
        <is>
          <t>Needs approval / close guidance</t>
        </is>
      </c>
      <c r="M24" s="84" t="inlineStr">
        <is>
          <t>Already works at A2: Chooses own approach within standards</t>
        </is>
      </c>
      <c r="N24" s="34" t="inlineStr">
        <is>
          <t>L</t>
        </is>
      </c>
      <c r="O24" s="84" t="inlineStr">
        <is>
          <t>Not yet at the entry standard · in induction</t>
        </is>
      </c>
      <c r="P24" s="84" t="inlineStr">
        <is>
          <t>Learning tasks · KRA themes: Common themes in manager-set KRAs: code · technical · agreed · deliver · application · maintain</t>
        </is>
      </c>
      <c r="Q24" s="84" t="inlineStr">
        <is>
          <t>Already works at A2: Own deliverables · accuracy, TAT</t>
        </is>
      </c>
      <c r="R24" s="34" t="inlineStr">
        <is>
          <t>L</t>
        </is>
      </c>
      <c r="S24" s="56" t="inlineStr">
        <is>
          <t>Not yet at the entry standard · in induction</t>
        </is>
      </c>
      <c r="T24" s="56" t="inlineStr">
        <is>
          <t>Helps peers and newer people informally · No direct reports</t>
        </is>
      </c>
      <c r="U24" s="56" t="inlineStr">
        <is>
          <t>Already works at A2: Not scored in Band A</t>
        </is>
      </c>
      <c r="V24" s="34" t="inlineStr">
        <is>
          <t>L</t>
        </is>
      </c>
      <c r="W24" s="56" t="inlineStr">
        <is>
          <t>Not yet at the entry standard · in induction</t>
        </is>
      </c>
      <c r="X24" s="56" t="inlineStr">
        <is>
          <t>Learning; little direct effect on business results yet · purpose: Builds AI/ML and LLM features — auto-tagging, classification, agentic workflows, anomaly detection. At A1: learning the role; all work reviewed.
Common themes …</t>
        </is>
      </c>
      <c r="Y24" s="56" t="inlineStr">
        <is>
          <t>Already works at A2: Own deliverables feed a team's output and turnaround</t>
        </is>
      </c>
      <c r="Z24" s="34" t="inlineStr">
        <is>
          <t>L</t>
        </is>
      </c>
      <c r="AA24" s="85" t="inlineStr">
        <is>
          <t>Less experience than the band's typical 0 yrs · fresher / intern</t>
        </is>
      </c>
      <c r="AB24" s="85" t="inlineStr">
        <is>
          <t>Typical for the band: 0 yrs · fresher / intern · market — yrs</t>
        </is>
      </c>
      <c r="AC24" s="85" t="inlineStr">
        <is>
          <t>More experience than the band's typical 0 yrs · fresher / intern</t>
        </is>
      </c>
      <c r="AD24" s="34" t="inlineStr">
        <is>
          <t>L</t>
        </is>
      </c>
      <c r="AE24" s="85" t="inlineStr">
        <is>
          <t>Below graduation · still studying</t>
        </is>
      </c>
      <c r="AF24" s="85" t="inlineStr">
        <is>
          <t>Pursuing or completed graduation / diploma</t>
        </is>
      </c>
      <c r="AG24" s="85" t="inlineStr">
        <is>
          <t>Above: Graduate · or diploma with experience</t>
        </is>
      </c>
      <c r="AH24" s="44" t="inlineStr">
        <is>
          <t>58.3 · 16 · 9 · 0 · 6.3 · 6 · 4</t>
        </is>
      </c>
      <c r="AI24" s="38" t="inlineStr">
        <is>
          <t>0 yrs · fresher / intern</t>
        </is>
      </c>
      <c r="AJ24" s="38" t="inlineStr">
        <is>
          <t>No direct reports</t>
        </is>
      </c>
      <c r="AK24" s="38" t="inlineStr">
        <is>
          <t>Entry / P1 · intern · SFIA 1 Follow</t>
        </is>
      </c>
      <c r="AL24"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sheetData>
  <autoFilter ref="A5:AL24"/>
  <mergeCells count="1">
    <mergeCell ref="A2:N2"/>
  </mergeCells>
  <dataValidations count="1">
    <dataValidation sqref="F6 F7 F8 F9 F10 F11 F12 F13 F14 F15 F16 F17 F18 F19 F20 F21 F22 F23 F24 J6 J7 J8 J9 J10 J11 J12 J13 J14 J15 J16 J17 J18 J19 J20 J21 J22 J23 J24 N6 N7 N8 N9 N10 N11 N12 N13 N14 N15 N16 N17 N18 N19 N20 N21 N22 N23 N24 R6 R7 R8 R9 R10 R11 R12 R13 R14 R15 R16 R17 R18 R19 R20 R21 R22 R23 R24 V6 V7 V8 V9 V10 V11 V12 V13 V14 V15 V16 V17 V18 V19 V20 V21 V22 V23 V24 Z6 Z7 Z8 Z9 Z10 Z11 Z12 Z13 Z14 Z15 Z16 Z17 Z18 Z19 Z20 Z21 Z22 Z23 Z24 AD6 AD7 AD8 AD9 AD10 AD11 AD12 AD13 AD14 AD15 AD16 AD17 AD18 AD19 AD20 AD21 AD22 AD23 AD24" showDropDown="0" showInputMessage="0" showErrorMessage="0" allowBlank="1" type="list">
      <formula1>LIST_LMH</formula1>
    </dataValidation>
  </dataValidations>
  <hyperlinks>
    <hyperlink xmlns:r="http://schemas.openxmlformats.org/officeDocument/2006/relationships" ref="O1" r:id="rId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L24"/>
  <sheetViews>
    <sheetView zoomScale="85" workbookViewId="0">
      <pane xSplit="5" ySplit="5" topLeftCell="F6" activePane="bottomRight" state="frozen"/>
      <selection pane="topRight"/>
      <selection pane="bottomLeft"/>
      <selection pane="bottomRight" activeCell="A1" sqref="A1"/>
    </sheetView>
  </sheetViews>
  <sheetFormatPr baseColWidth="8" defaultRowHeight="15"/>
  <cols>
    <col width="7" customWidth="1" min="1" max="1"/>
    <col width="16" customWidth="1" min="2" max="2"/>
    <col width="18" customWidth="1" min="3" max="3"/>
    <col width="20" customWidth="1" min="4" max="4"/>
    <col width="34" customWidth="1" min="5" max="5"/>
    <col width="9" customWidth="1" min="6" max="6"/>
    <col width="30" customWidth="1" min="7" max="7"/>
    <col width="34" customWidth="1" min="8" max="8"/>
    <col width="30" customWidth="1" min="9" max="9"/>
    <col width="9" customWidth="1" min="10" max="10"/>
    <col width="30" customWidth="1" min="11" max="11"/>
    <col width="34" customWidth="1" min="12" max="12"/>
    <col width="30" customWidth="1" min="13" max="13"/>
    <col width="9" customWidth="1" min="14" max="14"/>
    <col width="30" customWidth="1" min="15" max="15"/>
    <col width="34" customWidth="1" min="16" max="16"/>
    <col width="30" customWidth="1" min="17" max="17"/>
    <col width="9" customWidth="1" min="18" max="18"/>
    <col width="30" customWidth="1" min="19" max="19"/>
    <col width="34" customWidth="1" min="20" max="20"/>
    <col width="30" customWidth="1" min="21" max="21"/>
    <col width="9" customWidth="1" min="22" max="22"/>
    <col width="30" customWidth="1" min="23" max="23"/>
    <col width="34" customWidth="1" min="24" max="24"/>
    <col width="30" customWidth="1" min="25" max="25"/>
    <col width="9" customWidth="1" min="26" max="26"/>
    <col width="30" customWidth="1" min="27" max="27"/>
    <col width="34" customWidth="1" min="28" max="28"/>
    <col width="30" customWidth="1" min="29" max="29"/>
    <col width="9" customWidth="1" min="30" max="30"/>
    <col width="30" customWidth="1" min="31" max="31"/>
    <col width="34" customWidth="1" min="32" max="32"/>
    <col width="30" customWidth="1" min="33" max="33"/>
    <col width="26" customWidth="1" min="34" max="34"/>
    <col width="16" customWidth="1" min="35" max="35"/>
    <col width="22" customWidth="1" min="36" max="36"/>
    <col width="18" customWidth="1" min="37" max="37"/>
    <col width="40" customWidth="1" min="38" max="38"/>
  </cols>
  <sheetData>
    <row r="1" ht="24" customHeight="1">
      <c r="A1" s="1" t="inlineStr">
        <is>
          <t>Role &amp; band matrix — Enterprise Leadership</t>
        </is>
      </c>
      <c r="O1" s="7" t="inlineStr">
        <is>
          <t>◂ Start</t>
        </is>
      </c>
    </row>
    <row r="2" ht="30" customHeight="1">
      <c r="A2" s="2" t="inlineStr">
        <is>
          <t>What Low, Medium and High mean for each of the seven parameters at every level of Enterprise Leadership, and how much each parameter counts · main type of work: General management. Medium is the band as described; Low is the level below; High is the level above. Change a yellow weightage and every role, department ladder and person in this family recalculates.</t>
        </is>
      </c>
    </row>
    <row r="3">
      <c r="A3" s="3" t="inlineStr">
        <is>
          <t>IRIS · Job Architecture &amp; Job Design · Final v1.15 · October 2026 · Internal — Confidential · HR only</t>
        </is>
      </c>
    </row>
    <row r="4" ht="30" customHeight="1">
      <c r="A4" s="6" t="inlineStr">
        <is>
          <t>LEVEL</t>
        </is>
      </c>
      <c r="B4" s="6" t="n"/>
      <c r="C4" s="6" t="n"/>
      <c r="D4" s="6" t="n"/>
      <c r="E4" s="6" t="n"/>
      <c r="F4" s="45" t="inlineStr">
        <is>
          <t>COMPLEXITY &amp; EXPERTISE</t>
        </is>
      </c>
      <c r="G4" s="45" t="n"/>
      <c r="H4" s="45" t="n"/>
      <c r="I4" s="45" t="n"/>
      <c r="J4" s="45" t="inlineStr">
        <is>
          <t>AUTONOMY &amp; DECISION</t>
        </is>
      </c>
      <c r="K4" s="45" t="n"/>
      <c r="L4" s="45" t="n"/>
      <c r="M4" s="45" t="n"/>
      <c r="N4" s="45" t="inlineStr">
        <is>
          <t>ACCOUNTABILITY &amp; IMPACT</t>
        </is>
      </c>
      <c r="O4" s="45" t="n"/>
      <c r="P4" s="45" t="n"/>
      <c r="Q4" s="45" t="n"/>
      <c r="R4" s="47" t="inlineStr">
        <is>
          <t>LEADERSHIP &amp; STRATEGY</t>
        </is>
      </c>
      <c r="S4" s="47" t="n"/>
      <c r="T4" s="47" t="n"/>
      <c r="U4" s="47" t="n"/>
      <c r="V4" s="47" t="inlineStr">
        <is>
          <t>BUSINESS IMPACT</t>
        </is>
      </c>
      <c r="W4" s="47" t="n"/>
      <c r="X4" s="47" t="n"/>
      <c r="Y4" s="47" t="n"/>
      <c r="Z4" s="81" t="inlineStr">
        <is>
          <t>EXPERIENCE</t>
        </is>
      </c>
      <c r="AA4" s="81" t="n"/>
      <c r="AB4" s="81" t="n"/>
      <c r="AC4" s="81" t="n"/>
      <c r="AD4" s="81" t="inlineStr">
        <is>
          <t>EDUCATION</t>
        </is>
      </c>
      <c r="AE4" s="81" t="n"/>
      <c r="AF4" s="81" t="n"/>
      <c r="AG4" s="81" t="n"/>
      <c r="AH4" s="20" t="inlineStr">
        <is>
          <t>MARKET BENCHMARK &amp; REFERENCES</t>
        </is>
      </c>
      <c r="AI4" s="20" t="n"/>
      <c r="AJ4" s="20" t="n"/>
      <c r="AK4" s="20" t="n"/>
      <c r="AL4" s="20" t="n"/>
    </row>
    <row r="5" ht="60" customHeight="1">
      <c r="A5" s="22" t="inlineStr">
        <is>
          <t>Level</t>
        </is>
      </c>
      <c r="B5" s="22" t="inlineStr">
        <is>
          <t>Band</t>
        </is>
      </c>
      <c r="C5" s="22" t="inlineStr">
        <is>
          <t>Role group</t>
        </is>
      </c>
      <c r="D5" s="22" t="inlineStr">
        <is>
          <t>Level title</t>
        </is>
      </c>
      <c r="E5" s="22" t="inlineStr">
        <is>
          <t>Roles at this level in this family</t>
        </is>
      </c>
      <c r="F5" s="48" t="inlineStr">
        <is>
          <t>Weightage · L/M/H</t>
        </is>
      </c>
      <c r="G5" s="48" t="inlineStr">
        <is>
          <t>Low</t>
        </is>
      </c>
      <c r="H5" s="48" t="inlineStr">
        <is>
          <t>Medium</t>
        </is>
      </c>
      <c r="I5" s="48" t="inlineStr">
        <is>
          <t>High</t>
        </is>
      </c>
      <c r="J5" s="48" t="inlineStr">
        <is>
          <t>Weightage · L/M/H</t>
        </is>
      </c>
      <c r="K5" s="48" t="inlineStr">
        <is>
          <t>Low</t>
        </is>
      </c>
      <c r="L5" s="48" t="inlineStr">
        <is>
          <t>Medium</t>
        </is>
      </c>
      <c r="M5" s="48" t="inlineStr">
        <is>
          <t>High</t>
        </is>
      </c>
      <c r="N5" s="48" t="inlineStr">
        <is>
          <t>Weightage · L/M/H</t>
        </is>
      </c>
      <c r="O5" s="48" t="inlineStr">
        <is>
          <t>Low</t>
        </is>
      </c>
      <c r="P5" s="48" t="inlineStr">
        <is>
          <t>Medium</t>
        </is>
      </c>
      <c r="Q5" s="48" t="inlineStr">
        <is>
          <t>High</t>
        </is>
      </c>
      <c r="R5" s="50" t="inlineStr">
        <is>
          <t>Weightage · L/M/H</t>
        </is>
      </c>
      <c r="S5" s="50" t="inlineStr">
        <is>
          <t>Low</t>
        </is>
      </c>
      <c r="T5" s="50" t="inlineStr">
        <is>
          <t>Medium</t>
        </is>
      </c>
      <c r="U5" s="50" t="inlineStr">
        <is>
          <t>High</t>
        </is>
      </c>
      <c r="V5" s="50" t="inlineStr">
        <is>
          <t>Weightage · L/M/H</t>
        </is>
      </c>
      <c r="W5" s="50" t="inlineStr">
        <is>
          <t>Low</t>
        </is>
      </c>
      <c r="X5" s="50" t="inlineStr">
        <is>
          <t>Medium</t>
        </is>
      </c>
      <c r="Y5" s="50" t="inlineStr">
        <is>
          <t>High</t>
        </is>
      </c>
      <c r="Z5" s="82" t="inlineStr">
        <is>
          <t>Weightage · L/M/H</t>
        </is>
      </c>
      <c r="AA5" s="82" t="inlineStr">
        <is>
          <t>Low</t>
        </is>
      </c>
      <c r="AB5" s="82" t="inlineStr">
        <is>
          <t>Medium</t>
        </is>
      </c>
      <c r="AC5" s="82" t="inlineStr">
        <is>
          <t>High</t>
        </is>
      </c>
      <c r="AD5" s="82" t="inlineStr">
        <is>
          <t>Weightage · L/M/H</t>
        </is>
      </c>
      <c r="AE5" s="82" t="inlineStr">
        <is>
          <t>Low</t>
        </is>
      </c>
      <c r="AF5" s="82" t="inlineStr">
        <is>
          <t>Medium</t>
        </is>
      </c>
      <c r="AG5" s="82" t="inlineStr">
        <is>
          <t>High</t>
        </is>
      </c>
      <c r="AH5" s="26" t="inlineStr">
        <is>
          <t>Market weight % · C · Au · Ac · L · BI · Exp · Edu</t>
        </is>
      </c>
      <c r="AI5" s="26" t="inlineStr">
        <is>
          <t>Market experience · yrs</t>
        </is>
      </c>
      <c r="AJ5" s="26" t="inlineStr">
        <is>
          <t>Span norm</t>
        </is>
      </c>
      <c r="AK5" s="26" t="inlineStr">
        <is>
          <t>Radford / Mercer · SFIA 9</t>
        </is>
      </c>
      <c r="AL5" s="26" t="inlineStr">
        <is>
          <t>References</t>
        </is>
      </c>
    </row>
    <row r="6" ht="120" customHeight="1">
      <c r="A6" s="83" t="inlineStr">
        <is>
          <t>E2</t>
        </is>
      </c>
      <c r="B6" s="29" t="inlineStr">
        <is>
          <t>Band E · Enterprise leadership</t>
        </is>
      </c>
      <c r="C6" s="29" t="inlineStr">
        <is>
          <t>Bands D–E · Leadership</t>
        </is>
      </c>
      <c r="D6" s="29" t="inlineStr">
        <is>
          <t>Chief Executive Officer</t>
        </is>
      </c>
      <c r="E6" s="29" t="inlineStr">
        <is>
          <t>Chief Executive · Chief Executive Officer</t>
        </is>
      </c>
      <c r="F6" s="34" t="inlineStr">
        <is>
          <t>H</t>
        </is>
      </c>
      <c r="G6" s="84" t="inlineStr">
        <is>
          <t>Works at E1: Enterprise-level functional strategy</t>
        </is>
      </c>
      <c r="H6" s="84" t="inlineStr">
        <is>
          <t>Enterprise-wide uncertainty, transformation and external forces · in Enterprise Leadership: Management · Sales</t>
        </is>
      </c>
      <c r="I6" s="84" t="inlineStr">
        <is>
          <t>Beyond the role · a board-level mandate</t>
        </is>
      </c>
      <c r="J6" s="34" t="inlineStr">
        <is>
          <t>M</t>
        </is>
      </c>
      <c r="K6" s="84" t="inlineStr">
        <is>
          <t>Works at E1: Sets enterprise priorities for the function</t>
        </is>
      </c>
      <c r="L6" s="84" t="inlineStr">
        <is>
          <t>Accountable to the board</t>
        </is>
      </c>
      <c r="M6" s="84" t="inlineStr">
        <is>
          <t>Beyond the role · a board-level mandate</t>
        </is>
      </c>
      <c r="N6" s="34" t="inlineStr">
        <is>
          <t>M</t>
        </is>
      </c>
      <c r="O6" s="84" t="inlineStr">
        <is>
          <t>Works at E1: Enterprise-wide functional results</t>
        </is>
      </c>
      <c r="P6" s="84" t="inlineStr">
        <is>
          <t>Enterprise results, risk, culture and long-term viability</t>
        </is>
      </c>
      <c r="Q6" s="84" t="inlineStr">
        <is>
          <t>Beyond the role · a board-level mandate</t>
        </is>
      </c>
      <c r="R6" s="34" t="inlineStr">
        <is>
          <t>M</t>
        </is>
      </c>
      <c r="S6" s="56" t="inlineStr">
        <is>
          <t>Works at E1: Shapes enterprise strategy</t>
        </is>
      </c>
      <c r="T6" s="56" t="inlineStr">
        <is>
          <t>Sets enterprise strategy; leads the executive team</t>
        </is>
      </c>
      <c r="U6" s="56" t="inlineStr">
        <is>
          <t>Beyond the role · a board-level mandate</t>
        </is>
      </c>
      <c r="V6" s="34" t="inlineStr">
        <is>
          <t>L</t>
        </is>
      </c>
      <c r="W6" s="56" t="inlineStr">
        <is>
          <t>Works at E1: Shapes company-wide results through a function</t>
        </is>
      </c>
      <c r="X6" s="56" t="inlineStr">
        <is>
          <t>Answers for the whole company's results and long-term value · purpose: Leads the whole enterprise: sets strategy, answers to the board for results, risk, culture and long-term value, and leads the executive team of Chief Officers …</t>
        </is>
      </c>
      <c r="Y6" s="56" t="inlineStr">
        <is>
          <t>Beyond the role · a board-level mandate</t>
        </is>
      </c>
      <c r="Z6" s="34" t="inlineStr">
        <is>
          <t>L</t>
        </is>
      </c>
      <c r="AA6" s="85" t="inlineStr">
        <is>
          <t>Less experience than the band's typical 20+ yrs</t>
        </is>
      </c>
      <c r="AB6" s="85" t="inlineStr">
        <is>
          <t>Typical for the band: 20+ yrs · market — yrs</t>
        </is>
      </c>
      <c r="AC6" s="85" t="inlineStr">
        <is>
          <t>More experience than the band's typical 20+ yrs</t>
        </is>
      </c>
      <c r="AD6" s="34" t="inlineStr">
        <is>
          <t>L</t>
        </is>
      </c>
      <c r="AE6" s="85" t="inlineStr">
        <is>
          <t>Below: Postgraduate / professional qualification; business leadership record</t>
        </is>
      </c>
      <c r="AF6" s="85" t="inlineStr">
        <is>
          <t>Postgraduate / professional qualification; proven business leadership</t>
        </is>
      </c>
      <c r="AG6" s="85" t="inlineStr">
        <is>
          <t>Board-level credentials beyond the role's need</t>
        </is>
      </c>
      <c r="AH6" s="44" t="inlineStr">
        <is>
          <t>36.3 · 19 · 11.3 · 20 · 8.7 · 4 · 1</t>
        </is>
      </c>
      <c r="AI6" s="38" t="inlineStr">
        <is>
          <t>20+ yrs</t>
        </is>
      </c>
      <c r="AJ6" s="38" t="inlineStr">
        <is>
          <t>Executive team</t>
        </is>
      </c>
      <c r="AK6" s="38" t="inlineStr">
        <is>
          <t>E6 · SFIA 7</t>
        </is>
      </c>
      <c r="AL6"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7" ht="120" customHeight="1">
      <c r="A7" s="83" t="inlineStr">
        <is>
          <t>E1</t>
        </is>
      </c>
      <c r="B7" s="29" t="inlineStr">
        <is>
          <t>Band E · Enterprise leadership</t>
        </is>
      </c>
      <c r="C7" s="29" t="inlineStr">
        <is>
          <t>Bands D–E · Leadership</t>
        </is>
      </c>
      <c r="D7" s="29" t="inlineStr">
        <is>
          <t>CXO / President</t>
        </is>
      </c>
      <c r="E7" s="29" t="inlineStr">
        <is>
          <t>Chief Officers · CXO · Chief Financial Officer</t>
        </is>
      </c>
      <c r="F7" s="34" t="inlineStr">
        <is>
          <t>H</t>
        </is>
      </c>
      <c r="G7" s="84" t="inlineStr">
        <is>
          <t>Works at D2: Portfolio-level strategic, financial and regulatory trade-offs</t>
        </is>
      </c>
      <c r="H7" s="84" t="inlineStr">
        <is>
          <t>Enterprise-level functional strategy · in Enterprise Leadership: Management · Sales</t>
        </is>
      </c>
      <c r="I7" s="84" t="inlineStr">
        <is>
          <t>Already works at E2: Enterprise-wide uncertainty, transformation and external forces</t>
        </is>
      </c>
      <c r="J7" s="34" t="inlineStr">
        <is>
          <t>M</t>
        </is>
      </c>
      <c r="K7" s="84" t="inlineStr">
        <is>
          <t>Works at D2: Sets direction across business lines</t>
        </is>
      </c>
      <c r="L7" s="84" t="inlineStr">
        <is>
          <t>Sets enterprise priorities for the function</t>
        </is>
      </c>
      <c r="M7" s="84" t="inlineStr">
        <is>
          <t>Already works at E2: Accountable to the board</t>
        </is>
      </c>
      <c r="N7" s="34" t="inlineStr">
        <is>
          <t>M</t>
        </is>
      </c>
      <c r="O7" s="84" t="inlineStr">
        <is>
          <t>Works at D2: Multi-business results</t>
        </is>
      </c>
      <c r="P7" s="84" t="inlineStr">
        <is>
          <t>Enterprise-wide functional results</t>
        </is>
      </c>
      <c r="Q7" s="84" t="inlineStr">
        <is>
          <t>Already works at E2: Enterprise results, risk, culture and long-term viability</t>
        </is>
      </c>
      <c r="R7" s="34" t="inlineStr">
        <is>
          <t>M</t>
        </is>
      </c>
      <c r="S7" s="56" t="inlineStr">
        <is>
          <t>Works at D2: Builds the leadership team across businesses</t>
        </is>
      </c>
      <c r="T7" s="56" t="inlineStr">
        <is>
          <t>Shapes enterprise strategy</t>
        </is>
      </c>
      <c r="U7" s="56" t="inlineStr">
        <is>
          <t>Already works at E2: Sets enterprise strategy; leads the executive team</t>
        </is>
      </c>
      <c r="V7" s="34" t="inlineStr">
        <is>
          <t>L</t>
        </is>
      </c>
      <c r="W7" s="56" t="inlineStr">
        <is>
          <t>Works at D2: Owns the results of several business lines</t>
        </is>
      </c>
      <c r="X7" s="56" t="inlineStr">
        <is>
          <t>Shapes company-wide results through a function · purpose: Leads an enterprise-wide function as a Chief Officer — revenue, finance, operations or technology — across all six businesses; sets the function's strategy and …</t>
        </is>
      </c>
      <c r="Y7" s="56" t="inlineStr">
        <is>
          <t>Already works at E2: Answers for the whole company's results and long-term value</t>
        </is>
      </c>
      <c r="Z7" s="34" t="inlineStr">
        <is>
          <t>L</t>
        </is>
      </c>
      <c r="AA7" s="85" t="inlineStr">
        <is>
          <t>Less experience than the band's typical 20+ yrs</t>
        </is>
      </c>
      <c r="AB7" s="85" t="inlineStr">
        <is>
          <t>Typical for the band: 20+ yrs · market — yrs</t>
        </is>
      </c>
      <c r="AC7" s="85" t="inlineStr">
        <is>
          <t>More experience than the band's typical 20+ yrs</t>
        </is>
      </c>
      <c r="AD7" s="34" t="inlineStr">
        <is>
          <t>L</t>
        </is>
      </c>
      <c r="AE7" s="85" t="inlineStr">
        <is>
          <t>Below: Postgraduate / professional qualification preferred</t>
        </is>
      </c>
      <c r="AF7" s="85" t="inlineStr">
        <is>
          <t>Postgraduate / professional qualification; business leadership record</t>
        </is>
      </c>
      <c r="AG7" s="85" t="inlineStr">
        <is>
          <t>Above: Postgraduate / professional qualification; proven business leadership</t>
        </is>
      </c>
      <c r="AH7" s="44" t="inlineStr">
        <is>
          <t>36.3 · 19 · 11.3 · 20 · 8.7 · 4 · 1</t>
        </is>
      </c>
      <c r="AI7" s="38" t="inlineStr">
        <is>
          <t>20+ yrs</t>
        </is>
      </c>
      <c r="AJ7" s="38" t="inlineStr">
        <is>
          <t>5–8 function heads</t>
        </is>
      </c>
      <c r="AK7" s="38" t="inlineStr">
        <is>
          <t>E5 · SFIA 7</t>
        </is>
      </c>
      <c r="AL7"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8" ht="120" customHeight="1">
      <c r="A8" s="86" t="inlineStr">
        <is>
          <t>D2</t>
        </is>
      </c>
      <c r="B8" s="29" t="inlineStr">
        <is>
          <t>Band D · Business leadership</t>
        </is>
      </c>
      <c r="C8" s="29" t="inlineStr">
        <is>
          <t>Bands D–E · Leadership</t>
        </is>
      </c>
      <c r="D8" s="29" t="inlineStr">
        <is>
          <t>Senior Vice President / Business Head</t>
        </is>
      </c>
      <c r="E8" s="29" t="inlineStr">
        <is>
          <t>— no role at this level today</t>
        </is>
      </c>
      <c r="F8" s="34" t="inlineStr">
        <is>
          <t>H</t>
        </is>
      </c>
      <c r="G8" s="84" t="inlineStr">
        <is>
          <t>Works at D1: Competing strategic, financial and regulatory priorities</t>
        </is>
      </c>
      <c r="H8" s="84" t="inlineStr">
        <is>
          <t>Portfolio-level strategic, financial and regulatory trade-offs</t>
        </is>
      </c>
      <c r="I8" s="84" t="inlineStr">
        <is>
          <t>Already works at E1: Enterprise-level functional strategy</t>
        </is>
      </c>
      <c r="J8" s="34" t="inlineStr">
        <is>
          <t>M</t>
        </is>
      </c>
      <c r="K8" s="84" t="inlineStr">
        <is>
          <t>Works at D1: Sets business-line direction, pricing and investment</t>
        </is>
      </c>
      <c r="L8" s="84" t="inlineStr">
        <is>
          <t>Sets direction across business lines</t>
        </is>
      </c>
      <c r="M8" s="84" t="inlineStr">
        <is>
          <t>Already works at E1: Sets enterprise priorities for the function</t>
        </is>
      </c>
      <c r="N8" s="34" t="inlineStr">
        <is>
          <t>M</t>
        </is>
      </c>
      <c r="O8" s="84" t="inlineStr">
        <is>
          <t>Works at D1: Business-line P&amp;L and market position</t>
        </is>
      </c>
      <c r="P8" s="84" t="inlineStr">
        <is>
          <t>Multi-business results</t>
        </is>
      </c>
      <c r="Q8" s="84" t="inlineStr">
        <is>
          <t>Already works at E1: Enterprise-wide functional results</t>
        </is>
      </c>
      <c r="R8" s="34" t="inlineStr">
        <is>
          <t>M</t>
        </is>
      </c>
      <c r="S8" s="56" t="inlineStr">
        <is>
          <t>Works at D1: Defines business strategy; builds the leadership bench</t>
        </is>
      </c>
      <c r="T8" s="56" t="inlineStr">
        <is>
          <t>Builds the leadership team across businesses</t>
        </is>
      </c>
      <c r="U8" s="56" t="inlineStr">
        <is>
          <t>Already works at E1: Shapes enterprise strategy</t>
        </is>
      </c>
      <c r="V8" s="34" t="inlineStr">
        <is>
          <t>L</t>
        </is>
      </c>
      <c r="W8" s="56" t="inlineStr">
        <is>
          <t>Works at D1: Owns a business line's P&amp;L and growth, or a company-wide function</t>
        </is>
      </c>
      <c r="X8" s="56" t="inlineStr">
        <is>
          <t>Owns the results of several business lines</t>
        </is>
      </c>
      <c r="Y8" s="56" t="inlineStr">
        <is>
          <t>Already works at E1: Shapes company-wide results through a function</t>
        </is>
      </c>
      <c r="Z8" s="34" t="inlineStr">
        <is>
          <t>L</t>
        </is>
      </c>
      <c r="AA8" s="85" t="inlineStr">
        <is>
          <t>Less experience than the band's typical 18–24 yrs</t>
        </is>
      </c>
      <c r="AB8" s="85" t="inlineStr">
        <is>
          <t>Typical for the band: 18–24 yrs · market — yrs</t>
        </is>
      </c>
      <c r="AC8" s="85" t="inlineStr">
        <is>
          <t>More experience than the band's typical 18–24 yrs</t>
        </is>
      </c>
      <c r="AD8" s="34" t="inlineStr">
        <is>
          <t>L</t>
        </is>
      </c>
      <c r="AE8" s="85" t="inlineStr">
        <is>
          <t>Below: Postgraduate / professional qualification preferred</t>
        </is>
      </c>
      <c r="AF8" s="85" t="inlineStr">
        <is>
          <t>Postgraduate / professional qualification preferred</t>
        </is>
      </c>
      <c r="AG8" s="85" t="inlineStr">
        <is>
          <t>Above: Postgraduate / professional qualification; business leadership record</t>
        </is>
      </c>
      <c r="AH8" s="44" t="inlineStr">
        <is>
          <t>36.3 · 19 · 11.3 · 20 · 8.7 · 4 · 1</t>
        </is>
      </c>
      <c r="AI8" s="38" t="inlineStr">
        <is>
          <t>18–24 yrs</t>
        </is>
      </c>
      <c r="AJ8" s="38" t="inlineStr">
        <is>
          <t>5–8 AVPs / heads</t>
        </is>
      </c>
      <c r="AK8" s="38" t="inlineStr">
        <is>
          <t>E3–E4 · SFIA 7 Set strategy</t>
        </is>
      </c>
      <c r="AL8"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9" ht="120" customHeight="1">
      <c r="A9" s="86" t="inlineStr">
        <is>
          <t>D1</t>
        </is>
      </c>
      <c r="B9" s="29" t="inlineStr">
        <is>
          <t>Band D · Business leadership</t>
        </is>
      </c>
      <c r="C9" s="29" t="inlineStr">
        <is>
          <t>Bands D–E · Leadership</t>
        </is>
      </c>
      <c r="D9" s="29" t="inlineStr">
        <is>
          <t>Associate Vice President</t>
        </is>
      </c>
      <c r="E9" s="29" t="inlineStr">
        <is>
          <t>— no role at this level today</t>
        </is>
      </c>
      <c r="F9" s="34" t="inlineStr">
        <is>
          <t>H</t>
        </is>
      </c>
      <c r="G9" s="84" t="inlineStr">
        <is>
          <t>Works at C2: Function-wide or company-wide problems; creates methods and standards</t>
        </is>
      </c>
      <c r="H9" s="84" t="inlineStr">
        <is>
          <t>Competing strategic, financial and regulatory priorities</t>
        </is>
      </c>
      <c r="I9" s="84" t="inlineStr">
        <is>
          <t>Already works at D2: Portfolio-level strategic, financial and regulatory trade-offs</t>
        </is>
      </c>
      <c r="J9" s="34" t="inlineStr">
        <is>
          <t>M</t>
        </is>
      </c>
      <c r="K9" s="84" t="inlineStr">
        <is>
          <t>Works at C2: Sets direction for a function</t>
        </is>
      </c>
      <c r="L9" s="84" t="inlineStr">
        <is>
          <t>Sets business-line direction, pricing and investment</t>
        </is>
      </c>
      <c r="M9" s="84" t="inlineStr">
        <is>
          <t>Already works at D2: Sets direction across business lines</t>
        </is>
      </c>
      <c r="N9" s="34" t="inlineStr">
        <is>
          <t>M</t>
        </is>
      </c>
      <c r="O9" s="84" t="inlineStr">
        <is>
          <t>Works at C2: Function results, budget and risk</t>
        </is>
      </c>
      <c r="P9" s="84" t="inlineStr">
        <is>
          <t>Business-line P&amp;L and market position</t>
        </is>
      </c>
      <c r="Q9" s="84" t="inlineStr">
        <is>
          <t>Already works at D2: Multi-business results</t>
        </is>
      </c>
      <c r="R9" s="34" t="inlineStr">
        <is>
          <t>M</t>
        </is>
      </c>
      <c r="S9" s="56" t="inlineStr">
        <is>
          <t>Works at C2: Leads a function; shapes functional strategy</t>
        </is>
      </c>
      <c r="T9" s="56" t="inlineStr">
        <is>
          <t>Defines business strategy; builds the leadership bench</t>
        </is>
      </c>
      <c r="U9" s="56" t="inlineStr">
        <is>
          <t>Already works at D2: Builds the leadership team across businesses</t>
        </is>
      </c>
      <c r="V9" s="34" t="inlineStr">
        <is>
          <t>L</t>
        </is>
      </c>
      <c r="W9" s="56" t="inlineStr">
        <is>
          <t>Works at C2: Drives a function's or department's results and costs</t>
        </is>
      </c>
      <c r="X9" s="56" t="inlineStr">
        <is>
          <t>Owns a business line's P&amp;L and growth, or a company-wide function</t>
        </is>
      </c>
      <c r="Y9" s="56" t="inlineStr">
        <is>
          <t>Already works at D2: Owns the results of several business lines</t>
        </is>
      </c>
      <c r="Z9" s="34" t="inlineStr">
        <is>
          <t>L</t>
        </is>
      </c>
      <c r="AA9" s="85" t="inlineStr">
        <is>
          <t>Less experience than the band's typical 15–20 yrs</t>
        </is>
      </c>
      <c r="AB9" s="85" t="inlineStr">
        <is>
          <t>Typical for the band: 15–20 yrs · market — yrs</t>
        </is>
      </c>
      <c r="AC9" s="85" t="inlineStr">
        <is>
          <t>More experience than the band's typical 15–20 yrs</t>
        </is>
      </c>
      <c r="AD9" s="34" t="inlineStr">
        <is>
          <t>L</t>
        </is>
      </c>
      <c r="AE9" s="85" t="inlineStr">
        <is>
          <t>Below: Postgraduate / professional qualification preferred</t>
        </is>
      </c>
      <c r="AF9" s="85" t="inlineStr">
        <is>
          <t>Postgraduate / professional qualification preferred</t>
        </is>
      </c>
      <c r="AG9" s="85" t="inlineStr">
        <is>
          <t>Above: Postgraduate / professional qualification preferred</t>
        </is>
      </c>
      <c r="AH9" s="44" t="inlineStr">
        <is>
          <t>36.3 · 19 · 11.3 · 20 · 8.7 · 4 · 1</t>
        </is>
      </c>
      <c r="AI9" s="38" t="inlineStr">
        <is>
          <t>15–20 yrs</t>
        </is>
      </c>
      <c r="AJ9" s="38" t="inlineStr">
        <is>
          <t>5–8 heads</t>
        </is>
      </c>
      <c r="AK9" s="38" t="inlineStr">
        <is>
          <t>E1–E2 · SFIA 6–7</t>
        </is>
      </c>
      <c r="AL9"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0" ht="120" customHeight="1">
      <c r="A10" s="87" t="inlineStr">
        <is>
          <t>C+</t>
        </is>
      </c>
      <c r="B10" s="29" t="inlineStr">
        <is>
          <t>C+ · Player-Coach</t>
        </is>
      </c>
      <c r="C10" s="29" t="inlineStr">
        <is>
          <t>C+ · Player-Coach</t>
        </is>
      </c>
      <c r="D10" s="29" t="inlineStr">
        <is>
          <t>Group Head · Player-Coach</t>
        </is>
      </c>
      <c r="E10" s="29" t="inlineStr">
        <is>
          <t>— no role at this level today</t>
        </is>
      </c>
      <c r="F10" s="34" t="inlineStr">
        <is>
          <t>H</t>
        </is>
      </c>
      <c r="G10" s="84" t="inlineStr">
        <is>
          <t>Works at C2: Function-wide or company-wide problems; creates methods and standards</t>
        </is>
      </c>
      <c r="H10" s="84" t="inlineStr">
        <is>
          <t>Function-wide and cross-product problems; personally handles the most critical client or technical work</t>
        </is>
      </c>
      <c r="I10" s="84" t="inlineStr">
        <is>
          <t>Already works at D1: Competing strategic, financial and regulatory priorities</t>
        </is>
      </c>
      <c r="J10" s="34" t="inlineStr">
        <is>
          <t>M</t>
        </is>
      </c>
      <c r="K10" s="84" t="inlineStr">
        <is>
          <t>Works at C2: Sets direction for a function</t>
        </is>
      </c>
      <c r="L10" s="84" t="inlineStr">
        <is>
          <t>Sets direction for the function; business-line trade-offs go to the Business Head</t>
        </is>
      </c>
      <c r="M10" s="84" t="inlineStr">
        <is>
          <t>Already works at D1: Sets business-line direction, pricing and investment</t>
        </is>
      </c>
      <c r="N10" s="34" t="inlineStr">
        <is>
          <t>M</t>
        </is>
      </c>
      <c r="O10" s="84" t="inlineStr">
        <is>
          <t>Works at C2: Function results, budget and risk</t>
        </is>
      </c>
      <c r="P10" s="84" t="inlineStr">
        <is>
          <t>Function results, budget and key-client outcomes; carries own book or principal delivery</t>
        </is>
      </c>
      <c r="Q10" s="84" t="inlineStr">
        <is>
          <t>Already works at D1: Business-line P&amp;L and market position</t>
        </is>
      </c>
      <c r="R10" s="34" t="inlineStr">
        <is>
          <t>M</t>
        </is>
      </c>
      <c r="S10" s="56" t="inlineStr">
        <is>
          <t>Works at C2: Leads a function; shapes functional strategy</t>
        </is>
      </c>
      <c r="T10" s="56" t="inlineStr">
        <is>
          <t>Leads managers and leads and 10+ people in the function while staying hands-on</t>
        </is>
      </c>
      <c r="U10" s="56" t="inlineStr">
        <is>
          <t>Already works at D1: Defines business strategy; builds the leadership bench</t>
        </is>
      </c>
      <c r="V10" s="34" t="inlineStr">
        <is>
          <t>L</t>
        </is>
      </c>
      <c r="W10" s="56" t="inlineStr">
        <is>
          <t>Works at C2: Drives a function's or department's results and costs</t>
        </is>
      </c>
      <c r="X10" s="56" t="inlineStr">
        <is>
          <t>Drives a function's results and personally wins or delivers key work</t>
        </is>
      </c>
      <c r="Y10" s="56" t="inlineStr">
        <is>
          <t>Already works at D1: Owns a business line's P&amp;L and growth, or a company-wide function</t>
        </is>
      </c>
      <c r="Z10" s="34" t="inlineStr">
        <is>
          <t>L</t>
        </is>
      </c>
      <c r="AA10" s="85" t="inlineStr">
        <is>
          <t>Less experience than the band's typical 13–18 yrs</t>
        </is>
      </c>
      <c r="AB10" s="85" t="inlineStr">
        <is>
          <t>Typical for the band: 13–18 yrs · market 15–18 yrs</t>
        </is>
      </c>
      <c r="AC10" s="85" t="inlineStr">
        <is>
          <t>More experience than the band's typical 13–18 yrs</t>
        </is>
      </c>
      <c r="AD10" s="34" t="inlineStr">
        <is>
          <t>L</t>
        </is>
      </c>
      <c r="AE10" s="85" t="inlineStr">
        <is>
          <t>Below: Postgraduate / professional qualification preferred</t>
        </is>
      </c>
      <c r="AF10" s="85" t="inlineStr">
        <is>
          <t>Postgraduate / professional qualification preferred</t>
        </is>
      </c>
      <c r="AG10" s="85" t="inlineStr">
        <is>
          <t>Above: Postgraduate / professional qualification preferred</t>
        </is>
      </c>
      <c r="AH10" s="44" t="inlineStr">
        <is>
          <t>37.7 · 18.3 · 10.7 · 20 · 8 · 4 · 1</t>
        </is>
      </c>
      <c r="AI10" s="38" t="inlineStr">
        <is>
          <t>15–18</t>
        </is>
      </c>
      <c r="AJ10" s="38" t="inlineStr">
        <is>
          <t>4–8 managers / leads with ≥ 25% of time on own principal delivery</t>
        </is>
      </c>
      <c r="AK10" s="38" t="inlineStr">
        <is>
          <t>M6 / E1 · SFIA 6 Initiate, influence</t>
        </is>
      </c>
      <c r="AL10"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1" ht="120" customHeight="1">
      <c r="A11" s="88" t="inlineStr">
        <is>
          <t>C2</t>
        </is>
      </c>
      <c r="B11" s="29" t="inlineStr">
        <is>
          <t>Band C · Principal / Head</t>
        </is>
      </c>
      <c r="C11" s="29" t="inlineStr">
        <is>
          <t>Band C · Head / manager</t>
        </is>
      </c>
      <c r="D11" s="29" t="inlineStr">
        <is>
          <t>Head of Function</t>
        </is>
      </c>
      <c r="E11" s="29" t="inlineStr">
        <is>
          <t>— no role at this level today</t>
        </is>
      </c>
      <c r="F11" s="34" t="inlineStr">
        <is>
          <t>H</t>
        </is>
      </c>
      <c r="G11" s="84" t="inlineStr">
        <is>
          <t>Works at C1: Ambiguous, cross-product problems</t>
        </is>
      </c>
      <c r="H11" s="84" t="inlineStr">
        <is>
          <t>Function-wide or company-wide problems; creates methods and standards</t>
        </is>
      </c>
      <c r="I11" s="84" t="inlineStr">
        <is>
          <t>Already works at D1: Competing strategic, financial and regulatory priorities</t>
        </is>
      </c>
      <c r="J11" s="34" t="inlineStr">
        <is>
          <t>M</t>
        </is>
      </c>
      <c r="K11" s="84" t="inlineStr">
        <is>
          <t>Works at C1: Sets direction for a sub-function or domain</t>
        </is>
      </c>
      <c r="L11" s="84" t="inlineStr">
        <is>
          <t>Sets direction for a function</t>
        </is>
      </c>
      <c r="M11" s="84" t="inlineStr">
        <is>
          <t>Already works at D1: Sets business-line direction, pricing and investment</t>
        </is>
      </c>
      <c r="N11" s="34" t="inlineStr">
        <is>
          <t>M</t>
        </is>
      </c>
      <c r="O11" s="84" t="inlineStr">
        <is>
          <t>Works at C1: Sub-function results or domain quality across products</t>
        </is>
      </c>
      <c r="P11" s="84" t="inlineStr">
        <is>
          <t>Function results, budget and risk</t>
        </is>
      </c>
      <c r="Q11" s="84" t="inlineStr">
        <is>
          <t>Already works at D1: Business-line P&amp;L and market position</t>
        </is>
      </c>
      <c r="R11" s="34" t="inlineStr">
        <is>
          <t>M</t>
        </is>
      </c>
      <c r="S11" s="56" t="inlineStr">
        <is>
          <t>Works at C1: Leads managers or a community of practice</t>
        </is>
      </c>
      <c r="T11" s="56" t="inlineStr">
        <is>
          <t>Leads a function; shapes functional strategy</t>
        </is>
      </c>
      <c r="U11" s="56" t="inlineStr">
        <is>
          <t>Already works at D1: Defines business strategy; builds the leadership bench</t>
        </is>
      </c>
      <c r="V11" s="34" t="inlineStr">
        <is>
          <t>L</t>
        </is>
      </c>
      <c r="W11" s="56" t="inlineStr">
        <is>
          <t>Works at C1: Changes results across a sub-function or across products</t>
        </is>
      </c>
      <c r="X11" s="56" t="inlineStr">
        <is>
          <t>Drives a function's or department's results and costs</t>
        </is>
      </c>
      <c r="Y11" s="56" t="inlineStr">
        <is>
          <t>Already works at D1: Owns a business line's P&amp;L and growth, or a company-wide function</t>
        </is>
      </c>
      <c r="Z11" s="34" t="inlineStr">
        <is>
          <t>L</t>
        </is>
      </c>
      <c r="AA11" s="85" t="inlineStr">
        <is>
          <t>Less experience than the band's typical 12–17 yrs</t>
        </is>
      </c>
      <c r="AB11" s="85" t="inlineStr">
        <is>
          <t>Typical for the band: 12–17 yrs · market — yrs</t>
        </is>
      </c>
      <c r="AC11" s="85" t="inlineStr">
        <is>
          <t>More experience than the band's typical 12–17 yrs</t>
        </is>
      </c>
      <c r="AD11" s="34" t="inlineStr">
        <is>
          <t>L</t>
        </is>
      </c>
      <c r="AE11" s="85" t="inlineStr">
        <is>
          <t>Below: Postgraduate / professional qualification preferred</t>
        </is>
      </c>
      <c r="AF11" s="85" t="inlineStr">
        <is>
          <t>Postgraduate / professional qualification preferred</t>
        </is>
      </c>
      <c r="AG11" s="85" t="inlineStr">
        <is>
          <t>Above: Postgraduate / professional qualification preferred</t>
        </is>
      </c>
      <c r="AH11" s="44" t="inlineStr">
        <is>
          <t>43.3 · 18 · 10.7 · 15 · 8 · 4 · 1</t>
        </is>
      </c>
      <c r="AI11" s="38" t="inlineStr">
        <is>
          <t>12–17 yrs</t>
        </is>
      </c>
      <c r="AJ11" s="38" t="inlineStr">
        <is>
          <t>5–8 managers / associate heads</t>
        </is>
      </c>
      <c r="AK11" s="38" t="inlineStr">
        <is>
          <t>P7 / M6 · SFIA 6 Initiate, influence</t>
        </is>
      </c>
      <c r="AL11"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2" ht="120" customHeight="1">
      <c r="A12" s="88" t="inlineStr">
        <is>
          <t>C2</t>
        </is>
      </c>
      <c r="B12" s="29" t="inlineStr">
        <is>
          <t>Band C · Principal / Head</t>
        </is>
      </c>
      <c r="C12" s="29" t="inlineStr">
        <is>
          <t>Band C · Principal specialist</t>
        </is>
      </c>
      <c r="D12" s="29" t="inlineStr">
        <is>
          <t>Senior Principal / Architect</t>
        </is>
      </c>
      <c r="E12" s="29" t="inlineStr">
        <is>
          <t>— no role at this level today</t>
        </is>
      </c>
      <c r="F12" s="34" t="inlineStr">
        <is>
          <t>H</t>
        </is>
      </c>
      <c r="G12" s="84" t="inlineStr">
        <is>
          <t>Works at C1: Ambiguous, cross-product problems</t>
        </is>
      </c>
      <c r="H12" s="84" t="inlineStr">
        <is>
          <t>Function-wide or company-wide problems; creates methods and standards</t>
        </is>
      </c>
      <c r="I12" s="84" t="inlineStr">
        <is>
          <t>Already works at D1: Competing strategic, financial and regulatory priorities</t>
        </is>
      </c>
      <c r="J12" s="34" t="inlineStr">
        <is>
          <t>M</t>
        </is>
      </c>
      <c r="K12" s="84" t="inlineStr">
        <is>
          <t>Works at C1: Sets direction for a sub-function or domain</t>
        </is>
      </c>
      <c r="L12" s="84" t="inlineStr">
        <is>
          <t>Sets direction for a function</t>
        </is>
      </c>
      <c r="M12" s="84" t="inlineStr">
        <is>
          <t>Already works at D1: Sets business-line direction, pricing and investment</t>
        </is>
      </c>
      <c r="N12" s="34" t="inlineStr">
        <is>
          <t>M</t>
        </is>
      </c>
      <c r="O12" s="84" t="inlineStr">
        <is>
          <t>Works at C1: Sub-function results or domain quality across products</t>
        </is>
      </c>
      <c r="P12" s="84" t="inlineStr">
        <is>
          <t>Function results, budget and risk</t>
        </is>
      </c>
      <c r="Q12" s="84" t="inlineStr">
        <is>
          <t>Already works at D1: Business-line P&amp;L and market position</t>
        </is>
      </c>
      <c r="R12" s="34" t="inlineStr">
        <is>
          <t>L</t>
        </is>
      </c>
      <c r="S12" s="56" t="inlineStr">
        <is>
          <t>Works at C1: Leads managers or a community of practice</t>
        </is>
      </c>
      <c r="T12" s="56" t="inlineStr">
        <is>
          <t>Leads a function; shapes functional strategy</t>
        </is>
      </c>
      <c r="U12" s="56" t="inlineStr">
        <is>
          <t>Already works at D1: Defines business strategy; builds the leadership bench</t>
        </is>
      </c>
      <c r="V12" s="34" t="inlineStr">
        <is>
          <t>L</t>
        </is>
      </c>
      <c r="W12" s="56" t="inlineStr">
        <is>
          <t>Works at C1: Changes results across a sub-function or across products</t>
        </is>
      </c>
      <c r="X12" s="56" t="inlineStr">
        <is>
          <t>Drives a function's or department's results and costs</t>
        </is>
      </c>
      <c r="Y12" s="56" t="inlineStr">
        <is>
          <t>Already works at D1: Owns a business line's P&amp;L and growth, or a company-wide function</t>
        </is>
      </c>
      <c r="Z12" s="34" t="inlineStr">
        <is>
          <t>L</t>
        </is>
      </c>
      <c r="AA12" s="85" t="inlineStr">
        <is>
          <t>Less experience than the band's typical 12–17 yrs</t>
        </is>
      </c>
      <c r="AB12" s="85" t="inlineStr">
        <is>
          <t>Typical for the band: 12–17 yrs · market — yrs</t>
        </is>
      </c>
      <c r="AC12" s="85" t="inlineStr">
        <is>
          <t>More experience than the band's typical 12–17 yrs</t>
        </is>
      </c>
      <c r="AD12" s="34" t="inlineStr">
        <is>
          <t>L</t>
        </is>
      </c>
      <c r="AE12" s="85" t="inlineStr">
        <is>
          <t>Below: Postgraduate / professional qualification preferred</t>
        </is>
      </c>
      <c r="AF12" s="85" t="inlineStr">
        <is>
          <t>Postgraduate / professional qualification preferred</t>
        </is>
      </c>
      <c r="AG12" s="85" t="inlineStr">
        <is>
          <t>Above: Postgraduate / professional qualification preferred</t>
        </is>
      </c>
      <c r="AH12" s="44" t="inlineStr">
        <is>
          <t>54.3 · 17.7 · 10.3 · 5 · 7.7 · 4 · 1</t>
        </is>
      </c>
      <c r="AI12" s="38" t="inlineStr">
        <is>
          <t>12–17 yrs</t>
        </is>
      </c>
      <c r="AJ12" s="38" t="inlineStr">
        <is>
          <t>5–8 managers / associate heads</t>
        </is>
      </c>
      <c r="AK12" s="38" t="inlineStr">
        <is>
          <t>P7 / M6 · SFIA 6 Initiate, influence</t>
        </is>
      </c>
      <c r="AL12"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3" ht="120" customHeight="1">
      <c r="A13" s="88" t="inlineStr">
        <is>
          <t>C1</t>
        </is>
      </c>
      <c r="B13" s="29" t="inlineStr">
        <is>
          <t>Band C · Principal / Head</t>
        </is>
      </c>
      <c r="C13" s="29" t="inlineStr">
        <is>
          <t>Band C · Head / manager</t>
        </is>
      </c>
      <c r="D13" s="29" t="inlineStr">
        <is>
          <t>Associate Head</t>
        </is>
      </c>
      <c r="E13" s="29" t="inlineStr">
        <is>
          <t>— no role at this level today</t>
        </is>
      </c>
      <c r="F13" s="34" t="inlineStr">
        <is>
          <t>H</t>
        </is>
      </c>
      <c r="G13" s="84" t="inlineStr">
        <is>
          <t>Works at B3: Sets standards for a practice; cross-team problems</t>
        </is>
      </c>
      <c r="H13" s="84" t="inlineStr">
        <is>
          <t>Ambiguous, cross-product problems</t>
        </is>
      </c>
      <c r="I13" s="84" t="inlineStr">
        <is>
          <t>Already works at C2: Function-wide or company-wide problems; creates methods and standards</t>
        </is>
      </c>
      <c r="J13" s="34" t="inlineStr">
        <is>
          <t>M</t>
        </is>
      </c>
      <c r="K13" s="84" t="inlineStr">
        <is>
          <t>Works at B3: Commercial / strategic calls for the unit</t>
        </is>
      </c>
      <c r="L13" s="84" t="inlineStr">
        <is>
          <t>Sets direction for a sub-function or domain</t>
        </is>
      </c>
      <c r="M13" s="84" t="inlineStr">
        <is>
          <t>Already works at C2: Sets direction for a function</t>
        </is>
      </c>
      <c r="N13" s="34" t="inlineStr">
        <is>
          <t>M</t>
        </is>
      </c>
      <c r="O13" s="84" t="inlineStr">
        <is>
          <t>Works at B3: Several teams or a practice</t>
        </is>
      </c>
      <c r="P13" s="84" t="inlineStr">
        <is>
          <t>Sub-function results or domain quality across products</t>
        </is>
      </c>
      <c r="Q13" s="84" t="inlineStr">
        <is>
          <t>Already works at C2: Function results, budget and risk</t>
        </is>
      </c>
      <c r="R13" s="34" t="inlineStr">
        <is>
          <t>M</t>
        </is>
      </c>
      <c r="S13" s="56" t="inlineStr">
        <is>
          <t>Works at B3: IC: leads a practice · People: team leads / managers report in</t>
        </is>
      </c>
      <c r="T13" s="56" t="inlineStr">
        <is>
          <t>Leads managers or a community of practice</t>
        </is>
      </c>
      <c r="U13" s="56" t="inlineStr">
        <is>
          <t>Already works at C2: Leads a function; shapes functional strategy</t>
        </is>
      </c>
      <c r="V13" s="34" t="inlineStr">
        <is>
          <t>L</t>
        </is>
      </c>
      <c r="W13" s="56" t="inlineStr">
        <is>
          <t>Works at B3: Shapes the results of a practice or several teams</t>
        </is>
      </c>
      <c r="X13" s="56" t="inlineStr">
        <is>
          <t>Changes results across a sub-function or across products</t>
        </is>
      </c>
      <c r="Y13" s="56" t="inlineStr">
        <is>
          <t>Already works at C2: Drives a function's or department's results and costs</t>
        </is>
      </c>
      <c r="Z13" s="34" t="inlineStr">
        <is>
          <t>L</t>
        </is>
      </c>
      <c r="AA13" s="85" t="inlineStr">
        <is>
          <t>Less experience than the band's typical 10–14 yrs</t>
        </is>
      </c>
      <c r="AB13" s="85" t="inlineStr">
        <is>
          <t>Typical for the band: 10–14 yrs · market 12–17 yrs</t>
        </is>
      </c>
      <c r="AC13" s="85" t="inlineStr">
        <is>
          <t>More experience than the band's typical 10–14 yrs</t>
        </is>
      </c>
      <c r="AD13" s="34" t="inlineStr">
        <is>
          <t>L</t>
        </is>
      </c>
      <c r="AE13" s="85" t="inlineStr">
        <is>
          <t>Below: Postgraduate or professional qualification preferred</t>
        </is>
      </c>
      <c r="AF13" s="85" t="inlineStr">
        <is>
          <t>Postgraduate / professional qualification preferred</t>
        </is>
      </c>
      <c r="AG13" s="85" t="inlineStr">
        <is>
          <t>Above: Postgraduate / professional qualification preferred</t>
        </is>
      </c>
      <c r="AH13" s="44" t="inlineStr">
        <is>
          <t>43.3 · 18 · 10.7 · 15 · 8 · 4 · 1</t>
        </is>
      </c>
      <c r="AI13" s="38" t="inlineStr">
        <is>
          <t>12–17</t>
        </is>
      </c>
      <c r="AJ13" s="38" t="inlineStr">
        <is>
          <t>5–8, mostly managers</t>
        </is>
      </c>
      <c r="AK13" s="38" t="inlineStr">
        <is>
          <t>P6 / M5 · SFIA 5–6</t>
        </is>
      </c>
      <c r="AL13"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4" ht="120" customHeight="1">
      <c r="A14" s="88" t="inlineStr">
        <is>
          <t>C1</t>
        </is>
      </c>
      <c r="B14" s="29" t="inlineStr">
        <is>
          <t>Band C · Principal / Head</t>
        </is>
      </c>
      <c r="C14" s="29" t="inlineStr">
        <is>
          <t>Band C · Principal specialist</t>
        </is>
      </c>
      <c r="D14" s="29" t="inlineStr">
        <is>
          <t>Principal</t>
        </is>
      </c>
      <c r="E14" s="29" t="inlineStr">
        <is>
          <t>— no role at this level today</t>
        </is>
      </c>
      <c r="F14" s="34" t="inlineStr">
        <is>
          <t>H</t>
        </is>
      </c>
      <c r="G14" s="84" t="inlineStr">
        <is>
          <t>Works at B3: Sets standards for a practice; cross-team problems</t>
        </is>
      </c>
      <c r="H14" s="84" t="inlineStr">
        <is>
          <t>Ambiguous, cross-product problems</t>
        </is>
      </c>
      <c r="I14" s="84" t="inlineStr">
        <is>
          <t>Already works at C2: Function-wide or company-wide problems; creates methods and standards</t>
        </is>
      </c>
      <c r="J14" s="34" t="inlineStr">
        <is>
          <t>M</t>
        </is>
      </c>
      <c r="K14" s="84" t="inlineStr">
        <is>
          <t>Works at B3: Commercial / strategic calls for the unit</t>
        </is>
      </c>
      <c r="L14" s="84" t="inlineStr">
        <is>
          <t>Sets direction for a sub-function or domain</t>
        </is>
      </c>
      <c r="M14" s="84" t="inlineStr">
        <is>
          <t>Already works at C2: Sets direction for a function</t>
        </is>
      </c>
      <c r="N14" s="34" t="inlineStr">
        <is>
          <t>M</t>
        </is>
      </c>
      <c r="O14" s="84" t="inlineStr">
        <is>
          <t>Works at B3: Several teams or a practice</t>
        </is>
      </c>
      <c r="P14" s="84" t="inlineStr">
        <is>
          <t>Sub-function results or domain quality across products</t>
        </is>
      </c>
      <c r="Q14" s="84" t="inlineStr">
        <is>
          <t>Already works at C2: Function results, budget and risk</t>
        </is>
      </c>
      <c r="R14" s="34" t="inlineStr">
        <is>
          <t>L</t>
        </is>
      </c>
      <c r="S14" s="56" t="inlineStr">
        <is>
          <t>Works at B3: IC: leads a practice · People: team leads / managers report in</t>
        </is>
      </c>
      <c r="T14" s="56" t="inlineStr">
        <is>
          <t>Leads managers or a community of practice</t>
        </is>
      </c>
      <c r="U14" s="56" t="inlineStr">
        <is>
          <t>Already works at C2: Leads a function; shapes functional strategy</t>
        </is>
      </c>
      <c r="V14" s="34" t="inlineStr">
        <is>
          <t>L</t>
        </is>
      </c>
      <c r="W14" s="56" t="inlineStr">
        <is>
          <t>Works at B3: Shapes the results of a practice or several teams</t>
        </is>
      </c>
      <c r="X14" s="56" t="inlineStr">
        <is>
          <t>Changes results across a sub-function or across products</t>
        </is>
      </c>
      <c r="Y14" s="56" t="inlineStr">
        <is>
          <t>Already works at C2: Drives a function's or department's results and costs</t>
        </is>
      </c>
      <c r="Z14" s="34" t="inlineStr">
        <is>
          <t>L</t>
        </is>
      </c>
      <c r="AA14" s="85" t="inlineStr">
        <is>
          <t>Less experience than the band's typical 10–14 yrs</t>
        </is>
      </c>
      <c r="AB14" s="85" t="inlineStr">
        <is>
          <t>Typical for the band: 10–14 yrs · market 12–17 yrs</t>
        </is>
      </c>
      <c r="AC14" s="85" t="inlineStr">
        <is>
          <t>More experience than the band's typical 10–14 yrs</t>
        </is>
      </c>
      <c r="AD14" s="34" t="inlineStr">
        <is>
          <t>L</t>
        </is>
      </c>
      <c r="AE14" s="85" t="inlineStr">
        <is>
          <t>Below: Postgraduate or professional qualification preferred</t>
        </is>
      </c>
      <c r="AF14" s="85" t="inlineStr">
        <is>
          <t>Postgraduate / professional qualification preferred</t>
        </is>
      </c>
      <c r="AG14" s="85" t="inlineStr">
        <is>
          <t>Above: Postgraduate / professional qualification preferred</t>
        </is>
      </c>
      <c r="AH14" s="44" t="inlineStr">
        <is>
          <t>54.3 · 17.7 · 10.3 · 5 · 7.7 · 4 · 1</t>
        </is>
      </c>
      <c r="AI14" s="38" t="inlineStr">
        <is>
          <t>12–17</t>
        </is>
      </c>
      <c r="AJ14" s="38" t="inlineStr">
        <is>
          <t>5–8, mostly managers</t>
        </is>
      </c>
      <c r="AK14" s="38" t="inlineStr">
        <is>
          <t>P6 / M5 · SFIA 5–6</t>
        </is>
      </c>
      <c r="AL14"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5" ht="120" customHeight="1">
      <c r="A15" s="89" t="inlineStr">
        <is>
          <t>B+</t>
        </is>
      </c>
      <c r="B15" s="29" t="inlineStr">
        <is>
          <t>B+ · Player-Coach</t>
        </is>
      </c>
      <c r="C15" s="29" t="inlineStr">
        <is>
          <t>B+ · Player-Coach</t>
        </is>
      </c>
      <c r="D15" s="29" t="inlineStr">
        <is>
          <t>Practice Lead · Player-Coach</t>
        </is>
      </c>
      <c r="E15" s="29" t="inlineStr">
        <is>
          <t>— no role at this level today</t>
        </is>
      </c>
      <c r="F15" s="34" t="inlineStr">
        <is>
          <t>H</t>
        </is>
      </c>
      <c r="G15" s="84" t="inlineStr">
        <is>
          <t>Works at B3: Sets standards for a practice; cross-team problems</t>
        </is>
      </c>
      <c r="H15" s="84" t="inlineStr">
        <is>
          <t>Principal-level problems in own domain; sets technical or quality standards and still builds</t>
        </is>
      </c>
      <c r="I15" s="84" t="inlineStr">
        <is>
          <t>Already works at C1: Ambiguous, cross-product problems</t>
        </is>
      </c>
      <c r="J15" s="34" t="inlineStr">
        <is>
          <t>M</t>
        </is>
      </c>
      <c r="K15" s="84" t="inlineStr">
        <is>
          <t>Works at B3: Commercial / strategic calls for the unit</t>
        </is>
      </c>
      <c r="L15" s="84" t="inlineStr">
        <is>
          <t>Decides approach and priorities for the practice; escalates only cross-function trade-offs</t>
        </is>
      </c>
      <c r="M15" s="84" t="inlineStr">
        <is>
          <t>Already works at C1: Sets direction for a sub-function or domain</t>
        </is>
      </c>
      <c r="N15" s="34" t="inlineStr">
        <is>
          <t>M</t>
        </is>
      </c>
      <c r="O15" s="84" t="inlineStr">
        <is>
          <t>Works at B3: Several teams or a practice</t>
        </is>
      </c>
      <c r="P15" s="84" t="inlineStr">
        <is>
          <t>Practice outcomes plus own deliverables; quality and delivery of the team</t>
        </is>
      </c>
      <c r="Q15" s="84" t="inlineStr">
        <is>
          <t>Already works at C1: Sub-function results or domain quality across products</t>
        </is>
      </c>
      <c r="R15" s="34" t="inlineStr">
        <is>
          <t>M</t>
        </is>
      </c>
      <c r="S15" s="56" t="inlineStr">
        <is>
          <t>Works at B3: IC: leads a practice · People: team leads / managers report in</t>
        </is>
      </c>
      <c r="T15" s="56" t="inlineStr">
        <is>
          <t>Leads 3–6 people · or a pod while remaining a hands-on expert; coaches, allocates, reviews</t>
        </is>
      </c>
      <c r="U15" s="56" t="inlineStr">
        <is>
          <t>Already works at C1: Leads managers or a community of practice</t>
        </is>
      </c>
      <c r="V15" s="34" t="inlineStr">
        <is>
          <t>L</t>
        </is>
      </c>
      <c r="W15" s="56" t="inlineStr">
        <is>
          <t>Works at B3: Shapes the results of a practice or several teams</t>
        </is>
      </c>
      <c r="X15" s="56" t="inlineStr">
        <is>
          <t>Drives a practice's results while delivering the hardest work</t>
        </is>
      </c>
      <c r="Y15" s="56" t="inlineStr">
        <is>
          <t>Already works at C1: Changes results across a sub-function or across products</t>
        </is>
      </c>
      <c r="Z15" s="34" t="inlineStr">
        <is>
          <t>L</t>
        </is>
      </c>
      <c r="AA15" s="85" t="inlineStr">
        <is>
          <t>Less experience than the band's typical 9–14 yrs</t>
        </is>
      </c>
      <c r="AB15" s="85" t="inlineStr">
        <is>
          <t>Typical for the band: 9–14 yrs · market 9–14 yrs</t>
        </is>
      </c>
      <c r="AC15" s="85" t="inlineStr">
        <is>
          <t>More experience than the band's typical 9–14 yrs</t>
        </is>
      </c>
      <c r="AD15" s="34" t="inlineStr">
        <is>
          <t>L</t>
        </is>
      </c>
      <c r="AE15" s="85" t="inlineStr">
        <is>
          <t>Below: Postgraduate or professional qualification preferred</t>
        </is>
      </c>
      <c r="AF15" s="85" t="inlineStr">
        <is>
          <t>Postgraduate or professional qualification preferred</t>
        </is>
      </c>
      <c r="AG15" s="85" t="inlineStr">
        <is>
          <t>Above: Postgraduate / professional qualification preferred</t>
        </is>
      </c>
      <c r="AH15" s="44" t="inlineStr">
        <is>
          <t>44 · 17.7 · 10.3 · 10 · 7.7 · 6 · 4</t>
        </is>
      </c>
      <c r="AI15" s="38" t="inlineStr">
        <is>
          <t>9–14</t>
        </is>
      </c>
      <c r="AJ15" s="38" t="inlineStr">
        <is>
          <t>3–6 direct reports with ≥ 40% of time on own delivery · McKinsey player/coach 3–5; Google Tech Lead Manager</t>
        </is>
      </c>
      <c r="AK15" s="38" t="inlineStr">
        <is>
          <t>P5–P6 / M4–M5 · SFIA 5 Ensure, advise</t>
        </is>
      </c>
      <c r="AL15"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6" ht="120" customHeight="1">
      <c r="A16" s="90" t="inlineStr">
        <is>
          <t>B3</t>
        </is>
      </c>
      <c r="B16" s="29" t="inlineStr">
        <is>
          <t>Band B · Specialist / Manager</t>
        </is>
      </c>
      <c r="C16" s="29" t="inlineStr">
        <is>
          <t>Band B · People Manager</t>
        </is>
      </c>
      <c r="D16" s="29" t="inlineStr">
        <is>
          <t>Senior Manager</t>
        </is>
      </c>
      <c r="E16" s="29" t="inlineStr">
        <is>
          <t>— no role at this level today</t>
        </is>
      </c>
      <c r="F16" s="34" t="inlineStr">
        <is>
          <t>H</t>
        </is>
      </c>
      <c r="G16" s="84" t="inlineStr">
        <is>
          <t>Works at B2: Hardest problems in the domain</t>
        </is>
      </c>
      <c r="H16" s="84" t="inlineStr">
        <is>
          <t>Sets standards for a practice; cross-team problems</t>
        </is>
      </c>
      <c r="I16" s="84" t="inlineStr">
        <is>
          <t>Already works at C1: Ambiguous, cross-product problems</t>
        </is>
      </c>
      <c r="J16" s="34" t="inlineStr">
        <is>
          <t>M</t>
        </is>
      </c>
      <c r="K16" s="84" t="inlineStr">
        <is>
          <t>Works at B2: Allocates people and sets team priorities</t>
        </is>
      </c>
      <c r="L16" s="84" t="inlineStr">
        <is>
          <t>Commercial / strategic calls for the unit</t>
        </is>
      </c>
      <c r="M16" s="84" t="inlineStr">
        <is>
          <t>Already works at C1: Sets direction for a sub-function or domain</t>
        </is>
      </c>
      <c r="N16" s="34" t="inlineStr">
        <is>
          <t>M</t>
        </is>
      </c>
      <c r="O16" s="84" t="inlineStr">
        <is>
          <t>Works at B2: One team or a client portfolio</t>
        </is>
      </c>
      <c r="P16" s="84" t="inlineStr">
        <is>
          <t>Several teams or a practice</t>
        </is>
      </c>
      <c r="Q16" s="84" t="inlineStr">
        <is>
          <t>Already works at C1: Sub-function results or domain quality across products</t>
        </is>
      </c>
      <c r="R16" s="34" t="inlineStr">
        <is>
          <t>M</t>
        </is>
      </c>
      <c r="S16" s="56" t="inlineStr">
        <is>
          <t>Works at B2: IC: guides others in the domain · People: manages a team of 6+</t>
        </is>
      </c>
      <c r="T16" s="56" t="inlineStr">
        <is>
          <t>IC: leads a practice · People: team leads / managers report in</t>
        </is>
      </c>
      <c r="U16" s="56" t="inlineStr">
        <is>
          <t>Already works at C1: Leads managers or a community of practice</t>
        </is>
      </c>
      <c r="V16" s="34" t="inlineStr">
        <is>
          <t>L</t>
        </is>
      </c>
      <c r="W16" s="56" t="inlineStr">
        <is>
          <t>Works at B2: Visible effect on a team's or client portfolio's revenue, quality or compliance</t>
        </is>
      </c>
      <c r="X16" s="56" t="inlineStr">
        <is>
          <t>Shapes the results of a practice or several teams</t>
        </is>
      </c>
      <c r="Y16" s="56" t="inlineStr">
        <is>
          <t>Already works at C1: Changes results across a sub-function or across products</t>
        </is>
      </c>
      <c r="Z16" s="34" t="inlineStr">
        <is>
          <t>L</t>
        </is>
      </c>
      <c r="AA16" s="85" t="inlineStr">
        <is>
          <t>Less experience than the band's typical 8–12 yrs</t>
        </is>
      </c>
      <c r="AB16" s="85" t="inlineStr">
        <is>
          <t>Typical for the band: 8–12 yrs · market 8–13 yrs</t>
        </is>
      </c>
      <c r="AC16" s="85" t="inlineStr">
        <is>
          <t>More experience than the band's typical 8–12 yrs</t>
        </is>
      </c>
      <c r="AD16" s="34" t="inlineStr">
        <is>
          <t>L</t>
        </is>
      </c>
      <c r="AE16" s="85" t="inlineStr">
        <is>
          <t>Below: Graduate or postgraduate; professional qualification preferred</t>
        </is>
      </c>
      <c r="AF16" s="85" t="inlineStr">
        <is>
          <t>Postgraduate or professional qualification preferred</t>
        </is>
      </c>
      <c r="AG16" s="85" t="inlineStr">
        <is>
          <t>Above: Postgraduate / professional qualification preferred</t>
        </is>
      </c>
      <c r="AH16" s="44" t="inlineStr">
        <is>
          <t>37 · 18.3 · 11.3 · 15 · 8.7 · 6 · 4</t>
        </is>
      </c>
      <c r="AI16" s="38" t="inlineStr">
        <is>
          <t>8–13</t>
        </is>
      </c>
      <c r="AJ16" s="38" t="inlineStr">
        <is>
          <t>IC: none · People: 5–8 incl. team leads</t>
        </is>
      </c>
      <c r="AK16" s="38" t="inlineStr">
        <is>
          <t>P5 / M4 · SFIA 5 Ensure, advise</t>
        </is>
      </c>
      <c r="AL16"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7" ht="120" customHeight="1">
      <c r="A17" s="90" t="inlineStr">
        <is>
          <t>B3</t>
        </is>
      </c>
      <c r="B17" s="29" t="inlineStr">
        <is>
          <t>Band B · Specialist / Manager</t>
        </is>
      </c>
      <c r="C17" s="29" t="inlineStr">
        <is>
          <t>Band B · Specialist / POD Lead</t>
        </is>
      </c>
      <c r="D17" s="29" t="inlineStr">
        <is>
          <t>Lead Specialist</t>
        </is>
      </c>
      <c r="E17" s="29" t="inlineStr">
        <is>
          <t>— no role at this level today</t>
        </is>
      </c>
      <c r="F17" s="34" t="inlineStr">
        <is>
          <t>H</t>
        </is>
      </c>
      <c r="G17" s="84" t="inlineStr">
        <is>
          <t>Works at B2: Hardest problems in the domain</t>
        </is>
      </c>
      <c r="H17" s="84" t="inlineStr">
        <is>
          <t>Sets standards for a practice; cross-team problems</t>
        </is>
      </c>
      <c r="I17" s="84" t="inlineStr">
        <is>
          <t>Already works at C1: Ambiguous, cross-product problems</t>
        </is>
      </c>
      <c r="J17" s="34" t="inlineStr">
        <is>
          <t>M</t>
        </is>
      </c>
      <c r="K17" s="84" t="inlineStr">
        <is>
          <t>Works at B2: Allocates people and sets team priorities</t>
        </is>
      </c>
      <c r="L17" s="84" t="inlineStr">
        <is>
          <t>Commercial / strategic calls for the unit</t>
        </is>
      </c>
      <c r="M17" s="84" t="inlineStr">
        <is>
          <t>Already works at C1: Sets direction for a sub-function or domain</t>
        </is>
      </c>
      <c r="N17" s="34" t="inlineStr">
        <is>
          <t>M</t>
        </is>
      </c>
      <c r="O17" s="84" t="inlineStr">
        <is>
          <t>Works at B2: One team or a client portfolio</t>
        </is>
      </c>
      <c r="P17" s="84" t="inlineStr">
        <is>
          <t>Several teams or a practice</t>
        </is>
      </c>
      <c r="Q17" s="84" t="inlineStr">
        <is>
          <t>Already works at C1: Sub-function results or domain quality across products</t>
        </is>
      </c>
      <c r="R17" s="34" t="inlineStr">
        <is>
          <t>L</t>
        </is>
      </c>
      <c r="S17" s="56" t="inlineStr">
        <is>
          <t>Works at B2: IC: guides others in the domain · People: manages a team of 6+</t>
        </is>
      </c>
      <c r="T17" s="56" t="inlineStr">
        <is>
          <t>IC: leads a practice · People: team leads / managers report in</t>
        </is>
      </c>
      <c r="U17" s="56" t="inlineStr">
        <is>
          <t>Already works at C1: Leads managers or a community of practice</t>
        </is>
      </c>
      <c r="V17" s="34" t="inlineStr">
        <is>
          <t>L</t>
        </is>
      </c>
      <c r="W17" s="56" t="inlineStr">
        <is>
          <t>Works at B2: Visible effect on a team's or client portfolio's revenue, quality or compliance</t>
        </is>
      </c>
      <c r="X17" s="56" t="inlineStr">
        <is>
          <t>Shapes the results of a practice or several teams</t>
        </is>
      </c>
      <c r="Y17" s="56" t="inlineStr">
        <is>
          <t>Already works at C1: Changes results across a sub-function or across products</t>
        </is>
      </c>
      <c r="Z17" s="34" t="inlineStr">
        <is>
          <t>L</t>
        </is>
      </c>
      <c r="AA17" s="85" t="inlineStr">
        <is>
          <t>Less experience than the band's typical 8–12 yrs</t>
        </is>
      </c>
      <c r="AB17" s="85" t="inlineStr">
        <is>
          <t>Typical for the band: 8–12 yrs · market 8–13 yrs</t>
        </is>
      </c>
      <c r="AC17" s="85" t="inlineStr">
        <is>
          <t>More experience than the band's typical 8–12 yrs</t>
        </is>
      </c>
      <c r="AD17" s="34" t="inlineStr">
        <is>
          <t>L</t>
        </is>
      </c>
      <c r="AE17" s="85" t="inlineStr">
        <is>
          <t>Below: Graduate or postgraduate; professional qualification preferred</t>
        </is>
      </c>
      <c r="AF17" s="85" t="inlineStr">
        <is>
          <t>Postgraduate or professional qualification preferred</t>
        </is>
      </c>
      <c r="AG17" s="85" t="inlineStr">
        <is>
          <t>Above: Postgraduate / professional qualification preferred</t>
        </is>
      </c>
      <c r="AH17" s="44" t="inlineStr">
        <is>
          <t>51.3 · 17.3 · 9.7 · 5 · 7 · 6 · 4</t>
        </is>
      </c>
      <c r="AI17" s="38" t="inlineStr">
        <is>
          <t>8–13</t>
        </is>
      </c>
      <c r="AJ17" s="38" t="inlineStr">
        <is>
          <t>IC: none · People: 5–8 incl. team leads</t>
        </is>
      </c>
      <c r="AK17" s="38" t="inlineStr">
        <is>
          <t>P5 / M4 · SFIA 5 Ensure, advise</t>
        </is>
      </c>
      <c r="AL17"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8" ht="120" customHeight="1">
      <c r="A18" s="90" t="inlineStr">
        <is>
          <t>B2</t>
        </is>
      </c>
      <c r="B18" s="29" t="inlineStr">
        <is>
          <t>Band B · Specialist / Manager</t>
        </is>
      </c>
      <c r="C18" s="29" t="inlineStr">
        <is>
          <t>Band B · People Manager</t>
        </is>
      </c>
      <c r="D18" s="29" t="inlineStr">
        <is>
          <t>Manager</t>
        </is>
      </c>
      <c r="E18" s="29" t="inlineStr">
        <is>
          <t>— no role at this level today</t>
        </is>
      </c>
      <c r="F18" s="34" t="inlineStr">
        <is>
          <t>H</t>
        </is>
      </c>
      <c r="G18" s="84" t="inlineStr">
        <is>
          <t>Works at B1: Domain specialist work</t>
        </is>
      </c>
      <c r="H18" s="84" t="inlineStr">
        <is>
          <t>Hardest problems in the domain</t>
        </is>
      </c>
      <c r="I18" s="84" t="inlineStr">
        <is>
          <t>Already works at B3: Sets standards for a practice; cross-team problems</t>
        </is>
      </c>
      <c r="J18" s="34" t="inlineStr">
        <is>
          <t>M</t>
        </is>
      </c>
      <c r="K18" s="84" t="inlineStr">
        <is>
          <t>Works at B1: Technical / QC / client calls for the domain</t>
        </is>
      </c>
      <c r="L18" s="84" t="inlineStr">
        <is>
          <t>Allocates people and sets team priorities</t>
        </is>
      </c>
      <c r="M18" s="84" t="inlineStr">
        <is>
          <t>Already works at B3: Commercial / strategic calls for the unit</t>
        </is>
      </c>
      <c r="N18" s="34" t="inlineStr">
        <is>
          <t>M</t>
        </is>
      </c>
      <c r="O18" s="84" t="inlineStr">
        <is>
          <t>Works at B1: A domain or a small team</t>
        </is>
      </c>
      <c r="P18" s="84" t="inlineStr">
        <is>
          <t>One team or a client portfolio</t>
        </is>
      </c>
      <c r="Q18" s="84" t="inlineStr">
        <is>
          <t>Already works at B3: Several teams or a practice</t>
        </is>
      </c>
      <c r="R18" s="34" t="inlineStr">
        <is>
          <t>M</t>
        </is>
      </c>
      <c r="S18" s="56" t="inlineStr">
        <is>
          <t>Works at B1: IC: mentors and reviews · People: hands-on team lead of 3–5</t>
        </is>
      </c>
      <c r="T18" s="56" t="inlineStr">
        <is>
          <t>IC: guides others in the domain · People: manages a team of 6+</t>
        </is>
      </c>
      <c r="U18" s="56" t="inlineStr">
        <is>
          <t>Already works at B3: IC: leads a practice · People: team leads / managers report in</t>
        </is>
      </c>
      <c r="V18" s="34" t="inlineStr">
        <is>
          <t>L</t>
        </is>
      </c>
      <c r="W18" s="56" t="inlineStr">
        <is>
          <t>Works at B1: Moves a module's, product area's or client account's results</t>
        </is>
      </c>
      <c r="X18" s="56" t="inlineStr">
        <is>
          <t>Visible effect on a team's or client portfolio's revenue, quality or compliance</t>
        </is>
      </c>
      <c r="Y18" s="56" t="inlineStr">
        <is>
          <t>Already works at B3: Shapes the results of a practice or several teams</t>
        </is>
      </c>
      <c r="Z18" s="34" t="inlineStr">
        <is>
          <t>L</t>
        </is>
      </c>
      <c r="AA18" s="85" t="inlineStr">
        <is>
          <t>Less experience than the band's typical 6–9 yrs</t>
        </is>
      </c>
      <c r="AB18" s="85" t="inlineStr">
        <is>
          <t>Typical for the band: 6–9 yrs · market 6–10 yrs</t>
        </is>
      </c>
      <c r="AC18" s="85" t="inlineStr">
        <is>
          <t>More experience than the band's typical 6–9 yrs</t>
        </is>
      </c>
      <c r="AD18" s="34" t="inlineStr">
        <is>
          <t>L</t>
        </is>
      </c>
      <c r="AE18" s="85" t="inlineStr">
        <is>
          <t>Below: Graduate + relevant qualification or certification preferred</t>
        </is>
      </c>
      <c r="AF18" s="85" t="inlineStr">
        <is>
          <t>Graduate or postgraduate; professional qualification preferred</t>
        </is>
      </c>
      <c r="AG18" s="85" t="inlineStr">
        <is>
          <t>Above: Postgraduate or professional qualification preferred</t>
        </is>
      </c>
      <c r="AH18" s="44" t="inlineStr">
        <is>
          <t>37 · 18.3 · 11.3 · 15 · 8.7 · 6 · 4</t>
        </is>
      </c>
      <c r="AI18" s="38" t="inlineStr">
        <is>
          <t>6–10</t>
        </is>
      </c>
      <c r="AJ18" s="38" t="inlineStr">
        <is>
          <t>IC: none · People: 6–8 knowledge work, 8–12 standardised delivery</t>
        </is>
      </c>
      <c r="AK18" s="38" t="inlineStr">
        <is>
          <t>P4 / M3 · SFIA 4–5</t>
        </is>
      </c>
      <c r="AL18"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9" ht="120" customHeight="1">
      <c r="A19" s="90" t="inlineStr">
        <is>
          <t>B2</t>
        </is>
      </c>
      <c r="B19" s="29" t="inlineStr">
        <is>
          <t>Band B · Specialist / Manager</t>
        </is>
      </c>
      <c r="C19" s="29" t="inlineStr">
        <is>
          <t>Band B · Specialist / POD Lead</t>
        </is>
      </c>
      <c r="D19" s="29" t="inlineStr">
        <is>
          <t>Senior Specialist</t>
        </is>
      </c>
      <c r="E19" s="29" t="inlineStr">
        <is>
          <t>— no role at this level today</t>
        </is>
      </c>
      <c r="F19" s="34" t="inlineStr">
        <is>
          <t>H</t>
        </is>
      </c>
      <c r="G19" s="84" t="inlineStr">
        <is>
          <t>Works at B1: Domain specialist work</t>
        </is>
      </c>
      <c r="H19" s="84" t="inlineStr">
        <is>
          <t>Hardest problems in the domain</t>
        </is>
      </c>
      <c r="I19" s="84" t="inlineStr">
        <is>
          <t>Already works at B3: Sets standards for a practice; cross-team problems</t>
        </is>
      </c>
      <c r="J19" s="34" t="inlineStr">
        <is>
          <t>M</t>
        </is>
      </c>
      <c r="K19" s="84" t="inlineStr">
        <is>
          <t>Works at B1: Technical / QC / client calls for the domain</t>
        </is>
      </c>
      <c r="L19" s="84" t="inlineStr">
        <is>
          <t>Allocates people and sets team priorities</t>
        </is>
      </c>
      <c r="M19" s="84" t="inlineStr">
        <is>
          <t>Already works at B3: Commercial / strategic calls for the unit</t>
        </is>
      </c>
      <c r="N19" s="34" t="inlineStr">
        <is>
          <t>M</t>
        </is>
      </c>
      <c r="O19" s="84" t="inlineStr">
        <is>
          <t>Works at B1: A domain or a small team</t>
        </is>
      </c>
      <c r="P19" s="84" t="inlineStr">
        <is>
          <t>One team or a client portfolio</t>
        </is>
      </c>
      <c r="Q19" s="84" t="inlineStr">
        <is>
          <t>Already works at B3: Several teams or a practice</t>
        </is>
      </c>
      <c r="R19" s="34" t="inlineStr">
        <is>
          <t>L</t>
        </is>
      </c>
      <c r="S19" s="56" t="inlineStr">
        <is>
          <t>Works at B1: IC: mentors and reviews · People: hands-on team lead of 3–5</t>
        </is>
      </c>
      <c r="T19" s="56" t="inlineStr">
        <is>
          <t>IC: guides others in the domain · People: manages a team of 6+</t>
        </is>
      </c>
      <c r="U19" s="56" t="inlineStr">
        <is>
          <t>Already works at B3: IC: leads a practice · People: team leads / managers report in</t>
        </is>
      </c>
      <c r="V19" s="34" t="inlineStr">
        <is>
          <t>L</t>
        </is>
      </c>
      <c r="W19" s="56" t="inlineStr">
        <is>
          <t>Works at B1: Moves a module's, product area's or client account's results</t>
        </is>
      </c>
      <c r="X19" s="56" t="inlineStr">
        <is>
          <t>Visible effect on a team's or client portfolio's revenue, quality or compliance</t>
        </is>
      </c>
      <c r="Y19" s="56" t="inlineStr">
        <is>
          <t>Already works at B3: Shapes the results of a practice or several teams</t>
        </is>
      </c>
      <c r="Z19" s="34" t="inlineStr">
        <is>
          <t>L</t>
        </is>
      </c>
      <c r="AA19" s="85" t="inlineStr">
        <is>
          <t>Less experience than the band's typical 6–9 yrs</t>
        </is>
      </c>
      <c r="AB19" s="85" t="inlineStr">
        <is>
          <t>Typical for the band: 6–9 yrs · market 6–10 yrs</t>
        </is>
      </c>
      <c r="AC19" s="85" t="inlineStr">
        <is>
          <t>More experience than the band's typical 6–9 yrs</t>
        </is>
      </c>
      <c r="AD19" s="34" t="inlineStr">
        <is>
          <t>L</t>
        </is>
      </c>
      <c r="AE19" s="85" t="inlineStr">
        <is>
          <t>Below: Graduate + relevant qualification or certification preferred</t>
        </is>
      </c>
      <c r="AF19" s="85" t="inlineStr">
        <is>
          <t>Graduate or postgraduate; professional qualification preferred</t>
        </is>
      </c>
      <c r="AG19" s="85" t="inlineStr">
        <is>
          <t>Above: Postgraduate or professional qualification preferred</t>
        </is>
      </c>
      <c r="AH19" s="44" t="inlineStr">
        <is>
          <t>51.3 · 17.3 · 9.7 · 5 · 7 · 6 · 4</t>
        </is>
      </c>
      <c r="AI19" s="38" t="inlineStr">
        <is>
          <t>6–10</t>
        </is>
      </c>
      <c r="AJ19" s="38" t="inlineStr">
        <is>
          <t>IC: none · People: 6–8 knowledge work, 8–12 standardised delivery</t>
        </is>
      </c>
      <c r="AK19" s="38" t="inlineStr">
        <is>
          <t>P4 / M3 · SFIA 4–5</t>
        </is>
      </c>
      <c r="AL19"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0" ht="120" customHeight="1">
      <c r="A20" s="90" t="inlineStr">
        <is>
          <t>B1</t>
        </is>
      </c>
      <c r="B20" s="29" t="inlineStr">
        <is>
          <t>Band B · Specialist / Manager</t>
        </is>
      </c>
      <c r="C20" s="29" t="inlineStr">
        <is>
          <t>Band B · People Manager</t>
        </is>
      </c>
      <c r="D20" s="29" t="inlineStr">
        <is>
          <t>Team Lead / Asst Manager</t>
        </is>
      </c>
      <c r="E20" s="29" t="inlineStr">
        <is>
          <t>— no role at this level today</t>
        </is>
      </c>
      <c r="F20" s="34" t="inlineStr">
        <is>
          <t>H</t>
        </is>
      </c>
      <c r="G20" s="84" t="inlineStr">
        <is>
          <t>Works at A3: Varied and non-standard work; handles exceptions</t>
        </is>
      </c>
      <c r="H20" s="84" t="inlineStr">
        <is>
          <t>Domain specialist work</t>
        </is>
      </c>
      <c r="I20" s="84" t="inlineStr">
        <is>
          <t>Already works at B2: Hardest problems in the domain</t>
        </is>
      </c>
      <c r="J20" s="34" t="inlineStr">
        <is>
          <t>M</t>
        </is>
      </c>
      <c r="K20" s="84" t="inlineStr">
        <is>
          <t>Works at A3: Technical / QC / client calls on own work</t>
        </is>
      </c>
      <c r="L20" s="84" t="inlineStr">
        <is>
          <t>Technical / QC / client calls for the domain</t>
        </is>
      </c>
      <c r="M20" s="84" t="inlineStr">
        <is>
          <t>Already works at B2: Allocates people and sets team priorities</t>
        </is>
      </c>
      <c r="N20" s="34" t="inlineStr">
        <is>
          <t>M</t>
        </is>
      </c>
      <c r="O20" s="84" t="inlineStr">
        <is>
          <t>Works at A3: A module / process, or work with client or regulatory consequences</t>
        </is>
      </c>
      <c r="P20" s="84" t="inlineStr">
        <is>
          <t>A domain or a small team</t>
        </is>
      </c>
      <c r="Q20" s="84" t="inlineStr">
        <is>
          <t>Already works at B2: One team or a client portfolio</t>
        </is>
      </c>
      <c r="R20" s="34" t="inlineStr">
        <is>
          <t>M</t>
        </is>
      </c>
      <c r="S20" s="56" t="inlineStr">
        <is>
          <t>Works at A3: contributes alone; guides others only informally</t>
        </is>
      </c>
      <c r="T20" s="56" t="inlineStr">
        <is>
          <t>IC: mentors and reviews · People: hands-on team lead of 3–5</t>
        </is>
      </c>
      <c r="U20" s="56" t="inlineStr">
        <is>
          <t>Already works at B2: IC: guides others in the domain · People: manages a team of 6+</t>
        </is>
      </c>
      <c r="V20" s="34" t="inlineStr">
        <is>
          <t>L</t>
        </is>
      </c>
      <c r="W20" s="56" t="inlineStr">
        <is>
          <t>Works at A3: A process or client deliverable depends on this work</t>
        </is>
      </c>
      <c r="X20" s="56" t="inlineStr">
        <is>
          <t>Moves a module's, product area's or client account's results</t>
        </is>
      </c>
      <c r="Y20" s="56" t="inlineStr">
        <is>
          <t>Already works at B2: Visible effect on a team's or client portfolio's revenue, quality or compliance</t>
        </is>
      </c>
      <c r="Z20" s="34" t="inlineStr">
        <is>
          <t>L</t>
        </is>
      </c>
      <c r="AA20" s="85" t="inlineStr">
        <is>
          <t>Less experience than the band's typical 4–7 yrs</t>
        </is>
      </c>
      <c r="AB20" s="85" t="inlineStr">
        <is>
          <t>Typical for the band: 4–7 yrs · market 4–8 yrs</t>
        </is>
      </c>
      <c r="AC20" s="85" t="inlineStr">
        <is>
          <t>More experience than the band's typical 4–7 yrs</t>
        </is>
      </c>
      <c r="AD20" s="34" t="inlineStr">
        <is>
          <t>L</t>
        </is>
      </c>
      <c r="AE20" s="85" t="inlineStr">
        <is>
          <t>Below: Graduate; relevant certification preferred</t>
        </is>
      </c>
      <c r="AF20" s="85" t="inlineStr">
        <is>
          <t>Graduate + relevant qualification or certification preferred</t>
        </is>
      </c>
      <c r="AG20" s="85" t="inlineStr">
        <is>
          <t>Above: Graduate or postgraduate; professional qualification preferred</t>
        </is>
      </c>
      <c r="AH20" s="44" t="inlineStr">
        <is>
          <t>37 · 18.3 · 11.3 · 15 · 8.7 · 6 · 4</t>
        </is>
      </c>
      <c r="AI20" s="38" t="inlineStr">
        <is>
          <t>4–8</t>
        </is>
      </c>
      <c r="AJ20" s="38" t="inlineStr">
        <is>
          <t>IC: none · Team Lead: 3–5</t>
        </is>
      </c>
      <c r="AK20" s="38" t="inlineStr">
        <is>
          <t>P3 / M2 · SFIA 4 Enable</t>
        </is>
      </c>
      <c r="AL20"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1" ht="120" customHeight="1">
      <c r="A21" s="90" t="inlineStr">
        <is>
          <t>B1</t>
        </is>
      </c>
      <c r="B21" s="29" t="inlineStr">
        <is>
          <t>Band B · Specialist / Manager</t>
        </is>
      </c>
      <c r="C21" s="29" t="inlineStr">
        <is>
          <t>Band B · Specialist / POD Lead</t>
        </is>
      </c>
      <c r="D21" s="29" t="inlineStr">
        <is>
          <t>Specialist</t>
        </is>
      </c>
      <c r="E21" s="29" t="inlineStr">
        <is>
          <t>— no role at this level today</t>
        </is>
      </c>
      <c r="F21" s="34" t="inlineStr">
        <is>
          <t>H</t>
        </is>
      </c>
      <c r="G21" s="84" t="inlineStr">
        <is>
          <t>Works at A3: Varied and non-standard work; handles exceptions</t>
        </is>
      </c>
      <c r="H21" s="84" t="inlineStr">
        <is>
          <t>Domain specialist work</t>
        </is>
      </c>
      <c r="I21" s="84" t="inlineStr">
        <is>
          <t>Already works at B2: Hardest problems in the domain</t>
        </is>
      </c>
      <c r="J21" s="34" t="inlineStr">
        <is>
          <t>M</t>
        </is>
      </c>
      <c r="K21" s="84" t="inlineStr">
        <is>
          <t>Works at A3: Technical / QC / client calls on own work</t>
        </is>
      </c>
      <c r="L21" s="84" t="inlineStr">
        <is>
          <t>Technical / QC / client calls for the domain</t>
        </is>
      </c>
      <c r="M21" s="84" t="inlineStr">
        <is>
          <t>Already works at B2: Allocates people and sets team priorities</t>
        </is>
      </c>
      <c r="N21" s="34" t="inlineStr">
        <is>
          <t>M</t>
        </is>
      </c>
      <c r="O21" s="84" t="inlineStr">
        <is>
          <t>Works at A3: A module / process, or work with client or regulatory consequences</t>
        </is>
      </c>
      <c r="P21" s="84" t="inlineStr">
        <is>
          <t>A domain or a small team</t>
        </is>
      </c>
      <c r="Q21" s="84" t="inlineStr">
        <is>
          <t>Already works at B2: One team or a client portfolio</t>
        </is>
      </c>
      <c r="R21" s="34" t="inlineStr">
        <is>
          <t>L</t>
        </is>
      </c>
      <c r="S21" s="56" t="inlineStr">
        <is>
          <t>Works at A3: contributes alone; guides others only informally</t>
        </is>
      </c>
      <c r="T21" s="56" t="inlineStr">
        <is>
          <t>IC: mentors and reviews · People: hands-on team lead of 3–5</t>
        </is>
      </c>
      <c r="U21" s="56" t="inlineStr">
        <is>
          <t>Already works at B2: IC: guides others in the domain · People: manages a team of 6+</t>
        </is>
      </c>
      <c r="V21" s="34" t="inlineStr">
        <is>
          <t>L</t>
        </is>
      </c>
      <c r="W21" s="56" t="inlineStr">
        <is>
          <t>Works at A3: A process or client deliverable depends on this work</t>
        </is>
      </c>
      <c r="X21" s="56" t="inlineStr">
        <is>
          <t>Moves a module's, product area's or client account's results</t>
        </is>
      </c>
      <c r="Y21" s="56" t="inlineStr">
        <is>
          <t>Already works at B2: Visible effect on a team's or client portfolio's revenue, quality or compliance</t>
        </is>
      </c>
      <c r="Z21" s="34" t="inlineStr">
        <is>
          <t>L</t>
        </is>
      </c>
      <c r="AA21" s="85" t="inlineStr">
        <is>
          <t>Less experience than the band's typical 4–7 yrs</t>
        </is>
      </c>
      <c r="AB21" s="85" t="inlineStr">
        <is>
          <t>Typical for the band: 4–7 yrs · market 4–8 yrs</t>
        </is>
      </c>
      <c r="AC21" s="85" t="inlineStr">
        <is>
          <t>More experience than the band's typical 4–7 yrs</t>
        </is>
      </c>
      <c r="AD21" s="34" t="inlineStr">
        <is>
          <t>L</t>
        </is>
      </c>
      <c r="AE21" s="85" t="inlineStr">
        <is>
          <t>Below: Graduate; relevant certification preferred</t>
        </is>
      </c>
      <c r="AF21" s="85" t="inlineStr">
        <is>
          <t>Graduate + relevant qualification or certification preferred</t>
        </is>
      </c>
      <c r="AG21" s="85" t="inlineStr">
        <is>
          <t>Above: Graduate or postgraduate; professional qualification preferred</t>
        </is>
      </c>
      <c r="AH21" s="44" t="inlineStr">
        <is>
          <t>51.3 · 17.3 · 9.7 · 5 · 7 · 6 · 4</t>
        </is>
      </c>
      <c r="AI21" s="38" t="inlineStr">
        <is>
          <t>4–8</t>
        </is>
      </c>
      <c r="AJ21" s="38" t="inlineStr">
        <is>
          <t>IC: none · Team Lead: 3–5</t>
        </is>
      </c>
      <c r="AK21" s="38" t="inlineStr">
        <is>
          <t>P3 / M2 · SFIA 4 Enable</t>
        </is>
      </c>
      <c r="AL21"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2" ht="120" customHeight="1">
      <c r="A22" s="91" t="inlineStr">
        <is>
          <t>A3</t>
        </is>
      </c>
      <c r="B22" s="29" t="inlineStr">
        <is>
          <t>Band A · Practitioner</t>
        </is>
      </c>
      <c r="C22" s="29" t="inlineStr">
        <is>
          <t>Band A · all tracks</t>
        </is>
      </c>
      <c r="D22" s="29" t="inlineStr">
        <is>
          <t>Senior Associate</t>
        </is>
      </c>
      <c r="E22" s="29" t="inlineStr">
        <is>
          <t>— no role at this level today</t>
        </is>
      </c>
      <c r="F22" s="34" t="inlineStr">
        <is>
          <t>H</t>
        </is>
      </c>
      <c r="G22" s="84" t="inlineStr">
        <is>
          <t>Works at A2: Standard work of the discipline</t>
        </is>
      </c>
      <c r="H22" s="84" t="inlineStr">
        <is>
          <t>Varied and non-standard work; handles exceptions</t>
        </is>
      </c>
      <c r="I22" s="84" t="inlineStr">
        <is>
          <t>Already works at B1: Domain specialist work</t>
        </is>
      </c>
      <c r="J22" s="34" t="inlineStr">
        <is>
          <t>M</t>
        </is>
      </c>
      <c r="K22" s="84" t="inlineStr">
        <is>
          <t>Works at A2: Chooses own approach within standards</t>
        </is>
      </c>
      <c r="L22" s="84" t="inlineStr">
        <is>
          <t>Technical / QC / client calls on own work</t>
        </is>
      </c>
      <c r="M22" s="84" t="inlineStr">
        <is>
          <t>Already works at B1: Technical / QC / client calls for the domain</t>
        </is>
      </c>
      <c r="N22" s="34" t="inlineStr">
        <is>
          <t>M</t>
        </is>
      </c>
      <c r="O22" s="84" t="inlineStr">
        <is>
          <t>Works at A2: Own deliverables · accuracy, TAT</t>
        </is>
      </c>
      <c r="P22" s="84" t="inlineStr">
        <is>
          <t>A module / process, or work with client or regulatory consequences</t>
        </is>
      </c>
      <c r="Q22" s="84" t="inlineStr">
        <is>
          <t>Already works at B1: A domain or a small team</t>
        </is>
      </c>
      <c r="R22" s="34" t="inlineStr">
        <is>
          <t>L</t>
        </is>
      </c>
      <c r="S22" s="56" t="inlineStr">
        <is>
          <t>Works at A2: contributes alone; guides others only informally</t>
        </is>
      </c>
      <c r="T22" s="56" t="inlineStr">
        <is>
          <t>Helps peers and newer people informally · None · guides 1–3 juniors informally</t>
        </is>
      </c>
      <c r="U22" s="56" t="inlineStr">
        <is>
          <t>Already works at B1: IC: mentors and reviews · People: hands-on team lead of 3–5</t>
        </is>
      </c>
      <c r="V22" s="34" t="inlineStr">
        <is>
          <t>L</t>
        </is>
      </c>
      <c r="W22" s="56" t="inlineStr">
        <is>
          <t>Works at A2: Own deliverables feed a team's output and turnaround</t>
        </is>
      </c>
      <c r="X22" s="56" t="inlineStr">
        <is>
          <t>A process or client deliverable depends on this work</t>
        </is>
      </c>
      <c r="Y22" s="56" t="inlineStr">
        <is>
          <t>Already works at B1: Moves a module's, product area's or client account's results</t>
        </is>
      </c>
      <c r="Z22" s="34" t="inlineStr">
        <is>
          <t>L</t>
        </is>
      </c>
      <c r="AA22" s="85" t="inlineStr">
        <is>
          <t>Less experience than the band's typical 2–4 yrs</t>
        </is>
      </c>
      <c r="AB22" s="85" t="inlineStr">
        <is>
          <t>Typical for the band: 2–4 yrs · market 2–5 yrs</t>
        </is>
      </c>
      <c r="AC22" s="85" t="inlineStr">
        <is>
          <t>More experience than the band's typical 2–4 yrs</t>
        </is>
      </c>
      <c r="AD22" s="34" t="inlineStr">
        <is>
          <t>L</t>
        </is>
      </c>
      <c r="AE22" s="85" t="inlineStr">
        <is>
          <t>Below: Graduate · or diploma with experience</t>
        </is>
      </c>
      <c r="AF22" s="85" t="inlineStr">
        <is>
          <t>Graduate; relevant certification preferred</t>
        </is>
      </c>
      <c r="AG22" s="85" t="inlineStr">
        <is>
          <t>Above: Graduate + relevant qualification or certification preferred</t>
        </is>
      </c>
      <c r="AH22" s="44" t="inlineStr">
        <is>
          <t>58.3 · 16 · 9 · 0 · 6.3 · 6 · 4</t>
        </is>
      </c>
      <c r="AI22" s="38" t="inlineStr">
        <is>
          <t>2–5</t>
        </is>
      </c>
      <c r="AJ22" s="38" t="inlineStr">
        <is>
          <t>None · guides 1–3 juniors informally</t>
        </is>
      </c>
      <c r="AK22" s="38" t="inlineStr">
        <is>
          <t>P2 · SFIA 3 Apply</t>
        </is>
      </c>
      <c r="AL22"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3" ht="120" customHeight="1">
      <c r="A23" s="91" t="inlineStr">
        <is>
          <t>A2</t>
        </is>
      </c>
      <c r="B23" s="29" t="inlineStr">
        <is>
          <t>Band A · Practitioner</t>
        </is>
      </c>
      <c r="C23" s="29" t="inlineStr">
        <is>
          <t>Band A · all tracks</t>
        </is>
      </c>
      <c r="D23" s="29" t="inlineStr">
        <is>
          <t>Associate</t>
        </is>
      </c>
      <c r="E23" s="29" t="inlineStr">
        <is>
          <t>— no role at this level today</t>
        </is>
      </c>
      <c r="F23" s="34" t="inlineStr">
        <is>
          <t>H</t>
        </is>
      </c>
      <c r="G23" s="84" t="inlineStr">
        <is>
          <t>Works at A1: Learning; follows worked examples</t>
        </is>
      </c>
      <c r="H23" s="84" t="inlineStr">
        <is>
          <t>Standard work of the discipline</t>
        </is>
      </c>
      <c r="I23" s="84" t="inlineStr">
        <is>
          <t>Already works at A3: Varied and non-standard work; handles exceptions</t>
        </is>
      </c>
      <c r="J23" s="34" t="inlineStr">
        <is>
          <t>M</t>
        </is>
      </c>
      <c r="K23" s="84" t="inlineStr">
        <is>
          <t>Works at A1: Needs approval / close guidance</t>
        </is>
      </c>
      <c r="L23" s="84" t="inlineStr">
        <is>
          <t>Chooses own approach within standards</t>
        </is>
      </c>
      <c r="M23" s="84" t="inlineStr">
        <is>
          <t>Already works at A3: Technical / QC / client calls on own work</t>
        </is>
      </c>
      <c r="N23" s="34" t="inlineStr">
        <is>
          <t>M</t>
        </is>
      </c>
      <c r="O23" s="84" t="inlineStr">
        <is>
          <t>Works at A1: Learning tasks</t>
        </is>
      </c>
      <c r="P23" s="84" t="inlineStr">
        <is>
          <t>Own deliverables · accuracy, TAT</t>
        </is>
      </c>
      <c r="Q23" s="84" t="inlineStr">
        <is>
          <t>Already works at A3: A module / process, or work with client or regulatory consequences</t>
        </is>
      </c>
      <c r="R23" s="34" t="inlineStr">
        <is>
          <t>L</t>
        </is>
      </c>
      <c r="S23" s="56" t="inlineStr">
        <is>
          <t>Works at A1: contributes alone; guides others only informally</t>
        </is>
      </c>
      <c r="T23" s="56" t="inlineStr">
        <is>
          <t>Helps peers and newer people informally · No direct reports</t>
        </is>
      </c>
      <c r="U23" s="56" t="inlineStr">
        <is>
          <t>Already works at A3: Not scored in Band A</t>
        </is>
      </c>
      <c r="V23" s="34" t="inlineStr">
        <is>
          <t>L</t>
        </is>
      </c>
      <c r="W23" s="56" t="inlineStr">
        <is>
          <t>Works at A1: Learning; little direct effect on business results yet</t>
        </is>
      </c>
      <c r="X23" s="56" t="inlineStr">
        <is>
          <t>Own deliverables feed a team's output and turnaround</t>
        </is>
      </c>
      <c r="Y23" s="56" t="inlineStr">
        <is>
          <t>Already works at A3: A process or client deliverable depends on this work</t>
        </is>
      </c>
      <c r="Z23" s="34" t="inlineStr">
        <is>
          <t>L</t>
        </is>
      </c>
      <c r="AA23" s="85" t="inlineStr">
        <is>
          <t>Less experience than the band's typical 0–2 yrs</t>
        </is>
      </c>
      <c r="AB23" s="85" t="inlineStr">
        <is>
          <t>Typical for the band: 0–2 yrs · market 0–3 yrs</t>
        </is>
      </c>
      <c r="AC23" s="85" t="inlineStr">
        <is>
          <t>More experience than the band's typical 0–2 yrs</t>
        </is>
      </c>
      <c r="AD23" s="34" t="inlineStr">
        <is>
          <t>L</t>
        </is>
      </c>
      <c r="AE23" s="85" t="inlineStr">
        <is>
          <t>Below: Pursuing or completed graduation / diploma</t>
        </is>
      </c>
      <c r="AF23" s="85" t="inlineStr">
        <is>
          <t>Graduate · or diploma with experience</t>
        </is>
      </c>
      <c r="AG23" s="85" t="inlineStr">
        <is>
          <t>Above: Graduate; relevant certification preferred</t>
        </is>
      </c>
      <c r="AH23" s="44" t="inlineStr">
        <is>
          <t>58.3 · 16 · 9 · 0 · 6.3 · 6 · 4</t>
        </is>
      </c>
      <c r="AI23" s="38" t="inlineStr">
        <is>
          <t>0–3</t>
        </is>
      </c>
      <c r="AJ23" s="38" t="inlineStr">
        <is>
          <t>No direct reports</t>
        </is>
      </c>
      <c r="AK23" s="38" t="inlineStr">
        <is>
          <t>P1–P2 · SFIA 2 Assist</t>
        </is>
      </c>
      <c r="AL23"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4" ht="120" customHeight="1">
      <c r="A24" s="91" t="inlineStr">
        <is>
          <t>A1</t>
        </is>
      </c>
      <c r="B24" s="29" t="inlineStr">
        <is>
          <t>Band A · Practitioner</t>
        </is>
      </c>
      <c r="C24" s="29" t="inlineStr">
        <is>
          <t>Band A · all tracks</t>
        </is>
      </c>
      <c r="D24" s="29" t="inlineStr">
        <is>
          <t>Intern / Trainee</t>
        </is>
      </c>
      <c r="E24" s="29" t="inlineStr">
        <is>
          <t>— no role at this level today</t>
        </is>
      </c>
      <c r="F24" s="34" t="inlineStr">
        <is>
          <t>H</t>
        </is>
      </c>
      <c r="G24" s="84" t="inlineStr">
        <is>
          <t>Not yet at the entry standard · in induction</t>
        </is>
      </c>
      <c r="H24" s="84" t="inlineStr">
        <is>
          <t>Learning; follows worked examples</t>
        </is>
      </c>
      <c r="I24" s="84" t="inlineStr">
        <is>
          <t>Already works at A2: Standard work of the discipline</t>
        </is>
      </c>
      <c r="J24" s="34" t="inlineStr">
        <is>
          <t>M</t>
        </is>
      </c>
      <c r="K24" s="84" t="inlineStr">
        <is>
          <t>Not yet at the entry standard · in induction</t>
        </is>
      </c>
      <c r="L24" s="84" t="inlineStr">
        <is>
          <t>Needs approval / close guidance</t>
        </is>
      </c>
      <c r="M24" s="84" t="inlineStr">
        <is>
          <t>Already works at A2: Chooses own approach within standards</t>
        </is>
      </c>
      <c r="N24" s="34" t="inlineStr">
        <is>
          <t>M</t>
        </is>
      </c>
      <c r="O24" s="84" t="inlineStr">
        <is>
          <t>Not yet at the entry standard · in induction</t>
        </is>
      </c>
      <c r="P24" s="84" t="inlineStr">
        <is>
          <t>Learning tasks</t>
        </is>
      </c>
      <c r="Q24" s="84" t="inlineStr">
        <is>
          <t>Already works at A2: Own deliverables · accuracy, TAT</t>
        </is>
      </c>
      <c r="R24" s="34" t="inlineStr">
        <is>
          <t>L</t>
        </is>
      </c>
      <c r="S24" s="56" t="inlineStr">
        <is>
          <t>Not yet at the entry standard · in induction</t>
        </is>
      </c>
      <c r="T24" s="56" t="inlineStr">
        <is>
          <t>Helps peers and newer people informally · No direct reports</t>
        </is>
      </c>
      <c r="U24" s="56" t="inlineStr">
        <is>
          <t>Already works at A2: Not scored in Band A</t>
        </is>
      </c>
      <c r="V24" s="34" t="inlineStr">
        <is>
          <t>L</t>
        </is>
      </c>
      <c r="W24" s="56" t="inlineStr">
        <is>
          <t>Not yet at the entry standard · in induction</t>
        </is>
      </c>
      <c r="X24" s="56" t="inlineStr">
        <is>
          <t>Learning; little direct effect on business results yet</t>
        </is>
      </c>
      <c r="Y24" s="56" t="inlineStr">
        <is>
          <t>Already works at A2: Own deliverables feed a team's output and turnaround</t>
        </is>
      </c>
      <c r="Z24" s="34" t="inlineStr">
        <is>
          <t>L</t>
        </is>
      </c>
      <c r="AA24" s="85" t="inlineStr">
        <is>
          <t>Less experience than the band's typical 0 yrs · fresher / intern</t>
        </is>
      </c>
      <c r="AB24" s="85" t="inlineStr">
        <is>
          <t>Typical for the band: 0 yrs · fresher / intern · market — yrs</t>
        </is>
      </c>
      <c r="AC24" s="85" t="inlineStr">
        <is>
          <t>More experience than the band's typical 0 yrs · fresher / intern</t>
        </is>
      </c>
      <c r="AD24" s="34" t="inlineStr">
        <is>
          <t>L</t>
        </is>
      </c>
      <c r="AE24" s="85" t="inlineStr">
        <is>
          <t>Below graduation · still studying</t>
        </is>
      </c>
      <c r="AF24" s="85" t="inlineStr">
        <is>
          <t>Pursuing or completed graduation / diploma</t>
        </is>
      </c>
      <c r="AG24" s="85" t="inlineStr">
        <is>
          <t>Above: Graduate · or diploma with experience</t>
        </is>
      </c>
      <c r="AH24" s="44" t="inlineStr">
        <is>
          <t>58.3 · 16 · 9 · 0 · 6.3 · 6 · 4</t>
        </is>
      </c>
      <c r="AI24" s="38" t="inlineStr">
        <is>
          <t>0 yrs · fresher / intern</t>
        </is>
      </c>
      <c r="AJ24" s="38" t="inlineStr">
        <is>
          <t>No direct reports</t>
        </is>
      </c>
      <c r="AK24" s="38" t="inlineStr">
        <is>
          <t>Entry / P1 · intern · SFIA 1 Follow</t>
        </is>
      </c>
      <c r="AL24"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sheetData>
  <autoFilter ref="A5:AL24"/>
  <mergeCells count="1">
    <mergeCell ref="A2:N2"/>
  </mergeCells>
  <dataValidations count="1">
    <dataValidation sqref="F6 F7 F8 F9 F10 F11 F12 F13 F14 F15 F16 F17 F18 F19 F20 F21 F22 F23 F24 J6 J7 J8 J9 J10 J11 J12 J13 J14 J15 J16 J17 J18 J19 J20 J21 J22 J23 J24 N6 N7 N8 N9 N10 N11 N12 N13 N14 N15 N16 N17 N18 N19 N20 N21 N22 N23 N24 R6 R7 R8 R9 R10 R11 R12 R13 R14 R15 R16 R17 R18 R19 R20 R21 R22 R23 R24 V6 V7 V8 V9 V10 V11 V12 V13 V14 V15 V16 V17 V18 V19 V20 V21 V22 V23 V24 Z6 Z7 Z8 Z9 Z10 Z11 Z12 Z13 Z14 Z15 Z16 Z17 Z18 Z19 Z20 Z21 Z22 Z23 Z24 AD6 AD7 AD8 AD9 AD10 AD11 AD12 AD13 AD14 AD15 AD16 AD17 AD18 AD19 AD20 AD21 AD22 AD23 AD24" showDropDown="0" showInputMessage="0" showErrorMessage="0" allowBlank="1" type="list">
      <formula1>LIST_LMH</formula1>
    </dataValidation>
  </dataValidations>
  <hyperlinks>
    <hyperlink xmlns:r="http://schemas.openxmlformats.org/officeDocument/2006/relationships" ref="O1" r:id="rId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L24"/>
  <sheetViews>
    <sheetView zoomScale="85" workbookViewId="0">
      <pane xSplit="5" ySplit="5" topLeftCell="F6" activePane="bottomRight" state="frozen"/>
      <selection pane="topRight"/>
      <selection pane="bottomLeft"/>
      <selection pane="bottomRight" activeCell="A1" sqref="A1"/>
    </sheetView>
  </sheetViews>
  <sheetFormatPr baseColWidth="8" defaultRowHeight="15"/>
  <cols>
    <col width="7" customWidth="1" min="1" max="1"/>
    <col width="16" customWidth="1" min="2" max="2"/>
    <col width="18" customWidth="1" min="3" max="3"/>
    <col width="20" customWidth="1" min="4" max="4"/>
    <col width="34" customWidth="1" min="5" max="5"/>
    <col width="9" customWidth="1" min="6" max="6"/>
    <col width="30" customWidth="1" min="7" max="7"/>
    <col width="34" customWidth="1" min="8" max="8"/>
    <col width="30" customWidth="1" min="9" max="9"/>
    <col width="9" customWidth="1" min="10" max="10"/>
    <col width="30" customWidth="1" min="11" max="11"/>
    <col width="34" customWidth="1" min="12" max="12"/>
    <col width="30" customWidth="1" min="13" max="13"/>
    <col width="9" customWidth="1" min="14" max="14"/>
    <col width="30" customWidth="1" min="15" max="15"/>
    <col width="34" customWidth="1" min="16" max="16"/>
    <col width="30" customWidth="1" min="17" max="17"/>
    <col width="9" customWidth="1" min="18" max="18"/>
    <col width="30" customWidth="1" min="19" max="19"/>
    <col width="34" customWidth="1" min="20" max="20"/>
    <col width="30" customWidth="1" min="21" max="21"/>
    <col width="9" customWidth="1" min="22" max="22"/>
    <col width="30" customWidth="1" min="23" max="23"/>
    <col width="34" customWidth="1" min="24" max="24"/>
    <col width="30" customWidth="1" min="25" max="25"/>
    <col width="9" customWidth="1" min="26" max="26"/>
    <col width="30" customWidth="1" min="27" max="27"/>
    <col width="34" customWidth="1" min="28" max="28"/>
    <col width="30" customWidth="1" min="29" max="29"/>
    <col width="9" customWidth="1" min="30" max="30"/>
    <col width="30" customWidth="1" min="31" max="31"/>
    <col width="34" customWidth="1" min="32" max="32"/>
    <col width="30" customWidth="1" min="33" max="33"/>
    <col width="26" customWidth="1" min="34" max="34"/>
    <col width="16" customWidth="1" min="35" max="35"/>
    <col width="22" customWidth="1" min="36" max="36"/>
    <col width="18" customWidth="1" min="37" max="37"/>
    <col width="40" customWidth="1" min="38" max="38"/>
  </cols>
  <sheetData>
    <row r="1" ht="24" customHeight="1">
      <c r="A1" s="1" t="inlineStr">
        <is>
          <t>Role &amp; band matrix — Executive Leadership</t>
        </is>
      </c>
      <c r="O1" s="7" t="inlineStr">
        <is>
          <t>◂ Start</t>
        </is>
      </c>
    </row>
    <row r="2" ht="30" customHeight="1">
      <c r="A2" s="2" t="inlineStr">
        <is>
          <t>What Low, Medium and High mean for each of the seven parameters at every level of Executive Leadership, and how much each parameter counts · main type of work: General management. Medium is the band as described; Low is the level below; High is the level above. Change a yellow weightage and every role, department ladder and person in this family recalculates.</t>
        </is>
      </c>
    </row>
    <row r="3">
      <c r="A3" s="3" t="inlineStr">
        <is>
          <t>IRIS · Job Architecture &amp; Job Design · Final v1.15 · October 2026 · Internal — Confidential · HR only</t>
        </is>
      </c>
    </row>
    <row r="4" ht="30" customHeight="1">
      <c r="A4" s="6" t="inlineStr">
        <is>
          <t>LEVEL</t>
        </is>
      </c>
      <c r="B4" s="6" t="n"/>
      <c r="C4" s="6" t="n"/>
      <c r="D4" s="6" t="n"/>
      <c r="E4" s="6" t="n"/>
      <c r="F4" s="45" t="inlineStr">
        <is>
          <t>COMPLEXITY &amp; EXPERTISE</t>
        </is>
      </c>
      <c r="G4" s="45" t="n"/>
      <c r="H4" s="45" t="n"/>
      <c r="I4" s="45" t="n"/>
      <c r="J4" s="45" t="inlineStr">
        <is>
          <t>AUTONOMY &amp; DECISION</t>
        </is>
      </c>
      <c r="K4" s="45" t="n"/>
      <c r="L4" s="45" t="n"/>
      <c r="M4" s="45" t="n"/>
      <c r="N4" s="45" t="inlineStr">
        <is>
          <t>ACCOUNTABILITY &amp; IMPACT</t>
        </is>
      </c>
      <c r="O4" s="45" t="n"/>
      <c r="P4" s="45" t="n"/>
      <c r="Q4" s="45" t="n"/>
      <c r="R4" s="47" t="inlineStr">
        <is>
          <t>LEADERSHIP &amp; STRATEGY</t>
        </is>
      </c>
      <c r="S4" s="47" t="n"/>
      <c r="T4" s="47" t="n"/>
      <c r="U4" s="47" t="n"/>
      <c r="V4" s="47" t="inlineStr">
        <is>
          <t>BUSINESS IMPACT</t>
        </is>
      </c>
      <c r="W4" s="47" t="n"/>
      <c r="X4" s="47" t="n"/>
      <c r="Y4" s="47" t="n"/>
      <c r="Z4" s="81" t="inlineStr">
        <is>
          <t>EXPERIENCE</t>
        </is>
      </c>
      <c r="AA4" s="81" t="n"/>
      <c r="AB4" s="81" t="n"/>
      <c r="AC4" s="81" t="n"/>
      <c r="AD4" s="81" t="inlineStr">
        <is>
          <t>EDUCATION</t>
        </is>
      </c>
      <c r="AE4" s="81" t="n"/>
      <c r="AF4" s="81" t="n"/>
      <c r="AG4" s="81" t="n"/>
      <c r="AH4" s="20" t="inlineStr">
        <is>
          <t>MARKET BENCHMARK &amp; REFERENCES</t>
        </is>
      </c>
      <c r="AI4" s="20" t="n"/>
      <c r="AJ4" s="20" t="n"/>
      <c r="AK4" s="20" t="n"/>
      <c r="AL4" s="20" t="n"/>
    </row>
    <row r="5" ht="60" customHeight="1">
      <c r="A5" s="22" t="inlineStr">
        <is>
          <t>Level</t>
        </is>
      </c>
      <c r="B5" s="22" t="inlineStr">
        <is>
          <t>Band</t>
        </is>
      </c>
      <c r="C5" s="22" t="inlineStr">
        <is>
          <t>Role group</t>
        </is>
      </c>
      <c r="D5" s="22" t="inlineStr">
        <is>
          <t>Level title</t>
        </is>
      </c>
      <c r="E5" s="22" t="inlineStr">
        <is>
          <t>Roles at this level in this family</t>
        </is>
      </c>
      <c r="F5" s="48" t="inlineStr">
        <is>
          <t>Weightage · L/M/H</t>
        </is>
      </c>
      <c r="G5" s="48" t="inlineStr">
        <is>
          <t>Low</t>
        </is>
      </c>
      <c r="H5" s="48" t="inlineStr">
        <is>
          <t>Medium</t>
        </is>
      </c>
      <c r="I5" s="48" t="inlineStr">
        <is>
          <t>High</t>
        </is>
      </c>
      <c r="J5" s="48" t="inlineStr">
        <is>
          <t>Weightage · L/M/H</t>
        </is>
      </c>
      <c r="K5" s="48" t="inlineStr">
        <is>
          <t>Low</t>
        </is>
      </c>
      <c r="L5" s="48" t="inlineStr">
        <is>
          <t>Medium</t>
        </is>
      </c>
      <c r="M5" s="48" t="inlineStr">
        <is>
          <t>High</t>
        </is>
      </c>
      <c r="N5" s="48" t="inlineStr">
        <is>
          <t>Weightage · L/M/H</t>
        </is>
      </c>
      <c r="O5" s="48" t="inlineStr">
        <is>
          <t>Low</t>
        </is>
      </c>
      <c r="P5" s="48" t="inlineStr">
        <is>
          <t>Medium</t>
        </is>
      </c>
      <c r="Q5" s="48" t="inlineStr">
        <is>
          <t>High</t>
        </is>
      </c>
      <c r="R5" s="50" t="inlineStr">
        <is>
          <t>Weightage · L/M/H</t>
        </is>
      </c>
      <c r="S5" s="50" t="inlineStr">
        <is>
          <t>Low</t>
        </is>
      </c>
      <c r="T5" s="50" t="inlineStr">
        <is>
          <t>Medium</t>
        </is>
      </c>
      <c r="U5" s="50" t="inlineStr">
        <is>
          <t>High</t>
        </is>
      </c>
      <c r="V5" s="50" t="inlineStr">
        <is>
          <t>Weightage · L/M/H</t>
        </is>
      </c>
      <c r="W5" s="50" t="inlineStr">
        <is>
          <t>Low</t>
        </is>
      </c>
      <c r="X5" s="50" t="inlineStr">
        <is>
          <t>Medium</t>
        </is>
      </c>
      <c r="Y5" s="50" t="inlineStr">
        <is>
          <t>High</t>
        </is>
      </c>
      <c r="Z5" s="82" t="inlineStr">
        <is>
          <t>Weightage · L/M/H</t>
        </is>
      </c>
      <c r="AA5" s="82" t="inlineStr">
        <is>
          <t>Low</t>
        </is>
      </c>
      <c r="AB5" s="82" t="inlineStr">
        <is>
          <t>Medium</t>
        </is>
      </c>
      <c r="AC5" s="82" t="inlineStr">
        <is>
          <t>High</t>
        </is>
      </c>
      <c r="AD5" s="82" t="inlineStr">
        <is>
          <t>Weightage · L/M/H</t>
        </is>
      </c>
      <c r="AE5" s="82" t="inlineStr">
        <is>
          <t>Low</t>
        </is>
      </c>
      <c r="AF5" s="82" t="inlineStr">
        <is>
          <t>Medium</t>
        </is>
      </c>
      <c r="AG5" s="82" t="inlineStr">
        <is>
          <t>High</t>
        </is>
      </c>
      <c r="AH5" s="26" t="inlineStr">
        <is>
          <t>Market weight % · C · Au · Ac · L · BI · Exp · Edu</t>
        </is>
      </c>
      <c r="AI5" s="26" t="inlineStr">
        <is>
          <t>Market experience · yrs</t>
        </is>
      </c>
      <c r="AJ5" s="26" t="inlineStr">
        <is>
          <t>Span norm</t>
        </is>
      </c>
      <c r="AK5" s="26" t="inlineStr">
        <is>
          <t>Radford / Mercer · SFIA 9</t>
        </is>
      </c>
      <c r="AL5" s="26" t="inlineStr">
        <is>
          <t>References</t>
        </is>
      </c>
    </row>
    <row r="6" ht="120" customHeight="1">
      <c r="A6" s="83" t="inlineStr">
        <is>
          <t>E2</t>
        </is>
      </c>
      <c r="B6" s="29" t="inlineStr">
        <is>
          <t>Band E · Enterprise leadership</t>
        </is>
      </c>
      <c r="C6" s="29" t="inlineStr">
        <is>
          <t>Bands D–E · Leadership</t>
        </is>
      </c>
      <c r="D6" s="29" t="inlineStr">
        <is>
          <t>Chief Executive Officer</t>
        </is>
      </c>
      <c r="E6" s="29" t="inlineStr">
        <is>
          <t>Enterprise Leadership · Chief Executive Officer</t>
        </is>
      </c>
      <c r="F6" s="34" t="inlineStr">
        <is>
          <t>H</t>
        </is>
      </c>
      <c r="G6" s="84" t="inlineStr">
        <is>
          <t>Works at E1: Enterprise-level functional strategy</t>
        </is>
      </c>
      <c r="H6" s="84" t="inlineStr">
        <is>
          <t>Enterprise-wide uncertainty, transformation and external forces · in Executive Leadership: Management · Sales</t>
        </is>
      </c>
      <c r="I6" s="84" t="inlineStr">
        <is>
          <t>Beyond the role · a board-level mandate</t>
        </is>
      </c>
      <c r="J6" s="34" t="inlineStr">
        <is>
          <t>M</t>
        </is>
      </c>
      <c r="K6" s="84" t="inlineStr">
        <is>
          <t>Works at E1: Sets enterprise priorities for the function</t>
        </is>
      </c>
      <c r="L6" s="84" t="inlineStr">
        <is>
          <t>Accountable to the board</t>
        </is>
      </c>
      <c r="M6" s="84" t="inlineStr">
        <is>
          <t>Beyond the role · a board-level mandate</t>
        </is>
      </c>
      <c r="N6" s="34" t="inlineStr">
        <is>
          <t>M</t>
        </is>
      </c>
      <c r="O6" s="84" t="inlineStr">
        <is>
          <t>Works at E1: Enterprise-wide functional results</t>
        </is>
      </c>
      <c r="P6" s="84" t="inlineStr">
        <is>
          <t>Enterprise results, risk, culture and long-term viability</t>
        </is>
      </c>
      <c r="Q6" s="84" t="inlineStr">
        <is>
          <t>Beyond the role · a board-level mandate</t>
        </is>
      </c>
      <c r="R6" s="34" t="inlineStr">
        <is>
          <t>M</t>
        </is>
      </c>
      <c r="S6" s="56" t="inlineStr">
        <is>
          <t>Works at E1: Shapes enterprise strategy</t>
        </is>
      </c>
      <c r="T6" s="56" t="inlineStr">
        <is>
          <t>Sets enterprise strategy; leads the executive team</t>
        </is>
      </c>
      <c r="U6" s="56" t="inlineStr">
        <is>
          <t>Beyond the role · a board-level mandate</t>
        </is>
      </c>
      <c r="V6" s="34" t="inlineStr">
        <is>
          <t>L</t>
        </is>
      </c>
      <c r="W6" s="56" t="inlineStr">
        <is>
          <t>Works at E1: Shapes company-wide results through a function</t>
        </is>
      </c>
      <c r="X6" s="56" t="inlineStr">
        <is>
          <t>Answers for the whole company's results and long-term value · purpose: Sets enterprise strategy; leads the executive team. At E2: the enterprise.</t>
        </is>
      </c>
      <c r="Y6" s="56" t="inlineStr">
        <is>
          <t>Beyond the role · a board-level mandate</t>
        </is>
      </c>
      <c r="Z6" s="34" t="inlineStr">
        <is>
          <t>L</t>
        </is>
      </c>
      <c r="AA6" s="85" t="inlineStr">
        <is>
          <t>Less experience than the band's typical 20+ yrs</t>
        </is>
      </c>
      <c r="AB6" s="85" t="inlineStr">
        <is>
          <t>Typical for the band: 20+ yrs · market — yrs</t>
        </is>
      </c>
      <c r="AC6" s="85" t="inlineStr">
        <is>
          <t>More experience than the band's typical 20+ yrs</t>
        </is>
      </c>
      <c r="AD6" s="34" t="inlineStr">
        <is>
          <t>L</t>
        </is>
      </c>
      <c r="AE6" s="85" t="inlineStr">
        <is>
          <t>Below: Postgraduate / professional qualification; business leadership record</t>
        </is>
      </c>
      <c r="AF6" s="85" t="inlineStr">
        <is>
          <t>Postgraduate / professional qualification; proven business leadership</t>
        </is>
      </c>
      <c r="AG6" s="85" t="inlineStr">
        <is>
          <t>Board-level credentials beyond the role's need</t>
        </is>
      </c>
      <c r="AH6" s="44" t="inlineStr">
        <is>
          <t>36.3 · 19 · 11.3 · 20 · 8.7 · 4 · 1</t>
        </is>
      </c>
      <c r="AI6" s="38" t="inlineStr">
        <is>
          <t>20+ yrs</t>
        </is>
      </c>
      <c r="AJ6" s="38" t="inlineStr">
        <is>
          <t>Executive team</t>
        </is>
      </c>
      <c r="AK6" s="38" t="inlineStr">
        <is>
          <t>E6 · SFIA 7</t>
        </is>
      </c>
      <c r="AL6"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7" ht="120" customHeight="1">
      <c r="A7" s="83" t="inlineStr">
        <is>
          <t>E1</t>
        </is>
      </c>
      <c r="B7" s="29" t="inlineStr">
        <is>
          <t>Band E · Enterprise leadership</t>
        </is>
      </c>
      <c r="C7" s="29" t="inlineStr">
        <is>
          <t>Bands D–E · Leadership</t>
        </is>
      </c>
      <c r="D7" s="29" t="inlineStr">
        <is>
          <t>CXO / President</t>
        </is>
      </c>
      <c r="E7" s="29" t="inlineStr">
        <is>
          <t>Enterprise Leadership · Chief Revenue Officer · Chief Financial Officer · Chief Operating Officer · Chief Technology Officer</t>
        </is>
      </c>
      <c r="F7" s="34" t="inlineStr">
        <is>
          <t>H</t>
        </is>
      </c>
      <c r="G7" s="84" t="inlineStr">
        <is>
          <t>Works at D2: Portfolio-level strategic, financial and regulatory trade-offs</t>
        </is>
      </c>
      <c r="H7" s="84" t="inlineStr">
        <is>
          <t>Enterprise-level functional strategy · in Executive Leadership: Management · Sales</t>
        </is>
      </c>
      <c r="I7" s="84" t="inlineStr">
        <is>
          <t>Already works at E2: Enterprise-wide uncertainty, transformation and external forces</t>
        </is>
      </c>
      <c r="J7" s="34" t="inlineStr">
        <is>
          <t>M</t>
        </is>
      </c>
      <c r="K7" s="84" t="inlineStr">
        <is>
          <t>Works at D2: Sets direction across business lines</t>
        </is>
      </c>
      <c r="L7" s="84" t="inlineStr">
        <is>
          <t>Sets enterprise priorities for the function</t>
        </is>
      </c>
      <c r="M7" s="84" t="inlineStr">
        <is>
          <t>Already works at E2: Accountable to the board</t>
        </is>
      </c>
      <c r="N7" s="34" t="inlineStr">
        <is>
          <t>M</t>
        </is>
      </c>
      <c r="O7" s="84" t="inlineStr">
        <is>
          <t>Works at D2: Multi-business results</t>
        </is>
      </c>
      <c r="P7" s="84" t="inlineStr">
        <is>
          <t>Enterprise-wide functional results</t>
        </is>
      </c>
      <c r="Q7" s="84" t="inlineStr">
        <is>
          <t>Already works at E2: Enterprise results, risk, culture and long-term viability</t>
        </is>
      </c>
      <c r="R7" s="34" t="inlineStr">
        <is>
          <t>M</t>
        </is>
      </c>
      <c r="S7" s="56" t="inlineStr">
        <is>
          <t>Works at D2: Builds the leadership team across businesses</t>
        </is>
      </c>
      <c r="T7" s="56" t="inlineStr">
        <is>
          <t>Shapes enterprise strategy</t>
        </is>
      </c>
      <c r="U7" s="56" t="inlineStr">
        <is>
          <t>Already works at E2: Sets enterprise strategy; leads the executive team</t>
        </is>
      </c>
      <c r="V7" s="34" t="inlineStr">
        <is>
          <t>L</t>
        </is>
      </c>
      <c r="W7" s="56" t="inlineStr">
        <is>
          <t>Works at D2: Owns the results of several business lines</t>
        </is>
      </c>
      <c r="X7" s="56" t="inlineStr">
        <is>
          <t>Shapes company-wide results through a function · purpose: Sets enterprise strategy; leads the executive team. At E1: an enterprise-wide function.</t>
        </is>
      </c>
      <c r="Y7" s="56" t="inlineStr">
        <is>
          <t>Already works at E2: Answers for the whole company's results and long-term value</t>
        </is>
      </c>
      <c r="Z7" s="34" t="inlineStr">
        <is>
          <t>L</t>
        </is>
      </c>
      <c r="AA7" s="85" t="inlineStr">
        <is>
          <t>Less experience than the band's typical 20+ yrs</t>
        </is>
      </c>
      <c r="AB7" s="85" t="inlineStr">
        <is>
          <t>Typical for the band: 20+ yrs · market — yrs</t>
        </is>
      </c>
      <c r="AC7" s="85" t="inlineStr">
        <is>
          <t>More experience than the band's typical 20+ yrs</t>
        </is>
      </c>
      <c r="AD7" s="34" t="inlineStr">
        <is>
          <t>L</t>
        </is>
      </c>
      <c r="AE7" s="85" t="inlineStr">
        <is>
          <t>Below: Postgraduate / professional qualification preferred</t>
        </is>
      </c>
      <c r="AF7" s="85" t="inlineStr">
        <is>
          <t>Postgraduate / professional qualification; business leadership record</t>
        </is>
      </c>
      <c r="AG7" s="85" t="inlineStr">
        <is>
          <t>Above: Postgraduate / professional qualification; proven business leadership</t>
        </is>
      </c>
      <c r="AH7" s="44" t="inlineStr">
        <is>
          <t>36.3 · 19 · 11.3 · 20 · 8.7 · 4 · 1</t>
        </is>
      </c>
      <c r="AI7" s="38" t="inlineStr">
        <is>
          <t>20+ yrs</t>
        </is>
      </c>
      <c r="AJ7" s="38" t="inlineStr">
        <is>
          <t>5–8 function heads</t>
        </is>
      </c>
      <c r="AK7" s="38" t="inlineStr">
        <is>
          <t>E5 · SFIA 7</t>
        </is>
      </c>
      <c r="AL7"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8" ht="120" customHeight="1">
      <c r="A8" s="86" t="inlineStr">
        <is>
          <t>D2</t>
        </is>
      </c>
      <c r="B8" s="29" t="inlineStr">
        <is>
          <t>Band D · Business leadership</t>
        </is>
      </c>
      <c r="C8" s="29" t="inlineStr">
        <is>
          <t>Bands D–E · Leadership</t>
        </is>
      </c>
      <c r="D8" s="29" t="inlineStr">
        <is>
          <t>Senior Vice President / Business Head</t>
        </is>
      </c>
      <c r="E8" s="29" t="inlineStr">
        <is>
          <t>Business &amp; Functional Leadership · Business Head · Business Head – SupTech &amp; Bank-RegTech · Business Head – DataTech
Business Head · Business Head</t>
        </is>
      </c>
      <c r="F8" s="34" t="inlineStr">
        <is>
          <t>H</t>
        </is>
      </c>
      <c r="G8" s="84" t="inlineStr">
        <is>
          <t>Works at D1: Competing strategic, financial and regulatory priorities</t>
        </is>
      </c>
      <c r="H8" s="84" t="inlineStr">
        <is>
          <t>Portfolio-level strategic, financial and regulatory trade-offs · in Executive Leadership: Product Management</t>
        </is>
      </c>
      <c r="I8" s="84" t="inlineStr">
        <is>
          <t>Already works at E1: Enterprise-level functional strategy</t>
        </is>
      </c>
      <c r="J8" s="34" t="inlineStr">
        <is>
          <t>M</t>
        </is>
      </c>
      <c r="K8" s="84" t="inlineStr">
        <is>
          <t>Works at D1: Sets business-line direction, pricing and investment</t>
        </is>
      </c>
      <c r="L8" s="84" t="inlineStr">
        <is>
          <t>Sets direction across business lines</t>
        </is>
      </c>
      <c r="M8" s="84" t="inlineStr">
        <is>
          <t>Already works at E1: Sets enterprise priorities for the function</t>
        </is>
      </c>
      <c r="N8" s="34" t="inlineStr">
        <is>
          <t>M</t>
        </is>
      </c>
      <c r="O8" s="84" t="inlineStr">
        <is>
          <t>Works at D1: Business-line P&amp;L and market position</t>
        </is>
      </c>
      <c r="P8" s="84" t="inlineStr">
        <is>
          <t>Multi-business results</t>
        </is>
      </c>
      <c r="Q8" s="84" t="inlineStr">
        <is>
          <t>Already works at E1: Enterprise-wide functional results</t>
        </is>
      </c>
      <c r="R8" s="34" t="inlineStr">
        <is>
          <t>M</t>
        </is>
      </c>
      <c r="S8" s="56" t="inlineStr">
        <is>
          <t>Works at D1: Defines business strategy; builds the leadership bench</t>
        </is>
      </c>
      <c r="T8" s="56" t="inlineStr">
        <is>
          <t>Builds the leadership team across businesses</t>
        </is>
      </c>
      <c r="U8" s="56" t="inlineStr">
        <is>
          <t>Already works at E1: Shapes enterprise strategy</t>
        </is>
      </c>
      <c r="V8" s="34" t="inlineStr">
        <is>
          <t>L</t>
        </is>
      </c>
      <c r="W8" s="56" t="inlineStr">
        <is>
          <t>Works at D1: Owns a business line's P&amp;L and growth, or a company-wide function</t>
        </is>
      </c>
      <c r="X8" s="56" t="inlineStr">
        <is>
          <t>Owns the results of several business lines · purpose: Owns a business line or enterprise function end to end. At D2: several business lines or an executive-scope enterprise function.</t>
        </is>
      </c>
      <c r="Y8" s="56" t="inlineStr">
        <is>
          <t>Already works at E1: Shapes company-wide results through a function</t>
        </is>
      </c>
      <c r="Z8" s="34" t="inlineStr">
        <is>
          <t>L</t>
        </is>
      </c>
      <c r="AA8" s="85" t="inlineStr">
        <is>
          <t>Less experience than the band's typical 18–24 yrs</t>
        </is>
      </c>
      <c r="AB8" s="85" t="inlineStr">
        <is>
          <t>Typical for the band: 18–24 yrs · market — yrs</t>
        </is>
      </c>
      <c r="AC8" s="85" t="inlineStr">
        <is>
          <t>More experience than the band's typical 18–24 yrs</t>
        </is>
      </c>
      <c r="AD8" s="34" t="inlineStr">
        <is>
          <t>L</t>
        </is>
      </c>
      <c r="AE8" s="85" t="inlineStr">
        <is>
          <t>Below: Postgraduate / professional qualification preferred</t>
        </is>
      </c>
      <c r="AF8" s="85" t="inlineStr">
        <is>
          <t>Postgraduate / professional qualification preferred</t>
        </is>
      </c>
      <c r="AG8" s="85" t="inlineStr">
        <is>
          <t>Above: Postgraduate / professional qualification; business leadership record</t>
        </is>
      </c>
      <c r="AH8" s="44" t="inlineStr">
        <is>
          <t>36.3 · 19 · 11.3 · 20 · 8.7 · 4 · 1</t>
        </is>
      </c>
      <c r="AI8" s="38" t="inlineStr">
        <is>
          <t>18–24 yrs</t>
        </is>
      </c>
      <c r="AJ8" s="38" t="inlineStr">
        <is>
          <t>5–8 AVPs / heads</t>
        </is>
      </c>
      <c r="AK8" s="38" t="inlineStr">
        <is>
          <t>E3–E4 · SFIA 7 Set strategy</t>
        </is>
      </c>
      <c r="AL8"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9" ht="120" customHeight="1">
      <c r="A9" s="86" t="inlineStr">
        <is>
          <t>D1</t>
        </is>
      </c>
      <c r="B9" s="29" t="inlineStr">
        <is>
          <t>Band D · Business leadership</t>
        </is>
      </c>
      <c r="C9" s="29" t="inlineStr">
        <is>
          <t>Bands D–E · Leadership</t>
        </is>
      </c>
      <c r="D9" s="29" t="inlineStr">
        <is>
          <t>Associate Vice President</t>
        </is>
      </c>
      <c r="E9" s="29" t="inlineStr">
        <is>
          <t>Business &amp; Functional Leadership · Senior Vice President – Customer Experience · Business Head – iDEAL
Business Head · Business Head – iDEAL</t>
        </is>
      </c>
      <c r="F9" s="34" t="inlineStr">
        <is>
          <t>H</t>
        </is>
      </c>
      <c r="G9" s="84" t="inlineStr">
        <is>
          <t>Works at C2: Function-wide or company-wide problems; creates methods and standards</t>
        </is>
      </c>
      <c r="H9" s="84" t="inlineStr">
        <is>
          <t>Competing strategic, financial and regulatory priorities · in Executive Leadership: Product Management</t>
        </is>
      </c>
      <c r="I9" s="84" t="inlineStr">
        <is>
          <t>Already works at D2: Portfolio-level strategic, financial and regulatory trade-offs</t>
        </is>
      </c>
      <c r="J9" s="34" t="inlineStr">
        <is>
          <t>M</t>
        </is>
      </c>
      <c r="K9" s="84" t="inlineStr">
        <is>
          <t>Works at C2: Sets direction for a function</t>
        </is>
      </c>
      <c r="L9" s="84" t="inlineStr">
        <is>
          <t>Sets business-line direction, pricing and investment</t>
        </is>
      </c>
      <c r="M9" s="84" t="inlineStr">
        <is>
          <t>Already works at D2: Sets direction across business lines</t>
        </is>
      </c>
      <c r="N9" s="34" t="inlineStr">
        <is>
          <t>M</t>
        </is>
      </c>
      <c r="O9" s="84" t="inlineStr">
        <is>
          <t>Works at C2: Function results, budget and risk</t>
        </is>
      </c>
      <c r="P9" s="84" t="inlineStr">
        <is>
          <t>Business-line P&amp;L and market position</t>
        </is>
      </c>
      <c r="Q9" s="84" t="inlineStr">
        <is>
          <t>Already works at D2: Multi-business results</t>
        </is>
      </c>
      <c r="R9" s="34" t="inlineStr">
        <is>
          <t>M</t>
        </is>
      </c>
      <c r="S9" s="56" t="inlineStr">
        <is>
          <t>Works at C2: Leads a function; shapes functional strategy</t>
        </is>
      </c>
      <c r="T9" s="56" t="inlineStr">
        <is>
          <t>Defines business strategy; builds the leadership bench</t>
        </is>
      </c>
      <c r="U9" s="56" t="inlineStr">
        <is>
          <t>Already works at D2: Builds the leadership team across businesses</t>
        </is>
      </c>
      <c r="V9" s="34" t="inlineStr">
        <is>
          <t>L</t>
        </is>
      </c>
      <c r="W9" s="56" t="inlineStr">
        <is>
          <t>Works at C2: Drives a function's or department's results and costs</t>
        </is>
      </c>
      <c r="X9" s="56" t="inlineStr">
        <is>
          <t>Owns a business line's P&amp;L and growth, or a company-wide function · purpose: Owns a business line or enterprise function end to end. At D1: a business line P&amp;L, region or enterprise function.</t>
        </is>
      </c>
      <c r="Y9" s="56" t="inlineStr">
        <is>
          <t>Already works at D2: Owns the results of several business lines</t>
        </is>
      </c>
      <c r="Z9" s="34" t="inlineStr">
        <is>
          <t>L</t>
        </is>
      </c>
      <c r="AA9" s="85" t="inlineStr">
        <is>
          <t>Less experience than the band's typical 15–20 yrs</t>
        </is>
      </c>
      <c r="AB9" s="85" t="inlineStr">
        <is>
          <t>Typical for the band: 15–20 yrs · market — yrs</t>
        </is>
      </c>
      <c r="AC9" s="85" t="inlineStr">
        <is>
          <t>More experience than the band's typical 15–20 yrs</t>
        </is>
      </c>
      <c r="AD9" s="34" t="inlineStr">
        <is>
          <t>L</t>
        </is>
      </c>
      <c r="AE9" s="85" t="inlineStr">
        <is>
          <t>Below: Postgraduate / professional qualification preferred</t>
        </is>
      </c>
      <c r="AF9" s="85" t="inlineStr">
        <is>
          <t>Postgraduate / professional qualification preferred</t>
        </is>
      </c>
      <c r="AG9" s="85" t="inlineStr">
        <is>
          <t>Above: Postgraduate / professional qualification preferred</t>
        </is>
      </c>
      <c r="AH9" s="44" t="inlineStr">
        <is>
          <t>36.3 · 19 · 11.3 · 20 · 8.7 · 4 · 1</t>
        </is>
      </c>
      <c r="AI9" s="38" t="inlineStr">
        <is>
          <t>15–20 yrs</t>
        </is>
      </c>
      <c r="AJ9" s="38" t="inlineStr">
        <is>
          <t>5–8 heads</t>
        </is>
      </c>
      <c r="AK9" s="38" t="inlineStr">
        <is>
          <t>E1–E2 · SFIA 6–7</t>
        </is>
      </c>
      <c r="AL9"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0" ht="120" customHeight="1">
      <c r="A10" s="87" t="inlineStr">
        <is>
          <t>C+</t>
        </is>
      </c>
      <c r="B10" s="29" t="inlineStr">
        <is>
          <t>C+ · Player-Coach</t>
        </is>
      </c>
      <c r="C10" s="29" t="inlineStr">
        <is>
          <t>C+ · Player-Coach</t>
        </is>
      </c>
      <c r="D10" s="29" t="inlineStr">
        <is>
          <t>Group Head · Player-Coach</t>
        </is>
      </c>
      <c r="E10" s="29" t="inlineStr">
        <is>
          <t>— no role at this level today</t>
        </is>
      </c>
      <c r="F10" s="34" t="inlineStr">
        <is>
          <t>H</t>
        </is>
      </c>
      <c r="G10" s="84" t="inlineStr">
        <is>
          <t>Works at C2: Function-wide or company-wide problems; creates methods and standards</t>
        </is>
      </c>
      <c r="H10" s="84" t="inlineStr">
        <is>
          <t>Function-wide and cross-product problems; personally handles the most critical client or technical work</t>
        </is>
      </c>
      <c r="I10" s="84" t="inlineStr">
        <is>
          <t>Already works at D1: Competing strategic, financial and regulatory priorities</t>
        </is>
      </c>
      <c r="J10" s="34" t="inlineStr">
        <is>
          <t>M</t>
        </is>
      </c>
      <c r="K10" s="84" t="inlineStr">
        <is>
          <t>Works at C2: Sets direction for a function</t>
        </is>
      </c>
      <c r="L10" s="84" t="inlineStr">
        <is>
          <t>Sets direction for the function; business-line trade-offs go to the Business Head</t>
        </is>
      </c>
      <c r="M10" s="84" t="inlineStr">
        <is>
          <t>Already works at D1: Sets business-line direction, pricing and investment</t>
        </is>
      </c>
      <c r="N10" s="34" t="inlineStr">
        <is>
          <t>M</t>
        </is>
      </c>
      <c r="O10" s="84" t="inlineStr">
        <is>
          <t>Works at C2: Function results, budget and risk</t>
        </is>
      </c>
      <c r="P10" s="84" t="inlineStr">
        <is>
          <t>Function results, budget and key-client outcomes; carries own book or principal delivery</t>
        </is>
      </c>
      <c r="Q10" s="84" t="inlineStr">
        <is>
          <t>Already works at D1: Business-line P&amp;L and market position</t>
        </is>
      </c>
      <c r="R10" s="34" t="inlineStr">
        <is>
          <t>M</t>
        </is>
      </c>
      <c r="S10" s="56" t="inlineStr">
        <is>
          <t>Works at C2: Leads a function; shapes functional strategy</t>
        </is>
      </c>
      <c r="T10" s="56" t="inlineStr">
        <is>
          <t>Leads managers and leads and 10+ people in the function while staying hands-on</t>
        </is>
      </c>
      <c r="U10" s="56" t="inlineStr">
        <is>
          <t>Already works at D1: Defines business strategy; builds the leadership bench</t>
        </is>
      </c>
      <c r="V10" s="34" t="inlineStr">
        <is>
          <t>L</t>
        </is>
      </c>
      <c r="W10" s="56" t="inlineStr">
        <is>
          <t>Works at C2: Drives a function's or department's results and costs</t>
        </is>
      </c>
      <c r="X10" s="56" t="inlineStr">
        <is>
          <t>Drives a function's results and personally wins or delivers key work</t>
        </is>
      </c>
      <c r="Y10" s="56" t="inlineStr">
        <is>
          <t>Already works at D1: Owns a business line's P&amp;L and growth, or a company-wide function</t>
        </is>
      </c>
      <c r="Z10" s="34" t="inlineStr">
        <is>
          <t>L</t>
        </is>
      </c>
      <c r="AA10" s="85" t="inlineStr">
        <is>
          <t>Less experience than the band's typical 13–18 yrs</t>
        </is>
      </c>
      <c r="AB10" s="85" t="inlineStr">
        <is>
          <t>Typical for the band: 13–18 yrs · market 15–18 yrs</t>
        </is>
      </c>
      <c r="AC10" s="85" t="inlineStr">
        <is>
          <t>More experience than the band's typical 13–18 yrs</t>
        </is>
      </c>
      <c r="AD10" s="34" t="inlineStr">
        <is>
          <t>L</t>
        </is>
      </c>
      <c r="AE10" s="85" t="inlineStr">
        <is>
          <t>Below: Postgraduate / professional qualification preferred</t>
        </is>
      </c>
      <c r="AF10" s="85" t="inlineStr">
        <is>
          <t>Postgraduate / professional qualification preferred</t>
        </is>
      </c>
      <c r="AG10" s="85" t="inlineStr">
        <is>
          <t>Above: Postgraduate / professional qualification preferred</t>
        </is>
      </c>
      <c r="AH10" s="44" t="inlineStr">
        <is>
          <t>37.7 · 18.3 · 10.7 · 20 · 8 · 4 · 1</t>
        </is>
      </c>
      <c r="AI10" s="38" t="inlineStr">
        <is>
          <t>15–18</t>
        </is>
      </c>
      <c r="AJ10" s="38" t="inlineStr">
        <is>
          <t>4–8 managers / leads with ≥ 25% of time on own principal delivery</t>
        </is>
      </c>
      <c r="AK10" s="38" t="inlineStr">
        <is>
          <t>M6 / E1 · SFIA 6 Initiate, influence</t>
        </is>
      </c>
      <c r="AL10"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1" ht="120" customHeight="1">
      <c r="A11" s="88" t="inlineStr">
        <is>
          <t>C2</t>
        </is>
      </c>
      <c r="B11" s="29" t="inlineStr">
        <is>
          <t>Band C · Principal / Head</t>
        </is>
      </c>
      <c r="C11" s="29" t="inlineStr">
        <is>
          <t>Band C · Head / manager</t>
        </is>
      </c>
      <c r="D11" s="29" t="inlineStr">
        <is>
          <t>Head of Function</t>
        </is>
      </c>
      <c r="E11" s="29" t="inlineStr">
        <is>
          <t>Business Head · Head – Consulting</t>
        </is>
      </c>
      <c r="F11" s="34" t="inlineStr">
        <is>
          <t>H</t>
        </is>
      </c>
      <c r="G11" s="84" t="inlineStr">
        <is>
          <t>Works at C1: Ambiguous, cross-product problems</t>
        </is>
      </c>
      <c r="H11" s="84" t="inlineStr">
        <is>
          <t>Function-wide or company-wide problems; creates methods and standards · in Executive Leadership: XBRL Domain</t>
        </is>
      </c>
      <c r="I11" s="84" t="inlineStr">
        <is>
          <t>Already works at D1: Competing strategic, financial and regulatory priorities</t>
        </is>
      </c>
      <c r="J11" s="34" t="inlineStr">
        <is>
          <t>M</t>
        </is>
      </c>
      <c r="K11" s="84" t="inlineStr">
        <is>
          <t>Works at C1: Sets direction for a sub-function or domain</t>
        </is>
      </c>
      <c r="L11" s="84" t="inlineStr">
        <is>
          <t>Sets direction for a function</t>
        </is>
      </c>
      <c r="M11" s="84" t="inlineStr">
        <is>
          <t>Already works at D1: Sets business-line direction, pricing and investment</t>
        </is>
      </c>
      <c r="N11" s="34" t="inlineStr">
        <is>
          <t>M</t>
        </is>
      </c>
      <c r="O11" s="84" t="inlineStr">
        <is>
          <t>Works at C1: Sub-function results or domain quality across products</t>
        </is>
      </c>
      <c r="P11" s="84" t="inlineStr">
        <is>
          <t>Function results, budget and risk</t>
        </is>
      </c>
      <c r="Q11" s="84" t="inlineStr">
        <is>
          <t>Already works at D1: Business-line P&amp;L and market position</t>
        </is>
      </c>
      <c r="R11" s="34" t="inlineStr">
        <is>
          <t>M</t>
        </is>
      </c>
      <c r="S11" s="56" t="inlineStr">
        <is>
          <t>Works at C1: Leads managers or a community of practice</t>
        </is>
      </c>
      <c r="T11" s="56" t="inlineStr">
        <is>
          <t>Leads a function; shapes functional strategy</t>
        </is>
      </c>
      <c r="U11" s="56" t="inlineStr">
        <is>
          <t>Already works at D1: Defines business strategy; builds the leadership bench</t>
        </is>
      </c>
      <c r="V11" s="34" t="inlineStr">
        <is>
          <t>L</t>
        </is>
      </c>
      <c r="W11" s="56" t="inlineStr">
        <is>
          <t>Works at C1: Changes results across a sub-function or across products</t>
        </is>
      </c>
      <c r="X11" s="56" t="inlineStr">
        <is>
          <t>Drives a function's or department's results and costs · purpose: Heads a department or function: sets its direction, owns its results, budget, people and risk, and speaks for it in the business leadership team.</t>
        </is>
      </c>
      <c r="Y11" s="56" t="inlineStr">
        <is>
          <t>Already works at D1: Owns a business line's P&amp;L and growth, or a company-wide function</t>
        </is>
      </c>
      <c r="Z11" s="34" t="inlineStr">
        <is>
          <t>L</t>
        </is>
      </c>
      <c r="AA11" s="85" t="inlineStr">
        <is>
          <t>Less experience than the band's typical 12–17 yrs</t>
        </is>
      </c>
      <c r="AB11" s="85" t="inlineStr">
        <is>
          <t>Typical for the band: 12–17 yrs · market — yrs</t>
        </is>
      </c>
      <c r="AC11" s="85" t="inlineStr">
        <is>
          <t>More experience than the band's typical 12–17 yrs</t>
        </is>
      </c>
      <c r="AD11" s="34" t="inlineStr">
        <is>
          <t>L</t>
        </is>
      </c>
      <c r="AE11" s="85" t="inlineStr">
        <is>
          <t>Below: Postgraduate / professional qualification preferred</t>
        </is>
      </c>
      <c r="AF11" s="85" t="inlineStr">
        <is>
          <t>Postgraduate / professional qualification preferred</t>
        </is>
      </c>
      <c r="AG11" s="85" t="inlineStr">
        <is>
          <t>Above: Postgraduate / professional qualification preferred</t>
        </is>
      </c>
      <c r="AH11" s="44" t="inlineStr">
        <is>
          <t>43.3 · 18 · 10.7 · 15 · 8 · 4 · 1</t>
        </is>
      </c>
      <c r="AI11" s="38" t="inlineStr">
        <is>
          <t>12–17 yrs</t>
        </is>
      </c>
      <c r="AJ11" s="38" t="inlineStr">
        <is>
          <t>5–8 managers / associate heads</t>
        </is>
      </c>
      <c r="AK11" s="38" t="inlineStr">
        <is>
          <t>P7 / M6 · SFIA 6 Initiate, influence</t>
        </is>
      </c>
      <c r="AL11"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2" ht="120" customHeight="1">
      <c r="A12" s="88" t="inlineStr">
        <is>
          <t>C2</t>
        </is>
      </c>
      <c r="B12" s="29" t="inlineStr">
        <is>
          <t>Band C · Principal / Head</t>
        </is>
      </c>
      <c r="C12" s="29" t="inlineStr">
        <is>
          <t>Band C · Principal specialist</t>
        </is>
      </c>
      <c r="D12" s="29" t="inlineStr">
        <is>
          <t>Senior Principal / Architect</t>
        </is>
      </c>
      <c r="E12" s="29" t="inlineStr">
        <is>
          <t>Business Head · Head – Consulting</t>
        </is>
      </c>
      <c r="F12" s="34" t="inlineStr">
        <is>
          <t>H</t>
        </is>
      </c>
      <c r="G12" s="84" t="inlineStr">
        <is>
          <t>Works at C1: Ambiguous, cross-product problems</t>
        </is>
      </c>
      <c r="H12" s="84" t="inlineStr">
        <is>
          <t>Function-wide or company-wide problems; creates methods and standards · in Executive Leadership: XBRL Domain</t>
        </is>
      </c>
      <c r="I12" s="84" t="inlineStr">
        <is>
          <t>Already works at D1: Competing strategic, financial and regulatory priorities</t>
        </is>
      </c>
      <c r="J12" s="34" t="inlineStr">
        <is>
          <t>M</t>
        </is>
      </c>
      <c r="K12" s="84" t="inlineStr">
        <is>
          <t>Works at C1: Sets direction for a sub-function or domain</t>
        </is>
      </c>
      <c r="L12" s="84" t="inlineStr">
        <is>
          <t>Sets direction for a function</t>
        </is>
      </c>
      <c r="M12" s="84" t="inlineStr">
        <is>
          <t>Already works at D1: Sets business-line direction, pricing and investment</t>
        </is>
      </c>
      <c r="N12" s="34" t="inlineStr">
        <is>
          <t>M</t>
        </is>
      </c>
      <c r="O12" s="84" t="inlineStr">
        <is>
          <t>Works at C1: Sub-function results or domain quality across products</t>
        </is>
      </c>
      <c r="P12" s="84" t="inlineStr">
        <is>
          <t>Function results, budget and risk</t>
        </is>
      </c>
      <c r="Q12" s="84" t="inlineStr">
        <is>
          <t>Already works at D1: Business-line P&amp;L and market position</t>
        </is>
      </c>
      <c r="R12" s="34" t="inlineStr">
        <is>
          <t>L</t>
        </is>
      </c>
      <c r="S12" s="56" t="inlineStr">
        <is>
          <t>Works at C1: Leads managers or a community of practice</t>
        </is>
      </c>
      <c r="T12" s="56" t="inlineStr">
        <is>
          <t>Leads a function; shapes functional strategy</t>
        </is>
      </c>
      <c r="U12" s="56" t="inlineStr">
        <is>
          <t>Already works at D1: Defines business strategy; builds the leadership bench</t>
        </is>
      </c>
      <c r="V12" s="34" t="inlineStr">
        <is>
          <t>L</t>
        </is>
      </c>
      <c r="W12" s="56" t="inlineStr">
        <is>
          <t>Works at C1: Changes results across a sub-function or across products</t>
        </is>
      </c>
      <c r="X12" s="56" t="inlineStr">
        <is>
          <t>Drives a function's or department's results and costs · purpose: Heads a department or function: sets its direction, owns its results, budget, people and risk, and speaks for it in the business leadership team.</t>
        </is>
      </c>
      <c r="Y12" s="56" t="inlineStr">
        <is>
          <t>Already works at D1: Owns a business line's P&amp;L and growth, or a company-wide function</t>
        </is>
      </c>
      <c r="Z12" s="34" t="inlineStr">
        <is>
          <t>L</t>
        </is>
      </c>
      <c r="AA12" s="85" t="inlineStr">
        <is>
          <t>Less experience than the band's typical 12–17 yrs</t>
        </is>
      </c>
      <c r="AB12" s="85" t="inlineStr">
        <is>
          <t>Typical for the band: 12–17 yrs · market — yrs</t>
        </is>
      </c>
      <c r="AC12" s="85" t="inlineStr">
        <is>
          <t>More experience than the band's typical 12–17 yrs</t>
        </is>
      </c>
      <c r="AD12" s="34" t="inlineStr">
        <is>
          <t>L</t>
        </is>
      </c>
      <c r="AE12" s="85" t="inlineStr">
        <is>
          <t>Below: Postgraduate / professional qualification preferred</t>
        </is>
      </c>
      <c r="AF12" s="85" t="inlineStr">
        <is>
          <t>Postgraduate / professional qualification preferred</t>
        </is>
      </c>
      <c r="AG12" s="85" t="inlineStr">
        <is>
          <t>Above: Postgraduate / professional qualification preferred</t>
        </is>
      </c>
      <c r="AH12" s="44" t="inlineStr">
        <is>
          <t>54.3 · 17.7 · 10.3 · 5 · 7.7 · 4 · 1</t>
        </is>
      </c>
      <c r="AI12" s="38" t="inlineStr">
        <is>
          <t>12–17 yrs</t>
        </is>
      </c>
      <c r="AJ12" s="38" t="inlineStr">
        <is>
          <t>5–8 managers / associate heads</t>
        </is>
      </c>
      <c r="AK12" s="38" t="inlineStr">
        <is>
          <t>P7 / M6 · SFIA 6 Initiate, influence</t>
        </is>
      </c>
      <c r="AL12"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3" ht="120" customHeight="1">
      <c r="A13" s="88" t="inlineStr">
        <is>
          <t>C1</t>
        </is>
      </c>
      <c r="B13" s="29" t="inlineStr">
        <is>
          <t>Band C · Principal / Head</t>
        </is>
      </c>
      <c r="C13" s="29" t="inlineStr">
        <is>
          <t>Band C · Head / manager</t>
        </is>
      </c>
      <c r="D13" s="29" t="inlineStr">
        <is>
          <t>Associate Head</t>
        </is>
      </c>
      <c r="E13" s="29" t="inlineStr">
        <is>
          <t>Business Head · Associate Head – Assisted Services</t>
        </is>
      </c>
      <c r="F13" s="34" t="inlineStr">
        <is>
          <t>H</t>
        </is>
      </c>
      <c r="G13" s="84" t="inlineStr">
        <is>
          <t>Works at B3: Sets standards for a practice; cross-team problems</t>
        </is>
      </c>
      <c r="H13" s="84" t="inlineStr">
        <is>
          <t>Ambiguous, cross-product problems · in Executive Leadership: • XBRL Domain
• Secretarial · Legal</t>
        </is>
      </c>
      <c r="I13" s="84" t="inlineStr">
        <is>
          <t>Already works at C2: Function-wide or company-wide problems; creates methods and standards</t>
        </is>
      </c>
      <c r="J13" s="34" t="inlineStr">
        <is>
          <t>M</t>
        </is>
      </c>
      <c r="K13" s="84" t="inlineStr">
        <is>
          <t>Works at B3: Commercial / strategic calls for the unit</t>
        </is>
      </c>
      <c r="L13" s="84" t="inlineStr">
        <is>
          <t>Sets direction for a sub-function or domain</t>
        </is>
      </c>
      <c r="M13" s="84" t="inlineStr">
        <is>
          <t>Already works at C2: Sets direction for a function</t>
        </is>
      </c>
      <c r="N13" s="34" t="inlineStr">
        <is>
          <t>M</t>
        </is>
      </c>
      <c r="O13" s="84" t="inlineStr">
        <is>
          <t>Works at B3: Several teams or a practice</t>
        </is>
      </c>
      <c r="P13" s="84" t="inlineStr">
        <is>
          <t>Sub-function results or domain quality across products</t>
        </is>
      </c>
      <c r="Q13" s="84" t="inlineStr">
        <is>
          <t>Already works at C2: Function results, budget and risk</t>
        </is>
      </c>
      <c r="R13" s="34" t="inlineStr">
        <is>
          <t>M</t>
        </is>
      </c>
      <c r="S13" s="56" t="inlineStr">
        <is>
          <t>Works at B3: IC: leads a practice · People: team leads / managers report in</t>
        </is>
      </c>
      <c r="T13" s="56" t="inlineStr">
        <is>
          <t>Leads managers or a community of practice</t>
        </is>
      </c>
      <c r="U13" s="56" t="inlineStr">
        <is>
          <t>Already works at C2: Leads a function; shapes functional strategy</t>
        </is>
      </c>
      <c r="V13" s="34" t="inlineStr">
        <is>
          <t>L</t>
        </is>
      </c>
      <c r="W13" s="56" t="inlineStr">
        <is>
          <t>Works at B3: Shapes the results of a practice or several teams</t>
        </is>
      </c>
      <c r="X13" s="56" t="inlineStr">
        <is>
          <t>Changes results across a sub-function or across products · purpose: Heads a department or function: sets its direction, owns its results, budget, people and risk, and speaks for it in the business leadership team.</t>
        </is>
      </c>
      <c r="Y13" s="56" t="inlineStr">
        <is>
          <t>Already works at C2: Drives a function's or department's results and costs</t>
        </is>
      </c>
      <c r="Z13" s="34" t="inlineStr">
        <is>
          <t>L</t>
        </is>
      </c>
      <c r="AA13" s="85" t="inlineStr">
        <is>
          <t>Less experience than the band's typical 10–14 yrs</t>
        </is>
      </c>
      <c r="AB13" s="85" t="inlineStr">
        <is>
          <t>Typical for the band: 10–14 yrs · market 12–17 yrs</t>
        </is>
      </c>
      <c r="AC13" s="85" t="inlineStr">
        <is>
          <t>More experience than the band's typical 10–14 yrs</t>
        </is>
      </c>
      <c r="AD13" s="34" t="inlineStr">
        <is>
          <t>L</t>
        </is>
      </c>
      <c r="AE13" s="85" t="inlineStr">
        <is>
          <t>Below: Postgraduate or professional qualification preferred</t>
        </is>
      </c>
      <c r="AF13" s="85" t="inlineStr">
        <is>
          <t>Postgraduate / professional qualification preferred</t>
        </is>
      </c>
      <c r="AG13" s="85" t="inlineStr">
        <is>
          <t>Above: Postgraduate / professional qualification preferred</t>
        </is>
      </c>
      <c r="AH13" s="44" t="inlineStr">
        <is>
          <t>43.3 · 18 · 10.7 · 15 · 8 · 4 · 1</t>
        </is>
      </c>
      <c r="AI13" s="38" t="inlineStr">
        <is>
          <t>12–17</t>
        </is>
      </c>
      <c r="AJ13" s="38" t="inlineStr">
        <is>
          <t>5–8, mostly managers</t>
        </is>
      </c>
      <c r="AK13" s="38" t="inlineStr">
        <is>
          <t>P6 / M5 · SFIA 5–6</t>
        </is>
      </c>
      <c r="AL13"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4" ht="120" customHeight="1">
      <c r="A14" s="88" t="inlineStr">
        <is>
          <t>C1</t>
        </is>
      </c>
      <c r="B14" s="29" t="inlineStr">
        <is>
          <t>Band C · Principal / Head</t>
        </is>
      </c>
      <c r="C14" s="29" t="inlineStr">
        <is>
          <t>Band C · Principal specialist</t>
        </is>
      </c>
      <c r="D14" s="29" t="inlineStr">
        <is>
          <t>Principal</t>
        </is>
      </c>
      <c r="E14" s="29" t="inlineStr">
        <is>
          <t>Business Head · Associate Head – Assisted Services</t>
        </is>
      </c>
      <c r="F14" s="34" t="inlineStr">
        <is>
          <t>H</t>
        </is>
      </c>
      <c r="G14" s="84" t="inlineStr">
        <is>
          <t>Works at B3: Sets standards for a practice; cross-team problems</t>
        </is>
      </c>
      <c r="H14" s="84" t="inlineStr">
        <is>
          <t>Ambiguous, cross-product problems · in Executive Leadership: • XBRL Domain
• Secretarial · Legal</t>
        </is>
      </c>
      <c r="I14" s="84" t="inlineStr">
        <is>
          <t>Already works at C2: Function-wide or company-wide problems; creates methods and standards</t>
        </is>
      </c>
      <c r="J14" s="34" t="inlineStr">
        <is>
          <t>M</t>
        </is>
      </c>
      <c r="K14" s="84" t="inlineStr">
        <is>
          <t>Works at B3: Commercial / strategic calls for the unit</t>
        </is>
      </c>
      <c r="L14" s="84" t="inlineStr">
        <is>
          <t>Sets direction for a sub-function or domain</t>
        </is>
      </c>
      <c r="M14" s="84" t="inlineStr">
        <is>
          <t>Already works at C2: Sets direction for a function</t>
        </is>
      </c>
      <c r="N14" s="34" t="inlineStr">
        <is>
          <t>M</t>
        </is>
      </c>
      <c r="O14" s="84" t="inlineStr">
        <is>
          <t>Works at B3: Several teams or a practice</t>
        </is>
      </c>
      <c r="P14" s="84" t="inlineStr">
        <is>
          <t>Sub-function results or domain quality across products</t>
        </is>
      </c>
      <c r="Q14" s="84" t="inlineStr">
        <is>
          <t>Already works at C2: Function results, budget and risk</t>
        </is>
      </c>
      <c r="R14" s="34" t="inlineStr">
        <is>
          <t>L</t>
        </is>
      </c>
      <c r="S14" s="56" t="inlineStr">
        <is>
          <t>Works at B3: IC: leads a practice · People: team leads / managers report in</t>
        </is>
      </c>
      <c r="T14" s="56" t="inlineStr">
        <is>
          <t>Leads managers or a community of practice</t>
        </is>
      </c>
      <c r="U14" s="56" t="inlineStr">
        <is>
          <t>Already works at C2: Leads a function; shapes functional strategy</t>
        </is>
      </c>
      <c r="V14" s="34" t="inlineStr">
        <is>
          <t>L</t>
        </is>
      </c>
      <c r="W14" s="56" t="inlineStr">
        <is>
          <t>Works at B3: Shapes the results of a practice or several teams</t>
        </is>
      </c>
      <c r="X14" s="56" t="inlineStr">
        <is>
          <t>Changes results across a sub-function or across products · purpose: Heads a department or function: sets its direction, owns its results, budget, people and risk, and speaks for it in the business leadership team.</t>
        </is>
      </c>
      <c r="Y14" s="56" t="inlineStr">
        <is>
          <t>Already works at C2: Drives a function's or department's results and costs</t>
        </is>
      </c>
      <c r="Z14" s="34" t="inlineStr">
        <is>
          <t>L</t>
        </is>
      </c>
      <c r="AA14" s="85" t="inlineStr">
        <is>
          <t>Less experience than the band's typical 10–14 yrs</t>
        </is>
      </c>
      <c r="AB14" s="85" t="inlineStr">
        <is>
          <t>Typical for the band: 10–14 yrs · market 12–17 yrs</t>
        </is>
      </c>
      <c r="AC14" s="85" t="inlineStr">
        <is>
          <t>More experience than the band's typical 10–14 yrs</t>
        </is>
      </c>
      <c r="AD14" s="34" t="inlineStr">
        <is>
          <t>L</t>
        </is>
      </c>
      <c r="AE14" s="85" t="inlineStr">
        <is>
          <t>Below: Postgraduate or professional qualification preferred</t>
        </is>
      </c>
      <c r="AF14" s="85" t="inlineStr">
        <is>
          <t>Postgraduate / professional qualification preferred</t>
        </is>
      </c>
      <c r="AG14" s="85" t="inlineStr">
        <is>
          <t>Above: Postgraduate / professional qualification preferred</t>
        </is>
      </c>
      <c r="AH14" s="44" t="inlineStr">
        <is>
          <t>54.3 · 17.7 · 10.3 · 5 · 7.7 · 4 · 1</t>
        </is>
      </c>
      <c r="AI14" s="38" t="inlineStr">
        <is>
          <t>12–17</t>
        </is>
      </c>
      <c r="AJ14" s="38" t="inlineStr">
        <is>
          <t>5–8, mostly managers</t>
        </is>
      </c>
      <c r="AK14" s="38" t="inlineStr">
        <is>
          <t>P6 / M5 · SFIA 5–6</t>
        </is>
      </c>
      <c r="AL14"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5" ht="120" customHeight="1">
      <c r="A15" s="89" t="inlineStr">
        <is>
          <t>B+</t>
        </is>
      </c>
      <c r="B15" s="29" t="inlineStr">
        <is>
          <t>B+ · Player-Coach</t>
        </is>
      </c>
      <c r="C15" s="29" t="inlineStr">
        <is>
          <t>B+ · Player-Coach</t>
        </is>
      </c>
      <c r="D15" s="29" t="inlineStr">
        <is>
          <t>Practice Lead · Player-Coach</t>
        </is>
      </c>
      <c r="E15" s="29" t="inlineStr">
        <is>
          <t>— no role at this level today</t>
        </is>
      </c>
      <c r="F15" s="34" t="inlineStr">
        <is>
          <t>H</t>
        </is>
      </c>
      <c r="G15" s="84" t="inlineStr">
        <is>
          <t>Works at B3: Sets standards for a practice; cross-team problems</t>
        </is>
      </c>
      <c r="H15" s="84" t="inlineStr">
        <is>
          <t>Principal-level problems in own domain; sets technical or quality standards and still builds</t>
        </is>
      </c>
      <c r="I15" s="84" t="inlineStr">
        <is>
          <t>Already works at C1: Ambiguous, cross-product problems</t>
        </is>
      </c>
      <c r="J15" s="34" t="inlineStr">
        <is>
          <t>M</t>
        </is>
      </c>
      <c r="K15" s="84" t="inlineStr">
        <is>
          <t>Works at B3: Commercial / strategic calls for the unit</t>
        </is>
      </c>
      <c r="L15" s="84" t="inlineStr">
        <is>
          <t>Decides approach and priorities for the practice; escalates only cross-function trade-offs</t>
        </is>
      </c>
      <c r="M15" s="84" t="inlineStr">
        <is>
          <t>Already works at C1: Sets direction for a sub-function or domain</t>
        </is>
      </c>
      <c r="N15" s="34" t="inlineStr">
        <is>
          <t>M</t>
        </is>
      </c>
      <c r="O15" s="84" t="inlineStr">
        <is>
          <t>Works at B3: Several teams or a practice</t>
        </is>
      </c>
      <c r="P15" s="84" t="inlineStr">
        <is>
          <t>Practice outcomes plus own deliverables; quality and delivery of the team</t>
        </is>
      </c>
      <c r="Q15" s="84" t="inlineStr">
        <is>
          <t>Already works at C1: Sub-function results or domain quality across products</t>
        </is>
      </c>
      <c r="R15" s="34" t="inlineStr">
        <is>
          <t>M</t>
        </is>
      </c>
      <c r="S15" s="56" t="inlineStr">
        <is>
          <t>Works at B3: IC: leads a practice · People: team leads / managers report in</t>
        </is>
      </c>
      <c r="T15" s="56" t="inlineStr">
        <is>
          <t>Leads 3–6 people · or a pod while remaining a hands-on expert; coaches, allocates, reviews</t>
        </is>
      </c>
      <c r="U15" s="56" t="inlineStr">
        <is>
          <t>Already works at C1: Leads managers or a community of practice</t>
        </is>
      </c>
      <c r="V15" s="34" t="inlineStr">
        <is>
          <t>L</t>
        </is>
      </c>
      <c r="W15" s="56" t="inlineStr">
        <is>
          <t>Works at B3: Shapes the results of a practice or several teams</t>
        </is>
      </c>
      <c r="X15" s="56" t="inlineStr">
        <is>
          <t>Drives a practice's results while delivering the hardest work</t>
        </is>
      </c>
      <c r="Y15" s="56" t="inlineStr">
        <is>
          <t>Already works at C1: Changes results across a sub-function or across products</t>
        </is>
      </c>
      <c r="Z15" s="34" t="inlineStr">
        <is>
          <t>L</t>
        </is>
      </c>
      <c r="AA15" s="85" t="inlineStr">
        <is>
          <t>Less experience than the band's typical 9–14 yrs</t>
        </is>
      </c>
      <c r="AB15" s="85" t="inlineStr">
        <is>
          <t>Typical for the band: 9–14 yrs · market 9–14 yrs</t>
        </is>
      </c>
      <c r="AC15" s="85" t="inlineStr">
        <is>
          <t>More experience than the band's typical 9–14 yrs</t>
        </is>
      </c>
      <c r="AD15" s="34" t="inlineStr">
        <is>
          <t>L</t>
        </is>
      </c>
      <c r="AE15" s="85" t="inlineStr">
        <is>
          <t>Below: Postgraduate or professional qualification preferred</t>
        </is>
      </c>
      <c r="AF15" s="85" t="inlineStr">
        <is>
          <t>Postgraduate or professional qualification preferred</t>
        </is>
      </c>
      <c r="AG15" s="85" t="inlineStr">
        <is>
          <t>Above: Postgraduate / professional qualification preferred</t>
        </is>
      </c>
      <c r="AH15" s="44" t="inlineStr">
        <is>
          <t>44 · 17.7 · 10.3 · 10 · 7.7 · 6 · 4</t>
        </is>
      </c>
      <c r="AI15" s="38" t="inlineStr">
        <is>
          <t>9–14</t>
        </is>
      </c>
      <c r="AJ15" s="38" t="inlineStr">
        <is>
          <t>3–6 direct reports with ≥ 40% of time on own delivery · McKinsey player/coach 3–5; Google Tech Lead Manager</t>
        </is>
      </c>
      <c r="AK15" s="38" t="inlineStr">
        <is>
          <t>P5–P6 / M4–M5 · SFIA 5 Ensure, advise</t>
        </is>
      </c>
      <c r="AL15"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6" ht="120" customHeight="1">
      <c r="A16" s="90" t="inlineStr">
        <is>
          <t>B3</t>
        </is>
      </c>
      <c r="B16" s="29" t="inlineStr">
        <is>
          <t>Band B · Specialist / Manager</t>
        </is>
      </c>
      <c r="C16" s="29" t="inlineStr">
        <is>
          <t>Band B · People Manager</t>
        </is>
      </c>
      <c r="D16" s="29" t="inlineStr">
        <is>
          <t>Senior Manager</t>
        </is>
      </c>
      <c r="E16" s="29" t="inlineStr">
        <is>
          <t>— no role at this level today</t>
        </is>
      </c>
      <c r="F16" s="34" t="inlineStr">
        <is>
          <t>H</t>
        </is>
      </c>
      <c r="G16" s="84" t="inlineStr">
        <is>
          <t>Works at B2: Hardest problems in the domain</t>
        </is>
      </c>
      <c r="H16" s="84" t="inlineStr">
        <is>
          <t>Sets standards for a practice; cross-team problems</t>
        </is>
      </c>
      <c r="I16" s="84" t="inlineStr">
        <is>
          <t>Already works at C1: Ambiguous, cross-product problems</t>
        </is>
      </c>
      <c r="J16" s="34" t="inlineStr">
        <is>
          <t>M</t>
        </is>
      </c>
      <c r="K16" s="84" t="inlineStr">
        <is>
          <t>Works at B2: Allocates people and sets team priorities</t>
        </is>
      </c>
      <c r="L16" s="84" t="inlineStr">
        <is>
          <t>Commercial / strategic calls for the unit</t>
        </is>
      </c>
      <c r="M16" s="84" t="inlineStr">
        <is>
          <t>Already works at C1: Sets direction for a sub-function or domain</t>
        </is>
      </c>
      <c r="N16" s="34" t="inlineStr">
        <is>
          <t>M</t>
        </is>
      </c>
      <c r="O16" s="84" t="inlineStr">
        <is>
          <t>Works at B2: One team or a client portfolio</t>
        </is>
      </c>
      <c r="P16" s="84" t="inlineStr">
        <is>
          <t>Several teams or a practice</t>
        </is>
      </c>
      <c r="Q16" s="84" t="inlineStr">
        <is>
          <t>Already works at C1: Sub-function results or domain quality across products</t>
        </is>
      </c>
      <c r="R16" s="34" t="inlineStr">
        <is>
          <t>M</t>
        </is>
      </c>
      <c r="S16" s="56" t="inlineStr">
        <is>
          <t>Works at B2: IC: guides others in the domain · People: manages a team of 6+</t>
        </is>
      </c>
      <c r="T16" s="56" t="inlineStr">
        <is>
          <t>IC: leads a practice · People: team leads / managers report in</t>
        </is>
      </c>
      <c r="U16" s="56" t="inlineStr">
        <is>
          <t>Already works at C1: Leads managers or a community of practice</t>
        </is>
      </c>
      <c r="V16" s="34" t="inlineStr">
        <is>
          <t>L</t>
        </is>
      </c>
      <c r="W16" s="56" t="inlineStr">
        <is>
          <t>Works at B2: Visible effect on a team's or client portfolio's revenue, quality or compliance</t>
        </is>
      </c>
      <c r="X16" s="56" t="inlineStr">
        <is>
          <t>Shapes the results of a practice or several teams</t>
        </is>
      </c>
      <c r="Y16" s="56" t="inlineStr">
        <is>
          <t>Already works at C1: Changes results across a sub-function or across products</t>
        </is>
      </c>
      <c r="Z16" s="34" t="inlineStr">
        <is>
          <t>L</t>
        </is>
      </c>
      <c r="AA16" s="85" t="inlineStr">
        <is>
          <t>Less experience than the band's typical 8–12 yrs</t>
        </is>
      </c>
      <c r="AB16" s="85" t="inlineStr">
        <is>
          <t>Typical for the band: 8–12 yrs · market 8–13 yrs</t>
        </is>
      </c>
      <c r="AC16" s="85" t="inlineStr">
        <is>
          <t>More experience than the band's typical 8–12 yrs</t>
        </is>
      </c>
      <c r="AD16" s="34" t="inlineStr">
        <is>
          <t>L</t>
        </is>
      </c>
      <c r="AE16" s="85" t="inlineStr">
        <is>
          <t>Below: Graduate or postgraduate; professional qualification preferred</t>
        </is>
      </c>
      <c r="AF16" s="85" t="inlineStr">
        <is>
          <t>Postgraduate or professional qualification preferred</t>
        </is>
      </c>
      <c r="AG16" s="85" t="inlineStr">
        <is>
          <t>Above: Postgraduate / professional qualification preferred</t>
        </is>
      </c>
      <c r="AH16" s="44" t="inlineStr">
        <is>
          <t>37 · 18.3 · 11.3 · 15 · 8.7 · 6 · 4</t>
        </is>
      </c>
      <c r="AI16" s="38" t="inlineStr">
        <is>
          <t>8–13</t>
        </is>
      </c>
      <c r="AJ16" s="38" t="inlineStr">
        <is>
          <t>IC: none · People: 5–8 incl. team leads</t>
        </is>
      </c>
      <c r="AK16" s="38" t="inlineStr">
        <is>
          <t>P5 / M4 · SFIA 5 Ensure, advise</t>
        </is>
      </c>
      <c r="AL16"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7" ht="120" customHeight="1">
      <c r="A17" s="90" t="inlineStr">
        <is>
          <t>B3</t>
        </is>
      </c>
      <c r="B17" s="29" t="inlineStr">
        <is>
          <t>Band B · Specialist / Manager</t>
        </is>
      </c>
      <c r="C17" s="29" t="inlineStr">
        <is>
          <t>Band B · Specialist / POD Lead</t>
        </is>
      </c>
      <c r="D17" s="29" t="inlineStr">
        <is>
          <t>Lead Specialist</t>
        </is>
      </c>
      <c r="E17" s="29" t="inlineStr">
        <is>
          <t>— no role at this level today</t>
        </is>
      </c>
      <c r="F17" s="34" t="inlineStr">
        <is>
          <t>H</t>
        </is>
      </c>
      <c r="G17" s="84" t="inlineStr">
        <is>
          <t>Works at B2: Hardest problems in the domain</t>
        </is>
      </c>
      <c r="H17" s="84" t="inlineStr">
        <is>
          <t>Sets standards for a practice; cross-team problems</t>
        </is>
      </c>
      <c r="I17" s="84" t="inlineStr">
        <is>
          <t>Already works at C1: Ambiguous, cross-product problems</t>
        </is>
      </c>
      <c r="J17" s="34" t="inlineStr">
        <is>
          <t>M</t>
        </is>
      </c>
      <c r="K17" s="84" t="inlineStr">
        <is>
          <t>Works at B2: Allocates people and sets team priorities</t>
        </is>
      </c>
      <c r="L17" s="84" t="inlineStr">
        <is>
          <t>Commercial / strategic calls for the unit</t>
        </is>
      </c>
      <c r="M17" s="84" t="inlineStr">
        <is>
          <t>Already works at C1: Sets direction for a sub-function or domain</t>
        </is>
      </c>
      <c r="N17" s="34" t="inlineStr">
        <is>
          <t>M</t>
        </is>
      </c>
      <c r="O17" s="84" t="inlineStr">
        <is>
          <t>Works at B2: One team or a client portfolio</t>
        </is>
      </c>
      <c r="P17" s="84" t="inlineStr">
        <is>
          <t>Several teams or a practice</t>
        </is>
      </c>
      <c r="Q17" s="84" t="inlineStr">
        <is>
          <t>Already works at C1: Sub-function results or domain quality across products</t>
        </is>
      </c>
      <c r="R17" s="34" t="inlineStr">
        <is>
          <t>L</t>
        </is>
      </c>
      <c r="S17" s="56" t="inlineStr">
        <is>
          <t>Works at B2: IC: guides others in the domain · People: manages a team of 6+</t>
        </is>
      </c>
      <c r="T17" s="56" t="inlineStr">
        <is>
          <t>IC: leads a practice · People: team leads / managers report in</t>
        </is>
      </c>
      <c r="U17" s="56" t="inlineStr">
        <is>
          <t>Already works at C1: Leads managers or a community of practice</t>
        </is>
      </c>
      <c r="V17" s="34" t="inlineStr">
        <is>
          <t>L</t>
        </is>
      </c>
      <c r="W17" s="56" t="inlineStr">
        <is>
          <t>Works at B2: Visible effect on a team's or client portfolio's revenue, quality or compliance</t>
        </is>
      </c>
      <c r="X17" s="56" t="inlineStr">
        <is>
          <t>Shapes the results of a practice or several teams</t>
        </is>
      </c>
      <c r="Y17" s="56" t="inlineStr">
        <is>
          <t>Already works at C1: Changes results across a sub-function or across products</t>
        </is>
      </c>
      <c r="Z17" s="34" t="inlineStr">
        <is>
          <t>L</t>
        </is>
      </c>
      <c r="AA17" s="85" t="inlineStr">
        <is>
          <t>Less experience than the band's typical 8–12 yrs</t>
        </is>
      </c>
      <c r="AB17" s="85" t="inlineStr">
        <is>
          <t>Typical for the band: 8–12 yrs · market 8–13 yrs</t>
        </is>
      </c>
      <c r="AC17" s="85" t="inlineStr">
        <is>
          <t>More experience than the band's typical 8–12 yrs</t>
        </is>
      </c>
      <c r="AD17" s="34" t="inlineStr">
        <is>
          <t>L</t>
        </is>
      </c>
      <c r="AE17" s="85" t="inlineStr">
        <is>
          <t>Below: Graduate or postgraduate; professional qualification preferred</t>
        </is>
      </c>
      <c r="AF17" s="85" t="inlineStr">
        <is>
          <t>Postgraduate or professional qualification preferred</t>
        </is>
      </c>
      <c r="AG17" s="85" t="inlineStr">
        <is>
          <t>Above: Postgraduate / professional qualification preferred</t>
        </is>
      </c>
      <c r="AH17" s="44" t="inlineStr">
        <is>
          <t>51.3 · 17.3 · 9.7 · 5 · 7 · 6 · 4</t>
        </is>
      </c>
      <c r="AI17" s="38" t="inlineStr">
        <is>
          <t>8–13</t>
        </is>
      </c>
      <c r="AJ17" s="38" t="inlineStr">
        <is>
          <t>IC: none · People: 5–8 incl. team leads</t>
        </is>
      </c>
      <c r="AK17" s="38" t="inlineStr">
        <is>
          <t>P5 / M4 · SFIA 5 Ensure, advise</t>
        </is>
      </c>
      <c r="AL17"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8" ht="120" customHeight="1">
      <c r="A18" s="90" t="inlineStr">
        <is>
          <t>B2</t>
        </is>
      </c>
      <c r="B18" s="29" t="inlineStr">
        <is>
          <t>Band B · Specialist / Manager</t>
        </is>
      </c>
      <c r="C18" s="29" t="inlineStr">
        <is>
          <t>Band B · People Manager</t>
        </is>
      </c>
      <c r="D18" s="29" t="inlineStr">
        <is>
          <t>Manager</t>
        </is>
      </c>
      <c r="E18" s="29" t="inlineStr">
        <is>
          <t>— no role at this level today</t>
        </is>
      </c>
      <c r="F18" s="34" t="inlineStr">
        <is>
          <t>H</t>
        </is>
      </c>
      <c r="G18" s="84" t="inlineStr">
        <is>
          <t>Works at B1: Domain specialist work</t>
        </is>
      </c>
      <c r="H18" s="84" t="inlineStr">
        <is>
          <t>Hardest problems in the domain</t>
        </is>
      </c>
      <c r="I18" s="84" t="inlineStr">
        <is>
          <t>Already works at B3: Sets standards for a practice; cross-team problems</t>
        </is>
      </c>
      <c r="J18" s="34" t="inlineStr">
        <is>
          <t>M</t>
        </is>
      </c>
      <c r="K18" s="84" t="inlineStr">
        <is>
          <t>Works at B1: Technical / QC / client calls for the domain</t>
        </is>
      </c>
      <c r="L18" s="84" t="inlineStr">
        <is>
          <t>Allocates people and sets team priorities</t>
        </is>
      </c>
      <c r="M18" s="84" t="inlineStr">
        <is>
          <t>Already works at B3: Commercial / strategic calls for the unit</t>
        </is>
      </c>
      <c r="N18" s="34" t="inlineStr">
        <is>
          <t>M</t>
        </is>
      </c>
      <c r="O18" s="84" t="inlineStr">
        <is>
          <t>Works at B1: A domain or a small team</t>
        </is>
      </c>
      <c r="P18" s="84" t="inlineStr">
        <is>
          <t>One team or a client portfolio</t>
        </is>
      </c>
      <c r="Q18" s="84" t="inlineStr">
        <is>
          <t>Already works at B3: Several teams or a practice</t>
        </is>
      </c>
      <c r="R18" s="34" t="inlineStr">
        <is>
          <t>M</t>
        </is>
      </c>
      <c r="S18" s="56" t="inlineStr">
        <is>
          <t>Works at B1: IC: mentors and reviews · People: hands-on team lead of 3–5</t>
        </is>
      </c>
      <c r="T18" s="56" t="inlineStr">
        <is>
          <t>IC: guides others in the domain · People: manages a team of 6+</t>
        </is>
      </c>
      <c r="U18" s="56" t="inlineStr">
        <is>
          <t>Already works at B3: IC: leads a practice · People: team leads / managers report in</t>
        </is>
      </c>
      <c r="V18" s="34" t="inlineStr">
        <is>
          <t>L</t>
        </is>
      </c>
      <c r="W18" s="56" t="inlineStr">
        <is>
          <t>Works at B1: Moves a module's, product area's or client account's results</t>
        </is>
      </c>
      <c r="X18" s="56" t="inlineStr">
        <is>
          <t>Visible effect on a team's or client portfolio's revenue, quality or compliance</t>
        </is>
      </c>
      <c r="Y18" s="56" t="inlineStr">
        <is>
          <t>Already works at B3: Shapes the results of a practice or several teams</t>
        </is>
      </c>
      <c r="Z18" s="34" t="inlineStr">
        <is>
          <t>L</t>
        </is>
      </c>
      <c r="AA18" s="85" t="inlineStr">
        <is>
          <t>Less experience than the band's typical 6–9 yrs</t>
        </is>
      </c>
      <c r="AB18" s="85" t="inlineStr">
        <is>
          <t>Typical for the band: 6–9 yrs · market 6–10 yrs</t>
        </is>
      </c>
      <c r="AC18" s="85" t="inlineStr">
        <is>
          <t>More experience than the band's typical 6–9 yrs</t>
        </is>
      </c>
      <c r="AD18" s="34" t="inlineStr">
        <is>
          <t>L</t>
        </is>
      </c>
      <c r="AE18" s="85" t="inlineStr">
        <is>
          <t>Below: Graduate + relevant qualification or certification preferred</t>
        </is>
      </c>
      <c r="AF18" s="85" t="inlineStr">
        <is>
          <t>Graduate or postgraduate; professional qualification preferred</t>
        </is>
      </c>
      <c r="AG18" s="85" t="inlineStr">
        <is>
          <t>Above: Postgraduate or professional qualification preferred</t>
        </is>
      </c>
      <c r="AH18" s="44" t="inlineStr">
        <is>
          <t>37 · 18.3 · 11.3 · 15 · 8.7 · 6 · 4</t>
        </is>
      </c>
      <c r="AI18" s="38" t="inlineStr">
        <is>
          <t>6–10</t>
        </is>
      </c>
      <c r="AJ18" s="38" t="inlineStr">
        <is>
          <t>IC: none · People: 6–8 knowledge work, 8–12 standardised delivery</t>
        </is>
      </c>
      <c r="AK18" s="38" t="inlineStr">
        <is>
          <t>P4 / M3 · SFIA 4–5</t>
        </is>
      </c>
      <c r="AL18"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9" ht="120" customHeight="1">
      <c r="A19" s="90" t="inlineStr">
        <is>
          <t>B2</t>
        </is>
      </c>
      <c r="B19" s="29" t="inlineStr">
        <is>
          <t>Band B · Specialist / Manager</t>
        </is>
      </c>
      <c r="C19" s="29" t="inlineStr">
        <is>
          <t>Band B · Specialist / POD Lead</t>
        </is>
      </c>
      <c r="D19" s="29" t="inlineStr">
        <is>
          <t>Senior Specialist</t>
        </is>
      </c>
      <c r="E19" s="29" t="inlineStr">
        <is>
          <t>— no role at this level today</t>
        </is>
      </c>
      <c r="F19" s="34" t="inlineStr">
        <is>
          <t>H</t>
        </is>
      </c>
      <c r="G19" s="84" t="inlineStr">
        <is>
          <t>Works at B1: Domain specialist work</t>
        </is>
      </c>
      <c r="H19" s="84" t="inlineStr">
        <is>
          <t>Hardest problems in the domain</t>
        </is>
      </c>
      <c r="I19" s="84" t="inlineStr">
        <is>
          <t>Already works at B3: Sets standards for a practice; cross-team problems</t>
        </is>
      </c>
      <c r="J19" s="34" t="inlineStr">
        <is>
          <t>M</t>
        </is>
      </c>
      <c r="K19" s="84" t="inlineStr">
        <is>
          <t>Works at B1: Technical / QC / client calls for the domain</t>
        </is>
      </c>
      <c r="L19" s="84" t="inlineStr">
        <is>
          <t>Allocates people and sets team priorities</t>
        </is>
      </c>
      <c r="M19" s="84" t="inlineStr">
        <is>
          <t>Already works at B3: Commercial / strategic calls for the unit</t>
        </is>
      </c>
      <c r="N19" s="34" t="inlineStr">
        <is>
          <t>M</t>
        </is>
      </c>
      <c r="O19" s="84" t="inlineStr">
        <is>
          <t>Works at B1: A domain or a small team</t>
        </is>
      </c>
      <c r="P19" s="84" t="inlineStr">
        <is>
          <t>One team or a client portfolio</t>
        </is>
      </c>
      <c r="Q19" s="84" t="inlineStr">
        <is>
          <t>Already works at B3: Several teams or a practice</t>
        </is>
      </c>
      <c r="R19" s="34" t="inlineStr">
        <is>
          <t>L</t>
        </is>
      </c>
      <c r="S19" s="56" t="inlineStr">
        <is>
          <t>Works at B1: IC: mentors and reviews · People: hands-on team lead of 3–5</t>
        </is>
      </c>
      <c r="T19" s="56" t="inlineStr">
        <is>
          <t>IC: guides others in the domain · People: manages a team of 6+</t>
        </is>
      </c>
      <c r="U19" s="56" t="inlineStr">
        <is>
          <t>Already works at B3: IC: leads a practice · People: team leads / managers report in</t>
        </is>
      </c>
      <c r="V19" s="34" t="inlineStr">
        <is>
          <t>L</t>
        </is>
      </c>
      <c r="W19" s="56" t="inlineStr">
        <is>
          <t>Works at B1: Moves a module's, product area's or client account's results</t>
        </is>
      </c>
      <c r="X19" s="56" t="inlineStr">
        <is>
          <t>Visible effect on a team's or client portfolio's revenue, quality or compliance</t>
        </is>
      </c>
      <c r="Y19" s="56" t="inlineStr">
        <is>
          <t>Already works at B3: Shapes the results of a practice or several teams</t>
        </is>
      </c>
      <c r="Z19" s="34" t="inlineStr">
        <is>
          <t>L</t>
        </is>
      </c>
      <c r="AA19" s="85" t="inlineStr">
        <is>
          <t>Less experience than the band's typical 6–9 yrs</t>
        </is>
      </c>
      <c r="AB19" s="85" t="inlineStr">
        <is>
          <t>Typical for the band: 6–9 yrs · market 6–10 yrs</t>
        </is>
      </c>
      <c r="AC19" s="85" t="inlineStr">
        <is>
          <t>More experience than the band's typical 6–9 yrs</t>
        </is>
      </c>
      <c r="AD19" s="34" t="inlineStr">
        <is>
          <t>L</t>
        </is>
      </c>
      <c r="AE19" s="85" t="inlineStr">
        <is>
          <t>Below: Graduate + relevant qualification or certification preferred</t>
        </is>
      </c>
      <c r="AF19" s="85" t="inlineStr">
        <is>
          <t>Graduate or postgraduate; professional qualification preferred</t>
        </is>
      </c>
      <c r="AG19" s="85" t="inlineStr">
        <is>
          <t>Above: Postgraduate or professional qualification preferred</t>
        </is>
      </c>
      <c r="AH19" s="44" t="inlineStr">
        <is>
          <t>51.3 · 17.3 · 9.7 · 5 · 7 · 6 · 4</t>
        </is>
      </c>
      <c r="AI19" s="38" t="inlineStr">
        <is>
          <t>6–10</t>
        </is>
      </c>
      <c r="AJ19" s="38" t="inlineStr">
        <is>
          <t>IC: none · People: 6–8 knowledge work, 8–12 standardised delivery</t>
        </is>
      </c>
      <c r="AK19" s="38" t="inlineStr">
        <is>
          <t>P4 / M3 · SFIA 4–5</t>
        </is>
      </c>
      <c r="AL19"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0" ht="120" customHeight="1">
      <c r="A20" s="90" t="inlineStr">
        <is>
          <t>B1</t>
        </is>
      </c>
      <c r="B20" s="29" t="inlineStr">
        <is>
          <t>Band B · Specialist / Manager</t>
        </is>
      </c>
      <c r="C20" s="29" t="inlineStr">
        <is>
          <t>Band B · People Manager</t>
        </is>
      </c>
      <c r="D20" s="29" t="inlineStr">
        <is>
          <t>Team Lead / Asst Manager</t>
        </is>
      </c>
      <c r="E20" s="29" t="inlineStr">
        <is>
          <t>— no role at this level today</t>
        </is>
      </c>
      <c r="F20" s="34" t="inlineStr">
        <is>
          <t>H</t>
        </is>
      </c>
      <c r="G20" s="84" t="inlineStr">
        <is>
          <t>Works at A3: Varied and non-standard work; handles exceptions</t>
        </is>
      </c>
      <c r="H20" s="84" t="inlineStr">
        <is>
          <t>Domain specialist work</t>
        </is>
      </c>
      <c r="I20" s="84" t="inlineStr">
        <is>
          <t>Already works at B2: Hardest problems in the domain</t>
        </is>
      </c>
      <c r="J20" s="34" t="inlineStr">
        <is>
          <t>M</t>
        </is>
      </c>
      <c r="K20" s="84" t="inlineStr">
        <is>
          <t>Works at A3: Technical / QC / client calls on own work</t>
        </is>
      </c>
      <c r="L20" s="84" t="inlineStr">
        <is>
          <t>Technical / QC / client calls for the domain</t>
        </is>
      </c>
      <c r="M20" s="84" t="inlineStr">
        <is>
          <t>Already works at B2: Allocates people and sets team priorities</t>
        </is>
      </c>
      <c r="N20" s="34" t="inlineStr">
        <is>
          <t>M</t>
        </is>
      </c>
      <c r="O20" s="84" t="inlineStr">
        <is>
          <t>Works at A3: A module / process, or work with client or regulatory consequences</t>
        </is>
      </c>
      <c r="P20" s="84" t="inlineStr">
        <is>
          <t>A domain or a small team</t>
        </is>
      </c>
      <c r="Q20" s="84" t="inlineStr">
        <is>
          <t>Already works at B2: One team or a client portfolio</t>
        </is>
      </c>
      <c r="R20" s="34" t="inlineStr">
        <is>
          <t>M</t>
        </is>
      </c>
      <c r="S20" s="56" t="inlineStr">
        <is>
          <t>Works at A3: contributes alone; guides others only informally</t>
        </is>
      </c>
      <c r="T20" s="56" t="inlineStr">
        <is>
          <t>IC: mentors and reviews · People: hands-on team lead of 3–5</t>
        </is>
      </c>
      <c r="U20" s="56" t="inlineStr">
        <is>
          <t>Already works at B2: IC: guides others in the domain · People: manages a team of 6+</t>
        </is>
      </c>
      <c r="V20" s="34" t="inlineStr">
        <is>
          <t>L</t>
        </is>
      </c>
      <c r="W20" s="56" t="inlineStr">
        <is>
          <t>Works at A3: A process or client deliverable depends on this work</t>
        </is>
      </c>
      <c r="X20" s="56" t="inlineStr">
        <is>
          <t>Moves a module's, product area's or client account's results</t>
        </is>
      </c>
      <c r="Y20" s="56" t="inlineStr">
        <is>
          <t>Already works at B2: Visible effect on a team's or client portfolio's revenue, quality or compliance</t>
        </is>
      </c>
      <c r="Z20" s="34" t="inlineStr">
        <is>
          <t>L</t>
        </is>
      </c>
      <c r="AA20" s="85" t="inlineStr">
        <is>
          <t>Less experience than the band's typical 4–7 yrs</t>
        </is>
      </c>
      <c r="AB20" s="85" t="inlineStr">
        <is>
          <t>Typical for the band: 4–7 yrs · market 4–8 yrs</t>
        </is>
      </c>
      <c r="AC20" s="85" t="inlineStr">
        <is>
          <t>More experience than the band's typical 4–7 yrs</t>
        </is>
      </c>
      <c r="AD20" s="34" t="inlineStr">
        <is>
          <t>L</t>
        </is>
      </c>
      <c r="AE20" s="85" t="inlineStr">
        <is>
          <t>Below: Graduate; relevant certification preferred</t>
        </is>
      </c>
      <c r="AF20" s="85" t="inlineStr">
        <is>
          <t>Graduate + relevant qualification or certification preferred</t>
        </is>
      </c>
      <c r="AG20" s="85" t="inlineStr">
        <is>
          <t>Above: Graduate or postgraduate; professional qualification preferred</t>
        </is>
      </c>
      <c r="AH20" s="44" t="inlineStr">
        <is>
          <t>37 · 18.3 · 11.3 · 15 · 8.7 · 6 · 4</t>
        </is>
      </c>
      <c r="AI20" s="38" t="inlineStr">
        <is>
          <t>4–8</t>
        </is>
      </c>
      <c r="AJ20" s="38" t="inlineStr">
        <is>
          <t>IC: none · Team Lead: 3–5</t>
        </is>
      </c>
      <c r="AK20" s="38" t="inlineStr">
        <is>
          <t>P3 / M2 · SFIA 4 Enable</t>
        </is>
      </c>
      <c r="AL20"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1" ht="120" customHeight="1">
      <c r="A21" s="90" t="inlineStr">
        <is>
          <t>B1</t>
        </is>
      </c>
      <c r="B21" s="29" t="inlineStr">
        <is>
          <t>Band B · Specialist / Manager</t>
        </is>
      </c>
      <c r="C21" s="29" t="inlineStr">
        <is>
          <t>Band B · Specialist / POD Lead</t>
        </is>
      </c>
      <c r="D21" s="29" t="inlineStr">
        <is>
          <t>Specialist</t>
        </is>
      </c>
      <c r="E21" s="29" t="inlineStr">
        <is>
          <t>— no role at this level today</t>
        </is>
      </c>
      <c r="F21" s="34" t="inlineStr">
        <is>
          <t>H</t>
        </is>
      </c>
      <c r="G21" s="84" t="inlineStr">
        <is>
          <t>Works at A3: Varied and non-standard work; handles exceptions</t>
        </is>
      </c>
      <c r="H21" s="84" t="inlineStr">
        <is>
          <t>Domain specialist work</t>
        </is>
      </c>
      <c r="I21" s="84" t="inlineStr">
        <is>
          <t>Already works at B2: Hardest problems in the domain</t>
        </is>
      </c>
      <c r="J21" s="34" t="inlineStr">
        <is>
          <t>M</t>
        </is>
      </c>
      <c r="K21" s="84" t="inlineStr">
        <is>
          <t>Works at A3: Technical / QC / client calls on own work</t>
        </is>
      </c>
      <c r="L21" s="84" t="inlineStr">
        <is>
          <t>Technical / QC / client calls for the domain</t>
        </is>
      </c>
      <c r="M21" s="84" t="inlineStr">
        <is>
          <t>Already works at B2: Allocates people and sets team priorities</t>
        </is>
      </c>
      <c r="N21" s="34" t="inlineStr">
        <is>
          <t>M</t>
        </is>
      </c>
      <c r="O21" s="84" t="inlineStr">
        <is>
          <t>Works at A3: A module / process, or work with client or regulatory consequences</t>
        </is>
      </c>
      <c r="P21" s="84" t="inlineStr">
        <is>
          <t>A domain or a small team</t>
        </is>
      </c>
      <c r="Q21" s="84" t="inlineStr">
        <is>
          <t>Already works at B2: One team or a client portfolio</t>
        </is>
      </c>
      <c r="R21" s="34" t="inlineStr">
        <is>
          <t>L</t>
        </is>
      </c>
      <c r="S21" s="56" t="inlineStr">
        <is>
          <t>Works at A3: contributes alone; guides others only informally</t>
        </is>
      </c>
      <c r="T21" s="56" t="inlineStr">
        <is>
          <t>IC: mentors and reviews · People: hands-on team lead of 3–5</t>
        </is>
      </c>
      <c r="U21" s="56" t="inlineStr">
        <is>
          <t>Already works at B2: IC: guides others in the domain · People: manages a team of 6+</t>
        </is>
      </c>
      <c r="V21" s="34" t="inlineStr">
        <is>
          <t>L</t>
        </is>
      </c>
      <c r="W21" s="56" t="inlineStr">
        <is>
          <t>Works at A3: A process or client deliverable depends on this work</t>
        </is>
      </c>
      <c r="X21" s="56" t="inlineStr">
        <is>
          <t>Moves a module's, product area's or client account's results</t>
        </is>
      </c>
      <c r="Y21" s="56" t="inlineStr">
        <is>
          <t>Already works at B2: Visible effect on a team's or client portfolio's revenue, quality or compliance</t>
        </is>
      </c>
      <c r="Z21" s="34" t="inlineStr">
        <is>
          <t>L</t>
        </is>
      </c>
      <c r="AA21" s="85" t="inlineStr">
        <is>
          <t>Less experience than the band's typical 4–7 yrs</t>
        </is>
      </c>
      <c r="AB21" s="85" t="inlineStr">
        <is>
          <t>Typical for the band: 4–7 yrs · market 4–8 yrs</t>
        </is>
      </c>
      <c r="AC21" s="85" t="inlineStr">
        <is>
          <t>More experience than the band's typical 4–7 yrs</t>
        </is>
      </c>
      <c r="AD21" s="34" t="inlineStr">
        <is>
          <t>L</t>
        </is>
      </c>
      <c r="AE21" s="85" t="inlineStr">
        <is>
          <t>Below: Graduate; relevant certification preferred</t>
        </is>
      </c>
      <c r="AF21" s="85" t="inlineStr">
        <is>
          <t>Graduate + relevant qualification or certification preferred</t>
        </is>
      </c>
      <c r="AG21" s="85" t="inlineStr">
        <is>
          <t>Above: Graduate or postgraduate; professional qualification preferred</t>
        </is>
      </c>
      <c r="AH21" s="44" t="inlineStr">
        <is>
          <t>51.3 · 17.3 · 9.7 · 5 · 7 · 6 · 4</t>
        </is>
      </c>
      <c r="AI21" s="38" t="inlineStr">
        <is>
          <t>4–8</t>
        </is>
      </c>
      <c r="AJ21" s="38" t="inlineStr">
        <is>
          <t>IC: none · Team Lead: 3–5</t>
        </is>
      </c>
      <c r="AK21" s="38" t="inlineStr">
        <is>
          <t>P3 / M2 · SFIA 4 Enable</t>
        </is>
      </c>
      <c r="AL21"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2" ht="120" customHeight="1">
      <c r="A22" s="91" t="inlineStr">
        <is>
          <t>A3</t>
        </is>
      </c>
      <c r="B22" s="29" t="inlineStr">
        <is>
          <t>Band A · Practitioner</t>
        </is>
      </c>
      <c r="C22" s="29" t="inlineStr">
        <is>
          <t>Band A · all tracks</t>
        </is>
      </c>
      <c r="D22" s="29" t="inlineStr">
        <is>
          <t>Senior Associate</t>
        </is>
      </c>
      <c r="E22" s="29" t="inlineStr">
        <is>
          <t>— no role at this level today</t>
        </is>
      </c>
      <c r="F22" s="34" t="inlineStr">
        <is>
          <t>H</t>
        </is>
      </c>
      <c r="G22" s="84" t="inlineStr">
        <is>
          <t>Works at A2: Standard work of the discipline</t>
        </is>
      </c>
      <c r="H22" s="84" t="inlineStr">
        <is>
          <t>Varied and non-standard work; handles exceptions</t>
        </is>
      </c>
      <c r="I22" s="84" t="inlineStr">
        <is>
          <t>Already works at B1: Domain specialist work</t>
        </is>
      </c>
      <c r="J22" s="34" t="inlineStr">
        <is>
          <t>M</t>
        </is>
      </c>
      <c r="K22" s="84" t="inlineStr">
        <is>
          <t>Works at A2: Chooses own approach within standards</t>
        </is>
      </c>
      <c r="L22" s="84" t="inlineStr">
        <is>
          <t>Technical / QC / client calls on own work</t>
        </is>
      </c>
      <c r="M22" s="84" t="inlineStr">
        <is>
          <t>Already works at B1: Technical / QC / client calls for the domain</t>
        </is>
      </c>
      <c r="N22" s="34" t="inlineStr">
        <is>
          <t>M</t>
        </is>
      </c>
      <c r="O22" s="84" t="inlineStr">
        <is>
          <t>Works at A2: Own deliverables · accuracy, TAT</t>
        </is>
      </c>
      <c r="P22" s="84" t="inlineStr">
        <is>
          <t>A module / process, or work with client or regulatory consequences</t>
        </is>
      </c>
      <c r="Q22" s="84" t="inlineStr">
        <is>
          <t>Already works at B1: A domain or a small team</t>
        </is>
      </c>
      <c r="R22" s="34" t="inlineStr">
        <is>
          <t>L</t>
        </is>
      </c>
      <c r="S22" s="56" t="inlineStr">
        <is>
          <t>Works at A2: contributes alone; guides others only informally</t>
        </is>
      </c>
      <c r="T22" s="56" t="inlineStr">
        <is>
          <t>Helps peers and newer people informally · None · guides 1–3 juniors informally</t>
        </is>
      </c>
      <c r="U22" s="56" t="inlineStr">
        <is>
          <t>Already works at B1: IC: mentors and reviews · People: hands-on team lead of 3–5</t>
        </is>
      </c>
      <c r="V22" s="34" t="inlineStr">
        <is>
          <t>L</t>
        </is>
      </c>
      <c r="W22" s="56" t="inlineStr">
        <is>
          <t>Works at A2: Own deliverables feed a team's output and turnaround</t>
        </is>
      </c>
      <c r="X22" s="56" t="inlineStr">
        <is>
          <t>A process or client deliverable depends on this work</t>
        </is>
      </c>
      <c r="Y22" s="56" t="inlineStr">
        <is>
          <t>Already works at B1: Moves a module's, product area's or client account's results</t>
        </is>
      </c>
      <c r="Z22" s="34" t="inlineStr">
        <is>
          <t>L</t>
        </is>
      </c>
      <c r="AA22" s="85" t="inlineStr">
        <is>
          <t>Less experience than the band's typical 2–4 yrs</t>
        </is>
      </c>
      <c r="AB22" s="85" t="inlineStr">
        <is>
          <t>Typical for the band: 2–4 yrs · market 2–5 yrs</t>
        </is>
      </c>
      <c r="AC22" s="85" t="inlineStr">
        <is>
          <t>More experience than the band's typical 2–4 yrs</t>
        </is>
      </c>
      <c r="AD22" s="34" t="inlineStr">
        <is>
          <t>L</t>
        </is>
      </c>
      <c r="AE22" s="85" t="inlineStr">
        <is>
          <t>Below: Graduate · or diploma with experience</t>
        </is>
      </c>
      <c r="AF22" s="85" t="inlineStr">
        <is>
          <t>Graduate; relevant certification preferred</t>
        </is>
      </c>
      <c r="AG22" s="85" t="inlineStr">
        <is>
          <t>Above: Graduate + relevant qualification or certification preferred</t>
        </is>
      </c>
      <c r="AH22" s="44" t="inlineStr">
        <is>
          <t>58.3 · 16 · 9 · 0 · 6.3 · 6 · 4</t>
        </is>
      </c>
      <c r="AI22" s="38" t="inlineStr">
        <is>
          <t>2–5</t>
        </is>
      </c>
      <c r="AJ22" s="38" t="inlineStr">
        <is>
          <t>None · guides 1–3 juniors informally</t>
        </is>
      </c>
      <c r="AK22" s="38" t="inlineStr">
        <is>
          <t>P2 · SFIA 3 Apply</t>
        </is>
      </c>
      <c r="AL22"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3" ht="120" customHeight="1">
      <c r="A23" s="91" t="inlineStr">
        <is>
          <t>A2</t>
        </is>
      </c>
      <c r="B23" s="29" t="inlineStr">
        <is>
          <t>Band A · Practitioner</t>
        </is>
      </c>
      <c r="C23" s="29" t="inlineStr">
        <is>
          <t>Band A · all tracks</t>
        </is>
      </c>
      <c r="D23" s="29" t="inlineStr">
        <is>
          <t>Associate</t>
        </is>
      </c>
      <c r="E23" s="29" t="inlineStr">
        <is>
          <t>— no role at this level today</t>
        </is>
      </c>
      <c r="F23" s="34" t="inlineStr">
        <is>
          <t>H</t>
        </is>
      </c>
      <c r="G23" s="84" t="inlineStr">
        <is>
          <t>Works at A1: Learning; follows worked examples</t>
        </is>
      </c>
      <c r="H23" s="84" t="inlineStr">
        <is>
          <t>Standard work of the discipline</t>
        </is>
      </c>
      <c r="I23" s="84" t="inlineStr">
        <is>
          <t>Already works at A3: Varied and non-standard work; handles exceptions</t>
        </is>
      </c>
      <c r="J23" s="34" t="inlineStr">
        <is>
          <t>M</t>
        </is>
      </c>
      <c r="K23" s="84" t="inlineStr">
        <is>
          <t>Works at A1: Needs approval / close guidance</t>
        </is>
      </c>
      <c r="L23" s="84" t="inlineStr">
        <is>
          <t>Chooses own approach within standards</t>
        </is>
      </c>
      <c r="M23" s="84" t="inlineStr">
        <is>
          <t>Already works at A3: Technical / QC / client calls on own work</t>
        </is>
      </c>
      <c r="N23" s="34" t="inlineStr">
        <is>
          <t>M</t>
        </is>
      </c>
      <c r="O23" s="84" t="inlineStr">
        <is>
          <t>Works at A1: Learning tasks</t>
        </is>
      </c>
      <c r="P23" s="84" t="inlineStr">
        <is>
          <t>Own deliverables · accuracy, TAT</t>
        </is>
      </c>
      <c r="Q23" s="84" t="inlineStr">
        <is>
          <t>Already works at A3: A module / process, or work with client or regulatory consequences</t>
        </is>
      </c>
      <c r="R23" s="34" t="inlineStr">
        <is>
          <t>L</t>
        </is>
      </c>
      <c r="S23" s="56" t="inlineStr">
        <is>
          <t>Works at A1: contributes alone; guides others only informally</t>
        </is>
      </c>
      <c r="T23" s="56" t="inlineStr">
        <is>
          <t>Helps peers and newer people informally · No direct reports</t>
        </is>
      </c>
      <c r="U23" s="56" t="inlineStr">
        <is>
          <t>Already works at A3: Not scored in Band A</t>
        </is>
      </c>
      <c r="V23" s="34" t="inlineStr">
        <is>
          <t>L</t>
        </is>
      </c>
      <c r="W23" s="56" t="inlineStr">
        <is>
          <t>Works at A1: Learning; little direct effect on business results yet</t>
        </is>
      </c>
      <c r="X23" s="56" t="inlineStr">
        <is>
          <t>Own deliverables feed a team's output and turnaround</t>
        </is>
      </c>
      <c r="Y23" s="56" t="inlineStr">
        <is>
          <t>Already works at A3: A process or client deliverable depends on this work</t>
        </is>
      </c>
      <c r="Z23" s="34" t="inlineStr">
        <is>
          <t>L</t>
        </is>
      </c>
      <c r="AA23" s="85" t="inlineStr">
        <is>
          <t>Less experience than the band's typical 0–2 yrs</t>
        </is>
      </c>
      <c r="AB23" s="85" t="inlineStr">
        <is>
          <t>Typical for the band: 0–2 yrs · market 0–3 yrs</t>
        </is>
      </c>
      <c r="AC23" s="85" t="inlineStr">
        <is>
          <t>More experience than the band's typical 0–2 yrs</t>
        </is>
      </c>
      <c r="AD23" s="34" t="inlineStr">
        <is>
          <t>L</t>
        </is>
      </c>
      <c r="AE23" s="85" t="inlineStr">
        <is>
          <t>Below: Pursuing or completed graduation / diploma</t>
        </is>
      </c>
      <c r="AF23" s="85" t="inlineStr">
        <is>
          <t>Graduate · or diploma with experience</t>
        </is>
      </c>
      <c r="AG23" s="85" t="inlineStr">
        <is>
          <t>Above: Graduate; relevant certification preferred</t>
        </is>
      </c>
      <c r="AH23" s="44" t="inlineStr">
        <is>
          <t>58.3 · 16 · 9 · 0 · 6.3 · 6 · 4</t>
        </is>
      </c>
      <c r="AI23" s="38" t="inlineStr">
        <is>
          <t>0–3</t>
        </is>
      </c>
      <c r="AJ23" s="38" t="inlineStr">
        <is>
          <t>No direct reports</t>
        </is>
      </c>
      <c r="AK23" s="38" t="inlineStr">
        <is>
          <t>P1–P2 · SFIA 2 Assist</t>
        </is>
      </c>
      <c r="AL23"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4" ht="120" customHeight="1">
      <c r="A24" s="91" t="inlineStr">
        <is>
          <t>A1</t>
        </is>
      </c>
      <c r="B24" s="29" t="inlineStr">
        <is>
          <t>Band A · Practitioner</t>
        </is>
      </c>
      <c r="C24" s="29" t="inlineStr">
        <is>
          <t>Band A · all tracks</t>
        </is>
      </c>
      <c r="D24" s="29" t="inlineStr">
        <is>
          <t>Intern / Trainee</t>
        </is>
      </c>
      <c r="E24" s="29" t="inlineStr">
        <is>
          <t>— no role at this level today</t>
        </is>
      </c>
      <c r="F24" s="34" t="inlineStr">
        <is>
          <t>H</t>
        </is>
      </c>
      <c r="G24" s="84" t="inlineStr">
        <is>
          <t>Not yet at the entry standard · in induction</t>
        </is>
      </c>
      <c r="H24" s="84" t="inlineStr">
        <is>
          <t>Learning; follows worked examples</t>
        </is>
      </c>
      <c r="I24" s="84" t="inlineStr">
        <is>
          <t>Already works at A2: Standard work of the discipline</t>
        </is>
      </c>
      <c r="J24" s="34" t="inlineStr">
        <is>
          <t>M</t>
        </is>
      </c>
      <c r="K24" s="84" t="inlineStr">
        <is>
          <t>Not yet at the entry standard · in induction</t>
        </is>
      </c>
      <c r="L24" s="84" t="inlineStr">
        <is>
          <t>Needs approval / close guidance</t>
        </is>
      </c>
      <c r="M24" s="84" t="inlineStr">
        <is>
          <t>Already works at A2: Chooses own approach within standards</t>
        </is>
      </c>
      <c r="N24" s="34" t="inlineStr">
        <is>
          <t>M</t>
        </is>
      </c>
      <c r="O24" s="84" t="inlineStr">
        <is>
          <t>Not yet at the entry standard · in induction</t>
        </is>
      </c>
      <c r="P24" s="84" t="inlineStr">
        <is>
          <t>Learning tasks</t>
        </is>
      </c>
      <c r="Q24" s="84" t="inlineStr">
        <is>
          <t>Already works at A2: Own deliverables · accuracy, TAT</t>
        </is>
      </c>
      <c r="R24" s="34" t="inlineStr">
        <is>
          <t>L</t>
        </is>
      </c>
      <c r="S24" s="56" t="inlineStr">
        <is>
          <t>Not yet at the entry standard · in induction</t>
        </is>
      </c>
      <c r="T24" s="56" t="inlineStr">
        <is>
          <t>Helps peers and newer people informally · No direct reports</t>
        </is>
      </c>
      <c r="U24" s="56" t="inlineStr">
        <is>
          <t>Already works at A2: Not scored in Band A</t>
        </is>
      </c>
      <c r="V24" s="34" t="inlineStr">
        <is>
          <t>L</t>
        </is>
      </c>
      <c r="W24" s="56" t="inlineStr">
        <is>
          <t>Not yet at the entry standard · in induction</t>
        </is>
      </c>
      <c r="X24" s="56" t="inlineStr">
        <is>
          <t>Learning; little direct effect on business results yet</t>
        </is>
      </c>
      <c r="Y24" s="56" t="inlineStr">
        <is>
          <t>Already works at A2: Own deliverables feed a team's output and turnaround</t>
        </is>
      </c>
      <c r="Z24" s="34" t="inlineStr">
        <is>
          <t>L</t>
        </is>
      </c>
      <c r="AA24" s="85" t="inlineStr">
        <is>
          <t>Less experience than the band's typical 0 yrs · fresher / intern</t>
        </is>
      </c>
      <c r="AB24" s="85" t="inlineStr">
        <is>
          <t>Typical for the band: 0 yrs · fresher / intern · market — yrs</t>
        </is>
      </c>
      <c r="AC24" s="85" t="inlineStr">
        <is>
          <t>More experience than the band's typical 0 yrs · fresher / intern</t>
        </is>
      </c>
      <c r="AD24" s="34" t="inlineStr">
        <is>
          <t>L</t>
        </is>
      </c>
      <c r="AE24" s="85" t="inlineStr">
        <is>
          <t>Below graduation · still studying</t>
        </is>
      </c>
      <c r="AF24" s="85" t="inlineStr">
        <is>
          <t>Pursuing or completed graduation / diploma</t>
        </is>
      </c>
      <c r="AG24" s="85" t="inlineStr">
        <is>
          <t>Above: Graduate · or diploma with experience</t>
        </is>
      </c>
      <c r="AH24" s="44" t="inlineStr">
        <is>
          <t>58.3 · 16 · 9 · 0 · 6.3 · 6 · 4</t>
        </is>
      </c>
      <c r="AI24" s="38" t="inlineStr">
        <is>
          <t>0 yrs · fresher / intern</t>
        </is>
      </c>
      <c r="AJ24" s="38" t="inlineStr">
        <is>
          <t>No direct reports</t>
        </is>
      </c>
      <c r="AK24" s="38" t="inlineStr">
        <is>
          <t>Entry / P1 · intern · SFIA 1 Follow</t>
        </is>
      </c>
      <c r="AL24"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sheetData>
  <autoFilter ref="A5:AL24"/>
  <mergeCells count="1">
    <mergeCell ref="A2:N2"/>
  </mergeCells>
  <dataValidations count="1">
    <dataValidation sqref="F6 F7 F8 F9 F10 F11 F12 F13 F14 F15 F16 F17 F18 F19 F20 F21 F22 F23 F24 J6 J7 J8 J9 J10 J11 J12 J13 J14 J15 J16 J17 J18 J19 J20 J21 J22 J23 J24 N6 N7 N8 N9 N10 N11 N12 N13 N14 N15 N16 N17 N18 N19 N20 N21 N22 N23 N24 R6 R7 R8 R9 R10 R11 R12 R13 R14 R15 R16 R17 R18 R19 R20 R21 R22 R23 R24 V6 V7 V8 V9 V10 V11 V12 V13 V14 V15 V16 V17 V18 V19 V20 V21 V22 V23 V24 Z6 Z7 Z8 Z9 Z10 Z11 Z12 Z13 Z14 Z15 Z16 Z17 Z18 Z19 Z20 Z21 Z22 Z23 Z24 AD6 AD7 AD8 AD9 AD10 AD11 AD12 AD13 AD14 AD15 AD16 AD17 AD18 AD19 AD20 AD21 AD22 AD23 AD24" showDropDown="0" showInputMessage="0" showErrorMessage="0" allowBlank="1" type="list">
      <formula1>LIST_LMH</formula1>
    </dataValidation>
  </dataValidations>
  <hyperlinks>
    <hyperlink xmlns:r="http://schemas.openxmlformats.org/officeDocument/2006/relationships" ref="O1" r:id="rId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L24"/>
  <sheetViews>
    <sheetView zoomScale="85" workbookViewId="0">
      <pane xSplit="5" ySplit="5" topLeftCell="F6" activePane="bottomRight" state="frozen"/>
      <selection pane="topRight"/>
      <selection pane="bottomLeft"/>
      <selection pane="bottomRight" activeCell="A1" sqref="A1"/>
    </sheetView>
  </sheetViews>
  <sheetFormatPr baseColWidth="8" defaultRowHeight="15"/>
  <cols>
    <col width="7" customWidth="1" min="1" max="1"/>
    <col width="16" customWidth="1" min="2" max="2"/>
    <col width="18" customWidth="1" min="3" max="3"/>
    <col width="20" customWidth="1" min="4" max="4"/>
    <col width="34" customWidth="1" min="5" max="5"/>
    <col width="9" customWidth="1" min="6" max="6"/>
    <col width="30" customWidth="1" min="7" max="7"/>
    <col width="34" customWidth="1" min="8" max="8"/>
    <col width="30" customWidth="1" min="9" max="9"/>
    <col width="9" customWidth="1" min="10" max="10"/>
    <col width="30" customWidth="1" min="11" max="11"/>
    <col width="34" customWidth="1" min="12" max="12"/>
    <col width="30" customWidth="1" min="13" max="13"/>
    <col width="9" customWidth="1" min="14" max="14"/>
    <col width="30" customWidth="1" min="15" max="15"/>
    <col width="34" customWidth="1" min="16" max="16"/>
    <col width="30" customWidth="1" min="17" max="17"/>
    <col width="9" customWidth="1" min="18" max="18"/>
    <col width="30" customWidth="1" min="19" max="19"/>
    <col width="34" customWidth="1" min="20" max="20"/>
    <col width="30" customWidth="1" min="21" max="21"/>
    <col width="9" customWidth="1" min="22" max="22"/>
    <col width="30" customWidth="1" min="23" max="23"/>
    <col width="34" customWidth="1" min="24" max="24"/>
    <col width="30" customWidth="1" min="25" max="25"/>
    <col width="9" customWidth="1" min="26" max="26"/>
    <col width="30" customWidth="1" min="27" max="27"/>
    <col width="34" customWidth="1" min="28" max="28"/>
    <col width="30" customWidth="1" min="29" max="29"/>
    <col width="9" customWidth="1" min="30" max="30"/>
    <col width="30" customWidth="1" min="31" max="31"/>
    <col width="34" customWidth="1" min="32" max="32"/>
    <col width="30" customWidth="1" min="33" max="33"/>
    <col width="26" customWidth="1" min="34" max="34"/>
    <col width="16" customWidth="1" min="35" max="35"/>
    <col width="22" customWidth="1" min="36" max="36"/>
    <col width="18" customWidth="1" min="37" max="37"/>
    <col width="40" customWidth="1" min="38" max="38"/>
  </cols>
  <sheetData>
    <row r="1" ht="24" customHeight="1">
      <c r="A1" s="1" t="inlineStr">
        <is>
          <t>Role &amp; band matrix — Finance &amp; Accounts</t>
        </is>
      </c>
      <c r="O1" s="7" t="inlineStr">
        <is>
          <t>◂ Start</t>
        </is>
      </c>
    </row>
    <row r="2" ht="30" customHeight="1">
      <c r="A2" s="2" t="inlineStr">
        <is>
          <t>What Low, Medium and High mean for each of the seven parameters at every level of Finance &amp; Accounts, and how much each parameter counts · main type of work: Corporate functions. Medium is the band as described; Low is the level below; High is the level above. Change a yellow weightage and every role, department ladder and person in this family recalculates.</t>
        </is>
      </c>
    </row>
    <row r="3">
      <c r="A3" s="3" t="inlineStr">
        <is>
          <t>IRIS · Job Architecture &amp; Job Design · Final v1.15 · October 2026 · Internal — Confidential · HR only</t>
        </is>
      </c>
    </row>
    <row r="4" ht="30" customHeight="1">
      <c r="A4" s="6" t="inlineStr">
        <is>
          <t>LEVEL</t>
        </is>
      </c>
      <c r="B4" s="6" t="n"/>
      <c r="C4" s="6" t="n"/>
      <c r="D4" s="6" t="n"/>
      <c r="E4" s="6" t="n"/>
      <c r="F4" s="45" t="inlineStr">
        <is>
          <t>COMPLEXITY &amp; EXPERTISE</t>
        </is>
      </c>
      <c r="G4" s="45" t="n"/>
      <c r="H4" s="45" t="n"/>
      <c r="I4" s="45" t="n"/>
      <c r="J4" s="45" t="inlineStr">
        <is>
          <t>AUTONOMY &amp; DECISION</t>
        </is>
      </c>
      <c r="K4" s="45" t="n"/>
      <c r="L4" s="45" t="n"/>
      <c r="M4" s="45" t="n"/>
      <c r="N4" s="45" t="inlineStr">
        <is>
          <t>ACCOUNTABILITY &amp; IMPACT</t>
        </is>
      </c>
      <c r="O4" s="45" t="n"/>
      <c r="P4" s="45" t="n"/>
      <c r="Q4" s="45" t="n"/>
      <c r="R4" s="47" t="inlineStr">
        <is>
          <t>LEADERSHIP &amp; STRATEGY</t>
        </is>
      </c>
      <c r="S4" s="47" t="n"/>
      <c r="T4" s="47" t="n"/>
      <c r="U4" s="47" t="n"/>
      <c r="V4" s="47" t="inlineStr">
        <is>
          <t>BUSINESS IMPACT</t>
        </is>
      </c>
      <c r="W4" s="47" t="n"/>
      <c r="X4" s="47" t="n"/>
      <c r="Y4" s="47" t="n"/>
      <c r="Z4" s="81" t="inlineStr">
        <is>
          <t>EXPERIENCE</t>
        </is>
      </c>
      <c r="AA4" s="81" t="n"/>
      <c r="AB4" s="81" t="n"/>
      <c r="AC4" s="81" t="n"/>
      <c r="AD4" s="81" t="inlineStr">
        <is>
          <t>EDUCATION</t>
        </is>
      </c>
      <c r="AE4" s="81" t="n"/>
      <c r="AF4" s="81" t="n"/>
      <c r="AG4" s="81" t="n"/>
      <c r="AH4" s="20" t="inlineStr">
        <is>
          <t>MARKET BENCHMARK &amp; REFERENCES</t>
        </is>
      </c>
      <c r="AI4" s="20" t="n"/>
      <c r="AJ4" s="20" t="n"/>
      <c r="AK4" s="20" t="n"/>
      <c r="AL4" s="20" t="n"/>
    </row>
    <row r="5" ht="60" customHeight="1">
      <c r="A5" s="22" t="inlineStr">
        <is>
          <t>Level</t>
        </is>
      </c>
      <c r="B5" s="22" t="inlineStr">
        <is>
          <t>Band</t>
        </is>
      </c>
      <c r="C5" s="22" t="inlineStr">
        <is>
          <t>Role group</t>
        </is>
      </c>
      <c r="D5" s="22" t="inlineStr">
        <is>
          <t>Level title</t>
        </is>
      </c>
      <c r="E5" s="22" t="inlineStr">
        <is>
          <t>Roles at this level in this family</t>
        </is>
      </c>
      <c r="F5" s="48" t="inlineStr">
        <is>
          <t>Weightage · L/M/H</t>
        </is>
      </c>
      <c r="G5" s="48" t="inlineStr">
        <is>
          <t>Low</t>
        </is>
      </c>
      <c r="H5" s="48" t="inlineStr">
        <is>
          <t>Medium</t>
        </is>
      </c>
      <c r="I5" s="48" t="inlineStr">
        <is>
          <t>High</t>
        </is>
      </c>
      <c r="J5" s="48" t="inlineStr">
        <is>
          <t>Weightage · L/M/H</t>
        </is>
      </c>
      <c r="K5" s="48" t="inlineStr">
        <is>
          <t>Low</t>
        </is>
      </c>
      <c r="L5" s="48" t="inlineStr">
        <is>
          <t>Medium</t>
        </is>
      </c>
      <c r="M5" s="48" t="inlineStr">
        <is>
          <t>High</t>
        </is>
      </c>
      <c r="N5" s="48" t="inlineStr">
        <is>
          <t>Weightage · L/M/H</t>
        </is>
      </c>
      <c r="O5" s="48" t="inlineStr">
        <is>
          <t>Low</t>
        </is>
      </c>
      <c r="P5" s="48" t="inlineStr">
        <is>
          <t>Medium</t>
        </is>
      </c>
      <c r="Q5" s="48" t="inlineStr">
        <is>
          <t>High</t>
        </is>
      </c>
      <c r="R5" s="50" t="inlineStr">
        <is>
          <t>Weightage · L/M/H</t>
        </is>
      </c>
      <c r="S5" s="50" t="inlineStr">
        <is>
          <t>Low</t>
        </is>
      </c>
      <c r="T5" s="50" t="inlineStr">
        <is>
          <t>Medium</t>
        </is>
      </c>
      <c r="U5" s="50" t="inlineStr">
        <is>
          <t>High</t>
        </is>
      </c>
      <c r="V5" s="50" t="inlineStr">
        <is>
          <t>Weightage · L/M/H</t>
        </is>
      </c>
      <c r="W5" s="50" t="inlineStr">
        <is>
          <t>Low</t>
        </is>
      </c>
      <c r="X5" s="50" t="inlineStr">
        <is>
          <t>Medium</t>
        </is>
      </c>
      <c r="Y5" s="50" t="inlineStr">
        <is>
          <t>High</t>
        </is>
      </c>
      <c r="Z5" s="82" t="inlineStr">
        <is>
          <t>Weightage · L/M/H</t>
        </is>
      </c>
      <c r="AA5" s="82" t="inlineStr">
        <is>
          <t>Low</t>
        </is>
      </c>
      <c r="AB5" s="82" t="inlineStr">
        <is>
          <t>Medium</t>
        </is>
      </c>
      <c r="AC5" s="82" t="inlineStr">
        <is>
          <t>High</t>
        </is>
      </c>
      <c r="AD5" s="82" t="inlineStr">
        <is>
          <t>Weightage · L/M/H</t>
        </is>
      </c>
      <c r="AE5" s="82" t="inlineStr">
        <is>
          <t>Low</t>
        </is>
      </c>
      <c r="AF5" s="82" t="inlineStr">
        <is>
          <t>Medium</t>
        </is>
      </c>
      <c r="AG5" s="82" t="inlineStr">
        <is>
          <t>High</t>
        </is>
      </c>
      <c r="AH5" s="26" t="inlineStr">
        <is>
          <t>Market weight % · C · Au · Ac · L · BI · Exp · Edu</t>
        </is>
      </c>
      <c r="AI5" s="26" t="inlineStr">
        <is>
          <t>Market experience · yrs</t>
        </is>
      </c>
      <c r="AJ5" s="26" t="inlineStr">
        <is>
          <t>Span norm</t>
        </is>
      </c>
      <c r="AK5" s="26" t="inlineStr">
        <is>
          <t>Radford / Mercer · SFIA 9</t>
        </is>
      </c>
      <c r="AL5" s="26" t="inlineStr">
        <is>
          <t>References</t>
        </is>
      </c>
    </row>
    <row r="6" ht="120" customHeight="1">
      <c r="A6" s="83" t="inlineStr">
        <is>
          <t>E2</t>
        </is>
      </c>
      <c r="B6" s="29" t="inlineStr">
        <is>
          <t>Band E · Enterprise leadership</t>
        </is>
      </c>
      <c r="C6" s="29" t="inlineStr">
        <is>
          <t>Bands D–E · Leadership</t>
        </is>
      </c>
      <c r="D6" s="29" t="inlineStr">
        <is>
          <t>Chief Executive Officer</t>
        </is>
      </c>
      <c r="E6" s="29" t="inlineStr">
        <is>
          <t>— no role at this level today</t>
        </is>
      </c>
      <c r="F6" s="34" t="inlineStr">
        <is>
          <t>H</t>
        </is>
      </c>
      <c r="G6" s="84" t="inlineStr">
        <is>
          <t>Works at E1: Enterprise-level functional strategy</t>
        </is>
      </c>
      <c r="H6" s="84" t="inlineStr">
        <is>
          <t>Enterprise-wide uncertainty, transformation and external forces</t>
        </is>
      </c>
      <c r="I6" s="84" t="inlineStr">
        <is>
          <t>Beyond the role · a board-level mandate</t>
        </is>
      </c>
      <c r="J6" s="34" t="inlineStr">
        <is>
          <t>M</t>
        </is>
      </c>
      <c r="K6" s="84" t="inlineStr">
        <is>
          <t>Works at E1: Sets enterprise priorities for the function</t>
        </is>
      </c>
      <c r="L6" s="84" t="inlineStr">
        <is>
          <t>Accountable to the board</t>
        </is>
      </c>
      <c r="M6" s="84" t="inlineStr">
        <is>
          <t>Beyond the role · a board-level mandate</t>
        </is>
      </c>
      <c r="N6" s="34" t="inlineStr">
        <is>
          <t>M</t>
        </is>
      </c>
      <c r="O6" s="84" t="inlineStr">
        <is>
          <t>Works at E1: Enterprise-wide functional results</t>
        </is>
      </c>
      <c r="P6" s="84" t="inlineStr">
        <is>
          <t>Enterprise results, risk, culture and long-term viability</t>
        </is>
      </c>
      <c r="Q6" s="84" t="inlineStr">
        <is>
          <t>Beyond the role · a board-level mandate</t>
        </is>
      </c>
      <c r="R6" s="34" t="inlineStr">
        <is>
          <t>M</t>
        </is>
      </c>
      <c r="S6" s="56" t="inlineStr">
        <is>
          <t>Works at E1: Shapes enterprise strategy</t>
        </is>
      </c>
      <c r="T6" s="56" t="inlineStr">
        <is>
          <t>Sets enterprise strategy; leads the executive team</t>
        </is>
      </c>
      <c r="U6" s="56" t="inlineStr">
        <is>
          <t>Beyond the role · a board-level mandate</t>
        </is>
      </c>
      <c r="V6" s="34" t="inlineStr">
        <is>
          <t>L</t>
        </is>
      </c>
      <c r="W6" s="56" t="inlineStr">
        <is>
          <t>Works at E1: Shapes company-wide results through a function</t>
        </is>
      </c>
      <c r="X6" s="56" t="inlineStr">
        <is>
          <t>Answers for the whole company's results and long-term value</t>
        </is>
      </c>
      <c r="Y6" s="56" t="inlineStr">
        <is>
          <t>Beyond the role · a board-level mandate</t>
        </is>
      </c>
      <c r="Z6" s="34" t="inlineStr">
        <is>
          <t>L</t>
        </is>
      </c>
      <c r="AA6" s="85" t="inlineStr">
        <is>
          <t>Less experience than the band's typical 20+ yrs</t>
        </is>
      </c>
      <c r="AB6" s="85" t="inlineStr">
        <is>
          <t>Typical for the band: 20+ yrs · market — yrs</t>
        </is>
      </c>
      <c r="AC6" s="85" t="inlineStr">
        <is>
          <t>More experience than the band's typical 20+ yrs</t>
        </is>
      </c>
      <c r="AD6" s="34" t="inlineStr">
        <is>
          <t>L</t>
        </is>
      </c>
      <c r="AE6" s="85" t="inlineStr">
        <is>
          <t>Below: Postgraduate / professional qualification; business leadership record</t>
        </is>
      </c>
      <c r="AF6" s="85" t="inlineStr">
        <is>
          <t>Postgraduate / professional qualification; proven business leadership · licence-to-practise roles: CA, CS, CMA or LLB as the role needs</t>
        </is>
      </c>
      <c r="AG6" s="85" t="inlineStr">
        <is>
          <t>Board-level credentials beyond the role's need</t>
        </is>
      </c>
      <c r="AH6" s="44" t="inlineStr">
        <is>
          <t>36.3 · 19 · 11.3 · 20 · 8.7 · 4 · 1</t>
        </is>
      </c>
      <c r="AI6" s="38" t="inlineStr">
        <is>
          <t>20+ yrs</t>
        </is>
      </c>
      <c r="AJ6" s="38" t="inlineStr">
        <is>
          <t>Executive team</t>
        </is>
      </c>
      <c r="AK6" s="38" t="inlineStr">
        <is>
          <t>E6 · SFIA 7</t>
        </is>
      </c>
      <c r="AL6"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7" ht="120" customHeight="1">
      <c r="A7" s="83" t="inlineStr">
        <is>
          <t>E1</t>
        </is>
      </c>
      <c r="B7" s="29" t="inlineStr">
        <is>
          <t>Band E · Enterprise leadership</t>
        </is>
      </c>
      <c r="C7" s="29" t="inlineStr">
        <is>
          <t>Bands D–E · Leadership</t>
        </is>
      </c>
      <c r="D7" s="29" t="inlineStr">
        <is>
          <t>CXO / President</t>
        </is>
      </c>
      <c r="E7" s="29" t="inlineStr">
        <is>
          <t>— no role at this level today</t>
        </is>
      </c>
      <c r="F7" s="34" t="inlineStr">
        <is>
          <t>H</t>
        </is>
      </c>
      <c r="G7" s="84" t="inlineStr">
        <is>
          <t>Works at D2: Portfolio-level strategic, financial and regulatory trade-offs</t>
        </is>
      </c>
      <c r="H7" s="84" t="inlineStr">
        <is>
          <t>Enterprise-level functional strategy</t>
        </is>
      </c>
      <c r="I7" s="84" t="inlineStr">
        <is>
          <t>Already works at E2: Enterprise-wide uncertainty, transformation and external forces</t>
        </is>
      </c>
      <c r="J7" s="34" t="inlineStr">
        <is>
          <t>M</t>
        </is>
      </c>
      <c r="K7" s="84" t="inlineStr">
        <is>
          <t>Works at D2: Sets direction across business lines</t>
        </is>
      </c>
      <c r="L7" s="84" t="inlineStr">
        <is>
          <t>Sets enterprise priorities for the function</t>
        </is>
      </c>
      <c r="M7" s="84" t="inlineStr">
        <is>
          <t>Already works at E2: Accountable to the board</t>
        </is>
      </c>
      <c r="N7" s="34" t="inlineStr">
        <is>
          <t>M</t>
        </is>
      </c>
      <c r="O7" s="84" t="inlineStr">
        <is>
          <t>Works at D2: Multi-business results</t>
        </is>
      </c>
      <c r="P7" s="84" t="inlineStr">
        <is>
          <t>Enterprise-wide functional results</t>
        </is>
      </c>
      <c r="Q7" s="84" t="inlineStr">
        <is>
          <t>Already works at E2: Enterprise results, risk, culture and long-term viability</t>
        </is>
      </c>
      <c r="R7" s="34" t="inlineStr">
        <is>
          <t>M</t>
        </is>
      </c>
      <c r="S7" s="56" t="inlineStr">
        <is>
          <t>Works at D2: Builds the leadership team across businesses</t>
        </is>
      </c>
      <c r="T7" s="56" t="inlineStr">
        <is>
          <t>Shapes enterprise strategy</t>
        </is>
      </c>
      <c r="U7" s="56" t="inlineStr">
        <is>
          <t>Already works at E2: Sets enterprise strategy; leads the executive team</t>
        </is>
      </c>
      <c r="V7" s="34" t="inlineStr">
        <is>
          <t>L</t>
        </is>
      </c>
      <c r="W7" s="56" t="inlineStr">
        <is>
          <t>Works at D2: Owns the results of several business lines</t>
        </is>
      </c>
      <c r="X7" s="56" t="inlineStr">
        <is>
          <t>Shapes company-wide results through a function</t>
        </is>
      </c>
      <c r="Y7" s="56" t="inlineStr">
        <is>
          <t>Already works at E2: Answers for the whole company's results and long-term value</t>
        </is>
      </c>
      <c r="Z7" s="34" t="inlineStr">
        <is>
          <t>L</t>
        </is>
      </c>
      <c r="AA7" s="85" t="inlineStr">
        <is>
          <t>Less experience than the band's typical 20+ yrs</t>
        </is>
      </c>
      <c r="AB7" s="85" t="inlineStr">
        <is>
          <t>Typical for the band: 20+ yrs · market — yrs</t>
        </is>
      </c>
      <c r="AC7" s="85" t="inlineStr">
        <is>
          <t>More experience than the band's typical 20+ yrs</t>
        </is>
      </c>
      <c r="AD7" s="34" t="inlineStr">
        <is>
          <t>L</t>
        </is>
      </c>
      <c r="AE7" s="85" t="inlineStr">
        <is>
          <t>Below: Postgraduate / professional qualification preferred</t>
        </is>
      </c>
      <c r="AF7" s="85" t="inlineStr">
        <is>
          <t>Postgraduate / professional qualification; business leadership record · licence-to-practise roles: CA, CS, CMA or LLB as the role needs</t>
        </is>
      </c>
      <c r="AG7" s="85" t="inlineStr">
        <is>
          <t>Above: Postgraduate / professional qualification; proven business leadership</t>
        </is>
      </c>
      <c r="AH7" s="44" t="inlineStr">
        <is>
          <t>36.3 · 19 · 11.3 · 20 · 8.7 · 4 · 1</t>
        </is>
      </c>
      <c r="AI7" s="38" t="inlineStr">
        <is>
          <t>20+ yrs</t>
        </is>
      </c>
      <c r="AJ7" s="38" t="inlineStr">
        <is>
          <t>5–8 function heads</t>
        </is>
      </c>
      <c r="AK7" s="38" t="inlineStr">
        <is>
          <t>E5 · SFIA 7</t>
        </is>
      </c>
      <c r="AL7"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8" ht="120" customHeight="1">
      <c r="A8" s="86" t="inlineStr">
        <is>
          <t>D2</t>
        </is>
      </c>
      <c r="B8" s="29" t="inlineStr">
        <is>
          <t>Band D · Business leadership</t>
        </is>
      </c>
      <c r="C8" s="29" t="inlineStr">
        <is>
          <t>Bands D–E · Leadership</t>
        </is>
      </c>
      <c r="D8" s="29" t="inlineStr">
        <is>
          <t>Senior Vice President / Business Head</t>
        </is>
      </c>
      <c r="E8" s="29" t="inlineStr">
        <is>
          <t>— no role at this level today</t>
        </is>
      </c>
      <c r="F8" s="34" t="inlineStr">
        <is>
          <t>H</t>
        </is>
      </c>
      <c r="G8" s="84" t="inlineStr">
        <is>
          <t>Works at D1: Competing strategic, financial and regulatory priorities</t>
        </is>
      </c>
      <c r="H8" s="84" t="inlineStr">
        <is>
          <t>Portfolio-level strategic, financial and regulatory trade-offs</t>
        </is>
      </c>
      <c r="I8" s="84" t="inlineStr">
        <is>
          <t>Already works at E1: Enterprise-level functional strategy</t>
        </is>
      </c>
      <c r="J8" s="34" t="inlineStr">
        <is>
          <t>M</t>
        </is>
      </c>
      <c r="K8" s="84" t="inlineStr">
        <is>
          <t>Works at D1: Sets business-line direction, pricing and investment</t>
        </is>
      </c>
      <c r="L8" s="84" t="inlineStr">
        <is>
          <t>Sets direction across business lines</t>
        </is>
      </c>
      <c r="M8" s="84" t="inlineStr">
        <is>
          <t>Already works at E1: Sets enterprise priorities for the function</t>
        </is>
      </c>
      <c r="N8" s="34" t="inlineStr">
        <is>
          <t>M</t>
        </is>
      </c>
      <c r="O8" s="84" t="inlineStr">
        <is>
          <t>Works at D1: Business-line P&amp;L and market position</t>
        </is>
      </c>
      <c r="P8" s="84" t="inlineStr">
        <is>
          <t>Multi-business results</t>
        </is>
      </c>
      <c r="Q8" s="84" t="inlineStr">
        <is>
          <t>Already works at E1: Enterprise-wide functional results</t>
        </is>
      </c>
      <c r="R8" s="34" t="inlineStr">
        <is>
          <t>M</t>
        </is>
      </c>
      <c r="S8" s="56" t="inlineStr">
        <is>
          <t>Works at D1: Defines business strategy; builds the leadership bench</t>
        </is>
      </c>
      <c r="T8" s="56" t="inlineStr">
        <is>
          <t>Builds the leadership team across businesses</t>
        </is>
      </c>
      <c r="U8" s="56" t="inlineStr">
        <is>
          <t>Already works at E1: Shapes enterprise strategy</t>
        </is>
      </c>
      <c r="V8" s="34" t="inlineStr">
        <is>
          <t>L</t>
        </is>
      </c>
      <c r="W8" s="56" t="inlineStr">
        <is>
          <t>Works at D1: Owns a business line's P&amp;L and growth, or a company-wide function</t>
        </is>
      </c>
      <c r="X8" s="56" t="inlineStr">
        <is>
          <t>Owns the results of several business lines</t>
        </is>
      </c>
      <c r="Y8" s="56" t="inlineStr">
        <is>
          <t>Already works at E1: Shapes company-wide results through a function</t>
        </is>
      </c>
      <c r="Z8" s="34" t="inlineStr">
        <is>
          <t>L</t>
        </is>
      </c>
      <c r="AA8" s="85" t="inlineStr">
        <is>
          <t>Less experience than the band's typical 18–24 yrs</t>
        </is>
      </c>
      <c r="AB8" s="85" t="inlineStr">
        <is>
          <t>Typical for the band: 18–24 yrs · market — yrs</t>
        </is>
      </c>
      <c r="AC8" s="85" t="inlineStr">
        <is>
          <t>More experience than the band's typical 18–24 yrs</t>
        </is>
      </c>
      <c r="AD8" s="34" t="inlineStr">
        <is>
          <t>L</t>
        </is>
      </c>
      <c r="AE8" s="85" t="inlineStr">
        <is>
          <t>Below: Postgraduate / professional qualification preferred</t>
        </is>
      </c>
      <c r="AF8" s="85" t="inlineStr">
        <is>
          <t>Postgraduate / professional qualification preferred · licence-to-practise roles: CA, CS, CMA or LLB as the role needs</t>
        </is>
      </c>
      <c r="AG8" s="85" t="inlineStr">
        <is>
          <t>Above: Postgraduate / professional qualification; business leadership record</t>
        </is>
      </c>
      <c r="AH8" s="44" t="inlineStr">
        <is>
          <t>36.3 · 19 · 11.3 · 20 · 8.7 · 4 · 1</t>
        </is>
      </c>
      <c r="AI8" s="38" t="inlineStr">
        <is>
          <t>18–24 yrs</t>
        </is>
      </c>
      <c r="AJ8" s="38" t="inlineStr">
        <is>
          <t>5–8 AVPs / heads</t>
        </is>
      </c>
      <c r="AK8" s="38" t="inlineStr">
        <is>
          <t>E3–E4 · SFIA 7 Set strategy</t>
        </is>
      </c>
      <c r="AL8"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9" ht="120" customHeight="1">
      <c r="A9" s="86" t="inlineStr">
        <is>
          <t>D1</t>
        </is>
      </c>
      <c r="B9" s="29" t="inlineStr">
        <is>
          <t>Band D · Business leadership</t>
        </is>
      </c>
      <c r="C9" s="29" t="inlineStr">
        <is>
          <t>Bands D–E · Leadership</t>
        </is>
      </c>
      <c r="D9" s="29" t="inlineStr">
        <is>
          <t>Associate Vice President</t>
        </is>
      </c>
      <c r="E9" s="29" t="inlineStr">
        <is>
          <t>— no role at this level today</t>
        </is>
      </c>
      <c r="F9" s="34" t="inlineStr">
        <is>
          <t>H</t>
        </is>
      </c>
      <c r="G9" s="84" t="inlineStr">
        <is>
          <t>Works at C2: Function-wide or company-wide problems; creates methods and standards</t>
        </is>
      </c>
      <c r="H9" s="84" t="inlineStr">
        <is>
          <t>Competing strategic, financial and regulatory priorities</t>
        </is>
      </c>
      <c r="I9" s="84" t="inlineStr">
        <is>
          <t>Already works at D2: Portfolio-level strategic, financial and regulatory trade-offs</t>
        </is>
      </c>
      <c r="J9" s="34" t="inlineStr">
        <is>
          <t>M</t>
        </is>
      </c>
      <c r="K9" s="84" t="inlineStr">
        <is>
          <t>Works at C2: Sets direction for a function</t>
        </is>
      </c>
      <c r="L9" s="84" t="inlineStr">
        <is>
          <t>Sets business-line direction, pricing and investment</t>
        </is>
      </c>
      <c r="M9" s="84" t="inlineStr">
        <is>
          <t>Already works at D2: Sets direction across business lines</t>
        </is>
      </c>
      <c r="N9" s="34" t="inlineStr">
        <is>
          <t>M</t>
        </is>
      </c>
      <c r="O9" s="84" t="inlineStr">
        <is>
          <t>Works at C2: Function results, budget and risk</t>
        </is>
      </c>
      <c r="P9" s="84" t="inlineStr">
        <is>
          <t>Business-line P&amp;L and market position</t>
        </is>
      </c>
      <c r="Q9" s="84" t="inlineStr">
        <is>
          <t>Already works at D2: Multi-business results</t>
        </is>
      </c>
      <c r="R9" s="34" t="inlineStr">
        <is>
          <t>M</t>
        </is>
      </c>
      <c r="S9" s="56" t="inlineStr">
        <is>
          <t>Works at C2: Leads a function; shapes functional strategy</t>
        </is>
      </c>
      <c r="T9" s="56" t="inlineStr">
        <is>
          <t>Defines business strategy; builds the leadership bench</t>
        </is>
      </c>
      <c r="U9" s="56" t="inlineStr">
        <is>
          <t>Already works at D2: Builds the leadership team across businesses</t>
        </is>
      </c>
      <c r="V9" s="34" t="inlineStr">
        <is>
          <t>L</t>
        </is>
      </c>
      <c r="W9" s="56" t="inlineStr">
        <is>
          <t>Works at C2: Drives a function's or department's results and costs</t>
        </is>
      </c>
      <c r="X9" s="56" t="inlineStr">
        <is>
          <t>Owns a business line's P&amp;L and growth, or a company-wide function</t>
        </is>
      </c>
      <c r="Y9" s="56" t="inlineStr">
        <is>
          <t>Already works at D2: Owns the results of several business lines</t>
        </is>
      </c>
      <c r="Z9" s="34" t="inlineStr">
        <is>
          <t>L</t>
        </is>
      </c>
      <c r="AA9" s="85" t="inlineStr">
        <is>
          <t>Less experience than the band's typical 15–20 yrs</t>
        </is>
      </c>
      <c r="AB9" s="85" t="inlineStr">
        <is>
          <t>Typical for the band: 15–20 yrs · market — yrs</t>
        </is>
      </c>
      <c r="AC9" s="85" t="inlineStr">
        <is>
          <t>More experience than the band's typical 15–20 yrs</t>
        </is>
      </c>
      <c r="AD9" s="34" t="inlineStr">
        <is>
          <t>L</t>
        </is>
      </c>
      <c r="AE9" s="85" t="inlineStr">
        <is>
          <t>Below: Postgraduate / professional qualification preferred</t>
        </is>
      </c>
      <c r="AF9" s="85" t="inlineStr">
        <is>
          <t>Postgraduate / professional qualification preferred · licence-to-practise roles: CA, CS, CMA or LLB as the role needs</t>
        </is>
      </c>
      <c r="AG9" s="85" t="inlineStr">
        <is>
          <t>Above: Postgraduate / professional qualification preferred</t>
        </is>
      </c>
      <c r="AH9" s="44" t="inlineStr">
        <is>
          <t>36.3 · 19 · 11.3 · 20 · 8.7 · 4 · 1</t>
        </is>
      </c>
      <c r="AI9" s="38" t="inlineStr">
        <is>
          <t>15–20 yrs</t>
        </is>
      </c>
      <c r="AJ9" s="38" t="inlineStr">
        <is>
          <t>5–8 heads</t>
        </is>
      </c>
      <c r="AK9" s="38" t="inlineStr">
        <is>
          <t>E1–E2 · SFIA 6–7</t>
        </is>
      </c>
      <c r="AL9"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0" ht="120" customHeight="1">
      <c r="A10" s="87" t="inlineStr">
        <is>
          <t>C+</t>
        </is>
      </c>
      <c r="B10" s="29" t="inlineStr">
        <is>
          <t>C+ · Player-Coach</t>
        </is>
      </c>
      <c r="C10" s="29" t="inlineStr">
        <is>
          <t>C+ · Player-Coach</t>
        </is>
      </c>
      <c r="D10" s="29" t="inlineStr">
        <is>
          <t>Group Head · Player-Coach</t>
        </is>
      </c>
      <c r="E10" s="29" t="inlineStr">
        <is>
          <t>— no role at this level today</t>
        </is>
      </c>
      <c r="F10" s="34" t="inlineStr">
        <is>
          <t>H</t>
        </is>
      </c>
      <c r="G10" s="84" t="inlineStr">
        <is>
          <t>Works at C2: Function-wide or company-wide problems; creates methods and standards</t>
        </is>
      </c>
      <c r="H10" s="84" t="inlineStr">
        <is>
          <t>Function-wide and cross-product problems; personally handles the most critical client or technical work</t>
        </is>
      </c>
      <c r="I10" s="84" t="inlineStr">
        <is>
          <t>Already works at D1: Competing strategic, financial and regulatory priorities</t>
        </is>
      </c>
      <c r="J10" s="34" t="inlineStr">
        <is>
          <t>M</t>
        </is>
      </c>
      <c r="K10" s="84" t="inlineStr">
        <is>
          <t>Works at C2: Sets direction for a function</t>
        </is>
      </c>
      <c r="L10" s="84" t="inlineStr">
        <is>
          <t>Sets direction for the function; business-line trade-offs go to the Business Head</t>
        </is>
      </c>
      <c r="M10" s="84" t="inlineStr">
        <is>
          <t>Already works at D1: Sets business-line direction, pricing and investment</t>
        </is>
      </c>
      <c r="N10" s="34" t="inlineStr">
        <is>
          <t>M</t>
        </is>
      </c>
      <c r="O10" s="84" t="inlineStr">
        <is>
          <t>Works at C2: Function results, budget and risk</t>
        </is>
      </c>
      <c r="P10" s="84" t="inlineStr">
        <is>
          <t>Function results, budget and key-client outcomes; carries own book or principal delivery</t>
        </is>
      </c>
      <c r="Q10" s="84" t="inlineStr">
        <is>
          <t>Already works at D1: Business-line P&amp;L and market position</t>
        </is>
      </c>
      <c r="R10" s="34" t="inlineStr">
        <is>
          <t>M</t>
        </is>
      </c>
      <c r="S10" s="56" t="inlineStr">
        <is>
          <t>Works at C2: Leads a function; shapes functional strategy</t>
        </is>
      </c>
      <c r="T10" s="56" t="inlineStr">
        <is>
          <t>Leads managers and leads and 10+ people in the function while staying hands-on</t>
        </is>
      </c>
      <c r="U10" s="56" t="inlineStr">
        <is>
          <t>Already works at D1: Defines business strategy; builds the leadership bench</t>
        </is>
      </c>
      <c r="V10" s="34" t="inlineStr">
        <is>
          <t>L</t>
        </is>
      </c>
      <c r="W10" s="56" t="inlineStr">
        <is>
          <t>Works at C2: Drives a function's or department's results and costs</t>
        </is>
      </c>
      <c r="X10" s="56" t="inlineStr">
        <is>
          <t>Drives a function's results and personally wins or delivers key work</t>
        </is>
      </c>
      <c r="Y10" s="56" t="inlineStr">
        <is>
          <t>Already works at D1: Owns a business line's P&amp;L and growth, or a company-wide function</t>
        </is>
      </c>
      <c r="Z10" s="34" t="inlineStr">
        <is>
          <t>L</t>
        </is>
      </c>
      <c r="AA10" s="85" t="inlineStr">
        <is>
          <t>Less experience than the band's typical 13–18 yrs</t>
        </is>
      </c>
      <c r="AB10" s="85" t="inlineStr">
        <is>
          <t>Typical for the band: 13–18 yrs · market 15–18 yrs</t>
        </is>
      </c>
      <c r="AC10" s="85" t="inlineStr">
        <is>
          <t>More experience than the band's typical 13–18 yrs</t>
        </is>
      </c>
      <c r="AD10" s="34" t="inlineStr">
        <is>
          <t>L</t>
        </is>
      </c>
      <c r="AE10" s="85" t="inlineStr">
        <is>
          <t>Below: Postgraduate / professional qualification preferred</t>
        </is>
      </c>
      <c r="AF10" s="85" t="inlineStr">
        <is>
          <t>Postgraduate / professional qualification preferred · licence-to-practise roles: CA, CS, CMA or LLB as the role needs</t>
        </is>
      </c>
      <c r="AG10" s="85" t="inlineStr">
        <is>
          <t>Above: Postgraduate / professional qualification preferred</t>
        </is>
      </c>
      <c r="AH10" s="44" t="inlineStr">
        <is>
          <t>37.7 · 18.3 · 10.7 · 20 · 8 · 4 · 1</t>
        </is>
      </c>
      <c r="AI10" s="38" t="inlineStr">
        <is>
          <t>15–18</t>
        </is>
      </c>
      <c r="AJ10" s="38" t="inlineStr">
        <is>
          <t>4–8 managers / leads with ≥ 25% of time on own principal delivery</t>
        </is>
      </c>
      <c r="AK10" s="38" t="inlineStr">
        <is>
          <t>M6 / E1 · SFIA 6 Initiate, influence</t>
        </is>
      </c>
      <c r="AL10"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1" ht="120" customHeight="1">
      <c r="A11" s="88" t="inlineStr">
        <is>
          <t>C2</t>
        </is>
      </c>
      <c r="B11" s="29" t="inlineStr">
        <is>
          <t>Band C · Principal / Head</t>
        </is>
      </c>
      <c r="C11" s="29" t="inlineStr">
        <is>
          <t>Band C · Head / manager</t>
        </is>
      </c>
      <c r="D11" s="29" t="inlineStr">
        <is>
          <t>Head of Function</t>
        </is>
      </c>
      <c r="E11" s="29" t="inlineStr">
        <is>
          <t>— no role at this level today</t>
        </is>
      </c>
      <c r="F11" s="34" t="inlineStr">
        <is>
          <t>H</t>
        </is>
      </c>
      <c r="G11" s="84" t="inlineStr">
        <is>
          <t>Works at C1: Ambiguous, cross-product problems</t>
        </is>
      </c>
      <c r="H11" s="84" t="inlineStr">
        <is>
          <t>Function-wide or company-wide problems; creates methods and standards</t>
        </is>
      </c>
      <c r="I11" s="84" t="inlineStr">
        <is>
          <t>Already works at D1: Competing strategic, financial and regulatory priorities</t>
        </is>
      </c>
      <c r="J11" s="34" t="inlineStr">
        <is>
          <t>M</t>
        </is>
      </c>
      <c r="K11" s="84" t="inlineStr">
        <is>
          <t>Works at C1: Sets direction for a sub-function or domain</t>
        </is>
      </c>
      <c r="L11" s="84" t="inlineStr">
        <is>
          <t>Sets direction for a function</t>
        </is>
      </c>
      <c r="M11" s="84" t="inlineStr">
        <is>
          <t>Already works at D1: Sets business-line direction, pricing and investment</t>
        </is>
      </c>
      <c r="N11" s="34" t="inlineStr">
        <is>
          <t>M</t>
        </is>
      </c>
      <c r="O11" s="84" t="inlineStr">
        <is>
          <t>Works at C1: Sub-function results or domain quality across products</t>
        </is>
      </c>
      <c r="P11" s="84" t="inlineStr">
        <is>
          <t>Function results, budget and risk</t>
        </is>
      </c>
      <c r="Q11" s="84" t="inlineStr">
        <is>
          <t>Already works at D1: Business-line P&amp;L and market position</t>
        </is>
      </c>
      <c r="R11" s="34" t="inlineStr">
        <is>
          <t>M</t>
        </is>
      </c>
      <c r="S11" s="56" t="inlineStr">
        <is>
          <t>Works at C1: Leads managers or a community of practice</t>
        </is>
      </c>
      <c r="T11" s="56" t="inlineStr">
        <is>
          <t>Leads a function; shapes functional strategy</t>
        </is>
      </c>
      <c r="U11" s="56" t="inlineStr">
        <is>
          <t>Already works at D1: Defines business strategy; builds the leadership bench</t>
        </is>
      </c>
      <c r="V11" s="34" t="inlineStr">
        <is>
          <t>L</t>
        </is>
      </c>
      <c r="W11" s="56" t="inlineStr">
        <is>
          <t>Works at C1: Changes results across a sub-function or across products</t>
        </is>
      </c>
      <c r="X11" s="56" t="inlineStr">
        <is>
          <t>Drives a function's or department's results and costs</t>
        </is>
      </c>
      <c r="Y11" s="56" t="inlineStr">
        <is>
          <t>Already works at D1: Owns a business line's P&amp;L and growth, or a company-wide function</t>
        </is>
      </c>
      <c r="Z11" s="34" t="inlineStr">
        <is>
          <t>L</t>
        </is>
      </c>
      <c r="AA11" s="85" t="inlineStr">
        <is>
          <t>Less experience than the band's typical 12–17 yrs</t>
        </is>
      </c>
      <c r="AB11" s="85" t="inlineStr">
        <is>
          <t>Typical for the band: 12–17 yrs · market — yrs</t>
        </is>
      </c>
      <c r="AC11" s="85" t="inlineStr">
        <is>
          <t>More experience than the band's typical 12–17 yrs</t>
        </is>
      </c>
      <c r="AD11" s="34" t="inlineStr">
        <is>
          <t>L</t>
        </is>
      </c>
      <c r="AE11" s="85" t="inlineStr">
        <is>
          <t>Below: Postgraduate / professional qualification preferred</t>
        </is>
      </c>
      <c r="AF11" s="85" t="inlineStr">
        <is>
          <t>Postgraduate / professional qualification preferred · licence-to-practise roles: CA, CS, CMA or LLB as the role needs</t>
        </is>
      </c>
      <c r="AG11" s="85" t="inlineStr">
        <is>
          <t>Above: Postgraduate / professional qualification preferred</t>
        </is>
      </c>
      <c r="AH11" s="44" t="inlineStr">
        <is>
          <t>43.3 · 18 · 10.7 · 15 · 8 · 4 · 1</t>
        </is>
      </c>
      <c r="AI11" s="38" t="inlineStr">
        <is>
          <t>12–17 yrs</t>
        </is>
      </c>
      <c r="AJ11" s="38" t="inlineStr">
        <is>
          <t>5–8 managers / associate heads</t>
        </is>
      </c>
      <c r="AK11" s="38" t="inlineStr">
        <is>
          <t>P7 / M6 · SFIA 6 Initiate, influence</t>
        </is>
      </c>
      <c r="AL11"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2" ht="120" customHeight="1">
      <c r="A12" s="88" t="inlineStr">
        <is>
          <t>C2</t>
        </is>
      </c>
      <c r="B12" s="29" t="inlineStr">
        <is>
          <t>Band C · Principal / Head</t>
        </is>
      </c>
      <c r="C12" s="29" t="inlineStr">
        <is>
          <t>Band C · Principal specialist</t>
        </is>
      </c>
      <c r="D12" s="29" t="inlineStr">
        <is>
          <t>Senior Principal / Architect</t>
        </is>
      </c>
      <c r="E12" s="29" t="inlineStr">
        <is>
          <t>— no role at this level today</t>
        </is>
      </c>
      <c r="F12" s="34" t="inlineStr">
        <is>
          <t>H</t>
        </is>
      </c>
      <c r="G12" s="84" t="inlineStr">
        <is>
          <t>Works at C1: Ambiguous, cross-product problems</t>
        </is>
      </c>
      <c r="H12" s="84" t="inlineStr">
        <is>
          <t>Function-wide or company-wide problems; creates methods and standards</t>
        </is>
      </c>
      <c r="I12" s="84" t="inlineStr">
        <is>
          <t>Already works at D1: Competing strategic, financial and regulatory priorities</t>
        </is>
      </c>
      <c r="J12" s="34" t="inlineStr">
        <is>
          <t>M</t>
        </is>
      </c>
      <c r="K12" s="84" t="inlineStr">
        <is>
          <t>Works at C1: Sets direction for a sub-function or domain</t>
        </is>
      </c>
      <c r="L12" s="84" t="inlineStr">
        <is>
          <t>Sets direction for a function</t>
        </is>
      </c>
      <c r="M12" s="84" t="inlineStr">
        <is>
          <t>Already works at D1: Sets business-line direction, pricing and investment</t>
        </is>
      </c>
      <c r="N12" s="34" t="inlineStr">
        <is>
          <t>M</t>
        </is>
      </c>
      <c r="O12" s="84" t="inlineStr">
        <is>
          <t>Works at C1: Sub-function results or domain quality across products</t>
        </is>
      </c>
      <c r="P12" s="84" t="inlineStr">
        <is>
          <t>Function results, budget and risk</t>
        </is>
      </c>
      <c r="Q12" s="84" t="inlineStr">
        <is>
          <t>Already works at D1: Business-line P&amp;L and market position</t>
        </is>
      </c>
      <c r="R12" s="34" t="inlineStr">
        <is>
          <t>L</t>
        </is>
      </c>
      <c r="S12" s="56" t="inlineStr">
        <is>
          <t>Works at C1: Leads managers or a community of practice</t>
        </is>
      </c>
      <c r="T12" s="56" t="inlineStr">
        <is>
          <t>Leads a function; shapes functional strategy</t>
        </is>
      </c>
      <c r="U12" s="56" t="inlineStr">
        <is>
          <t>Already works at D1: Defines business strategy; builds the leadership bench</t>
        </is>
      </c>
      <c r="V12" s="34" t="inlineStr">
        <is>
          <t>L</t>
        </is>
      </c>
      <c r="W12" s="56" t="inlineStr">
        <is>
          <t>Works at C1: Changes results across a sub-function or across products</t>
        </is>
      </c>
      <c r="X12" s="56" t="inlineStr">
        <is>
          <t>Drives a function's or department's results and costs</t>
        </is>
      </c>
      <c r="Y12" s="56" t="inlineStr">
        <is>
          <t>Already works at D1: Owns a business line's P&amp;L and growth, or a company-wide function</t>
        </is>
      </c>
      <c r="Z12" s="34" t="inlineStr">
        <is>
          <t>L</t>
        </is>
      </c>
      <c r="AA12" s="85" t="inlineStr">
        <is>
          <t>Less experience than the band's typical 12–17 yrs</t>
        </is>
      </c>
      <c r="AB12" s="85" t="inlineStr">
        <is>
          <t>Typical for the band: 12–17 yrs · market — yrs</t>
        </is>
      </c>
      <c r="AC12" s="85" t="inlineStr">
        <is>
          <t>More experience than the band's typical 12–17 yrs</t>
        </is>
      </c>
      <c r="AD12" s="34" t="inlineStr">
        <is>
          <t>L</t>
        </is>
      </c>
      <c r="AE12" s="85" t="inlineStr">
        <is>
          <t>Below: Postgraduate / professional qualification preferred</t>
        </is>
      </c>
      <c r="AF12" s="85" t="inlineStr">
        <is>
          <t>Postgraduate / professional qualification preferred · licence-to-practise roles: CA, CS, CMA or LLB as the role needs</t>
        </is>
      </c>
      <c r="AG12" s="85" t="inlineStr">
        <is>
          <t>Above: Postgraduate / professional qualification preferred</t>
        </is>
      </c>
      <c r="AH12" s="44" t="inlineStr">
        <is>
          <t>54.3 · 17.7 · 10.3 · 5 · 7.7 · 4 · 1</t>
        </is>
      </c>
      <c r="AI12" s="38" t="inlineStr">
        <is>
          <t>12–17 yrs</t>
        </is>
      </c>
      <c r="AJ12" s="38" t="inlineStr">
        <is>
          <t>5–8 managers / associate heads</t>
        </is>
      </c>
      <c r="AK12" s="38" t="inlineStr">
        <is>
          <t>P7 / M6 · SFIA 6 Initiate, influence</t>
        </is>
      </c>
      <c r="AL12"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3" ht="120" customHeight="1">
      <c r="A13" s="88" t="inlineStr">
        <is>
          <t>C1</t>
        </is>
      </c>
      <c r="B13" s="29" t="inlineStr">
        <is>
          <t>Band C · Principal / Head</t>
        </is>
      </c>
      <c r="C13" s="29" t="inlineStr">
        <is>
          <t>Band C · Head / manager</t>
        </is>
      </c>
      <c r="D13" s="29" t="inlineStr">
        <is>
          <t>Associate Head</t>
        </is>
      </c>
      <c r="E13" s="29" t="inlineStr">
        <is>
          <t>Finance Leadership · Associate Head – Admin &amp; Internal Audit · Associate Head – Finance &amp; Accounts</t>
        </is>
      </c>
      <c r="F13" s="34" t="inlineStr">
        <is>
          <t>H</t>
        </is>
      </c>
      <c r="G13" s="84" t="inlineStr">
        <is>
          <t>Works at B3: Sets standards for a practice; cross-team problems</t>
        </is>
      </c>
      <c r="H13" s="84" t="inlineStr">
        <is>
          <t>Ambiguous, cross-product problems · in Finance &amp; Accounts: Accounting</t>
        </is>
      </c>
      <c r="I13" s="84" t="inlineStr">
        <is>
          <t>Already works at C2: Function-wide or company-wide problems; creates methods and standards</t>
        </is>
      </c>
      <c r="J13" s="34" t="inlineStr">
        <is>
          <t>M</t>
        </is>
      </c>
      <c r="K13" s="84" t="inlineStr">
        <is>
          <t>Works at B3: Commercial / strategic calls for the unit</t>
        </is>
      </c>
      <c r="L13" s="84" t="inlineStr">
        <is>
          <t>Sets direction for a sub-function or domain</t>
        </is>
      </c>
      <c r="M13" s="84" t="inlineStr">
        <is>
          <t>Already works at C2: Sets direction for a function</t>
        </is>
      </c>
      <c r="N13" s="34" t="inlineStr">
        <is>
          <t>M</t>
        </is>
      </c>
      <c r="O13" s="84" t="inlineStr">
        <is>
          <t>Works at B3: Several teams or a practice</t>
        </is>
      </c>
      <c r="P13" s="84" t="inlineStr">
        <is>
          <t>Sub-function results or domain quality across products</t>
        </is>
      </c>
      <c r="Q13" s="84" t="inlineStr">
        <is>
          <t>Already works at C2: Function results, budget and risk</t>
        </is>
      </c>
      <c r="R13" s="34" t="inlineStr">
        <is>
          <t>M</t>
        </is>
      </c>
      <c r="S13" s="56" t="inlineStr">
        <is>
          <t>Works at B3: IC: leads a practice · People: team leads / managers report in</t>
        </is>
      </c>
      <c r="T13" s="56" t="inlineStr">
        <is>
          <t>Leads managers or a community of practice</t>
        </is>
      </c>
      <c r="U13" s="56" t="inlineStr">
        <is>
          <t>Already works at C2: Leads a function; shapes functional strategy</t>
        </is>
      </c>
      <c r="V13" s="34" t="inlineStr">
        <is>
          <t>L</t>
        </is>
      </c>
      <c r="W13" s="56" t="inlineStr">
        <is>
          <t>Works at B3: Shapes the results of a practice or several teams</t>
        </is>
      </c>
      <c r="X13" s="56" t="inlineStr">
        <is>
          <t>Changes results across a sub-function or across products · purpose: Leads the finance &amp; accounts function. At C1: a sub-function, or principal authority across products.</t>
        </is>
      </c>
      <c r="Y13" s="56" t="inlineStr">
        <is>
          <t>Already works at C2: Drives a function's or department's results and costs</t>
        </is>
      </c>
      <c r="Z13" s="34" t="inlineStr">
        <is>
          <t>L</t>
        </is>
      </c>
      <c r="AA13" s="85" t="inlineStr">
        <is>
          <t>Less experience than the band's typical 10–14 yrs</t>
        </is>
      </c>
      <c r="AB13" s="85" t="inlineStr">
        <is>
          <t>Typical for the band: 10–14 yrs · market 12–17 yrs</t>
        </is>
      </c>
      <c r="AC13" s="85" t="inlineStr">
        <is>
          <t>More experience than the band's typical 10–14 yrs</t>
        </is>
      </c>
      <c r="AD13" s="34" t="inlineStr">
        <is>
          <t>L</t>
        </is>
      </c>
      <c r="AE13" s="85" t="inlineStr">
        <is>
          <t>Below: Postgraduate or professional qualification preferred</t>
        </is>
      </c>
      <c r="AF13" s="85" t="inlineStr">
        <is>
          <t>Postgraduate / professional qualification preferred · licence-to-practise roles: CA, CS, CMA or LLB as the role needs</t>
        </is>
      </c>
      <c r="AG13" s="85" t="inlineStr">
        <is>
          <t>Above: Postgraduate / professional qualification preferred</t>
        </is>
      </c>
      <c r="AH13" s="44" t="inlineStr">
        <is>
          <t>43.3 · 18 · 10.7 · 15 · 8 · 4 · 1</t>
        </is>
      </c>
      <c r="AI13" s="38" t="inlineStr">
        <is>
          <t>12–17</t>
        </is>
      </c>
      <c r="AJ13" s="38" t="inlineStr">
        <is>
          <t>5–8, mostly managers</t>
        </is>
      </c>
      <c r="AK13" s="38" t="inlineStr">
        <is>
          <t>P6 / M5 · SFIA 5–6</t>
        </is>
      </c>
      <c r="AL13"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4" ht="120" customHeight="1">
      <c r="A14" s="88" t="inlineStr">
        <is>
          <t>C1</t>
        </is>
      </c>
      <c r="B14" s="29" t="inlineStr">
        <is>
          <t>Band C · Principal / Head</t>
        </is>
      </c>
      <c r="C14" s="29" t="inlineStr">
        <is>
          <t>Band C · Principal specialist</t>
        </is>
      </c>
      <c r="D14" s="29" t="inlineStr">
        <is>
          <t>Principal</t>
        </is>
      </c>
      <c r="E14" s="29" t="inlineStr">
        <is>
          <t>Finance Leadership · Associate Head – Admin &amp; Internal Audit · Associate Head – Finance &amp; Accounts</t>
        </is>
      </c>
      <c r="F14" s="34" t="inlineStr">
        <is>
          <t>H</t>
        </is>
      </c>
      <c r="G14" s="84" t="inlineStr">
        <is>
          <t>Works at B3: Sets standards for a practice; cross-team problems</t>
        </is>
      </c>
      <c r="H14" s="84" t="inlineStr">
        <is>
          <t>Ambiguous, cross-product problems · in Finance &amp; Accounts: Accounting</t>
        </is>
      </c>
      <c r="I14" s="84" t="inlineStr">
        <is>
          <t>Already works at C2: Function-wide or company-wide problems; creates methods and standards</t>
        </is>
      </c>
      <c r="J14" s="34" t="inlineStr">
        <is>
          <t>M</t>
        </is>
      </c>
      <c r="K14" s="84" t="inlineStr">
        <is>
          <t>Works at B3: Commercial / strategic calls for the unit</t>
        </is>
      </c>
      <c r="L14" s="84" t="inlineStr">
        <is>
          <t>Sets direction for a sub-function or domain</t>
        </is>
      </c>
      <c r="M14" s="84" t="inlineStr">
        <is>
          <t>Already works at C2: Sets direction for a function</t>
        </is>
      </c>
      <c r="N14" s="34" t="inlineStr">
        <is>
          <t>M</t>
        </is>
      </c>
      <c r="O14" s="84" t="inlineStr">
        <is>
          <t>Works at B3: Several teams or a practice</t>
        </is>
      </c>
      <c r="P14" s="84" t="inlineStr">
        <is>
          <t>Sub-function results or domain quality across products</t>
        </is>
      </c>
      <c r="Q14" s="84" t="inlineStr">
        <is>
          <t>Already works at C2: Function results, budget and risk</t>
        </is>
      </c>
      <c r="R14" s="34" t="inlineStr">
        <is>
          <t>L</t>
        </is>
      </c>
      <c r="S14" s="56" t="inlineStr">
        <is>
          <t>Works at B3: IC: leads a practice · People: team leads / managers report in</t>
        </is>
      </c>
      <c r="T14" s="56" t="inlineStr">
        <is>
          <t>Leads managers or a community of practice</t>
        </is>
      </c>
      <c r="U14" s="56" t="inlineStr">
        <is>
          <t>Already works at C2: Leads a function; shapes functional strategy</t>
        </is>
      </c>
      <c r="V14" s="34" t="inlineStr">
        <is>
          <t>L</t>
        </is>
      </c>
      <c r="W14" s="56" t="inlineStr">
        <is>
          <t>Works at B3: Shapes the results of a practice or several teams</t>
        </is>
      </c>
      <c r="X14" s="56" t="inlineStr">
        <is>
          <t>Changes results across a sub-function or across products · purpose: Leads the finance &amp; accounts function. At C1: a sub-function, or principal authority across products.</t>
        </is>
      </c>
      <c r="Y14" s="56" t="inlineStr">
        <is>
          <t>Already works at C2: Drives a function's or department's results and costs</t>
        </is>
      </c>
      <c r="Z14" s="34" t="inlineStr">
        <is>
          <t>L</t>
        </is>
      </c>
      <c r="AA14" s="85" t="inlineStr">
        <is>
          <t>Less experience than the band's typical 10–14 yrs</t>
        </is>
      </c>
      <c r="AB14" s="85" t="inlineStr">
        <is>
          <t>Typical for the band: 10–14 yrs · market 12–17 yrs</t>
        </is>
      </c>
      <c r="AC14" s="85" t="inlineStr">
        <is>
          <t>More experience than the band's typical 10–14 yrs</t>
        </is>
      </c>
      <c r="AD14" s="34" t="inlineStr">
        <is>
          <t>L</t>
        </is>
      </c>
      <c r="AE14" s="85" t="inlineStr">
        <is>
          <t>Below: Postgraduate or professional qualification preferred</t>
        </is>
      </c>
      <c r="AF14" s="85" t="inlineStr">
        <is>
          <t>Postgraduate / professional qualification preferred · licence-to-practise roles: CA, CS, CMA or LLB as the role needs</t>
        </is>
      </c>
      <c r="AG14" s="85" t="inlineStr">
        <is>
          <t>Above: Postgraduate / professional qualification preferred</t>
        </is>
      </c>
      <c r="AH14" s="44" t="inlineStr">
        <is>
          <t>54.3 · 17.7 · 10.3 · 5 · 7.7 · 4 · 1</t>
        </is>
      </c>
      <c r="AI14" s="38" t="inlineStr">
        <is>
          <t>12–17</t>
        </is>
      </c>
      <c r="AJ14" s="38" t="inlineStr">
        <is>
          <t>5–8, mostly managers</t>
        </is>
      </c>
      <c r="AK14" s="38" t="inlineStr">
        <is>
          <t>P6 / M5 · SFIA 5–6</t>
        </is>
      </c>
      <c r="AL14"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5" ht="120" customHeight="1">
      <c r="A15" s="89" t="inlineStr">
        <is>
          <t>B+</t>
        </is>
      </c>
      <c r="B15" s="29" t="inlineStr">
        <is>
          <t>B+ · Player-Coach</t>
        </is>
      </c>
      <c r="C15" s="29" t="inlineStr">
        <is>
          <t>B+ · Player-Coach</t>
        </is>
      </c>
      <c r="D15" s="29" t="inlineStr">
        <is>
          <t>Practice Lead · Player-Coach</t>
        </is>
      </c>
      <c r="E15" s="29" t="inlineStr">
        <is>
          <t>— no role at this level today</t>
        </is>
      </c>
      <c r="F15" s="34" t="inlineStr">
        <is>
          <t>H</t>
        </is>
      </c>
      <c r="G15" s="84" t="inlineStr">
        <is>
          <t>Works at B3: Sets standards for a practice; cross-team problems</t>
        </is>
      </c>
      <c r="H15" s="84" t="inlineStr">
        <is>
          <t>Principal-level problems in own domain; sets technical or quality standards and still builds</t>
        </is>
      </c>
      <c r="I15" s="84" t="inlineStr">
        <is>
          <t>Already works at C1: Ambiguous, cross-product problems</t>
        </is>
      </c>
      <c r="J15" s="34" t="inlineStr">
        <is>
          <t>M</t>
        </is>
      </c>
      <c r="K15" s="84" t="inlineStr">
        <is>
          <t>Works at B3: Commercial / strategic calls for the unit</t>
        </is>
      </c>
      <c r="L15" s="84" t="inlineStr">
        <is>
          <t>Decides approach and priorities for the practice; escalates only cross-function trade-offs</t>
        </is>
      </c>
      <c r="M15" s="84" t="inlineStr">
        <is>
          <t>Already works at C1: Sets direction for a sub-function or domain</t>
        </is>
      </c>
      <c r="N15" s="34" t="inlineStr">
        <is>
          <t>M</t>
        </is>
      </c>
      <c r="O15" s="84" t="inlineStr">
        <is>
          <t>Works at B3: Several teams or a practice</t>
        </is>
      </c>
      <c r="P15" s="84" t="inlineStr">
        <is>
          <t>Practice outcomes plus own deliverables; quality and delivery of the team</t>
        </is>
      </c>
      <c r="Q15" s="84" t="inlineStr">
        <is>
          <t>Already works at C1: Sub-function results or domain quality across products</t>
        </is>
      </c>
      <c r="R15" s="34" t="inlineStr">
        <is>
          <t>M</t>
        </is>
      </c>
      <c r="S15" s="56" t="inlineStr">
        <is>
          <t>Works at B3: IC: leads a practice · People: team leads / managers report in</t>
        </is>
      </c>
      <c r="T15" s="56" t="inlineStr">
        <is>
          <t>Leads 3–6 people · or a pod while remaining a hands-on expert; coaches, allocates, reviews</t>
        </is>
      </c>
      <c r="U15" s="56" t="inlineStr">
        <is>
          <t>Already works at C1: Leads managers or a community of practice</t>
        </is>
      </c>
      <c r="V15" s="34" t="inlineStr">
        <is>
          <t>L</t>
        </is>
      </c>
      <c r="W15" s="56" t="inlineStr">
        <is>
          <t>Works at B3: Shapes the results of a practice or several teams</t>
        </is>
      </c>
      <c r="X15" s="56" t="inlineStr">
        <is>
          <t>Drives a practice's results while delivering the hardest work</t>
        </is>
      </c>
      <c r="Y15" s="56" t="inlineStr">
        <is>
          <t>Already works at C1: Changes results across a sub-function or across products</t>
        </is>
      </c>
      <c r="Z15" s="34" t="inlineStr">
        <is>
          <t>L</t>
        </is>
      </c>
      <c r="AA15" s="85" t="inlineStr">
        <is>
          <t>Less experience than the band's typical 9–14 yrs</t>
        </is>
      </c>
      <c r="AB15" s="85" t="inlineStr">
        <is>
          <t>Typical for the band: 9–14 yrs · market 9–14 yrs</t>
        </is>
      </c>
      <c r="AC15" s="85" t="inlineStr">
        <is>
          <t>More experience than the band's typical 9–14 yrs</t>
        </is>
      </c>
      <c r="AD15" s="34" t="inlineStr">
        <is>
          <t>M</t>
        </is>
      </c>
      <c r="AE15" s="85" t="inlineStr">
        <is>
          <t>Below: Postgraduate or professional qualification preferred</t>
        </is>
      </c>
      <c r="AF15" s="85" t="inlineStr">
        <is>
          <t>Postgraduate or professional qualification preferred · licence-to-practise roles: CA, CS, CMA or LLB as the role needs</t>
        </is>
      </c>
      <c r="AG15" s="85" t="inlineStr">
        <is>
          <t>Above: Postgraduate / professional qualification preferred</t>
        </is>
      </c>
      <c r="AH15" s="44" t="inlineStr">
        <is>
          <t>44 · 17.7 · 10.3 · 10 · 7.7 · 6 · 4</t>
        </is>
      </c>
      <c r="AI15" s="38" t="inlineStr">
        <is>
          <t>9–14</t>
        </is>
      </c>
      <c r="AJ15" s="38" t="inlineStr">
        <is>
          <t>3–6 direct reports with ≥ 40% of time on own delivery · McKinsey player/coach 3–5; Google Tech Lead Manager</t>
        </is>
      </c>
      <c r="AK15" s="38" t="inlineStr">
        <is>
          <t>P5–P6 / M4–M5 · SFIA 5 Ensure, advise</t>
        </is>
      </c>
      <c r="AL15"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6" ht="120" customHeight="1">
      <c r="A16" s="90" t="inlineStr">
        <is>
          <t>B3</t>
        </is>
      </c>
      <c r="B16" s="29" t="inlineStr">
        <is>
          <t>Band B · Specialist / Manager</t>
        </is>
      </c>
      <c r="C16" s="29" t="inlineStr">
        <is>
          <t>Band B · People Manager</t>
        </is>
      </c>
      <c r="D16" s="29" t="inlineStr">
        <is>
          <t>Senior Manager</t>
        </is>
      </c>
      <c r="E16" s="29" t="inlineStr">
        <is>
          <t>— no role at this level today</t>
        </is>
      </c>
      <c r="F16" s="34" t="inlineStr">
        <is>
          <t>H</t>
        </is>
      </c>
      <c r="G16" s="84" t="inlineStr">
        <is>
          <t>Works at B2: Hardest problems in the domain</t>
        </is>
      </c>
      <c r="H16" s="84" t="inlineStr">
        <is>
          <t>Sets standards for a practice; cross-team problems</t>
        </is>
      </c>
      <c r="I16" s="84" t="inlineStr">
        <is>
          <t>Already works at C1: Ambiguous, cross-product problems</t>
        </is>
      </c>
      <c r="J16" s="34" t="inlineStr">
        <is>
          <t>M</t>
        </is>
      </c>
      <c r="K16" s="84" t="inlineStr">
        <is>
          <t>Works at B2: Allocates people and sets team priorities</t>
        </is>
      </c>
      <c r="L16" s="84" t="inlineStr">
        <is>
          <t>Commercial / strategic calls for the unit</t>
        </is>
      </c>
      <c r="M16" s="84" t="inlineStr">
        <is>
          <t>Already works at C1: Sets direction for a sub-function or domain</t>
        </is>
      </c>
      <c r="N16" s="34" t="inlineStr">
        <is>
          <t>M</t>
        </is>
      </c>
      <c r="O16" s="84" t="inlineStr">
        <is>
          <t>Works at B2: One team or a client portfolio</t>
        </is>
      </c>
      <c r="P16" s="84" t="inlineStr">
        <is>
          <t>Several teams or a practice</t>
        </is>
      </c>
      <c r="Q16" s="84" t="inlineStr">
        <is>
          <t>Already works at C1: Sub-function results or domain quality across products</t>
        </is>
      </c>
      <c r="R16" s="34" t="inlineStr">
        <is>
          <t>M</t>
        </is>
      </c>
      <c r="S16" s="56" t="inlineStr">
        <is>
          <t>Works at B2: IC: guides others in the domain · People: manages a team of 6+</t>
        </is>
      </c>
      <c r="T16" s="56" t="inlineStr">
        <is>
          <t>IC: leads a practice · People: team leads / managers report in</t>
        </is>
      </c>
      <c r="U16" s="56" t="inlineStr">
        <is>
          <t>Already works at C1: Leads managers or a community of practice</t>
        </is>
      </c>
      <c r="V16" s="34" t="inlineStr">
        <is>
          <t>L</t>
        </is>
      </c>
      <c r="W16" s="56" t="inlineStr">
        <is>
          <t>Works at B2: Visible effect on a team's or client portfolio's revenue, quality or compliance</t>
        </is>
      </c>
      <c r="X16" s="56" t="inlineStr">
        <is>
          <t>Shapes the results of a practice or several teams</t>
        </is>
      </c>
      <c r="Y16" s="56" t="inlineStr">
        <is>
          <t>Already works at C1: Changes results across a sub-function or across products</t>
        </is>
      </c>
      <c r="Z16" s="34" t="inlineStr">
        <is>
          <t>L</t>
        </is>
      </c>
      <c r="AA16" s="85" t="inlineStr">
        <is>
          <t>Less experience than the band's typical 8–12 yrs</t>
        </is>
      </c>
      <c r="AB16" s="85" t="inlineStr">
        <is>
          <t>Typical for the band: 8–12 yrs · market 8–13 yrs</t>
        </is>
      </c>
      <c r="AC16" s="85" t="inlineStr">
        <is>
          <t>More experience than the band's typical 8–12 yrs</t>
        </is>
      </c>
      <c r="AD16" s="34" t="inlineStr">
        <is>
          <t>L</t>
        </is>
      </c>
      <c r="AE16" s="85" t="inlineStr">
        <is>
          <t>Below: Graduate or postgraduate; professional qualification preferred</t>
        </is>
      </c>
      <c r="AF16" s="85" t="inlineStr">
        <is>
          <t>Postgraduate or professional qualification preferred · licence-to-practise roles: CA, CS, CMA or LLB as the role needs</t>
        </is>
      </c>
      <c r="AG16" s="85" t="inlineStr">
        <is>
          <t>Above: Postgraduate / professional qualification preferred</t>
        </is>
      </c>
      <c r="AH16" s="44" t="inlineStr">
        <is>
          <t>37 · 18.3 · 11.3 · 15 · 8.7 · 6 · 4</t>
        </is>
      </c>
      <c r="AI16" s="38" t="inlineStr">
        <is>
          <t>8–13</t>
        </is>
      </c>
      <c r="AJ16" s="38" t="inlineStr">
        <is>
          <t>IC: none · People: 5–8 incl. team leads</t>
        </is>
      </c>
      <c r="AK16" s="38" t="inlineStr">
        <is>
          <t>P5 / M4 · SFIA 5 Ensure, advise</t>
        </is>
      </c>
      <c r="AL16"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7" ht="120" customHeight="1">
      <c r="A17" s="90" t="inlineStr">
        <is>
          <t>B3</t>
        </is>
      </c>
      <c r="B17" s="29" t="inlineStr">
        <is>
          <t>Band B · Specialist / Manager</t>
        </is>
      </c>
      <c r="C17" s="29" t="inlineStr">
        <is>
          <t>Band B · Specialist / POD Lead</t>
        </is>
      </c>
      <c r="D17" s="29" t="inlineStr">
        <is>
          <t>Lead Specialist</t>
        </is>
      </c>
      <c r="E17" s="29" t="inlineStr">
        <is>
          <t>— no role at this level today</t>
        </is>
      </c>
      <c r="F17" s="34" t="inlineStr">
        <is>
          <t>H</t>
        </is>
      </c>
      <c r="G17" s="84" t="inlineStr">
        <is>
          <t>Works at B2: Hardest problems in the domain</t>
        </is>
      </c>
      <c r="H17" s="84" t="inlineStr">
        <is>
          <t>Sets standards for a practice; cross-team problems</t>
        </is>
      </c>
      <c r="I17" s="84" t="inlineStr">
        <is>
          <t>Already works at C1: Ambiguous, cross-product problems</t>
        </is>
      </c>
      <c r="J17" s="34" t="inlineStr">
        <is>
          <t>M</t>
        </is>
      </c>
      <c r="K17" s="84" t="inlineStr">
        <is>
          <t>Works at B2: Allocates people and sets team priorities</t>
        </is>
      </c>
      <c r="L17" s="84" t="inlineStr">
        <is>
          <t>Commercial / strategic calls for the unit</t>
        </is>
      </c>
      <c r="M17" s="84" t="inlineStr">
        <is>
          <t>Already works at C1: Sets direction for a sub-function or domain</t>
        </is>
      </c>
      <c r="N17" s="34" t="inlineStr">
        <is>
          <t>M</t>
        </is>
      </c>
      <c r="O17" s="84" t="inlineStr">
        <is>
          <t>Works at B2: One team or a client portfolio</t>
        </is>
      </c>
      <c r="P17" s="84" t="inlineStr">
        <is>
          <t>Several teams or a practice</t>
        </is>
      </c>
      <c r="Q17" s="84" t="inlineStr">
        <is>
          <t>Already works at C1: Sub-function results or domain quality across products</t>
        </is>
      </c>
      <c r="R17" s="34" t="inlineStr">
        <is>
          <t>L</t>
        </is>
      </c>
      <c r="S17" s="56" t="inlineStr">
        <is>
          <t>Works at B2: IC: guides others in the domain · People: manages a team of 6+</t>
        </is>
      </c>
      <c r="T17" s="56" t="inlineStr">
        <is>
          <t>IC: leads a practice · People: team leads / managers report in</t>
        </is>
      </c>
      <c r="U17" s="56" t="inlineStr">
        <is>
          <t>Already works at C1: Leads managers or a community of practice</t>
        </is>
      </c>
      <c r="V17" s="34" t="inlineStr">
        <is>
          <t>L</t>
        </is>
      </c>
      <c r="W17" s="56" t="inlineStr">
        <is>
          <t>Works at B2: Visible effect on a team's or client portfolio's revenue, quality or compliance</t>
        </is>
      </c>
      <c r="X17" s="56" t="inlineStr">
        <is>
          <t>Shapes the results of a practice or several teams</t>
        </is>
      </c>
      <c r="Y17" s="56" t="inlineStr">
        <is>
          <t>Already works at C1: Changes results across a sub-function or across products</t>
        </is>
      </c>
      <c r="Z17" s="34" t="inlineStr">
        <is>
          <t>L</t>
        </is>
      </c>
      <c r="AA17" s="85" t="inlineStr">
        <is>
          <t>Less experience than the band's typical 8–12 yrs</t>
        </is>
      </c>
      <c r="AB17" s="85" t="inlineStr">
        <is>
          <t>Typical for the band: 8–12 yrs · market 8–13 yrs</t>
        </is>
      </c>
      <c r="AC17" s="85" t="inlineStr">
        <is>
          <t>More experience than the band's typical 8–12 yrs</t>
        </is>
      </c>
      <c r="AD17" s="34" t="inlineStr">
        <is>
          <t>L</t>
        </is>
      </c>
      <c r="AE17" s="85" t="inlineStr">
        <is>
          <t>Below: Graduate or postgraduate; professional qualification preferred</t>
        </is>
      </c>
      <c r="AF17" s="85" t="inlineStr">
        <is>
          <t>Postgraduate or professional qualification preferred · licence-to-practise roles: CA, CS, CMA or LLB as the role needs</t>
        </is>
      </c>
      <c r="AG17" s="85" t="inlineStr">
        <is>
          <t>Above: Postgraduate / professional qualification preferred</t>
        </is>
      </c>
      <c r="AH17" s="44" t="inlineStr">
        <is>
          <t>51.3 · 17.3 · 9.7 · 5 · 7 · 6 · 4</t>
        </is>
      </c>
      <c r="AI17" s="38" t="inlineStr">
        <is>
          <t>8–13</t>
        </is>
      </c>
      <c r="AJ17" s="38" t="inlineStr">
        <is>
          <t>IC: none · People: 5–8 incl. team leads</t>
        </is>
      </c>
      <c r="AK17" s="38" t="inlineStr">
        <is>
          <t>P5 / M4 · SFIA 5 Ensure, advise</t>
        </is>
      </c>
      <c r="AL17"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8" ht="120" customHeight="1">
      <c r="A18" s="90" t="inlineStr">
        <is>
          <t>B2</t>
        </is>
      </c>
      <c r="B18" s="29" t="inlineStr">
        <is>
          <t>Band B · Specialist / Manager</t>
        </is>
      </c>
      <c r="C18" s="29" t="inlineStr">
        <is>
          <t>Band B · People Manager</t>
        </is>
      </c>
      <c r="D18" s="29" t="inlineStr">
        <is>
          <t>Manager</t>
        </is>
      </c>
      <c r="E18" s="29" t="inlineStr">
        <is>
          <t>Financial Reporting, Compliance &amp; Audit · Senior Finance Specialist – POD Lead</t>
        </is>
      </c>
      <c r="F18" s="34" t="inlineStr">
        <is>
          <t>H</t>
        </is>
      </c>
      <c r="G18" s="84" t="inlineStr">
        <is>
          <t>Works at B1: Domain specialist work</t>
        </is>
      </c>
      <c r="H18" s="84" t="inlineStr">
        <is>
          <t>Hardest problems in the domain · in Finance &amp; Accounts: accounting · finance · MS office · Excel</t>
        </is>
      </c>
      <c r="I18" s="84" t="inlineStr">
        <is>
          <t>Already works at B3: Sets standards for a practice; cross-team problems</t>
        </is>
      </c>
      <c r="J18" s="34" t="inlineStr">
        <is>
          <t>M</t>
        </is>
      </c>
      <c r="K18" s="84" t="inlineStr">
        <is>
          <t>Works at B1: Technical / QC / client calls for the domain</t>
        </is>
      </c>
      <c r="L18" s="84" t="inlineStr">
        <is>
          <t>Allocates people and sets team priorities</t>
        </is>
      </c>
      <c r="M18" s="84" t="inlineStr">
        <is>
          <t>Already works at B3: Commercial / strategic calls for the unit</t>
        </is>
      </c>
      <c r="N18" s="34" t="inlineStr">
        <is>
          <t>M</t>
        </is>
      </c>
      <c r="O18" s="84" t="inlineStr">
        <is>
          <t>Works at B1: A domain or a small team</t>
        </is>
      </c>
      <c r="P18" s="84" t="inlineStr">
        <is>
          <t>One team or a client portfolio</t>
        </is>
      </c>
      <c r="Q18" s="84" t="inlineStr">
        <is>
          <t>Already works at B3: Several teams or a practice</t>
        </is>
      </c>
      <c r="R18" s="34" t="inlineStr">
        <is>
          <t>M</t>
        </is>
      </c>
      <c r="S18" s="56" t="inlineStr">
        <is>
          <t>Works at B1: IC: mentors and reviews · People: hands-on team lead of 3–5</t>
        </is>
      </c>
      <c r="T18" s="56" t="inlineStr">
        <is>
          <t>IC: guides others in the domain · People: manages a team of 6+</t>
        </is>
      </c>
      <c r="U18" s="56" t="inlineStr">
        <is>
          <t>Already works at B3: IC: leads a practice · People: team leads / managers report in</t>
        </is>
      </c>
      <c r="V18" s="34" t="inlineStr">
        <is>
          <t>L</t>
        </is>
      </c>
      <c r="W18" s="56" t="inlineStr">
        <is>
          <t>Works at B1: Moves a module's, product area's or client account's results</t>
        </is>
      </c>
      <c r="X18" s="56" t="inlineStr">
        <is>
          <t>Visible effect on a team's or client portfolio's revenue, quality or compliance · purpose: Prepares financial statements, subsidiary closings, statutory compliance, budgets and audits. At B2: deep domain expertise, or one team.
Common themes in …</t>
        </is>
      </c>
      <c r="Y18" s="56" t="inlineStr">
        <is>
          <t>Already works at B3: Shapes the results of a practice or several teams</t>
        </is>
      </c>
      <c r="Z18" s="34" t="inlineStr">
        <is>
          <t>L</t>
        </is>
      </c>
      <c r="AA18" s="85" t="inlineStr">
        <is>
          <t>Less experience than the band's typical 6–9 yrs</t>
        </is>
      </c>
      <c r="AB18" s="85" t="inlineStr">
        <is>
          <t>Typical for the band: 6–9 yrs · market 6–10 yrs</t>
        </is>
      </c>
      <c r="AC18" s="85" t="inlineStr">
        <is>
          <t>More experience than the band's typical 6–9 yrs</t>
        </is>
      </c>
      <c r="AD18" s="34" t="inlineStr">
        <is>
          <t>L</t>
        </is>
      </c>
      <c r="AE18" s="85" t="inlineStr">
        <is>
          <t>Below: Graduate + relevant qualification or certification preferred</t>
        </is>
      </c>
      <c r="AF18" s="85" t="inlineStr">
        <is>
          <t>Graduate or postgraduate; professional qualification preferred · licence-to-practise roles: CA, CS, CMA or LLB as the role needs</t>
        </is>
      </c>
      <c r="AG18" s="85" t="inlineStr">
        <is>
          <t>Above: Postgraduate or professional qualification preferred</t>
        </is>
      </c>
      <c r="AH18" s="44" t="inlineStr">
        <is>
          <t>37 · 18.3 · 11.3 · 15 · 8.7 · 6 · 4</t>
        </is>
      </c>
      <c r="AI18" s="38" t="inlineStr">
        <is>
          <t>6–10</t>
        </is>
      </c>
      <c r="AJ18" s="38" t="inlineStr">
        <is>
          <t>IC: none · People: 6–8 knowledge work, 8–12 standardised delivery</t>
        </is>
      </c>
      <c r="AK18" s="38" t="inlineStr">
        <is>
          <t>P4 / M3 · SFIA 4–5</t>
        </is>
      </c>
      <c r="AL18"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9" ht="120" customHeight="1">
      <c r="A19" s="90" t="inlineStr">
        <is>
          <t>B2</t>
        </is>
      </c>
      <c r="B19" s="29" t="inlineStr">
        <is>
          <t>Band B · Specialist / Manager</t>
        </is>
      </c>
      <c r="C19" s="29" t="inlineStr">
        <is>
          <t>Band B · Specialist / POD Lead</t>
        </is>
      </c>
      <c r="D19" s="29" t="inlineStr">
        <is>
          <t>Senior Specialist</t>
        </is>
      </c>
      <c r="E19" s="29" t="inlineStr">
        <is>
          <t>Financial Reporting, Compliance &amp; Audit · Senior Finance Specialist – POD Lead</t>
        </is>
      </c>
      <c r="F19" s="34" t="inlineStr">
        <is>
          <t>H</t>
        </is>
      </c>
      <c r="G19" s="84" t="inlineStr">
        <is>
          <t>Works at B1: Domain specialist work</t>
        </is>
      </c>
      <c r="H19" s="84" t="inlineStr">
        <is>
          <t>Hardest problems in the domain · in Finance &amp; Accounts: accounting · finance · MS office · Excel</t>
        </is>
      </c>
      <c r="I19" s="84" t="inlineStr">
        <is>
          <t>Already works at B3: Sets standards for a practice; cross-team problems</t>
        </is>
      </c>
      <c r="J19" s="34" t="inlineStr">
        <is>
          <t>M</t>
        </is>
      </c>
      <c r="K19" s="84" t="inlineStr">
        <is>
          <t>Works at B1: Technical / QC / client calls for the domain</t>
        </is>
      </c>
      <c r="L19" s="84" t="inlineStr">
        <is>
          <t>Allocates people and sets team priorities</t>
        </is>
      </c>
      <c r="M19" s="84" t="inlineStr">
        <is>
          <t>Already works at B3: Commercial / strategic calls for the unit</t>
        </is>
      </c>
      <c r="N19" s="34" t="inlineStr">
        <is>
          <t>M</t>
        </is>
      </c>
      <c r="O19" s="84" t="inlineStr">
        <is>
          <t>Works at B1: A domain or a small team</t>
        </is>
      </c>
      <c r="P19" s="84" t="inlineStr">
        <is>
          <t>One team or a client portfolio</t>
        </is>
      </c>
      <c r="Q19" s="84" t="inlineStr">
        <is>
          <t>Already works at B3: Several teams or a practice</t>
        </is>
      </c>
      <c r="R19" s="34" t="inlineStr">
        <is>
          <t>L</t>
        </is>
      </c>
      <c r="S19" s="56" t="inlineStr">
        <is>
          <t>Works at B1: IC: mentors and reviews · People: hands-on team lead of 3–5</t>
        </is>
      </c>
      <c r="T19" s="56" t="inlineStr">
        <is>
          <t>IC: guides others in the domain · People: manages a team of 6+</t>
        </is>
      </c>
      <c r="U19" s="56" t="inlineStr">
        <is>
          <t>Already works at B3: IC: leads a practice · People: team leads / managers report in</t>
        </is>
      </c>
      <c r="V19" s="34" t="inlineStr">
        <is>
          <t>L</t>
        </is>
      </c>
      <c r="W19" s="56" t="inlineStr">
        <is>
          <t>Works at B1: Moves a module's, product area's or client account's results</t>
        </is>
      </c>
      <c r="X19" s="56" t="inlineStr">
        <is>
          <t>Visible effect on a team's or client portfolio's revenue, quality or compliance · purpose: Prepares financial statements, subsidiary closings, statutory compliance, budgets and audits. At B2: deep domain expertise, or one team.
Common themes in …</t>
        </is>
      </c>
      <c r="Y19" s="56" t="inlineStr">
        <is>
          <t>Already works at B3: Shapes the results of a practice or several teams</t>
        </is>
      </c>
      <c r="Z19" s="34" t="inlineStr">
        <is>
          <t>L</t>
        </is>
      </c>
      <c r="AA19" s="85" t="inlineStr">
        <is>
          <t>Less experience than the band's typical 6–9 yrs</t>
        </is>
      </c>
      <c r="AB19" s="85" t="inlineStr">
        <is>
          <t>Typical for the band: 6–9 yrs · market 6–10 yrs</t>
        </is>
      </c>
      <c r="AC19" s="85" t="inlineStr">
        <is>
          <t>More experience than the band's typical 6–9 yrs</t>
        </is>
      </c>
      <c r="AD19" s="34" t="inlineStr">
        <is>
          <t>L</t>
        </is>
      </c>
      <c r="AE19" s="85" t="inlineStr">
        <is>
          <t>Below: Graduate + relevant qualification or certification preferred</t>
        </is>
      </c>
      <c r="AF19" s="85" t="inlineStr">
        <is>
          <t>Graduate or postgraduate; professional qualification preferred · licence-to-practise roles: CA, CS, CMA or LLB as the role needs</t>
        </is>
      </c>
      <c r="AG19" s="85" t="inlineStr">
        <is>
          <t>Above: Postgraduate or professional qualification preferred</t>
        </is>
      </c>
      <c r="AH19" s="44" t="inlineStr">
        <is>
          <t>51.3 · 17.3 · 9.7 · 5 · 7 · 6 · 4</t>
        </is>
      </c>
      <c r="AI19" s="38" t="inlineStr">
        <is>
          <t>6–10</t>
        </is>
      </c>
      <c r="AJ19" s="38" t="inlineStr">
        <is>
          <t>IC: none · People: 6–8 knowledge work, 8–12 standardised delivery</t>
        </is>
      </c>
      <c r="AK19" s="38" t="inlineStr">
        <is>
          <t>P4 / M3 · SFIA 4–5</t>
        </is>
      </c>
      <c r="AL19"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0" ht="120" customHeight="1">
      <c r="A20" s="90" t="inlineStr">
        <is>
          <t>B1</t>
        </is>
      </c>
      <c r="B20" s="29" t="inlineStr">
        <is>
          <t>Band B · Specialist / Manager</t>
        </is>
      </c>
      <c r="C20" s="29" t="inlineStr">
        <is>
          <t>Band B · People Manager</t>
        </is>
      </c>
      <c r="D20" s="29" t="inlineStr">
        <is>
          <t>Team Lead / Asst Manager</t>
        </is>
      </c>
      <c r="E20" s="29" t="inlineStr">
        <is>
          <t>Accounting &amp; Transaction Processing · Accounts Specialist – POD Lead
Financial Reporting, Compliance &amp; Audit · Finance Specialist · Finance Specialist – POD Lead</t>
        </is>
      </c>
      <c r="F20" s="34" t="inlineStr">
        <is>
          <t>H</t>
        </is>
      </c>
      <c r="G20" s="84" t="inlineStr">
        <is>
          <t>Works at A3: Varied and non-standard work; handles exceptions</t>
        </is>
      </c>
      <c r="H20" s="84" t="inlineStr">
        <is>
          <t>Domain specialist work · in Finance &amp; Accounts: accounting</t>
        </is>
      </c>
      <c r="I20" s="84" t="inlineStr">
        <is>
          <t>Already works at B2: Hardest problems in the domain</t>
        </is>
      </c>
      <c r="J20" s="34" t="inlineStr">
        <is>
          <t>M</t>
        </is>
      </c>
      <c r="K20" s="84" t="inlineStr">
        <is>
          <t>Works at A3: Technical / QC / client calls on own work</t>
        </is>
      </c>
      <c r="L20" s="84" t="inlineStr">
        <is>
          <t>Technical / QC / client calls for the domain</t>
        </is>
      </c>
      <c r="M20" s="84" t="inlineStr">
        <is>
          <t>Already works at B2: Allocates people and sets team priorities</t>
        </is>
      </c>
      <c r="N20" s="34" t="inlineStr">
        <is>
          <t>M</t>
        </is>
      </c>
      <c r="O20" s="84" t="inlineStr">
        <is>
          <t>Works at A3: A module / process, or work with client or regulatory consequences</t>
        </is>
      </c>
      <c r="P20" s="84" t="inlineStr">
        <is>
          <t>A domain or a small team</t>
        </is>
      </c>
      <c r="Q20" s="84" t="inlineStr">
        <is>
          <t>Already works at B2: One team or a client portfolio</t>
        </is>
      </c>
      <c r="R20" s="34" t="inlineStr">
        <is>
          <t>M</t>
        </is>
      </c>
      <c r="S20" s="56" t="inlineStr">
        <is>
          <t>Works at A3: contributes alone; guides others only informally</t>
        </is>
      </c>
      <c r="T20" s="56" t="inlineStr">
        <is>
          <t>IC: mentors and reviews · People: hands-on team lead of 3–5</t>
        </is>
      </c>
      <c r="U20" s="56" t="inlineStr">
        <is>
          <t>Already works at B2: IC: guides others in the domain · People: manages a team of 6+</t>
        </is>
      </c>
      <c r="V20" s="34" t="inlineStr">
        <is>
          <t>L</t>
        </is>
      </c>
      <c r="W20" s="56" t="inlineStr">
        <is>
          <t>Works at A3: A process or client deliverable depends on this work</t>
        </is>
      </c>
      <c r="X20" s="56" t="inlineStr">
        <is>
          <t>Moves a module's, product area's or client account's results · purpose: Processes payments, entries and reconciliations. At B1: a domain / module, or a small team.
Common themes in sub-family holders, all levels' answers: …</t>
        </is>
      </c>
      <c r="Y20" s="56" t="inlineStr">
        <is>
          <t>Already works at B2: Visible effect on a team's or client portfolio's revenue, quality or compliance</t>
        </is>
      </c>
      <c r="Z20" s="34" t="inlineStr">
        <is>
          <t>L</t>
        </is>
      </c>
      <c r="AA20" s="85" t="inlineStr">
        <is>
          <t>Less experience than the band's typical 4–7 yrs</t>
        </is>
      </c>
      <c r="AB20" s="85" t="inlineStr">
        <is>
          <t>Typical for the band: 4–7 yrs · market 4–8 yrs</t>
        </is>
      </c>
      <c r="AC20" s="85" t="inlineStr">
        <is>
          <t>More experience than the band's typical 4–7 yrs</t>
        </is>
      </c>
      <c r="AD20" s="34" t="inlineStr">
        <is>
          <t>L</t>
        </is>
      </c>
      <c r="AE20" s="85" t="inlineStr">
        <is>
          <t>Below: Graduate; relevant certification preferred</t>
        </is>
      </c>
      <c r="AF20" s="85" t="inlineStr">
        <is>
          <t>Graduate + relevant qualification or certification preferred · licence-to-practise roles: CA, CS, CMA or LLB as the role needs</t>
        </is>
      </c>
      <c r="AG20" s="85" t="inlineStr">
        <is>
          <t>Above: Graduate or postgraduate; professional qualification preferred</t>
        </is>
      </c>
      <c r="AH20" s="44" t="inlineStr">
        <is>
          <t>37 · 18.3 · 11.3 · 15 · 8.7 · 6 · 4</t>
        </is>
      </c>
      <c r="AI20" s="38" t="inlineStr">
        <is>
          <t>4–8</t>
        </is>
      </c>
      <c r="AJ20" s="38" t="inlineStr">
        <is>
          <t>IC: none · Team Lead: 3–5</t>
        </is>
      </c>
      <c r="AK20" s="38" t="inlineStr">
        <is>
          <t>P3 / M2 · SFIA 4 Enable</t>
        </is>
      </c>
      <c r="AL20"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1" ht="120" customHeight="1">
      <c r="A21" s="90" t="inlineStr">
        <is>
          <t>B1</t>
        </is>
      </c>
      <c r="B21" s="29" t="inlineStr">
        <is>
          <t>Band B · Specialist / Manager</t>
        </is>
      </c>
      <c r="C21" s="29" t="inlineStr">
        <is>
          <t>Band B · Specialist / POD Lead</t>
        </is>
      </c>
      <c r="D21" s="29" t="inlineStr">
        <is>
          <t>Specialist</t>
        </is>
      </c>
      <c r="E21" s="29" t="inlineStr">
        <is>
          <t>Accounting &amp; Transaction Processing · Accounts Specialist – POD Lead
Financial Reporting, Compliance &amp; Audit · Finance Specialist · Finance Specialist – POD Lead</t>
        </is>
      </c>
      <c r="F21" s="34" t="inlineStr">
        <is>
          <t>H</t>
        </is>
      </c>
      <c r="G21" s="84" t="inlineStr">
        <is>
          <t>Works at A3: Varied and non-standard work; handles exceptions</t>
        </is>
      </c>
      <c r="H21" s="84" t="inlineStr">
        <is>
          <t>Domain specialist work · in Finance &amp; Accounts: accounting</t>
        </is>
      </c>
      <c r="I21" s="84" t="inlineStr">
        <is>
          <t>Already works at B2: Hardest problems in the domain</t>
        </is>
      </c>
      <c r="J21" s="34" t="inlineStr">
        <is>
          <t>M</t>
        </is>
      </c>
      <c r="K21" s="84" t="inlineStr">
        <is>
          <t>Works at A3: Technical / QC / client calls on own work</t>
        </is>
      </c>
      <c r="L21" s="84" t="inlineStr">
        <is>
          <t>Technical / QC / client calls for the domain</t>
        </is>
      </c>
      <c r="M21" s="84" t="inlineStr">
        <is>
          <t>Already works at B2: Allocates people and sets team priorities</t>
        </is>
      </c>
      <c r="N21" s="34" t="inlineStr">
        <is>
          <t>M</t>
        </is>
      </c>
      <c r="O21" s="84" t="inlineStr">
        <is>
          <t>Works at A3: A module / process, or work with client or regulatory consequences</t>
        </is>
      </c>
      <c r="P21" s="84" t="inlineStr">
        <is>
          <t>A domain or a small team</t>
        </is>
      </c>
      <c r="Q21" s="84" t="inlineStr">
        <is>
          <t>Already works at B2: One team or a client portfolio</t>
        </is>
      </c>
      <c r="R21" s="34" t="inlineStr">
        <is>
          <t>L</t>
        </is>
      </c>
      <c r="S21" s="56" t="inlineStr">
        <is>
          <t>Works at A3: contributes alone; guides others only informally</t>
        </is>
      </c>
      <c r="T21" s="56" t="inlineStr">
        <is>
          <t>IC: mentors and reviews · People: hands-on team lead of 3–5</t>
        </is>
      </c>
      <c r="U21" s="56" t="inlineStr">
        <is>
          <t>Already works at B2: IC: guides others in the domain · People: manages a team of 6+</t>
        </is>
      </c>
      <c r="V21" s="34" t="inlineStr">
        <is>
          <t>L</t>
        </is>
      </c>
      <c r="W21" s="56" t="inlineStr">
        <is>
          <t>Works at A3: A process or client deliverable depends on this work</t>
        </is>
      </c>
      <c r="X21" s="56" t="inlineStr">
        <is>
          <t>Moves a module's, product area's or client account's results · purpose: Processes payments, entries and reconciliations. At B1: a domain / module, or a small team.
Common themes in sub-family holders, all levels' answers: …</t>
        </is>
      </c>
      <c r="Y21" s="56" t="inlineStr">
        <is>
          <t>Already works at B2: Visible effect on a team's or client portfolio's revenue, quality or compliance</t>
        </is>
      </c>
      <c r="Z21" s="34" t="inlineStr">
        <is>
          <t>L</t>
        </is>
      </c>
      <c r="AA21" s="85" t="inlineStr">
        <is>
          <t>Less experience than the band's typical 4–7 yrs</t>
        </is>
      </c>
      <c r="AB21" s="85" t="inlineStr">
        <is>
          <t>Typical for the band: 4–7 yrs · market 4–8 yrs</t>
        </is>
      </c>
      <c r="AC21" s="85" t="inlineStr">
        <is>
          <t>More experience than the band's typical 4–7 yrs</t>
        </is>
      </c>
      <c r="AD21" s="34" t="inlineStr">
        <is>
          <t>L</t>
        </is>
      </c>
      <c r="AE21" s="85" t="inlineStr">
        <is>
          <t>Below: Graduate; relevant certification preferred</t>
        </is>
      </c>
      <c r="AF21" s="85" t="inlineStr">
        <is>
          <t>Graduate + relevant qualification or certification preferred · licence-to-practise roles: CA, CS, CMA or LLB as the role needs</t>
        </is>
      </c>
      <c r="AG21" s="85" t="inlineStr">
        <is>
          <t>Above: Graduate or postgraduate; professional qualification preferred</t>
        </is>
      </c>
      <c r="AH21" s="44" t="inlineStr">
        <is>
          <t>51.3 · 17.3 · 9.7 · 5 · 7 · 6 · 4</t>
        </is>
      </c>
      <c r="AI21" s="38" t="inlineStr">
        <is>
          <t>4–8</t>
        </is>
      </c>
      <c r="AJ21" s="38" t="inlineStr">
        <is>
          <t>IC: none · Team Lead: 3–5</t>
        </is>
      </c>
      <c r="AK21" s="38" t="inlineStr">
        <is>
          <t>P3 / M2 · SFIA 4 Enable</t>
        </is>
      </c>
      <c r="AL21"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2" ht="120" customHeight="1">
      <c r="A22" s="91" t="inlineStr">
        <is>
          <t>A3</t>
        </is>
      </c>
      <c r="B22" s="29" t="inlineStr">
        <is>
          <t>Band A · Practitioner</t>
        </is>
      </c>
      <c r="C22" s="29" t="inlineStr">
        <is>
          <t>Band A · all tracks</t>
        </is>
      </c>
      <c r="D22" s="29" t="inlineStr">
        <is>
          <t>Senior Associate</t>
        </is>
      </c>
      <c r="E22" s="29" t="inlineStr">
        <is>
          <t>Accounting &amp; Transaction Processing · Senior Accounts Executive</t>
        </is>
      </c>
      <c r="F22" s="34" t="inlineStr">
        <is>
          <t>H</t>
        </is>
      </c>
      <c r="G22" s="84" t="inlineStr">
        <is>
          <t>Works at A2: Standard work of the discipline</t>
        </is>
      </c>
      <c r="H22" s="84" t="inlineStr">
        <is>
          <t>Varied and non-standard work; handles exceptions · in Finance &amp; Accounts: accounting</t>
        </is>
      </c>
      <c r="I22" s="84" t="inlineStr">
        <is>
          <t>Already works at B1: Domain specialist work</t>
        </is>
      </c>
      <c r="J22" s="34" t="inlineStr">
        <is>
          <t>M</t>
        </is>
      </c>
      <c r="K22" s="84" t="inlineStr">
        <is>
          <t>Works at A2: Chooses own approach within standards</t>
        </is>
      </c>
      <c r="L22" s="84" t="inlineStr">
        <is>
          <t>Technical / QC / client calls on own work</t>
        </is>
      </c>
      <c r="M22" s="84" t="inlineStr">
        <is>
          <t>Already works at B1: Technical / QC / client calls for the domain</t>
        </is>
      </c>
      <c r="N22" s="34" t="inlineStr">
        <is>
          <t>M</t>
        </is>
      </c>
      <c r="O22" s="84" t="inlineStr">
        <is>
          <t>Works at A2: Own deliverables · accuracy, TAT</t>
        </is>
      </c>
      <c r="P22" s="84" t="inlineStr">
        <is>
          <t>A module / process, or work with client or regulatory consequences</t>
        </is>
      </c>
      <c r="Q22" s="84" t="inlineStr">
        <is>
          <t>Already works at B1: A domain or a small team</t>
        </is>
      </c>
      <c r="R22" s="34" t="inlineStr">
        <is>
          <t>L</t>
        </is>
      </c>
      <c r="S22" s="56" t="inlineStr">
        <is>
          <t>Works at A2: contributes alone; guides others only informally</t>
        </is>
      </c>
      <c r="T22" s="56" t="inlineStr">
        <is>
          <t>Helps peers and newer people informally · None · guides 1–3 juniors informally</t>
        </is>
      </c>
      <c r="U22" s="56" t="inlineStr">
        <is>
          <t>Already works at B1: IC: mentors and reviews · People: hands-on team lead of 3–5</t>
        </is>
      </c>
      <c r="V22" s="34" t="inlineStr">
        <is>
          <t>L</t>
        </is>
      </c>
      <c r="W22" s="56" t="inlineStr">
        <is>
          <t>Works at A2: Own deliverables feed a team's output and turnaround</t>
        </is>
      </c>
      <c r="X22" s="56" t="inlineStr">
        <is>
          <t>A process or client deliverable depends on this work · purpose: Processes payments, entries and reconciliations. At A3: varied work; reviews juniors; go-to for a process.
Common themes in sub-family holders, all levels' …</t>
        </is>
      </c>
      <c r="Y22" s="56" t="inlineStr">
        <is>
          <t>Already works at B1: Moves a module's, product area's or client account's results</t>
        </is>
      </c>
      <c r="Z22" s="34" t="inlineStr">
        <is>
          <t>L</t>
        </is>
      </c>
      <c r="AA22" s="85" t="inlineStr">
        <is>
          <t>Less experience than the band's typical 2–4 yrs</t>
        </is>
      </c>
      <c r="AB22" s="85" t="inlineStr">
        <is>
          <t>Typical for the band: 2–4 yrs · market 2–5 yrs</t>
        </is>
      </c>
      <c r="AC22" s="85" t="inlineStr">
        <is>
          <t>More experience than the band's typical 2–4 yrs</t>
        </is>
      </c>
      <c r="AD22" s="34" t="inlineStr">
        <is>
          <t>M</t>
        </is>
      </c>
      <c r="AE22" s="85" t="inlineStr">
        <is>
          <t>Below: Graduate · or diploma with experience</t>
        </is>
      </c>
      <c r="AF22" s="85" t="inlineStr">
        <is>
          <t>Graduate; relevant certification preferred · licence-to-practise roles: CA, CS, CMA or LLB as the role needs</t>
        </is>
      </c>
      <c r="AG22" s="85" t="inlineStr">
        <is>
          <t>Above: Graduate + relevant qualification or certification preferred</t>
        </is>
      </c>
      <c r="AH22" s="44" t="inlineStr">
        <is>
          <t>58.3 · 16 · 9 · 0 · 6.3 · 6 · 4</t>
        </is>
      </c>
      <c r="AI22" s="38" t="inlineStr">
        <is>
          <t>2–5</t>
        </is>
      </c>
      <c r="AJ22" s="38" t="inlineStr">
        <is>
          <t>None · guides 1–3 juniors informally</t>
        </is>
      </c>
      <c r="AK22" s="38" t="inlineStr">
        <is>
          <t>P2 · SFIA 3 Apply</t>
        </is>
      </c>
      <c r="AL22"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3" ht="120" customHeight="1">
      <c r="A23" s="91" t="inlineStr">
        <is>
          <t>A2</t>
        </is>
      </c>
      <c r="B23" s="29" t="inlineStr">
        <is>
          <t>Band A · Practitioner</t>
        </is>
      </c>
      <c r="C23" s="29" t="inlineStr">
        <is>
          <t>Band A · all tracks</t>
        </is>
      </c>
      <c r="D23" s="29" t="inlineStr">
        <is>
          <t>Associate</t>
        </is>
      </c>
      <c r="E23" s="29" t="inlineStr">
        <is>
          <t>— no role at this level today</t>
        </is>
      </c>
      <c r="F23" s="34" t="inlineStr">
        <is>
          <t>H</t>
        </is>
      </c>
      <c r="G23" s="84" t="inlineStr">
        <is>
          <t>Works at A1: Learning; follows worked examples</t>
        </is>
      </c>
      <c r="H23" s="84" t="inlineStr">
        <is>
          <t>Standard work of the discipline</t>
        </is>
      </c>
      <c r="I23" s="84" t="inlineStr">
        <is>
          <t>Already works at A3: Varied and non-standard work; handles exceptions</t>
        </is>
      </c>
      <c r="J23" s="34" t="inlineStr">
        <is>
          <t>M</t>
        </is>
      </c>
      <c r="K23" s="84" t="inlineStr">
        <is>
          <t>Works at A1: Needs approval / close guidance</t>
        </is>
      </c>
      <c r="L23" s="84" t="inlineStr">
        <is>
          <t>Chooses own approach within standards</t>
        </is>
      </c>
      <c r="M23" s="84" t="inlineStr">
        <is>
          <t>Already works at A3: Technical / QC / client calls on own work</t>
        </is>
      </c>
      <c r="N23" s="34" t="inlineStr">
        <is>
          <t>M</t>
        </is>
      </c>
      <c r="O23" s="84" t="inlineStr">
        <is>
          <t>Works at A1: Learning tasks</t>
        </is>
      </c>
      <c r="P23" s="84" t="inlineStr">
        <is>
          <t>Own deliverables · accuracy, TAT</t>
        </is>
      </c>
      <c r="Q23" s="84" t="inlineStr">
        <is>
          <t>Already works at A3: A module / process, or work with client or regulatory consequences</t>
        </is>
      </c>
      <c r="R23" s="34" t="inlineStr">
        <is>
          <t>L</t>
        </is>
      </c>
      <c r="S23" s="56" t="inlineStr">
        <is>
          <t>Works at A1: contributes alone; guides others only informally</t>
        </is>
      </c>
      <c r="T23" s="56" t="inlineStr">
        <is>
          <t>Helps peers and newer people informally · No direct reports</t>
        </is>
      </c>
      <c r="U23" s="56" t="inlineStr">
        <is>
          <t>Already works at A3: Not scored in Band A</t>
        </is>
      </c>
      <c r="V23" s="34" t="inlineStr">
        <is>
          <t>L</t>
        </is>
      </c>
      <c r="W23" s="56" t="inlineStr">
        <is>
          <t>Works at A1: Learning; little direct effect on business results yet</t>
        </is>
      </c>
      <c r="X23" s="56" t="inlineStr">
        <is>
          <t>Own deliverables feed a team's output and turnaround</t>
        </is>
      </c>
      <c r="Y23" s="56" t="inlineStr">
        <is>
          <t>Already works at A3: A process or client deliverable depends on this work</t>
        </is>
      </c>
      <c r="Z23" s="34" t="inlineStr">
        <is>
          <t>L</t>
        </is>
      </c>
      <c r="AA23" s="85" t="inlineStr">
        <is>
          <t>Less experience than the band's typical 0–2 yrs</t>
        </is>
      </c>
      <c r="AB23" s="85" t="inlineStr">
        <is>
          <t>Typical for the band: 0–2 yrs · market 0–3 yrs</t>
        </is>
      </c>
      <c r="AC23" s="85" t="inlineStr">
        <is>
          <t>More experience than the band's typical 0–2 yrs</t>
        </is>
      </c>
      <c r="AD23" s="34" t="inlineStr">
        <is>
          <t>M</t>
        </is>
      </c>
      <c r="AE23" s="85" t="inlineStr">
        <is>
          <t>Below: Pursuing or completed graduation / diploma</t>
        </is>
      </c>
      <c r="AF23" s="85" t="inlineStr">
        <is>
          <t>Graduate · or diploma with experience · licence-to-practise roles: CA, CS, CMA or LLB as the role needs</t>
        </is>
      </c>
      <c r="AG23" s="85" t="inlineStr">
        <is>
          <t>Above: Graduate; relevant certification preferred</t>
        </is>
      </c>
      <c r="AH23" s="44" t="inlineStr">
        <is>
          <t>58.3 · 16 · 9 · 0 · 6.3 · 6 · 4</t>
        </is>
      </c>
      <c r="AI23" s="38" t="inlineStr">
        <is>
          <t>0–3</t>
        </is>
      </c>
      <c r="AJ23" s="38" t="inlineStr">
        <is>
          <t>No direct reports</t>
        </is>
      </c>
      <c r="AK23" s="38" t="inlineStr">
        <is>
          <t>P1–P2 · SFIA 2 Assist</t>
        </is>
      </c>
      <c r="AL23"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4" ht="120" customHeight="1">
      <c r="A24" s="91" t="inlineStr">
        <is>
          <t>A1</t>
        </is>
      </c>
      <c r="B24" s="29" t="inlineStr">
        <is>
          <t>Band A · Practitioner</t>
        </is>
      </c>
      <c r="C24" s="29" t="inlineStr">
        <is>
          <t>Band A · all tracks</t>
        </is>
      </c>
      <c r="D24" s="29" t="inlineStr">
        <is>
          <t>Intern / Trainee</t>
        </is>
      </c>
      <c r="E24" s="29" t="inlineStr">
        <is>
          <t>— no role at this level today</t>
        </is>
      </c>
      <c r="F24" s="34" t="inlineStr">
        <is>
          <t>H</t>
        </is>
      </c>
      <c r="G24" s="84" t="inlineStr">
        <is>
          <t>Not yet at the entry standard · in induction</t>
        </is>
      </c>
      <c r="H24" s="84" t="inlineStr">
        <is>
          <t>Learning; follows worked examples</t>
        </is>
      </c>
      <c r="I24" s="84" t="inlineStr">
        <is>
          <t>Already works at A2: Standard work of the discipline</t>
        </is>
      </c>
      <c r="J24" s="34" t="inlineStr">
        <is>
          <t>M</t>
        </is>
      </c>
      <c r="K24" s="84" t="inlineStr">
        <is>
          <t>Not yet at the entry standard · in induction</t>
        </is>
      </c>
      <c r="L24" s="84" t="inlineStr">
        <is>
          <t>Needs approval / close guidance</t>
        </is>
      </c>
      <c r="M24" s="84" t="inlineStr">
        <is>
          <t>Already works at A2: Chooses own approach within standards</t>
        </is>
      </c>
      <c r="N24" s="34" t="inlineStr">
        <is>
          <t>M</t>
        </is>
      </c>
      <c r="O24" s="84" t="inlineStr">
        <is>
          <t>Not yet at the entry standard · in induction</t>
        </is>
      </c>
      <c r="P24" s="84" t="inlineStr">
        <is>
          <t>Learning tasks</t>
        </is>
      </c>
      <c r="Q24" s="84" t="inlineStr">
        <is>
          <t>Already works at A2: Own deliverables · accuracy, TAT</t>
        </is>
      </c>
      <c r="R24" s="34" t="inlineStr">
        <is>
          <t>L</t>
        </is>
      </c>
      <c r="S24" s="56" t="inlineStr">
        <is>
          <t>Not yet at the entry standard · in induction</t>
        </is>
      </c>
      <c r="T24" s="56" t="inlineStr">
        <is>
          <t>Helps peers and newer people informally · No direct reports</t>
        </is>
      </c>
      <c r="U24" s="56" t="inlineStr">
        <is>
          <t>Already works at A2: Not scored in Band A</t>
        </is>
      </c>
      <c r="V24" s="34" t="inlineStr">
        <is>
          <t>L</t>
        </is>
      </c>
      <c r="W24" s="56" t="inlineStr">
        <is>
          <t>Not yet at the entry standard · in induction</t>
        </is>
      </c>
      <c r="X24" s="56" t="inlineStr">
        <is>
          <t>Learning; little direct effect on business results yet</t>
        </is>
      </c>
      <c r="Y24" s="56" t="inlineStr">
        <is>
          <t>Already works at A2: Own deliverables feed a team's output and turnaround</t>
        </is>
      </c>
      <c r="Z24" s="34" t="inlineStr">
        <is>
          <t>L</t>
        </is>
      </c>
      <c r="AA24" s="85" t="inlineStr">
        <is>
          <t>Less experience than the band's typical 0 yrs · fresher / intern</t>
        </is>
      </c>
      <c r="AB24" s="85" t="inlineStr">
        <is>
          <t>Typical for the band: 0 yrs · fresher / intern · market — yrs</t>
        </is>
      </c>
      <c r="AC24" s="85" t="inlineStr">
        <is>
          <t>More experience than the band's typical 0 yrs · fresher / intern</t>
        </is>
      </c>
      <c r="AD24" s="34" t="inlineStr">
        <is>
          <t>M</t>
        </is>
      </c>
      <c r="AE24" s="85" t="inlineStr">
        <is>
          <t>Below graduation · still studying</t>
        </is>
      </c>
      <c r="AF24" s="85" t="inlineStr">
        <is>
          <t>Pursuing or completed graduation / diploma · licence-to-practise roles: CA, CS, CMA or LLB as the role needs</t>
        </is>
      </c>
      <c r="AG24" s="85" t="inlineStr">
        <is>
          <t>Above: Graduate · or diploma with experience</t>
        </is>
      </c>
      <c r="AH24" s="44" t="inlineStr">
        <is>
          <t>58.3 · 16 · 9 · 0 · 6.3 · 6 · 4</t>
        </is>
      </c>
      <c r="AI24" s="38" t="inlineStr">
        <is>
          <t>0 yrs · fresher / intern</t>
        </is>
      </c>
      <c r="AJ24" s="38" t="inlineStr">
        <is>
          <t>No direct reports</t>
        </is>
      </c>
      <c r="AK24" s="38" t="inlineStr">
        <is>
          <t>Entry / P1 · intern · SFIA 1 Follow</t>
        </is>
      </c>
      <c r="AL24"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sheetData>
  <autoFilter ref="A5:AL24"/>
  <mergeCells count="1">
    <mergeCell ref="A2:N2"/>
  </mergeCells>
  <dataValidations count="1">
    <dataValidation sqref="F6 F7 F8 F9 F10 F11 F12 F13 F14 F15 F16 F17 F18 F19 F20 F21 F22 F23 F24 J6 J7 J8 J9 J10 J11 J12 J13 J14 J15 J16 J17 J18 J19 J20 J21 J22 J23 J24 N6 N7 N8 N9 N10 N11 N12 N13 N14 N15 N16 N17 N18 N19 N20 N21 N22 N23 N24 R6 R7 R8 R9 R10 R11 R12 R13 R14 R15 R16 R17 R18 R19 R20 R21 R22 R23 R24 V6 V7 V8 V9 V10 V11 V12 V13 V14 V15 V16 V17 V18 V19 V20 V21 V22 V23 V24 Z6 Z7 Z8 Z9 Z10 Z11 Z12 Z13 Z14 Z15 Z16 Z17 Z18 Z19 Z20 Z21 Z22 Z23 Z24 AD6 AD7 AD8 AD9 AD10 AD11 AD12 AD13 AD14 AD15 AD16 AD17 AD18 AD19 AD20 AD21 AD22 AD23 AD24" showDropDown="0" showInputMessage="0" showErrorMessage="0" allowBlank="1" type="list">
      <formula1>LIST_LMH</formula1>
    </dataValidation>
  </dataValidations>
  <hyperlinks>
    <hyperlink xmlns:r="http://schemas.openxmlformats.org/officeDocument/2006/relationships" ref="O1" r:id="rId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L24"/>
  <sheetViews>
    <sheetView zoomScale="85" workbookViewId="0">
      <pane xSplit="5" ySplit="5" topLeftCell="F6" activePane="bottomRight" state="frozen"/>
      <selection pane="topRight"/>
      <selection pane="bottomLeft"/>
      <selection pane="bottomRight" activeCell="A1" sqref="A1"/>
    </sheetView>
  </sheetViews>
  <sheetFormatPr baseColWidth="8" defaultRowHeight="15"/>
  <cols>
    <col width="7" customWidth="1" min="1" max="1"/>
    <col width="16" customWidth="1" min="2" max="2"/>
    <col width="18" customWidth="1" min="3" max="3"/>
    <col width="20" customWidth="1" min="4" max="4"/>
    <col width="34" customWidth="1" min="5" max="5"/>
    <col width="9" customWidth="1" min="6" max="6"/>
    <col width="30" customWidth="1" min="7" max="7"/>
    <col width="34" customWidth="1" min="8" max="8"/>
    <col width="30" customWidth="1" min="9" max="9"/>
    <col width="9" customWidth="1" min="10" max="10"/>
    <col width="30" customWidth="1" min="11" max="11"/>
    <col width="34" customWidth="1" min="12" max="12"/>
    <col width="30" customWidth="1" min="13" max="13"/>
    <col width="9" customWidth="1" min="14" max="14"/>
    <col width="30" customWidth="1" min="15" max="15"/>
    <col width="34" customWidth="1" min="16" max="16"/>
    <col width="30" customWidth="1" min="17" max="17"/>
    <col width="9" customWidth="1" min="18" max="18"/>
    <col width="30" customWidth="1" min="19" max="19"/>
    <col width="34" customWidth="1" min="20" max="20"/>
    <col width="30" customWidth="1" min="21" max="21"/>
    <col width="9" customWidth="1" min="22" max="22"/>
    <col width="30" customWidth="1" min="23" max="23"/>
    <col width="34" customWidth="1" min="24" max="24"/>
    <col width="30" customWidth="1" min="25" max="25"/>
    <col width="9" customWidth="1" min="26" max="26"/>
    <col width="30" customWidth="1" min="27" max="27"/>
    <col width="34" customWidth="1" min="28" max="28"/>
    <col width="30" customWidth="1" min="29" max="29"/>
    <col width="9" customWidth="1" min="30" max="30"/>
    <col width="30" customWidth="1" min="31" max="31"/>
    <col width="34" customWidth="1" min="32" max="32"/>
    <col width="30" customWidth="1" min="33" max="33"/>
    <col width="26" customWidth="1" min="34" max="34"/>
    <col width="16" customWidth="1" min="35" max="35"/>
    <col width="22" customWidth="1" min="36" max="36"/>
    <col width="18" customWidth="1" min="37" max="37"/>
    <col width="40" customWidth="1" min="38" max="38"/>
  </cols>
  <sheetData>
    <row r="1" ht="24" customHeight="1">
      <c r="A1" s="1" t="inlineStr">
        <is>
          <t>Role &amp; band matrix — Human Resources</t>
        </is>
      </c>
      <c r="O1" s="7" t="inlineStr">
        <is>
          <t>◂ Start</t>
        </is>
      </c>
    </row>
    <row r="2" ht="30" customHeight="1">
      <c r="A2" s="2" t="inlineStr">
        <is>
          <t>What Low, Medium and High mean for each of the seven parameters at every level of Human Resources, and how much each parameter counts · main type of work: Corporate functions. Medium is the band as described; Low is the level below; High is the level above. Change a yellow weightage and every role, department ladder and person in this family recalculates.</t>
        </is>
      </c>
    </row>
    <row r="3">
      <c r="A3" s="3" t="inlineStr">
        <is>
          <t>IRIS · Job Architecture &amp; Job Design · Final v1.15 · October 2026 · Internal — Confidential · HR only</t>
        </is>
      </c>
    </row>
    <row r="4" ht="30" customHeight="1">
      <c r="A4" s="6" t="inlineStr">
        <is>
          <t>LEVEL</t>
        </is>
      </c>
      <c r="B4" s="6" t="n"/>
      <c r="C4" s="6" t="n"/>
      <c r="D4" s="6" t="n"/>
      <c r="E4" s="6" t="n"/>
      <c r="F4" s="45" t="inlineStr">
        <is>
          <t>COMPLEXITY &amp; EXPERTISE</t>
        </is>
      </c>
      <c r="G4" s="45" t="n"/>
      <c r="H4" s="45" t="n"/>
      <c r="I4" s="45" t="n"/>
      <c r="J4" s="45" t="inlineStr">
        <is>
          <t>AUTONOMY &amp; DECISION</t>
        </is>
      </c>
      <c r="K4" s="45" t="n"/>
      <c r="L4" s="45" t="n"/>
      <c r="M4" s="45" t="n"/>
      <c r="N4" s="45" t="inlineStr">
        <is>
          <t>ACCOUNTABILITY &amp; IMPACT</t>
        </is>
      </c>
      <c r="O4" s="45" t="n"/>
      <c r="P4" s="45" t="n"/>
      <c r="Q4" s="45" t="n"/>
      <c r="R4" s="47" t="inlineStr">
        <is>
          <t>LEADERSHIP &amp; STRATEGY</t>
        </is>
      </c>
      <c r="S4" s="47" t="n"/>
      <c r="T4" s="47" t="n"/>
      <c r="U4" s="47" t="n"/>
      <c r="V4" s="47" t="inlineStr">
        <is>
          <t>BUSINESS IMPACT</t>
        </is>
      </c>
      <c r="W4" s="47" t="n"/>
      <c r="X4" s="47" t="n"/>
      <c r="Y4" s="47" t="n"/>
      <c r="Z4" s="81" t="inlineStr">
        <is>
          <t>EXPERIENCE</t>
        </is>
      </c>
      <c r="AA4" s="81" t="n"/>
      <c r="AB4" s="81" t="n"/>
      <c r="AC4" s="81" t="n"/>
      <c r="AD4" s="81" t="inlineStr">
        <is>
          <t>EDUCATION</t>
        </is>
      </c>
      <c r="AE4" s="81" t="n"/>
      <c r="AF4" s="81" t="n"/>
      <c r="AG4" s="81" t="n"/>
      <c r="AH4" s="20" t="inlineStr">
        <is>
          <t>MARKET BENCHMARK &amp; REFERENCES</t>
        </is>
      </c>
      <c r="AI4" s="20" t="n"/>
      <c r="AJ4" s="20" t="n"/>
      <c r="AK4" s="20" t="n"/>
      <c r="AL4" s="20" t="n"/>
    </row>
    <row r="5" ht="60" customHeight="1">
      <c r="A5" s="22" t="inlineStr">
        <is>
          <t>Level</t>
        </is>
      </c>
      <c r="B5" s="22" t="inlineStr">
        <is>
          <t>Band</t>
        </is>
      </c>
      <c r="C5" s="22" t="inlineStr">
        <is>
          <t>Role group</t>
        </is>
      </c>
      <c r="D5" s="22" t="inlineStr">
        <is>
          <t>Level title</t>
        </is>
      </c>
      <c r="E5" s="22" t="inlineStr">
        <is>
          <t>Roles at this level in this family</t>
        </is>
      </c>
      <c r="F5" s="48" t="inlineStr">
        <is>
          <t>Weightage · L/M/H</t>
        </is>
      </c>
      <c r="G5" s="48" t="inlineStr">
        <is>
          <t>Low</t>
        </is>
      </c>
      <c r="H5" s="48" t="inlineStr">
        <is>
          <t>Medium</t>
        </is>
      </c>
      <c r="I5" s="48" t="inlineStr">
        <is>
          <t>High</t>
        </is>
      </c>
      <c r="J5" s="48" t="inlineStr">
        <is>
          <t>Weightage · L/M/H</t>
        </is>
      </c>
      <c r="K5" s="48" t="inlineStr">
        <is>
          <t>Low</t>
        </is>
      </c>
      <c r="L5" s="48" t="inlineStr">
        <is>
          <t>Medium</t>
        </is>
      </c>
      <c r="M5" s="48" t="inlineStr">
        <is>
          <t>High</t>
        </is>
      </c>
      <c r="N5" s="48" t="inlineStr">
        <is>
          <t>Weightage · L/M/H</t>
        </is>
      </c>
      <c r="O5" s="48" t="inlineStr">
        <is>
          <t>Low</t>
        </is>
      </c>
      <c r="P5" s="48" t="inlineStr">
        <is>
          <t>Medium</t>
        </is>
      </c>
      <c r="Q5" s="48" t="inlineStr">
        <is>
          <t>High</t>
        </is>
      </c>
      <c r="R5" s="50" t="inlineStr">
        <is>
          <t>Weightage · L/M/H</t>
        </is>
      </c>
      <c r="S5" s="50" t="inlineStr">
        <is>
          <t>Low</t>
        </is>
      </c>
      <c r="T5" s="50" t="inlineStr">
        <is>
          <t>Medium</t>
        </is>
      </c>
      <c r="U5" s="50" t="inlineStr">
        <is>
          <t>High</t>
        </is>
      </c>
      <c r="V5" s="50" t="inlineStr">
        <is>
          <t>Weightage · L/M/H</t>
        </is>
      </c>
      <c r="W5" s="50" t="inlineStr">
        <is>
          <t>Low</t>
        </is>
      </c>
      <c r="X5" s="50" t="inlineStr">
        <is>
          <t>Medium</t>
        </is>
      </c>
      <c r="Y5" s="50" t="inlineStr">
        <is>
          <t>High</t>
        </is>
      </c>
      <c r="Z5" s="82" t="inlineStr">
        <is>
          <t>Weightage · L/M/H</t>
        </is>
      </c>
      <c r="AA5" s="82" t="inlineStr">
        <is>
          <t>Low</t>
        </is>
      </c>
      <c r="AB5" s="82" t="inlineStr">
        <is>
          <t>Medium</t>
        </is>
      </c>
      <c r="AC5" s="82" t="inlineStr">
        <is>
          <t>High</t>
        </is>
      </c>
      <c r="AD5" s="82" t="inlineStr">
        <is>
          <t>Weightage · L/M/H</t>
        </is>
      </c>
      <c r="AE5" s="82" t="inlineStr">
        <is>
          <t>Low</t>
        </is>
      </c>
      <c r="AF5" s="82" t="inlineStr">
        <is>
          <t>Medium</t>
        </is>
      </c>
      <c r="AG5" s="82" t="inlineStr">
        <is>
          <t>High</t>
        </is>
      </c>
      <c r="AH5" s="26" t="inlineStr">
        <is>
          <t>Market weight % · C · Au · Ac · L · BI · Exp · Edu</t>
        </is>
      </c>
      <c r="AI5" s="26" t="inlineStr">
        <is>
          <t>Market experience · yrs</t>
        </is>
      </c>
      <c r="AJ5" s="26" t="inlineStr">
        <is>
          <t>Span norm</t>
        </is>
      </c>
      <c r="AK5" s="26" t="inlineStr">
        <is>
          <t>Radford / Mercer · SFIA 9</t>
        </is>
      </c>
      <c r="AL5" s="26" t="inlineStr">
        <is>
          <t>References</t>
        </is>
      </c>
    </row>
    <row r="6" ht="120" customHeight="1">
      <c r="A6" s="83" t="inlineStr">
        <is>
          <t>E2</t>
        </is>
      </c>
      <c r="B6" s="29" t="inlineStr">
        <is>
          <t>Band E · Enterprise leadership</t>
        </is>
      </c>
      <c r="C6" s="29" t="inlineStr">
        <is>
          <t>Bands D–E · Leadership</t>
        </is>
      </c>
      <c r="D6" s="29" t="inlineStr">
        <is>
          <t>Chief Executive Officer</t>
        </is>
      </c>
      <c r="E6" s="29" t="inlineStr">
        <is>
          <t>— no role at this level today</t>
        </is>
      </c>
      <c r="F6" s="34" t="inlineStr">
        <is>
          <t>H</t>
        </is>
      </c>
      <c r="G6" s="84" t="inlineStr">
        <is>
          <t>Works at E1: Enterprise-level functional strategy</t>
        </is>
      </c>
      <c r="H6" s="84" t="inlineStr">
        <is>
          <t>Enterprise-wide uncertainty, transformation and external forces</t>
        </is>
      </c>
      <c r="I6" s="84" t="inlineStr">
        <is>
          <t>Beyond the role · a board-level mandate</t>
        </is>
      </c>
      <c r="J6" s="34" t="inlineStr">
        <is>
          <t>M</t>
        </is>
      </c>
      <c r="K6" s="84" t="inlineStr">
        <is>
          <t>Works at E1: Sets enterprise priorities for the function</t>
        </is>
      </c>
      <c r="L6" s="84" t="inlineStr">
        <is>
          <t>Accountable to the board</t>
        </is>
      </c>
      <c r="M6" s="84" t="inlineStr">
        <is>
          <t>Beyond the role · a board-level mandate</t>
        </is>
      </c>
      <c r="N6" s="34" t="inlineStr">
        <is>
          <t>M</t>
        </is>
      </c>
      <c r="O6" s="84" t="inlineStr">
        <is>
          <t>Works at E1: Enterprise-wide functional results</t>
        </is>
      </c>
      <c r="P6" s="84" t="inlineStr">
        <is>
          <t>Enterprise results, risk, culture and long-term viability</t>
        </is>
      </c>
      <c r="Q6" s="84" t="inlineStr">
        <is>
          <t>Beyond the role · a board-level mandate</t>
        </is>
      </c>
      <c r="R6" s="34" t="inlineStr">
        <is>
          <t>M</t>
        </is>
      </c>
      <c r="S6" s="56" t="inlineStr">
        <is>
          <t>Works at E1: Shapes enterprise strategy</t>
        </is>
      </c>
      <c r="T6" s="56" t="inlineStr">
        <is>
          <t>Sets enterprise strategy; leads the executive team</t>
        </is>
      </c>
      <c r="U6" s="56" t="inlineStr">
        <is>
          <t>Beyond the role · a board-level mandate</t>
        </is>
      </c>
      <c r="V6" s="34" t="inlineStr">
        <is>
          <t>L</t>
        </is>
      </c>
      <c r="W6" s="56" t="inlineStr">
        <is>
          <t>Works at E1: Shapes company-wide results through a function</t>
        </is>
      </c>
      <c r="X6" s="56" t="inlineStr">
        <is>
          <t>Answers for the whole company's results and long-term value</t>
        </is>
      </c>
      <c r="Y6" s="56" t="inlineStr">
        <is>
          <t>Beyond the role · a board-level mandate</t>
        </is>
      </c>
      <c r="Z6" s="34" t="inlineStr">
        <is>
          <t>L</t>
        </is>
      </c>
      <c r="AA6" s="85" t="inlineStr">
        <is>
          <t>Less experience than the band's typical 20+ yrs</t>
        </is>
      </c>
      <c r="AB6" s="85" t="inlineStr">
        <is>
          <t>Typical for the band: 20+ yrs · market — yrs</t>
        </is>
      </c>
      <c r="AC6" s="85" t="inlineStr">
        <is>
          <t>More experience than the band's typical 20+ yrs</t>
        </is>
      </c>
      <c r="AD6" s="34" t="inlineStr">
        <is>
          <t>L</t>
        </is>
      </c>
      <c r="AE6" s="85" t="inlineStr">
        <is>
          <t>Below: Postgraduate / professional qualification; business leadership record</t>
        </is>
      </c>
      <c r="AF6" s="85" t="inlineStr">
        <is>
          <t>Postgraduate / professional qualification; proven business leadership · licence-to-practise roles: CA, CS, CMA or LLB as the role needs</t>
        </is>
      </c>
      <c r="AG6" s="85" t="inlineStr">
        <is>
          <t>Board-level credentials beyond the role's need</t>
        </is>
      </c>
      <c r="AH6" s="44" t="inlineStr">
        <is>
          <t>36.3 · 19 · 11.3 · 20 · 8.7 · 4 · 1</t>
        </is>
      </c>
      <c r="AI6" s="38" t="inlineStr">
        <is>
          <t>20+ yrs</t>
        </is>
      </c>
      <c r="AJ6" s="38" t="inlineStr">
        <is>
          <t>Executive team</t>
        </is>
      </c>
      <c r="AK6" s="38" t="inlineStr">
        <is>
          <t>E6 · SFIA 7</t>
        </is>
      </c>
      <c r="AL6"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7" ht="120" customHeight="1">
      <c r="A7" s="83" t="inlineStr">
        <is>
          <t>E1</t>
        </is>
      </c>
      <c r="B7" s="29" t="inlineStr">
        <is>
          <t>Band E · Enterprise leadership</t>
        </is>
      </c>
      <c r="C7" s="29" t="inlineStr">
        <is>
          <t>Bands D–E · Leadership</t>
        </is>
      </c>
      <c r="D7" s="29" t="inlineStr">
        <is>
          <t>CXO / President</t>
        </is>
      </c>
      <c r="E7" s="29" t="inlineStr">
        <is>
          <t>— no role at this level today</t>
        </is>
      </c>
      <c r="F7" s="34" t="inlineStr">
        <is>
          <t>H</t>
        </is>
      </c>
      <c r="G7" s="84" t="inlineStr">
        <is>
          <t>Works at D2: Portfolio-level strategic, financial and regulatory trade-offs</t>
        </is>
      </c>
      <c r="H7" s="84" t="inlineStr">
        <is>
          <t>Enterprise-level functional strategy</t>
        </is>
      </c>
      <c r="I7" s="84" t="inlineStr">
        <is>
          <t>Already works at E2: Enterprise-wide uncertainty, transformation and external forces</t>
        </is>
      </c>
      <c r="J7" s="34" t="inlineStr">
        <is>
          <t>M</t>
        </is>
      </c>
      <c r="K7" s="84" t="inlineStr">
        <is>
          <t>Works at D2: Sets direction across business lines</t>
        </is>
      </c>
      <c r="L7" s="84" t="inlineStr">
        <is>
          <t>Sets enterprise priorities for the function</t>
        </is>
      </c>
      <c r="M7" s="84" t="inlineStr">
        <is>
          <t>Already works at E2: Accountable to the board</t>
        </is>
      </c>
      <c r="N7" s="34" t="inlineStr">
        <is>
          <t>M</t>
        </is>
      </c>
      <c r="O7" s="84" t="inlineStr">
        <is>
          <t>Works at D2: Multi-business results</t>
        </is>
      </c>
      <c r="P7" s="84" t="inlineStr">
        <is>
          <t>Enterprise-wide functional results</t>
        </is>
      </c>
      <c r="Q7" s="84" t="inlineStr">
        <is>
          <t>Already works at E2: Enterprise results, risk, culture and long-term viability</t>
        </is>
      </c>
      <c r="R7" s="34" t="inlineStr">
        <is>
          <t>M</t>
        </is>
      </c>
      <c r="S7" s="56" t="inlineStr">
        <is>
          <t>Works at D2: Builds the leadership team across businesses</t>
        </is>
      </c>
      <c r="T7" s="56" t="inlineStr">
        <is>
          <t>Shapes enterprise strategy</t>
        </is>
      </c>
      <c r="U7" s="56" t="inlineStr">
        <is>
          <t>Already works at E2: Sets enterprise strategy; leads the executive team</t>
        </is>
      </c>
      <c r="V7" s="34" t="inlineStr">
        <is>
          <t>L</t>
        </is>
      </c>
      <c r="W7" s="56" t="inlineStr">
        <is>
          <t>Works at D2: Owns the results of several business lines</t>
        </is>
      </c>
      <c r="X7" s="56" t="inlineStr">
        <is>
          <t>Shapes company-wide results through a function</t>
        </is>
      </c>
      <c r="Y7" s="56" t="inlineStr">
        <is>
          <t>Already works at E2: Answers for the whole company's results and long-term value</t>
        </is>
      </c>
      <c r="Z7" s="34" t="inlineStr">
        <is>
          <t>L</t>
        </is>
      </c>
      <c r="AA7" s="85" t="inlineStr">
        <is>
          <t>Less experience than the band's typical 20+ yrs</t>
        </is>
      </c>
      <c r="AB7" s="85" t="inlineStr">
        <is>
          <t>Typical for the band: 20+ yrs · market — yrs</t>
        </is>
      </c>
      <c r="AC7" s="85" t="inlineStr">
        <is>
          <t>More experience than the band's typical 20+ yrs</t>
        </is>
      </c>
      <c r="AD7" s="34" t="inlineStr">
        <is>
          <t>L</t>
        </is>
      </c>
      <c r="AE7" s="85" t="inlineStr">
        <is>
          <t>Below: Postgraduate / professional qualification preferred</t>
        </is>
      </c>
      <c r="AF7" s="85" t="inlineStr">
        <is>
          <t>Postgraduate / professional qualification; business leadership record · licence-to-practise roles: CA, CS, CMA or LLB as the role needs</t>
        </is>
      </c>
      <c r="AG7" s="85" t="inlineStr">
        <is>
          <t>Above: Postgraduate / professional qualification; proven business leadership</t>
        </is>
      </c>
      <c r="AH7" s="44" t="inlineStr">
        <is>
          <t>36.3 · 19 · 11.3 · 20 · 8.7 · 4 · 1</t>
        </is>
      </c>
      <c r="AI7" s="38" t="inlineStr">
        <is>
          <t>20+ yrs</t>
        </is>
      </c>
      <c r="AJ7" s="38" t="inlineStr">
        <is>
          <t>5–8 function heads</t>
        </is>
      </c>
      <c r="AK7" s="38" t="inlineStr">
        <is>
          <t>E5 · SFIA 7</t>
        </is>
      </c>
      <c r="AL7"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8" ht="120" customHeight="1">
      <c r="A8" s="86" t="inlineStr">
        <is>
          <t>D2</t>
        </is>
      </c>
      <c r="B8" s="29" t="inlineStr">
        <is>
          <t>Band D · Business leadership</t>
        </is>
      </c>
      <c r="C8" s="29" t="inlineStr">
        <is>
          <t>Bands D–E · Leadership</t>
        </is>
      </c>
      <c r="D8" s="29" t="inlineStr">
        <is>
          <t>Senior Vice President / Business Head</t>
        </is>
      </c>
      <c r="E8" s="29" t="inlineStr">
        <is>
          <t>HR Leadership · Vice President – Human Resources</t>
        </is>
      </c>
      <c r="F8" s="34" t="inlineStr">
        <is>
          <t>H</t>
        </is>
      </c>
      <c r="G8" s="84" t="inlineStr">
        <is>
          <t>Works at D1: Competing strategic, financial and regulatory priorities</t>
        </is>
      </c>
      <c r="H8" s="84" t="inlineStr">
        <is>
          <t>Portfolio-level strategic, financial and regulatory trade-offs</t>
        </is>
      </c>
      <c r="I8" s="84" t="inlineStr">
        <is>
          <t>Already works at E1: Enterprise-level functional strategy</t>
        </is>
      </c>
      <c r="J8" s="34" t="inlineStr">
        <is>
          <t>M</t>
        </is>
      </c>
      <c r="K8" s="84" t="inlineStr">
        <is>
          <t>Works at D1: Sets business-line direction, pricing and investment</t>
        </is>
      </c>
      <c r="L8" s="84" t="inlineStr">
        <is>
          <t>Sets direction across business lines</t>
        </is>
      </c>
      <c r="M8" s="84" t="inlineStr">
        <is>
          <t>Already works at E1: Sets enterprise priorities for the function</t>
        </is>
      </c>
      <c r="N8" s="34" t="inlineStr">
        <is>
          <t>M</t>
        </is>
      </c>
      <c r="O8" s="84" t="inlineStr">
        <is>
          <t>Works at D1: Business-line P&amp;L and market position</t>
        </is>
      </c>
      <c r="P8" s="84" t="inlineStr">
        <is>
          <t>Multi-business results</t>
        </is>
      </c>
      <c r="Q8" s="84" t="inlineStr">
        <is>
          <t>Already works at E1: Enterprise-wide functional results</t>
        </is>
      </c>
      <c r="R8" s="34" t="inlineStr">
        <is>
          <t>M</t>
        </is>
      </c>
      <c r="S8" s="56" t="inlineStr">
        <is>
          <t>Works at D1: Defines business strategy; builds the leadership bench</t>
        </is>
      </c>
      <c r="T8" s="56" t="inlineStr">
        <is>
          <t>Builds the leadership team across businesses</t>
        </is>
      </c>
      <c r="U8" s="56" t="inlineStr">
        <is>
          <t>Already works at E1: Shapes enterprise strategy</t>
        </is>
      </c>
      <c r="V8" s="34" t="inlineStr">
        <is>
          <t>L</t>
        </is>
      </c>
      <c r="W8" s="56" t="inlineStr">
        <is>
          <t>Works at D1: Owns a business line's P&amp;L and growth, or a company-wide function</t>
        </is>
      </c>
      <c r="X8" s="56" t="inlineStr">
        <is>
          <t>Owns the results of several business lines · purpose: Leads the human resources function. At D2: several business lines or an executive-scope enterprise function.</t>
        </is>
      </c>
      <c r="Y8" s="56" t="inlineStr">
        <is>
          <t>Already works at E1: Shapes company-wide results through a function</t>
        </is>
      </c>
      <c r="Z8" s="34" t="inlineStr">
        <is>
          <t>L</t>
        </is>
      </c>
      <c r="AA8" s="85" t="inlineStr">
        <is>
          <t>Less experience than the band's typical 18–24 yrs</t>
        </is>
      </c>
      <c r="AB8" s="85" t="inlineStr">
        <is>
          <t>Typical for the band: 18–24 yrs · market — yrs</t>
        </is>
      </c>
      <c r="AC8" s="85" t="inlineStr">
        <is>
          <t>More experience than the band's typical 18–24 yrs</t>
        </is>
      </c>
      <c r="AD8" s="34" t="inlineStr">
        <is>
          <t>L</t>
        </is>
      </c>
      <c r="AE8" s="85" t="inlineStr">
        <is>
          <t>Below: Postgraduate / professional qualification preferred</t>
        </is>
      </c>
      <c r="AF8" s="85" t="inlineStr">
        <is>
          <t>Postgraduate / professional qualification preferred · licence-to-practise roles: CA, CS, CMA or LLB as the role needs</t>
        </is>
      </c>
      <c r="AG8" s="85" t="inlineStr">
        <is>
          <t>Above: Postgraduate / professional qualification; business leadership record</t>
        </is>
      </c>
      <c r="AH8" s="44" t="inlineStr">
        <is>
          <t>36.3 · 19 · 11.3 · 20 · 8.7 · 4 · 1</t>
        </is>
      </c>
      <c r="AI8" s="38" t="inlineStr">
        <is>
          <t>18–24 yrs</t>
        </is>
      </c>
      <c r="AJ8" s="38" t="inlineStr">
        <is>
          <t>5–8 AVPs / heads</t>
        </is>
      </c>
      <c r="AK8" s="38" t="inlineStr">
        <is>
          <t>E3–E4 · SFIA 7 Set strategy</t>
        </is>
      </c>
      <c r="AL8"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9" ht="120" customHeight="1">
      <c r="A9" s="86" t="inlineStr">
        <is>
          <t>D1</t>
        </is>
      </c>
      <c r="B9" s="29" t="inlineStr">
        <is>
          <t>Band D · Business leadership</t>
        </is>
      </c>
      <c r="C9" s="29" t="inlineStr">
        <is>
          <t>Bands D–E · Leadership</t>
        </is>
      </c>
      <c r="D9" s="29" t="inlineStr">
        <is>
          <t>Associate Vice President</t>
        </is>
      </c>
      <c r="E9" s="29" t="inlineStr">
        <is>
          <t>— no role at this level today</t>
        </is>
      </c>
      <c r="F9" s="34" t="inlineStr">
        <is>
          <t>H</t>
        </is>
      </c>
      <c r="G9" s="84" t="inlineStr">
        <is>
          <t>Works at C2: Function-wide or company-wide problems; creates methods and standards</t>
        </is>
      </c>
      <c r="H9" s="84" t="inlineStr">
        <is>
          <t>Competing strategic, financial and regulatory priorities</t>
        </is>
      </c>
      <c r="I9" s="84" t="inlineStr">
        <is>
          <t>Already works at D2: Portfolio-level strategic, financial and regulatory trade-offs</t>
        </is>
      </c>
      <c r="J9" s="34" t="inlineStr">
        <is>
          <t>M</t>
        </is>
      </c>
      <c r="K9" s="84" t="inlineStr">
        <is>
          <t>Works at C2: Sets direction for a function</t>
        </is>
      </c>
      <c r="L9" s="84" t="inlineStr">
        <is>
          <t>Sets business-line direction, pricing and investment</t>
        </is>
      </c>
      <c r="M9" s="84" t="inlineStr">
        <is>
          <t>Already works at D2: Sets direction across business lines</t>
        </is>
      </c>
      <c r="N9" s="34" t="inlineStr">
        <is>
          <t>M</t>
        </is>
      </c>
      <c r="O9" s="84" t="inlineStr">
        <is>
          <t>Works at C2: Function results, budget and risk</t>
        </is>
      </c>
      <c r="P9" s="84" t="inlineStr">
        <is>
          <t>Business-line P&amp;L and market position</t>
        </is>
      </c>
      <c r="Q9" s="84" t="inlineStr">
        <is>
          <t>Already works at D2: Multi-business results</t>
        </is>
      </c>
      <c r="R9" s="34" t="inlineStr">
        <is>
          <t>M</t>
        </is>
      </c>
      <c r="S9" s="56" t="inlineStr">
        <is>
          <t>Works at C2: Leads a function; shapes functional strategy</t>
        </is>
      </c>
      <c r="T9" s="56" t="inlineStr">
        <is>
          <t>Defines business strategy; builds the leadership bench</t>
        </is>
      </c>
      <c r="U9" s="56" t="inlineStr">
        <is>
          <t>Already works at D2: Builds the leadership team across businesses</t>
        </is>
      </c>
      <c r="V9" s="34" t="inlineStr">
        <is>
          <t>L</t>
        </is>
      </c>
      <c r="W9" s="56" t="inlineStr">
        <is>
          <t>Works at C2: Drives a function's or department's results and costs</t>
        </is>
      </c>
      <c r="X9" s="56" t="inlineStr">
        <is>
          <t>Owns a business line's P&amp;L and growth, or a company-wide function</t>
        </is>
      </c>
      <c r="Y9" s="56" t="inlineStr">
        <is>
          <t>Already works at D2: Owns the results of several business lines</t>
        </is>
      </c>
      <c r="Z9" s="34" t="inlineStr">
        <is>
          <t>L</t>
        </is>
      </c>
      <c r="AA9" s="85" t="inlineStr">
        <is>
          <t>Less experience than the band's typical 15–20 yrs</t>
        </is>
      </c>
      <c r="AB9" s="85" t="inlineStr">
        <is>
          <t>Typical for the band: 15–20 yrs · market — yrs</t>
        </is>
      </c>
      <c r="AC9" s="85" t="inlineStr">
        <is>
          <t>More experience than the band's typical 15–20 yrs</t>
        </is>
      </c>
      <c r="AD9" s="34" t="inlineStr">
        <is>
          <t>L</t>
        </is>
      </c>
      <c r="AE9" s="85" t="inlineStr">
        <is>
          <t>Below: Postgraduate / professional qualification preferred</t>
        </is>
      </c>
      <c r="AF9" s="85" t="inlineStr">
        <is>
          <t>Postgraduate / professional qualification preferred · licence-to-practise roles: CA, CS, CMA or LLB as the role needs</t>
        </is>
      </c>
      <c r="AG9" s="85" t="inlineStr">
        <is>
          <t>Above: Postgraduate / professional qualification preferred</t>
        </is>
      </c>
      <c r="AH9" s="44" t="inlineStr">
        <is>
          <t>36.3 · 19 · 11.3 · 20 · 8.7 · 4 · 1</t>
        </is>
      </c>
      <c r="AI9" s="38" t="inlineStr">
        <is>
          <t>15–20 yrs</t>
        </is>
      </c>
      <c r="AJ9" s="38" t="inlineStr">
        <is>
          <t>5–8 heads</t>
        </is>
      </c>
      <c r="AK9" s="38" t="inlineStr">
        <is>
          <t>E1–E2 · SFIA 6–7</t>
        </is>
      </c>
      <c r="AL9"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0" ht="120" customHeight="1">
      <c r="A10" s="87" t="inlineStr">
        <is>
          <t>C+</t>
        </is>
      </c>
      <c r="B10" s="29" t="inlineStr">
        <is>
          <t>C+ · Player-Coach</t>
        </is>
      </c>
      <c r="C10" s="29" t="inlineStr">
        <is>
          <t>C+ · Player-Coach</t>
        </is>
      </c>
      <c r="D10" s="29" t="inlineStr">
        <is>
          <t>Group Head · Player-Coach</t>
        </is>
      </c>
      <c r="E10" s="29" t="inlineStr">
        <is>
          <t>— no role at this level today</t>
        </is>
      </c>
      <c r="F10" s="34" t="inlineStr">
        <is>
          <t>H</t>
        </is>
      </c>
      <c r="G10" s="84" t="inlineStr">
        <is>
          <t>Works at C2: Function-wide or company-wide problems; creates methods and standards</t>
        </is>
      </c>
      <c r="H10" s="84" t="inlineStr">
        <is>
          <t>Function-wide and cross-product problems; personally handles the most critical client or technical work</t>
        </is>
      </c>
      <c r="I10" s="84" t="inlineStr">
        <is>
          <t>Already works at D1: Competing strategic, financial and regulatory priorities</t>
        </is>
      </c>
      <c r="J10" s="34" t="inlineStr">
        <is>
          <t>M</t>
        </is>
      </c>
      <c r="K10" s="84" t="inlineStr">
        <is>
          <t>Works at C2: Sets direction for a function</t>
        </is>
      </c>
      <c r="L10" s="84" t="inlineStr">
        <is>
          <t>Sets direction for the function; business-line trade-offs go to the Business Head</t>
        </is>
      </c>
      <c r="M10" s="84" t="inlineStr">
        <is>
          <t>Already works at D1: Sets business-line direction, pricing and investment</t>
        </is>
      </c>
      <c r="N10" s="34" t="inlineStr">
        <is>
          <t>M</t>
        </is>
      </c>
      <c r="O10" s="84" t="inlineStr">
        <is>
          <t>Works at C2: Function results, budget and risk</t>
        </is>
      </c>
      <c r="P10" s="84" t="inlineStr">
        <is>
          <t>Function results, budget and key-client outcomes; carries own book or principal delivery</t>
        </is>
      </c>
      <c r="Q10" s="84" t="inlineStr">
        <is>
          <t>Already works at D1: Business-line P&amp;L and market position</t>
        </is>
      </c>
      <c r="R10" s="34" t="inlineStr">
        <is>
          <t>M</t>
        </is>
      </c>
      <c r="S10" s="56" t="inlineStr">
        <is>
          <t>Works at C2: Leads a function; shapes functional strategy</t>
        </is>
      </c>
      <c r="T10" s="56" t="inlineStr">
        <is>
          <t>Leads managers and leads and 10+ people in the function while staying hands-on</t>
        </is>
      </c>
      <c r="U10" s="56" t="inlineStr">
        <is>
          <t>Already works at D1: Defines business strategy; builds the leadership bench</t>
        </is>
      </c>
      <c r="V10" s="34" t="inlineStr">
        <is>
          <t>L</t>
        </is>
      </c>
      <c r="W10" s="56" t="inlineStr">
        <is>
          <t>Works at C2: Drives a function's or department's results and costs</t>
        </is>
      </c>
      <c r="X10" s="56" t="inlineStr">
        <is>
          <t>Drives a function's results and personally wins or delivers key work</t>
        </is>
      </c>
      <c r="Y10" s="56" t="inlineStr">
        <is>
          <t>Already works at D1: Owns a business line's P&amp;L and growth, or a company-wide function</t>
        </is>
      </c>
      <c r="Z10" s="34" t="inlineStr">
        <is>
          <t>L</t>
        </is>
      </c>
      <c r="AA10" s="85" t="inlineStr">
        <is>
          <t>Less experience than the band's typical 13–18 yrs</t>
        </is>
      </c>
      <c r="AB10" s="85" t="inlineStr">
        <is>
          <t>Typical for the band: 13–18 yrs · market 15–18 yrs</t>
        </is>
      </c>
      <c r="AC10" s="85" t="inlineStr">
        <is>
          <t>More experience than the band's typical 13–18 yrs</t>
        </is>
      </c>
      <c r="AD10" s="34" t="inlineStr">
        <is>
          <t>L</t>
        </is>
      </c>
      <c r="AE10" s="85" t="inlineStr">
        <is>
          <t>Below: Postgraduate / professional qualification preferred</t>
        </is>
      </c>
      <c r="AF10" s="85" t="inlineStr">
        <is>
          <t>Postgraduate / professional qualification preferred · licence-to-practise roles: CA, CS, CMA or LLB as the role needs</t>
        </is>
      </c>
      <c r="AG10" s="85" t="inlineStr">
        <is>
          <t>Above: Postgraduate / professional qualification preferred</t>
        </is>
      </c>
      <c r="AH10" s="44" t="inlineStr">
        <is>
          <t>37.7 · 18.3 · 10.7 · 20 · 8 · 4 · 1</t>
        </is>
      </c>
      <c r="AI10" s="38" t="inlineStr">
        <is>
          <t>15–18</t>
        </is>
      </c>
      <c r="AJ10" s="38" t="inlineStr">
        <is>
          <t>4–8 managers / leads with ≥ 25% of time on own principal delivery</t>
        </is>
      </c>
      <c r="AK10" s="38" t="inlineStr">
        <is>
          <t>M6 / E1 · SFIA 6 Initiate, influence</t>
        </is>
      </c>
      <c r="AL10"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1" ht="120" customHeight="1">
      <c r="A11" s="88" t="inlineStr">
        <is>
          <t>C2</t>
        </is>
      </c>
      <c r="B11" s="29" t="inlineStr">
        <is>
          <t>Band C · Principal / Head</t>
        </is>
      </c>
      <c r="C11" s="29" t="inlineStr">
        <is>
          <t>Band C · Head / manager</t>
        </is>
      </c>
      <c r="D11" s="29" t="inlineStr">
        <is>
          <t>Head of Function</t>
        </is>
      </c>
      <c r="E11" s="29" t="inlineStr">
        <is>
          <t>— no role at this level today</t>
        </is>
      </c>
      <c r="F11" s="34" t="inlineStr">
        <is>
          <t>H</t>
        </is>
      </c>
      <c r="G11" s="84" t="inlineStr">
        <is>
          <t>Works at C1: Ambiguous, cross-product problems</t>
        </is>
      </c>
      <c r="H11" s="84" t="inlineStr">
        <is>
          <t>Function-wide or company-wide problems; creates methods and standards</t>
        </is>
      </c>
      <c r="I11" s="84" t="inlineStr">
        <is>
          <t>Already works at D1: Competing strategic, financial and regulatory priorities</t>
        </is>
      </c>
      <c r="J11" s="34" t="inlineStr">
        <is>
          <t>M</t>
        </is>
      </c>
      <c r="K11" s="84" t="inlineStr">
        <is>
          <t>Works at C1: Sets direction for a sub-function or domain</t>
        </is>
      </c>
      <c r="L11" s="84" t="inlineStr">
        <is>
          <t>Sets direction for a function</t>
        </is>
      </c>
      <c r="M11" s="84" t="inlineStr">
        <is>
          <t>Already works at D1: Sets business-line direction, pricing and investment</t>
        </is>
      </c>
      <c r="N11" s="34" t="inlineStr">
        <is>
          <t>M</t>
        </is>
      </c>
      <c r="O11" s="84" t="inlineStr">
        <is>
          <t>Works at C1: Sub-function results or domain quality across products</t>
        </is>
      </c>
      <c r="P11" s="84" t="inlineStr">
        <is>
          <t>Function results, budget and risk</t>
        </is>
      </c>
      <c r="Q11" s="84" t="inlineStr">
        <is>
          <t>Already works at D1: Business-line P&amp;L and market position</t>
        </is>
      </c>
      <c r="R11" s="34" t="inlineStr">
        <is>
          <t>M</t>
        </is>
      </c>
      <c r="S11" s="56" t="inlineStr">
        <is>
          <t>Works at C1: Leads managers or a community of practice</t>
        </is>
      </c>
      <c r="T11" s="56" t="inlineStr">
        <is>
          <t>Leads a function; shapes functional strategy</t>
        </is>
      </c>
      <c r="U11" s="56" t="inlineStr">
        <is>
          <t>Already works at D1: Defines business strategy; builds the leadership bench</t>
        </is>
      </c>
      <c r="V11" s="34" t="inlineStr">
        <is>
          <t>L</t>
        </is>
      </c>
      <c r="W11" s="56" t="inlineStr">
        <is>
          <t>Works at C1: Changes results across a sub-function or across products</t>
        </is>
      </c>
      <c r="X11" s="56" t="inlineStr">
        <is>
          <t>Drives a function's or department's results and costs</t>
        </is>
      </c>
      <c r="Y11" s="56" t="inlineStr">
        <is>
          <t>Already works at D1: Owns a business line's P&amp;L and growth, or a company-wide function</t>
        </is>
      </c>
      <c r="Z11" s="34" t="inlineStr">
        <is>
          <t>L</t>
        </is>
      </c>
      <c r="AA11" s="85" t="inlineStr">
        <is>
          <t>Less experience than the band's typical 12–17 yrs</t>
        </is>
      </c>
      <c r="AB11" s="85" t="inlineStr">
        <is>
          <t>Typical for the band: 12–17 yrs · market — yrs</t>
        </is>
      </c>
      <c r="AC11" s="85" t="inlineStr">
        <is>
          <t>More experience than the band's typical 12–17 yrs</t>
        </is>
      </c>
      <c r="AD11" s="34" t="inlineStr">
        <is>
          <t>L</t>
        </is>
      </c>
      <c r="AE11" s="85" t="inlineStr">
        <is>
          <t>Below: Postgraduate / professional qualification preferred</t>
        </is>
      </c>
      <c r="AF11" s="85" t="inlineStr">
        <is>
          <t>Postgraduate / professional qualification preferred · licence-to-practise roles: CA, CS, CMA or LLB as the role needs</t>
        </is>
      </c>
      <c r="AG11" s="85" t="inlineStr">
        <is>
          <t>Above: Postgraduate / professional qualification preferred</t>
        </is>
      </c>
      <c r="AH11" s="44" t="inlineStr">
        <is>
          <t>43.3 · 18 · 10.7 · 15 · 8 · 4 · 1</t>
        </is>
      </c>
      <c r="AI11" s="38" t="inlineStr">
        <is>
          <t>12–17 yrs</t>
        </is>
      </c>
      <c r="AJ11" s="38" t="inlineStr">
        <is>
          <t>5–8 managers / associate heads</t>
        </is>
      </c>
      <c r="AK11" s="38" t="inlineStr">
        <is>
          <t>P7 / M6 · SFIA 6 Initiate, influence</t>
        </is>
      </c>
      <c r="AL11"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2" ht="120" customHeight="1">
      <c r="A12" s="88" t="inlineStr">
        <is>
          <t>C2</t>
        </is>
      </c>
      <c r="B12" s="29" t="inlineStr">
        <is>
          <t>Band C · Principal / Head</t>
        </is>
      </c>
      <c r="C12" s="29" t="inlineStr">
        <is>
          <t>Band C · Principal specialist</t>
        </is>
      </c>
      <c r="D12" s="29" t="inlineStr">
        <is>
          <t>Senior Principal / Architect</t>
        </is>
      </c>
      <c r="E12" s="29" t="inlineStr">
        <is>
          <t>— no role at this level today</t>
        </is>
      </c>
      <c r="F12" s="34" t="inlineStr">
        <is>
          <t>H</t>
        </is>
      </c>
      <c r="G12" s="84" t="inlineStr">
        <is>
          <t>Works at C1: Ambiguous, cross-product problems</t>
        </is>
      </c>
      <c r="H12" s="84" t="inlineStr">
        <is>
          <t>Function-wide or company-wide problems; creates methods and standards</t>
        </is>
      </c>
      <c r="I12" s="84" t="inlineStr">
        <is>
          <t>Already works at D1: Competing strategic, financial and regulatory priorities</t>
        </is>
      </c>
      <c r="J12" s="34" t="inlineStr">
        <is>
          <t>M</t>
        </is>
      </c>
      <c r="K12" s="84" t="inlineStr">
        <is>
          <t>Works at C1: Sets direction for a sub-function or domain</t>
        </is>
      </c>
      <c r="L12" s="84" t="inlineStr">
        <is>
          <t>Sets direction for a function</t>
        </is>
      </c>
      <c r="M12" s="84" t="inlineStr">
        <is>
          <t>Already works at D1: Sets business-line direction, pricing and investment</t>
        </is>
      </c>
      <c r="N12" s="34" t="inlineStr">
        <is>
          <t>M</t>
        </is>
      </c>
      <c r="O12" s="84" t="inlineStr">
        <is>
          <t>Works at C1: Sub-function results or domain quality across products</t>
        </is>
      </c>
      <c r="P12" s="84" t="inlineStr">
        <is>
          <t>Function results, budget and risk</t>
        </is>
      </c>
      <c r="Q12" s="84" t="inlineStr">
        <is>
          <t>Already works at D1: Business-line P&amp;L and market position</t>
        </is>
      </c>
      <c r="R12" s="34" t="inlineStr">
        <is>
          <t>L</t>
        </is>
      </c>
      <c r="S12" s="56" t="inlineStr">
        <is>
          <t>Works at C1: Leads managers or a community of practice</t>
        </is>
      </c>
      <c r="T12" s="56" t="inlineStr">
        <is>
          <t>Leads a function; shapes functional strategy</t>
        </is>
      </c>
      <c r="U12" s="56" t="inlineStr">
        <is>
          <t>Already works at D1: Defines business strategy; builds the leadership bench</t>
        </is>
      </c>
      <c r="V12" s="34" t="inlineStr">
        <is>
          <t>L</t>
        </is>
      </c>
      <c r="W12" s="56" t="inlineStr">
        <is>
          <t>Works at C1: Changes results across a sub-function or across products</t>
        </is>
      </c>
      <c r="X12" s="56" t="inlineStr">
        <is>
          <t>Drives a function's or department's results and costs</t>
        </is>
      </c>
      <c r="Y12" s="56" t="inlineStr">
        <is>
          <t>Already works at D1: Owns a business line's P&amp;L and growth, or a company-wide function</t>
        </is>
      </c>
      <c r="Z12" s="34" t="inlineStr">
        <is>
          <t>L</t>
        </is>
      </c>
      <c r="AA12" s="85" t="inlineStr">
        <is>
          <t>Less experience than the band's typical 12–17 yrs</t>
        </is>
      </c>
      <c r="AB12" s="85" t="inlineStr">
        <is>
          <t>Typical for the band: 12–17 yrs · market — yrs</t>
        </is>
      </c>
      <c r="AC12" s="85" t="inlineStr">
        <is>
          <t>More experience than the band's typical 12–17 yrs</t>
        </is>
      </c>
      <c r="AD12" s="34" t="inlineStr">
        <is>
          <t>L</t>
        </is>
      </c>
      <c r="AE12" s="85" t="inlineStr">
        <is>
          <t>Below: Postgraduate / professional qualification preferred</t>
        </is>
      </c>
      <c r="AF12" s="85" t="inlineStr">
        <is>
          <t>Postgraduate / professional qualification preferred · licence-to-practise roles: CA, CS, CMA or LLB as the role needs</t>
        </is>
      </c>
      <c r="AG12" s="85" t="inlineStr">
        <is>
          <t>Above: Postgraduate / professional qualification preferred</t>
        </is>
      </c>
      <c r="AH12" s="44" t="inlineStr">
        <is>
          <t>54.3 · 17.7 · 10.3 · 5 · 7.7 · 4 · 1</t>
        </is>
      </c>
      <c r="AI12" s="38" t="inlineStr">
        <is>
          <t>12–17 yrs</t>
        </is>
      </c>
      <c r="AJ12" s="38" t="inlineStr">
        <is>
          <t>5–8 managers / associate heads</t>
        </is>
      </c>
      <c r="AK12" s="38" t="inlineStr">
        <is>
          <t>P7 / M6 · SFIA 6 Initiate, influence</t>
        </is>
      </c>
      <c r="AL12"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3" ht="120" customHeight="1">
      <c r="A13" s="88" t="inlineStr">
        <is>
          <t>C1</t>
        </is>
      </c>
      <c r="B13" s="29" t="inlineStr">
        <is>
          <t>Band C · Principal / Head</t>
        </is>
      </c>
      <c r="C13" s="29" t="inlineStr">
        <is>
          <t>Band C · Head / manager</t>
        </is>
      </c>
      <c r="D13" s="29" t="inlineStr">
        <is>
          <t>Associate Head</t>
        </is>
      </c>
      <c r="E13" s="29" t="inlineStr">
        <is>
          <t>— no role at this level today</t>
        </is>
      </c>
      <c r="F13" s="34" t="inlineStr">
        <is>
          <t>H</t>
        </is>
      </c>
      <c r="G13" s="84" t="inlineStr">
        <is>
          <t>Works at B3: Sets standards for a practice; cross-team problems</t>
        </is>
      </c>
      <c r="H13" s="84" t="inlineStr">
        <is>
          <t>Ambiguous, cross-product problems</t>
        </is>
      </c>
      <c r="I13" s="84" t="inlineStr">
        <is>
          <t>Already works at C2: Function-wide or company-wide problems; creates methods and standards</t>
        </is>
      </c>
      <c r="J13" s="34" t="inlineStr">
        <is>
          <t>M</t>
        </is>
      </c>
      <c r="K13" s="84" t="inlineStr">
        <is>
          <t>Works at B3: Commercial / strategic calls for the unit</t>
        </is>
      </c>
      <c r="L13" s="84" t="inlineStr">
        <is>
          <t>Sets direction for a sub-function or domain</t>
        </is>
      </c>
      <c r="M13" s="84" t="inlineStr">
        <is>
          <t>Already works at C2: Sets direction for a function</t>
        </is>
      </c>
      <c r="N13" s="34" t="inlineStr">
        <is>
          <t>M</t>
        </is>
      </c>
      <c r="O13" s="84" t="inlineStr">
        <is>
          <t>Works at B3: Several teams or a practice</t>
        </is>
      </c>
      <c r="P13" s="84" t="inlineStr">
        <is>
          <t>Sub-function results or domain quality across products</t>
        </is>
      </c>
      <c r="Q13" s="84" t="inlineStr">
        <is>
          <t>Already works at C2: Function results, budget and risk</t>
        </is>
      </c>
      <c r="R13" s="34" t="inlineStr">
        <is>
          <t>M</t>
        </is>
      </c>
      <c r="S13" s="56" t="inlineStr">
        <is>
          <t>Works at B3: IC: leads a practice · People: team leads / managers report in</t>
        </is>
      </c>
      <c r="T13" s="56" t="inlineStr">
        <is>
          <t>Leads managers or a community of practice</t>
        </is>
      </c>
      <c r="U13" s="56" t="inlineStr">
        <is>
          <t>Already works at C2: Leads a function; shapes functional strategy</t>
        </is>
      </c>
      <c r="V13" s="34" t="inlineStr">
        <is>
          <t>L</t>
        </is>
      </c>
      <c r="W13" s="56" t="inlineStr">
        <is>
          <t>Works at B3: Shapes the results of a practice or several teams</t>
        </is>
      </c>
      <c r="X13" s="56" t="inlineStr">
        <is>
          <t>Changes results across a sub-function or across products</t>
        </is>
      </c>
      <c r="Y13" s="56" t="inlineStr">
        <is>
          <t>Already works at C2: Drives a function's or department's results and costs</t>
        </is>
      </c>
      <c r="Z13" s="34" t="inlineStr">
        <is>
          <t>L</t>
        </is>
      </c>
      <c r="AA13" s="85" t="inlineStr">
        <is>
          <t>Less experience than the band's typical 10–14 yrs</t>
        </is>
      </c>
      <c r="AB13" s="85" t="inlineStr">
        <is>
          <t>Typical for the band: 10–14 yrs · market 12–17 yrs</t>
        </is>
      </c>
      <c r="AC13" s="85" t="inlineStr">
        <is>
          <t>More experience than the band's typical 10–14 yrs</t>
        </is>
      </c>
      <c r="AD13" s="34" t="inlineStr">
        <is>
          <t>L</t>
        </is>
      </c>
      <c r="AE13" s="85" t="inlineStr">
        <is>
          <t>Below: Postgraduate or professional qualification preferred</t>
        </is>
      </c>
      <c r="AF13" s="85" t="inlineStr">
        <is>
          <t>Postgraduate / professional qualification preferred · licence-to-practise roles: CA, CS, CMA or LLB as the role needs</t>
        </is>
      </c>
      <c r="AG13" s="85" t="inlineStr">
        <is>
          <t>Above: Postgraduate / professional qualification preferred</t>
        </is>
      </c>
      <c r="AH13" s="44" t="inlineStr">
        <is>
          <t>43.3 · 18 · 10.7 · 15 · 8 · 4 · 1</t>
        </is>
      </c>
      <c r="AI13" s="38" t="inlineStr">
        <is>
          <t>12–17</t>
        </is>
      </c>
      <c r="AJ13" s="38" t="inlineStr">
        <is>
          <t>5–8, mostly managers</t>
        </is>
      </c>
      <c r="AK13" s="38" t="inlineStr">
        <is>
          <t>P6 / M5 · SFIA 5–6</t>
        </is>
      </c>
      <c r="AL13"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4" ht="120" customHeight="1">
      <c r="A14" s="88" t="inlineStr">
        <is>
          <t>C1</t>
        </is>
      </c>
      <c r="B14" s="29" t="inlineStr">
        <is>
          <t>Band C · Principal / Head</t>
        </is>
      </c>
      <c r="C14" s="29" t="inlineStr">
        <is>
          <t>Band C · Principal specialist</t>
        </is>
      </c>
      <c r="D14" s="29" t="inlineStr">
        <is>
          <t>Principal</t>
        </is>
      </c>
      <c r="E14" s="29" t="inlineStr">
        <is>
          <t>— no role at this level today</t>
        </is>
      </c>
      <c r="F14" s="34" t="inlineStr">
        <is>
          <t>H</t>
        </is>
      </c>
      <c r="G14" s="84" t="inlineStr">
        <is>
          <t>Works at B3: Sets standards for a practice; cross-team problems</t>
        </is>
      </c>
      <c r="H14" s="84" t="inlineStr">
        <is>
          <t>Ambiguous, cross-product problems</t>
        </is>
      </c>
      <c r="I14" s="84" t="inlineStr">
        <is>
          <t>Already works at C2: Function-wide or company-wide problems; creates methods and standards</t>
        </is>
      </c>
      <c r="J14" s="34" t="inlineStr">
        <is>
          <t>M</t>
        </is>
      </c>
      <c r="K14" s="84" t="inlineStr">
        <is>
          <t>Works at B3: Commercial / strategic calls for the unit</t>
        </is>
      </c>
      <c r="L14" s="84" t="inlineStr">
        <is>
          <t>Sets direction for a sub-function or domain</t>
        </is>
      </c>
      <c r="M14" s="84" t="inlineStr">
        <is>
          <t>Already works at C2: Sets direction for a function</t>
        </is>
      </c>
      <c r="N14" s="34" t="inlineStr">
        <is>
          <t>M</t>
        </is>
      </c>
      <c r="O14" s="84" t="inlineStr">
        <is>
          <t>Works at B3: Several teams or a practice</t>
        </is>
      </c>
      <c r="P14" s="84" t="inlineStr">
        <is>
          <t>Sub-function results or domain quality across products</t>
        </is>
      </c>
      <c r="Q14" s="84" t="inlineStr">
        <is>
          <t>Already works at C2: Function results, budget and risk</t>
        </is>
      </c>
      <c r="R14" s="34" t="inlineStr">
        <is>
          <t>L</t>
        </is>
      </c>
      <c r="S14" s="56" t="inlineStr">
        <is>
          <t>Works at B3: IC: leads a practice · People: team leads / managers report in</t>
        </is>
      </c>
      <c r="T14" s="56" t="inlineStr">
        <is>
          <t>Leads managers or a community of practice</t>
        </is>
      </c>
      <c r="U14" s="56" t="inlineStr">
        <is>
          <t>Already works at C2: Leads a function; shapes functional strategy</t>
        </is>
      </c>
      <c r="V14" s="34" t="inlineStr">
        <is>
          <t>L</t>
        </is>
      </c>
      <c r="W14" s="56" t="inlineStr">
        <is>
          <t>Works at B3: Shapes the results of a practice or several teams</t>
        </is>
      </c>
      <c r="X14" s="56" t="inlineStr">
        <is>
          <t>Changes results across a sub-function or across products</t>
        </is>
      </c>
      <c r="Y14" s="56" t="inlineStr">
        <is>
          <t>Already works at C2: Drives a function's or department's results and costs</t>
        </is>
      </c>
      <c r="Z14" s="34" t="inlineStr">
        <is>
          <t>L</t>
        </is>
      </c>
      <c r="AA14" s="85" t="inlineStr">
        <is>
          <t>Less experience than the band's typical 10–14 yrs</t>
        </is>
      </c>
      <c r="AB14" s="85" t="inlineStr">
        <is>
          <t>Typical for the band: 10–14 yrs · market 12–17 yrs</t>
        </is>
      </c>
      <c r="AC14" s="85" t="inlineStr">
        <is>
          <t>More experience than the band's typical 10–14 yrs</t>
        </is>
      </c>
      <c r="AD14" s="34" t="inlineStr">
        <is>
          <t>L</t>
        </is>
      </c>
      <c r="AE14" s="85" t="inlineStr">
        <is>
          <t>Below: Postgraduate or professional qualification preferred</t>
        </is>
      </c>
      <c r="AF14" s="85" t="inlineStr">
        <is>
          <t>Postgraduate / professional qualification preferred · licence-to-practise roles: CA, CS, CMA or LLB as the role needs</t>
        </is>
      </c>
      <c r="AG14" s="85" t="inlineStr">
        <is>
          <t>Above: Postgraduate / professional qualification preferred</t>
        </is>
      </c>
      <c r="AH14" s="44" t="inlineStr">
        <is>
          <t>54.3 · 17.7 · 10.3 · 5 · 7.7 · 4 · 1</t>
        </is>
      </c>
      <c r="AI14" s="38" t="inlineStr">
        <is>
          <t>12–17</t>
        </is>
      </c>
      <c r="AJ14" s="38" t="inlineStr">
        <is>
          <t>5–8, mostly managers</t>
        </is>
      </c>
      <c r="AK14" s="38" t="inlineStr">
        <is>
          <t>P6 / M5 · SFIA 5–6</t>
        </is>
      </c>
      <c r="AL14"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5" ht="120" customHeight="1">
      <c r="A15" s="89" t="inlineStr">
        <is>
          <t>B+</t>
        </is>
      </c>
      <c r="B15" s="29" t="inlineStr">
        <is>
          <t>B+ · Player-Coach</t>
        </is>
      </c>
      <c r="C15" s="29" t="inlineStr">
        <is>
          <t>B+ · Player-Coach</t>
        </is>
      </c>
      <c r="D15" s="29" t="inlineStr">
        <is>
          <t>Practice Lead · Player-Coach</t>
        </is>
      </c>
      <c r="E15" s="29" t="inlineStr">
        <is>
          <t>— no role at this level today</t>
        </is>
      </c>
      <c r="F15" s="34" t="inlineStr">
        <is>
          <t>H</t>
        </is>
      </c>
      <c r="G15" s="84" t="inlineStr">
        <is>
          <t>Works at B3: Sets standards for a practice; cross-team problems</t>
        </is>
      </c>
      <c r="H15" s="84" t="inlineStr">
        <is>
          <t>Principal-level problems in own domain; sets technical or quality standards and still builds</t>
        </is>
      </c>
      <c r="I15" s="84" t="inlineStr">
        <is>
          <t>Already works at C1: Ambiguous, cross-product problems</t>
        </is>
      </c>
      <c r="J15" s="34" t="inlineStr">
        <is>
          <t>M</t>
        </is>
      </c>
      <c r="K15" s="84" t="inlineStr">
        <is>
          <t>Works at B3: Commercial / strategic calls for the unit</t>
        </is>
      </c>
      <c r="L15" s="84" t="inlineStr">
        <is>
          <t>Decides approach and priorities for the practice; escalates only cross-function trade-offs</t>
        </is>
      </c>
      <c r="M15" s="84" t="inlineStr">
        <is>
          <t>Already works at C1: Sets direction for a sub-function or domain</t>
        </is>
      </c>
      <c r="N15" s="34" t="inlineStr">
        <is>
          <t>M</t>
        </is>
      </c>
      <c r="O15" s="84" t="inlineStr">
        <is>
          <t>Works at B3: Several teams or a practice</t>
        </is>
      </c>
      <c r="P15" s="84" t="inlineStr">
        <is>
          <t>Practice outcomes plus own deliverables; quality and delivery of the team</t>
        </is>
      </c>
      <c r="Q15" s="84" t="inlineStr">
        <is>
          <t>Already works at C1: Sub-function results or domain quality across products</t>
        </is>
      </c>
      <c r="R15" s="34" t="inlineStr">
        <is>
          <t>M</t>
        </is>
      </c>
      <c r="S15" s="56" t="inlineStr">
        <is>
          <t>Works at B3: IC: leads a practice · People: team leads / managers report in</t>
        </is>
      </c>
      <c r="T15" s="56" t="inlineStr">
        <is>
          <t>Leads 3–6 people · or a pod while remaining a hands-on expert; coaches, allocates, reviews</t>
        </is>
      </c>
      <c r="U15" s="56" t="inlineStr">
        <is>
          <t>Already works at C1: Leads managers or a community of practice</t>
        </is>
      </c>
      <c r="V15" s="34" t="inlineStr">
        <is>
          <t>L</t>
        </is>
      </c>
      <c r="W15" s="56" t="inlineStr">
        <is>
          <t>Works at B3: Shapes the results of a practice or several teams</t>
        </is>
      </c>
      <c r="X15" s="56" t="inlineStr">
        <is>
          <t>Drives a practice's results while delivering the hardest work</t>
        </is>
      </c>
      <c r="Y15" s="56" t="inlineStr">
        <is>
          <t>Already works at C1: Changes results across a sub-function or across products</t>
        </is>
      </c>
      <c r="Z15" s="34" t="inlineStr">
        <is>
          <t>L</t>
        </is>
      </c>
      <c r="AA15" s="85" t="inlineStr">
        <is>
          <t>Less experience than the band's typical 9–14 yrs</t>
        </is>
      </c>
      <c r="AB15" s="85" t="inlineStr">
        <is>
          <t>Typical for the band: 9–14 yrs · market 9–14 yrs</t>
        </is>
      </c>
      <c r="AC15" s="85" t="inlineStr">
        <is>
          <t>More experience than the band's typical 9–14 yrs</t>
        </is>
      </c>
      <c r="AD15" s="34" t="inlineStr">
        <is>
          <t>M</t>
        </is>
      </c>
      <c r="AE15" s="85" t="inlineStr">
        <is>
          <t>Below: Postgraduate or professional qualification preferred</t>
        </is>
      </c>
      <c r="AF15" s="85" t="inlineStr">
        <is>
          <t>Postgraduate or professional qualification preferred · licence-to-practise roles: CA, CS, CMA or LLB as the role needs</t>
        </is>
      </c>
      <c r="AG15" s="85" t="inlineStr">
        <is>
          <t>Above: Postgraduate / professional qualification preferred</t>
        </is>
      </c>
      <c r="AH15" s="44" t="inlineStr">
        <is>
          <t>44 · 17.7 · 10.3 · 10 · 7.7 · 6 · 4</t>
        </is>
      </c>
      <c r="AI15" s="38" t="inlineStr">
        <is>
          <t>9–14</t>
        </is>
      </c>
      <c r="AJ15" s="38" t="inlineStr">
        <is>
          <t>3–6 direct reports with ≥ 40% of time on own delivery · McKinsey player/coach 3–5; Google Tech Lead Manager</t>
        </is>
      </c>
      <c r="AK15" s="38" t="inlineStr">
        <is>
          <t>P5–P6 / M4–M5 · SFIA 5 Ensure, advise</t>
        </is>
      </c>
      <c r="AL15"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6" ht="120" customHeight="1">
      <c r="A16" s="90" t="inlineStr">
        <is>
          <t>B3</t>
        </is>
      </c>
      <c r="B16" s="29" t="inlineStr">
        <is>
          <t>Band B · Specialist / Manager</t>
        </is>
      </c>
      <c r="C16" s="29" t="inlineStr">
        <is>
          <t>Band B · People Manager</t>
        </is>
      </c>
      <c r="D16" s="29" t="inlineStr">
        <is>
          <t>Senior Manager</t>
        </is>
      </c>
      <c r="E16" s="29" t="inlineStr">
        <is>
          <t>HR Transformation &amp; OD · Lead HR Specialist – Transformation &amp; OD</t>
        </is>
      </c>
      <c r="F16" s="34" t="inlineStr">
        <is>
          <t>H</t>
        </is>
      </c>
      <c r="G16" s="84" t="inlineStr">
        <is>
          <t>Works at B2: Hardest problems in the domain</t>
        </is>
      </c>
      <c r="H16" s="84" t="inlineStr">
        <is>
          <t>Sets standards for a practice; cross-team problems</t>
        </is>
      </c>
      <c r="I16" s="84" t="inlineStr">
        <is>
          <t>Already works at C1: Ambiguous, cross-product problems</t>
        </is>
      </c>
      <c r="J16" s="34" t="inlineStr">
        <is>
          <t>M</t>
        </is>
      </c>
      <c r="K16" s="84" t="inlineStr">
        <is>
          <t>Works at B2: Allocates people and sets team priorities</t>
        </is>
      </c>
      <c r="L16" s="84" t="inlineStr">
        <is>
          <t>Commercial / strategic calls for the unit</t>
        </is>
      </c>
      <c r="M16" s="84" t="inlineStr">
        <is>
          <t>Already works at C1: Sets direction for a sub-function or domain</t>
        </is>
      </c>
      <c r="N16" s="34" t="inlineStr">
        <is>
          <t>M</t>
        </is>
      </c>
      <c r="O16" s="84" t="inlineStr">
        <is>
          <t>Works at B2: One team or a client portfolio</t>
        </is>
      </c>
      <c r="P16" s="84" t="inlineStr">
        <is>
          <t>Several teams or a practice</t>
        </is>
      </c>
      <c r="Q16" s="84" t="inlineStr">
        <is>
          <t>Already works at C1: Sub-function results or domain quality across products</t>
        </is>
      </c>
      <c r="R16" s="34" t="inlineStr">
        <is>
          <t>M</t>
        </is>
      </c>
      <c r="S16" s="56" t="inlineStr">
        <is>
          <t>Works at B2: IC: guides others in the domain · People: manages a team of 6+</t>
        </is>
      </c>
      <c r="T16" s="56" t="inlineStr">
        <is>
          <t>IC: leads a practice · People: team leads / managers report in</t>
        </is>
      </c>
      <c r="U16" s="56" t="inlineStr">
        <is>
          <t>Already works at C1: Leads managers or a community of practice</t>
        </is>
      </c>
      <c r="V16" s="34" t="inlineStr">
        <is>
          <t>L</t>
        </is>
      </c>
      <c r="W16" s="56" t="inlineStr">
        <is>
          <t>Works at B2: Visible effect on a team's or client portfolio's revenue, quality or compliance</t>
        </is>
      </c>
      <c r="X16" s="56" t="inlineStr">
        <is>
          <t>Shapes the results of a practice or several teams · purpose: Designs HR transformation, capability and OD programmes. At B3: a practice, or several teams through team leads.</t>
        </is>
      </c>
      <c r="Y16" s="56" t="inlineStr">
        <is>
          <t>Already works at C1: Changes results across a sub-function or across products</t>
        </is>
      </c>
      <c r="Z16" s="34" t="inlineStr">
        <is>
          <t>L</t>
        </is>
      </c>
      <c r="AA16" s="85" t="inlineStr">
        <is>
          <t>Less experience than the band's typical 8–12 yrs</t>
        </is>
      </c>
      <c r="AB16" s="85" t="inlineStr">
        <is>
          <t>Typical for the band: 8–12 yrs · market 8–13 yrs</t>
        </is>
      </c>
      <c r="AC16" s="85" t="inlineStr">
        <is>
          <t>More experience than the band's typical 8–12 yrs</t>
        </is>
      </c>
      <c r="AD16" s="34" t="inlineStr">
        <is>
          <t>L</t>
        </is>
      </c>
      <c r="AE16" s="85" t="inlineStr">
        <is>
          <t>Below: Graduate or postgraduate; professional qualification preferred</t>
        </is>
      </c>
      <c r="AF16" s="85" t="inlineStr">
        <is>
          <t>Postgraduate or professional qualification preferred · licence-to-practise roles: CA, CS, CMA or LLB as the role needs</t>
        </is>
      </c>
      <c r="AG16" s="85" t="inlineStr">
        <is>
          <t>Above: Postgraduate / professional qualification preferred</t>
        </is>
      </c>
      <c r="AH16" s="44" t="inlineStr">
        <is>
          <t>37 · 18.3 · 11.3 · 15 · 8.7 · 6 · 4</t>
        </is>
      </c>
      <c r="AI16" s="38" t="inlineStr">
        <is>
          <t>8–13</t>
        </is>
      </c>
      <c r="AJ16" s="38" t="inlineStr">
        <is>
          <t>IC: none · People: 5–8 incl. team leads</t>
        </is>
      </c>
      <c r="AK16" s="38" t="inlineStr">
        <is>
          <t>P5 / M4 · SFIA 5 Ensure, advise</t>
        </is>
      </c>
      <c r="AL16"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7" ht="120" customHeight="1">
      <c r="A17" s="90" t="inlineStr">
        <is>
          <t>B3</t>
        </is>
      </c>
      <c r="B17" s="29" t="inlineStr">
        <is>
          <t>Band B · Specialist / Manager</t>
        </is>
      </c>
      <c r="C17" s="29" t="inlineStr">
        <is>
          <t>Band B · Specialist / POD Lead</t>
        </is>
      </c>
      <c r="D17" s="29" t="inlineStr">
        <is>
          <t>Lead Specialist</t>
        </is>
      </c>
      <c r="E17" s="29" t="inlineStr">
        <is>
          <t>HR Transformation &amp; OD · Lead HR Specialist – Transformation &amp; OD</t>
        </is>
      </c>
      <c r="F17" s="34" t="inlineStr">
        <is>
          <t>H</t>
        </is>
      </c>
      <c r="G17" s="84" t="inlineStr">
        <is>
          <t>Works at B2: Hardest problems in the domain</t>
        </is>
      </c>
      <c r="H17" s="84" t="inlineStr">
        <is>
          <t>Sets standards for a practice; cross-team problems</t>
        </is>
      </c>
      <c r="I17" s="84" t="inlineStr">
        <is>
          <t>Already works at C1: Ambiguous, cross-product problems</t>
        </is>
      </c>
      <c r="J17" s="34" t="inlineStr">
        <is>
          <t>M</t>
        </is>
      </c>
      <c r="K17" s="84" t="inlineStr">
        <is>
          <t>Works at B2: Allocates people and sets team priorities</t>
        </is>
      </c>
      <c r="L17" s="84" t="inlineStr">
        <is>
          <t>Commercial / strategic calls for the unit</t>
        </is>
      </c>
      <c r="M17" s="84" t="inlineStr">
        <is>
          <t>Already works at C1: Sets direction for a sub-function or domain</t>
        </is>
      </c>
      <c r="N17" s="34" t="inlineStr">
        <is>
          <t>M</t>
        </is>
      </c>
      <c r="O17" s="84" t="inlineStr">
        <is>
          <t>Works at B2: One team or a client portfolio</t>
        </is>
      </c>
      <c r="P17" s="84" t="inlineStr">
        <is>
          <t>Several teams or a practice</t>
        </is>
      </c>
      <c r="Q17" s="84" t="inlineStr">
        <is>
          <t>Already works at C1: Sub-function results or domain quality across products</t>
        </is>
      </c>
      <c r="R17" s="34" t="inlineStr">
        <is>
          <t>L</t>
        </is>
      </c>
      <c r="S17" s="56" t="inlineStr">
        <is>
          <t>Works at B2: IC: guides others in the domain · People: manages a team of 6+</t>
        </is>
      </c>
      <c r="T17" s="56" t="inlineStr">
        <is>
          <t>IC: leads a practice · People: team leads / managers report in</t>
        </is>
      </c>
      <c r="U17" s="56" t="inlineStr">
        <is>
          <t>Already works at C1: Leads managers or a community of practice</t>
        </is>
      </c>
      <c r="V17" s="34" t="inlineStr">
        <is>
          <t>L</t>
        </is>
      </c>
      <c r="W17" s="56" t="inlineStr">
        <is>
          <t>Works at B2: Visible effect on a team's or client portfolio's revenue, quality or compliance</t>
        </is>
      </c>
      <c r="X17" s="56" t="inlineStr">
        <is>
          <t>Shapes the results of a practice or several teams · purpose: Designs HR transformation, capability and OD programmes. At B3: a practice, or several teams through team leads.</t>
        </is>
      </c>
      <c r="Y17" s="56" t="inlineStr">
        <is>
          <t>Already works at C1: Changes results across a sub-function or across products</t>
        </is>
      </c>
      <c r="Z17" s="34" t="inlineStr">
        <is>
          <t>L</t>
        </is>
      </c>
      <c r="AA17" s="85" t="inlineStr">
        <is>
          <t>Less experience than the band's typical 8–12 yrs</t>
        </is>
      </c>
      <c r="AB17" s="85" t="inlineStr">
        <is>
          <t>Typical for the band: 8–12 yrs · market 8–13 yrs</t>
        </is>
      </c>
      <c r="AC17" s="85" t="inlineStr">
        <is>
          <t>More experience than the band's typical 8–12 yrs</t>
        </is>
      </c>
      <c r="AD17" s="34" t="inlineStr">
        <is>
          <t>L</t>
        </is>
      </c>
      <c r="AE17" s="85" t="inlineStr">
        <is>
          <t>Below: Graduate or postgraduate; professional qualification preferred</t>
        </is>
      </c>
      <c r="AF17" s="85" t="inlineStr">
        <is>
          <t>Postgraduate or professional qualification preferred · licence-to-practise roles: CA, CS, CMA or LLB as the role needs</t>
        </is>
      </c>
      <c r="AG17" s="85" t="inlineStr">
        <is>
          <t>Above: Postgraduate / professional qualification preferred</t>
        </is>
      </c>
      <c r="AH17" s="44" t="inlineStr">
        <is>
          <t>51.3 · 17.3 · 9.7 · 5 · 7 · 6 · 4</t>
        </is>
      </c>
      <c r="AI17" s="38" t="inlineStr">
        <is>
          <t>8–13</t>
        </is>
      </c>
      <c r="AJ17" s="38" t="inlineStr">
        <is>
          <t>IC: none · People: 5–8 incl. team leads</t>
        </is>
      </c>
      <c r="AK17" s="38" t="inlineStr">
        <is>
          <t>P5 / M4 · SFIA 5 Ensure, advise</t>
        </is>
      </c>
      <c r="AL17"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8" ht="120" customHeight="1">
      <c r="A18" s="90" t="inlineStr">
        <is>
          <t>B2</t>
        </is>
      </c>
      <c r="B18" s="29" t="inlineStr">
        <is>
          <t>Band B · Specialist / Manager</t>
        </is>
      </c>
      <c r="C18" s="29" t="inlineStr">
        <is>
          <t>Band B · People Manager</t>
        </is>
      </c>
      <c r="D18" s="29" t="inlineStr">
        <is>
          <t>Manager</t>
        </is>
      </c>
      <c r="E18" s="29" t="inlineStr">
        <is>
          <t>Talent Acquisition · Senior Talent Acquisition Specialist</t>
        </is>
      </c>
      <c r="F18" s="34" t="inlineStr">
        <is>
          <t>H</t>
        </is>
      </c>
      <c r="G18" s="84" t="inlineStr">
        <is>
          <t>Works at B1: Domain specialist work</t>
        </is>
      </c>
      <c r="H18" s="84" t="inlineStr">
        <is>
          <t>Hardest problems in the domain · in Human Resources: HR · Stakeholder Management</t>
        </is>
      </c>
      <c r="I18" s="84" t="inlineStr">
        <is>
          <t>Already works at B3: Sets standards for a practice; cross-team problems</t>
        </is>
      </c>
      <c r="J18" s="34" t="inlineStr">
        <is>
          <t>M</t>
        </is>
      </c>
      <c r="K18" s="84" t="inlineStr">
        <is>
          <t>Works at B1: Technical / QC / client calls for the domain</t>
        </is>
      </c>
      <c r="L18" s="84" t="inlineStr">
        <is>
          <t>Allocates people and sets team priorities</t>
        </is>
      </c>
      <c r="M18" s="84" t="inlineStr">
        <is>
          <t>Already works at B3: Commercial / strategic calls for the unit</t>
        </is>
      </c>
      <c r="N18" s="34" t="inlineStr">
        <is>
          <t>M</t>
        </is>
      </c>
      <c r="O18" s="84" t="inlineStr">
        <is>
          <t>Works at B1: A domain or a small team</t>
        </is>
      </c>
      <c r="P18" s="84" t="inlineStr">
        <is>
          <t>One team or a client portfolio</t>
        </is>
      </c>
      <c r="Q18" s="84" t="inlineStr">
        <is>
          <t>Already works at B3: Several teams or a practice</t>
        </is>
      </c>
      <c r="R18" s="34" t="inlineStr">
        <is>
          <t>M</t>
        </is>
      </c>
      <c r="S18" s="56" t="inlineStr">
        <is>
          <t>Works at B1: IC: mentors and reviews · People: hands-on team lead of 3–5</t>
        </is>
      </c>
      <c r="T18" s="56" t="inlineStr">
        <is>
          <t>IC: guides others in the domain · People: manages a team of 6+</t>
        </is>
      </c>
      <c r="U18" s="56" t="inlineStr">
        <is>
          <t>Already works at B3: IC: leads a practice · People: team leads / managers report in</t>
        </is>
      </c>
      <c r="V18" s="34" t="inlineStr">
        <is>
          <t>L</t>
        </is>
      </c>
      <c r="W18" s="56" t="inlineStr">
        <is>
          <t>Works at B1: Moves a module's, product area's or client account's results</t>
        </is>
      </c>
      <c r="X18" s="56" t="inlineStr">
        <is>
          <t>Visible effect on a team's or client portfolio's revenue, quality or compliance · purpose: Sources, screens and hires talent. At B2: deep domain expertise, or one team.
Common themes in sub-family holders, all levels' answers: hiring · right · …</t>
        </is>
      </c>
      <c r="Y18" s="56" t="inlineStr">
        <is>
          <t>Already works at B3: Shapes the results of a practice or several teams</t>
        </is>
      </c>
      <c r="Z18" s="34" t="inlineStr">
        <is>
          <t>L</t>
        </is>
      </c>
      <c r="AA18" s="85" t="inlineStr">
        <is>
          <t>Less experience than the band's typical 6–9 yrs</t>
        </is>
      </c>
      <c r="AB18" s="85" t="inlineStr">
        <is>
          <t>Typical for the band: 6–9 yrs · market 6–10 yrs</t>
        </is>
      </c>
      <c r="AC18" s="85" t="inlineStr">
        <is>
          <t>More experience than the band's typical 6–9 yrs</t>
        </is>
      </c>
      <c r="AD18" s="34" t="inlineStr">
        <is>
          <t>L</t>
        </is>
      </c>
      <c r="AE18" s="85" t="inlineStr">
        <is>
          <t>Below: Graduate + relevant qualification or certification preferred</t>
        </is>
      </c>
      <c r="AF18" s="85" t="inlineStr">
        <is>
          <t>Graduate or postgraduate; professional qualification preferred · licence-to-practise roles: CA, CS, CMA or LLB as the role needs</t>
        </is>
      </c>
      <c r="AG18" s="85" t="inlineStr">
        <is>
          <t>Above: Postgraduate or professional qualification preferred</t>
        </is>
      </c>
      <c r="AH18" s="44" t="inlineStr">
        <is>
          <t>37 · 18.3 · 11.3 · 15 · 8.7 · 6 · 4</t>
        </is>
      </c>
      <c r="AI18" s="38" t="inlineStr">
        <is>
          <t>6–10</t>
        </is>
      </c>
      <c r="AJ18" s="38" t="inlineStr">
        <is>
          <t>IC: none · People: 6–8 knowledge work, 8–12 standardised delivery</t>
        </is>
      </c>
      <c r="AK18" s="38" t="inlineStr">
        <is>
          <t>P4 / M3 · SFIA 4–5</t>
        </is>
      </c>
      <c r="AL18"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9" ht="120" customHeight="1">
      <c r="A19" s="90" t="inlineStr">
        <is>
          <t>B2</t>
        </is>
      </c>
      <c r="B19" s="29" t="inlineStr">
        <is>
          <t>Band B · Specialist / Manager</t>
        </is>
      </c>
      <c r="C19" s="29" t="inlineStr">
        <is>
          <t>Band B · Specialist / POD Lead</t>
        </is>
      </c>
      <c r="D19" s="29" t="inlineStr">
        <is>
          <t>Senior Specialist</t>
        </is>
      </c>
      <c r="E19" s="29" t="inlineStr">
        <is>
          <t>Talent Acquisition · Senior Talent Acquisition Specialist</t>
        </is>
      </c>
      <c r="F19" s="34" t="inlineStr">
        <is>
          <t>H</t>
        </is>
      </c>
      <c r="G19" s="84" t="inlineStr">
        <is>
          <t>Works at B1: Domain specialist work</t>
        </is>
      </c>
      <c r="H19" s="84" t="inlineStr">
        <is>
          <t>Hardest problems in the domain · in Human Resources: HR · Stakeholder Management</t>
        </is>
      </c>
      <c r="I19" s="84" t="inlineStr">
        <is>
          <t>Already works at B3: Sets standards for a practice; cross-team problems</t>
        </is>
      </c>
      <c r="J19" s="34" t="inlineStr">
        <is>
          <t>M</t>
        </is>
      </c>
      <c r="K19" s="84" t="inlineStr">
        <is>
          <t>Works at B1: Technical / QC / client calls for the domain</t>
        </is>
      </c>
      <c r="L19" s="84" t="inlineStr">
        <is>
          <t>Allocates people and sets team priorities</t>
        </is>
      </c>
      <c r="M19" s="84" t="inlineStr">
        <is>
          <t>Already works at B3: Commercial / strategic calls for the unit</t>
        </is>
      </c>
      <c r="N19" s="34" t="inlineStr">
        <is>
          <t>M</t>
        </is>
      </c>
      <c r="O19" s="84" t="inlineStr">
        <is>
          <t>Works at B1: A domain or a small team</t>
        </is>
      </c>
      <c r="P19" s="84" t="inlineStr">
        <is>
          <t>One team or a client portfolio</t>
        </is>
      </c>
      <c r="Q19" s="84" t="inlineStr">
        <is>
          <t>Already works at B3: Several teams or a practice</t>
        </is>
      </c>
      <c r="R19" s="34" t="inlineStr">
        <is>
          <t>L</t>
        </is>
      </c>
      <c r="S19" s="56" t="inlineStr">
        <is>
          <t>Works at B1: IC: mentors and reviews · People: hands-on team lead of 3–5</t>
        </is>
      </c>
      <c r="T19" s="56" t="inlineStr">
        <is>
          <t>IC: guides others in the domain · People: manages a team of 6+</t>
        </is>
      </c>
      <c r="U19" s="56" t="inlineStr">
        <is>
          <t>Already works at B3: IC: leads a practice · People: team leads / managers report in</t>
        </is>
      </c>
      <c r="V19" s="34" t="inlineStr">
        <is>
          <t>L</t>
        </is>
      </c>
      <c r="W19" s="56" t="inlineStr">
        <is>
          <t>Works at B1: Moves a module's, product area's or client account's results</t>
        </is>
      </c>
      <c r="X19" s="56" t="inlineStr">
        <is>
          <t>Visible effect on a team's or client portfolio's revenue, quality or compliance · purpose: Sources, screens and hires talent. At B2: deep domain expertise, or one team.
Common themes in sub-family holders, all levels' answers: hiring · right · …</t>
        </is>
      </c>
      <c r="Y19" s="56" t="inlineStr">
        <is>
          <t>Already works at B3: Shapes the results of a practice or several teams</t>
        </is>
      </c>
      <c r="Z19" s="34" t="inlineStr">
        <is>
          <t>L</t>
        </is>
      </c>
      <c r="AA19" s="85" t="inlineStr">
        <is>
          <t>Less experience than the band's typical 6–9 yrs</t>
        </is>
      </c>
      <c r="AB19" s="85" t="inlineStr">
        <is>
          <t>Typical for the band: 6–9 yrs · market 6–10 yrs</t>
        </is>
      </c>
      <c r="AC19" s="85" t="inlineStr">
        <is>
          <t>More experience than the band's typical 6–9 yrs</t>
        </is>
      </c>
      <c r="AD19" s="34" t="inlineStr">
        <is>
          <t>L</t>
        </is>
      </c>
      <c r="AE19" s="85" t="inlineStr">
        <is>
          <t>Below: Graduate + relevant qualification or certification preferred</t>
        </is>
      </c>
      <c r="AF19" s="85" t="inlineStr">
        <is>
          <t>Graduate or postgraduate; professional qualification preferred · licence-to-practise roles: CA, CS, CMA or LLB as the role needs</t>
        </is>
      </c>
      <c r="AG19" s="85" t="inlineStr">
        <is>
          <t>Above: Postgraduate or professional qualification preferred</t>
        </is>
      </c>
      <c r="AH19" s="44" t="inlineStr">
        <is>
          <t>51.3 · 17.3 · 9.7 · 5 · 7 · 6 · 4</t>
        </is>
      </c>
      <c r="AI19" s="38" t="inlineStr">
        <is>
          <t>6–10</t>
        </is>
      </c>
      <c r="AJ19" s="38" t="inlineStr">
        <is>
          <t>IC: none · People: 6–8 knowledge work, 8–12 standardised delivery</t>
        </is>
      </c>
      <c r="AK19" s="38" t="inlineStr">
        <is>
          <t>P4 / M3 · SFIA 4–5</t>
        </is>
      </c>
      <c r="AL19"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0" ht="120" customHeight="1">
      <c r="A20" s="90" t="inlineStr">
        <is>
          <t>B1</t>
        </is>
      </c>
      <c r="B20" s="29" t="inlineStr">
        <is>
          <t>Band B · Specialist / Manager</t>
        </is>
      </c>
      <c r="C20" s="29" t="inlineStr">
        <is>
          <t>Band B · People Manager</t>
        </is>
      </c>
      <c r="D20" s="29" t="inlineStr">
        <is>
          <t>Team Lead / Asst Manager</t>
        </is>
      </c>
      <c r="E20" s="29" t="inlineStr">
        <is>
          <t>HR Operations &amp; Payroll · HR Specialist · HR Specialist – POD Lead</t>
        </is>
      </c>
      <c r="F20" s="34" t="inlineStr">
        <is>
          <t>H</t>
        </is>
      </c>
      <c r="G20" s="84" t="inlineStr">
        <is>
          <t>Works at A3: Varied and non-standard work; handles exceptions</t>
        </is>
      </c>
      <c r="H20" s="84" t="inlineStr">
        <is>
          <t>Domain specialist work · in Human Resources: HR</t>
        </is>
      </c>
      <c r="I20" s="84" t="inlineStr">
        <is>
          <t>Already works at B2: Hardest problems in the domain</t>
        </is>
      </c>
      <c r="J20" s="34" t="inlineStr">
        <is>
          <t>M</t>
        </is>
      </c>
      <c r="K20" s="84" t="inlineStr">
        <is>
          <t>Works at A3: Technical / QC / client calls on own work</t>
        </is>
      </c>
      <c r="L20" s="84" t="inlineStr">
        <is>
          <t>Technical / QC / client calls for the domain</t>
        </is>
      </c>
      <c r="M20" s="84" t="inlineStr">
        <is>
          <t>Already works at B2: Allocates people and sets team priorities</t>
        </is>
      </c>
      <c r="N20" s="34" t="inlineStr">
        <is>
          <t>M</t>
        </is>
      </c>
      <c r="O20" s="84" t="inlineStr">
        <is>
          <t>Works at A3: A module / process, or work with client or regulatory consequences</t>
        </is>
      </c>
      <c r="P20" s="84" t="inlineStr">
        <is>
          <t>A domain or a small team</t>
        </is>
      </c>
      <c r="Q20" s="84" t="inlineStr">
        <is>
          <t>Already works at B2: One team or a client portfolio</t>
        </is>
      </c>
      <c r="R20" s="34" t="inlineStr">
        <is>
          <t>M</t>
        </is>
      </c>
      <c r="S20" s="56" t="inlineStr">
        <is>
          <t>Works at A3: contributes alone; guides others only informally</t>
        </is>
      </c>
      <c r="T20" s="56" t="inlineStr">
        <is>
          <t>IC: mentors and reviews · People: hands-on team lead of 3–5</t>
        </is>
      </c>
      <c r="U20" s="56" t="inlineStr">
        <is>
          <t>Already works at B2: IC: guides others in the domain · People: manages a team of 6+</t>
        </is>
      </c>
      <c r="V20" s="34" t="inlineStr">
        <is>
          <t>L</t>
        </is>
      </c>
      <c r="W20" s="56" t="inlineStr">
        <is>
          <t>Works at A3: A process or client deliverable depends on this work</t>
        </is>
      </c>
      <c r="X20" s="56" t="inlineStr">
        <is>
          <t>Moves a module's, product area's or client account's results · purpose: Runs payroll, HRIS, onboarding, engagement and exits. At B1: a domain / module, or a small team.
Common themes in sub-family holders, all levels' answers: …</t>
        </is>
      </c>
      <c r="Y20" s="56" t="inlineStr">
        <is>
          <t>Already works at B2: Visible effect on a team's or client portfolio's revenue, quality or compliance</t>
        </is>
      </c>
      <c r="Z20" s="34" t="inlineStr">
        <is>
          <t>L</t>
        </is>
      </c>
      <c r="AA20" s="85" t="inlineStr">
        <is>
          <t>Less experience than the band's typical 4–7 yrs</t>
        </is>
      </c>
      <c r="AB20" s="85" t="inlineStr">
        <is>
          <t>Typical for the band: 4–7 yrs · market 4–8 yrs</t>
        </is>
      </c>
      <c r="AC20" s="85" t="inlineStr">
        <is>
          <t>More experience than the band's typical 4–7 yrs</t>
        </is>
      </c>
      <c r="AD20" s="34" t="inlineStr">
        <is>
          <t>L</t>
        </is>
      </c>
      <c r="AE20" s="85" t="inlineStr">
        <is>
          <t>Below: Graduate; relevant certification preferred</t>
        </is>
      </c>
      <c r="AF20" s="85" t="inlineStr">
        <is>
          <t>Graduate + relevant qualification or certification preferred · licence-to-practise roles: CA, CS, CMA or LLB as the role needs</t>
        </is>
      </c>
      <c r="AG20" s="85" t="inlineStr">
        <is>
          <t>Above: Graduate or postgraduate; professional qualification preferred</t>
        </is>
      </c>
      <c r="AH20" s="44" t="inlineStr">
        <is>
          <t>37 · 18.3 · 11.3 · 15 · 8.7 · 6 · 4</t>
        </is>
      </c>
      <c r="AI20" s="38" t="inlineStr">
        <is>
          <t>4–8</t>
        </is>
      </c>
      <c r="AJ20" s="38" t="inlineStr">
        <is>
          <t>IC: none · Team Lead: 3–5</t>
        </is>
      </c>
      <c r="AK20" s="38" t="inlineStr">
        <is>
          <t>P3 / M2 · SFIA 4 Enable</t>
        </is>
      </c>
      <c r="AL20"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1" ht="120" customHeight="1">
      <c r="A21" s="90" t="inlineStr">
        <is>
          <t>B1</t>
        </is>
      </c>
      <c r="B21" s="29" t="inlineStr">
        <is>
          <t>Band B · Specialist / Manager</t>
        </is>
      </c>
      <c r="C21" s="29" t="inlineStr">
        <is>
          <t>Band B · Specialist / POD Lead</t>
        </is>
      </c>
      <c r="D21" s="29" t="inlineStr">
        <is>
          <t>Specialist</t>
        </is>
      </c>
      <c r="E21" s="29" t="inlineStr">
        <is>
          <t>HR Operations &amp; Payroll · HR Specialist · HR Specialist – POD Lead</t>
        </is>
      </c>
      <c r="F21" s="34" t="inlineStr">
        <is>
          <t>H</t>
        </is>
      </c>
      <c r="G21" s="84" t="inlineStr">
        <is>
          <t>Works at A3: Varied and non-standard work; handles exceptions</t>
        </is>
      </c>
      <c r="H21" s="84" t="inlineStr">
        <is>
          <t>Domain specialist work · in Human Resources: HR</t>
        </is>
      </c>
      <c r="I21" s="84" t="inlineStr">
        <is>
          <t>Already works at B2: Hardest problems in the domain</t>
        </is>
      </c>
      <c r="J21" s="34" t="inlineStr">
        <is>
          <t>M</t>
        </is>
      </c>
      <c r="K21" s="84" t="inlineStr">
        <is>
          <t>Works at A3: Technical / QC / client calls on own work</t>
        </is>
      </c>
      <c r="L21" s="84" t="inlineStr">
        <is>
          <t>Technical / QC / client calls for the domain</t>
        </is>
      </c>
      <c r="M21" s="84" t="inlineStr">
        <is>
          <t>Already works at B2: Allocates people and sets team priorities</t>
        </is>
      </c>
      <c r="N21" s="34" t="inlineStr">
        <is>
          <t>M</t>
        </is>
      </c>
      <c r="O21" s="84" t="inlineStr">
        <is>
          <t>Works at A3: A module / process, or work with client or regulatory consequences</t>
        </is>
      </c>
      <c r="P21" s="84" t="inlineStr">
        <is>
          <t>A domain or a small team</t>
        </is>
      </c>
      <c r="Q21" s="84" t="inlineStr">
        <is>
          <t>Already works at B2: One team or a client portfolio</t>
        </is>
      </c>
      <c r="R21" s="34" t="inlineStr">
        <is>
          <t>L</t>
        </is>
      </c>
      <c r="S21" s="56" t="inlineStr">
        <is>
          <t>Works at A3: contributes alone; guides others only informally</t>
        </is>
      </c>
      <c r="T21" s="56" t="inlineStr">
        <is>
          <t>IC: mentors and reviews · People: hands-on team lead of 3–5</t>
        </is>
      </c>
      <c r="U21" s="56" t="inlineStr">
        <is>
          <t>Already works at B2: IC: guides others in the domain · People: manages a team of 6+</t>
        </is>
      </c>
      <c r="V21" s="34" t="inlineStr">
        <is>
          <t>L</t>
        </is>
      </c>
      <c r="W21" s="56" t="inlineStr">
        <is>
          <t>Works at A3: A process or client deliverable depends on this work</t>
        </is>
      </c>
      <c r="X21" s="56" t="inlineStr">
        <is>
          <t>Moves a module's, product area's or client account's results · purpose: Runs payroll, HRIS, onboarding, engagement and exits. At B1: a domain / module, or a small team.
Common themes in sub-family holders, all levels' answers: …</t>
        </is>
      </c>
      <c r="Y21" s="56" t="inlineStr">
        <is>
          <t>Already works at B2: Visible effect on a team's or client portfolio's revenue, quality or compliance</t>
        </is>
      </c>
      <c r="Z21" s="34" t="inlineStr">
        <is>
          <t>L</t>
        </is>
      </c>
      <c r="AA21" s="85" t="inlineStr">
        <is>
          <t>Less experience than the band's typical 4–7 yrs</t>
        </is>
      </c>
      <c r="AB21" s="85" t="inlineStr">
        <is>
          <t>Typical for the band: 4–7 yrs · market 4–8 yrs</t>
        </is>
      </c>
      <c r="AC21" s="85" t="inlineStr">
        <is>
          <t>More experience than the band's typical 4–7 yrs</t>
        </is>
      </c>
      <c r="AD21" s="34" t="inlineStr">
        <is>
          <t>L</t>
        </is>
      </c>
      <c r="AE21" s="85" t="inlineStr">
        <is>
          <t>Below: Graduate; relevant certification preferred</t>
        </is>
      </c>
      <c r="AF21" s="85" t="inlineStr">
        <is>
          <t>Graduate + relevant qualification or certification preferred · licence-to-practise roles: CA, CS, CMA or LLB as the role needs</t>
        </is>
      </c>
      <c r="AG21" s="85" t="inlineStr">
        <is>
          <t>Above: Graduate or postgraduate; professional qualification preferred</t>
        </is>
      </c>
      <c r="AH21" s="44" t="inlineStr">
        <is>
          <t>51.3 · 17.3 · 9.7 · 5 · 7 · 6 · 4</t>
        </is>
      </c>
      <c r="AI21" s="38" t="inlineStr">
        <is>
          <t>4–8</t>
        </is>
      </c>
      <c r="AJ21" s="38" t="inlineStr">
        <is>
          <t>IC: none · Team Lead: 3–5</t>
        </is>
      </c>
      <c r="AK21" s="38" t="inlineStr">
        <is>
          <t>P3 / M2 · SFIA 4 Enable</t>
        </is>
      </c>
      <c r="AL21"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2" ht="120" customHeight="1">
      <c r="A22" s="91" t="inlineStr">
        <is>
          <t>A3</t>
        </is>
      </c>
      <c r="B22" s="29" t="inlineStr">
        <is>
          <t>Band A · Practitioner</t>
        </is>
      </c>
      <c r="C22" s="29" t="inlineStr">
        <is>
          <t>Band A · all tracks</t>
        </is>
      </c>
      <c r="D22" s="29" t="inlineStr">
        <is>
          <t>Senior Associate</t>
        </is>
      </c>
      <c r="E22" s="29" t="inlineStr">
        <is>
          <t>Talent Acquisition · Senior Talent Acquisition Executive</t>
        </is>
      </c>
      <c r="F22" s="34" t="inlineStr">
        <is>
          <t>H</t>
        </is>
      </c>
      <c r="G22" s="84" t="inlineStr">
        <is>
          <t>Works at A2: Standard work of the discipline</t>
        </is>
      </c>
      <c r="H22" s="84" t="inlineStr">
        <is>
          <t>Varied and non-standard work; handles exceptions · in Human Resources: HR · Stakeholder Management</t>
        </is>
      </c>
      <c r="I22" s="84" t="inlineStr">
        <is>
          <t>Already works at B1: Domain specialist work</t>
        </is>
      </c>
      <c r="J22" s="34" t="inlineStr">
        <is>
          <t>M</t>
        </is>
      </c>
      <c r="K22" s="84" t="inlineStr">
        <is>
          <t>Works at A2: Chooses own approach within standards</t>
        </is>
      </c>
      <c r="L22" s="84" t="inlineStr">
        <is>
          <t>Technical / QC / client calls on own work</t>
        </is>
      </c>
      <c r="M22" s="84" t="inlineStr">
        <is>
          <t>Already works at B1: Technical / QC / client calls for the domain</t>
        </is>
      </c>
      <c r="N22" s="34" t="inlineStr">
        <is>
          <t>M</t>
        </is>
      </c>
      <c r="O22" s="84" t="inlineStr">
        <is>
          <t>Works at A2: Own deliverables · accuracy, TAT</t>
        </is>
      </c>
      <c r="P22" s="84" t="inlineStr">
        <is>
          <t>A module / process, or work with client or regulatory consequences</t>
        </is>
      </c>
      <c r="Q22" s="84" t="inlineStr">
        <is>
          <t>Already works at B1: A domain or a small team</t>
        </is>
      </c>
      <c r="R22" s="34" t="inlineStr">
        <is>
          <t>L</t>
        </is>
      </c>
      <c r="S22" s="56" t="inlineStr">
        <is>
          <t>Works at A2: contributes alone; guides others only informally</t>
        </is>
      </c>
      <c r="T22" s="56" t="inlineStr">
        <is>
          <t>Helps peers and newer people informally · None · guides 1–3 juniors informally</t>
        </is>
      </c>
      <c r="U22" s="56" t="inlineStr">
        <is>
          <t>Already works at B1: IC: mentors and reviews · People: hands-on team lead of 3–5</t>
        </is>
      </c>
      <c r="V22" s="34" t="inlineStr">
        <is>
          <t>L</t>
        </is>
      </c>
      <c r="W22" s="56" t="inlineStr">
        <is>
          <t>Works at A2: Own deliverables feed a team's output and turnaround</t>
        </is>
      </c>
      <c r="X22" s="56" t="inlineStr">
        <is>
          <t>A process or client deliverable depends on this work · purpose: Sources, screens and hires talent. At A3: varied work; reviews juniors; go-to for a process.
Common themes in sub-family holders, all levels' answers: hiring · …</t>
        </is>
      </c>
      <c r="Y22" s="56" t="inlineStr">
        <is>
          <t>Already works at B1: Moves a module's, product area's or client account's results</t>
        </is>
      </c>
      <c r="Z22" s="34" t="inlineStr">
        <is>
          <t>L</t>
        </is>
      </c>
      <c r="AA22" s="85" t="inlineStr">
        <is>
          <t>Less experience than the band's typical 2–4 yrs</t>
        </is>
      </c>
      <c r="AB22" s="85" t="inlineStr">
        <is>
          <t>Typical for the band: 2–4 yrs · market 2–5 yrs</t>
        </is>
      </c>
      <c r="AC22" s="85" t="inlineStr">
        <is>
          <t>More experience than the band's typical 2–4 yrs</t>
        </is>
      </c>
      <c r="AD22" s="34" t="inlineStr">
        <is>
          <t>M</t>
        </is>
      </c>
      <c r="AE22" s="85" t="inlineStr">
        <is>
          <t>Below: Graduate · or diploma with experience</t>
        </is>
      </c>
      <c r="AF22" s="85" t="inlineStr">
        <is>
          <t>Graduate; relevant certification preferred · licence-to-practise roles: CA, CS, CMA or LLB as the role needs</t>
        </is>
      </c>
      <c r="AG22" s="85" t="inlineStr">
        <is>
          <t>Above: Graduate + relevant qualification or certification preferred</t>
        </is>
      </c>
      <c r="AH22" s="44" t="inlineStr">
        <is>
          <t>58.3 · 16 · 9 · 0 · 6.3 · 6 · 4</t>
        </is>
      </c>
      <c r="AI22" s="38" t="inlineStr">
        <is>
          <t>2–5</t>
        </is>
      </c>
      <c r="AJ22" s="38" t="inlineStr">
        <is>
          <t>None · guides 1–3 juniors informally</t>
        </is>
      </c>
      <c r="AK22" s="38" t="inlineStr">
        <is>
          <t>P2 · SFIA 3 Apply</t>
        </is>
      </c>
      <c r="AL22"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3" ht="120" customHeight="1">
      <c r="A23" s="91" t="inlineStr">
        <is>
          <t>A2</t>
        </is>
      </c>
      <c r="B23" s="29" t="inlineStr">
        <is>
          <t>Band A · Practitioner</t>
        </is>
      </c>
      <c r="C23" s="29" t="inlineStr">
        <is>
          <t>Band A · all tracks</t>
        </is>
      </c>
      <c r="D23" s="29" t="inlineStr">
        <is>
          <t>Associate</t>
        </is>
      </c>
      <c r="E23" s="29" t="inlineStr">
        <is>
          <t>HR Operations &amp; Payroll · HR Executive</t>
        </is>
      </c>
      <c r="F23" s="34" t="inlineStr">
        <is>
          <t>H</t>
        </is>
      </c>
      <c r="G23" s="84" t="inlineStr">
        <is>
          <t>Works at A1: Learning; follows worked examples</t>
        </is>
      </c>
      <c r="H23" s="84" t="inlineStr">
        <is>
          <t>Standard work of the discipline · in Human Resources: HR</t>
        </is>
      </c>
      <c r="I23" s="84" t="inlineStr">
        <is>
          <t>Already works at A3: Varied and non-standard work; handles exceptions</t>
        </is>
      </c>
      <c r="J23" s="34" t="inlineStr">
        <is>
          <t>M</t>
        </is>
      </c>
      <c r="K23" s="84" t="inlineStr">
        <is>
          <t>Works at A1: Needs approval / close guidance</t>
        </is>
      </c>
      <c r="L23" s="84" t="inlineStr">
        <is>
          <t>Chooses own approach within standards</t>
        </is>
      </c>
      <c r="M23" s="84" t="inlineStr">
        <is>
          <t>Already works at A3: Technical / QC / client calls on own work</t>
        </is>
      </c>
      <c r="N23" s="34" t="inlineStr">
        <is>
          <t>M</t>
        </is>
      </c>
      <c r="O23" s="84" t="inlineStr">
        <is>
          <t>Works at A1: Learning tasks</t>
        </is>
      </c>
      <c r="P23" s="84" t="inlineStr">
        <is>
          <t>Own deliverables · accuracy, TAT</t>
        </is>
      </c>
      <c r="Q23" s="84" t="inlineStr">
        <is>
          <t>Already works at A3: A module / process, or work with client or regulatory consequences</t>
        </is>
      </c>
      <c r="R23" s="34" t="inlineStr">
        <is>
          <t>L</t>
        </is>
      </c>
      <c r="S23" s="56" t="inlineStr">
        <is>
          <t>Works at A1: contributes alone; guides others only informally</t>
        </is>
      </c>
      <c r="T23" s="56" t="inlineStr">
        <is>
          <t>Helps peers and newer people informally · No direct reports</t>
        </is>
      </c>
      <c r="U23" s="56" t="inlineStr">
        <is>
          <t>Already works at A3: Not scored in Band A</t>
        </is>
      </c>
      <c r="V23" s="34" t="inlineStr">
        <is>
          <t>L</t>
        </is>
      </c>
      <c r="W23" s="56" t="inlineStr">
        <is>
          <t>Works at A1: Learning; little direct effect on business results yet</t>
        </is>
      </c>
      <c r="X23" s="56" t="inlineStr">
        <is>
          <t>Own deliverables feed a team's output and turnaround · purpose: Runs payroll, HRIS, onboarding, engagement and exits. At A2: standard work delivered independently.
Common themes in sub-family holders, all levels' answers: …</t>
        </is>
      </c>
      <c r="Y23" s="56" t="inlineStr">
        <is>
          <t>Already works at A3: A process or client deliverable depends on this work</t>
        </is>
      </c>
      <c r="Z23" s="34" t="inlineStr">
        <is>
          <t>L</t>
        </is>
      </c>
      <c r="AA23" s="85" t="inlineStr">
        <is>
          <t>Less experience than the band's typical 0–2 yrs</t>
        </is>
      </c>
      <c r="AB23" s="85" t="inlineStr">
        <is>
          <t>Typical for the band: 0–2 yrs · market 0–3 yrs</t>
        </is>
      </c>
      <c r="AC23" s="85" t="inlineStr">
        <is>
          <t>More experience than the band's typical 0–2 yrs</t>
        </is>
      </c>
      <c r="AD23" s="34" t="inlineStr">
        <is>
          <t>M</t>
        </is>
      </c>
      <c r="AE23" s="85" t="inlineStr">
        <is>
          <t>Below: Pursuing or completed graduation / diploma</t>
        </is>
      </c>
      <c r="AF23" s="85" t="inlineStr">
        <is>
          <t>Graduate · or diploma with experience · licence-to-practise roles: CA, CS, CMA or LLB as the role needs</t>
        </is>
      </c>
      <c r="AG23" s="85" t="inlineStr">
        <is>
          <t>Above: Graduate; relevant certification preferred</t>
        </is>
      </c>
      <c r="AH23" s="44" t="inlineStr">
        <is>
          <t>58.3 · 16 · 9 · 0 · 6.3 · 6 · 4</t>
        </is>
      </c>
      <c r="AI23" s="38" t="inlineStr">
        <is>
          <t>0–3</t>
        </is>
      </c>
      <c r="AJ23" s="38" t="inlineStr">
        <is>
          <t>No direct reports</t>
        </is>
      </c>
      <c r="AK23" s="38" t="inlineStr">
        <is>
          <t>P1–P2 · SFIA 2 Assist</t>
        </is>
      </c>
      <c r="AL23"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4" ht="120" customHeight="1">
      <c r="A24" s="91" t="inlineStr">
        <is>
          <t>A1</t>
        </is>
      </c>
      <c r="B24" s="29" t="inlineStr">
        <is>
          <t>Band A · Practitioner</t>
        </is>
      </c>
      <c r="C24" s="29" t="inlineStr">
        <is>
          <t>Band A · all tracks</t>
        </is>
      </c>
      <c r="D24" s="29" t="inlineStr">
        <is>
          <t>Intern / Trainee</t>
        </is>
      </c>
      <c r="E24" s="29" t="inlineStr">
        <is>
          <t>— no role at this level today</t>
        </is>
      </c>
      <c r="F24" s="34" t="inlineStr">
        <is>
          <t>H</t>
        </is>
      </c>
      <c r="G24" s="84" t="inlineStr">
        <is>
          <t>Not yet at the entry standard · in induction</t>
        </is>
      </c>
      <c r="H24" s="84" t="inlineStr">
        <is>
          <t>Learning; follows worked examples</t>
        </is>
      </c>
      <c r="I24" s="84" t="inlineStr">
        <is>
          <t>Already works at A2: Standard work of the discipline</t>
        </is>
      </c>
      <c r="J24" s="34" t="inlineStr">
        <is>
          <t>M</t>
        </is>
      </c>
      <c r="K24" s="84" t="inlineStr">
        <is>
          <t>Not yet at the entry standard · in induction</t>
        </is>
      </c>
      <c r="L24" s="84" t="inlineStr">
        <is>
          <t>Needs approval / close guidance</t>
        </is>
      </c>
      <c r="M24" s="84" t="inlineStr">
        <is>
          <t>Already works at A2: Chooses own approach within standards</t>
        </is>
      </c>
      <c r="N24" s="34" t="inlineStr">
        <is>
          <t>M</t>
        </is>
      </c>
      <c r="O24" s="84" t="inlineStr">
        <is>
          <t>Not yet at the entry standard · in induction</t>
        </is>
      </c>
      <c r="P24" s="84" t="inlineStr">
        <is>
          <t>Learning tasks</t>
        </is>
      </c>
      <c r="Q24" s="84" t="inlineStr">
        <is>
          <t>Already works at A2: Own deliverables · accuracy, TAT</t>
        </is>
      </c>
      <c r="R24" s="34" t="inlineStr">
        <is>
          <t>L</t>
        </is>
      </c>
      <c r="S24" s="56" t="inlineStr">
        <is>
          <t>Not yet at the entry standard · in induction</t>
        </is>
      </c>
      <c r="T24" s="56" t="inlineStr">
        <is>
          <t>Helps peers and newer people informally · No direct reports</t>
        </is>
      </c>
      <c r="U24" s="56" t="inlineStr">
        <is>
          <t>Already works at A2: Not scored in Band A</t>
        </is>
      </c>
      <c r="V24" s="34" t="inlineStr">
        <is>
          <t>L</t>
        </is>
      </c>
      <c r="W24" s="56" t="inlineStr">
        <is>
          <t>Not yet at the entry standard · in induction</t>
        </is>
      </c>
      <c r="X24" s="56" t="inlineStr">
        <is>
          <t>Learning; little direct effect on business results yet</t>
        </is>
      </c>
      <c r="Y24" s="56" t="inlineStr">
        <is>
          <t>Already works at A2: Own deliverables feed a team's output and turnaround</t>
        </is>
      </c>
      <c r="Z24" s="34" t="inlineStr">
        <is>
          <t>L</t>
        </is>
      </c>
      <c r="AA24" s="85" t="inlineStr">
        <is>
          <t>Less experience than the band's typical 0 yrs · fresher / intern</t>
        </is>
      </c>
      <c r="AB24" s="85" t="inlineStr">
        <is>
          <t>Typical for the band: 0 yrs · fresher / intern · market — yrs</t>
        </is>
      </c>
      <c r="AC24" s="85" t="inlineStr">
        <is>
          <t>More experience than the band's typical 0 yrs · fresher / intern</t>
        </is>
      </c>
      <c r="AD24" s="34" t="inlineStr">
        <is>
          <t>M</t>
        </is>
      </c>
      <c r="AE24" s="85" t="inlineStr">
        <is>
          <t>Below graduation · still studying</t>
        </is>
      </c>
      <c r="AF24" s="85" t="inlineStr">
        <is>
          <t>Pursuing or completed graduation / diploma · licence-to-practise roles: CA, CS, CMA or LLB as the role needs</t>
        </is>
      </c>
      <c r="AG24" s="85" t="inlineStr">
        <is>
          <t>Above: Graduate · or diploma with experience</t>
        </is>
      </c>
      <c r="AH24" s="44" t="inlineStr">
        <is>
          <t>58.3 · 16 · 9 · 0 · 6.3 · 6 · 4</t>
        </is>
      </c>
      <c r="AI24" s="38" t="inlineStr">
        <is>
          <t>0 yrs · fresher / intern</t>
        </is>
      </c>
      <c r="AJ24" s="38" t="inlineStr">
        <is>
          <t>No direct reports</t>
        </is>
      </c>
      <c r="AK24" s="38" t="inlineStr">
        <is>
          <t>Entry / P1 · intern · SFIA 1 Follow</t>
        </is>
      </c>
      <c r="AL24"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sheetData>
  <autoFilter ref="A5:AL24"/>
  <mergeCells count="1">
    <mergeCell ref="A2:N2"/>
  </mergeCells>
  <dataValidations count="1">
    <dataValidation sqref="F6 F7 F8 F9 F10 F11 F12 F13 F14 F15 F16 F17 F18 F19 F20 F21 F22 F23 F24 J6 J7 J8 J9 J10 J11 J12 J13 J14 J15 J16 J17 J18 J19 J20 J21 J22 J23 J24 N6 N7 N8 N9 N10 N11 N12 N13 N14 N15 N16 N17 N18 N19 N20 N21 N22 N23 N24 R6 R7 R8 R9 R10 R11 R12 R13 R14 R15 R16 R17 R18 R19 R20 R21 R22 R23 R24 V6 V7 V8 V9 V10 V11 V12 V13 V14 V15 V16 V17 V18 V19 V20 V21 V22 V23 V24 Z6 Z7 Z8 Z9 Z10 Z11 Z12 Z13 Z14 Z15 Z16 Z17 Z18 Z19 Z20 Z21 Z22 Z23 Z24 AD6 AD7 AD8 AD9 AD10 AD11 AD12 AD13 AD14 AD15 AD16 AD17 AD18 AD19 AD20 AD21 AD22 AD23 AD24" showDropDown="0" showInputMessage="0" showErrorMessage="0" allowBlank="1" type="list">
      <formula1>LIST_LMH</formula1>
    </dataValidation>
  </dataValidations>
  <hyperlinks>
    <hyperlink xmlns:r="http://schemas.openxmlformats.org/officeDocument/2006/relationships" ref="O1" r:id="rId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L24"/>
  <sheetViews>
    <sheetView zoomScale="85" workbookViewId="0">
      <pane xSplit="5" ySplit="5" topLeftCell="F6" activePane="bottomRight" state="frozen"/>
      <selection pane="topRight"/>
      <selection pane="bottomLeft"/>
      <selection pane="bottomRight" activeCell="A1" sqref="A1"/>
    </sheetView>
  </sheetViews>
  <sheetFormatPr baseColWidth="8" defaultRowHeight="15"/>
  <cols>
    <col width="7" customWidth="1" min="1" max="1"/>
    <col width="16" customWidth="1" min="2" max="2"/>
    <col width="18" customWidth="1" min="3" max="3"/>
    <col width="20" customWidth="1" min="4" max="4"/>
    <col width="34" customWidth="1" min="5" max="5"/>
    <col width="9" customWidth="1" min="6" max="6"/>
    <col width="30" customWidth="1" min="7" max="7"/>
    <col width="34" customWidth="1" min="8" max="8"/>
    <col width="30" customWidth="1" min="9" max="9"/>
    <col width="9" customWidth="1" min="10" max="10"/>
    <col width="30" customWidth="1" min="11" max="11"/>
    <col width="34" customWidth="1" min="12" max="12"/>
    <col width="30" customWidth="1" min="13" max="13"/>
    <col width="9" customWidth="1" min="14" max="14"/>
    <col width="30" customWidth="1" min="15" max="15"/>
    <col width="34" customWidth="1" min="16" max="16"/>
    <col width="30" customWidth="1" min="17" max="17"/>
    <col width="9" customWidth="1" min="18" max="18"/>
    <col width="30" customWidth="1" min="19" max="19"/>
    <col width="34" customWidth="1" min="20" max="20"/>
    <col width="30" customWidth="1" min="21" max="21"/>
    <col width="9" customWidth="1" min="22" max="22"/>
    <col width="30" customWidth="1" min="23" max="23"/>
    <col width="34" customWidth="1" min="24" max="24"/>
    <col width="30" customWidth="1" min="25" max="25"/>
    <col width="9" customWidth="1" min="26" max="26"/>
    <col width="30" customWidth="1" min="27" max="27"/>
    <col width="34" customWidth="1" min="28" max="28"/>
    <col width="30" customWidth="1" min="29" max="29"/>
    <col width="9" customWidth="1" min="30" max="30"/>
    <col width="30" customWidth="1" min="31" max="31"/>
    <col width="34" customWidth="1" min="32" max="32"/>
    <col width="30" customWidth="1" min="33" max="33"/>
    <col width="26" customWidth="1" min="34" max="34"/>
    <col width="16" customWidth="1" min="35" max="35"/>
    <col width="22" customWidth="1" min="36" max="36"/>
    <col width="18" customWidth="1" min="37" max="37"/>
    <col width="40" customWidth="1" min="38" max="38"/>
  </cols>
  <sheetData>
    <row r="1" ht="24" customHeight="1">
      <c r="A1" s="1" t="inlineStr">
        <is>
          <t>Role &amp; band matrix — IT &amp; Infrastructure</t>
        </is>
      </c>
      <c r="O1" s="7" t="inlineStr">
        <is>
          <t>◂ Start</t>
        </is>
      </c>
    </row>
    <row r="2" ht="30" customHeight="1">
      <c r="A2" s="2" t="inlineStr">
        <is>
          <t>What Low, Medium and High mean for each of the seven parameters at every level of IT &amp; Infrastructure, and how much each parameter counts · main type of work: Technology &amp; engineering. Medium is the band as described; Low is the level below; High is the level above. Change a yellow weightage and every role, department ladder and person in this family recalculates.</t>
        </is>
      </c>
    </row>
    <row r="3">
      <c r="A3" s="3" t="inlineStr">
        <is>
          <t>IRIS · Job Architecture &amp; Job Design · Final v1.15 · October 2026 · Internal — Confidential · HR only</t>
        </is>
      </c>
    </row>
    <row r="4" ht="30" customHeight="1">
      <c r="A4" s="6" t="inlineStr">
        <is>
          <t>LEVEL</t>
        </is>
      </c>
      <c r="B4" s="6" t="n"/>
      <c r="C4" s="6" t="n"/>
      <c r="D4" s="6" t="n"/>
      <c r="E4" s="6" t="n"/>
      <c r="F4" s="45" t="inlineStr">
        <is>
          <t>COMPLEXITY &amp; EXPERTISE</t>
        </is>
      </c>
      <c r="G4" s="45" t="n"/>
      <c r="H4" s="45" t="n"/>
      <c r="I4" s="45" t="n"/>
      <c r="J4" s="45" t="inlineStr">
        <is>
          <t>AUTONOMY &amp; DECISION</t>
        </is>
      </c>
      <c r="K4" s="45" t="n"/>
      <c r="L4" s="45" t="n"/>
      <c r="M4" s="45" t="n"/>
      <c r="N4" s="45" t="inlineStr">
        <is>
          <t>ACCOUNTABILITY &amp; IMPACT</t>
        </is>
      </c>
      <c r="O4" s="45" t="n"/>
      <c r="P4" s="45" t="n"/>
      <c r="Q4" s="45" t="n"/>
      <c r="R4" s="47" t="inlineStr">
        <is>
          <t>LEADERSHIP &amp; STRATEGY</t>
        </is>
      </c>
      <c r="S4" s="47" t="n"/>
      <c r="T4" s="47" t="n"/>
      <c r="U4" s="47" t="n"/>
      <c r="V4" s="47" t="inlineStr">
        <is>
          <t>BUSINESS IMPACT</t>
        </is>
      </c>
      <c r="W4" s="47" t="n"/>
      <c r="X4" s="47" t="n"/>
      <c r="Y4" s="47" t="n"/>
      <c r="Z4" s="81" t="inlineStr">
        <is>
          <t>EXPERIENCE</t>
        </is>
      </c>
      <c r="AA4" s="81" t="n"/>
      <c r="AB4" s="81" t="n"/>
      <c r="AC4" s="81" t="n"/>
      <c r="AD4" s="81" t="inlineStr">
        <is>
          <t>EDUCATION</t>
        </is>
      </c>
      <c r="AE4" s="81" t="n"/>
      <c r="AF4" s="81" t="n"/>
      <c r="AG4" s="81" t="n"/>
      <c r="AH4" s="20" t="inlineStr">
        <is>
          <t>MARKET BENCHMARK &amp; REFERENCES</t>
        </is>
      </c>
      <c r="AI4" s="20" t="n"/>
      <c r="AJ4" s="20" t="n"/>
      <c r="AK4" s="20" t="n"/>
      <c r="AL4" s="20" t="n"/>
    </row>
    <row r="5" ht="60" customHeight="1">
      <c r="A5" s="22" t="inlineStr">
        <is>
          <t>Level</t>
        </is>
      </c>
      <c r="B5" s="22" t="inlineStr">
        <is>
          <t>Band</t>
        </is>
      </c>
      <c r="C5" s="22" t="inlineStr">
        <is>
          <t>Role group</t>
        </is>
      </c>
      <c r="D5" s="22" t="inlineStr">
        <is>
          <t>Level title</t>
        </is>
      </c>
      <c r="E5" s="22" t="inlineStr">
        <is>
          <t>Roles at this level in this family</t>
        </is>
      </c>
      <c r="F5" s="48" t="inlineStr">
        <is>
          <t>Weightage · L/M/H</t>
        </is>
      </c>
      <c r="G5" s="48" t="inlineStr">
        <is>
          <t>Low</t>
        </is>
      </c>
      <c r="H5" s="48" t="inlineStr">
        <is>
          <t>Medium</t>
        </is>
      </c>
      <c r="I5" s="48" t="inlineStr">
        <is>
          <t>High</t>
        </is>
      </c>
      <c r="J5" s="48" t="inlineStr">
        <is>
          <t>Weightage · L/M/H</t>
        </is>
      </c>
      <c r="K5" s="48" t="inlineStr">
        <is>
          <t>Low</t>
        </is>
      </c>
      <c r="L5" s="48" t="inlineStr">
        <is>
          <t>Medium</t>
        </is>
      </c>
      <c r="M5" s="48" t="inlineStr">
        <is>
          <t>High</t>
        </is>
      </c>
      <c r="N5" s="48" t="inlineStr">
        <is>
          <t>Weightage · L/M/H</t>
        </is>
      </c>
      <c r="O5" s="48" t="inlineStr">
        <is>
          <t>Low</t>
        </is>
      </c>
      <c r="P5" s="48" t="inlineStr">
        <is>
          <t>Medium</t>
        </is>
      </c>
      <c r="Q5" s="48" t="inlineStr">
        <is>
          <t>High</t>
        </is>
      </c>
      <c r="R5" s="50" t="inlineStr">
        <is>
          <t>Weightage · L/M/H</t>
        </is>
      </c>
      <c r="S5" s="50" t="inlineStr">
        <is>
          <t>Low</t>
        </is>
      </c>
      <c r="T5" s="50" t="inlineStr">
        <is>
          <t>Medium</t>
        </is>
      </c>
      <c r="U5" s="50" t="inlineStr">
        <is>
          <t>High</t>
        </is>
      </c>
      <c r="V5" s="50" t="inlineStr">
        <is>
          <t>Weightage · L/M/H</t>
        </is>
      </c>
      <c r="W5" s="50" t="inlineStr">
        <is>
          <t>Low</t>
        </is>
      </c>
      <c r="X5" s="50" t="inlineStr">
        <is>
          <t>Medium</t>
        </is>
      </c>
      <c r="Y5" s="50" t="inlineStr">
        <is>
          <t>High</t>
        </is>
      </c>
      <c r="Z5" s="82" t="inlineStr">
        <is>
          <t>Weightage · L/M/H</t>
        </is>
      </c>
      <c r="AA5" s="82" t="inlineStr">
        <is>
          <t>Low</t>
        </is>
      </c>
      <c r="AB5" s="82" t="inlineStr">
        <is>
          <t>Medium</t>
        </is>
      </c>
      <c r="AC5" s="82" t="inlineStr">
        <is>
          <t>High</t>
        </is>
      </c>
      <c r="AD5" s="82" t="inlineStr">
        <is>
          <t>Weightage · L/M/H</t>
        </is>
      </c>
      <c r="AE5" s="82" t="inlineStr">
        <is>
          <t>Low</t>
        </is>
      </c>
      <c r="AF5" s="82" t="inlineStr">
        <is>
          <t>Medium</t>
        </is>
      </c>
      <c r="AG5" s="82" t="inlineStr">
        <is>
          <t>High</t>
        </is>
      </c>
      <c r="AH5" s="26" t="inlineStr">
        <is>
          <t>Market weight % · C · Au · Ac · L · BI · Exp · Edu</t>
        </is>
      </c>
      <c r="AI5" s="26" t="inlineStr">
        <is>
          <t>Market experience · yrs</t>
        </is>
      </c>
      <c r="AJ5" s="26" t="inlineStr">
        <is>
          <t>Span norm</t>
        </is>
      </c>
      <c r="AK5" s="26" t="inlineStr">
        <is>
          <t>Radford / Mercer · SFIA 9</t>
        </is>
      </c>
      <c r="AL5" s="26" t="inlineStr">
        <is>
          <t>References</t>
        </is>
      </c>
    </row>
    <row r="6" ht="120" customHeight="1">
      <c r="A6" s="83" t="inlineStr">
        <is>
          <t>E2</t>
        </is>
      </c>
      <c r="B6" s="29" t="inlineStr">
        <is>
          <t>Band E · Enterprise leadership</t>
        </is>
      </c>
      <c r="C6" s="29" t="inlineStr">
        <is>
          <t>Bands D–E · Leadership</t>
        </is>
      </c>
      <c r="D6" s="29" t="inlineStr">
        <is>
          <t>Chief Executive Officer</t>
        </is>
      </c>
      <c r="E6" s="29" t="inlineStr">
        <is>
          <t>— no role at this level today</t>
        </is>
      </c>
      <c r="F6" s="34" t="inlineStr">
        <is>
          <t>H</t>
        </is>
      </c>
      <c r="G6" s="84" t="inlineStr">
        <is>
          <t>Works at E1: Enterprise-level functional strategy</t>
        </is>
      </c>
      <c r="H6" s="84" t="inlineStr">
        <is>
          <t>Enterprise-wide uncertainty, transformation and external forces</t>
        </is>
      </c>
      <c r="I6" s="84" t="inlineStr">
        <is>
          <t>Beyond the role · a board-level mandate</t>
        </is>
      </c>
      <c r="J6" s="34" t="inlineStr">
        <is>
          <t>M</t>
        </is>
      </c>
      <c r="K6" s="84" t="inlineStr">
        <is>
          <t>Works at E1: Sets enterprise priorities for the function</t>
        </is>
      </c>
      <c r="L6" s="84" t="inlineStr">
        <is>
          <t>Accountable to the board</t>
        </is>
      </c>
      <c r="M6" s="84" t="inlineStr">
        <is>
          <t>Beyond the role · a board-level mandate</t>
        </is>
      </c>
      <c r="N6" s="34" t="inlineStr">
        <is>
          <t>M</t>
        </is>
      </c>
      <c r="O6" s="84" t="inlineStr">
        <is>
          <t>Works at E1: Enterprise-wide functional results</t>
        </is>
      </c>
      <c r="P6" s="84" t="inlineStr">
        <is>
          <t>Enterprise results, risk, culture and long-term viability</t>
        </is>
      </c>
      <c r="Q6" s="84" t="inlineStr">
        <is>
          <t>Beyond the role · a board-level mandate</t>
        </is>
      </c>
      <c r="R6" s="34" t="inlineStr">
        <is>
          <t>M</t>
        </is>
      </c>
      <c r="S6" s="56" t="inlineStr">
        <is>
          <t>Works at E1: Shapes enterprise strategy</t>
        </is>
      </c>
      <c r="T6" s="56" t="inlineStr">
        <is>
          <t>Sets enterprise strategy; leads the executive team</t>
        </is>
      </c>
      <c r="U6" s="56" t="inlineStr">
        <is>
          <t>Beyond the role · a board-level mandate</t>
        </is>
      </c>
      <c r="V6" s="34" t="inlineStr">
        <is>
          <t>L</t>
        </is>
      </c>
      <c r="W6" s="56" t="inlineStr">
        <is>
          <t>Works at E1: Shapes company-wide results through a function</t>
        </is>
      </c>
      <c r="X6" s="56" t="inlineStr">
        <is>
          <t>Answers for the whole company's results and long-term value</t>
        </is>
      </c>
      <c r="Y6" s="56" t="inlineStr">
        <is>
          <t>Beyond the role · a board-level mandate</t>
        </is>
      </c>
      <c r="Z6" s="34" t="inlineStr">
        <is>
          <t>L</t>
        </is>
      </c>
      <c r="AA6" s="85" t="inlineStr">
        <is>
          <t>Less experience than the band's typical 20+ yrs</t>
        </is>
      </c>
      <c r="AB6" s="85" t="inlineStr">
        <is>
          <t>Typical for the band: 20+ yrs · market — yrs</t>
        </is>
      </c>
      <c r="AC6" s="85" t="inlineStr">
        <is>
          <t>More experience than the band's typical 20+ yrs</t>
        </is>
      </c>
      <c r="AD6" s="34" t="inlineStr">
        <is>
          <t>L</t>
        </is>
      </c>
      <c r="AE6" s="85" t="inlineStr">
        <is>
          <t>Below: Postgraduate / professional qualification; business leadership record</t>
        </is>
      </c>
      <c r="AF6" s="85" t="inlineStr">
        <is>
          <t>Postgraduate / professional qualification; proven business leadership</t>
        </is>
      </c>
      <c r="AG6" s="85" t="inlineStr">
        <is>
          <t>Board-level credentials beyond the role's need</t>
        </is>
      </c>
      <c r="AH6" s="44" t="inlineStr">
        <is>
          <t>36.3 · 19 · 11.3 · 20 · 8.7 · 4 · 1</t>
        </is>
      </c>
      <c r="AI6" s="38" t="inlineStr">
        <is>
          <t>20+ yrs</t>
        </is>
      </c>
      <c r="AJ6" s="38" t="inlineStr">
        <is>
          <t>Executive team</t>
        </is>
      </c>
      <c r="AK6" s="38" t="inlineStr">
        <is>
          <t>E6 · SFIA 7</t>
        </is>
      </c>
      <c r="AL6"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7" ht="120" customHeight="1">
      <c r="A7" s="83" t="inlineStr">
        <is>
          <t>E1</t>
        </is>
      </c>
      <c r="B7" s="29" t="inlineStr">
        <is>
          <t>Band E · Enterprise leadership</t>
        </is>
      </c>
      <c r="C7" s="29" t="inlineStr">
        <is>
          <t>Bands D–E · Leadership</t>
        </is>
      </c>
      <c r="D7" s="29" t="inlineStr">
        <is>
          <t>CXO / President</t>
        </is>
      </c>
      <c r="E7" s="29" t="inlineStr">
        <is>
          <t>— no role at this level today</t>
        </is>
      </c>
      <c r="F7" s="34" t="inlineStr">
        <is>
          <t>H</t>
        </is>
      </c>
      <c r="G7" s="84" t="inlineStr">
        <is>
          <t>Works at D2: Portfolio-level strategic, financial and regulatory trade-offs</t>
        </is>
      </c>
      <c r="H7" s="84" t="inlineStr">
        <is>
          <t>Enterprise-level functional strategy</t>
        </is>
      </c>
      <c r="I7" s="84" t="inlineStr">
        <is>
          <t>Already works at E2: Enterprise-wide uncertainty, transformation and external forces</t>
        </is>
      </c>
      <c r="J7" s="34" t="inlineStr">
        <is>
          <t>M</t>
        </is>
      </c>
      <c r="K7" s="84" t="inlineStr">
        <is>
          <t>Works at D2: Sets direction across business lines</t>
        </is>
      </c>
      <c r="L7" s="84" t="inlineStr">
        <is>
          <t>Sets enterprise priorities for the function</t>
        </is>
      </c>
      <c r="M7" s="84" t="inlineStr">
        <is>
          <t>Already works at E2: Accountable to the board</t>
        </is>
      </c>
      <c r="N7" s="34" t="inlineStr">
        <is>
          <t>M</t>
        </is>
      </c>
      <c r="O7" s="84" t="inlineStr">
        <is>
          <t>Works at D2: Multi-business results</t>
        </is>
      </c>
      <c r="P7" s="84" t="inlineStr">
        <is>
          <t>Enterprise-wide functional results</t>
        </is>
      </c>
      <c r="Q7" s="84" t="inlineStr">
        <is>
          <t>Already works at E2: Enterprise results, risk, culture and long-term viability</t>
        </is>
      </c>
      <c r="R7" s="34" t="inlineStr">
        <is>
          <t>M</t>
        </is>
      </c>
      <c r="S7" s="56" t="inlineStr">
        <is>
          <t>Works at D2: Builds the leadership team across businesses</t>
        </is>
      </c>
      <c r="T7" s="56" t="inlineStr">
        <is>
          <t>Shapes enterprise strategy</t>
        </is>
      </c>
      <c r="U7" s="56" t="inlineStr">
        <is>
          <t>Already works at E2: Sets enterprise strategy; leads the executive team</t>
        </is>
      </c>
      <c r="V7" s="34" t="inlineStr">
        <is>
          <t>L</t>
        </is>
      </c>
      <c r="W7" s="56" t="inlineStr">
        <is>
          <t>Works at D2: Owns the results of several business lines</t>
        </is>
      </c>
      <c r="X7" s="56" t="inlineStr">
        <is>
          <t>Shapes company-wide results through a function</t>
        </is>
      </c>
      <c r="Y7" s="56" t="inlineStr">
        <is>
          <t>Already works at E2: Answers for the whole company's results and long-term value</t>
        </is>
      </c>
      <c r="Z7" s="34" t="inlineStr">
        <is>
          <t>L</t>
        </is>
      </c>
      <c r="AA7" s="85" t="inlineStr">
        <is>
          <t>Less experience than the band's typical 20+ yrs</t>
        </is>
      </c>
      <c r="AB7" s="85" t="inlineStr">
        <is>
          <t>Typical for the band: 20+ yrs · market — yrs</t>
        </is>
      </c>
      <c r="AC7" s="85" t="inlineStr">
        <is>
          <t>More experience than the band's typical 20+ yrs</t>
        </is>
      </c>
      <c r="AD7" s="34" t="inlineStr">
        <is>
          <t>L</t>
        </is>
      </c>
      <c r="AE7" s="85" t="inlineStr">
        <is>
          <t>Below: Postgraduate / professional qualification preferred</t>
        </is>
      </c>
      <c r="AF7" s="85" t="inlineStr">
        <is>
          <t>Postgraduate / professional qualification; business leadership record</t>
        </is>
      </c>
      <c r="AG7" s="85" t="inlineStr">
        <is>
          <t>Above: Postgraduate / professional qualification; proven business leadership</t>
        </is>
      </c>
      <c r="AH7" s="44" t="inlineStr">
        <is>
          <t>36.3 · 19 · 11.3 · 20 · 8.7 · 4 · 1</t>
        </is>
      </c>
      <c r="AI7" s="38" t="inlineStr">
        <is>
          <t>20+ yrs</t>
        </is>
      </c>
      <c r="AJ7" s="38" t="inlineStr">
        <is>
          <t>5–8 function heads</t>
        </is>
      </c>
      <c r="AK7" s="38" t="inlineStr">
        <is>
          <t>E5 · SFIA 7</t>
        </is>
      </c>
      <c r="AL7"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8" ht="120" customHeight="1">
      <c r="A8" s="86" t="inlineStr">
        <is>
          <t>D2</t>
        </is>
      </c>
      <c r="B8" s="29" t="inlineStr">
        <is>
          <t>Band D · Business leadership</t>
        </is>
      </c>
      <c r="C8" s="29" t="inlineStr">
        <is>
          <t>Bands D–E · Leadership</t>
        </is>
      </c>
      <c r="D8" s="29" t="inlineStr">
        <is>
          <t>Senior Vice President / Business Head</t>
        </is>
      </c>
      <c r="E8" s="29" t="inlineStr">
        <is>
          <t>— no role at this level today</t>
        </is>
      </c>
      <c r="F8" s="34" t="inlineStr">
        <is>
          <t>H</t>
        </is>
      </c>
      <c r="G8" s="84" t="inlineStr">
        <is>
          <t>Works at D1: Competing strategic, financial and regulatory priorities</t>
        </is>
      </c>
      <c r="H8" s="84" t="inlineStr">
        <is>
          <t>Portfolio-level strategic, financial and regulatory trade-offs</t>
        </is>
      </c>
      <c r="I8" s="84" t="inlineStr">
        <is>
          <t>Already works at E1: Enterprise-level functional strategy</t>
        </is>
      </c>
      <c r="J8" s="34" t="inlineStr">
        <is>
          <t>M</t>
        </is>
      </c>
      <c r="K8" s="84" t="inlineStr">
        <is>
          <t>Works at D1: Sets business-line direction, pricing and investment</t>
        </is>
      </c>
      <c r="L8" s="84" t="inlineStr">
        <is>
          <t>Sets direction across business lines</t>
        </is>
      </c>
      <c r="M8" s="84" t="inlineStr">
        <is>
          <t>Already works at E1: Sets enterprise priorities for the function</t>
        </is>
      </c>
      <c r="N8" s="34" t="inlineStr">
        <is>
          <t>M</t>
        </is>
      </c>
      <c r="O8" s="84" t="inlineStr">
        <is>
          <t>Works at D1: Business-line P&amp;L and market position</t>
        </is>
      </c>
      <c r="P8" s="84" t="inlineStr">
        <is>
          <t>Multi-business results</t>
        </is>
      </c>
      <c r="Q8" s="84" t="inlineStr">
        <is>
          <t>Already works at E1: Enterprise-wide functional results</t>
        </is>
      </c>
      <c r="R8" s="34" t="inlineStr">
        <is>
          <t>M</t>
        </is>
      </c>
      <c r="S8" s="56" t="inlineStr">
        <is>
          <t>Works at D1: Defines business strategy; builds the leadership bench</t>
        </is>
      </c>
      <c r="T8" s="56" t="inlineStr">
        <is>
          <t>Builds the leadership team across businesses</t>
        </is>
      </c>
      <c r="U8" s="56" t="inlineStr">
        <is>
          <t>Already works at E1: Shapes enterprise strategy</t>
        </is>
      </c>
      <c r="V8" s="34" t="inlineStr">
        <is>
          <t>L</t>
        </is>
      </c>
      <c r="W8" s="56" t="inlineStr">
        <is>
          <t>Works at D1: Owns a business line's P&amp;L and growth, or a company-wide function</t>
        </is>
      </c>
      <c r="X8" s="56" t="inlineStr">
        <is>
          <t>Owns the results of several business lines</t>
        </is>
      </c>
      <c r="Y8" s="56" t="inlineStr">
        <is>
          <t>Already works at E1: Shapes company-wide results through a function</t>
        </is>
      </c>
      <c r="Z8" s="34" t="inlineStr">
        <is>
          <t>L</t>
        </is>
      </c>
      <c r="AA8" s="85" t="inlineStr">
        <is>
          <t>Less experience than the band's typical 18–24 yrs</t>
        </is>
      </c>
      <c r="AB8" s="85" t="inlineStr">
        <is>
          <t>Typical for the band: 18–24 yrs · market — yrs</t>
        </is>
      </c>
      <c r="AC8" s="85" t="inlineStr">
        <is>
          <t>More experience than the band's typical 18–24 yrs</t>
        </is>
      </c>
      <c r="AD8" s="34" t="inlineStr">
        <is>
          <t>L</t>
        </is>
      </c>
      <c r="AE8" s="85" t="inlineStr">
        <is>
          <t>Below: Postgraduate / professional qualification preferred</t>
        </is>
      </c>
      <c r="AF8" s="85" t="inlineStr">
        <is>
          <t>Postgraduate / professional qualification preferred</t>
        </is>
      </c>
      <c r="AG8" s="85" t="inlineStr">
        <is>
          <t>Above: Postgraduate / professional qualification; business leadership record</t>
        </is>
      </c>
      <c r="AH8" s="44" t="inlineStr">
        <is>
          <t>36.3 · 19 · 11.3 · 20 · 8.7 · 4 · 1</t>
        </is>
      </c>
      <c r="AI8" s="38" t="inlineStr">
        <is>
          <t>18–24 yrs</t>
        </is>
      </c>
      <c r="AJ8" s="38" t="inlineStr">
        <is>
          <t>5–8 AVPs / heads</t>
        </is>
      </c>
      <c r="AK8" s="38" t="inlineStr">
        <is>
          <t>E3–E4 · SFIA 7 Set strategy</t>
        </is>
      </c>
      <c r="AL8"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9" ht="120" customHeight="1">
      <c r="A9" s="86" t="inlineStr">
        <is>
          <t>D1</t>
        </is>
      </c>
      <c r="B9" s="29" t="inlineStr">
        <is>
          <t>Band D · Business leadership</t>
        </is>
      </c>
      <c r="C9" s="29" t="inlineStr">
        <is>
          <t>Bands D–E · Leadership</t>
        </is>
      </c>
      <c r="D9" s="29" t="inlineStr">
        <is>
          <t>Associate Vice President</t>
        </is>
      </c>
      <c r="E9" s="29" t="inlineStr">
        <is>
          <t>— no role at this level today</t>
        </is>
      </c>
      <c r="F9" s="34" t="inlineStr">
        <is>
          <t>H</t>
        </is>
      </c>
      <c r="G9" s="84" t="inlineStr">
        <is>
          <t>Works at C2: Function-wide or company-wide problems; creates methods and standards</t>
        </is>
      </c>
      <c r="H9" s="84" t="inlineStr">
        <is>
          <t>Competing strategic, financial and regulatory priorities</t>
        </is>
      </c>
      <c r="I9" s="84" t="inlineStr">
        <is>
          <t>Already works at D2: Portfolio-level strategic, financial and regulatory trade-offs</t>
        </is>
      </c>
      <c r="J9" s="34" t="inlineStr">
        <is>
          <t>M</t>
        </is>
      </c>
      <c r="K9" s="84" t="inlineStr">
        <is>
          <t>Works at C2: Sets direction for a function</t>
        </is>
      </c>
      <c r="L9" s="84" t="inlineStr">
        <is>
          <t>Sets business-line direction, pricing and investment</t>
        </is>
      </c>
      <c r="M9" s="84" t="inlineStr">
        <is>
          <t>Already works at D2: Sets direction across business lines</t>
        </is>
      </c>
      <c r="N9" s="34" t="inlineStr">
        <is>
          <t>M</t>
        </is>
      </c>
      <c r="O9" s="84" t="inlineStr">
        <is>
          <t>Works at C2: Function results, budget and risk</t>
        </is>
      </c>
      <c r="P9" s="84" t="inlineStr">
        <is>
          <t>Business-line P&amp;L and market position</t>
        </is>
      </c>
      <c r="Q9" s="84" t="inlineStr">
        <is>
          <t>Already works at D2: Multi-business results</t>
        </is>
      </c>
      <c r="R9" s="34" t="inlineStr">
        <is>
          <t>M</t>
        </is>
      </c>
      <c r="S9" s="56" t="inlineStr">
        <is>
          <t>Works at C2: Leads a function; shapes functional strategy</t>
        </is>
      </c>
      <c r="T9" s="56" t="inlineStr">
        <is>
          <t>Defines business strategy; builds the leadership bench</t>
        </is>
      </c>
      <c r="U9" s="56" t="inlineStr">
        <is>
          <t>Already works at D2: Builds the leadership team across businesses</t>
        </is>
      </c>
      <c r="V9" s="34" t="inlineStr">
        <is>
          <t>L</t>
        </is>
      </c>
      <c r="W9" s="56" t="inlineStr">
        <is>
          <t>Works at C2: Drives a function's or department's results and costs</t>
        </is>
      </c>
      <c r="X9" s="56" t="inlineStr">
        <is>
          <t>Owns a business line's P&amp;L and growth, or a company-wide function</t>
        </is>
      </c>
      <c r="Y9" s="56" t="inlineStr">
        <is>
          <t>Already works at D2: Owns the results of several business lines</t>
        </is>
      </c>
      <c r="Z9" s="34" t="inlineStr">
        <is>
          <t>L</t>
        </is>
      </c>
      <c r="AA9" s="85" t="inlineStr">
        <is>
          <t>Less experience than the band's typical 15–20 yrs</t>
        </is>
      </c>
      <c r="AB9" s="85" t="inlineStr">
        <is>
          <t>Typical for the band: 15–20 yrs · market — yrs</t>
        </is>
      </c>
      <c r="AC9" s="85" t="inlineStr">
        <is>
          <t>More experience than the band's typical 15–20 yrs</t>
        </is>
      </c>
      <c r="AD9" s="34" t="inlineStr">
        <is>
          <t>L</t>
        </is>
      </c>
      <c r="AE9" s="85" t="inlineStr">
        <is>
          <t>Below: Postgraduate / professional qualification preferred</t>
        </is>
      </c>
      <c r="AF9" s="85" t="inlineStr">
        <is>
          <t>Postgraduate / professional qualification preferred</t>
        </is>
      </c>
      <c r="AG9" s="85" t="inlineStr">
        <is>
          <t>Above: Postgraduate / professional qualification preferred</t>
        </is>
      </c>
      <c r="AH9" s="44" t="inlineStr">
        <is>
          <t>36.3 · 19 · 11.3 · 20 · 8.7 · 4 · 1</t>
        </is>
      </c>
      <c r="AI9" s="38" t="inlineStr">
        <is>
          <t>15–20 yrs</t>
        </is>
      </c>
      <c r="AJ9" s="38" t="inlineStr">
        <is>
          <t>5–8 heads</t>
        </is>
      </c>
      <c r="AK9" s="38" t="inlineStr">
        <is>
          <t>E1–E2 · SFIA 6–7</t>
        </is>
      </c>
      <c r="AL9"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0" ht="120" customHeight="1">
      <c r="A10" s="87" t="inlineStr">
        <is>
          <t>C+</t>
        </is>
      </c>
      <c r="B10" s="29" t="inlineStr">
        <is>
          <t>C+ · Player-Coach</t>
        </is>
      </c>
      <c r="C10" s="29" t="inlineStr">
        <is>
          <t>C+ · Player-Coach</t>
        </is>
      </c>
      <c r="D10" s="29" t="inlineStr">
        <is>
          <t>Group Head · Player-Coach</t>
        </is>
      </c>
      <c r="E10" s="29" t="inlineStr">
        <is>
          <t>— no role at this level today</t>
        </is>
      </c>
      <c r="F10" s="34" t="inlineStr">
        <is>
          <t>H</t>
        </is>
      </c>
      <c r="G10" s="84" t="inlineStr">
        <is>
          <t>Works at C2: Function-wide or company-wide problems; creates methods and standards</t>
        </is>
      </c>
      <c r="H10" s="84" t="inlineStr">
        <is>
          <t>Function-wide and cross-product problems; personally handles the most critical client or technical work</t>
        </is>
      </c>
      <c r="I10" s="84" t="inlineStr">
        <is>
          <t>Already works at D1: Competing strategic, financial and regulatory priorities</t>
        </is>
      </c>
      <c r="J10" s="34" t="inlineStr">
        <is>
          <t>M</t>
        </is>
      </c>
      <c r="K10" s="84" t="inlineStr">
        <is>
          <t>Works at C2: Sets direction for a function</t>
        </is>
      </c>
      <c r="L10" s="84" t="inlineStr">
        <is>
          <t>Sets direction for the function; business-line trade-offs go to the Business Head</t>
        </is>
      </c>
      <c r="M10" s="84" t="inlineStr">
        <is>
          <t>Already works at D1: Sets business-line direction, pricing and investment</t>
        </is>
      </c>
      <c r="N10" s="34" t="inlineStr">
        <is>
          <t>M</t>
        </is>
      </c>
      <c r="O10" s="84" t="inlineStr">
        <is>
          <t>Works at C2: Function results, budget and risk</t>
        </is>
      </c>
      <c r="P10" s="84" t="inlineStr">
        <is>
          <t>Function results, budget and key-client outcomes; carries own book or principal delivery</t>
        </is>
      </c>
      <c r="Q10" s="84" t="inlineStr">
        <is>
          <t>Already works at D1: Business-line P&amp;L and market position</t>
        </is>
      </c>
      <c r="R10" s="34" t="inlineStr">
        <is>
          <t>M</t>
        </is>
      </c>
      <c r="S10" s="56" t="inlineStr">
        <is>
          <t>Works at C2: Leads a function; shapes functional strategy</t>
        </is>
      </c>
      <c r="T10" s="56" t="inlineStr">
        <is>
          <t>Leads managers and leads and 10+ people in the function while staying hands-on</t>
        </is>
      </c>
      <c r="U10" s="56" t="inlineStr">
        <is>
          <t>Already works at D1: Defines business strategy; builds the leadership bench</t>
        </is>
      </c>
      <c r="V10" s="34" t="inlineStr">
        <is>
          <t>L</t>
        </is>
      </c>
      <c r="W10" s="56" t="inlineStr">
        <is>
          <t>Works at C2: Drives a function's or department's results and costs</t>
        </is>
      </c>
      <c r="X10" s="56" t="inlineStr">
        <is>
          <t>Drives a function's results and personally wins or delivers key work</t>
        </is>
      </c>
      <c r="Y10" s="56" t="inlineStr">
        <is>
          <t>Already works at D1: Owns a business line's P&amp;L and growth, or a company-wide function</t>
        </is>
      </c>
      <c r="Z10" s="34" t="inlineStr">
        <is>
          <t>L</t>
        </is>
      </c>
      <c r="AA10" s="85" t="inlineStr">
        <is>
          <t>Less experience than the band's typical 13–18 yrs</t>
        </is>
      </c>
      <c r="AB10" s="85" t="inlineStr">
        <is>
          <t>Typical for the band: 13–18 yrs · market 15–18 yrs</t>
        </is>
      </c>
      <c r="AC10" s="85" t="inlineStr">
        <is>
          <t>More experience than the band's typical 13–18 yrs</t>
        </is>
      </c>
      <c r="AD10" s="34" t="inlineStr">
        <is>
          <t>L</t>
        </is>
      </c>
      <c r="AE10" s="85" t="inlineStr">
        <is>
          <t>Below: Postgraduate / professional qualification preferred</t>
        </is>
      </c>
      <c r="AF10" s="85" t="inlineStr">
        <is>
          <t>Postgraduate / professional qualification preferred</t>
        </is>
      </c>
      <c r="AG10" s="85" t="inlineStr">
        <is>
          <t>Above: Postgraduate / professional qualification preferred</t>
        </is>
      </c>
      <c r="AH10" s="44" t="inlineStr">
        <is>
          <t>37.7 · 18.3 · 10.7 · 20 · 8 · 4 · 1</t>
        </is>
      </c>
      <c r="AI10" s="38" t="inlineStr">
        <is>
          <t>15–18</t>
        </is>
      </c>
      <c r="AJ10" s="38" t="inlineStr">
        <is>
          <t>4–8 managers / leads with ≥ 25% of time on own principal delivery</t>
        </is>
      </c>
      <c r="AK10" s="38" t="inlineStr">
        <is>
          <t>M6 / E1 · SFIA 6 Initiate, influence</t>
        </is>
      </c>
      <c r="AL10"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1" ht="120" customHeight="1">
      <c r="A11" s="88" t="inlineStr">
        <is>
          <t>C2</t>
        </is>
      </c>
      <c r="B11" s="29" t="inlineStr">
        <is>
          <t>Band C · Principal / Head</t>
        </is>
      </c>
      <c r="C11" s="29" t="inlineStr">
        <is>
          <t>Band C · Head / manager</t>
        </is>
      </c>
      <c r="D11" s="29" t="inlineStr">
        <is>
          <t>Head of Function</t>
        </is>
      </c>
      <c r="E11" s="29" t="inlineStr">
        <is>
          <t>— no role at this level today</t>
        </is>
      </c>
      <c r="F11" s="34" t="inlineStr">
        <is>
          <t>H</t>
        </is>
      </c>
      <c r="G11" s="84" t="inlineStr">
        <is>
          <t>Works at C1: Ambiguous, cross-product problems</t>
        </is>
      </c>
      <c r="H11" s="84" t="inlineStr">
        <is>
          <t>Function-wide or company-wide problems; creates methods and standards</t>
        </is>
      </c>
      <c r="I11" s="84" t="inlineStr">
        <is>
          <t>Already works at D1: Competing strategic, financial and regulatory priorities</t>
        </is>
      </c>
      <c r="J11" s="34" t="inlineStr">
        <is>
          <t>M</t>
        </is>
      </c>
      <c r="K11" s="84" t="inlineStr">
        <is>
          <t>Works at C1: Sets direction for a sub-function or domain</t>
        </is>
      </c>
      <c r="L11" s="84" t="inlineStr">
        <is>
          <t>Sets direction for a function</t>
        </is>
      </c>
      <c r="M11" s="84" t="inlineStr">
        <is>
          <t>Already works at D1: Sets business-line direction, pricing and investment</t>
        </is>
      </c>
      <c r="N11" s="34" t="inlineStr">
        <is>
          <t>L</t>
        </is>
      </c>
      <c r="O11" s="84" t="inlineStr">
        <is>
          <t>Works at C1: Sub-function results or domain quality across products</t>
        </is>
      </c>
      <c r="P11" s="84" t="inlineStr">
        <is>
          <t>Function results, budget and risk</t>
        </is>
      </c>
      <c r="Q11" s="84" t="inlineStr">
        <is>
          <t>Already works at D1: Business-line P&amp;L and market position</t>
        </is>
      </c>
      <c r="R11" s="34" t="inlineStr">
        <is>
          <t>M</t>
        </is>
      </c>
      <c r="S11" s="56" t="inlineStr">
        <is>
          <t>Works at C1: Leads managers or a community of practice</t>
        </is>
      </c>
      <c r="T11" s="56" t="inlineStr">
        <is>
          <t>Leads a function; shapes functional strategy</t>
        </is>
      </c>
      <c r="U11" s="56" t="inlineStr">
        <is>
          <t>Already works at D1: Defines business strategy; builds the leadership bench</t>
        </is>
      </c>
      <c r="V11" s="34" t="inlineStr">
        <is>
          <t>L</t>
        </is>
      </c>
      <c r="W11" s="56" t="inlineStr">
        <is>
          <t>Works at C1: Changes results across a sub-function or across products</t>
        </is>
      </c>
      <c r="X11" s="56" t="inlineStr">
        <is>
          <t>Drives a function's or department's results and costs</t>
        </is>
      </c>
      <c r="Y11" s="56" t="inlineStr">
        <is>
          <t>Already works at D1: Owns a business line's P&amp;L and growth, or a company-wide function</t>
        </is>
      </c>
      <c r="Z11" s="34" t="inlineStr">
        <is>
          <t>L</t>
        </is>
      </c>
      <c r="AA11" s="85" t="inlineStr">
        <is>
          <t>Less experience than the band's typical 12–17 yrs</t>
        </is>
      </c>
      <c r="AB11" s="85" t="inlineStr">
        <is>
          <t>Typical for the band: 12–17 yrs · market — yrs</t>
        </is>
      </c>
      <c r="AC11" s="85" t="inlineStr">
        <is>
          <t>More experience than the band's typical 12–17 yrs</t>
        </is>
      </c>
      <c r="AD11" s="34" t="inlineStr">
        <is>
          <t>L</t>
        </is>
      </c>
      <c r="AE11" s="85" t="inlineStr">
        <is>
          <t>Below: Postgraduate / professional qualification preferred</t>
        </is>
      </c>
      <c r="AF11" s="85" t="inlineStr">
        <is>
          <t>Postgraduate / professional qualification preferred</t>
        </is>
      </c>
      <c r="AG11" s="85" t="inlineStr">
        <is>
          <t>Above: Postgraduate / professional qualification preferred</t>
        </is>
      </c>
      <c r="AH11" s="44" t="inlineStr">
        <is>
          <t>43.3 · 18 · 10.7 · 15 · 8 · 4 · 1</t>
        </is>
      </c>
      <c r="AI11" s="38" t="inlineStr">
        <is>
          <t>12–17 yrs</t>
        </is>
      </c>
      <c r="AJ11" s="38" t="inlineStr">
        <is>
          <t>5–8 managers / associate heads</t>
        </is>
      </c>
      <c r="AK11" s="38" t="inlineStr">
        <is>
          <t>P7 / M6 · SFIA 6 Initiate, influence</t>
        </is>
      </c>
      <c r="AL11"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2" ht="120" customHeight="1">
      <c r="A12" s="88" t="inlineStr">
        <is>
          <t>C2</t>
        </is>
      </c>
      <c r="B12" s="29" t="inlineStr">
        <is>
          <t>Band C · Principal / Head</t>
        </is>
      </c>
      <c r="C12" s="29" t="inlineStr">
        <is>
          <t>Band C · Principal specialist</t>
        </is>
      </c>
      <c r="D12" s="29" t="inlineStr">
        <is>
          <t>Senior Principal / Architect</t>
        </is>
      </c>
      <c r="E12" s="29" t="inlineStr">
        <is>
          <t>— no role at this level today</t>
        </is>
      </c>
      <c r="F12" s="34" t="inlineStr">
        <is>
          <t>H</t>
        </is>
      </c>
      <c r="G12" s="84" t="inlineStr">
        <is>
          <t>Works at C1: Ambiguous, cross-product problems</t>
        </is>
      </c>
      <c r="H12" s="84" t="inlineStr">
        <is>
          <t>Function-wide or company-wide problems; creates methods and standards</t>
        </is>
      </c>
      <c r="I12" s="84" t="inlineStr">
        <is>
          <t>Already works at D1: Competing strategic, financial and regulatory priorities</t>
        </is>
      </c>
      <c r="J12" s="34" t="inlineStr">
        <is>
          <t>M</t>
        </is>
      </c>
      <c r="K12" s="84" t="inlineStr">
        <is>
          <t>Works at C1: Sets direction for a sub-function or domain</t>
        </is>
      </c>
      <c r="L12" s="84" t="inlineStr">
        <is>
          <t>Sets direction for a function</t>
        </is>
      </c>
      <c r="M12" s="84" t="inlineStr">
        <is>
          <t>Already works at D1: Sets business-line direction, pricing and investment</t>
        </is>
      </c>
      <c r="N12" s="34" t="inlineStr">
        <is>
          <t>L</t>
        </is>
      </c>
      <c r="O12" s="84" t="inlineStr">
        <is>
          <t>Works at C1: Sub-function results or domain quality across products</t>
        </is>
      </c>
      <c r="P12" s="84" t="inlineStr">
        <is>
          <t>Function results, budget and risk</t>
        </is>
      </c>
      <c r="Q12" s="84" t="inlineStr">
        <is>
          <t>Already works at D1: Business-line P&amp;L and market position</t>
        </is>
      </c>
      <c r="R12" s="34" t="inlineStr">
        <is>
          <t>L</t>
        </is>
      </c>
      <c r="S12" s="56" t="inlineStr">
        <is>
          <t>Works at C1: Leads managers or a community of practice</t>
        </is>
      </c>
      <c r="T12" s="56" t="inlineStr">
        <is>
          <t>Leads a function; shapes functional strategy</t>
        </is>
      </c>
      <c r="U12" s="56" t="inlineStr">
        <is>
          <t>Already works at D1: Defines business strategy; builds the leadership bench</t>
        </is>
      </c>
      <c r="V12" s="34" t="inlineStr">
        <is>
          <t>L</t>
        </is>
      </c>
      <c r="W12" s="56" t="inlineStr">
        <is>
          <t>Works at C1: Changes results across a sub-function or across products</t>
        </is>
      </c>
      <c r="X12" s="56" t="inlineStr">
        <is>
          <t>Drives a function's or department's results and costs</t>
        </is>
      </c>
      <c r="Y12" s="56" t="inlineStr">
        <is>
          <t>Already works at D1: Owns a business line's P&amp;L and growth, or a company-wide function</t>
        </is>
      </c>
      <c r="Z12" s="34" t="inlineStr">
        <is>
          <t>L</t>
        </is>
      </c>
      <c r="AA12" s="85" t="inlineStr">
        <is>
          <t>Less experience than the band's typical 12–17 yrs</t>
        </is>
      </c>
      <c r="AB12" s="85" t="inlineStr">
        <is>
          <t>Typical for the band: 12–17 yrs · market — yrs</t>
        </is>
      </c>
      <c r="AC12" s="85" t="inlineStr">
        <is>
          <t>More experience than the band's typical 12–17 yrs</t>
        </is>
      </c>
      <c r="AD12" s="34" t="inlineStr">
        <is>
          <t>L</t>
        </is>
      </c>
      <c r="AE12" s="85" t="inlineStr">
        <is>
          <t>Below: Postgraduate / professional qualification preferred</t>
        </is>
      </c>
      <c r="AF12" s="85" t="inlineStr">
        <is>
          <t>Postgraduate / professional qualification preferred</t>
        </is>
      </c>
      <c r="AG12" s="85" t="inlineStr">
        <is>
          <t>Above: Postgraduate / professional qualification preferred</t>
        </is>
      </c>
      <c r="AH12" s="44" t="inlineStr">
        <is>
          <t>54.3 · 17.7 · 10.3 · 5 · 7.7 · 4 · 1</t>
        </is>
      </c>
      <c r="AI12" s="38" t="inlineStr">
        <is>
          <t>12–17 yrs</t>
        </is>
      </c>
      <c r="AJ12" s="38" t="inlineStr">
        <is>
          <t>5–8 managers / associate heads</t>
        </is>
      </c>
      <c r="AK12" s="38" t="inlineStr">
        <is>
          <t>P7 / M6 · SFIA 6 Initiate, influence</t>
        </is>
      </c>
      <c r="AL12"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3" ht="120" customHeight="1">
      <c r="A13" s="88" t="inlineStr">
        <is>
          <t>C1</t>
        </is>
      </c>
      <c r="B13" s="29" t="inlineStr">
        <is>
          <t>Band C · Principal / Head</t>
        </is>
      </c>
      <c r="C13" s="29" t="inlineStr">
        <is>
          <t>Band C · Head / manager</t>
        </is>
      </c>
      <c r="D13" s="29" t="inlineStr">
        <is>
          <t>Associate Head</t>
        </is>
      </c>
      <c r="E13" s="29" t="inlineStr">
        <is>
          <t>— no role at this level today</t>
        </is>
      </c>
      <c r="F13" s="34" t="inlineStr">
        <is>
          <t>H</t>
        </is>
      </c>
      <c r="G13" s="84" t="inlineStr">
        <is>
          <t>Works at B3: Sets standards for a practice; cross-team problems</t>
        </is>
      </c>
      <c r="H13" s="84" t="inlineStr">
        <is>
          <t>Ambiguous, cross-product problems</t>
        </is>
      </c>
      <c r="I13" s="84" t="inlineStr">
        <is>
          <t>Already works at C2: Function-wide or company-wide problems; creates methods and standards</t>
        </is>
      </c>
      <c r="J13" s="34" t="inlineStr">
        <is>
          <t>M</t>
        </is>
      </c>
      <c r="K13" s="84" t="inlineStr">
        <is>
          <t>Works at B3: Commercial / strategic calls for the unit</t>
        </is>
      </c>
      <c r="L13" s="84" t="inlineStr">
        <is>
          <t>Sets direction for a sub-function or domain</t>
        </is>
      </c>
      <c r="M13" s="84" t="inlineStr">
        <is>
          <t>Already works at C2: Sets direction for a function</t>
        </is>
      </c>
      <c r="N13" s="34" t="inlineStr">
        <is>
          <t>L</t>
        </is>
      </c>
      <c r="O13" s="84" t="inlineStr">
        <is>
          <t>Works at B3: Several teams or a practice</t>
        </is>
      </c>
      <c r="P13" s="84" t="inlineStr">
        <is>
          <t>Sub-function results or domain quality across products</t>
        </is>
      </c>
      <c r="Q13" s="84" t="inlineStr">
        <is>
          <t>Already works at C2: Function results, budget and risk</t>
        </is>
      </c>
      <c r="R13" s="34" t="inlineStr">
        <is>
          <t>M</t>
        </is>
      </c>
      <c r="S13" s="56" t="inlineStr">
        <is>
          <t>Works at B3: IC: leads a practice · People: team leads / managers report in</t>
        </is>
      </c>
      <c r="T13" s="56" t="inlineStr">
        <is>
          <t>Leads managers or a community of practice</t>
        </is>
      </c>
      <c r="U13" s="56" t="inlineStr">
        <is>
          <t>Already works at C2: Leads a function; shapes functional strategy</t>
        </is>
      </c>
      <c r="V13" s="34" t="inlineStr">
        <is>
          <t>L</t>
        </is>
      </c>
      <c r="W13" s="56" t="inlineStr">
        <is>
          <t>Works at B3: Shapes the results of a practice or several teams</t>
        </is>
      </c>
      <c r="X13" s="56" t="inlineStr">
        <is>
          <t>Changes results across a sub-function or across products</t>
        </is>
      </c>
      <c r="Y13" s="56" t="inlineStr">
        <is>
          <t>Already works at C2: Drives a function's or department's results and costs</t>
        </is>
      </c>
      <c r="Z13" s="34" t="inlineStr">
        <is>
          <t>L</t>
        </is>
      </c>
      <c r="AA13" s="85" t="inlineStr">
        <is>
          <t>Less experience than the band's typical 10–14 yrs</t>
        </is>
      </c>
      <c r="AB13" s="85" t="inlineStr">
        <is>
          <t>Typical for the band: 10–14 yrs · market 12–17 yrs</t>
        </is>
      </c>
      <c r="AC13" s="85" t="inlineStr">
        <is>
          <t>More experience than the band's typical 10–14 yrs</t>
        </is>
      </c>
      <c r="AD13" s="34" t="inlineStr">
        <is>
          <t>L</t>
        </is>
      </c>
      <c r="AE13" s="85" t="inlineStr">
        <is>
          <t>Below: Postgraduate or professional qualification preferred</t>
        </is>
      </c>
      <c r="AF13" s="85" t="inlineStr">
        <is>
          <t>Postgraduate / professional qualification preferred</t>
        </is>
      </c>
      <c r="AG13" s="85" t="inlineStr">
        <is>
          <t>Above: Postgraduate / professional qualification preferred</t>
        </is>
      </c>
      <c r="AH13" s="44" t="inlineStr">
        <is>
          <t>43.3 · 18 · 10.7 · 15 · 8 · 4 · 1</t>
        </is>
      </c>
      <c r="AI13" s="38" t="inlineStr">
        <is>
          <t>12–17</t>
        </is>
      </c>
      <c r="AJ13" s="38" t="inlineStr">
        <is>
          <t>5–8, mostly managers</t>
        </is>
      </c>
      <c r="AK13" s="38" t="inlineStr">
        <is>
          <t>P6 / M5 · SFIA 5–6</t>
        </is>
      </c>
      <c r="AL13"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4" ht="120" customHeight="1">
      <c r="A14" s="88" t="inlineStr">
        <is>
          <t>C1</t>
        </is>
      </c>
      <c r="B14" s="29" t="inlineStr">
        <is>
          <t>Band C · Principal / Head</t>
        </is>
      </c>
      <c r="C14" s="29" t="inlineStr">
        <is>
          <t>Band C · Principal specialist</t>
        </is>
      </c>
      <c r="D14" s="29" t="inlineStr">
        <is>
          <t>Principal</t>
        </is>
      </c>
      <c r="E14" s="29" t="inlineStr">
        <is>
          <t>— no role at this level today</t>
        </is>
      </c>
      <c r="F14" s="34" t="inlineStr">
        <is>
          <t>H</t>
        </is>
      </c>
      <c r="G14" s="84" t="inlineStr">
        <is>
          <t>Works at B3: Sets standards for a practice; cross-team problems</t>
        </is>
      </c>
      <c r="H14" s="84" t="inlineStr">
        <is>
          <t>Ambiguous, cross-product problems</t>
        </is>
      </c>
      <c r="I14" s="84" t="inlineStr">
        <is>
          <t>Already works at C2: Function-wide or company-wide problems; creates methods and standards</t>
        </is>
      </c>
      <c r="J14" s="34" t="inlineStr">
        <is>
          <t>M</t>
        </is>
      </c>
      <c r="K14" s="84" t="inlineStr">
        <is>
          <t>Works at B3: Commercial / strategic calls for the unit</t>
        </is>
      </c>
      <c r="L14" s="84" t="inlineStr">
        <is>
          <t>Sets direction for a sub-function or domain</t>
        </is>
      </c>
      <c r="M14" s="84" t="inlineStr">
        <is>
          <t>Already works at C2: Sets direction for a function</t>
        </is>
      </c>
      <c r="N14" s="34" t="inlineStr">
        <is>
          <t>L</t>
        </is>
      </c>
      <c r="O14" s="84" t="inlineStr">
        <is>
          <t>Works at B3: Several teams or a practice</t>
        </is>
      </c>
      <c r="P14" s="84" t="inlineStr">
        <is>
          <t>Sub-function results or domain quality across products</t>
        </is>
      </c>
      <c r="Q14" s="84" t="inlineStr">
        <is>
          <t>Already works at C2: Function results, budget and risk</t>
        </is>
      </c>
      <c r="R14" s="34" t="inlineStr">
        <is>
          <t>L</t>
        </is>
      </c>
      <c r="S14" s="56" t="inlineStr">
        <is>
          <t>Works at B3: IC: leads a practice · People: team leads / managers report in</t>
        </is>
      </c>
      <c r="T14" s="56" t="inlineStr">
        <is>
          <t>Leads managers or a community of practice</t>
        </is>
      </c>
      <c r="U14" s="56" t="inlineStr">
        <is>
          <t>Already works at C2: Leads a function; shapes functional strategy</t>
        </is>
      </c>
      <c r="V14" s="34" t="inlineStr">
        <is>
          <t>L</t>
        </is>
      </c>
      <c r="W14" s="56" t="inlineStr">
        <is>
          <t>Works at B3: Shapes the results of a practice or several teams</t>
        </is>
      </c>
      <c r="X14" s="56" t="inlineStr">
        <is>
          <t>Changes results across a sub-function or across products</t>
        </is>
      </c>
      <c r="Y14" s="56" t="inlineStr">
        <is>
          <t>Already works at C2: Drives a function's or department's results and costs</t>
        </is>
      </c>
      <c r="Z14" s="34" t="inlineStr">
        <is>
          <t>L</t>
        </is>
      </c>
      <c r="AA14" s="85" t="inlineStr">
        <is>
          <t>Less experience than the band's typical 10–14 yrs</t>
        </is>
      </c>
      <c r="AB14" s="85" t="inlineStr">
        <is>
          <t>Typical for the band: 10–14 yrs · market 12–17 yrs</t>
        </is>
      </c>
      <c r="AC14" s="85" t="inlineStr">
        <is>
          <t>More experience than the band's typical 10–14 yrs</t>
        </is>
      </c>
      <c r="AD14" s="34" t="inlineStr">
        <is>
          <t>L</t>
        </is>
      </c>
      <c r="AE14" s="85" t="inlineStr">
        <is>
          <t>Below: Postgraduate or professional qualification preferred</t>
        </is>
      </c>
      <c r="AF14" s="85" t="inlineStr">
        <is>
          <t>Postgraduate / professional qualification preferred</t>
        </is>
      </c>
      <c r="AG14" s="85" t="inlineStr">
        <is>
          <t>Above: Postgraduate / professional qualification preferred</t>
        </is>
      </c>
      <c r="AH14" s="44" t="inlineStr">
        <is>
          <t>54.3 · 17.7 · 10.3 · 5 · 7.7 · 4 · 1</t>
        </is>
      </c>
      <c r="AI14" s="38" t="inlineStr">
        <is>
          <t>12–17</t>
        </is>
      </c>
      <c r="AJ14" s="38" t="inlineStr">
        <is>
          <t>5–8, mostly managers</t>
        </is>
      </c>
      <c r="AK14" s="38" t="inlineStr">
        <is>
          <t>P6 / M5 · SFIA 5–6</t>
        </is>
      </c>
      <c r="AL14"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5" ht="120" customHeight="1">
      <c r="A15" s="89" t="inlineStr">
        <is>
          <t>B+</t>
        </is>
      </c>
      <c r="B15" s="29" t="inlineStr">
        <is>
          <t>B+ · Player-Coach</t>
        </is>
      </c>
      <c r="C15" s="29" t="inlineStr">
        <is>
          <t>B+ · Player-Coach</t>
        </is>
      </c>
      <c r="D15" s="29" t="inlineStr">
        <is>
          <t>Practice Lead · Player-Coach</t>
        </is>
      </c>
      <c r="E15" s="29" t="inlineStr">
        <is>
          <t>— no role at this level today</t>
        </is>
      </c>
      <c r="F15" s="34" t="inlineStr">
        <is>
          <t>H</t>
        </is>
      </c>
      <c r="G15" s="84" t="inlineStr">
        <is>
          <t>Works at B3: Sets standards for a practice; cross-team problems</t>
        </is>
      </c>
      <c r="H15" s="84" t="inlineStr">
        <is>
          <t>Principal-level problems in own domain; sets technical or quality standards and still builds</t>
        </is>
      </c>
      <c r="I15" s="84" t="inlineStr">
        <is>
          <t>Already works at C1: Ambiguous, cross-product problems</t>
        </is>
      </c>
      <c r="J15" s="34" t="inlineStr">
        <is>
          <t>M</t>
        </is>
      </c>
      <c r="K15" s="84" t="inlineStr">
        <is>
          <t>Works at B3: Commercial / strategic calls for the unit</t>
        </is>
      </c>
      <c r="L15" s="84" t="inlineStr">
        <is>
          <t>Decides approach and priorities for the practice; escalates only cross-function trade-offs</t>
        </is>
      </c>
      <c r="M15" s="84" t="inlineStr">
        <is>
          <t>Already works at C1: Sets direction for a sub-function or domain</t>
        </is>
      </c>
      <c r="N15" s="34" t="inlineStr">
        <is>
          <t>L</t>
        </is>
      </c>
      <c r="O15" s="84" t="inlineStr">
        <is>
          <t>Works at B3: Several teams or a practice</t>
        </is>
      </c>
      <c r="P15" s="84" t="inlineStr">
        <is>
          <t>Practice outcomes plus own deliverables; quality and delivery of the team</t>
        </is>
      </c>
      <c r="Q15" s="84" t="inlineStr">
        <is>
          <t>Already works at C1: Sub-function results or domain quality across products</t>
        </is>
      </c>
      <c r="R15" s="34" t="inlineStr">
        <is>
          <t>M</t>
        </is>
      </c>
      <c r="S15" s="56" t="inlineStr">
        <is>
          <t>Works at B3: IC: leads a practice · People: team leads / managers report in</t>
        </is>
      </c>
      <c r="T15" s="56" t="inlineStr">
        <is>
          <t>Leads 3–6 people · or a pod while remaining a hands-on expert; coaches, allocates, reviews</t>
        </is>
      </c>
      <c r="U15" s="56" t="inlineStr">
        <is>
          <t>Already works at C1: Leads managers or a community of practice</t>
        </is>
      </c>
      <c r="V15" s="34" t="inlineStr">
        <is>
          <t>L</t>
        </is>
      </c>
      <c r="W15" s="56" t="inlineStr">
        <is>
          <t>Works at B3: Shapes the results of a practice or several teams</t>
        </is>
      </c>
      <c r="X15" s="56" t="inlineStr">
        <is>
          <t>Drives a practice's results while delivering the hardest work</t>
        </is>
      </c>
      <c r="Y15" s="56" t="inlineStr">
        <is>
          <t>Already works at C1: Changes results across a sub-function or across products</t>
        </is>
      </c>
      <c r="Z15" s="34" t="inlineStr">
        <is>
          <t>L</t>
        </is>
      </c>
      <c r="AA15" s="85" t="inlineStr">
        <is>
          <t>Less experience than the band's typical 9–14 yrs</t>
        </is>
      </c>
      <c r="AB15" s="85" t="inlineStr">
        <is>
          <t>Typical for the band: 9–14 yrs · market 9–14 yrs</t>
        </is>
      </c>
      <c r="AC15" s="85" t="inlineStr">
        <is>
          <t>More experience than the band's typical 9–14 yrs</t>
        </is>
      </c>
      <c r="AD15" s="34" t="inlineStr">
        <is>
          <t>L</t>
        </is>
      </c>
      <c r="AE15" s="85" t="inlineStr">
        <is>
          <t>Below: Postgraduate or professional qualification preferred</t>
        </is>
      </c>
      <c r="AF15" s="85" t="inlineStr">
        <is>
          <t>Postgraduate or professional qualification preferred</t>
        </is>
      </c>
      <c r="AG15" s="85" t="inlineStr">
        <is>
          <t>Above: Postgraduate / professional qualification preferred</t>
        </is>
      </c>
      <c r="AH15" s="44" t="inlineStr">
        <is>
          <t>44 · 17.7 · 10.3 · 10 · 7.7 · 6 · 4</t>
        </is>
      </c>
      <c r="AI15" s="38" t="inlineStr">
        <is>
          <t>9–14</t>
        </is>
      </c>
      <c r="AJ15" s="38" t="inlineStr">
        <is>
          <t>3–6 direct reports with ≥ 40% of time on own delivery · McKinsey player/coach 3–5; Google Tech Lead Manager</t>
        </is>
      </c>
      <c r="AK15" s="38" t="inlineStr">
        <is>
          <t>P5–P6 / M4–M5 · SFIA 5 Ensure, advise</t>
        </is>
      </c>
      <c r="AL15"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6" ht="120" customHeight="1">
      <c r="A16" s="90" t="inlineStr">
        <is>
          <t>B3</t>
        </is>
      </c>
      <c r="B16" s="29" t="inlineStr">
        <is>
          <t>Band B · Specialist / Manager</t>
        </is>
      </c>
      <c r="C16" s="29" t="inlineStr">
        <is>
          <t>Band B · People Manager</t>
        </is>
      </c>
      <c r="D16" s="29" t="inlineStr">
        <is>
          <t>Senior Manager</t>
        </is>
      </c>
      <c r="E16" s="29" t="inlineStr">
        <is>
          <t>— no role at this level today</t>
        </is>
      </c>
      <c r="F16" s="34" t="inlineStr">
        <is>
          <t>H</t>
        </is>
      </c>
      <c r="G16" s="84" t="inlineStr">
        <is>
          <t>Works at B2: Hardest problems in the domain</t>
        </is>
      </c>
      <c r="H16" s="84" t="inlineStr">
        <is>
          <t>Sets standards for a practice; cross-team problems</t>
        </is>
      </c>
      <c r="I16" s="84" t="inlineStr">
        <is>
          <t>Already works at C1: Ambiguous, cross-product problems</t>
        </is>
      </c>
      <c r="J16" s="34" t="inlineStr">
        <is>
          <t>M</t>
        </is>
      </c>
      <c r="K16" s="84" t="inlineStr">
        <is>
          <t>Works at B2: Allocates people and sets team priorities</t>
        </is>
      </c>
      <c r="L16" s="84" t="inlineStr">
        <is>
          <t>Commercial / strategic calls for the unit</t>
        </is>
      </c>
      <c r="M16" s="84" t="inlineStr">
        <is>
          <t>Already works at C1: Sets direction for a sub-function or domain</t>
        </is>
      </c>
      <c r="N16" s="34" t="inlineStr">
        <is>
          <t>L</t>
        </is>
      </c>
      <c r="O16" s="84" t="inlineStr">
        <is>
          <t>Works at B2: One team or a client portfolio</t>
        </is>
      </c>
      <c r="P16" s="84" t="inlineStr">
        <is>
          <t>Several teams or a practice</t>
        </is>
      </c>
      <c r="Q16" s="84" t="inlineStr">
        <is>
          <t>Already works at C1: Sub-function results or domain quality across products</t>
        </is>
      </c>
      <c r="R16" s="34" t="inlineStr">
        <is>
          <t>M</t>
        </is>
      </c>
      <c r="S16" s="56" t="inlineStr">
        <is>
          <t>Works at B2: IC: guides others in the domain · People: manages a team of 6+</t>
        </is>
      </c>
      <c r="T16" s="56" t="inlineStr">
        <is>
          <t>IC: leads a practice · People: team leads / managers report in</t>
        </is>
      </c>
      <c r="U16" s="56" t="inlineStr">
        <is>
          <t>Already works at C1: Leads managers or a community of practice</t>
        </is>
      </c>
      <c r="V16" s="34" t="inlineStr">
        <is>
          <t>L</t>
        </is>
      </c>
      <c r="W16" s="56" t="inlineStr">
        <is>
          <t>Works at B2: Visible effect on a team's or client portfolio's revenue, quality or compliance</t>
        </is>
      </c>
      <c r="X16" s="56" t="inlineStr">
        <is>
          <t>Shapes the results of a practice or several teams</t>
        </is>
      </c>
      <c r="Y16" s="56" t="inlineStr">
        <is>
          <t>Already works at C1: Changes results across a sub-function or across products</t>
        </is>
      </c>
      <c r="Z16" s="34" t="inlineStr">
        <is>
          <t>L</t>
        </is>
      </c>
      <c r="AA16" s="85" t="inlineStr">
        <is>
          <t>Less experience than the band's typical 8–12 yrs</t>
        </is>
      </c>
      <c r="AB16" s="85" t="inlineStr">
        <is>
          <t>Typical for the band: 8–12 yrs · market 8–13 yrs</t>
        </is>
      </c>
      <c r="AC16" s="85" t="inlineStr">
        <is>
          <t>More experience than the band's typical 8–12 yrs</t>
        </is>
      </c>
      <c r="AD16" s="34" t="inlineStr">
        <is>
          <t>L</t>
        </is>
      </c>
      <c r="AE16" s="85" t="inlineStr">
        <is>
          <t>Below: Graduate or postgraduate; professional qualification preferred</t>
        </is>
      </c>
      <c r="AF16" s="85" t="inlineStr">
        <is>
          <t>Postgraduate or professional qualification preferred</t>
        </is>
      </c>
      <c r="AG16" s="85" t="inlineStr">
        <is>
          <t>Above: Postgraduate / professional qualification preferred</t>
        </is>
      </c>
      <c r="AH16" s="44" t="inlineStr">
        <is>
          <t>37 · 18.3 · 11.3 · 15 · 8.7 · 6 · 4</t>
        </is>
      </c>
      <c r="AI16" s="38" t="inlineStr">
        <is>
          <t>8–13</t>
        </is>
      </c>
      <c r="AJ16" s="38" t="inlineStr">
        <is>
          <t>IC: none · People: 5–8 incl. team leads</t>
        </is>
      </c>
      <c r="AK16" s="38" t="inlineStr">
        <is>
          <t>P5 / M4 · SFIA 5 Ensure, advise</t>
        </is>
      </c>
      <c r="AL16"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7" ht="120" customHeight="1">
      <c r="A17" s="90" t="inlineStr">
        <is>
          <t>B3</t>
        </is>
      </c>
      <c r="B17" s="29" t="inlineStr">
        <is>
          <t>Band B · Specialist / Manager</t>
        </is>
      </c>
      <c r="C17" s="29" t="inlineStr">
        <is>
          <t>Band B · Specialist / POD Lead</t>
        </is>
      </c>
      <c r="D17" s="29" t="inlineStr">
        <is>
          <t>Lead Specialist</t>
        </is>
      </c>
      <c r="E17" s="29" t="inlineStr">
        <is>
          <t>— no role at this level today</t>
        </is>
      </c>
      <c r="F17" s="34" t="inlineStr">
        <is>
          <t>H</t>
        </is>
      </c>
      <c r="G17" s="84" t="inlineStr">
        <is>
          <t>Works at B2: Hardest problems in the domain</t>
        </is>
      </c>
      <c r="H17" s="84" t="inlineStr">
        <is>
          <t>Sets standards for a practice; cross-team problems</t>
        </is>
      </c>
      <c r="I17" s="84" t="inlineStr">
        <is>
          <t>Already works at C1: Ambiguous, cross-product problems</t>
        </is>
      </c>
      <c r="J17" s="34" t="inlineStr">
        <is>
          <t>M</t>
        </is>
      </c>
      <c r="K17" s="84" t="inlineStr">
        <is>
          <t>Works at B2: Allocates people and sets team priorities</t>
        </is>
      </c>
      <c r="L17" s="84" t="inlineStr">
        <is>
          <t>Commercial / strategic calls for the unit</t>
        </is>
      </c>
      <c r="M17" s="84" t="inlineStr">
        <is>
          <t>Already works at C1: Sets direction for a sub-function or domain</t>
        </is>
      </c>
      <c r="N17" s="34" t="inlineStr">
        <is>
          <t>L</t>
        </is>
      </c>
      <c r="O17" s="84" t="inlineStr">
        <is>
          <t>Works at B2: One team or a client portfolio</t>
        </is>
      </c>
      <c r="P17" s="84" t="inlineStr">
        <is>
          <t>Several teams or a practice</t>
        </is>
      </c>
      <c r="Q17" s="84" t="inlineStr">
        <is>
          <t>Already works at C1: Sub-function results or domain quality across products</t>
        </is>
      </c>
      <c r="R17" s="34" t="inlineStr">
        <is>
          <t>L</t>
        </is>
      </c>
      <c r="S17" s="56" t="inlineStr">
        <is>
          <t>Works at B2: IC: guides others in the domain · People: manages a team of 6+</t>
        </is>
      </c>
      <c r="T17" s="56" t="inlineStr">
        <is>
          <t>IC: leads a practice · People: team leads / managers report in</t>
        </is>
      </c>
      <c r="U17" s="56" t="inlineStr">
        <is>
          <t>Already works at C1: Leads managers or a community of practice</t>
        </is>
      </c>
      <c r="V17" s="34" t="inlineStr">
        <is>
          <t>L</t>
        </is>
      </c>
      <c r="W17" s="56" t="inlineStr">
        <is>
          <t>Works at B2: Visible effect on a team's or client portfolio's revenue, quality or compliance</t>
        </is>
      </c>
      <c r="X17" s="56" t="inlineStr">
        <is>
          <t>Shapes the results of a practice or several teams</t>
        </is>
      </c>
      <c r="Y17" s="56" t="inlineStr">
        <is>
          <t>Already works at C1: Changes results across a sub-function or across products</t>
        </is>
      </c>
      <c r="Z17" s="34" t="inlineStr">
        <is>
          <t>L</t>
        </is>
      </c>
      <c r="AA17" s="85" t="inlineStr">
        <is>
          <t>Less experience than the band's typical 8–12 yrs</t>
        </is>
      </c>
      <c r="AB17" s="85" t="inlineStr">
        <is>
          <t>Typical for the band: 8–12 yrs · market 8–13 yrs</t>
        </is>
      </c>
      <c r="AC17" s="85" t="inlineStr">
        <is>
          <t>More experience than the band's typical 8–12 yrs</t>
        </is>
      </c>
      <c r="AD17" s="34" t="inlineStr">
        <is>
          <t>L</t>
        </is>
      </c>
      <c r="AE17" s="85" t="inlineStr">
        <is>
          <t>Below: Graduate or postgraduate; professional qualification preferred</t>
        </is>
      </c>
      <c r="AF17" s="85" t="inlineStr">
        <is>
          <t>Postgraduate or professional qualification preferred</t>
        </is>
      </c>
      <c r="AG17" s="85" t="inlineStr">
        <is>
          <t>Above: Postgraduate / professional qualification preferred</t>
        </is>
      </c>
      <c r="AH17" s="44" t="inlineStr">
        <is>
          <t>51.3 · 17.3 · 9.7 · 5 · 7 · 6 · 4</t>
        </is>
      </c>
      <c r="AI17" s="38" t="inlineStr">
        <is>
          <t>8–13</t>
        </is>
      </c>
      <c r="AJ17" s="38" t="inlineStr">
        <is>
          <t>IC: none · People: 5–8 incl. team leads</t>
        </is>
      </c>
      <c r="AK17" s="38" t="inlineStr">
        <is>
          <t>P5 / M4 · SFIA 5 Ensure, advise</t>
        </is>
      </c>
      <c r="AL17"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8" ht="120" customHeight="1">
      <c r="A18" s="90" t="inlineStr">
        <is>
          <t>B2</t>
        </is>
      </c>
      <c r="B18" s="29" t="inlineStr">
        <is>
          <t>Band B · Specialist / Manager</t>
        </is>
      </c>
      <c r="C18" s="29" t="inlineStr">
        <is>
          <t>Band B · People Manager</t>
        </is>
      </c>
      <c r="D18" s="29" t="inlineStr">
        <is>
          <t>Manager</t>
        </is>
      </c>
      <c r="E18" s="29" t="inlineStr">
        <is>
          <t>IT Infrastructure Leadership · Senior IT Manager</t>
        </is>
      </c>
      <c r="F18" s="34" t="inlineStr">
        <is>
          <t>H</t>
        </is>
      </c>
      <c r="G18" s="84" t="inlineStr">
        <is>
          <t>Works at B1: Domain specialist work</t>
        </is>
      </c>
      <c r="H18" s="84" t="inlineStr">
        <is>
          <t>Hardest problems in the domain</t>
        </is>
      </c>
      <c r="I18" s="84" t="inlineStr">
        <is>
          <t>Already works at B3: Sets standards for a practice; cross-team problems</t>
        </is>
      </c>
      <c r="J18" s="34" t="inlineStr">
        <is>
          <t>M</t>
        </is>
      </c>
      <c r="K18" s="84" t="inlineStr">
        <is>
          <t>Works at B1: Technical / QC / client calls for the domain</t>
        </is>
      </c>
      <c r="L18" s="84" t="inlineStr">
        <is>
          <t>Allocates people and sets team priorities</t>
        </is>
      </c>
      <c r="M18" s="84" t="inlineStr">
        <is>
          <t>Already works at B3: Commercial / strategic calls for the unit</t>
        </is>
      </c>
      <c r="N18" s="34" t="inlineStr">
        <is>
          <t>L</t>
        </is>
      </c>
      <c r="O18" s="84" t="inlineStr">
        <is>
          <t>Works at B1: A domain or a small team</t>
        </is>
      </c>
      <c r="P18" s="84" t="inlineStr">
        <is>
          <t>One team or a client portfolio</t>
        </is>
      </c>
      <c r="Q18" s="84" t="inlineStr">
        <is>
          <t>Already works at B3: Several teams or a practice</t>
        </is>
      </c>
      <c r="R18" s="34" t="inlineStr">
        <is>
          <t>M</t>
        </is>
      </c>
      <c r="S18" s="56" t="inlineStr">
        <is>
          <t>Works at B1: IC: mentors and reviews · People: hands-on team lead of 3–5</t>
        </is>
      </c>
      <c r="T18" s="56" t="inlineStr">
        <is>
          <t>IC: guides others in the domain · People: manages a team of 6+</t>
        </is>
      </c>
      <c r="U18" s="56" t="inlineStr">
        <is>
          <t>Already works at B3: IC: leads a practice · People: team leads / managers report in</t>
        </is>
      </c>
      <c r="V18" s="34" t="inlineStr">
        <is>
          <t>L</t>
        </is>
      </c>
      <c r="W18" s="56" t="inlineStr">
        <is>
          <t>Works at B1: Moves a module's, product area's or client account's results</t>
        </is>
      </c>
      <c r="X18" s="56" t="inlineStr">
        <is>
          <t>Visible effect on a team's or client portfolio's revenue, quality or compliance · purpose: Leads infrastructure operations, ISO governance and IT vendors. At B2: deep domain expertise, or one team.</t>
        </is>
      </c>
      <c r="Y18" s="56" t="inlineStr">
        <is>
          <t>Already works at B3: Shapes the results of a practice or several teams</t>
        </is>
      </c>
      <c r="Z18" s="34" t="inlineStr">
        <is>
          <t>L</t>
        </is>
      </c>
      <c r="AA18" s="85" t="inlineStr">
        <is>
          <t>Less experience than the band's typical 6–9 yrs</t>
        </is>
      </c>
      <c r="AB18" s="85" t="inlineStr">
        <is>
          <t>Typical for the band: 6–9 yrs · market 6–10 yrs</t>
        </is>
      </c>
      <c r="AC18" s="85" t="inlineStr">
        <is>
          <t>More experience than the band's typical 6–9 yrs</t>
        </is>
      </c>
      <c r="AD18" s="34" t="inlineStr">
        <is>
          <t>L</t>
        </is>
      </c>
      <c r="AE18" s="85" t="inlineStr">
        <is>
          <t>Below: Graduate + relevant qualification or certification preferred</t>
        </is>
      </c>
      <c r="AF18" s="85" t="inlineStr">
        <is>
          <t>Graduate or postgraduate; professional qualification preferred</t>
        </is>
      </c>
      <c r="AG18" s="85" t="inlineStr">
        <is>
          <t>Above: Postgraduate or professional qualification preferred</t>
        </is>
      </c>
      <c r="AH18" s="44" t="inlineStr">
        <is>
          <t>37 · 18.3 · 11.3 · 15 · 8.7 · 6 · 4</t>
        </is>
      </c>
      <c r="AI18" s="38" t="inlineStr">
        <is>
          <t>6–10</t>
        </is>
      </c>
      <c r="AJ18" s="38" t="inlineStr">
        <is>
          <t>IC: none · People: 6–8 knowledge work, 8–12 standardised delivery</t>
        </is>
      </c>
      <c r="AK18" s="38" t="inlineStr">
        <is>
          <t>P4 / M3 · SFIA 4–5</t>
        </is>
      </c>
      <c r="AL18"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9" ht="120" customHeight="1">
      <c r="A19" s="90" t="inlineStr">
        <is>
          <t>B2</t>
        </is>
      </c>
      <c r="B19" s="29" t="inlineStr">
        <is>
          <t>Band B · Specialist / Manager</t>
        </is>
      </c>
      <c r="C19" s="29" t="inlineStr">
        <is>
          <t>Band B · Specialist / POD Lead</t>
        </is>
      </c>
      <c r="D19" s="29" t="inlineStr">
        <is>
          <t>Senior Specialist</t>
        </is>
      </c>
      <c r="E19" s="29" t="inlineStr">
        <is>
          <t>IT Infrastructure Leadership · Senior IT Manager</t>
        </is>
      </c>
      <c r="F19" s="34" t="inlineStr">
        <is>
          <t>H</t>
        </is>
      </c>
      <c r="G19" s="84" t="inlineStr">
        <is>
          <t>Works at B1: Domain specialist work</t>
        </is>
      </c>
      <c r="H19" s="84" t="inlineStr">
        <is>
          <t>Hardest problems in the domain</t>
        </is>
      </c>
      <c r="I19" s="84" t="inlineStr">
        <is>
          <t>Already works at B3: Sets standards for a practice; cross-team problems</t>
        </is>
      </c>
      <c r="J19" s="34" t="inlineStr">
        <is>
          <t>M</t>
        </is>
      </c>
      <c r="K19" s="84" t="inlineStr">
        <is>
          <t>Works at B1: Technical / QC / client calls for the domain</t>
        </is>
      </c>
      <c r="L19" s="84" t="inlineStr">
        <is>
          <t>Allocates people and sets team priorities</t>
        </is>
      </c>
      <c r="M19" s="84" t="inlineStr">
        <is>
          <t>Already works at B3: Commercial / strategic calls for the unit</t>
        </is>
      </c>
      <c r="N19" s="34" t="inlineStr">
        <is>
          <t>L</t>
        </is>
      </c>
      <c r="O19" s="84" t="inlineStr">
        <is>
          <t>Works at B1: A domain or a small team</t>
        </is>
      </c>
      <c r="P19" s="84" t="inlineStr">
        <is>
          <t>One team or a client portfolio</t>
        </is>
      </c>
      <c r="Q19" s="84" t="inlineStr">
        <is>
          <t>Already works at B3: Several teams or a practice</t>
        </is>
      </c>
      <c r="R19" s="34" t="inlineStr">
        <is>
          <t>L</t>
        </is>
      </c>
      <c r="S19" s="56" t="inlineStr">
        <is>
          <t>Works at B1: IC: mentors and reviews · People: hands-on team lead of 3–5</t>
        </is>
      </c>
      <c r="T19" s="56" t="inlineStr">
        <is>
          <t>IC: guides others in the domain · People: manages a team of 6+</t>
        </is>
      </c>
      <c r="U19" s="56" t="inlineStr">
        <is>
          <t>Already works at B3: IC: leads a practice · People: team leads / managers report in</t>
        </is>
      </c>
      <c r="V19" s="34" t="inlineStr">
        <is>
          <t>L</t>
        </is>
      </c>
      <c r="W19" s="56" t="inlineStr">
        <is>
          <t>Works at B1: Moves a module's, product area's or client account's results</t>
        </is>
      </c>
      <c r="X19" s="56" t="inlineStr">
        <is>
          <t>Visible effect on a team's or client portfolio's revenue, quality or compliance · purpose: Leads infrastructure operations, ISO governance and IT vendors. At B2: deep domain expertise, or one team.</t>
        </is>
      </c>
      <c r="Y19" s="56" t="inlineStr">
        <is>
          <t>Already works at B3: Shapes the results of a practice or several teams</t>
        </is>
      </c>
      <c r="Z19" s="34" t="inlineStr">
        <is>
          <t>L</t>
        </is>
      </c>
      <c r="AA19" s="85" t="inlineStr">
        <is>
          <t>Less experience than the band's typical 6–9 yrs</t>
        </is>
      </c>
      <c r="AB19" s="85" t="inlineStr">
        <is>
          <t>Typical for the band: 6–9 yrs · market 6–10 yrs</t>
        </is>
      </c>
      <c r="AC19" s="85" t="inlineStr">
        <is>
          <t>More experience than the band's typical 6–9 yrs</t>
        </is>
      </c>
      <c r="AD19" s="34" t="inlineStr">
        <is>
          <t>L</t>
        </is>
      </c>
      <c r="AE19" s="85" t="inlineStr">
        <is>
          <t>Below: Graduate + relevant qualification or certification preferred</t>
        </is>
      </c>
      <c r="AF19" s="85" t="inlineStr">
        <is>
          <t>Graduate or postgraduate; professional qualification preferred</t>
        </is>
      </c>
      <c r="AG19" s="85" t="inlineStr">
        <is>
          <t>Above: Postgraduate or professional qualification preferred</t>
        </is>
      </c>
      <c r="AH19" s="44" t="inlineStr">
        <is>
          <t>51.3 · 17.3 · 9.7 · 5 · 7 · 6 · 4</t>
        </is>
      </c>
      <c r="AI19" s="38" t="inlineStr">
        <is>
          <t>6–10</t>
        </is>
      </c>
      <c r="AJ19" s="38" t="inlineStr">
        <is>
          <t>IC: none · People: 6–8 knowledge work, 8–12 standardised delivery</t>
        </is>
      </c>
      <c r="AK19" s="38" t="inlineStr">
        <is>
          <t>P4 / M3 · SFIA 4–5</t>
        </is>
      </c>
      <c r="AL19"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0" ht="120" customHeight="1">
      <c r="A20" s="90" t="inlineStr">
        <is>
          <t>B1</t>
        </is>
      </c>
      <c r="B20" s="29" t="inlineStr">
        <is>
          <t>Band B · Specialist / Manager</t>
        </is>
      </c>
      <c r="C20" s="29" t="inlineStr">
        <is>
          <t>Band B · People Manager</t>
        </is>
      </c>
      <c r="D20" s="29" t="inlineStr">
        <is>
          <t>Team Lead / Asst Manager</t>
        </is>
      </c>
      <c r="E20" s="29" t="inlineStr">
        <is>
          <t>Infrastructure &amp; Cloud Operations · IT Infrastructure Manager
Infrastructure &amp; Cloud Operations · Infrastructure Specialist · Infrastructure Specialist – POD Lead</t>
        </is>
      </c>
      <c r="F20" s="34" t="inlineStr">
        <is>
          <t>H</t>
        </is>
      </c>
      <c r="G20" s="84" t="inlineStr">
        <is>
          <t>Works at A3: Varied and non-standard work; handles exceptions</t>
        </is>
      </c>
      <c r="H20" s="84" t="inlineStr">
        <is>
          <t>Domain specialist work · in IT &amp; Infrastructure: Infra</t>
        </is>
      </c>
      <c r="I20" s="84" t="inlineStr">
        <is>
          <t>Already works at B2: Hardest problems in the domain</t>
        </is>
      </c>
      <c r="J20" s="34" t="inlineStr">
        <is>
          <t>M</t>
        </is>
      </c>
      <c r="K20" s="84" t="inlineStr">
        <is>
          <t>Works at A3: Technical / QC / client calls on own work</t>
        </is>
      </c>
      <c r="L20" s="84" t="inlineStr">
        <is>
          <t>Technical / QC / client calls for the domain</t>
        </is>
      </c>
      <c r="M20" s="84" t="inlineStr">
        <is>
          <t>Already works at B2: Allocates people and sets team priorities</t>
        </is>
      </c>
      <c r="N20" s="34" t="inlineStr">
        <is>
          <t>L</t>
        </is>
      </c>
      <c r="O20" s="84" t="inlineStr">
        <is>
          <t>Works at A3: A module / process, or work with client or regulatory consequences</t>
        </is>
      </c>
      <c r="P20" s="84" t="inlineStr">
        <is>
          <t>A domain or a small team</t>
        </is>
      </c>
      <c r="Q20" s="84" t="inlineStr">
        <is>
          <t>Already works at B2: One team or a client portfolio</t>
        </is>
      </c>
      <c r="R20" s="34" t="inlineStr">
        <is>
          <t>M</t>
        </is>
      </c>
      <c r="S20" s="56" t="inlineStr">
        <is>
          <t>Works at A3: contributes alone; guides others only informally</t>
        </is>
      </c>
      <c r="T20" s="56" t="inlineStr">
        <is>
          <t>IC: mentors and reviews · People: hands-on team lead of 3–5</t>
        </is>
      </c>
      <c r="U20" s="56" t="inlineStr">
        <is>
          <t>Already works at B2: IC: guides others in the domain · People: manages a team of 6+</t>
        </is>
      </c>
      <c r="V20" s="34" t="inlineStr">
        <is>
          <t>L</t>
        </is>
      </c>
      <c r="W20" s="56" t="inlineStr">
        <is>
          <t>Works at A3: A process or client deliverable depends on this work</t>
        </is>
      </c>
      <c r="X20" s="56" t="inlineStr">
        <is>
          <t>Moves a module's, product area's or client account's results · purpose: Runs servers, AD/DNS, network, cloud, hosting, backup and DR. At B1: a domain / module, or a small team.
Common themes in sub-family holders, all levels' …</t>
        </is>
      </c>
      <c r="Y20" s="56" t="inlineStr">
        <is>
          <t>Already works at B2: Visible effect on a team's or client portfolio's revenue, quality or compliance</t>
        </is>
      </c>
      <c r="Z20" s="34" t="inlineStr">
        <is>
          <t>L</t>
        </is>
      </c>
      <c r="AA20" s="85" t="inlineStr">
        <is>
          <t>Less experience than the band's typical 4–7 yrs</t>
        </is>
      </c>
      <c r="AB20" s="85" t="inlineStr">
        <is>
          <t>Typical for the band: 4–7 yrs · market 4–8 yrs</t>
        </is>
      </c>
      <c r="AC20" s="85" t="inlineStr">
        <is>
          <t>More experience than the band's typical 4–7 yrs</t>
        </is>
      </c>
      <c r="AD20" s="34" t="inlineStr">
        <is>
          <t>L</t>
        </is>
      </c>
      <c r="AE20" s="85" t="inlineStr">
        <is>
          <t>Below: Graduate; relevant certification preferred</t>
        </is>
      </c>
      <c r="AF20" s="85" t="inlineStr">
        <is>
          <t>Graduate + relevant qualification or certification preferred</t>
        </is>
      </c>
      <c r="AG20" s="85" t="inlineStr">
        <is>
          <t>Above: Graduate or postgraduate; professional qualification preferred</t>
        </is>
      </c>
      <c r="AH20" s="44" t="inlineStr">
        <is>
          <t>37 · 18.3 · 11.3 · 15 · 8.7 · 6 · 4</t>
        </is>
      </c>
      <c r="AI20" s="38" t="inlineStr">
        <is>
          <t>4–8</t>
        </is>
      </c>
      <c r="AJ20" s="38" t="inlineStr">
        <is>
          <t>IC: none · Team Lead: 3–5</t>
        </is>
      </c>
      <c r="AK20" s="38" t="inlineStr">
        <is>
          <t>P3 / M2 · SFIA 4 Enable</t>
        </is>
      </c>
      <c r="AL20"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1" ht="120" customHeight="1">
      <c r="A21" s="90" t="inlineStr">
        <is>
          <t>B1</t>
        </is>
      </c>
      <c r="B21" s="29" t="inlineStr">
        <is>
          <t>Band B · Specialist / Manager</t>
        </is>
      </c>
      <c r="C21" s="29" t="inlineStr">
        <is>
          <t>Band B · Specialist / POD Lead</t>
        </is>
      </c>
      <c r="D21" s="29" t="inlineStr">
        <is>
          <t>Specialist</t>
        </is>
      </c>
      <c r="E21" s="29" t="inlineStr">
        <is>
          <t>Infrastructure &amp; Cloud Operations · IT Infrastructure Manager
Infrastructure &amp; Cloud Operations · Infrastructure Specialist · Infrastructure Specialist – POD Lead</t>
        </is>
      </c>
      <c r="F21" s="34" t="inlineStr">
        <is>
          <t>H</t>
        </is>
      </c>
      <c r="G21" s="84" t="inlineStr">
        <is>
          <t>Works at A3: Varied and non-standard work; handles exceptions</t>
        </is>
      </c>
      <c r="H21" s="84" t="inlineStr">
        <is>
          <t>Domain specialist work · in IT &amp; Infrastructure: Infra</t>
        </is>
      </c>
      <c r="I21" s="84" t="inlineStr">
        <is>
          <t>Already works at B2: Hardest problems in the domain</t>
        </is>
      </c>
      <c r="J21" s="34" t="inlineStr">
        <is>
          <t>M</t>
        </is>
      </c>
      <c r="K21" s="84" t="inlineStr">
        <is>
          <t>Works at A3: Technical / QC / client calls on own work</t>
        </is>
      </c>
      <c r="L21" s="84" t="inlineStr">
        <is>
          <t>Technical / QC / client calls for the domain</t>
        </is>
      </c>
      <c r="M21" s="84" t="inlineStr">
        <is>
          <t>Already works at B2: Allocates people and sets team priorities</t>
        </is>
      </c>
      <c r="N21" s="34" t="inlineStr">
        <is>
          <t>L</t>
        </is>
      </c>
      <c r="O21" s="84" t="inlineStr">
        <is>
          <t>Works at A3: A module / process, or work with client or regulatory consequences</t>
        </is>
      </c>
      <c r="P21" s="84" t="inlineStr">
        <is>
          <t>A domain or a small team</t>
        </is>
      </c>
      <c r="Q21" s="84" t="inlineStr">
        <is>
          <t>Already works at B2: One team or a client portfolio</t>
        </is>
      </c>
      <c r="R21" s="34" t="inlineStr">
        <is>
          <t>L</t>
        </is>
      </c>
      <c r="S21" s="56" t="inlineStr">
        <is>
          <t>Works at A3: contributes alone; guides others only informally</t>
        </is>
      </c>
      <c r="T21" s="56" t="inlineStr">
        <is>
          <t>IC: mentors and reviews · People: hands-on team lead of 3–5</t>
        </is>
      </c>
      <c r="U21" s="56" t="inlineStr">
        <is>
          <t>Already works at B2: IC: guides others in the domain · People: manages a team of 6+</t>
        </is>
      </c>
      <c r="V21" s="34" t="inlineStr">
        <is>
          <t>L</t>
        </is>
      </c>
      <c r="W21" s="56" t="inlineStr">
        <is>
          <t>Works at A3: A process or client deliverable depends on this work</t>
        </is>
      </c>
      <c r="X21" s="56" t="inlineStr">
        <is>
          <t>Moves a module's, product area's or client account's results · purpose: Runs servers, AD/DNS, network, cloud, hosting, backup and DR. At B1: a domain / module, or a small team.
Common themes in sub-family holders, all levels' …</t>
        </is>
      </c>
      <c r="Y21" s="56" t="inlineStr">
        <is>
          <t>Already works at B2: Visible effect on a team's or client portfolio's revenue, quality or compliance</t>
        </is>
      </c>
      <c r="Z21" s="34" t="inlineStr">
        <is>
          <t>L</t>
        </is>
      </c>
      <c r="AA21" s="85" t="inlineStr">
        <is>
          <t>Less experience than the band's typical 4–7 yrs</t>
        </is>
      </c>
      <c r="AB21" s="85" t="inlineStr">
        <is>
          <t>Typical for the band: 4–7 yrs · market 4–8 yrs</t>
        </is>
      </c>
      <c r="AC21" s="85" t="inlineStr">
        <is>
          <t>More experience than the band's typical 4–7 yrs</t>
        </is>
      </c>
      <c r="AD21" s="34" t="inlineStr">
        <is>
          <t>L</t>
        </is>
      </c>
      <c r="AE21" s="85" t="inlineStr">
        <is>
          <t>Below: Graduate; relevant certification preferred</t>
        </is>
      </c>
      <c r="AF21" s="85" t="inlineStr">
        <is>
          <t>Graduate + relevant qualification or certification preferred</t>
        </is>
      </c>
      <c r="AG21" s="85" t="inlineStr">
        <is>
          <t>Above: Graduate or postgraduate; professional qualification preferred</t>
        </is>
      </c>
      <c r="AH21" s="44" t="inlineStr">
        <is>
          <t>51.3 · 17.3 · 9.7 · 5 · 7 · 6 · 4</t>
        </is>
      </c>
      <c r="AI21" s="38" t="inlineStr">
        <is>
          <t>4–8</t>
        </is>
      </c>
      <c r="AJ21" s="38" t="inlineStr">
        <is>
          <t>IC: none · Team Lead: 3–5</t>
        </is>
      </c>
      <c r="AK21" s="38" t="inlineStr">
        <is>
          <t>P3 / M2 · SFIA 4 Enable</t>
        </is>
      </c>
      <c r="AL21"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2" ht="120" customHeight="1">
      <c r="A22" s="91" t="inlineStr">
        <is>
          <t>A3</t>
        </is>
      </c>
      <c r="B22" s="29" t="inlineStr">
        <is>
          <t>Band A · Practitioner</t>
        </is>
      </c>
      <c r="C22" s="29" t="inlineStr">
        <is>
          <t>Band A · all tracks</t>
        </is>
      </c>
      <c r="D22" s="29" t="inlineStr">
        <is>
          <t>Senior Associate</t>
        </is>
      </c>
      <c r="E22" s="29" t="inlineStr">
        <is>
          <t>End-User Support · Senior Desktop Support Engineer
Infrastructure &amp; Cloud Operations · Senior System Administrator · Infrastructure Specialist</t>
        </is>
      </c>
      <c r="F22" s="34" t="inlineStr">
        <is>
          <t>H</t>
        </is>
      </c>
      <c r="G22" s="84" t="inlineStr">
        <is>
          <t>Works at A2: Standard work of the discipline</t>
        </is>
      </c>
      <c r="H22" s="84" t="inlineStr">
        <is>
          <t>Varied and non-standard work; handles exceptions · in IT &amp; Infrastructure: Infra</t>
        </is>
      </c>
      <c r="I22" s="84" t="inlineStr">
        <is>
          <t>Already works at B1: Domain specialist work</t>
        </is>
      </c>
      <c r="J22" s="34" t="inlineStr">
        <is>
          <t>M</t>
        </is>
      </c>
      <c r="K22" s="84" t="inlineStr">
        <is>
          <t>Works at A2: Chooses own approach within standards</t>
        </is>
      </c>
      <c r="L22" s="84" t="inlineStr">
        <is>
          <t>Technical / QC / client calls on own work</t>
        </is>
      </c>
      <c r="M22" s="84" t="inlineStr">
        <is>
          <t>Already works at B1: Technical / QC / client calls for the domain</t>
        </is>
      </c>
      <c r="N22" s="34" t="inlineStr">
        <is>
          <t>L</t>
        </is>
      </c>
      <c r="O22" s="84" t="inlineStr">
        <is>
          <t>Works at A2: Own deliverables · accuracy, TAT</t>
        </is>
      </c>
      <c r="P22" s="84" t="inlineStr">
        <is>
          <t>A module / process, or work with client or regulatory consequences</t>
        </is>
      </c>
      <c r="Q22" s="84" t="inlineStr">
        <is>
          <t>Already works at B1: A domain or a small team</t>
        </is>
      </c>
      <c r="R22" s="34" t="inlineStr">
        <is>
          <t>L</t>
        </is>
      </c>
      <c r="S22" s="56" t="inlineStr">
        <is>
          <t>Works at A2: contributes alone; guides others only informally</t>
        </is>
      </c>
      <c r="T22" s="56" t="inlineStr">
        <is>
          <t>Helps peers and newer people informally · None · guides 1–3 juniors informally</t>
        </is>
      </c>
      <c r="U22" s="56" t="inlineStr">
        <is>
          <t>Already works at B1: IC: mentors and reviews · People: hands-on team lead of 3–5</t>
        </is>
      </c>
      <c r="V22" s="34" t="inlineStr">
        <is>
          <t>L</t>
        </is>
      </c>
      <c r="W22" s="56" t="inlineStr">
        <is>
          <t>Works at A2: Own deliverables feed a team's output and turnaround</t>
        </is>
      </c>
      <c r="X22" s="56" t="inlineStr">
        <is>
          <t>A process or client deliverable depends on this work · purpose: At A3: varied work; reviews juniors; go-to for a process.</t>
        </is>
      </c>
      <c r="Y22" s="56" t="inlineStr">
        <is>
          <t>Already works at B1: Moves a module's, product area's or client account's results</t>
        </is>
      </c>
      <c r="Z22" s="34" t="inlineStr">
        <is>
          <t>L</t>
        </is>
      </c>
      <c r="AA22" s="85" t="inlineStr">
        <is>
          <t>Less experience than the band's typical 2–4 yrs</t>
        </is>
      </c>
      <c r="AB22" s="85" t="inlineStr">
        <is>
          <t>Typical for the band: 2–4 yrs · market 2–5 yrs</t>
        </is>
      </c>
      <c r="AC22" s="85" t="inlineStr">
        <is>
          <t>More experience than the band's typical 2–4 yrs</t>
        </is>
      </c>
      <c r="AD22" s="34" t="inlineStr">
        <is>
          <t>L</t>
        </is>
      </c>
      <c r="AE22" s="85" t="inlineStr">
        <is>
          <t>Below: Graduate · or diploma with experience</t>
        </is>
      </c>
      <c r="AF22" s="85" t="inlineStr">
        <is>
          <t>Graduate; relevant certification preferred</t>
        </is>
      </c>
      <c r="AG22" s="85" t="inlineStr">
        <is>
          <t>Above: Graduate + relevant qualification or certification preferred</t>
        </is>
      </c>
      <c r="AH22" s="44" t="inlineStr">
        <is>
          <t>58.3 · 16 · 9 · 0 · 6.3 · 6 · 4</t>
        </is>
      </c>
      <c r="AI22" s="38" t="inlineStr">
        <is>
          <t>2–5</t>
        </is>
      </c>
      <c r="AJ22" s="38" t="inlineStr">
        <is>
          <t>None · guides 1–3 juniors informally</t>
        </is>
      </c>
      <c r="AK22" s="38" t="inlineStr">
        <is>
          <t>P2 · SFIA 3 Apply</t>
        </is>
      </c>
      <c r="AL22"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3" ht="120" customHeight="1">
      <c r="A23" s="91" t="inlineStr">
        <is>
          <t>A2</t>
        </is>
      </c>
      <c r="B23" s="29" t="inlineStr">
        <is>
          <t>Band A · Practitioner</t>
        </is>
      </c>
      <c r="C23" s="29" t="inlineStr">
        <is>
          <t>Band A · all tracks</t>
        </is>
      </c>
      <c r="D23" s="29" t="inlineStr">
        <is>
          <t>Associate</t>
        </is>
      </c>
      <c r="E23" s="29" t="inlineStr">
        <is>
          <t>— no role at this level today</t>
        </is>
      </c>
      <c r="F23" s="34" t="inlineStr">
        <is>
          <t>H</t>
        </is>
      </c>
      <c r="G23" s="84" t="inlineStr">
        <is>
          <t>Works at A1: Learning; follows worked examples</t>
        </is>
      </c>
      <c r="H23" s="84" t="inlineStr">
        <is>
          <t>Standard work of the discipline</t>
        </is>
      </c>
      <c r="I23" s="84" t="inlineStr">
        <is>
          <t>Already works at A3: Varied and non-standard work; handles exceptions</t>
        </is>
      </c>
      <c r="J23" s="34" t="inlineStr">
        <is>
          <t>M</t>
        </is>
      </c>
      <c r="K23" s="84" t="inlineStr">
        <is>
          <t>Works at A1: Needs approval / close guidance</t>
        </is>
      </c>
      <c r="L23" s="84" t="inlineStr">
        <is>
          <t>Chooses own approach within standards</t>
        </is>
      </c>
      <c r="M23" s="84" t="inlineStr">
        <is>
          <t>Already works at A3: Technical / QC / client calls on own work</t>
        </is>
      </c>
      <c r="N23" s="34" t="inlineStr">
        <is>
          <t>L</t>
        </is>
      </c>
      <c r="O23" s="84" t="inlineStr">
        <is>
          <t>Works at A1: Learning tasks</t>
        </is>
      </c>
      <c r="P23" s="84" t="inlineStr">
        <is>
          <t>Own deliverables · accuracy, TAT</t>
        </is>
      </c>
      <c r="Q23" s="84" t="inlineStr">
        <is>
          <t>Already works at A3: A module / process, or work with client or regulatory consequences</t>
        </is>
      </c>
      <c r="R23" s="34" t="inlineStr">
        <is>
          <t>L</t>
        </is>
      </c>
      <c r="S23" s="56" t="inlineStr">
        <is>
          <t>Works at A1: contributes alone; guides others only informally</t>
        </is>
      </c>
      <c r="T23" s="56" t="inlineStr">
        <is>
          <t>Helps peers and newer people informally · No direct reports</t>
        </is>
      </c>
      <c r="U23" s="56" t="inlineStr">
        <is>
          <t>Already works at A3: Not scored in Band A</t>
        </is>
      </c>
      <c r="V23" s="34" t="inlineStr">
        <is>
          <t>L</t>
        </is>
      </c>
      <c r="W23" s="56" t="inlineStr">
        <is>
          <t>Works at A1: Learning; little direct effect on business results yet</t>
        </is>
      </c>
      <c r="X23" s="56" t="inlineStr">
        <is>
          <t>Own deliverables feed a team's output and turnaround</t>
        </is>
      </c>
      <c r="Y23" s="56" t="inlineStr">
        <is>
          <t>Already works at A3: A process or client deliverable depends on this work</t>
        </is>
      </c>
      <c r="Z23" s="34" t="inlineStr">
        <is>
          <t>L</t>
        </is>
      </c>
      <c r="AA23" s="85" t="inlineStr">
        <is>
          <t>Less experience than the band's typical 0–2 yrs</t>
        </is>
      </c>
      <c r="AB23" s="85" t="inlineStr">
        <is>
          <t>Typical for the band: 0–2 yrs · market 0–3 yrs</t>
        </is>
      </c>
      <c r="AC23" s="85" t="inlineStr">
        <is>
          <t>More experience than the band's typical 0–2 yrs</t>
        </is>
      </c>
      <c r="AD23" s="34" t="inlineStr">
        <is>
          <t>L</t>
        </is>
      </c>
      <c r="AE23" s="85" t="inlineStr">
        <is>
          <t>Below: Pursuing or completed graduation / diploma</t>
        </is>
      </c>
      <c r="AF23" s="85" t="inlineStr">
        <is>
          <t>Graduate · or diploma with experience</t>
        </is>
      </c>
      <c r="AG23" s="85" t="inlineStr">
        <is>
          <t>Above: Graduate; relevant certification preferred</t>
        </is>
      </c>
      <c r="AH23" s="44" t="inlineStr">
        <is>
          <t>58.3 · 16 · 9 · 0 · 6.3 · 6 · 4</t>
        </is>
      </c>
      <c r="AI23" s="38" t="inlineStr">
        <is>
          <t>0–3</t>
        </is>
      </c>
      <c r="AJ23" s="38" t="inlineStr">
        <is>
          <t>No direct reports</t>
        </is>
      </c>
      <c r="AK23" s="38" t="inlineStr">
        <is>
          <t>P1–P2 · SFIA 2 Assist</t>
        </is>
      </c>
      <c r="AL23"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4" ht="120" customHeight="1">
      <c r="A24" s="91" t="inlineStr">
        <is>
          <t>A1</t>
        </is>
      </c>
      <c r="B24" s="29" t="inlineStr">
        <is>
          <t>Band A · Practitioner</t>
        </is>
      </c>
      <c r="C24" s="29" t="inlineStr">
        <is>
          <t>Band A · all tracks</t>
        </is>
      </c>
      <c r="D24" s="29" t="inlineStr">
        <is>
          <t>Intern / Trainee</t>
        </is>
      </c>
      <c r="E24" s="29" t="inlineStr">
        <is>
          <t>— no role at this level today</t>
        </is>
      </c>
      <c r="F24" s="34" t="inlineStr">
        <is>
          <t>H</t>
        </is>
      </c>
      <c r="G24" s="84" t="inlineStr">
        <is>
          <t>Not yet at the entry standard · in induction</t>
        </is>
      </c>
      <c r="H24" s="84" t="inlineStr">
        <is>
          <t>Learning; follows worked examples</t>
        </is>
      </c>
      <c r="I24" s="84" t="inlineStr">
        <is>
          <t>Already works at A2: Standard work of the discipline</t>
        </is>
      </c>
      <c r="J24" s="34" t="inlineStr">
        <is>
          <t>M</t>
        </is>
      </c>
      <c r="K24" s="84" t="inlineStr">
        <is>
          <t>Not yet at the entry standard · in induction</t>
        </is>
      </c>
      <c r="L24" s="84" t="inlineStr">
        <is>
          <t>Needs approval / close guidance</t>
        </is>
      </c>
      <c r="M24" s="84" t="inlineStr">
        <is>
          <t>Already works at A2: Chooses own approach within standards</t>
        </is>
      </c>
      <c r="N24" s="34" t="inlineStr">
        <is>
          <t>L</t>
        </is>
      </c>
      <c r="O24" s="84" t="inlineStr">
        <is>
          <t>Not yet at the entry standard · in induction</t>
        </is>
      </c>
      <c r="P24" s="84" t="inlineStr">
        <is>
          <t>Learning tasks</t>
        </is>
      </c>
      <c r="Q24" s="84" t="inlineStr">
        <is>
          <t>Already works at A2: Own deliverables · accuracy, TAT</t>
        </is>
      </c>
      <c r="R24" s="34" t="inlineStr">
        <is>
          <t>L</t>
        </is>
      </c>
      <c r="S24" s="56" t="inlineStr">
        <is>
          <t>Not yet at the entry standard · in induction</t>
        </is>
      </c>
      <c r="T24" s="56" t="inlineStr">
        <is>
          <t>Helps peers and newer people informally · No direct reports</t>
        </is>
      </c>
      <c r="U24" s="56" t="inlineStr">
        <is>
          <t>Already works at A2: Not scored in Band A</t>
        </is>
      </c>
      <c r="V24" s="34" t="inlineStr">
        <is>
          <t>L</t>
        </is>
      </c>
      <c r="W24" s="56" t="inlineStr">
        <is>
          <t>Not yet at the entry standard · in induction</t>
        </is>
      </c>
      <c r="X24" s="56" t="inlineStr">
        <is>
          <t>Learning; little direct effect on business results yet</t>
        </is>
      </c>
      <c r="Y24" s="56" t="inlineStr">
        <is>
          <t>Already works at A2: Own deliverables feed a team's output and turnaround</t>
        </is>
      </c>
      <c r="Z24" s="34" t="inlineStr">
        <is>
          <t>L</t>
        </is>
      </c>
      <c r="AA24" s="85" t="inlineStr">
        <is>
          <t>Less experience than the band's typical 0 yrs · fresher / intern</t>
        </is>
      </c>
      <c r="AB24" s="85" t="inlineStr">
        <is>
          <t>Typical for the band: 0 yrs · fresher / intern · market — yrs</t>
        </is>
      </c>
      <c r="AC24" s="85" t="inlineStr">
        <is>
          <t>More experience than the band's typical 0 yrs · fresher / intern</t>
        </is>
      </c>
      <c r="AD24" s="34" t="inlineStr">
        <is>
          <t>L</t>
        </is>
      </c>
      <c r="AE24" s="85" t="inlineStr">
        <is>
          <t>Below graduation · still studying</t>
        </is>
      </c>
      <c r="AF24" s="85" t="inlineStr">
        <is>
          <t>Pursuing or completed graduation / diploma</t>
        </is>
      </c>
      <c r="AG24" s="85" t="inlineStr">
        <is>
          <t>Above: Graduate · or diploma with experience</t>
        </is>
      </c>
      <c r="AH24" s="44" t="inlineStr">
        <is>
          <t>58.3 · 16 · 9 · 0 · 6.3 · 6 · 4</t>
        </is>
      </c>
      <c r="AI24" s="38" t="inlineStr">
        <is>
          <t>0 yrs · fresher / intern</t>
        </is>
      </c>
      <c r="AJ24" s="38" t="inlineStr">
        <is>
          <t>No direct reports</t>
        </is>
      </c>
      <c r="AK24" s="38" t="inlineStr">
        <is>
          <t>Entry / P1 · intern · SFIA 1 Follow</t>
        </is>
      </c>
      <c r="AL24"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sheetData>
  <autoFilter ref="A5:AL24"/>
  <mergeCells count="1">
    <mergeCell ref="A2:N2"/>
  </mergeCells>
  <dataValidations count="1">
    <dataValidation sqref="F6 F7 F8 F9 F10 F11 F12 F13 F14 F15 F16 F17 F18 F19 F20 F21 F22 F23 F24 J6 J7 J8 J9 J10 J11 J12 J13 J14 J15 J16 J17 J18 J19 J20 J21 J22 J23 J24 N6 N7 N8 N9 N10 N11 N12 N13 N14 N15 N16 N17 N18 N19 N20 N21 N22 N23 N24 R6 R7 R8 R9 R10 R11 R12 R13 R14 R15 R16 R17 R18 R19 R20 R21 R22 R23 R24 V6 V7 V8 V9 V10 V11 V12 V13 V14 V15 V16 V17 V18 V19 V20 V21 V22 V23 V24 Z6 Z7 Z8 Z9 Z10 Z11 Z12 Z13 Z14 Z15 Z16 Z17 Z18 Z19 Z20 Z21 Z22 Z23 Z24 AD6 AD7 AD8 AD9 AD10 AD11 AD12 AD13 AD14 AD15 AD16 AD17 AD18 AD19 AD20 AD21 AD22 AD23 AD24" showDropDown="0" showInputMessage="0" showErrorMessage="0" allowBlank="1" type="list">
      <formula1>LIST_LMH</formula1>
    </dataValidation>
  </dataValidations>
  <hyperlinks>
    <hyperlink xmlns:r="http://schemas.openxmlformats.org/officeDocument/2006/relationships" ref="O1" r:id="rId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L24"/>
  <sheetViews>
    <sheetView zoomScale="85" workbookViewId="0">
      <pane xSplit="5" ySplit="5" topLeftCell="F6" activePane="bottomRight" state="frozen"/>
      <selection pane="topRight"/>
      <selection pane="bottomLeft"/>
      <selection pane="bottomRight" activeCell="A1" sqref="A1"/>
    </sheetView>
  </sheetViews>
  <sheetFormatPr baseColWidth="8" defaultRowHeight="15"/>
  <cols>
    <col width="7" customWidth="1" min="1" max="1"/>
    <col width="16" customWidth="1" min="2" max="2"/>
    <col width="18" customWidth="1" min="3" max="3"/>
    <col width="20" customWidth="1" min="4" max="4"/>
    <col width="34" customWidth="1" min="5" max="5"/>
    <col width="9" customWidth="1" min="6" max="6"/>
    <col width="30" customWidth="1" min="7" max="7"/>
    <col width="34" customWidth="1" min="8" max="8"/>
    <col width="30" customWidth="1" min="9" max="9"/>
    <col width="9" customWidth="1" min="10" max="10"/>
    <col width="30" customWidth="1" min="11" max="11"/>
    <col width="34" customWidth="1" min="12" max="12"/>
    <col width="30" customWidth="1" min="13" max="13"/>
    <col width="9" customWidth="1" min="14" max="14"/>
    <col width="30" customWidth="1" min="15" max="15"/>
    <col width="34" customWidth="1" min="16" max="16"/>
    <col width="30" customWidth="1" min="17" max="17"/>
    <col width="9" customWidth="1" min="18" max="18"/>
    <col width="30" customWidth="1" min="19" max="19"/>
    <col width="34" customWidth="1" min="20" max="20"/>
    <col width="30" customWidth="1" min="21" max="21"/>
    <col width="9" customWidth="1" min="22" max="22"/>
    <col width="30" customWidth="1" min="23" max="23"/>
    <col width="34" customWidth="1" min="24" max="24"/>
    <col width="30" customWidth="1" min="25" max="25"/>
    <col width="9" customWidth="1" min="26" max="26"/>
    <col width="30" customWidth="1" min="27" max="27"/>
    <col width="34" customWidth="1" min="28" max="28"/>
    <col width="30" customWidth="1" min="29" max="29"/>
    <col width="9" customWidth="1" min="30" max="30"/>
    <col width="30" customWidth="1" min="31" max="31"/>
    <col width="34" customWidth="1" min="32" max="32"/>
    <col width="30" customWidth="1" min="33" max="33"/>
    <col width="26" customWidth="1" min="34" max="34"/>
    <col width="16" customWidth="1" min="35" max="35"/>
    <col width="22" customWidth="1" min="36" max="36"/>
    <col width="18" customWidth="1" min="37" max="37"/>
    <col width="40" customWidth="1" min="38" max="38"/>
  </cols>
  <sheetData>
    <row r="1" ht="24" customHeight="1">
      <c r="A1" s="1" t="inlineStr">
        <is>
          <t>Role &amp; band matrix — Marketing &amp; Communications</t>
        </is>
      </c>
      <c r="O1" s="7" t="inlineStr">
        <is>
          <t>◂ Start</t>
        </is>
      </c>
    </row>
    <row r="2" ht="30" customHeight="1">
      <c r="A2" s="2" t="inlineStr">
        <is>
          <t>What Low, Medium and High mean for each of the seven parameters at every level of Marketing &amp; Communications, and how much each parameter counts · main type of work: Sales &amp; marketing. Medium is the band as described; Low is the level below; High is the level above. Change a yellow weightage and every role, department ladder and person in this family recalculates.</t>
        </is>
      </c>
    </row>
    <row r="3">
      <c r="A3" s="3" t="inlineStr">
        <is>
          <t>IRIS · Job Architecture &amp; Job Design · Final v1.15 · October 2026 · Internal — Confidential · HR only</t>
        </is>
      </c>
    </row>
    <row r="4" ht="30" customHeight="1">
      <c r="A4" s="6" t="inlineStr">
        <is>
          <t>LEVEL</t>
        </is>
      </c>
      <c r="B4" s="6" t="n"/>
      <c r="C4" s="6" t="n"/>
      <c r="D4" s="6" t="n"/>
      <c r="E4" s="6" t="n"/>
      <c r="F4" s="45" t="inlineStr">
        <is>
          <t>COMPLEXITY &amp; EXPERTISE</t>
        </is>
      </c>
      <c r="G4" s="45" t="n"/>
      <c r="H4" s="45" t="n"/>
      <c r="I4" s="45" t="n"/>
      <c r="J4" s="45" t="inlineStr">
        <is>
          <t>AUTONOMY &amp; DECISION</t>
        </is>
      </c>
      <c r="K4" s="45" t="n"/>
      <c r="L4" s="45" t="n"/>
      <c r="M4" s="45" t="n"/>
      <c r="N4" s="45" t="inlineStr">
        <is>
          <t>ACCOUNTABILITY &amp; IMPACT</t>
        </is>
      </c>
      <c r="O4" s="45" t="n"/>
      <c r="P4" s="45" t="n"/>
      <c r="Q4" s="45" t="n"/>
      <c r="R4" s="47" t="inlineStr">
        <is>
          <t>LEADERSHIP &amp; STRATEGY</t>
        </is>
      </c>
      <c r="S4" s="47" t="n"/>
      <c r="T4" s="47" t="n"/>
      <c r="U4" s="47" t="n"/>
      <c r="V4" s="47" t="inlineStr">
        <is>
          <t>BUSINESS IMPACT</t>
        </is>
      </c>
      <c r="W4" s="47" t="n"/>
      <c r="X4" s="47" t="n"/>
      <c r="Y4" s="47" t="n"/>
      <c r="Z4" s="81" t="inlineStr">
        <is>
          <t>EXPERIENCE</t>
        </is>
      </c>
      <c r="AA4" s="81" t="n"/>
      <c r="AB4" s="81" t="n"/>
      <c r="AC4" s="81" t="n"/>
      <c r="AD4" s="81" t="inlineStr">
        <is>
          <t>EDUCATION</t>
        </is>
      </c>
      <c r="AE4" s="81" t="n"/>
      <c r="AF4" s="81" t="n"/>
      <c r="AG4" s="81" t="n"/>
      <c r="AH4" s="20" t="inlineStr">
        <is>
          <t>MARKET BENCHMARK &amp; REFERENCES</t>
        </is>
      </c>
      <c r="AI4" s="20" t="n"/>
      <c r="AJ4" s="20" t="n"/>
      <c r="AK4" s="20" t="n"/>
      <c r="AL4" s="20" t="n"/>
    </row>
    <row r="5" ht="60" customHeight="1">
      <c r="A5" s="22" t="inlineStr">
        <is>
          <t>Level</t>
        </is>
      </c>
      <c r="B5" s="22" t="inlineStr">
        <is>
          <t>Band</t>
        </is>
      </c>
      <c r="C5" s="22" t="inlineStr">
        <is>
          <t>Role group</t>
        </is>
      </c>
      <c r="D5" s="22" t="inlineStr">
        <is>
          <t>Level title</t>
        </is>
      </c>
      <c r="E5" s="22" t="inlineStr">
        <is>
          <t>Roles at this level in this family</t>
        </is>
      </c>
      <c r="F5" s="48" t="inlineStr">
        <is>
          <t>Weightage · L/M/H</t>
        </is>
      </c>
      <c r="G5" s="48" t="inlineStr">
        <is>
          <t>Low</t>
        </is>
      </c>
      <c r="H5" s="48" t="inlineStr">
        <is>
          <t>Medium</t>
        </is>
      </c>
      <c r="I5" s="48" t="inlineStr">
        <is>
          <t>High</t>
        </is>
      </c>
      <c r="J5" s="48" t="inlineStr">
        <is>
          <t>Weightage · L/M/H</t>
        </is>
      </c>
      <c r="K5" s="48" t="inlineStr">
        <is>
          <t>Low</t>
        </is>
      </c>
      <c r="L5" s="48" t="inlineStr">
        <is>
          <t>Medium</t>
        </is>
      </c>
      <c r="M5" s="48" t="inlineStr">
        <is>
          <t>High</t>
        </is>
      </c>
      <c r="N5" s="48" t="inlineStr">
        <is>
          <t>Weightage · L/M/H</t>
        </is>
      </c>
      <c r="O5" s="48" t="inlineStr">
        <is>
          <t>Low</t>
        </is>
      </c>
      <c r="P5" s="48" t="inlineStr">
        <is>
          <t>Medium</t>
        </is>
      </c>
      <c r="Q5" s="48" t="inlineStr">
        <is>
          <t>High</t>
        </is>
      </c>
      <c r="R5" s="50" t="inlineStr">
        <is>
          <t>Weightage · L/M/H</t>
        </is>
      </c>
      <c r="S5" s="50" t="inlineStr">
        <is>
          <t>Low</t>
        </is>
      </c>
      <c r="T5" s="50" t="inlineStr">
        <is>
          <t>Medium</t>
        </is>
      </c>
      <c r="U5" s="50" t="inlineStr">
        <is>
          <t>High</t>
        </is>
      </c>
      <c r="V5" s="50" t="inlineStr">
        <is>
          <t>Weightage · L/M/H</t>
        </is>
      </c>
      <c r="W5" s="50" t="inlineStr">
        <is>
          <t>Low</t>
        </is>
      </c>
      <c r="X5" s="50" t="inlineStr">
        <is>
          <t>Medium</t>
        </is>
      </c>
      <c r="Y5" s="50" t="inlineStr">
        <is>
          <t>High</t>
        </is>
      </c>
      <c r="Z5" s="82" t="inlineStr">
        <is>
          <t>Weightage · L/M/H</t>
        </is>
      </c>
      <c r="AA5" s="82" t="inlineStr">
        <is>
          <t>Low</t>
        </is>
      </c>
      <c r="AB5" s="82" t="inlineStr">
        <is>
          <t>Medium</t>
        </is>
      </c>
      <c r="AC5" s="82" t="inlineStr">
        <is>
          <t>High</t>
        </is>
      </c>
      <c r="AD5" s="82" t="inlineStr">
        <is>
          <t>Weightage · L/M/H</t>
        </is>
      </c>
      <c r="AE5" s="82" t="inlineStr">
        <is>
          <t>Low</t>
        </is>
      </c>
      <c r="AF5" s="82" t="inlineStr">
        <is>
          <t>Medium</t>
        </is>
      </c>
      <c r="AG5" s="82" t="inlineStr">
        <is>
          <t>High</t>
        </is>
      </c>
      <c r="AH5" s="26" t="inlineStr">
        <is>
          <t>Market weight % · C · Au · Ac · L · BI · Exp · Edu</t>
        </is>
      </c>
      <c r="AI5" s="26" t="inlineStr">
        <is>
          <t>Market experience · yrs</t>
        </is>
      </c>
      <c r="AJ5" s="26" t="inlineStr">
        <is>
          <t>Span norm</t>
        </is>
      </c>
      <c r="AK5" s="26" t="inlineStr">
        <is>
          <t>Radford / Mercer · SFIA 9</t>
        </is>
      </c>
      <c r="AL5" s="26" t="inlineStr">
        <is>
          <t>References</t>
        </is>
      </c>
    </row>
    <row r="6" ht="120" customHeight="1">
      <c r="A6" s="83" t="inlineStr">
        <is>
          <t>E2</t>
        </is>
      </c>
      <c r="B6" s="29" t="inlineStr">
        <is>
          <t>Band E · Enterprise leadership</t>
        </is>
      </c>
      <c r="C6" s="29" t="inlineStr">
        <is>
          <t>Bands D–E · Leadership</t>
        </is>
      </c>
      <c r="D6" s="29" t="inlineStr">
        <is>
          <t>Chief Executive Officer</t>
        </is>
      </c>
      <c r="E6" s="29" t="inlineStr">
        <is>
          <t>— no role at this level today</t>
        </is>
      </c>
      <c r="F6" s="34" t="inlineStr">
        <is>
          <t>H</t>
        </is>
      </c>
      <c r="G6" s="84" t="inlineStr">
        <is>
          <t>Works at E1: Enterprise-level functional strategy</t>
        </is>
      </c>
      <c r="H6" s="84" t="inlineStr">
        <is>
          <t>Enterprise-wide uncertainty, transformation and external forces</t>
        </is>
      </c>
      <c r="I6" s="84" t="inlineStr">
        <is>
          <t>Beyond the role · a board-level mandate</t>
        </is>
      </c>
      <c r="J6" s="34" t="inlineStr">
        <is>
          <t>M</t>
        </is>
      </c>
      <c r="K6" s="84" t="inlineStr">
        <is>
          <t>Works at E1: Sets enterprise priorities for the function</t>
        </is>
      </c>
      <c r="L6" s="84" t="inlineStr">
        <is>
          <t>Accountable to the board</t>
        </is>
      </c>
      <c r="M6" s="84" t="inlineStr">
        <is>
          <t>Beyond the role · a board-level mandate</t>
        </is>
      </c>
      <c r="N6" s="34" t="inlineStr">
        <is>
          <t>M</t>
        </is>
      </c>
      <c r="O6" s="84" t="inlineStr">
        <is>
          <t>Works at E1: Enterprise-wide functional results</t>
        </is>
      </c>
      <c r="P6" s="84" t="inlineStr">
        <is>
          <t>Enterprise results, risk, culture and long-term viability</t>
        </is>
      </c>
      <c r="Q6" s="84" t="inlineStr">
        <is>
          <t>Beyond the role · a board-level mandate</t>
        </is>
      </c>
      <c r="R6" s="34" t="inlineStr">
        <is>
          <t>M</t>
        </is>
      </c>
      <c r="S6" s="56" t="inlineStr">
        <is>
          <t>Works at E1: Shapes enterprise strategy</t>
        </is>
      </c>
      <c r="T6" s="56" t="inlineStr">
        <is>
          <t>Sets enterprise strategy; leads the executive team</t>
        </is>
      </c>
      <c r="U6" s="56" t="inlineStr">
        <is>
          <t>Beyond the role · a board-level mandate</t>
        </is>
      </c>
      <c r="V6" s="34" t="inlineStr">
        <is>
          <t>L</t>
        </is>
      </c>
      <c r="W6" s="56" t="inlineStr">
        <is>
          <t>Works at E1: Shapes company-wide results through a function</t>
        </is>
      </c>
      <c r="X6" s="56" t="inlineStr">
        <is>
          <t>Answers for the whole company's results and long-term value</t>
        </is>
      </c>
      <c r="Y6" s="56" t="inlineStr">
        <is>
          <t>Beyond the role · a board-level mandate</t>
        </is>
      </c>
      <c r="Z6" s="34" t="inlineStr">
        <is>
          <t>L</t>
        </is>
      </c>
      <c r="AA6" s="85" t="inlineStr">
        <is>
          <t>Less experience than the band's typical 20+ yrs</t>
        </is>
      </c>
      <c r="AB6" s="85" t="inlineStr">
        <is>
          <t>Typical for the band: 20+ yrs · market — yrs</t>
        </is>
      </c>
      <c r="AC6" s="85" t="inlineStr">
        <is>
          <t>More experience than the band's typical 20+ yrs</t>
        </is>
      </c>
      <c r="AD6" s="34" t="inlineStr">
        <is>
          <t>L</t>
        </is>
      </c>
      <c r="AE6" s="85" t="inlineStr">
        <is>
          <t>Below: Postgraduate / professional qualification; business leadership record</t>
        </is>
      </c>
      <c r="AF6" s="85" t="inlineStr">
        <is>
          <t>Postgraduate / professional qualification; proven business leadership</t>
        </is>
      </c>
      <c r="AG6" s="85" t="inlineStr">
        <is>
          <t>Board-level credentials beyond the role's need</t>
        </is>
      </c>
      <c r="AH6" s="44" t="inlineStr">
        <is>
          <t>36.3 · 19 · 11.3 · 20 · 8.7 · 4 · 1</t>
        </is>
      </c>
      <c r="AI6" s="38" t="inlineStr">
        <is>
          <t>20+ yrs</t>
        </is>
      </c>
      <c r="AJ6" s="38" t="inlineStr">
        <is>
          <t>Executive team</t>
        </is>
      </c>
      <c r="AK6" s="38" t="inlineStr">
        <is>
          <t>E6 · SFIA 7</t>
        </is>
      </c>
      <c r="AL6"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7" ht="120" customHeight="1">
      <c r="A7" s="83" t="inlineStr">
        <is>
          <t>E1</t>
        </is>
      </c>
      <c r="B7" s="29" t="inlineStr">
        <is>
          <t>Band E · Enterprise leadership</t>
        </is>
      </c>
      <c r="C7" s="29" t="inlineStr">
        <is>
          <t>Bands D–E · Leadership</t>
        </is>
      </c>
      <c r="D7" s="29" t="inlineStr">
        <is>
          <t>CXO / President</t>
        </is>
      </c>
      <c r="E7" s="29" t="inlineStr">
        <is>
          <t>— no role at this level today</t>
        </is>
      </c>
      <c r="F7" s="34" t="inlineStr">
        <is>
          <t>H</t>
        </is>
      </c>
      <c r="G7" s="84" t="inlineStr">
        <is>
          <t>Works at D2: Portfolio-level strategic, financial and regulatory trade-offs</t>
        </is>
      </c>
      <c r="H7" s="84" t="inlineStr">
        <is>
          <t>Enterprise-level functional strategy</t>
        </is>
      </c>
      <c r="I7" s="84" t="inlineStr">
        <is>
          <t>Already works at E2: Enterprise-wide uncertainty, transformation and external forces</t>
        </is>
      </c>
      <c r="J7" s="34" t="inlineStr">
        <is>
          <t>M</t>
        </is>
      </c>
      <c r="K7" s="84" t="inlineStr">
        <is>
          <t>Works at D2: Sets direction across business lines</t>
        </is>
      </c>
      <c r="L7" s="84" t="inlineStr">
        <is>
          <t>Sets enterprise priorities for the function</t>
        </is>
      </c>
      <c r="M7" s="84" t="inlineStr">
        <is>
          <t>Already works at E2: Accountable to the board</t>
        </is>
      </c>
      <c r="N7" s="34" t="inlineStr">
        <is>
          <t>M</t>
        </is>
      </c>
      <c r="O7" s="84" t="inlineStr">
        <is>
          <t>Works at D2: Multi-business results</t>
        </is>
      </c>
      <c r="P7" s="84" t="inlineStr">
        <is>
          <t>Enterprise-wide functional results</t>
        </is>
      </c>
      <c r="Q7" s="84" t="inlineStr">
        <is>
          <t>Already works at E2: Enterprise results, risk, culture and long-term viability</t>
        </is>
      </c>
      <c r="R7" s="34" t="inlineStr">
        <is>
          <t>M</t>
        </is>
      </c>
      <c r="S7" s="56" t="inlineStr">
        <is>
          <t>Works at D2: Builds the leadership team across businesses</t>
        </is>
      </c>
      <c r="T7" s="56" t="inlineStr">
        <is>
          <t>Shapes enterprise strategy</t>
        </is>
      </c>
      <c r="U7" s="56" t="inlineStr">
        <is>
          <t>Already works at E2: Sets enterprise strategy; leads the executive team</t>
        </is>
      </c>
      <c r="V7" s="34" t="inlineStr">
        <is>
          <t>L</t>
        </is>
      </c>
      <c r="W7" s="56" t="inlineStr">
        <is>
          <t>Works at D2: Owns the results of several business lines</t>
        </is>
      </c>
      <c r="X7" s="56" t="inlineStr">
        <is>
          <t>Shapes company-wide results through a function</t>
        </is>
      </c>
      <c r="Y7" s="56" t="inlineStr">
        <is>
          <t>Already works at E2: Answers for the whole company's results and long-term value</t>
        </is>
      </c>
      <c r="Z7" s="34" t="inlineStr">
        <is>
          <t>L</t>
        </is>
      </c>
      <c r="AA7" s="85" t="inlineStr">
        <is>
          <t>Less experience than the band's typical 20+ yrs</t>
        </is>
      </c>
      <c r="AB7" s="85" t="inlineStr">
        <is>
          <t>Typical for the band: 20+ yrs · market — yrs</t>
        </is>
      </c>
      <c r="AC7" s="85" t="inlineStr">
        <is>
          <t>More experience than the band's typical 20+ yrs</t>
        </is>
      </c>
      <c r="AD7" s="34" t="inlineStr">
        <is>
          <t>L</t>
        </is>
      </c>
      <c r="AE7" s="85" t="inlineStr">
        <is>
          <t>Below: Postgraduate / professional qualification preferred</t>
        </is>
      </c>
      <c r="AF7" s="85" t="inlineStr">
        <is>
          <t>Postgraduate / professional qualification; business leadership record</t>
        </is>
      </c>
      <c r="AG7" s="85" t="inlineStr">
        <is>
          <t>Above: Postgraduate / professional qualification; proven business leadership</t>
        </is>
      </c>
      <c r="AH7" s="44" t="inlineStr">
        <is>
          <t>36.3 · 19 · 11.3 · 20 · 8.7 · 4 · 1</t>
        </is>
      </c>
      <c r="AI7" s="38" t="inlineStr">
        <is>
          <t>20+ yrs</t>
        </is>
      </c>
      <c r="AJ7" s="38" t="inlineStr">
        <is>
          <t>5–8 function heads</t>
        </is>
      </c>
      <c r="AK7" s="38" t="inlineStr">
        <is>
          <t>E5 · SFIA 7</t>
        </is>
      </c>
      <c r="AL7"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8" ht="120" customHeight="1">
      <c r="A8" s="86" t="inlineStr">
        <is>
          <t>D2</t>
        </is>
      </c>
      <c r="B8" s="29" t="inlineStr">
        <is>
          <t>Band D · Business leadership</t>
        </is>
      </c>
      <c r="C8" s="29" t="inlineStr">
        <is>
          <t>Bands D–E · Leadership</t>
        </is>
      </c>
      <c r="D8" s="29" t="inlineStr">
        <is>
          <t>Senior Vice President / Business Head</t>
        </is>
      </c>
      <c r="E8" s="29" t="inlineStr">
        <is>
          <t>— no role at this level today</t>
        </is>
      </c>
      <c r="F8" s="34" t="inlineStr">
        <is>
          <t>H</t>
        </is>
      </c>
      <c r="G8" s="84" t="inlineStr">
        <is>
          <t>Works at D1: Competing strategic, financial and regulatory priorities</t>
        </is>
      </c>
      <c r="H8" s="84" t="inlineStr">
        <is>
          <t>Portfolio-level strategic, financial and regulatory trade-offs</t>
        </is>
      </c>
      <c r="I8" s="84" t="inlineStr">
        <is>
          <t>Already works at E1: Enterprise-level functional strategy</t>
        </is>
      </c>
      <c r="J8" s="34" t="inlineStr">
        <is>
          <t>M</t>
        </is>
      </c>
      <c r="K8" s="84" t="inlineStr">
        <is>
          <t>Works at D1: Sets business-line direction, pricing and investment</t>
        </is>
      </c>
      <c r="L8" s="84" t="inlineStr">
        <is>
          <t>Sets direction across business lines</t>
        </is>
      </c>
      <c r="M8" s="84" t="inlineStr">
        <is>
          <t>Already works at E1: Sets enterprise priorities for the function</t>
        </is>
      </c>
      <c r="N8" s="34" t="inlineStr">
        <is>
          <t>M</t>
        </is>
      </c>
      <c r="O8" s="84" t="inlineStr">
        <is>
          <t>Works at D1: Business-line P&amp;L and market position</t>
        </is>
      </c>
      <c r="P8" s="84" t="inlineStr">
        <is>
          <t>Multi-business results</t>
        </is>
      </c>
      <c r="Q8" s="84" t="inlineStr">
        <is>
          <t>Already works at E1: Enterprise-wide functional results</t>
        </is>
      </c>
      <c r="R8" s="34" t="inlineStr">
        <is>
          <t>M</t>
        </is>
      </c>
      <c r="S8" s="56" t="inlineStr">
        <is>
          <t>Works at D1: Defines business strategy; builds the leadership bench</t>
        </is>
      </c>
      <c r="T8" s="56" t="inlineStr">
        <is>
          <t>Builds the leadership team across businesses</t>
        </is>
      </c>
      <c r="U8" s="56" t="inlineStr">
        <is>
          <t>Already works at E1: Shapes enterprise strategy</t>
        </is>
      </c>
      <c r="V8" s="34" t="inlineStr">
        <is>
          <t>L</t>
        </is>
      </c>
      <c r="W8" s="56" t="inlineStr">
        <is>
          <t>Works at D1: Owns a business line's P&amp;L and growth, or a company-wide function</t>
        </is>
      </c>
      <c r="X8" s="56" t="inlineStr">
        <is>
          <t>Owns the results of several business lines</t>
        </is>
      </c>
      <c r="Y8" s="56" t="inlineStr">
        <is>
          <t>Already works at E1: Shapes company-wide results through a function</t>
        </is>
      </c>
      <c r="Z8" s="34" t="inlineStr">
        <is>
          <t>L</t>
        </is>
      </c>
      <c r="AA8" s="85" t="inlineStr">
        <is>
          <t>Less experience than the band's typical 18–24 yrs</t>
        </is>
      </c>
      <c r="AB8" s="85" t="inlineStr">
        <is>
          <t>Typical for the band: 18–24 yrs · market — yrs</t>
        </is>
      </c>
      <c r="AC8" s="85" t="inlineStr">
        <is>
          <t>More experience than the band's typical 18–24 yrs</t>
        </is>
      </c>
      <c r="AD8" s="34" t="inlineStr">
        <is>
          <t>L</t>
        </is>
      </c>
      <c r="AE8" s="85" t="inlineStr">
        <is>
          <t>Below: Postgraduate / professional qualification preferred</t>
        </is>
      </c>
      <c r="AF8" s="85" t="inlineStr">
        <is>
          <t>Postgraduate / professional qualification preferred</t>
        </is>
      </c>
      <c r="AG8" s="85" t="inlineStr">
        <is>
          <t>Above: Postgraduate / professional qualification; business leadership record</t>
        </is>
      </c>
      <c r="AH8" s="44" t="inlineStr">
        <is>
          <t>36.3 · 19 · 11.3 · 20 · 8.7 · 4 · 1</t>
        </is>
      </c>
      <c r="AI8" s="38" t="inlineStr">
        <is>
          <t>18–24 yrs</t>
        </is>
      </c>
      <c r="AJ8" s="38" t="inlineStr">
        <is>
          <t>5–8 AVPs / heads</t>
        </is>
      </c>
      <c r="AK8" s="38" t="inlineStr">
        <is>
          <t>E3–E4 · SFIA 7 Set strategy</t>
        </is>
      </c>
      <c r="AL8"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9" ht="120" customHeight="1">
      <c r="A9" s="86" t="inlineStr">
        <is>
          <t>D1</t>
        </is>
      </c>
      <c r="B9" s="29" t="inlineStr">
        <is>
          <t>Band D · Business leadership</t>
        </is>
      </c>
      <c r="C9" s="29" t="inlineStr">
        <is>
          <t>Bands D–E · Leadership</t>
        </is>
      </c>
      <c r="D9" s="29" t="inlineStr">
        <is>
          <t>Associate Vice President</t>
        </is>
      </c>
      <c r="E9" s="29" t="inlineStr">
        <is>
          <t>— no role at this level today</t>
        </is>
      </c>
      <c r="F9" s="34" t="inlineStr">
        <is>
          <t>H</t>
        </is>
      </c>
      <c r="G9" s="84" t="inlineStr">
        <is>
          <t>Works at C2: Function-wide or company-wide problems; creates methods and standards</t>
        </is>
      </c>
      <c r="H9" s="84" t="inlineStr">
        <is>
          <t>Competing strategic, financial and regulatory priorities</t>
        </is>
      </c>
      <c r="I9" s="84" t="inlineStr">
        <is>
          <t>Already works at D2: Portfolio-level strategic, financial and regulatory trade-offs</t>
        </is>
      </c>
      <c r="J9" s="34" t="inlineStr">
        <is>
          <t>M</t>
        </is>
      </c>
      <c r="K9" s="84" t="inlineStr">
        <is>
          <t>Works at C2: Sets direction for a function</t>
        </is>
      </c>
      <c r="L9" s="84" t="inlineStr">
        <is>
          <t>Sets business-line direction, pricing and investment</t>
        </is>
      </c>
      <c r="M9" s="84" t="inlineStr">
        <is>
          <t>Already works at D2: Sets direction across business lines</t>
        </is>
      </c>
      <c r="N9" s="34" t="inlineStr">
        <is>
          <t>M</t>
        </is>
      </c>
      <c r="O9" s="84" t="inlineStr">
        <is>
          <t>Works at C2: Function results, budget and risk</t>
        </is>
      </c>
      <c r="P9" s="84" t="inlineStr">
        <is>
          <t>Business-line P&amp;L and market position</t>
        </is>
      </c>
      <c r="Q9" s="84" t="inlineStr">
        <is>
          <t>Already works at D2: Multi-business results</t>
        </is>
      </c>
      <c r="R9" s="34" t="inlineStr">
        <is>
          <t>M</t>
        </is>
      </c>
      <c r="S9" s="56" t="inlineStr">
        <is>
          <t>Works at C2: Leads a function; shapes functional strategy</t>
        </is>
      </c>
      <c r="T9" s="56" t="inlineStr">
        <is>
          <t>Defines business strategy; builds the leadership bench</t>
        </is>
      </c>
      <c r="U9" s="56" t="inlineStr">
        <is>
          <t>Already works at D2: Builds the leadership team across businesses</t>
        </is>
      </c>
      <c r="V9" s="34" t="inlineStr">
        <is>
          <t>L</t>
        </is>
      </c>
      <c r="W9" s="56" t="inlineStr">
        <is>
          <t>Works at C2: Drives a function's or department's results and costs</t>
        </is>
      </c>
      <c r="X9" s="56" t="inlineStr">
        <is>
          <t>Owns a business line's P&amp;L and growth, or a company-wide function</t>
        </is>
      </c>
      <c r="Y9" s="56" t="inlineStr">
        <is>
          <t>Already works at D2: Owns the results of several business lines</t>
        </is>
      </c>
      <c r="Z9" s="34" t="inlineStr">
        <is>
          <t>L</t>
        </is>
      </c>
      <c r="AA9" s="85" t="inlineStr">
        <is>
          <t>Less experience than the band's typical 15–20 yrs</t>
        </is>
      </c>
      <c r="AB9" s="85" t="inlineStr">
        <is>
          <t>Typical for the band: 15–20 yrs · market — yrs</t>
        </is>
      </c>
      <c r="AC9" s="85" t="inlineStr">
        <is>
          <t>More experience than the band's typical 15–20 yrs</t>
        </is>
      </c>
      <c r="AD9" s="34" t="inlineStr">
        <is>
          <t>L</t>
        </is>
      </c>
      <c r="AE9" s="85" t="inlineStr">
        <is>
          <t>Below: Postgraduate / professional qualification preferred</t>
        </is>
      </c>
      <c r="AF9" s="85" t="inlineStr">
        <is>
          <t>Postgraduate / professional qualification preferred</t>
        </is>
      </c>
      <c r="AG9" s="85" t="inlineStr">
        <is>
          <t>Above: Postgraduate / professional qualification preferred</t>
        </is>
      </c>
      <c r="AH9" s="44" t="inlineStr">
        <is>
          <t>36.3 · 19 · 11.3 · 20 · 8.7 · 4 · 1</t>
        </is>
      </c>
      <c r="AI9" s="38" t="inlineStr">
        <is>
          <t>15–20 yrs</t>
        </is>
      </c>
      <c r="AJ9" s="38" t="inlineStr">
        <is>
          <t>5–8 heads</t>
        </is>
      </c>
      <c r="AK9" s="38" t="inlineStr">
        <is>
          <t>E1–E2 · SFIA 6–7</t>
        </is>
      </c>
      <c r="AL9"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0" ht="120" customHeight="1">
      <c r="A10" s="87" t="inlineStr">
        <is>
          <t>C+</t>
        </is>
      </c>
      <c r="B10" s="29" t="inlineStr">
        <is>
          <t>C+ · Player-Coach</t>
        </is>
      </c>
      <c r="C10" s="29" t="inlineStr">
        <is>
          <t>C+ · Player-Coach</t>
        </is>
      </c>
      <c r="D10" s="29" t="inlineStr">
        <is>
          <t>Group Head · Player-Coach</t>
        </is>
      </c>
      <c r="E10" s="29" t="inlineStr">
        <is>
          <t>— no role at this level today</t>
        </is>
      </c>
      <c r="F10" s="34" t="inlineStr">
        <is>
          <t>H</t>
        </is>
      </c>
      <c r="G10" s="84" t="inlineStr">
        <is>
          <t>Works at C2: Function-wide or company-wide problems; creates methods and standards</t>
        </is>
      </c>
      <c r="H10" s="84" t="inlineStr">
        <is>
          <t>Function-wide and cross-product problems; personally handles the most critical client or technical work</t>
        </is>
      </c>
      <c r="I10" s="84" t="inlineStr">
        <is>
          <t>Already works at D1: Competing strategic, financial and regulatory priorities</t>
        </is>
      </c>
      <c r="J10" s="34" t="inlineStr">
        <is>
          <t>M</t>
        </is>
      </c>
      <c r="K10" s="84" t="inlineStr">
        <is>
          <t>Works at C2: Sets direction for a function</t>
        </is>
      </c>
      <c r="L10" s="84" t="inlineStr">
        <is>
          <t>Sets direction for the function; business-line trade-offs go to the Business Head</t>
        </is>
      </c>
      <c r="M10" s="84" t="inlineStr">
        <is>
          <t>Already works at D1: Sets business-line direction, pricing and investment</t>
        </is>
      </c>
      <c r="N10" s="34" t="inlineStr">
        <is>
          <t>M</t>
        </is>
      </c>
      <c r="O10" s="84" t="inlineStr">
        <is>
          <t>Works at C2: Function results, budget and risk</t>
        </is>
      </c>
      <c r="P10" s="84" t="inlineStr">
        <is>
          <t>Function results, budget and key-client outcomes; carries own book or principal delivery</t>
        </is>
      </c>
      <c r="Q10" s="84" t="inlineStr">
        <is>
          <t>Already works at D1: Business-line P&amp;L and market position</t>
        </is>
      </c>
      <c r="R10" s="34" t="inlineStr">
        <is>
          <t>M</t>
        </is>
      </c>
      <c r="S10" s="56" t="inlineStr">
        <is>
          <t>Works at C2: Leads a function; shapes functional strategy</t>
        </is>
      </c>
      <c r="T10" s="56" t="inlineStr">
        <is>
          <t>Leads managers and leads and 10+ people in the function while staying hands-on</t>
        </is>
      </c>
      <c r="U10" s="56" t="inlineStr">
        <is>
          <t>Already works at D1: Defines business strategy; builds the leadership bench</t>
        </is>
      </c>
      <c r="V10" s="34" t="inlineStr">
        <is>
          <t>L</t>
        </is>
      </c>
      <c r="W10" s="56" t="inlineStr">
        <is>
          <t>Works at C2: Drives a function's or department's results and costs</t>
        </is>
      </c>
      <c r="X10" s="56" t="inlineStr">
        <is>
          <t>Drives a function's results and personally wins or delivers key work</t>
        </is>
      </c>
      <c r="Y10" s="56" t="inlineStr">
        <is>
          <t>Already works at D1: Owns a business line's P&amp;L and growth, or a company-wide function</t>
        </is>
      </c>
      <c r="Z10" s="34" t="inlineStr">
        <is>
          <t>L</t>
        </is>
      </c>
      <c r="AA10" s="85" t="inlineStr">
        <is>
          <t>Less experience than the band's typical 13–18 yrs</t>
        </is>
      </c>
      <c r="AB10" s="85" t="inlineStr">
        <is>
          <t>Typical for the band: 13–18 yrs · market 15–18 yrs</t>
        </is>
      </c>
      <c r="AC10" s="85" t="inlineStr">
        <is>
          <t>More experience than the band's typical 13–18 yrs</t>
        </is>
      </c>
      <c r="AD10" s="34" t="inlineStr">
        <is>
          <t>L</t>
        </is>
      </c>
      <c r="AE10" s="85" t="inlineStr">
        <is>
          <t>Below: Postgraduate / professional qualification preferred</t>
        </is>
      </c>
      <c r="AF10" s="85" t="inlineStr">
        <is>
          <t>Postgraduate / professional qualification preferred</t>
        </is>
      </c>
      <c r="AG10" s="85" t="inlineStr">
        <is>
          <t>Above: Postgraduate / professional qualification preferred</t>
        </is>
      </c>
      <c r="AH10" s="44" t="inlineStr">
        <is>
          <t>37.7 · 18.3 · 10.7 · 20 · 8 · 4 · 1</t>
        </is>
      </c>
      <c r="AI10" s="38" t="inlineStr">
        <is>
          <t>15–18</t>
        </is>
      </c>
      <c r="AJ10" s="38" t="inlineStr">
        <is>
          <t>4–8 managers / leads with ≥ 25% of time on own principal delivery</t>
        </is>
      </c>
      <c r="AK10" s="38" t="inlineStr">
        <is>
          <t>M6 / E1 · SFIA 6 Initiate, influence</t>
        </is>
      </c>
      <c r="AL10"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1" ht="120" customHeight="1">
      <c r="A11" s="88" t="inlineStr">
        <is>
          <t>C2</t>
        </is>
      </c>
      <c r="B11" s="29" t="inlineStr">
        <is>
          <t>Band C · Principal / Head</t>
        </is>
      </c>
      <c r="C11" s="29" t="inlineStr">
        <is>
          <t>Band C · Head / manager</t>
        </is>
      </c>
      <c r="D11" s="29" t="inlineStr">
        <is>
          <t>Head of Function</t>
        </is>
      </c>
      <c r="E11" s="29" t="inlineStr">
        <is>
          <t>— no role at this level today</t>
        </is>
      </c>
      <c r="F11" s="34" t="inlineStr">
        <is>
          <t>H</t>
        </is>
      </c>
      <c r="G11" s="84" t="inlineStr">
        <is>
          <t>Works at C1: Ambiguous, cross-product problems</t>
        </is>
      </c>
      <c r="H11" s="84" t="inlineStr">
        <is>
          <t>Function-wide or company-wide problems; creates methods and standards</t>
        </is>
      </c>
      <c r="I11" s="84" t="inlineStr">
        <is>
          <t>Already works at D1: Competing strategic, financial and regulatory priorities</t>
        </is>
      </c>
      <c r="J11" s="34" t="inlineStr">
        <is>
          <t>M</t>
        </is>
      </c>
      <c r="K11" s="84" t="inlineStr">
        <is>
          <t>Works at C1: Sets direction for a sub-function or domain</t>
        </is>
      </c>
      <c r="L11" s="84" t="inlineStr">
        <is>
          <t>Sets direction for a function</t>
        </is>
      </c>
      <c r="M11" s="84" t="inlineStr">
        <is>
          <t>Already works at D1: Sets business-line direction, pricing and investment</t>
        </is>
      </c>
      <c r="N11" s="34" t="inlineStr">
        <is>
          <t>L</t>
        </is>
      </c>
      <c r="O11" s="84" t="inlineStr">
        <is>
          <t>Works at C1: Sub-function results or domain quality across products</t>
        </is>
      </c>
      <c r="P11" s="84" t="inlineStr">
        <is>
          <t>Function results, budget and risk</t>
        </is>
      </c>
      <c r="Q11" s="84" t="inlineStr">
        <is>
          <t>Already works at D1: Business-line P&amp;L and market position</t>
        </is>
      </c>
      <c r="R11" s="34" t="inlineStr">
        <is>
          <t>M</t>
        </is>
      </c>
      <c r="S11" s="56" t="inlineStr">
        <is>
          <t>Works at C1: Leads managers or a community of practice</t>
        </is>
      </c>
      <c r="T11" s="56" t="inlineStr">
        <is>
          <t>Leads a function; shapes functional strategy</t>
        </is>
      </c>
      <c r="U11" s="56" t="inlineStr">
        <is>
          <t>Already works at D1: Defines business strategy; builds the leadership bench</t>
        </is>
      </c>
      <c r="V11" s="34" t="inlineStr">
        <is>
          <t>M</t>
        </is>
      </c>
      <c r="W11" s="56" t="inlineStr">
        <is>
          <t>Works at C1: Changes results across a sub-function or across products</t>
        </is>
      </c>
      <c r="X11" s="56" t="inlineStr">
        <is>
          <t>Drives a function's or department's results and costs</t>
        </is>
      </c>
      <c r="Y11" s="56" t="inlineStr">
        <is>
          <t>Already works at D1: Owns a business line's P&amp;L and growth, or a company-wide function</t>
        </is>
      </c>
      <c r="Z11" s="34" t="inlineStr">
        <is>
          <t>L</t>
        </is>
      </c>
      <c r="AA11" s="85" t="inlineStr">
        <is>
          <t>Less experience than the band's typical 12–17 yrs</t>
        </is>
      </c>
      <c r="AB11" s="85" t="inlineStr">
        <is>
          <t>Typical for the band: 12–17 yrs · market — yrs</t>
        </is>
      </c>
      <c r="AC11" s="85" t="inlineStr">
        <is>
          <t>More experience than the band's typical 12–17 yrs</t>
        </is>
      </c>
      <c r="AD11" s="34" t="inlineStr">
        <is>
          <t>L</t>
        </is>
      </c>
      <c r="AE11" s="85" t="inlineStr">
        <is>
          <t>Below: Postgraduate / professional qualification preferred</t>
        </is>
      </c>
      <c r="AF11" s="85" t="inlineStr">
        <is>
          <t>Postgraduate / professional qualification preferred</t>
        </is>
      </c>
      <c r="AG11" s="85" t="inlineStr">
        <is>
          <t>Above: Postgraduate / professional qualification preferred</t>
        </is>
      </c>
      <c r="AH11" s="44" t="inlineStr">
        <is>
          <t>43.3 · 18 · 10.7 · 15 · 8 · 4 · 1</t>
        </is>
      </c>
      <c r="AI11" s="38" t="inlineStr">
        <is>
          <t>12–17 yrs</t>
        </is>
      </c>
      <c r="AJ11" s="38" t="inlineStr">
        <is>
          <t>5–8 managers / associate heads</t>
        </is>
      </c>
      <c r="AK11" s="38" t="inlineStr">
        <is>
          <t>P7 / M6 · SFIA 6 Initiate, influence</t>
        </is>
      </c>
      <c r="AL11"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2" ht="120" customHeight="1">
      <c r="A12" s="88" t="inlineStr">
        <is>
          <t>C2</t>
        </is>
      </c>
      <c r="B12" s="29" t="inlineStr">
        <is>
          <t>Band C · Principal / Head</t>
        </is>
      </c>
      <c r="C12" s="29" t="inlineStr">
        <is>
          <t>Band C · Principal specialist</t>
        </is>
      </c>
      <c r="D12" s="29" t="inlineStr">
        <is>
          <t>Senior Principal / Architect</t>
        </is>
      </c>
      <c r="E12" s="29" t="inlineStr">
        <is>
          <t>— no role at this level today</t>
        </is>
      </c>
      <c r="F12" s="34" t="inlineStr">
        <is>
          <t>H</t>
        </is>
      </c>
      <c r="G12" s="84" t="inlineStr">
        <is>
          <t>Works at C1: Ambiguous, cross-product problems</t>
        </is>
      </c>
      <c r="H12" s="84" t="inlineStr">
        <is>
          <t>Function-wide or company-wide problems; creates methods and standards</t>
        </is>
      </c>
      <c r="I12" s="84" t="inlineStr">
        <is>
          <t>Already works at D1: Competing strategic, financial and regulatory priorities</t>
        </is>
      </c>
      <c r="J12" s="34" t="inlineStr">
        <is>
          <t>M</t>
        </is>
      </c>
      <c r="K12" s="84" t="inlineStr">
        <is>
          <t>Works at C1: Sets direction for a sub-function or domain</t>
        </is>
      </c>
      <c r="L12" s="84" t="inlineStr">
        <is>
          <t>Sets direction for a function</t>
        </is>
      </c>
      <c r="M12" s="84" t="inlineStr">
        <is>
          <t>Already works at D1: Sets business-line direction, pricing and investment</t>
        </is>
      </c>
      <c r="N12" s="34" t="inlineStr">
        <is>
          <t>L</t>
        </is>
      </c>
      <c r="O12" s="84" t="inlineStr">
        <is>
          <t>Works at C1: Sub-function results or domain quality across products</t>
        </is>
      </c>
      <c r="P12" s="84" t="inlineStr">
        <is>
          <t>Function results, budget and risk</t>
        </is>
      </c>
      <c r="Q12" s="84" t="inlineStr">
        <is>
          <t>Already works at D1: Business-line P&amp;L and market position</t>
        </is>
      </c>
      <c r="R12" s="34" t="inlineStr">
        <is>
          <t>L</t>
        </is>
      </c>
      <c r="S12" s="56" t="inlineStr">
        <is>
          <t>Works at C1: Leads managers or a community of practice</t>
        </is>
      </c>
      <c r="T12" s="56" t="inlineStr">
        <is>
          <t>Leads a function; shapes functional strategy</t>
        </is>
      </c>
      <c r="U12" s="56" t="inlineStr">
        <is>
          <t>Already works at D1: Defines business strategy; builds the leadership bench</t>
        </is>
      </c>
      <c r="V12" s="34" t="inlineStr">
        <is>
          <t>M</t>
        </is>
      </c>
      <c r="W12" s="56" t="inlineStr">
        <is>
          <t>Works at C1: Changes results across a sub-function or across products</t>
        </is>
      </c>
      <c r="X12" s="56" t="inlineStr">
        <is>
          <t>Drives a function's or department's results and costs</t>
        </is>
      </c>
      <c r="Y12" s="56" t="inlineStr">
        <is>
          <t>Already works at D1: Owns a business line's P&amp;L and growth, or a company-wide function</t>
        </is>
      </c>
      <c r="Z12" s="34" t="inlineStr">
        <is>
          <t>L</t>
        </is>
      </c>
      <c r="AA12" s="85" t="inlineStr">
        <is>
          <t>Less experience than the band's typical 12–17 yrs</t>
        </is>
      </c>
      <c r="AB12" s="85" t="inlineStr">
        <is>
          <t>Typical for the band: 12–17 yrs · market — yrs</t>
        </is>
      </c>
      <c r="AC12" s="85" t="inlineStr">
        <is>
          <t>More experience than the band's typical 12–17 yrs</t>
        </is>
      </c>
      <c r="AD12" s="34" t="inlineStr">
        <is>
          <t>L</t>
        </is>
      </c>
      <c r="AE12" s="85" t="inlineStr">
        <is>
          <t>Below: Postgraduate / professional qualification preferred</t>
        </is>
      </c>
      <c r="AF12" s="85" t="inlineStr">
        <is>
          <t>Postgraduate / professional qualification preferred</t>
        </is>
      </c>
      <c r="AG12" s="85" t="inlineStr">
        <is>
          <t>Above: Postgraduate / professional qualification preferred</t>
        </is>
      </c>
      <c r="AH12" s="44" t="inlineStr">
        <is>
          <t>54.3 · 17.7 · 10.3 · 5 · 7.7 · 4 · 1</t>
        </is>
      </c>
      <c r="AI12" s="38" t="inlineStr">
        <is>
          <t>12–17 yrs</t>
        </is>
      </c>
      <c r="AJ12" s="38" t="inlineStr">
        <is>
          <t>5–8 managers / associate heads</t>
        </is>
      </c>
      <c r="AK12" s="38" t="inlineStr">
        <is>
          <t>P7 / M6 · SFIA 6 Initiate, influence</t>
        </is>
      </c>
      <c r="AL12"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3" ht="120" customHeight="1">
      <c r="A13" s="88" t="inlineStr">
        <is>
          <t>C1</t>
        </is>
      </c>
      <c r="B13" s="29" t="inlineStr">
        <is>
          <t>Band C · Principal / Head</t>
        </is>
      </c>
      <c r="C13" s="29" t="inlineStr">
        <is>
          <t>Band C · Head / manager</t>
        </is>
      </c>
      <c r="D13" s="29" t="inlineStr">
        <is>
          <t>Associate Head</t>
        </is>
      </c>
      <c r="E13" s="29" t="inlineStr">
        <is>
          <t>— no role at this level today</t>
        </is>
      </c>
      <c r="F13" s="34" t="inlineStr">
        <is>
          <t>H</t>
        </is>
      </c>
      <c r="G13" s="84" t="inlineStr">
        <is>
          <t>Works at B3: Sets standards for a practice; cross-team problems</t>
        </is>
      </c>
      <c r="H13" s="84" t="inlineStr">
        <is>
          <t>Ambiguous, cross-product problems</t>
        </is>
      </c>
      <c r="I13" s="84" t="inlineStr">
        <is>
          <t>Already works at C2: Function-wide or company-wide problems; creates methods and standards</t>
        </is>
      </c>
      <c r="J13" s="34" t="inlineStr">
        <is>
          <t>M</t>
        </is>
      </c>
      <c r="K13" s="84" t="inlineStr">
        <is>
          <t>Works at B3: Commercial / strategic calls for the unit</t>
        </is>
      </c>
      <c r="L13" s="84" t="inlineStr">
        <is>
          <t>Sets direction for a sub-function or domain</t>
        </is>
      </c>
      <c r="M13" s="84" t="inlineStr">
        <is>
          <t>Already works at C2: Sets direction for a function</t>
        </is>
      </c>
      <c r="N13" s="34" t="inlineStr">
        <is>
          <t>L</t>
        </is>
      </c>
      <c r="O13" s="84" t="inlineStr">
        <is>
          <t>Works at B3: Several teams or a practice</t>
        </is>
      </c>
      <c r="P13" s="84" t="inlineStr">
        <is>
          <t>Sub-function results or domain quality across products</t>
        </is>
      </c>
      <c r="Q13" s="84" t="inlineStr">
        <is>
          <t>Already works at C2: Function results, budget and risk</t>
        </is>
      </c>
      <c r="R13" s="34" t="inlineStr">
        <is>
          <t>M</t>
        </is>
      </c>
      <c r="S13" s="56" t="inlineStr">
        <is>
          <t>Works at B3: IC: leads a practice · People: team leads / managers report in</t>
        </is>
      </c>
      <c r="T13" s="56" t="inlineStr">
        <is>
          <t>Leads managers or a community of practice</t>
        </is>
      </c>
      <c r="U13" s="56" t="inlineStr">
        <is>
          <t>Already works at C2: Leads a function; shapes functional strategy</t>
        </is>
      </c>
      <c r="V13" s="34" t="inlineStr">
        <is>
          <t>M</t>
        </is>
      </c>
      <c r="W13" s="56" t="inlineStr">
        <is>
          <t>Works at B3: Shapes the results of a practice or several teams</t>
        </is>
      </c>
      <c r="X13" s="56" t="inlineStr">
        <is>
          <t>Changes results across a sub-function or across products</t>
        </is>
      </c>
      <c r="Y13" s="56" t="inlineStr">
        <is>
          <t>Already works at C2: Drives a function's or department's results and costs</t>
        </is>
      </c>
      <c r="Z13" s="34" t="inlineStr">
        <is>
          <t>L</t>
        </is>
      </c>
      <c r="AA13" s="85" t="inlineStr">
        <is>
          <t>Less experience than the band's typical 10–14 yrs</t>
        </is>
      </c>
      <c r="AB13" s="85" t="inlineStr">
        <is>
          <t>Typical for the band: 10–14 yrs · market 12–17 yrs</t>
        </is>
      </c>
      <c r="AC13" s="85" t="inlineStr">
        <is>
          <t>More experience than the band's typical 10–14 yrs</t>
        </is>
      </c>
      <c r="AD13" s="34" t="inlineStr">
        <is>
          <t>L</t>
        </is>
      </c>
      <c r="AE13" s="85" t="inlineStr">
        <is>
          <t>Below: Postgraduate or professional qualification preferred</t>
        </is>
      </c>
      <c r="AF13" s="85" t="inlineStr">
        <is>
          <t>Postgraduate / professional qualification preferred</t>
        </is>
      </c>
      <c r="AG13" s="85" t="inlineStr">
        <is>
          <t>Above: Postgraduate / professional qualification preferred</t>
        </is>
      </c>
      <c r="AH13" s="44" t="inlineStr">
        <is>
          <t>43.3 · 18 · 10.7 · 15 · 8 · 4 · 1</t>
        </is>
      </c>
      <c r="AI13" s="38" t="inlineStr">
        <is>
          <t>12–17</t>
        </is>
      </c>
      <c r="AJ13" s="38" t="inlineStr">
        <is>
          <t>5–8, mostly managers</t>
        </is>
      </c>
      <c r="AK13" s="38" t="inlineStr">
        <is>
          <t>P6 / M5 · SFIA 5–6</t>
        </is>
      </c>
      <c r="AL13"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4" ht="120" customHeight="1">
      <c r="A14" s="88" t="inlineStr">
        <is>
          <t>C1</t>
        </is>
      </c>
      <c r="B14" s="29" t="inlineStr">
        <is>
          <t>Band C · Principal / Head</t>
        </is>
      </c>
      <c r="C14" s="29" t="inlineStr">
        <is>
          <t>Band C · Principal specialist</t>
        </is>
      </c>
      <c r="D14" s="29" t="inlineStr">
        <is>
          <t>Principal</t>
        </is>
      </c>
      <c r="E14" s="29" t="inlineStr">
        <is>
          <t>— no role at this level today</t>
        </is>
      </c>
      <c r="F14" s="34" t="inlineStr">
        <is>
          <t>H</t>
        </is>
      </c>
      <c r="G14" s="84" t="inlineStr">
        <is>
          <t>Works at B3: Sets standards for a practice; cross-team problems</t>
        </is>
      </c>
      <c r="H14" s="84" t="inlineStr">
        <is>
          <t>Ambiguous, cross-product problems</t>
        </is>
      </c>
      <c r="I14" s="84" t="inlineStr">
        <is>
          <t>Already works at C2: Function-wide or company-wide problems; creates methods and standards</t>
        </is>
      </c>
      <c r="J14" s="34" t="inlineStr">
        <is>
          <t>M</t>
        </is>
      </c>
      <c r="K14" s="84" t="inlineStr">
        <is>
          <t>Works at B3: Commercial / strategic calls for the unit</t>
        </is>
      </c>
      <c r="L14" s="84" t="inlineStr">
        <is>
          <t>Sets direction for a sub-function or domain</t>
        </is>
      </c>
      <c r="M14" s="84" t="inlineStr">
        <is>
          <t>Already works at C2: Sets direction for a function</t>
        </is>
      </c>
      <c r="N14" s="34" t="inlineStr">
        <is>
          <t>L</t>
        </is>
      </c>
      <c r="O14" s="84" t="inlineStr">
        <is>
          <t>Works at B3: Several teams or a practice</t>
        </is>
      </c>
      <c r="P14" s="84" t="inlineStr">
        <is>
          <t>Sub-function results or domain quality across products</t>
        </is>
      </c>
      <c r="Q14" s="84" t="inlineStr">
        <is>
          <t>Already works at C2: Function results, budget and risk</t>
        </is>
      </c>
      <c r="R14" s="34" t="inlineStr">
        <is>
          <t>L</t>
        </is>
      </c>
      <c r="S14" s="56" t="inlineStr">
        <is>
          <t>Works at B3: IC: leads a practice · People: team leads / managers report in</t>
        </is>
      </c>
      <c r="T14" s="56" t="inlineStr">
        <is>
          <t>Leads managers or a community of practice</t>
        </is>
      </c>
      <c r="U14" s="56" t="inlineStr">
        <is>
          <t>Already works at C2: Leads a function; shapes functional strategy</t>
        </is>
      </c>
      <c r="V14" s="34" t="inlineStr">
        <is>
          <t>M</t>
        </is>
      </c>
      <c r="W14" s="56" t="inlineStr">
        <is>
          <t>Works at B3: Shapes the results of a practice or several teams</t>
        </is>
      </c>
      <c r="X14" s="56" t="inlineStr">
        <is>
          <t>Changes results across a sub-function or across products</t>
        </is>
      </c>
      <c r="Y14" s="56" t="inlineStr">
        <is>
          <t>Already works at C2: Drives a function's or department's results and costs</t>
        </is>
      </c>
      <c r="Z14" s="34" t="inlineStr">
        <is>
          <t>L</t>
        </is>
      </c>
      <c r="AA14" s="85" t="inlineStr">
        <is>
          <t>Less experience than the band's typical 10–14 yrs</t>
        </is>
      </c>
      <c r="AB14" s="85" t="inlineStr">
        <is>
          <t>Typical for the band: 10–14 yrs · market 12–17 yrs</t>
        </is>
      </c>
      <c r="AC14" s="85" t="inlineStr">
        <is>
          <t>More experience than the band's typical 10–14 yrs</t>
        </is>
      </c>
      <c r="AD14" s="34" t="inlineStr">
        <is>
          <t>L</t>
        </is>
      </c>
      <c r="AE14" s="85" t="inlineStr">
        <is>
          <t>Below: Postgraduate or professional qualification preferred</t>
        </is>
      </c>
      <c r="AF14" s="85" t="inlineStr">
        <is>
          <t>Postgraduate / professional qualification preferred</t>
        </is>
      </c>
      <c r="AG14" s="85" t="inlineStr">
        <is>
          <t>Above: Postgraduate / professional qualification preferred</t>
        </is>
      </c>
      <c r="AH14" s="44" t="inlineStr">
        <is>
          <t>54.3 · 17.7 · 10.3 · 5 · 7.7 · 4 · 1</t>
        </is>
      </c>
      <c r="AI14" s="38" t="inlineStr">
        <is>
          <t>12–17</t>
        </is>
      </c>
      <c r="AJ14" s="38" t="inlineStr">
        <is>
          <t>5–8, mostly managers</t>
        </is>
      </c>
      <c r="AK14" s="38" t="inlineStr">
        <is>
          <t>P6 / M5 · SFIA 5–6</t>
        </is>
      </c>
      <c r="AL14"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5" ht="120" customHeight="1">
      <c r="A15" s="89" t="inlineStr">
        <is>
          <t>B+</t>
        </is>
      </c>
      <c r="B15" s="29" t="inlineStr">
        <is>
          <t>B+ · Player-Coach</t>
        </is>
      </c>
      <c r="C15" s="29" t="inlineStr">
        <is>
          <t>B+ · Player-Coach</t>
        </is>
      </c>
      <c r="D15" s="29" t="inlineStr">
        <is>
          <t>Practice Lead · Player-Coach</t>
        </is>
      </c>
      <c r="E15" s="29" t="inlineStr">
        <is>
          <t>— no role at this level today</t>
        </is>
      </c>
      <c r="F15" s="34" t="inlineStr">
        <is>
          <t>H</t>
        </is>
      </c>
      <c r="G15" s="84" t="inlineStr">
        <is>
          <t>Works at B3: Sets standards for a practice; cross-team problems</t>
        </is>
      </c>
      <c r="H15" s="84" t="inlineStr">
        <is>
          <t>Principal-level problems in own domain; sets technical or quality standards and still builds</t>
        </is>
      </c>
      <c r="I15" s="84" t="inlineStr">
        <is>
          <t>Already works at C1: Ambiguous, cross-product problems</t>
        </is>
      </c>
      <c r="J15" s="34" t="inlineStr">
        <is>
          <t>M</t>
        </is>
      </c>
      <c r="K15" s="84" t="inlineStr">
        <is>
          <t>Works at B3: Commercial / strategic calls for the unit</t>
        </is>
      </c>
      <c r="L15" s="84" t="inlineStr">
        <is>
          <t>Decides approach and priorities for the practice; escalates only cross-function trade-offs</t>
        </is>
      </c>
      <c r="M15" s="84" t="inlineStr">
        <is>
          <t>Already works at C1: Sets direction for a sub-function or domain</t>
        </is>
      </c>
      <c r="N15" s="34" t="inlineStr">
        <is>
          <t>L</t>
        </is>
      </c>
      <c r="O15" s="84" t="inlineStr">
        <is>
          <t>Works at B3: Several teams or a practice</t>
        </is>
      </c>
      <c r="P15" s="84" t="inlineStr">
        <is>
          <t>Practice outcomes plus own deliverables; quality and delivery of the team</t>
        </is>
      </c>
      <c r="Q15" s="84" t="inlineStr">
        <is>
          <t>Already works at C1: Sub-function results or domain quality across products</t>
        </is>
      </c>
      <c r="R15" s="34" t="inlineStr">
        <is>
          <t>M</t>
        </is>
      </c>
      <c r="S15" s="56" t="inlineStr">
        <is>
          <t>Works at B3: IC: leads a practice · People: team leads / managers report in</t>
        </is>
      </c>
      <c r="T15" s="56" t="inlineStr">
        <is>
          <t>Leads 3–6 people · or a pod while remaining a hands-on expert; coaches, allocates, reviews</t>
        </is>
      </c>
      <c r="U15" s="56" t="inlineStr">
        <is>
          <t>Already works at C1: Leads managers or a community of practice</t>
        </is>
      </c>
      <c r="V15" s="34" t="inlineStr">
        <is>
          <t>M</t>
        </is>
      </c>
      <c r="W15" s="56" t="inlineStr">
        <is>
          <t>Works at B3: Shapes the results of a practice or several teams</t>
        </is>
      </c>
      <c r="X15" s="56" t="inlineStr">
        <is>
          <t>Drives a practice's results while delivering the hardest work</t>
        </is>
      </c>
      <c r="Y15" s="56" t="inlineStr">
        <is>
          <t>Already works at C1: Changes results across a sub-function or across products</t>
        </is>
      </c>
      <c r="Z15" s="34" t="inlineStr">
        <is>
          <t>L</t>
        </is>
      </c>
      <c r="AA15" s="85" t="inlineStr">
        <is>
          <t>Less experience than the band's typical 9–14 yrs</t>
        </is>
      </c>
      <c r="AB15" s="85" t="inlineStr">
        <is>
          <t>Typical for the band: 9–14 yrs · market 9–14 yrs</t>
        </is>
      </c>
      <c r="AC15" s="85" t="inlineStr">
        <is>
          <t>More experience than the band's typical 9–14 yrs</t>
        </is>
      </c>
      <c r="AD15" s="34" t="inlineStr">
        <is>
          <t>L</t>
        </is>
      </c>
      <c r="AE15" s="85" t="inlineStr">
        <is>
          <t>Below: Postgraduate or professional qualification preferred</t>
        </is>
      </c>
      <c r="AF15" s="85" t="inlineStr">
        <is>
          <t>Postgraduate or professional qualification preferred</t>
        </is>
      </c>
      <c r="AG15" s="85" t="inlineStr">
        <is>
          <t>Above: Postgraduate / professional qualification preferred</t>
        </is>
      </c>
      <c r="AH15" s="44" t="inlineStr">
        <is>
          <t>44 · 17.7 · 10.3 · 10 · 7.7 · 6 · 4</t>
        </is>
      </c>
      <c r="AI15" s="38" t="inlineStr">
        <is>
          <t>9–14</t>
        </is>
      </c>
      <c r="AJ15" s="38" t="inlineStr">
        <is>
          <t>3–6 direct reports with ≥ 40% of time on own delivery · McKinsey player/coach 3–5; Google Tech Lead Manager</t>
        </is>
      </c>
      <c r="AK15" s="38" t="inlineStr">
        <is>
          <t>P5–P6 / M4–M5 · SFIA 5 Ensure, advise</t>
        </is>
      </c>
      <c r="AL15"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6" ht="120" customHeight="1">
      <c r="A16" s="90" t="inlineStr">
        <is>
          <t>B3</t>
        </is>
      </c>
      <c r="B16" s="29" t="inlineStr">
        <is>
          <t>Band B · Specialist / Manager</t>
        </is>
      </c>
      <c r="C16" s="29" t="inlineStr">
        <is>
          <t>Band B · People Manager</t>
        </is>
      </c>
      <c r="D16" s="29" t="inlineStr">
        <is>
          <t>Senior Manager</t>
        </is>
      </c>
      <c r="E16" s="29" t="inlineStr">
        <is>
          <t>Marketing Leadership · Senior Marketing Manager</t>
        </is>
      </c>
      <c r="F16" s="34" t="inlineStr">
        <is>
          <t>H</t>
        </is>
      </c>
      <c r="G16" s="84" t="inlineStr">
        <is>
          <t>Works at B2: Hardest problems in the domain</t>
        </is>
      </c>
      <c r="H16" s="84" t="inlineStr">
        <is>
          <t>Sets standards for a practice; cross-team problems · in Marketing &amp; Communications: Marketing</t>
        </is>
      </c>
      <c r="I16" s="84" t="inlineStr">
        <is>
          <t>Already works at C1: Ambiguous, cross-product problems</t>
        </is>
      </c>
      <c r="J16" s="34" t="inlineStr">
        <is>
          <t>M</t>
        </is>
      </c>
      <c r="K16" s="84" t="inlineStr">
        <is>
          <t>Works at B2: Allocates people and sets team priorities</t>
        </is>
      </c>
      <c r="L16" s="84" t="inlineStr">
        <is>
          <t>Commercial / strategic calls for the unit</t>
        </is>
      </c>
      <c r="M16" s="84" t="inlineStr">
        <is>
          <t>Already works at C1: Sets direction for a sub-function or domain</t>
        </is>
      </c>
      <c r="N16" s="34" t="inlineStr">
        <is>
          <t>L</t>
        </is>
      </c>
      <c r="O16" s="84" t="inlineStr">
        <is>
          <t>Works at B2: One team or a client portfolio</t>
        </is>
      </c>
      <c r="P16" s="84" t="inlineStr">
        <is>
          <t>Several teams or a practice</t>
        </is>
      </c>
      <c r="Q16" s="84" t="inlineStr">
        <is>
          <t>Already works at C1: Sub-function results or domain quality across products</t>
        </is>
      </c>
      <c r="R16" s="34" t="inlineStr">
        <is>
          <t>M</t>
        </is>
      </c>
      <c r="S16" s="56" t="inlineStr">
        <is>
          <t>Works at B2: IC: guides others in the domain · People: manages a team of 6+</t>
        </is>
      </c>
      <c r="T16" s="56" t="inlineStr">
        <is>
          <t>IC: leads a practice · People: team leads / managers report in</t>
        </is>
      </c>
      <c r="U16" s="56" t="inlineStr">
        <is>
          <t>Already works at C1: Leads managers or a community of practice</t>
        </is>
      </c>
      <c r="V16" s="34" t="inlineStr">
        <is>
          <t>M</t>
        </is>
      </c>
      <c r="W16" s="56" t="inlineStr">
        <is>
          <t>Works at B2: Visible effect on a team's or client portfolio's revenue, quality or compliance</t>
        </is>
      </c>
      <c r="X16" s="56" t="inlineStr">
        <is>
          <t>Shapes the results of a practice or several teams · purpose: Leads the marketing &amp; communications function. At B3: a practice, or several teams through team leads.</t>
        </is>
      </c>
      <c r="Y16" s="56" t="inlineStr">
        <is>
          <t>Already works at C1: Changes results across a sub-function or across products</t>
        </is>
      </c>
      <c r="Z16" s="34" t="inlineStr">
        <is>
          <t>L</t>
        </is>
      </c>
      <c r="AA16" s="85" t="inlineStr">
        <is>
          <t>Less experience than the band's typical 8–12 yrs</t>
        </is>
      </c>
      <c r="AB16" s="85" t="inlineStr">
        <is>
          <t>Typical for the band: 8–12 yrs · market 8–13 yrs</t>
        </is>
      </c>
      <c r="AC16" s="85" t="inlineStr">
        <is>
          <t>More experience than the band's typical 8–12 yrs</t>
        </is>
      </c>
      <c r="AD16" s="34" t="inlineStr">
        <is>
          <t>L</t>
        </is>
      </c>
      <c r="AE16" s="85" t="inlineStr">
        <is>
          <t>Below: Graduate or postgraduate; professional qualification preferred</t>
        </is>
      </c>
      <c r="AF16" s="85" t="inlineStr">
        <is>
          <t>Postgraduate or professional qualification preferred</t>
        </is>
      </c>
      <c r="AG16" s="85" t="inlineStr">
        <is>
          <t>Above: Postgraduate / professional qualification preferred</t>
        </is>
      </c>
      <c r="AH16" s="44" t="inlineStr">
        <is>
          <t>37 · 18.3 · 11.3 · 15 · 8.7 · 6 · 4</t>
        </is>
      </c>
      <c r="AI16" s="38" t="inlineStr">
        <is>
          <t>8–13</t>
        </is>
      </c>
      <c r="AJ16" s="38" t="inlineStr">
        <is>
          <t>IC: none · People: 5–8 incl. team leads</t>
        </is>
      </c>
      <c r="AK16" s="38" t="inlineStr">
        <is>
          <t>P5 / M4 · SFIA 5 Ensure, advise</t>
        </is>
      </c>
      <c r="AL16"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7" ht="120" customHeight="1">
      <c r="A17" s="90" t="inlineStr">
        <is>
          <t>B3</t>
        </is>
      </c>
      <c r="B17" s="29" t="inlineStr">
        <is>
          <t>Band B · Specialist / Manager</t>
        </is>
      </c>
      <c r="C17" s="29" t="inlineStr">
        <is>
          <t>Band B · Specialist / POD Lead</t>
        </is>
      </c>
      <c r="D17" s="29" t="inlineStr">
        <is>
          <t>Lead Specialist</t>
        </is>
      </c>
      <c r="E17" s="29" t="inlineStr">
        <is>
          <t>Marketing Leadership · Senior Marketing Manager</t>
        </is>
      </c>
      <c r="F17" s="34" t="inlineStr">
        <is>
          <t>H</t>
        </is>
      </c>
      <c r="G17" s="84" t="inlineStr">
        <is>
          <t>Works at B2: Hardest problems in the domain</t>
        </is>
      </c>
      <c r="H17" s="84" t="inlineStr">
        <is>
          <t>Sets standards for a practice; cross-team problems · in Marketing &amp; Communications: Marketing</t>
        </is>
      </c>
      <c r="I17" s="84" t="inlineStr">
        <is>
          <t>Already works at C1: Ambiguous, cross-product problems</t>
        </is>
      </c>
      <c r="J17" s="34" t="inlineStr">
        <is>
          <t>M</t>
        </is>
      </c>
      <c r="K17" s="84" t="inlineStr">
        <is>
          <t>Works at B2: Allocates people and sets team priorities</t>
        </is>
      </c>
      <c r="L17" s="84" t="inlineStr">
        <is>
          <t>Commercial / strategic calls for the unit</t>
        </is>
      </c>
      <c r="M17" s="84" t="inlineStr">
        <is>
          <t>Already works at C1: Sets direction for a sub-function or domain</t>
        </is>
      </c>
      <c r="N17" s="34" t="inlineStr">
        <is>
          <t>L</t>
        </is>
      </c>
      <c r="O17" s="84" t="inlineStr">
        <is>
          <t>Works at B2: One team or a client portfolio</t>
        </is>
      </c>
      <c r="P17" s="84" t="inlineStr">
        <is>
          <t>Several teams or a practice</t>
        </is>
      </c>
      <c r="Q17" s="84" t="inlineStr">
        <is>
          <t>Already works at C1: Sub-function results or domain quality across products</t>
        </is>
      </c>
      <c r="R17" s="34" t="inlineStr">
        <is>
          <t>L</t>
        </is>
      </c>
      <c r="S17" s="56" t="inlineStr">
        <is>
          <t>Works at B2: IC: guides others in the domain · People: manages a team of 6+</t>
        </is>
      </c>
      <c r="T17" s="56" t="inlineStr">
        <is>
          <t>IC: leads a practice · People: team leads / managers report in</t>
        </is>
      </c>
      <c r="U17" s="56" t="inlineStr">
        <is>
          <t>Already works at C1: Leads managers or a community of practice</t>
        </is>
      </c>
      <c r="V17" s="34" t="inlineStr">
        <is>
          <t>M</t>
        </is>
      </c>
      <c r="W17" s="56" t="inlineStr">
        <is>
          <t>Works at B2: Visible effect on a team's or client portfolio's revenue, quality or compliance</t>
        </is>
      </c>
      <c r="X17" s="56" t="inlineStr">
        <is>
          <t>Shapes the results of a practice or several teams · purpose: Leads the marketing &amp; communications function. At B3: a practice, or several teams through team leads.</t>
        </is>
      </c>
      <c r="Y17" s="56" t="inlineStr">
        <is>
          <t>Already works at C1: Changes results across a sub-function or across products</t>
        </is>
      </c>
      <c r="Z17" s="34" t="inlineStr">
        <is>
          <t>L</t>
        </is>
      </c>
      <c r="AA17" s="85" t="inlineStr">
        <is>
          <t>Less experience than the band's typical 8–12 yrs</t>
        </is>
      </c>
      <c r="AB17" s="85" t="inlineStr">
        <is>
          <t>Typical for the band: 8–12 yrs · market 8–13 yrs</t>
        </is>
      </c>
      <c r="AC17" s="85" t="inlineStr">
        <is>
          <t>More experience than the band's typical 8–12 yrs</t>
        </is>
      </c>
      <c r="AD17" s="34" t="inlineStr">
        <is>
          <t>L</t>
        </is>
      </c>
      <c r="AE17" s="85" t="inlineStr">
        <is>
          <t>Below: Graduate or postgraduate; professional qualification preferred</t>
        </is>
      </c>
      <c r="AF17" s="85" t="inlineStr">
        <is>
          <t>Postgraduate or professional qualification preferred</t>
        </is>
      </c>
      <c r="AG17" s="85" t="inlineStr">
        <is>
          <t>Above: Postgraduate / professional qualification preferred</t>
        </is>
      </c>
      <c r="AH17" s="44" t="inlineStr">
        <is>
          <t>51.3 · 17.3 · 9.7 · 5 · 7 · 6 · 4</t>
        </is>
      </c>
      <c r="AI17" s="38" t="inlineStr">
        <is>
          <t>8–13</t>
        </is>
      </c>
      <c r="AJ17" s="38" t="inlineStr">
        <is>
          <t>IC: none · People: 5–8 incl. team leads</t>
        </is>
      </c>
      <c r="AK17" s="38" t="inlineStr">
        <is>
          <t>P5 / M4 · SFIA 5 Ensure, advise</t>
        </is>
      </c>
      <c r="AL17"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8" ht="120" customHeight="1">
      <c r="A18" s="90" t="inlineStr">
        <is>
          <t>B2</t>
        </is>
      </c>
      <c r="B18" s="29" t="inlineStr">
        <is>
          <t>Band B · Specialist / Manager</t>
        </is>
      </c>
      <c r="C18" s="29" t="inlineStr">
        <is>
          <t>Band B · People Manager</t>
        </is>
      </c>
      <c r="D18" s="29" t="inlineStr">
        <is>
          <t>Manager</t>
        </is>
      </c>
      <c r="E18" s="29" t="inlineStr">
        <is>
          <t>Content Marketing · Senior Content Marketing Specialist
Demand Generation, Brand &amp; Events · Marketing Manager
Demand Generation, Brand &amp; Events · Senior Marketing Specialist – POD Lead
Marketing Leadership · Marketing Specialist – POD Lead</t>
        </is>
      </c>
      <c r="F18" s="34" t="inlineStr">
        <is>
          <t>H</t>
        </is>
      </c>
      <c r="G18" s="84" t="inlineStr">
        <is>
          <t>Works at B1: Domain specialist work</t>
        </is>
      </c>
      <c r="H18" s="84" t="inlineStr">
        <is>
          <t>Hardest problems in the domain · in Marketing &amp; Communications: Marketing · Research skills · Content strategy · Copywriting</t>
        </is>
      </c>
      <c r="I18" s="84" t="inlineStr">
        <is>
          <t>Already works at B3: Sets standards for a practice; cross-team problems</t>
        </is>
      </c>
      <c r="J18" s="34" t="inlineStr">
        <is>
          <t>M</t>
        </is>
      </c>
      <c r="K18" s="84" t="inlineStr">
        <is>
          <t>Works at B1: Technical / QC / client calls for the domain</t>
        </is>
      </c>
      <c r="L18" s="84" t="inlineStr">
        <is>
          <t>Allocates people and sets team priorities</t>
        </is>
      </c>
      <c r="M18" s="84" t="inlineStr">
        <is>
          <t>Already works at B3: Commercial / strategic calls for the unit</t>
        </is>
      </c>
      <c r="N18" s="34" t="inlineStr">
        <is>
          <t>L</t>
        </is>
      </c>
      <c r="O18" s="84" t="inlineStr">
        <is>
          <t>Works at B1: A domain or a small team</t>
        </is>
      </c>
      <c r="P18" s="84" t="inlineStr">
        <is>
          <t>One team or a client portfolio</t>
        </is>
      </c>
      <c r="Q18" s="84" t="inlineStr">
        <is>
          <t>Already works at B3: Several teams or a practice</t>
        </is>
      </c>
      <c r="R18" s="34" t="inlineStr">
        <is>
          <t>M</t>
        </is>
      </c>
      <c r="S18" s="56" t="inlineStr">
        <is>
          <t>Works at B1: IC: mentors and reviews · People: hands-on team lead of 3–5</t>
        </is>
      </c>
      <c r="T18" s="56" t="inlineStr">
        <is>
          <t>IC: guides others in the domain · People: manages a team of 6+</t>
        </is>
      </c>
      <c r="U18" s="56" t="inlineStr">
        <is>
          <t>Already works at B3: IC: leads a practice · People: team leads / managers report in</t>
        </is>
      </c>
      <c r="V18" s="34" t="inlineStr">
        <is>
          <t>M</t>
        </is>
      </c>
      <c r="W18" s="56" t="inlineStr">
        <is>
          <t>Works at B1: Moves a module's, product area's or client account's results</t>
        </is>
      </c>
      <c r="X18" s="56" t="inlineStr">
        <is>
          <t>Visible effect on a team's or client portfolio's revenue, quality or compliance · purpose: Writes blogs, web copy, collateral and social content. At B2: deep domain expertise, or one team.
Common themes in sub-family holders, all levels' answers: …</t>
        </is>
      </c>
      <c r="Y18" s="56" t="inlineStr">
        <is>
          <t>Already works at B3: Shapes the results of a practice or several teams</t>
        </is>
      </c>
      <c r="Z18" s="34" t="inlineStr">
        <is>
          <t>L</t>
        </is>
      </c>
      <c r="AA18" s="85" t="inlineStr">
        <is>
          <t>Less experience than the band's typical 6–9 yrs</t>
        </is>
      </c>
      <c r="AB18" s="85" t="inlineStr">
        <is>
          <t>Typical for the band: 6–9 yrs · market 6–10 yrs</t>
        </is>
      </c>
      <c r="AC18" s="85" t="inlineStr">
        <is>
          <t>More experience than the band's typical 6–9 yrs</t>
        </is>
      </c>
      <c r="AD18" s="34" t="inlineStr">
        <is>
          <t>L</t>
        </is>
      </c>
      <c r="AE18" s="85" t="inlineStr">
        <is>
          <t>Below: Graduate + relevant qualification or certification preferred</t>
        </is>
      </c>
      <c r="AF18" s="85" t="inlineStr">
        <is>
          <t>Graduate or postgraduate; professional qualification preferred</t>
        </is>
      </c>
      <c r="AG18" s="85" t="inlineStr">
        <is>
          <t>Above: Postgraduate or professional qualification preferred</t>
        </is>
      </c>
      <c r="AH18" s="44" t="inlineStr">
        <is>
          <t>37 · 18.3 · 11.3 · 15 · 8.7 · 6 · 4</t>
        </is>
      </c>
      <c r="AI18" s="38" t="inlineStr">
        <is>
          <t>6–10</t>
        </is>
      </c>
      <c r="AJ18" s="38" t="inlineStr">
        <is>
          <t>IC: none · People: 6–8 knowledge work, 8–12 standardised delivery</t>
        </is>
      </c>
      <c r="AK18" s="38" t="inlineStr">
        <is>
          <t>P4 / M3 · SFIA 4–5</t>
        </is>
      </c>
      <c r="AL18"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9" ht="120" customHeight="1">
      <c r="A19" s="90" t="inlineStr">
        <is>
          <t>B2</t>
        </is>
      </c>
      <c r="B19" s="29" t="inlineStr">
        <is>
          <t>Band B · Specialist / Manager</t>
        </is>
      </c>
      <c r="C19" s="29" t="inlineStr">
        <is>
          <t>Band B · Specialist / POD Lead</t>
        </is>
      </c>
      <c r="D19" s="29" t="inlineStr">
        <is>
          <t>Senior Specialist</t>
        </is>
      </c>
      <c r="E19" s="29" t="inlineStr">
        <is>
          <t>Content Marketing · Senior Content Marketing Specialist
Demand Generation, Brand &amp; Events · Marketing Manager
Demand Generation, Brand &amp; Events · Senior Marketing Specialist – POD Lead
Marketing Leadership · Marketing Specialist – POD Lead</t>
        </is>
      </c>
      <c r="F19" s="34" t="inlineStr">
        <is>
          <t>H</t>
        </is>
      </c>
      <c r="G19" s="84" t="inlineStr">
        <is>
          <t>Works at B1: Domain specialist work</t>
        </is>
      </c>
      <c r="H19" s="84" t="inlineStr">
        <is>
          <t>Hardest problems in the domain · in Marketing &amp; Communications: Marketing · Research skills · Content strategy · Copywriting</t>
        </is>
      </c>
      <c r="I19" s="84" t="inlineStr">
        <is>
          <t>Already works at B3: Sets standards for a practice; cross-team problems</t>
        </is>
      </c>
      <c r="J19" s="34" t="inlineStr">
        <is>
          <t>M</t>
        </is>
      </c>
      <c r="K19" s="84" t="inlineStr">
        <is>
          <t>Works at B1: Technical / QC / client calls for the domain</t>
        </is>
      </c>
      <c r="L19" s="84" t="inlineStr">
        <is>
          <t>Allocates people and sets team priorities</t>
        </is>
      </c>
      <c r="M19" s="84" t="inlineStr">
        <is>
          <t>Already works at B3: Commercial / strategic calls for the unit</t>
        </is>
      </c>
      <c r="N19" s="34" t="inlineStr">
        <is>
          <t>L</t>
        </is>
      </c>
      <c r="O19" s="84" t="inlineStr">
        <is>
          <t>Works at B1: A domain or a small team</t>
        </is>
      </c>
      <c r="P19" s="84" t="inlineStr">
        <is>
          <t>One team or a client portfolio</t>
        </is>
      </c>
      <c r="Q19" s="84" t="inlineStr">
        <is>
          <t>Already works at B3: Several teams or a practice</t>
        </is>
      </c>
      <c r="R19" s="34" t="inlineStr">
        <is>
          <t>L</t>
        </is>
      </c>
      <c r="S19" s="56" t="inlineStr">
        <is>
          <t>Works at B1: IC: mentors and reviews · People: hands-on team lead of 3–5</t>
        </is>
      </c>
      <c r="T19" s="56" t="inlineStr">
        <is>
          <t>IC: guides others in the domain · People: manages a team of 6+</t>
        </is>
      </c>
      <c r="U19" s="56" t="inlineStr">
        <is>
          <t>Already works at B3: IC: leads a practice · People: team leads / managers report in</t>
        </is>
      </c>
      <c r="V19" s="34" t="inlineStr">
        <is>
          <t>M</t>
        </is>
      </c>
      <c r="W19" s="56" t="inlineStr">
        <is>
          <t>Works at B1: Moves a module's, product area's or client account's results</t>
        </is>
      </c>
      <c r="X19" s="56" t="inlineStr">
        <is>
          <t>Visible effect on a team's or client portfolio's revenue, quality or compliance · purpose: Writes blogs, web copy, collateral and social content. At B2: deep domain expertise, or one team.
Common themes in sub-family holders, all levels' answers: …</t>
        </is>
      </c>
      <c r="Y19" s="56" t="inlineStr">
        <is>
          <t>Already works at B3: Shapes the results of a practice or several teams</t>
        </is>
      </c>
      <c r="Z19" s="34" t="inlineStr">
        <is>
          <t>L</t>
        </is>
      </c>
      <c r="AA19" s="85" t="inlineStr">
        <is>
          <t>Less experience than the band's typical 6–9 yrs</t>
        </is>
      </c>
      <c r="AB19" s="85" t="inlineStr">
        <is>
          <t>Typical for the band: 6–9 yrs · market 6–10 yrs</t>
        </is>
      </c>
      <c r="AC19" s="85" t="inlineStr">
        <is>
          <t>More experience than the band's typical 6–9 yrs</t>
        </is>
      </c>
      <c r="AD19" s="34" t="inlineStr">
        <is>
          <t>L</t>
        </is>
      </c>
      <c r="AE19" s="85" t="inlineStr">
        <is>
          <t>Below: Graduate + relevant qualification or certification preferred</t>
        </is>
      </c>
      <c r="AF19" s="85" t="inlineStr">
        <is>
          <t>Graduate or postgraduate; professional qualification preferred</t>
        </is>
      </c>
      <c r="AG19" s="85" t="inlineStr">
        <is>
          <t>Above: Postgraduate or professional qualification preferred</t>
        </is>
      </c>
      <c r="AH19" s="44" t="inlineStr">
        <is>
          <t>51.3 · 17.3 · 9.7 · 5 · 7 · 6 · 4</t>
        </is>
      </c>
      <c r="AI19" s="38" t="inlineStr">
        <is>
          <t>6–10</t>
        </is>
      </c>
      <c r="AJ19" s="38" t="inlineStr">
        <is>
          <t>IC: none · People: 6–8 knowledge work, 8–12 standardised delivery</t>
        </is>
      </c>
      <c r="AK19" s="38" t="inlineStr">
        <is>
          <t>P4 / M3 · SFIA 4–5</t>
        </is>
      </c>
      <c r="AL19"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0" ht="120" customHeight="1">
      <c r="A20" s="90" t="inlineStr">
        <is>
          <t>B1</t>
        </is>
      </c>
      <c r="B20" s="29" t="inlineStr">
        <is>
          <t>Band B · Specialist / Manager</t>
        </is>
      </c>
      <c r="C20" s="29" t="inlineStr">
        <is>
          <t>Band B · People Manager</t>
        </is>
      </c>
      <c r="D20" s="29" t="inlineStr">
        <is>
          <t>Team Lead / Asst Manager</t>
        </is>
      </c>
      <c r="E20" s="29" t="inlineStr">
        <is>
          <t>Product Marketing · Team Lead – Product Marketing</t>
        </is>
      </c>
      <c r="F20" s="34" t="inlineStr">
        <is>
          <t>H</t>
        </is>
      </c>
      <c r="G20" s="84" t="inlineStr">
        <is>
          <t>Works at A3: Varied and non-standard work; handles exceptions</t>
        </is>
      </c>
      <c r="H20" s="84" t="inlineStr">
        <is>
          <t>Domain specialist work</t>
        </is>
      </c>
      <c r="I20" s="84" t="inlineStr">
        <is>
          <t>Already works at B2: Hardest problems in the domain</t>
        </is>
      </c>
      <c r="J20" s="34" t="inlineStr">
        <is>
          <t>M</t>
        </is>
      </c>
      <c r="K20" s="84" t="inlineStr">
        <is>
          <t>Works at A3: Technical / QC / client calls on own work</t>
        </is>
      </c>
      <c r="L20" s="84" t="inlineStr">
        <is>
          <t>Technical / QC / client calls for the domain</t>
        </is>
      </c>
      <c r="M20" s="84" t="inlineStr">
        <is>
          <t>Already works at B2: Allocates people and sets team priorities</t>
        </is>
      </c>
      <c r="N20" s="34" t="inlineStr">
        <is>
          <t>L</t>
        </is>
      </c>
      <c r="O20" s="84" t="inlineStr">
        <is>
          <t>Works at A3: A module / process, or work with client or regulatory consequences</t>
        </is>
      </c>
      <c r="P20" s="84" t="inlineStr">
        <is>
          <t>A domain or a small team</t>
        </is>
      </c>
      <c r="Q20" s="84" t="inlineStr">
        <is>
          <t>Already works at B2: One team or a client portfolio</t>
        </is>
      </c>
      <c r="R20" s="34" t="inlineStr">
        <is>
          <t>M</t>
        </is>
      </c>
      <c r="S20" s="56" t="inlineStr">
        <is>
          <t>Works at A3: contributes alone; guides others only informally</t>
        </is>
      </c>
      <c r="T20" s="56" t="inlineStr">
        <is>
          <t>IC: mentors and reviews · People: hands-on team lead of 3–5</t>
        </is>
      </c>
      <c r="U20" s="56" t="inlineStr">
        <is>
          <t>Already works at B2: IC: guides others in the domain · People: manages a team of 6+</t>
        </is>
      </c>
      <c r="V20" s="34" t="inlineStr">
        <is>
          <t>M</t>
        </is>
      </c>
      <c r="W20" s="56" t="inlineStr">
        <is>
          <t>Works at A3: A process or client deliverable depends on this work</t>
        </is>
      </c>
      <c r="X20" s="56" t="inlineStr">
        <is>
          <t>Moves a module's, product area's or client account's results · purpose: Launches, positioning, product campaigns and messaging. At B1: a domain / module, or a small team.</t>
        </is>
      </c>
      <c r="Y20" s="56" t="inlineStr">
        <is>
          <t>Already works at B2: Visible effect on a team's or client portfolio's revenue, quality or compliance</t>
        </is>
      </c>
      <c r="Z20" s="34" t="inlineStr">
        <is>
          <t>L</t>
        </is>
      </c>
      <c r="AA20" s="85" t="inlineStr">
        <is>
          <t>Less experience than the band's typical 4–7 yrs</t>
        </is>
      </c>
      <c r="AB20" s="85" t="inlineStr">
        <is>
          <t>Typical for the band: 4–7 yrs · market 4–8 yrs</t>
        </is>
      </c>
      <c r="AC20" s="85" t="inlineStr">
        <is>
          <t>More experience than the band's typical 4–7 yrs</t>
        </is>
      </c>
      <c r="AD20" s="34" t="inlineStr">
        <is>
          <t>L</t>
        </is>
      </c>
      <c r="AE20" s="85" t="inlineStr">
        <is>
          <t>Below: Graduate; relevant certification preferred</t>
        </is>
      </c>
      <c r="AF20" s="85" t="inlineStr">
        <is>
          <t>Graduate + relevant qualification or certification preferred</t>
        </is>
      </c>
      <c r="AG20" s="85" t="inlineStr">
        <is>
          <t>Above: Graduate or postgraduate; professional qualification preferred</t>
        </is>
      </c>
      <c r="AH20" s="44" t="inlineStr">
        <is>
          <t>37 · 18.3 · 11.3 · 15 · 8.7 · 6 · 4</t>
        </is>
      </c>
      <c r="AI20" s="38" t="inlineStr">
        <is>
          <t>4–8</t>
        </is>
      </c>
      <c r="AJ20" s="38" t="inlineStr">
        <is>
          <t>IC: none · Team Lead: 3–5</t>
        </is>
      </c>
      <c r="AK20" s="38" t="inlineStr">
        <is>
          <t>P3 / M2 · SFIA 4 Enable</t>
        </is>
      </c>
      <c r="AL20"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1" ht="120" customHeight="1">
      <c r="A21" s="90" t="inlineStr">
        <is>
          <t>B1</t>
        </is>
      </c>
      <c r="B21" s="29" t="inlineStr">
        <is>
          <t>Band B · Specialist / Manager</t>
        </is>
      </c>
      <c r="C21" s="29" t="inlineStr">
        <is>
          <t>Band B · Specialist / POD Lead</t>
        </is>
      </c>
      <c r="D21" s="29" t="inlineStr">
        <is>
          <t>Specialist</t>
        </is>
      </c>
      <c r="E21" s="29" t="inlineStr">
        <is>
          <t>Product Marketing · Team Lead – Product Marketing</t>
        </is>
      </c>
      <c r="F21" s="34" t="inlineStr">
        <is>
          <t>H</t>
        </is>
      </c>
      <c r="G21" s="84" t="inlineStr">
        <is>
          <t>Works at A3: Varied and non-standard work; handles exceptions</t>
        </is>
      </c>
      <c r="H21" s="84" t="inlineStr">
        <is>
          <t>Domain specialist work</t>
        </is>
      </c>
      <c r="I21" s="84" t="inlineStr">
        <is>
          <t>Already works at B2: Hardest problems in the domain</t>
        </is>
      </c>
      <c r="J21" s="34" t="inlineStr">
        <is>
          <t>M</t>
        </is>
      </c>
      <c r="K21" s="84" t="inlineStr">
        <is>
          <t>Works at A3: Technical / QC / client calls on own work</t>
        </is>
      </c>
      <c r="L21" s="84" t="inlineStr">
        <is>
          <t>Technical / QC / client calls for the domain</t>
        </is>
      </c>
      <c r="M21" s="84" t="inlineStr">
        <is>
          <t>Already works at B2: Allocates people and sets team priorities</t>
        </is>
      </c>
      <c r="N21" s="34" t="inlineStr">
        <is>
          <t>L</t>
        </is>
      </c>
      <c r="O21" s="84" t="inlineStr">
        <is>
          <t>Works at A3: A module / process, or work with client or regulatory consequences</t>
        </is>
      </c>
      <c r="P21" s="84" t="inlineStr">
        <is>
          <t>A domain or a small team</t>
        </is>
      </c>
      <c r="Q21" s="84" t="inlineStr">
        <is>
          <t>Already works at B2: One team or a client portfolio</t>
        </is>
      </c>
      <c r="R21" s="34" t="inlineStr">
        <is>
          <t>L</t>
        </is>
      </c>
      <c r="S21" s="56" t="inlineStr">
        <is>
          <t>Works at A3: contributes alone; guides others only informally</t>
        </is>
      </c>
      <c r="T21" s="56" t="inlineStr">
        <is>
          <t>IC: mentors and reviews · People: hands-on team lead of 3–5</t>
        </is>
      </c>
      <c r="U21" s="56" t="inlineStr">
        <is>
          <t>Already works at B2: IC: guides others in the domain · People: manages a team of 6+</t>
        </is>
      </c>
      <c r="V21" s="34" t="inlineStr">
        <is>
          <t>M</t>
        </is>
      </c>
      <c r="W21" s="56" t="inlineStr">
        <is>
          <t>Works at A3: A process or client deliverable depends on this work</t>
        </is>
      </c>
      <c r="X21" s="56" t="inlineStr">
        <is>
          <t>Moves a module's, product area's or client account's results · purpose: Launches, positioning, product campaigns and messaging. At B1: a domain / module, or a small team.</t>
        </is>
      </c>
      <c r="Y21" s="56" t="inlineStr">
        <is>
          <t>Already works at B2: Visible effect on a team's or client portfolio's revenue, quality or compliance</t>
        </is>
      </c>
      <c r="Z21" s="34" t="inlineStr">
        <is>
          <t>L</t>
        </is>
      </c>
      <c r="AA21" s="85" t="inlineStr">
        <is>
          <t>Less experience than the band's typical 4–7 yrs</t>
        </is>
      </c>
      <c r="AB21" s="85" t="inlineStr">
        <is>
          <t>Typical for the band: 4–7 yrs · market 4–8 yrs</t>
        </is>
      </c>
      <c r="AC21" s="85" t="inlineStr">
        <is>
          <t>More experience than the band's typical 4–7 yrs</t>
        </is>
      </c>
      <c r="AD21" s="34" t="inlineStr">
        <is>
          <t>L</t>
        </is>
      </c>
      <c r="AE21" s="85" t="inlineStr">
        <is>
          <t>Below: Graduate; relevant certification preferred</t>
        </is>
      </c>
      <c r="AF21" s="85" t="inlineStr">
        <is>
          <t>Graduate + relevant qualification or certification preferred</t>
        </is>
      </c>
      <c r="AG21" s="85" t="inlineStr">
        <is>
          <t>Above: Graduate or postgraduate; professional qualification preferred</t>
        </is>
      </c>
      <c r="AH21" s="44" t="inlineStr">
        <is>
          <t>51.3 · 17.3 · 9.7 · 5 · 7 · 6 · 4</t>
        </is>
      </c>
      <c r="AI21" s="38" t="inlineStr">
        <is>
          <t>4–8</t>
        </is>
      </c>
      <c r="AJ21" s="38" t="inlineStr">
        <is>
          <t>IC: none · Team Lead: 3–5</t>
        </is>
      </c>
      <c r="AK21" s="38" t="inlineStr">
        <is>
          <t>P3 / M2 · SFIA 4 Enable</t>
        </is>
      </c>
      <c r="AL21"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2" ht="120" customHeight="1">
      <c r="A22" s="91" t="inlineStr">
        <is>
          <t>A3</t>
        </is>
      </c>
      <c r="B22" s="29" t="inlineStr">
        <is>
          <t>Band A · Practitioner</t>
        </is>
      </c>
      <c r="C22" s="29" t="inlineStr">
        <is>
          <t>Band A · all tracks</t>
        </is>
      </c>
      <c r="D22" s="29" t="inlineStr">
        <is>
          <t>Senior Associate</t>
        </is>
      </c>
      <c r="E22" s="29" t="inlineStr">
        <is>
          <t>Content Marketing · Senior Content Marketing Associate
Digital Marketing, Web &amp; Social · Senior Digital Marketing Associate
Marketing Operations &amp; Automation · Senior Marketing Operations Associate</t>
        </is>
      </c>
      <c r="F22" s="34" t="inlineStr">
        <is>
          <t>H</t>
        </is>
      </c>
      <c r="G22" s="84" t="inlineStr">
        <is>
          <t>Works at A2: Standard work of the discipline</t>
        </is>
      </c>
      <c r="H22" s="84" t="inlineStr">
        <is>
          <t>Varied and non-standard work; handles exceptions · in Marketing &amp; Communications: Marketing · Research skills · Content strategy · Copywriting</t>
        </is>
      </c>
      <c r="I22" s="84" t="inlineStr">
        <is>
          <t>Already works at B1: Domain specialist work</t>
        </is>
      </c>
      <c r="J22" s="34" t="inlineStr">
        <is>
          <t>M</t>
        </is>
      </c>
      <c r="K22" s="84" t="inlineStr">
        <is>
          <t>Works at A2: Chooses own approach within standards</t>
        </is>
      </c>
      <c r="L22" s="84" t="inlineStr">
        <is>
          <t>Technical / QC / client calls on own work</t>
        </is>
      </c>
      <c r="M22" s="84" t="inlineStr">
        <is>
          <t>Already works at B1: Technical / QC / client calls for the domain</t>
        </is>
      </c>
      <c r="N22" s="34" t="inlineStr">
        <is>
          <t>L</t>
        </is>
      </c>
      <c r="O22" s="84" t="inlineStr">
        <is>
          <t>Works at A2: Own deliverables · accuracy, TAT</t>
        </is>
      </c>
      <c r="P22" s="84" t="inlineStr">
        <is>
          <t>A module / process, or work with client or regulatory consequences</t>
        </is>
      </c>
      <c r="Q22" s="84" t="inlineStr">
        <is>
          <t>Already works at B1: A domain or a small team</t>
        </is>
      </c>
      <c r="R22" s="34" t="inlineStr">
        <is>
          <t>L</t>
        </is>
      </c>
      <c r="S22" s="56" t="inlineStr">
        <is>
          <t>Works at A2: contributes alone; guides others only informally</t>
        </is>
      </c>
      <c r="T22" s="56" t="inlineStr">
        <is>
          <t>Helps peers and newer people informally · None · guides 1–3 juniors informally</t>
        </is>
      </c>
      <c r="U22" s="56" t="inlineStr">
        <is>
          <t>Already works at B1: IC: mentors and reviews · People: hands-on team lead of 3–5</t>
        </is>
      </c>
      <c r="V22" s="34" t="inlineStr">
        <is>
          <t>M</t>
        </is>
      </c>
      <c r="W22" s="56" t="inlineStr">
        <is>
          <t>Works at A2: Own deliverables feed a team's output and turnaround</t>
        </is>
      </c>
      <c r="X22" s="56" t="inlineStr">
        <is>
          <t>A process or client deliverable depends on this work · purpose: Writes blogs, web copy, collateral and social content. At A3: varied work; reviews juniors; go-to for a process.
Common themes in sub-family holders, all …</t>
        </is>
      </c>
      <c r="Y22" s="56" t="inlineStr">
        <is>
          <t>Already works at B1: Moves a module's, product area's or client account's results</t>
        </is>
      </c>
      <c r="Z22" s="34" t="inlineStr">
        <is>
          <t>L</t>
        </is>
      </c>
      <c r="AA22" s="85" t="inlineStr">
        <is>
          <t>Less experience than the band's typical 2–4 yrs</t>
        </is>
      </c>
      <c r="AB22" s="85" t="inlineStr">
        <is>
          <t>Typical for the band: 2–4 yrs · market 2–5 yrs</t>
        </is>
      </c>
      <c r="AC22" s="85" t="inlineStr">
        <is>
          <t>More experience than the band's typical 2–4 yrs</t>
        </is>
      </c>
      <c r="AD22" s="34" t="inlineStr">
        <is>
          <t>L</t>
        </is>
      </c>
      <c r="AE22" s="85" t="inlineStr">
        <is>
          <t>Below: Graduate · or diploma with experience</t>
        </is>
      </c>
      <c r="AF22" s="85" t="inlineStr">
        <is>
          <t>Graduate; relevant certification preferred</t>
        </is>
      </c>
      <c r="AG22" s="85" t="inlineStr">
        <is>
          <t>Above: Graduate + relevant qualification or certification preferred</t>
        </is>
      </c>
      <c r="AH22" s="44" t="inlineStr">
        <is>
          <t>58.3 · 16 · 9 · 0 · 6.3 · 6 · 4</t>
        </is>
      </c>
      <c r="AI22" s="38" t="inlineStr">
        <is>
          <t>2–5</t>
        </is>
      </c>
      <c r="AJ22" s="38" t="inlineStr">
        <is>
          <t>None · guides 1–3 juniors informally</t>
        </is>
      </c>
      <c r="AK22" s="38" t="inlineStr">
        <is>
          <t>P2 · SFIA 3 Apply</t>
        </is>
      </c>
      <c r="AL22"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3" ht="120" customHeight="1">
      <c r="A23" s="91" t="inlineStr">
        <is>
          <t>A2</t>
        </is>
      </c>
      <c r="B23" s="29" t="inlineStr">
        <is>
          <t>Band A · Practitioner</t>
        </is>
      </c>
      <c r="C23" s="29" t="inlineStr">
        <is>
          <t>Band A · all tracks</t>
        </is>
      </c>
      <c r="D23" s="29" t="inlineStr">
        <is>
          <t>Associate</t>
        </is>
      </c>
      <c r="E23" s="29" t="inlineStr">
        <is>
          <t>Content Marketing · Content Marketing Associate
Demand Generation, Brand &amp; Events · Marketing Associate
Marketing Operations &amp; Automation · Marketing Operations Associate</t>
        </is>
      </c>
      <c r="F23" s="34" t="inlineStr">
        <is>
          <t>H</t>
        </is>
      </c>
      <c r="G23" s="84" t="inlineStr">
        <is>
          <t>Works at A1: Learning; follows worked examples</t>
        </is>
      </c>
      <c r="H23" s="84" t="inlineStr">
        <is>
          <t>Standard work of the discipline · in Marketing &amp; Communications: Marketing · Research skills</t>
        </is>
      </c>
      <c r="I23" s="84" t="inlineStr">
        <is>
          <t>Already works at A3: Varied and non-standard work; handles exceptions</t>
        </is>
      </c>
      <c r="J23" s="34" t="inlineStr">
        <is>
          <t>M</t>
        </is>
      </c>
      <c r="K23" s="84" t="inlineStr">
        <is>
          <t>Works at A1: Needs approval / close guidance</t>
        </is>
      </c>
      <c r="L23" s="84" t="inlineStr">
        <is>
          <t>Chooses own approach within standards</t>
        </is>
      </c>
      <c r="M23" s="84" t="inlineStr">
        <is>
          <t>Already works at A3: Technical / QC / client calls on own work</t>
        </is>
      </c>
      <c r="N23" s="34" t="inlineStr">
        <is>
          <t>L</t>
        </is>
      </c>
      <c r="O23" s="84" t="inlineStr">
        <is>
          <t>Works at A1: Learning tasks</t>
        </is>
      </c>
      <c r="P23" s="84" t="inlineStr">
        <is>
          <t>Own deliverables · accuracy, TAT</t>
        </is>
      </c>
      <c r="Q23" s="84" t="inlineStr">
        <is>
          <t>Already works at A3: A module / process, or work with client or regulatory consequences</t>
        </is>
      </c>
      <c r="R23" s="34" t="inlineStr">
        <is>
          <t>L</t>
        </is>
      </c>
      <c r="S23" s="56" t="inlineStr">
        <is>
          <t>Works at A1: contributes alone; guides others only informally</t>
        </is>
      </c>
      <c r="T23" s="56" t="inlineStr">
        <is>
          <t>Helps peers and newer people informally · No direct reports</t>
        </is>
      </c>
      <c r="U23" s="56" t="inlineStr">
        <is>
          <t>Already works at A3: Not scored in Band A</t>
        </is>
      </c>
      <c r="V23" s="34" t="inlineStr">
        <is>
          <t>M</t>
        </is>
      </c>
      <c r="W23" s="56" t="inlineStr">
        <is>
          <t>Works at A1: Learning; little direct effect on business results yet</t>
        </is>
      </c>
      <c r="X23" s="56" t="inlineStr">
        <is>
          <t>Own deliverables feed a team's output and turnaround · purpose: Writes blogs, web copy, collateral and social content. At A2: standard work delivered independently.
Common themes in role-holders' answers: content · …</t>
        </is>
      </c>
      <c r="Y23" s="56" t="inlineStr">
        <is>
          <t>Already works at A3: A process or client deliverable depends on this work</t>
        </is>
      </c>
      <c r="Z23" s="34" t="inlineStr">
        <is>
          <t>L</t>
        </is>
      </c>
      <c r="AA23" s="85" t="inlineStr">
        <is>
          <t>Less experience than the band's typical 0–2 yrs</t>
        </is>
      </c>
      <c r="AB23" s="85" t="inlineStr">
        <is>
          <t>Typical for the band: 0–2 yrs · market 0–3 yrs</t>
        </is>
      </c>
      <c r="AC23" s="85" t="inlineStr">
        <is>
          <t>More experience than the band's typical 0–2 yrs</t>
        </is>
      </c>
      <c r="AD23" s="34" t="inlineStr">
        <is>
          <t>L</t>
        </is>
      </c>
      <c r="AE23" s="85" t="inlineStr">
        <is>
          <t>Below: Pursuing or completed graduation / diploma</t>
        </is>
      </c>
      <c r="AF23" s="85" t="inlineStr">
        <is>
          <t>Graduate · or diploma with experience</t>
        </is>
      </c>
      <c r="AG23" s="85" t="inlineStr">
        <is>
          <t>Above: Graduate; relevant certification preferred</t>
        </is>
      </c>
      <c r="AH23" s="44" t="inlineStr">
        <is>
          <t>58.3 · 16 · 9 · 0 · 6.3 · 6 · 4</t>
        </is>
      </c>
      <c r="AI23" s="38" t="inlineStr">
        <is>
          <t>0–3</t>
        </is>
      </c>
      <c r="AJ23" s="38" t="inlineStr">
        <is>
          <t>No direct reports</t>
        </is>
      </c>
      <c r="AK23" s="38" t="inlineStr">
        <is>
          <t>P1–P2 · SFIA 2 Assist</t>
        </is>
      </c>
      <c r="AL23"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4" ht="120" customHeight="1">
      <c r="A24" s="91" t="inlineStr">
        <is>
          <t>A1</t>
        </is>
      </c>
      <c r="B24" s="29" t="inlineStr">
        <is>
          <t>Band A · Practitioner</t>
        </is>
      </c>
      <c r="C24" s="29" t="inlineStr">
        <is>
          <t>Band A · all tracks</t>
        </is>
      </c>
      <c r="D24" s="29" t="inlineStr">
        <is>
          <t>Intern / Trainee</t>
        </is>
      </c>
      <c r="E24" s="29" t="inlineStr">
        <is>
          <t>— no role at this level today</t>
        </is>
      </c>
      <c r="F24" s="34" t="inlineStr">
        <is>
          <t>H</t>
        </is>
      </c>
      <c r="G24" s="84" t="inlineStr">
        <is>
          <t>Not yet at the entry standard · in induction</t>
        </is>
      </c>
      <c r="H24" s="84" t="inlineStr">
        <is>
          <t>Learning; follows worked examples</t>
        </is>
      </c>
      <c r="I24" s="84" t="inlineStr">
        <is>
          <t>Already works at A2: Standard work of the discipline</t>
        </is>
      </c>
      <c r="J24" s="34" t="inlineStr">
        <is>
          <t>M</t>
        </is>
      </c>
      <c r="K24" s="84" t="inlineStr">
        <is>
          <t>Not yet at the entry standard · in induction</t>
        </is>
      </c>
      <c r="L24" s="84" t="inlineStr">
        <is>
          <t>Needs approval / close guidance</t>
        </is>
      </c>
      <c r="M24" s="84" t="inlineStr">
        <is>
          <t>Already works at A2: Chooses own approach within standards</t>
        </is>
      </c>
      <c r="N24" s="34" t="inlineStr">
        <is>
          <t>L</t>
        </is>
      </c>
      <c r="O24" s="84" t="inlineStr">
        <is>
          <t>Not yet at the entry standard · in induction</t>
        </is>
      </c>
      <c r="P24" s="84" t="inlineStr">
        <is>
          <t>Learning tasks</t>
        </is>
      </c>
      <c r="Q24" s="84" t="inlineStr">
        <is>
          <t>Already works at A2: Own deliverables · accuracy, TAT</t>
        </is>
      </c>
      <c r="R24" s="34" t="inlineStr">
        <is>
          <t>L</t>
        </is>
      </c>
      <c r="S24" s="56" t="inlineStr">
        <is>
          <t>Not yet at the entry standard · in induction</t>
        </is>
      </c>
      <c r="T24" s="56" t="inlineStr">
        <is>
          <t>Helps peers and newer people informally · No direct reports</t>
        </is>
      </c>
      <c r="U24" s="56" t="inlineStr">
        <is>
          <t>Already works at A2: Not scored in Band A</t>
        </is>
      </c>
      <c r="V24" s="34" t="inlineStr">
        <is>
          <t>M</t>
        </is>
      </c>
      <c r="W24" s="56" t="inlineStr">
        <is>
          <t>Not yet at the entry standard · in induction</t>
        </is>
      </c>
      <c r="X24" s="56" t="inlineStr">
        <is>
          <t>Learning; little direct effect on business results yet</t>
        </is>
      </c>
      <c r="Y24" s="56" t="inlineStr">
        <is>
          <t>Already works at A2: Own deliverables feed a team's output and turnaround</t>
        </is>
      </c>
      <c r="Z24" s="34" t="inlineStr">
        <is>
          <t>L</t>
        </is>
      </c>
      <c r="AA24" s="85" t="inlineStr">
        <is>
          <t>Less experience than the band's typical 0 yrs · fresher / intern</t>
        </is>
      </c>
      <c r="AB24" s="85" t="inlineStr">
        <is>
          <t>Typical for the band: 0 yrs · fresher / intern · market — yrs</t>
        </is>
      </c>
      <c r="AC24" s="85" t="inlineStr">
        <is>
          <t>More experience than the band's typical 0 yrs · fresher / intern</t>
        </is>
      </c>
      <c r="AD24" s="34" t="inlineStr">
        <is>
          <t>L</t>
        </is>
      </c>
      <c r="AE24" s="85" t="inlineStr">
        <is>
          <t>Below graduation · still studying</t>
        </is>
      </c>
      <c r="AF24" s="85" t="inlineStr">
        <is>
          <t>Pursuing or completed graduation / diploma</t>
        </is>
      </c>
      <c r="AG24" s="85" t="inlineStr">
        <is>
          <t>Above: Graduate · or diploma with experience</t>
        </is>
      </c>
      <c r="AH24" s="44" t="inlineStr">
        <is>
          <t>58.3 · 16 · 9 · 0 · 6.3 · 6 · 4</t>
        </is>
      </c>
      <c r="AI24" s="38" t="inlineStr">
        <is>
          <t>0 yrs · fresher / intern</t>
        </is>
      </c>
      <c r="AJ24" s="38" t="inlineStr">
        <is>
          <t>No direct reports</t>
        </is>
      </c>
      <c r="AK24" s="38" t="inlineStr">
        <is>
          <t>Entry / P1 · intern · SFIA 1 Follow</t>
        </is>
      </c>
      <c r="AL24"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sheetData>
  <autoFilter ref="A5:AL24"/>
  <mergeCells count="1">
    <mergeCell ref="A2:N2"/>
  </mergeCells>
  <dataValidations count="1">
    <dataValidation sqref="F6 F7 F8 F9 F10 F11 F12 F13 F14 F15 F16 F17 F18 F19 F20 F21 F22 F23 F24 J6 J7 J8 J9 J10 J11 J12 J13 J14 J15 J16 J17 J18 J19 J20 J21 J22 J23 J24 N6 N7 N8 N9 N10 N11 N12 N13 N14 N15 N16 N17 N18 N19 N20 N21 N22 N23 N24 R6 R7 R8 R9 R10 R11 R12 R13 R14 R15 R16 R17 R18 R19 R20 R21 R22 R23 R24 V6 V7 V8 V9 V10 V11 V12 V13 V14 V15 V16 V17 V18 V19 V20 V21 V22 V23 V24 Z6 Z7 Z8 Z9 Z10 Z11 Z12 Z13 Z14 Z15 Z16 Z17 Z18 Z19 Z20 Z21 Z22 Z23 Z24 AD6 AD7 AD8 AD9 AD10 AD11 AD12 AD13 AD14 AD15 AD16 AD17 AD18 AD19 AD20 AD21 AD22 AD23 AD24" showDropDown="0" showInputMessage="0" showErrorMessage="0" allowBlank="1" type="list">
      <formula1>LIST_LMH</formula1>
    </dataValidation>
  </dataValidations>
  <hyperlinks>
    <hyperlink xmlns:r="http://schemas.openxmlformats.org/officeDocument/2006/relationships" ref="O1" r:id="rId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L24"/>
  <sheetViews>
    <sheetView zoomScale="85" workbookViewId="0">
      <pane xSplit="5" ySplit="5" topLeftCell="F6" activePane="bottomRight" state="frozen"/>
      <selection pane="topRight"/>
      <selection pane="bottomLeft"/>
      <selection pane="bottomRight" activeCell="A1" sqref="A1"/>
    </sheetView>
  </sheetViews>
  <sheetFormatPr baseColWidth="8" defaultRowHeight="15"/>
  <cols>
    <col width="7" customWidth="1" min="1" max="1"/>
    <col width="16" customWidth="1" min="2" max="2"/>
    <col width="18" customWidth="1" min="3" max="3"/>
    <col width="20" customWidth="1" min="4" max="4"/>
    <col width="34" customWidth="1" min="5" max="5"/>
    <col width="9" customWidth="1" min="6" max="6"/>
    <col width="30" customWidth="1" min="7" max="7"/>
    <col width="34" customWidth="1" min="8" max="8"/>
    <col width="30" customWidth="1" min="9" max="9"/>
    <col width="9" customWidth="1" min="10" max="10"/>
    <col width="30" customWidth="1" min="11" max="11"/>
    <col width="34" customWidth="1" min="12" max="12"/>
    <col width="30" customWidth="1" min="13" max="13"/>
    <col width="9" customWidth="1" min="14" max="14"/>
    <col width="30" customWidth="1" min="15" max="15"/>
    <col width="34" customWidth="1" min="16" max="16"/>
    <col width="30" customWidth="1" min="17" max="17"/>
    <col width="9" customWidth="1" min="18" max="18"/>
    <col width="30" customWidth="1" min="19" max="19"/>
    <col width="34" customWidth="1" min="20" max="20"/>
    <col width="30" customWidth="1" min="21" max="21"/>
    <col width="9" customWidth="1" min="22" max="22"/>
    <col width="30" customWidth="1" min="23" max="23"/>
    <col width="34" customWidth="1" min="24" max="24"/>
    <col width="30" customWidth="1" min="25" max="25"/>
    <col width="9" customWidth="1" min="26" max="26"/>
    <col width="30" customWidth="1" min="27" max="27"/>
    <col width="34" customWidth="1" min="28" max="28"/>
    <col width="30" customWidth="1" min="29" max="29"/>
    <col width="9" customWidth="1" min="30" max="30"/>
    <col width="30" customWidth="1" min="31" max="31"/>
    <col width="34" customWidth="1" min="32" max="32"/>
    <col width="30" customWidth="1" min="33" max="33"/>
    <col width="26" customWidth="1" min="34" max="34"/>
    <col width="16" customWidth="1" min="35" max="35"/>
    <col width="22" customWidth="1" min="36" max="36"/>
    <col width="18" customWidth="1" min="37" max="37"/>
    <col width="40" customWidth="1" min="38" max="38"/>
  </cols>
  <sheetData>
    <row r="1" ht="24" customHeight="1">
      <c r="A1" s="1" t="inlineStr">
        <is>
          <t>Role &amp; band matrix — Product Management</t>
        </is>
      </c>
      <c r="O1" s="7" t="inlineStr">
        <is>
          <t>◂ Start</t>
        </is>
      </c>
    </row>
    <row r="2" ht="30" customHeight="1">
      <c r="A2" s="2" t="inlineStr">
        <is>
          <t>What Low, Medium and High mean for each of the seven parameters at every level of Product Management, and how much each parameter counts · main type of work: Product &amp; programme. Medium is the band as described; Low is the level below; High is the level above. Change a yellow weightage and every role, department ladder and person in this family recalculates.</t>
        </is>
      </c>
    </row>
    <row r="3">
      <c r="A3" s="3" t="inlineStr">
        <is>
          <t>IRIS · Job Architecture &amp; Job Design · Final v1.15 · October 2026 · Internal — Confidential · HR only</t>
        </is>
      </c>
    </row>
    <row r="4" ht="30" customHeight="1">
      <c r="A4" s="6" t="inlineStr">
        <is>
          <t>LEVEL</t>
        </is>
      </c>
      <c r="B4" s="6" t="n"/>
      <c r="C4" s="6" t="n"/>
      <c r="D4" s="6" t="n"/>
      <c r="E4" s="6" t="n"/>
      <c r="F4" s="45" t="inlineStr">
        <is>
          <t>COMPLEXITY &amp; EXPERTISE</t>
        </is>
      </c>
      <c r="G4" s="45" t="n"/>
      <c r="H4" s="45" t="n"/>
      <c r="I4" s="45" t="n"/>
      <c r="J4" s="45" t="inlineStr">
        <is>
          <t>AUTONOMY &amp; DECISION</t>
        </is>
      </c>
      <c r="K4" s="45" t="n"/>
      <c r="L4" s="45" t="n"/>
      <c r="M4" s="45" t="n"/>
      <c r="N4" s="45" t="inlineStr">
        <is>
          <t>ACCOUNTABILITY &amp; IMPACT</t>
        </is>
      </c>
      <c r="O4" s="45" t="n"/>
      <c r="P4" s="45" t="n"/>
      <c r="Q4" s="45" t="n"/>
      <c r="R4" s="47" t="inlineStr">
        <is>
          <t>LEADERSHIP &amp; STRATEGY</t>
        </is>
      </c>
      <c r="S4" s="47" t="n"/>
      <c r="T4" s="47" t="n"/>
      <c r="U4" s="47" t="n"/>
      <c r="V4" s="47" t="inlineStr">
        <is>
          <t>BUSINESS IMPACT</t>
        </is>
      </c>
      <c r="W4" s="47" t="n"/>
      <c r="X4" s="47" t="n"/>
      <c r="Y4" s="47" t="n"/>
      <c r="Z4" s="81" t="inlineStr">
        <is>
          <t>EXPERIENCE</t>
        </is>
      </c>
      <c r="AA4" s="81" t="n"/>
      <c r="AB4" s="81" t="n"/>
      <c r="AC4" s="81" t="n"/>
      <c r="AD4" s="81" t="inlineStr">
        <is>
          <t>EDUCATION</t>
        </is>
      </c>
      <c r="AE4" s="81" t="n"/>
      <c r="AF4" s="81" t="n"/>
      <c r="AG4" s="81" t="n"/>
      <c r="AH4" s="20" t="inlineStr">
        <is>
          <t>MARKET BENCHMARK &amp; REFERENCES</t>
        </is>
      </c>
      <c r="AI4" s="20" t="n"/>
      <c r="AJ4" s="20" t="n"/>
      <c r="AK4" s="20" t="n"/>
      <c r="AL4" s="20" t="n"/>
    </row>
    <row r="5" ht="60" customHeight="1">
      <c r="A5" s="22" t="inlineStr">
        <is>
          <t>Level</t>
        </is>
      </c>
      <c r="B5" s="22" t="inlineStr">
        <is>
          <t>Band</t>
        </is>
      </c>
      <c r="C5" s="22" t="inlineStr">
        <is>
          <t>Role group</t>
        </is>
      </c>
      <c r="D5" s="22" t="inlineStr">
        <is>
          <t>Level title</t>
        </is>
      </c>
      <c r="E5" s="22" t="inlineStr">
        <is>
          <t>Roles at this level in this family</t>
        </is>
      </c>
      <c r="F5" s="48" t="inlineStr">
        <is>
          <t>Weightage · L/M/H</t>
        </is>
      </c>
      <c r="G5" s="48" t="inlineStr">
        <is>
          <t>Low</t>
        </is>
      </c>
      <c r="H5" s="48" t="inlineStr">
        <is>
          <t>Medium</t>
        </is>
      </c>
      <c r="I5" s="48" t="inlineStr">
        <is>
          <t>High</t>
        </is>
      </c>
      <c r="J5" s="48" t="inlineStr">
        <is>
          <t>Weightage · L/M/H</t>
        </is>
      </c>
      <c r="K5" s="48" t="inlineStr">
        <is>
          <t>Low</t>
        </is>
      </c>
      <c r="L5" s="48" t="inlineStr">
        <is>
          <t>Medium</t>
        </is>
      </c>
      <c r="M5" s="48" t="inlineStr">
        <is>
          <t>High</t>
        </is>
      </c>
      <c r="N5" s="48" t="inlineStr">
        <is>
          <t>Weightage · L/M/H</t>
        </is>
      </c>
      <c r="O5" s="48" t="inlineStr">
        <is>
          <t>Low</t>
        </is>
      </c>
      <c r="P5" s="48" t="inlineStr">
        <is>
          <t>Medium</t>
        </is>
      </c>
      <c r="Q5" s="48" t="inlineStr">
        <is>
          <t>High</t>
        </is>
      </c>
      <c r="R5" s="50" t="inlineStr">
        <is>
          <t>Weightage · L/M/H</t>
        </is>
      </c>
      <c r="S5" s="50" t="inlineStr">
        <is>
          <t>Low</t>
        </is>
      </c>
      <c r="T5" s="50" t="inlineStr">
        <is>
          <t>Medium</t>
        </is>
      </c>
      <c r="U5" s="50" t="inlineStr">
        <is>
          <t>High</t>
        </is>
      </c>
      <c r="V5" s="50" t="inlineStr">
        <is>
          <t>Weightage · L/M/H</t>
        </is>
      </c>
      <c r="W5" s="50" t="inlineStr">
        <is>
          <t>Low</t>
        </is>
      </c>
      <c r="X5" s="50" t="inlineStr">
        <is>
          <t>Medium</t>
        </is>
      </c>
      <c r="Y5" s="50" t="inlineStr">
        <is>
          <t>High</t>
        </is>
      </c>
      <c r="Z5" s="82" t="inlineStr">
        <is>
          <t>Weightage · L/M/H</t>
        </is>
      </c>
      <c r="AA5" s="82" t="inlineStr">
        <is>
          <t>Low</t>
        </is>
      </c>
      <c r="AB5" s="82" t="inlineStr">
        <is>
          <t>Medium</t>
        </is>
      </c>
      <c r="AC5" s="82" t="inlineStr">
        <is>
          <t>High</t>
        </is>
      </c>
      <c r="AD5" s="82" t="inlineStr">
        <is>
          <t>Weightage · L/M/H</t>
        </is>
      </c>
      <c r="AE5" s="82" t="inlineStr">
        <is>
          <t>Low</t>
        </is>
      </c>
      <c r="AF5" s="82" t="inlineStr">
        <is>
          <t>Medium</t>
        </is>
      </c>
      <c r="AG5" s="82" t="inlineStr">
        <is>
          <t>High</t>
        </is>
      </c>
      <c r="AH5" s="26" t="inlineStr">
        <is>
          <t>Market weight % · C · Au · Ac · L · BI · Exp · Edu</t>
        </is>
      </c>
      <c r="AI5" s="26" t="inlineStr">
        <is>
          <t>Market experience · yrs</t>
        </is>
      </c>
      <c r="AJ5" s="26" t="inlineStr">
        <is>
          <t>Span norm</t>
        </is>
      </c>
      <c r="AK5" s="26" t="inlineStr">
        <is>
          <t>Radford / Mercer · SFIA 9</t>
        </is>
      </c>
      <c r="AL5" s="26" t="inlineStr">
        <is>
          <t>References</t>
        </is>
      </c>
    </row>
    <row r="6" ht="120" customHeight="1">
      <c r="A6" s="83" t="inlineStr">
        <is>
          <t>E2</t>
        </is>
      </c>
      <c r="B6" s="29" t="inlineStr">
        <is>
          <t>Band E · Enterprise leadership</t>
        </is>
      </c>
      <c r="C6" s="29" t="inlineStr">
        <is>
          <t>Bands D–E · Leadership</t>
        </is>
      </c>
      <c r="D6" s="29" t="inlineStr">
        <is>
          <t>Chief Executive Officer</t>
        </is>
      </c>
      <c r="E6" s="29" t="inlineStr">
        <is>
          <t>— no role at this level today</t>
        </is>
      </c>
      <c r="F6" s="34" t="inlineStr">
        <is>
          <t>H</t>
        </is>
      </c>
      <c r="G6" s="84" t="inlineStr">
        <is>
          <t>Works at E1: Enterprise-level functional strategy</t>
        </is>
      </c>
      <c r="H6" s="84" t="inlineStr">
        <is>
          <t>Enterprise-wide uncertainty, transformation and external forces</t>
        </is>
      </c>
      <c r="I6" s="84" t="inlineStr">
        <is>
          <t>Beyond the role · a board-level mandate</t>
        </is>
      </c>
      <c r="J6" s="34" t="inlineStr">
        <is>
          <t>M</t>
        </is>
      </c>
      <c r="K6" s="84" t="inlineStr">
        <is>
          <t>Works at E1: Sets enterprise priorities for the function</t>
        </is>
      </c>
      <c r="L6" s="84" t="inlineStr">
        <is>
          <t>Accountable to the board</t>
        </is>
      </c>
      <c r="M6" s="84" t="inlineStr">
        <is>
          <t>Beyond the role · a board-level mandate</t>
        </is>
      </c>
      <c r="N6" s="34" t="inlineStr">
        <is>
          <t>M</t>
        </is>
      </c>
      <c r="O6" s="84" t="inlineStr">
        <is>
          <t>Works at E1: Enterprise-wide functional results</t>
        </is>
      </c>
      <c r="P6" s="84" t="inlineStr">
        <is>
          <t>Enterprise results, risk, culture and long-term viability</t>
        </is>
      </c>
      <c r="Q6" s="84" t="inlineStr">
        <is>
          <t>Beyond the role · a board-level mandate</t>
        </is>
      </c>
      <c r="R6" s="34" t="inlineStr">
        <is>
          <t>M</t>
        </is>
      </c>
      <c r="S6" s="56" t="inlineStr">
        <is>
          <t>Works at E1: Shapes enterprise strategy</t>
        </is>
      </c>
      <c r="T6" s="56" t="inlineStr">
        <is>
          <t>Sets enterprise strategy; leads the executive team</t>
        </is>
      </c>
      <c r="U6" s="56" t="inlineStr">
        <is>
          <t>Beyond the role · a board-level mandate</t>
        </is>
      </c>
      <c r="V6" s="34" t="inlineStr">
        <is>
          <t>L</t>
        </is>
      </c>
      <c r="W6" s="56" t="inlineStr">
        <is>
          <t>Works at E1: Shapes company-wide results through a function</t>
        </is>
      </c>
      <c r="X6" s="56" t="inlineStr">
        <is>
          <t>Answers for the whole company's results and long-term value</t>
        </is>
      </c>
      <c r="Y6" s="56" t="inlineStr">
        <is>
          <t>Beyond the role · a board-level mandate</t>
        </is>
      </c>
      <c r="Z6" s="34" t="inlineStr">
        <is>
          <t>L</t>
        </is>
      </c>
      <c r="AA6" s="85" t="inlineStr">
        <is>
          <t>Less experience than the band's typical 20+ yrs</t>
        </is>
      </c>
      <c r="AB6" s="85" t="inlineStr">
        <is>
          <t>Typical for the band: 20+ yrs · market — yrs</t>
        </is>
      </c>
      <c r="AC6" s="85" t="inlineStr">
        <is>
          <t>More experience than the band's typical 20+ yrs</t>
        </is>
      </c>
      <c r="AD6" s="34" t="inlineStr">
        <is>
          <t>L</t>
        </is>
      </c>
      <c r="AE6" s="85" t="inlineStr">
        <is>
          <t>Below: Postgraduate / professional qualification; business leadership record</t>
        </is>
      </c>
      <c r="AF6" s="85" t="inlineStr">
        <is>
          <t>Postgraduate / professional qualification; proven business leadership</t>
        </is>
      </c>
      <c r="AG6" s="85" t="inlineStr">
        <is>
          <t>Board-level credentials beyond the role's need</t>
        </is>
      </c>
      <c r="AH6" s="44" t="inlineStr">
        <is>
          <t>36.3 · 19 · 11.3 · 20 · 8.7 · 4 · 1</t>
        </is>
      </c>
      <c r="AI6" s="38" t="inlineStr">
        <is>
          <t>20+ yrs</t>
        </is>
      </c>
      <c r="AJ6" s="38" t="inlineStr">
        <is>
          <t>Executive team</t>
        </is>
      </c>
      <c r="AK6" s="38" t="inlineStr">
        <is>
          <t>E6 · SFIA 7</t>
        </is>
      </c>
      <c r="AL6"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7" ht="120" customHeight="1">
      <c r="A7" s="83" t="inlineStr">
        <is>
          <t>E1</t>
        </is>
      </c>
      <c r="B7" s="29" t="inlineStr">
        <is>
          <t>Band E · Enterprise leadership</t>
        </is>
      </c>
      <c r="C7" s="29" t="inlineStr">
        <is>
          <t>Bands D–E · Leadership</t>
        </is>
      </c>
      <c r="D7" s="29" t="inlineStr">
        <is>
          <t>CXO / President</t>
        </is>
      </c>
      <c r="E7" s="29" t="inlineStr">
        <is>
          <t>— no role at this level today</t>
        </is>
      </c>
      <c r="F7" s="34" t="inlineStr">
        <is>
          <t>H</t>
        </is>
      </c>
      <c r="G7" s="84" t="inlineStr">
        <is>
          <t>Works at D2: Portfolio-level strategic, financial and regulatory trade-offs</t>
        </is>
      </c>
      <c r="H7" s="84" t="inlineStr">
        <is>
          <t>Enterprise-level functional strategy</t>
        </is>
      </c>
      <c r="I7" s="84" t="inlineStr">
        <is>
          <t>Already works at E2: Enterprise-wide uncertainty, transformation and external forces</t>
        </is>
      </c>
      <c r="J7" s="34" t="inlineStr">
        <is>
          <t>M</t>
        </is>
      </c>
      <c r="K7" s="84" t="inlineStr">
        <is>
          <t>Works at D2: Sets direction across business lines</t>
        </is>
      </c>
      <c r="L7" s="84" t="inlineStr">
        <is>
          <t>Sets enterprise priorities for the function</t>
        </is>
      </c>
      <c r="M7" s="84" t="inlineStr">
        <is>
          <t>Already works at E2: Accountable to the board</t>
        </is>
      </c>
      <c r="N7" s="34" t="inlineStr">
        <is>
          <t>M</t>
        </is>
      </c>
      <c r="O7" s="84" t="inlineStr">
        <is>
          <t>Works at D2: Multi-business results</t>
        </is>
      </c>
      <c r="P7" s="84" t="inlineStr">
        <is>
          <t>Enterprise-wide functional results</t>
        </is>
      </c>
      <c r="Q7" s="84" t="inlineStr">
        <is>
          <t>Already works at E2: Enterprise results, risk, culture and long-term viability</t>
        </is>
      </c>
      <c r="R7" s="34" t="inlineStr">
        <is>
          <t>M</t>
        </is>
      </c>
      <c r="S7" s="56" t="inlineStr">
        <is>
          <t>Works at D2: Builds the leadership team across businesses</t>
        </is>
      </c>
      <c r="T7" s="56" t="inlineStr">
        <is>
          <t>Shapes enterprise strategy</t>
        </is>
      </c>
      <c r="U7" s="56" t="inlineStr">
        <is>
          <t>Already works at E2: Sets enterprise strategy; leads the executive team</t>
        </is>
      </c>
      <c r="V7" s="34" t="inlineStr">
        <is>
          <t>L</t>
        </is>
      </c>
      <c r="W7" s="56" t="inlineStr">
        <is>
          <t>Works at D2: Owns the results of several business lines</t>
        </is>
      </c>
      <c r="X7" s="56" t="inlineStr">
        <is>
          <t>Shapes company-wide results through a function</t>
        </is>
      </c>
      <c r="Y7" s="56" t="inlineStr">
        <is>
          <t>Already works at E2: Answers for the whole company's results and long-term value</t>
        </is>
      </c>
      <c r="Z7" s="34" t="inlineStr">
        <is>
          <t>L</t>
        </is>
      </c>
      <c r="AA7" s="85" t="inlineStr">
        <is>
          <t>Less experience than the band's typical 20+ yrs</t>
        </is>
      </c>
      <c r="AB7" s="85" t="inlineStr">
        <is>
          <t>Typical for the band: 20+ yrs · market — yrs</t>
        </is>
      </c>
      <c r="AC7" s="85" t="inlineStr">
        <is>
          <t>More experience than the band's typical 20+ yrs</t>
        </is>
      </c>
      <c r="AD7" s="34" t="inlineStr">
        <is>
          <t>L</t>
        </is>
      </c>
      <c r="AE7" s="85" t="inlineStr">
        <is>
          <t>Below: Postgraduate / professional qualification preferred</t>
        </is>
      </c>
      <c r="AF7" s="85" t="inlineStr">
        <is>
          <t>Postgraduate / professional qualification; business leadership record</t>
        </is>
      </c>
      <c r="AG7" s="85" t="inlineStr">
        <is>
          <t>Above: Postgraduate / professional qualification; proven business leadership</t>
        </is>
      </c>
      <c r="AH7" s="44" t="inlineStr">
        <is>
          <t>36.3 · 19 · 11.3 · 20 · 8.7 · 4 · 1</t>
        </is>
      </c>
      <c r="AI7" s="38" t="inlineStr">
        <is>
          <t>20+ yrs</t>
        </is>
      </c>
      <c r="AJ7" s="38" t="inlineStr">
        <is>
          <t>5–8 function heads</t>
        </is>
      </c>
      <c r="AK7" s="38" t="inlineStr">
        <is>
          <t>E5 · SFIA 7</t>
        </is>
      </c>
      <c r="AL7"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8" ht="120" customHeight="1">
      <c r="A8" s="86" t="inlineStr">
        <is>
          <t>D2</t>
        </is>
      </c>
      <c r="B8" s="29" t="inlineStr">
        <is>
          <t>Band D · Business leadership</t>
        </is>
      </c>
      <c r="C8" s="29" t="inlineStr">
        <is>
          <t>Bands D–E · Leadership</t>
        </is>
      </c>
      <c r="D8" s="29" t="inlineStr">
        <is>
          <t>Senior Vice President / Business Head</t>
        </is>
      </c>
      <c r="E8" s="29" t="inlineStr">
        <is>
          <t>— no role at this level today</t>
        </is>
      </c>
      <c r="F8" s="34" t="inlineStr">
        <is>
          <t>H</t>
        </is>
      </c>
      <c r="G8" s="84" t="inlineStr">
        <is>
          <t>Works at D1: Competing strategic, financial and regulatory priorities</t>
        </is>
      </c>
      <c r="H8" s="84" t="inlineStr">
        <is>
          <t>Portfolio-level strategic, financial and regulatory trade-offs</t>
        </is>
      </c>
      <c r="I8" s="84" t="inlineStr">
        <is>
          <t>Already works at E1: Enterprise-level functional strategy</t>
        </is>
      </c>
      <c r="J8" s="34" t="inlineStr">
        <is>
          <t>M</t>
        </is>
      </c>
      <c r="K8" s="84" t="inlineStr">
        <is>
          <t>Works at D1: Sets business-line direction, pricing and investment</t>
        </is>
      </c>
      <c r="L8" s="84" t="inlineStr">
        <is>
          <t>Sets direction across business lines</t>
        </is>
      </c>
      <c r="M8" s="84" t="inlineStr">
        <is>
          <t>Already works at E1: Sets enterprise priorities for the function</t>
        </is>
      </c>
      <c r="N8" s="34" t="inlineStr">
        <is>
          <t>M</t>
        </is>
      </c>
      <c r="O8" s="84" t="inlineStr">
        <is>
          <t>Works at D1: Business-line P&amp;L and market position</t>
        </is>
      </c>
      <c r="P8" s="84" t="inlineStr">
        <is>
          <t>Multi-business results</t>
        </is>
      </c>
      <c r="Q8" s="84" t="inlineStr">
        <is>
          <t>Already works at E1: Enterprise-wide functional results</t>
        </is>
      </c>
      <c r="R8" s="34" t="inlineStr">
        <is>
          <t>M</t>
        </is>
      </c>
      <c r="S8" s="56" t="inlineStr">
        <is>
          <t>Works at D1: Defines business strategy; builds the leadership bench</t>
        </is>
      </c>
      <c r="T8" s="56" t="inlineStr">
        <is>
          <t>Builds the leadership team across businesses</t>
        </is>
      </c>
      <c r="U8" s="56" t="inlineStr">
        <is>
          <t>Already works at E1: Shapes enterprise strategy</t>
        </is>
      </c>
      <c r="V8" s="34" t="inlineStr">
        <is>
          <t>L</t>
        </is>
      </c>
      <c r="W8" s="56" t="inlineStr">
        <is>
          <t>Works at D1: Owns a business line's P&amp;L and growth, or a company-wide function</t>
        </is>
      </c>
      <c r="X8" s="56" t="inlineStr">
        <is>
          <t>Owns the results of several business lines</t>
        </is>
      </c>
      <c r="Y8" s="56" t="inlineStr">
        <is>
          <t>Already works at E1: Shapes company-wide results through a function</t>
        </is>
      </c>
      <c r="Z8" s="34" t="inlineStr">
        <is>
          <t>L</t>
        </is>
      </c>
      <c r="AA8" s="85" t="inlineStr">
        <is>
          <t>Less experience than the band's typical 18–24 yrs</t>
        </is>
      </c>
      <c r="AB8" s="85" t="inlineStr">
        <is>
          <t>Typical for the band: 18–24 yrs · market — yrs</t>
        </is>
      </c>
      <c r="AC8" s="85" t="inlineStr">
        <is>
          <t>More experience than the band's typical 18–24 yrs</t>
        </is>
      </c>
      <c r="AD8" s="34" t="inlineStr">
        <is>
          <t>L</t>
        </is>
      </c>
      <c r="AE8" s="85" t="inlineStr">
        <is>
          <t>Below: Postgraduate / professional qualification preferred</t>
        </is>
      </c>
      <c r="AF8" s="85" t="inlineStr">
        <is>
          <t>Postgraduate / professional qualification preferred</t>
        </is>
      </c>
      <c r="AG8" s="85" t="inlineStr">
        <is>
          <t>Above: Postgraduate / professional qualification; business leadership record</t>
        </is>
      </c>
      <c r="AH8" s="44" t="inlineStr">
        <is>
          <t>36.3 · 19 · 11.3 · 20 · 8.7 · 4 · 1</t>
        </is>
      </c>
      <c r="AI8" s="38" t="inlineStr">
        <is>
          <t>18–24 yrs</t>
        </is>
      </c>
      <c r="AJ8" s="38" t="inlineStr">
        <is>
          <t>5–8 AVPs / heads</t>
        </is>
      </c>
      <c r="AK8" s="38" t="inlineStr">
        <is>
          <t>E3–E4 · SFIA 7 Set strategy</t>
        </is>
      </c>
      <c r="AL8"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9" ht="120" customHeight="1">
      <c r="A9" s="86" t="inlineStr">
        <is>
          <t>D1</t>
        </is>
      </c>
      <c r="B9" s="29" t="inlineStr">
        <is>
          <t>Band D · Business leadership</t>
        </is>
      </c>
      <c r="C9" s="29" t="inlineStr">
        <is>
          <t>Bands D–E · Leadership</t>
        </is>
      </c>
      <c r="D9" s="29" t="inlineStr">
        <is>
          <t>Associate Vice President</t>
        </is>
      </c>
      <c r="E9" s="29" t="inlineStr">
        <is>
          <t>— no role at this level today</t>
        </is>
      </c>
      <c r="F9" s="34" t="inlineStr">
        <is>
          <t>H</t>
        </is>
      </c>
      <c r="G9" s="84" t="inlineStr">
        <is>
          <t>Works at C2: Function-wide or company-wide problems; creates methods and standards</t>
        </is>
      </c>
      <c r="H9" s="84" t="inlineStr">
        <is>
          <t>Competing strategic, financial and regulatory priorities</t>
        </is>
      </c>
      <c r="I9" s="84" t="inlineStr">
        <is>
          <t>Already works at D2: Portfolio-level strategic, financial and regulatory trade-offs</t>
        </is>
      </c>
      <c r="J9" s="34" t="inlineStr">
        <is>
          <t>M</t>
        </is>
      </c>
      <c r="K9" s="84" t="inlineStr">
        <is>
          <t>Works at C2: Sets direction for a function</t>
        </is>
      </c>
      <c r="L9" s="84" t="inlineStr">
        <is>
          <t>Sets business-line direction, pricing and investment</t>
        </is>
      </c>
      <c r="M9" s="84" t="inlineStr">
        <is>
          <t>Already works at D2: Sets direction across business lines</t>
        </is>
      </c>
      <c r="N9" s="34" t="inlineStr">
        <is>
          <t>M</t>
        </is>
      </c>
      <c r="O9" s="84" t="inlineStr">
        <is>
          <t>Works at C2: Function results, budget and risk</t>
        </is>
      </c>
      <c r="P9" s="84" t="inlineStr">
        <is>
          <t>Business-line P&amp;L and market position</t>
        </is>
      </c>
      <c r="Q9" s="84" t="inlineStr">
        <is>
          <t>Already works at D2: Multi-business results</t>
        </is>
      </c>
      <c r="R9" s="34" t="inlineStr">
        <is>
          <t>M</t>
        </is>
      </c>
      <c r="S9" s="56" t="inlineStr">
        <is>
          <t>Works at C2: Leads a function; shapes functional strategy</t>
        </is>
      </c>
      <c r="T9" s="56" t="inlineStr">
        <is>
          <t>Defines business strategy; builds the leadership bench</t>
        </is>
      </c>
      <c r="U9" s="56" t="inlineStr">
        <is>
          <t>Already works at D2: Builds the leadership team across businesses</t>
        </is>
      </c>
      <c r="V9" s="34" t="inlineStr">
        <is>
          <t>L</t>
        </is>
      </c>
      <c r="W9" s="56" t="inlineStr">
        <is>
          <t>Works at C2: Drives a function's or department's results and costs</t>
        </is>
      </c>
      <c r="X9" s="56" t="inlineStr">
        <is>
          <t>Owns a business line's P&amp;L and growth, or a company-wide function</t>
        </is>
      </c>
      <c r="Y9" s="56" t="inlineStr">
        <is>
          <t>Already works at D2: Owns the results of several business lines</t>
        </is>
      </c>
      <c r="Z9" s="34" t="inlineStr">
        <is>
          <t>L</t>
        </is>
      </c>
      <c r="AA9" s="85" t="inlineStr">
        <is>
          <t>Less experience than the band's typical 15–20 yrs</t>
        </is>
      </c>
      <c r="AB9" s="85" t="inlineStr">
        <is>
          <t>Typical for the band: 15–20 yrs · market — yrs</t>
        </is>
      </c>
      <c r="AC9" s="85" t="inlineStr">
        <is>
          <t>More experience than the band's typical 15–20 yrs</t>
        </is>
      </c>
      <c r="AD9" s="34" t="inlineStr">
        <is>
          <t>L</t>
        </is>
      </c>
      <c r="AE9" s="85" t="inlineStr">
        <is>
          <t>Below: Postgraduate / professional qualification preferred</t>
        </is>
      </c>
      <c r="AF9" s="85" t="inlineStr">
        <is>
          <t>Postgraduate / professional qualification preferred</t>
        </is>
      </c>
      <c r="AG9" s="85" t="inlineStr">
        <is>
          <t>Above: Postgraduate / professional qualification preferred</t>
        </is>
      </c>
      <c r="AH9" s="44" t="inlineStr">
        <is>
          <t>36.3 · 19 · 11.3 · 20 · 8.7 · 4 · 1</t>
        </is>
      </c>
      <c r="AI9" s="38" t="inlineStr">
        <is>
          <t>15–20 yrs</t>
        </is>
      </c>
      <c r="AJ9" s="38" t="inlineStr">
        <is>
          <t>5–8 heads</t>
        </is>
      </c>
      <c r="AK9" s="38" t="inlineStr">
        <is>
          <t>E1–E2 · SFIA 6–7</t>
        </is>
      </c>
      <c r="AL9"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0" ht="120" customHeight="1">
      <c r="A10" s="87" t="inlineStr">
        <is>
          <t>C+</t>
        </is>
      </c>
      <c r="B10" s="29" t="inlineStr">
        <is>
          <t>C+ · Player-Coach</t>
        </is>
      </c>
      <c r="C10" s="29" t="inlineStr">
        <is>
          <t>C+ · Player-Coach</t>
        </is>
      </c>
      <c r="D10" s="29" t="inlineStr">
        <is>
          <t>Group Head · Player-Coach</t>
        </is>
      </c>
      <c r="E10" s="29" t="inlineStr">
        <is>
          <t>— no role at this level today</t>
        </is>
      </c>
      <c r="F10" s="34" t="inlineStr">
        <is>
          <t>H</t>
        </is>
      </c>
      <c r="G10" s="84" t="inlineStr">
        <is>
          <t>Works at C2: Function-wide or company-wide problems; creates methods and standards</t>
        </is>
      </c>
      <c r="H10" s="84" t="inlineStr">
        <is>
          <t>Function-wide and cross-product problems; personally handles the most critical client or technical work</t>
        </is>
      </c>
      <c r="I10" s="84" t="inlineStr">
        <is>
          <t>Already works at D1: Competing strategic, financial and regulatory priorities</t>
        </is>
      </c>
      <c r="J10" s="34" t="inlineStr">
        <is>
          <t>M</t>
        </is>
      </c>
      <c r="K10" s="84" t="inlineStr">
        <is>
          <t>Works at C2: Sets direction for a function</t>
        </is>
      </c>
      <c r="L10" s="84" t="inlineStr">
        <is>
          <t>Sets direction for the function; business-line trade-offs go to the Business Head</t>
        </is>
      </c>
      <c r="M10" s="84" t="inlineStr">
        <is>
          <t>Already works at D1: Sets business-line direction, pricing and investment</t>
        </is>
      </c>
      <c r="N10" s="34" t="inlineStr">
        <is>
          <t>M</t>
        </is>
      </c>
      <c r="O10" s="84" t="inlineStr">
        <is>
          <t>Works at C2: Function results, budget and risk</t>
        </is>
      </c>
      <c r="P10" s="84" t="inlineStr">
        <is>
          <t>Function results, budget and key-client outcomes; carries own book or principal delivery</t>
        </is>
      </c>
      <c r="Q10" s="84" t="inlineStr">
        <is>
          <t>Already works at D1: Business-line P&amp;L and market position</t>
        </is>
      </c>
      <c r="R10" s="34" t="inlineStr">
        <is>
          <t>M</t>
        </is>
      </c>
      <c r="S10" s="56" t="inlineStr">
        <is>
          <t>Works at C2: Leads a function; shapes functional strategy</t>
        </is>
      </c>
      <c r="T10" s="56" t="inlineStr">
        <is>
          <t>Leads managers and leads and 10+ people in the function while staying hands-on</t>
        </is>
      </c>
      <c r="U10" s="56" t="inlineStr">
        <is>
          <t>Already works at D1: Defines business strategy; builds the leadership bench</t>
        </is>
      </c>
      <c r="V10" s="34" t="inlineStr">
        <is>
          <t>L</t>
        </is>
      </c>
      <c r="W10" s="56" t="inlineStr">
        <is>
          <t>Works at C2: Drives a function's or department's results and costs</t>
        </is>
      </c>
      <c r="X10" s="56" t="inlineStr">
        <is>
          <t>Drives a function's results and personally wins or delivers key work</t>
        </is>
      </c>
      <c r="Y10" s="56" t="inlineStr">
        <is>
          <t>Already works at D1: Owns a business line's P&amp;L and growth, or a company-wide function</t>
        </is>
      </c>
      <c r="Z10" s="34" t="inlineStr">
        <is>
          <t>L</t>
        </is>
      </c>
      <c r="AA10" s="85" t="inlineStr">
        <is>
          <t>Less experience than the band's typical 13–18 yrs</t>
        </is>
      </c>
      <c r="AB10" s="85" t="inlineStr">
        <is>
          <t>Typical for the band: 13–18 yrs · market 15–18 yrs</t>
        </is>
      </c>
      <c r="AC10" s="85" t="inlineStr">
        <is>
          <t>More experience than the band's typical 13–18 yrs</t>
        </is>
      </c>
      <c r="AD10" s="34" t="inlineStr">
        <is>
          <t>L</t>
        </is>
      </c>
      <c r="AE10" s="85" t="inlineStr">
        <is>
          <t>Below: Postgraduate / professional qualification preferred</t>
        </is>
      </c>
      <c r="AF10" s="85" t="inlineStr">
        <is>
          <t>Postgraduate / professional qualification preferred</t>
        </is>
      </c>
      <c r="AG10" s="85" t="inlineStr">
        <is>
          <t>Above: Postgraduate / professional qualification preferred</t>
        </is>
      </c>
      <c r="AH10" s="44" t="inlineStr">
        <is>
          <t>37.7 · 18.3 · 10.7 · 20 · 8 · 4 · 1</t>
        </is>
      </c>
      <c r="AI10" s="38" t="inlineStr">
        <is>
          <t>15–18</t>
        </is>
      </c>
      <c r="AJ10" s="38" t="inlineStr">
        <is>
          <t>4–8 managers / leads with ≥ 25% of time on own principal delivery</t>
        </is>
      </c>
      <c r="AK10" s="38" t="inlineStr">
        <is>
          <t>M6 / E1 · SFIA 6 Initiate, influence</t>
        </is>
      </c>
      <c r="AL10"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1" ht="120" customHeight="1">
      <c r="A11" s="88" t="inlineStr">
        <is>
          <t>C2</t>
        </is>
      </c>
      <c r="B11" s="29" t="inlineStr">
        <is>
          <t>Band C · Principal / Head</t>
        </is>
      </c>
      <c r="C11" s="29" t="inlineStr">
        <is>
          <t>Band C · Head / manager</t>
        </is>
      </c>
      <c r="D11" s="29" t="inlineStr">
        <is>
          <t>Head of Function</t>
        </is>
      </c>
      <c r="E11" s="29" t="inlineStr">
        <is>
          <t>— no role at this level today</t>
        </is>
      </c>
      <c r="F11" s="34" t="inlineStr">
        <is>
          <t>H</t>
        </is>
      </c>
      <c r="G11" s="84" t="inlineStr">
        <is>
          <t>Works at C1: Ambiguous, cross-product problems</t>
        </is>
      </c>
      <c r="H11" s="84" t="inlineStr">
        <is>
          <t>Function-wide or company-wide problems; creates methods and standards</t>
        </is>
      </c>
      <c r="I11" s="84" t="inlineStr">
        <is>
          <t>Already works at D1: Competing strategic, financial and regulatory priorities</t>
        </is>
      </c>
      <c r="J11" s="34" t="inlineStr">
        <is>
          <t>M</t>
        </is>
      </c>
      <c r="K11" s="84" t="inlineStr">
        <is>
          <t>Works at C1: Sets direction for a sub-function or domain</t>
        </is>
      </c>
      <c r="L11" s="84" t="inlineStr">
        <is>
          <t>Sets direction for a function</t>
        </is>
      </c>
      <c r="M11" s="84" t="inlineStr">
        <is>
          <t>Already works at D1: Sets business-line direction, pricing and investment</t>
        </is>
      </c>
      <c r="N11" s="34" t="inlineStr">
        <is>
          <t>M</t>
        </is>
      </c>
      <c r="O11" s="84" t="inlineStr">
        <is>
          <t>Works at C1: Sub-function results or domain quality across products</t>
        </is>
      </c>
      <c r="P11" s="84" t="inlineStr">
        <is>
          <t>Function results, budget and risk</t>
        </is>
      </c>
      <c r="Q11" s="84" t="inlineStr">
        <is>
          <t>Already works at D1: Business-line P&amp;L and market position</t>
        </is>
      </c>
      <c r="R11" s="34" t="inlineStr">
        <is>
          <t>M</t>
        </is>
      </c>
      <c r="S11" s="56" t="inlineStr">
        <is>
          <t>Works at C1: Leads managers or a community of practice</t>
        </is>
      </c>
      <c r="T11" s="56" t="inlineStr">
        <is>
          <t>Leads a function; shapes functional strategy</t>
        </is>
      </c>
      <c r="U11" s="56" t="inlineStr">
        <is>
          <t>Already works at D1: Defines business strategy; builds the leadership bench</t>
        </is>
      </c>
      <c r="V11" s="34" t="inlineStr">
        <is>
          <t>L</t>
        </is>
      </c>
      <c r="W11" s="56" t="inlineStr">
        <is>
          <t>Works at C1: Changes results across a sub-function or across products</t>
        </is>
      </c>
      <c r="X11" s="56" t="inlineStr">
        <is>
          <t>Drives a function's or department's results and costs</t>
        </is>
      </c>
      <c r="Y11" s="56" t="inlineStr">
        <is>
          <t>Already works at D1: Owns a business line's P&amp;L and growth, or a company-wide function</t>
        </is>
      </c>
      <c r="Z11" s="34" t="inlineStr">
        <is>
          <t>L</t>
        </is>
      </c>
      <c r="AA11" s="85" t="inlineStr">
        <is>
          <t>Less experience than the band's typical 12–17 yrs</t>
        </is>
      </c>
      <c r="AB11" s="85" t="inlineStr">
        <is>
          <t>Typical for the band: 12–17 yrs · market — yrs</t>
        </is>
      </c>
      <c r="AC11" s="85" t="inlineStr">
        <is>
          <t>More experience than the band's typical 12–17 yrs</t>
        </is>
      </c>
      <c r="AD11" s="34" t="inlineStr">
        <is>
          <t>L</t>
        </is>
      </c>
      <c r="AE11" s="85" t="inlineStr">
        <is>
          <t>Below: Postgraduate / professional qualification preferred</t>
        </is>
      </c>
      <c r="AF11" s="85" t="inlineStr">
        <is>
          <t>Postgraduate / professional qualification preferred</t>
        </is>
      </c>
      <c r="AG11" s="85" t="inlineStr">
        <is>
          <t>Above: Postgraduate / professional qualification preferred</t>
        </is>
      </c>
      <c r="AH11" s="44" t="inlineStr">
        <is>
          <t>43.3 · 18 · 10.7 · 15 · 8 · 4 · 1</t>
        </is>
      </c>
      <c r="AI11" s="38" t="inlineStr">
        <is>
          <t>12–17 yrs</t>
        </is>
      </c>
      <c r="AJ11" s="38" t="inlineStr">
        <is>
          <t>5–8 managers / associate heads</t>
        </is>
      </c>
      <c r="AK11" s="38" t="inlineStr">
        <is>
          <t>P7 / M6 · SFIA 6 Initiate, influence</t>
        </is>
      </c>
      <c r="AL11"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2" ht="120" customHeight="1">
      <c r="A12" s="88" t="inlineStr">
        <is>
          <t>C2</t>
        </is>
      </c>
      <c r="B12" s="29" t="inlineStr">
        <is>
          <t>Band C · Principal / Head</t>
        </is>
      </c>
      <c r="C12" s="29" t="inlineStr">
        <is>
          <t>Band C · Principal specialist</t>
        </is>
      </c>
      <c r="D12" s="29" t="inlineStr">
        <is>
          <t>Senior Principal / Architect</t>
        </is>
      </c>
      <c r="E12" s="29" t="inlineStr">
        <is>
          <t>— no role at this level today</t>
        </is>
      </c>
      <c r="F12" s="34" t="inlineStr">
        <is>
          <t>H</t>
        </is>
      </c>
      <c r="G12" s="84" t="inlineStr">
        <is>
          <t>Works at C1: Ambiguous, cross-product problems</t>
        </is>
      </c>
      <c r="H12" s="84" t="inlineStr">
        <is>
          <t>Function-wide or company-wide problems; creates methods and standards</t>
        </is>
      </c>
      <c r="I12" s="84" t="inlineStr">
        <is>
          <t>Already works at D1: Competing strategic, financial and regulatory priorities</t>
        </is>
      </c>
      <c r="J12" s="34" t="inlineStr">
        <is>
          <t>M</t>
        </is>
      </c>
      <c r="K12" s="84" t="inlineStr">
        <is>
          <t>Works at C1: Sets direction for a sub-function or domain</t>
        </is>
      </c>
      <c r="L12" s="84" t="inlineStr">
        <is>
          <t>Sets direction for a function</t>
        </is>
      </c>
      <c r="M12" s="84" t="inlineStr">
        <is>
          <t>Already works at D1: Sets business-line direction, pricing and investment</t>
        </is>
      </c>
      <c r="N12" s="34" t="inlineStr">
        <is>
          <t>M</t>
        </is>
      </c>
      <c r="O12" s="84" t="inlineStr">
        <is>
          <t>Works at C1: Sub-function results or domain quality across products</t>
        </is>
      </c>
      <c r="P12" s="84" t="inlineStr">
        <is>
          <t>Function results, budget and risk</t>
        </is>
      </c>
      <c r="Q12" s="84" t="inlineStr">
        <is>
          <t>Already works at D1: Business-line P&amp;L and market position</t>
        </is>
      </c>
      <c r="R12" s="34" t="inlineStr">
        <is>
          <t>L</t>
        </is>
      </c>
      <c r="S12" s="56" t="inlineStr">
        <is>
          <t>Works at C1: Leads managers or a community of practice</t>
        </is>
      </c>
      <c r="T12" s="56" t="inlineStr">
        <is>
          <t>Leads a function; shapes functional strategy</t>
        </is>
      </c>
      <c r="U12" s="56" t="inlineStr">
        <is>
          <t>Already works at D1: Defines business strategy; builds the leadership bench</t>
        </is>
      </c>
      <c r="V12" s="34" t="inlineStr">
        <is>
          <t>L</t>
        </is>
      </c>
      <c r="W12" s="56" t="inlineStr">
        <is>
          <t>Works at C1: Changes results across a sub-function or across products</t>
        </is>
      </c>
      <c r="X12" s="56" t="inlineStr">
        <is>
          <t>Drives a function's or department's results and costs</t>
        </is>
      </c>
      <c r="Y12" s="56" t="inlineStr">
        <is>
          <t>Already works at D1: Owns a business line's P&amp;L and growth, or a company-wide function</t>
        </is>
      </c>
      <c r="Z12" s="34" t="inlineStr">
        <is>
          <t>L</t>
        </is>
      </c>
      <c r="AA12" s="85" t="inlineStr">
        <is>
          <t>Less experience than the band's typical 12–17 yrs</t>
        </is>
      </c>
      <c r="AB12" s="85" t="inlineStr">
        <is>
          <t>Typical for the band: 12–17 yrs · market — yrs</t>
        </is>
      </c>
      <c r="AC12" s="85" t="inlineStr">
        <is>
          <t>More experience than the band's typical 12–17 yrs</t>
        </is>
      </c>
      <c r="AD12" s="34" t="inlineStr">
        <is>
          <t>L</t>
        </is>
      </c>
      <c r="AE12" s="85" t="inlineStr">
        <is>
          <t>Below: Postgraduate / professional qualification preferred</t>
        </is>
      </c>
      <c r="AF12" s="85" t="inlineStr">
        <is>
          <t>Postgraduate / professional qualification preferred</t>
        </is>
      </c>
      <c r="AG12" s="85" t="inlineStr">
        <is>
          <t>Above: Postgraduate / professional qualification preferred</t>
        </is>
      </c>
      <c r="AH12" s="44" t="inlineStr">
        <is>
          <t>54.3 · 17.7 · 10.3 · 5 · 7.7 · 4 · 1</t>
        </is>
      </c>
      <c r="AI12" s="38" t="inlineStr">
        <is>
          <t>12–17 yrs</t>
        </is>
      </c>
      <c r="AJ12" s="38" t="inlineStr">
        <is>
          <t>5–8 managers / associate heads</t>
        </is>
      </c>
      <c r="AK12" s="38" t="inlineStr">
        <is>
          <t>P7 / M6 · SFIA 6 Initiate, influence</t>
        </is>
      </c>
      <c r="AL12"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3" ht="120" customHeight="1">
      <c r="A13" s="88" t="inlineStr">
        <is>
          <t>C1</t>
        </is>
      </c>
      <c r="B13" s="29" t="inlineStr">
        <is>
          <t>Band C · Principal / Head</t>
        </is>
      </c>
      <c r="C13" s="29" t="inlineStr">
        <is>
          <t>Band C · Head / manager</t>
        </is>
      </c>
      <c r="D13" s="29" t="inlineStr">
        <is>
          <t>Associate Head</t>
        </is>
      </c>
      <c r="E13" s="29" t="inlineStr">
        <is>
          <t>— no role at this level today</t>
        </is>
      </c>
      <c r="F13" s="34" t="inlineStr">
        <is>
          <t>H</t>
        </is>
      </c>
      <c r="G13" s="84" t="inlineStr">
        <is>
          <t>Works at B3: Sets standards for a practice; cross-team problems</t>
        </is>
      </c>
      <c r="H13" s="84" t="inlineStr">
        <is>
          <t>Ambiguous, cross-product problems</t>
        </is>
      </c>
      <c r="I13" s="84" t="inlineStr">
        <is>
          <t>Already works at C2: Function-wide or company-wide problems; creates methods and standards</t>
        </is>
      </c>
      <c r="J13" s="34" t="inlineStr">
        <is>
          <t>M</t>
        </is>
      </c>
      <c r="K13" s="84" t="inlineStr">
        <is>
          <t>Works at B3: Commercial / strategic calls for the unit</t>
        </is>
      </c>
      <c r="L13" s="84" t="inlineStr">
        <is>
          <t>Sets direction for a sub-function or domain</t>
        </is>
      </c>
      <c r="M13" s="84" t="inlineStr">
        <is>
          <t>Already works at C2: Sets direction for a function</t>
        </is>
      </c>
      <c r="N13" s="34" t="inlineStr">
        <is>
          <t>M</t>
        </is>
      </c>
      <c r="O13" s="84" t="inlineStr">
        <is>
          <t>Works at B3: Several teams or a practice</t>
        </is>
      </c>
      <c r="P13" s="84" t="inlineStr">
        <is>
          <t>Sub-function results or domain quality across products</t>
        </is>
      </c>
      <c r="Q13" s="84" t="inlineStr">
        <is>
          <t>Already works at C2: Function results, budget and risk</t>
        </is>
      </c>
      <c r="R13" s="34" t="inlineStr">
        <is>
          <t>M</t>
        </is>
      </c>
      <c r="S13" s="56" t="inlineStr">
        <is>
          <t>Works at B3: IC: leads a practice · People: team leads / managers report in</t>
        </is>
      </c>
      <c r="T13" s="56" t="inlineStr">
        <is>
          <t>Leads managers or a community of practice</t>
        </is>
      </c>
      <c r="U13" s="56" t="inlineStr">
        <is>
          <t>Already works at C2: Leads a function; shapes functional strategy</t>
        </is>
      </c>
      <c r="V13" s="34" t="inlineStr">
        <is>
          <t>L</t>
        </is>
      </c>
      <c r="W13" s="56" t="inlineStr">
        <is>
          <t>Works at B3: Shapes the results of a practice or several teams</t>
        </is>
      </c>
      <c r="X13" s="56" t="inlineStr">
        <is>
          <t>Changes results across a sub-function or across products</t>
        </is>
      </c>
      <c r="Y13" s="56" t="inlineStr">
        <is>
          <t>Already works at C2: Drives a function's or department's results and costs</t>
        </is>
      </c>
      <c r="Z13" s="34" t="inlineStr">
        <is>
          <t>L</t>
        </is>
      </c>
      <c r="AA13" s="85" t="inlineStr">
        <is>
          <t>Less experience than the band's typical 10–14 yrs</t>
        </is>
      </c>
      <c r="AB13" s="85" t="inlineStr">
        <is>
          <t>Typical for the band: 10–14 yrs · market 12–17 yrs</t>
        </is>
      </c>
      <c r="AC13" s="85" t="inlineStr">
        <is>
          <t>More experience than the band's typical 10–14 yrs</t>
        </is>
      </c>
      <c r="AD13" s="34" t="inlineStr">
        <is>
          <t>L</t>
        </is>
      </c>
      <c r="AE13" s="85" t="inlineStr">
        <is>
          <t>Below: Postgraduate or professional qualification preferred</t>
        </is>
      </c>
      <c r="AF13" s="85" t="inlineStr">
        <is>
          <t>Postgraduate / professional qualification preferred</t>
        </is>
      </c>
      <c r="AG13" s="85" t="inlineStr">
        <is>
          <t>Above: Postgraduate / professional qualification preferred</t>
        </is>
      </c>
      <c r="AH13" s="44" t="inlineStr">
        <is>
          <t>43.3 · 18 · 10.7 · 15 · 8 · 4 · 1</t>
        </is>
      </c>
      <c r="AI13" s="38" t="inlineStr">
        <is>
          <t>12–17</t>
        </is>
      </c>
      <c r="AJ13" s="38" t="inlineStr">
        <is>
          <t>5–8, mostly managers</t>
        </is>
      </c>
      <c r="AK13" s="38" t="inlineStr">
        <is>
          <t>P6 / M5 · SFIA 5–6</t>
        </is>
      </c>
      <c r="AL13"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4" ht="120" customHeight="1">
      <c r="A14" s="88" t="inlineStr">
        <is>
          <t>C1</t>
        </is>
      </c>
      <c r="B14" s="29" t="inlineStr">
        <is>
          <t>Band C · Principal / Head</t>
        </is>
      </c>
      <c r="C14" s="29" t="inlineStr">
        <is>
          <t>Band C · Principal specialist</t>
        </is>
      </c>
      <c r="D14" s="29" t="inlineStr">
        <is>
          <t>Principal</t>
        </is>
      </c>
      <c r="E14" s="29" t="inlineStr">
        <is>
          <t>— no role at this level today</t>
        </is>
      </c>
      <c r="F14" s="34" t="inlineStr">
        <is>
          <t>H</t>
        </is>
      </c>
      <c r="G14" s="84" t="inlineStr">
        <is>
          <t>Works at B3: Sets standards for a practice; cross-team problems</t>
        </is>
      </c>
      <c r="H14" s="84" t="inlineStr">
        <is>
          <t>Ambiguous, cross-product problems</t>
        </is>
      </c>
      <c r="I14" s="84" t="inlineStr">
        <is>
          <t>Already works at C2: Function-wide or company-wide problems; creates methods and standards</t>
        </is>
      </c>
      <c r="J14" s="34" t="inlineStr">
        <is>
          <t>M</t>
        </is>
      </c>
      <c r="K14" s="84" t="inlineStr">
        <is>
          <t>Works at B3: Commercial / strategic calls for the unit</t>
        </is>
      </c>
      <c r="L14" s="84" t="inlineStr">
        <is>
          <t>Sets direction for a sub-function or domain</t>
        </is>
      </c>
      <c r="M14" s="84" t="inlineStr">
        <is>
          <t>Already works at C2: Sets direction for a function</t>
        </is>
      </c>
      <c r="N14" s="34" t="inlineStr">
        <is>
          <t>M</t>
        </is>
      </c>
      <c r="O14" s="84" t="inlineStr">
        <is>
          <t>Works at B3: Several teams or a practice</t>
        </is>
      </c>
      <c r="P14" s="84" t="inlineStr">
        <is>
          <t>Sub-function results or domain quality across products</t>
        </is>
      </c>
      <c r="Q14" s="84" t="inlineStr">
        <is>
          <t>Already works at C2: Function results, budget and risk</t>
        </is>
      </c>
      <c r="R14" s="34" t="inlineStr">
        <is>
          <t>L</t>
        </is>
      </c>
      <c r="S14" s="56" t="inlineStr">
        <is>
          <t>Works at B3: IC: leads a practice · People: team leads / managers report in</t>
        </is>
      </c>
      <c r="T14" s="56" t="inlineStr">
        <is>
          <t>Leads managers or a community of practice</t>
        </is>
      </c>
      <c r="U14" s="56" t="inlineStr">
        <is>
          <t>Already works at C2: Leads a function; shapes functional strategy</t>
        </is>
      </c>
      <c r="V14" s="34" t="inlineStr">
        <is>
          <t>L</t>
        </is>
      </c>
      <c r="W14" s="56" t="inlineStr">
        <is>
          <t>Works at B3: Shapes the results of a practice or several teams</t>
        </is>
      </c>
      <c r="X14" s="56" t="inlineStr">
        <is>
          <t>Changes results across a sub-function or across products</t>
        </is>
      </c>
      <c r="Y14" s="56" t="inlineStr">
        <is>
          <t>Already works at C2: Drives a function's or department's results and costs</t>
        </is>
      </c>
      <c r="Z14" s="34" t="inlineStr">
        <is>
          <t>L</t>
        </is>
      </c>
      <c r="AA14" s="85" t="inlineStr">
        <is>
          <t>Less experience than the band's typical 10–14 yrs</t>
        </is>
      </c>
      <c r="AB14" s="85" t="inlineStr">
        <is>
          <t>Typical for the band: 10–14 yrs · market 12–17 yrs</t>
        </is>
      </c>
      <c r="AC14" s="85" t="inlineStr">
        <is>
          <t>More experience than the band's typical 10–14 yrs</t>
        </is>
      </c>
      <c r="AD14" s="34" t="inlineStr">
        <is>
          <t>L</t>
        </is>
      </c>
      <c r="AE14" s="85" t="inlineStr">
        <is>
          <t>Below: Postgraduate or professional qualification preferred</t>
        </is>
      </c>
      <c r="AF14" s="85" t="inlineStr">
        <is>
          <t>Postgraduate / professional qualification preferred</t>
        </is>
      </c>
      <c r="AG14" s="85" t="inlineStr">
        <is>
          <t>Above: Postgraduate / professional qualification preferred</t>
        </is>
      </c>
      <c r="AH14" s="44" t="inlineStr">
        <is>
          <t>54.3 · 17.7 · 10.3 · 5 · 7.7 · 4 · 1</t>
        </is>
      </c>
      <c r="AI14" s="38" t="inlineStr">
        <is>
          <t>12–17</t>
        </is>
      </c>
      <c r="AJ14" s="38" t="inlineStr">
        <is>
          <t>5–8, mostly managers</t>
        </is>
      </c>
      <c r="AK14" s="38" t="inlineStr">
        <is>
          <t>P6 / M5 · SFIA 5–6</t>
        </is>
      </c>
      <c r="AL14"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5" ht="120" customHeight="1">
      <c r="A15" s="89" t="inlineStr">
        <is>
          <t>B+</t>
        </is>
      </c>
      <c r="B15" s="29" t="inlineStr">
        <is>
          <t>B+ · Player-Coach</t>
        </is>
      </c>
      <c r="C15" s="29" t="inlineStr">
        <is>
          <t>B+ · Player-Coach</t>
        </is>
      </c>
      <c r="D15" s="29" t="inlineStr">
        <is>
          <t>Practice Lead · Player-Coach</t>
        </is>
      </c>
      <c r="E15" s="29" t="inlineStr">
        <is>
          <t>— no role at this level today</t>
        </is>
      </c>
      <c r="F15" s="34" t="inlineStr">
        <is>
          <t>H</t>
        </is>
      </c>
      <c r="G15" s="84" t="inlineStr">
        <is>
          <t>Works at B3: Sets standards for a practice; cross-team problems</t>
        </is>
      </c>
      <c r="H15" s="84" t="inlineStr">
        <is>
          <t>Principal-level problems in own domain; sets technical or quality standards and still builds</t>
        </is>
      </c>
      <c r="I15" s="84" t="inlineStr">
        <is>
          <t>Already works at C1: Ambiguous, cross-product problems</t>
        </is>
      </c>
      <c r="J15" s="34" t="inlineStr">
        <is>
          <t>M</t>
        </is>
      </c>
      <c r="K15" s="84" t="inlineStr">
        <is>
          <t>Works at B3: Commercial / strategic calls for the unit</t>
        </is>
      </c>
      <c r="L15" s="84" t="inlineStr">
        <is>
          <t>Decides approach and priorities for the practice; escalates only cross-function trade-offs</t>
        </is>
      </c>
      <c r="M15" s="84" t="inlineStr">
        <is>
          <t>Already works at C1: Sets direction for a sub-function or domain</t>
        </is>
      </c>
      <c r="N15" s="34" t="inlineStr">
        <is>
          <t>M</t>
        </is>
      </c>
      <c r="O15" s="84" t="inlineStr">
        <is>
          <t>Works at B3: Several teams or a practice</t>
        </is>
      </c>
      <c r="P15" s="84" t="inlineStr">
        <is>
          <t>Practice outcomes plus own deliverables; quality and delivery of the team</t>
        </is>
      </c>
      <c r="Q15" s="84" t="inlineStr">
        <is>
          <t>Already works at C1: Sub-function results or domain quality across products</t>
        </is>
      </c>
      <c r="R15" s="34" t="inlineStr">
        <is>
          <t>M</t>
        </is>
      </c>
      <c r="S15" s="56" t="inlineStr">
        <is>
          <t>Works at B3: IC: leads a practice · People: team leads / managers report in</t>
        </is>
      </c>
      <c r="T15" s="56" t="inlineStr">
        <is>
          <t>Leads 3–6 people · or a pod while remaining a hands-on expert; coaches, allocates, reviews</t>
        </is>
      </c>
      <c r="U15" s="56" t="inlineStr">
        <is>
          <t>Already works at C1: Leads managers or a community of practice</t>
        </is>
      </c>
      <c r="V15" s="34" t="inlineStr">
        <is>
          <t>L</t>
        </is>
      </c>
      <c r="W15" s="56" t="inlineStr">
        <is>
          <t>Works at B3: Shapes the results of a practice or several teams</t>
        </is>
      </c>
      <c r="X15" s="56" t="inlineStr">
        <is>
          <t>Drives a practice's results while delivering the hardest work</t>
        </is>
      </c>
      <c r="Y15" s="56" t="inlineStr">
        <is>
          <t>Already works at C1: Changes results across a sub-function or across products</t>
        </is>
      </c>
      <c r="Z15" s="34" t="inlineStr">
        <is>
          <t>L</t>
        </is>
      </c>
      <c r="AA15" s="85" t="inlineStr">
        <is>
          <t>Less experience than the band's typical 9–14 yrs</t>
        </is>
      </c>
      <c r="AB15" s="85" t="inlineStr">
        <is>
          <t>Typical for the band: 9–14 yrs · market 9–14 yrs</t>
        </is>
      </c>
      <c r="AC15" s="85" t="inlineStr">
        <is>
          <t>More experience than the band's typical 9–14 yrs</t>
        </is>
      </c>
      <c r="AD15" s="34" t="inlineStr">
        <is>
          <t>L</t>
        </is>
      </c>
      <c r="AE15" s="85" t="inlineStr">
        <is>
          <t>Below: Postgraduate or professional qualification preferred</t>
        </is>
      </c>
      <c r="AF15" s="85" t="inlineStr">
        <is>
          <t>Postgraduate or professional qualification preferred</t>
        </is>
      </c>
      <c r="AG15" s="85" t="inlineStr">
        <is>
          <t>Above: Postgraduate / professional qualification preferred</t>
        </is>
      </c>
      <c r="AH15" s="44" t="inlineStr">
        <is>
          <t>44 · 17.7 · 10.3 · 10 · 7.7 · 6 · 4</t>
        </is>
      </c>
      <c r="AI15" s="38" t="inlineStr">
        <is>
          <t>9–14</t>
        </is>
      </c>
      <c r="AJ15" s="38" t="inlineStr">
        <is>
          <t>3–6 direct reports with ≥ 40% of time on own delivery · McKinsey player/coach 3–5; Google Tech Lead Manager</t>
        </is>
      </c>
      <c r="AK15" s="38" t="inlineStr">
        <is>
          <t>P5–P6 / M4–M5 · SFIA 5 Ensure, advise</t>
        </is>
      </c>
      <c r="AL15"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6" ht="120" customHeight="1">
      <c r="A16" s="90" t="inlineStr">
        <is>
          <t>B3</t>
        </is>
      </c>
      <c r="B16" s="29" t="inlineStr">
        <is>
          <t>Band B · Specialist / Manager</t>
        </is>
      </c>
      <c r="C16" s="29" t="inlineStr">
        <is>
          <t>Band B · People Manager</t>
        </is>
      </c>
      <c r="D16" s="29" t="inlineStr">
        <is>
          <t>Senior Manager</t>
        </is>
      </c>
      <c r="E16" s="29" t="inlineStr">
        <is>
          <t>Product Management · Senior Product Manager</t>
        </is>
      </c>
      <c r="F16" s="34" t="inlineStr">
        <is>
          <t>H</t>
        </is>
      </c>
      <c r="G16" s="84" t="inlineStr">
        <is>
          <t>Works at B2: Hardest problems in the domain</t>
        </is>
      </c>
      <c r="H16" s="84" t="inlineStr">
        <is>
          <t>Sets standards for a practice; cross-team problems · in Product Management: Product Management · stakeholder management · Market research · Project management · Product sense · Data analysis · ESG · CA + CE</t>
        </is>
      </c>
      <c r="I16" s="84" t="inlineStr">
        <is>
          <t>Already works at C1: Ambiguous, cross-product problems</t>
        </is>
      </c>
      <c r="J16" s="34" t="inlineStr">
        <is>
          <t>M</t>
        </is>
      </c>
      <c r="K16" s="84" t="inlineStr">
        <is>
          <t>Works at B2: Allocates people and sets team priorities</t>
        </is>
      </c>
      <c r="L16" s="84" t="inlineStr">
        <is>
          <t>Commercial / strategic calls for the unit</t>
        </is>
      </c>
      <c r="M16" s="84" t="inlineStr">
        <is>
          <t>Already works at C1: Sets direction for a sub-function or domain</t>
        </is>
      </c>
      <c r="N16" s="34" t="inlineStr">
        <is>
          <t>M</t>
        </is>
      </c>
      <c r="O16" s="84" t="inlineStr">
        <is>
          <t>Works at B2: One team or a client portfolio</t>
        </is>
      </c>
      <c r="P16" s="84" t="inlineStr">
        <is>
          <t>Several teams or a practice</t>
        </is>
      </c>
      <c r="Q16" s="84" t="inlineStr">
        <is>
          <t>Already works at C1: Sub-function results or domain quality across products</t>
        </is>
      </c>
      <c r="R16" s="34" t="inlineStr">
        <is>
          <t>M</t>
        </is>
      </c>
      <c r="S16" s="56" t="inlineStr">
        <is>
          <t>Works at B2: IC: guides others in the domain · People: manages a team of 6+</t>
        </is>
      </c>
      <c r="T16" s="56" t="inlineStr">
        <is>
          <t>IC: leads a practice · People: team leads / managers report in</t>
        </is>
      </c>
      <c r="U16" s="56" t="inlineStr">
        <is>
          <t>Already works at C1: Leads managers or a community of practice</t>
        </is>
      </c>
      <c r="V16" s="34" t="inlineStr">
        <is>
          <t>L</t>
        </is>
      </c>
      <c r="W16" s="56" t="inlineStr">
        <is>
          <t>Works at B2: Visible effect on a team's or client portfolio's revenue, quality or compliance</t>
        </is>
      </c>
      <c r="X16" s="56" t="inlineStr">
        <is>
          <t>Shapes the results of a practice or several teams · purpose: Owns product vision, roadmap, requirements · PRDs, prioritisation and adoption. At B3: a practice, or several teams through team leads.
Common themes in …</t>
        </is>
      </c>
      <c r="Y16" s="56" t="inlineStr">
        <is>
          <t>Already works at C1: Changes results across a sub-function or across products</t>
        </is>
      </c>
      <c r="Z16" s="34" t="inlineStr">
        <is>
          <t>L</t>
        </is>
      </c>
      <c r="AA16" s="85" t="inlineStr">
        <is>
          <t>Less experience than the band's typical 8–12 yrs</t>
        </is>
      </c>
      <c r="AB16" s="85" t="inlineStr">
        <is>
          <t>Typical for the band: 8–12 yrs · market 8–13 yrs</t>
        </is>
      </c>
      <c r="AC16" s="85" t="inlineStr">
        <is>
          <t>More experience than the band's typical 8–12 yrs</t>
        </is>
      </c>
      <c r="AD16" s="34" t="inlineStr">
        <is>
          <t>L</t>
        </is>
      </c>
      <c r="AE16" s="85" t="inlineStr">
        <is>
          <t>Below: Graduate or postgraduate; professional qualification preferred</t>
        </is>
      </c>
      <c r="AF16" s="85" t="inlineStr">
        <is>
          <t>Postgraduate or professional qualification preferred</t>
        </is>
      </c>
      <c r="AG16" s="85" t="inlineStr">
        <is>
          <t>Above: Postgraduate / professional qualification preferred</t>
        </is>
      </c>
      <c r="AH16" s="44" t="inlineStr">
        <is>
          <t>37 · 18.3 · 11.3 · 15 · 8.7 · 6 · 4</t>
        </is>
      </c>
      <c r="AI16" s="38" t="inlineStr">
        <is>
          <t>8–13</t>
        </is>
      </c>
      <c r="AJ16" s="38" t="inlineStr">
        <is>
          <t>IC: none · People: 5–8 incl. team leads</t>
        </is>
      </c>
      <c r="AK16" s="38" t="inlineStr">
        <is>
          <t>P5 / M4 · SFIA 5 Ensure, advise</t>
        </is>
      </c>
      <c r="AL16"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7" ht="120" customHeight="1">
      <c r="A17" s="90" t="inlineStr">
        <is>
          <t>B3</t>
        </is>
      </c>
      <c r="B17" s="29" t="inlineStr">
        <is>
          <t>Band B · Specialist / Manager</t>
        </is>
      </c>
      <c r="C17" s="29" t="inlineStr">
        <is>
          <t>Band B · Specialist / POD Lead</t>
        </is>
      </c>
      <c r="D17" s="29" t="inlineStr">
        <is>
          <t>Lead Specialist</t>
        </is>
      </c>
      <c r="E17" s="29" t="inlineStr">
        <is>
          <t>Product Management · Senior Product Manager</t>
        </is>
      </c>
      <c r="F17" s="34" t="inlineStr">
        <is>
          <t>H</t>
        </is>
      </c>
      <c r="G17" s="84" t="inlineStr">
        <is>
          <t>Works at B2: Hardest problems in the domain</t>
        </is>
      </c>
      <c r="H17" s="84" t="inlineStr">
        <is>
          <t>Sets standards for a practice; cross-team problems · in Product Management: Product Management · stakeholder management · Market research · Project management · Product sense · Data analysis · ESG · CA + CE</t>
        </is>
      </c>
      <c r="I17" s="84" t="inlineStr">
        <is>
          <t>Already works at C1: Ambiguous, cross-product problems</t>
        </is>
      </c>
      <c r="J17" s="34" t="inlineStr">
        <is>
          <t>M</t>
        </is>
      </c>
      <c r="K17" s="84" t="inlineStr">
        <is>
          <t>Works at B2: Allocates people and sets team priorities</t>
        </is>
      </c>
      <c r="L17" s="84" t="inlineStr">
        <is>
          <t>Commercial / strategic calls for the unit</t>
        </is>
      </c>
      <c r="M17" s="84" t="inlineStr">
        <is>
          <t>Already works at C1: Sets direction for a sub-function or domain</t>
        </is>
      </c>
      <c r="N17" s="34" t="inlineStr">
        <is>
          <t>M</t>
        </is>
      </c>
      <c r="O17" s="84" t="inlineStr">
        <is>
          <t>Works at B2: One team or a client portfolio</t>
        </is>
      </c>
      <c r="P17" s="84" t="inlineStr">
        <is>
          <t>Several teams or a practice</t>
        </is>
      </c>
      <c r="Q17" s="84" t="inlineStr">
        <is>
          <t>Already works at C1: Sub-function results or domain quality across products</t>
        </is>
      </c>
      <c r="R17" s="34" t="inlineStr">
        <is>
          <t>L</t>
        </is>
      </c>
      <c r="S17" s="56" t="inlineStr">
        <is>
          <t>Works at B2: IC: guides others in the domain · People: manages a team of 6+</t>
        </is>
      </c>
      <c r="T17" s="56" t="inlineStr">
        <is>
          <t>IC: leads a practice · People: team leads / managers report in</t>
        </is>
      </c>
      <c r="U17" s="56" t="inlineStr">
        <is>
          <t>Already works at C1: Leads managers or a community of practice</t>
        </is>
      </c>
      <c r="V17" s="34" t="inlineStr">
        <is>
          <t>L</t>
        </is>
      </c>
      <c r="W17" s="56" t="inlineStr">
        <is>
          <t>Works at B2: Visible effect on a team's or client portfolio's revenue, quality or compliance</t>
        </is>
      </c>
      <c r="X17" s="56" t="inlineStr">
        <is>
          <t>Shapes the results of a practice or several teams · purpose: Owns product vision, roadmap, requirements · PRDs, prioritisation and adoption. At B3: a practice, or several teams through team leads.
Common themes in …</t>
        </is>
      </c>
      <c r="Y17" s="56" t="inlineStr">
        <is>
          <t>Already works at C1: Changes results across a sub-function or across products</t>
        </is>
      </c>
      <c r="Z17" s="34" t="inlineStr">
        <is>
          <t>L</t>
        </is>
      </c>
      <c r="AA17" s="85" t="inlineStr">
        <is>
          <t>Less experience than the band's typical 8–12 yrs</t>
        </is>
      </c>
      <c r="AB17" s="85" t="inlineStr">
        <is>
          <t>Typical for the band: 8–12 yrs · market 8–13 yrs</t>
        </is>
      </c>
      <c r="AC17" s="85" t="inlineStr">
        <is>
          <t>More experience than the band's typical 8–12 yrs</t>
        </is>
      </c>
      <c r="AD17" s="34" t="inlineStr">
        <is>
          <t>L</t>
        </is>
      </c>
      <c r="AE17" s="85" t="inlineStr">
        <is>
          <t>Below: Graduate or postgraduate; professional qualification preferred</t>
        </is>
      </c>
      <c r="AF17" s="85" t="inlineStr">
        <is>
          <t>Postgraduate or professional qualification preferred</t>
        </is>
      </c>
      <c r="AG17" s="85" t="inlineStr">
        <is>
          <t>Above: Postgraduate / professional qualification preferred</t>
        </is>
      </c>
      <c r="AH17" s="44" t="inlineStr">
        <is>
          <t>51.3 · 17.3 · 9.7 · 5 · 7 · 6 · 4</t>
        </is>
      </c>
      <c r="AI17" s="38" t="inlineStr">
        <is>
          <t>8–13</t>
        </is>
      </c>
      <c r="AJ17" s="38" t="inlineStr">
        <is>
          <t>IC: none · People: 5–8 incl. team leads</t>
        </is>
      </c>
      <c r="AK17" s="38" t="inlineStr">
        <is>
          <t>P5 / M4 · SFIA 5 Ensure, advise</t>
        </is>
      </c>
      <c r="AL17"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8" ht="120" customHeight="1">
      <c r="A18" s="90" t="inlineStr">
        <is>
          <t>B2</t>
        </is>
      </c>
      <c r="B18" s="29" t="inlineStr">
        <is>
          <t>Band B · Specialist / Manager</t>
        </is>
      </c>
      <c r="C18" s="29" t="inlineStr">
        <is>
          <t>Band B · People Manager</t>
        </is>
      </c>
      <c r="D18" s="29" t="inlineStr">
        <is>
          <t>Manager</t>
        </is>
      </c>
      <c r="E18" s="29" t="inlineStr">
        <is>
          <t>Product Management · Product Manager</t>
        </is>
      </c>
      <c r="F18" s="34" t="inlineStr">
        <is>
          <t>H</t>
        </is>
      </c>
      <c r="G18" s="84" t="inlineStr">
        <is>
          <t>Works at B1: Domain specialist work</t>
        </is>
      </c>
      <c r="H18" s="84" t="inlineStr">
        <is>
          <t>Hardest problems in the domain · in Product Management: Product Management · stakeholder management · Market research · Project management · Product sense · Data analysis · ESG · CA + CE</t>
        </is>
      </c>
      <c r="I18" s="84" t="inlineStr">
        <is>
          <t>Already works at B3: Sets standards for a practice; cross-team problems</t>
        </is>
      </c>
      <c r="J18" s="34" t="inlineStr">
        <is>
          <t>M</t>
        </is>
      </c>
      <c r="K18" s="84" t="inlineStr">
        <is>
          <t>Works at B1: Technical / QC / client calls for the domain</t>
        </is>
      </c>
      <c r="L18" s="84" t="inlineStr">
        <is>
          <t>Allocates people and sets team priorities</t>
        </is>
      </c>
      <c r="M18" s="84" t="inlineStr">
        <is>
          <t>Already works at B3: Commercial / strategic calls for the unit</t>
        </is>
      </c>
      <c r="N18" s="34" t="inlineStr">
        <is>
          <t>M</t>
        </is>
      </c>
      <c r="O18" s="84" t="inlineStr">
        <is>
          <t>Works at B1: A domain or a small team</t>
        </is>
      </c>
      <c r="P18" s="84" t="inlineStr">
        <is>
          <t>One team or a client portfolio · KRA themes: Common themes in manager-set KRAs: development participation · cash · market requirements · tech learning · support organizational · profitability</t>
        </is>
      </c>
      <c r="Q18" s="84" t="inlineStr">
        <is>
          <t>Already works at B3: Several teams or a practice</t>
        </is>
      </c>
      <c r="R18" s="34" t="inlineStr">
        <is>
          <t>M</t>
        </is>
      </c>
      <c r="S18" s="56" t="inlineStr">
        <is>
          <t>Works at B1: IC: mentors and reviews · People: hands-on team lead of 3–5</t>
        </is>
      </c>
      <c r="T18" s="56" t="inlineStr">
        <is>
          <t>IC: guides others in the domain · People: manages a team of 6+</t>
        </is>
      </c>
      <c r="U18" s="56" t="inlineStr">
        <is>
          <t>Already works at B3: IC: leads a practice · People: team leads / managers report in</t>
        </is>
      </c>
      <c r="V18" s="34" t="inlineStr">
        <is>
          <t>L</t>
        </is>
      </c>
      <c r="W18" s="56" t="inlineStr">
        <is>
          <t>Works at B1: Moves a module's, product area's or client account's results</t>
        </is>
      </c>
      <c r="X18" s="56" t="inlineStr">
        <is>
          <t>Visible effect on a team's or client portfolio's revenue, quality or compliance · purpose: Owns product vision, roadmap, requirements · PRDs, prioritisation and adoption. At B2: deep domain expertise, or one team.
Common themes in sub-family holders, …</t>
        </is>
      </c>
      <c r="Y18" s="56" t="inlineStr">
        <is>
          <t>Already works at B3: Shapes the results of a practice or several teams</t>
        </is>
      </c>
      <c r="Z18" s="34" t="inlineStr">
        <is>
          <t>L</t>
        </is>
      </c>
      <c r="AA18" s="85" t="inlineStr">
        <is>
          <t>Less experience than the band's typical 6–9 yrs</t>
        </is>
      </c>
      <c r="AB18" s="85" t="inlineStr">
        <is>
          <t>Typical for the band: 6–9 yrs · market 6–10 yrs</t>
        </is>
      </c>
      <c r="AC18" s="85" t="inlineStr">
        <is>
          <t>More experience than the band's typical 6–9 yrs</t>
        </is>
      </c>
      <c r="AD18" s="34" t="inlineStr">
        <is>
          <t>L</t>
        </is>
      </c>
      <c r="AE18" s="85" t="inlineStr">
        <is>
          <t>Below: Graduate + relevant qualification or certification preferred</t>
        </is>
      </c>
      <c r="AF18" s="85" t="inlineStr">
        <is>
          <t>Graduate or postgraduate; professional qualification preferred</t>
        </is>
      </c>
      <c r="AG18" s="85" t="inlineStr">
        <is>
          <t>Above: Postgraduate or professional qualification preferred</t>
        </is>
      </c>
      <c r="AH18" s="44" t="inlineStr">
        <is>
          <t>37 · 18.3 · 11.3 · 15 · 8.7 · 6 · 4</t>
        </is>
      </c>
      <c r="AI18" s="38" t="inlineStr">
        <is>
          <t>6–10</t>
        </is>
      </c>
      <c r="AJ18" s="38" t="inlineStr">
        <is>
          <t>IC: none · People: 6–8 knowledge work, 8–12 standardised delivery</t>
        </is>
      </c>
      <c r="AK18" s="38" t="inlineStr">
        <is>
          <t>P4 / M3 · SFIA 4–5</t>
        </is>
      </c>
      <c r="AL18"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9" ht="120" customHeight="1">
      <c r="A19" s="90" t="inlineStr">
        <is>
          <t>B2</t>
        </is>
      </c>
      <c r="B19" s="29" t="inlineStr">
        <is>
          <t>Band B · Specialist / Manager</t>
        </is>
      </c>
      <c r="C19" s="29" t="inlineStr">
        <is>
          <t>Band B · Specialist / POD Lead</t>
        </is>
      </c>
      <c r="D19" s="29" t="inlineStr">
        <is>
          <t>Senior Specialist</t>
        </is>
      </c>
      <c r="E19" s="29" t="inlineStr">
        <is>
          <t>Product Management · Product Manager</t>
        </is>
      </c>
      <c r="F19" s="34" t="inlineStr">
        <is>
          <t>H</t>
        </is>
      </c>
      <c r="G19" s="84" t="inlineStr">
        <is>
          <t>Works at B1: Domain specialist work</t>
        </is>
      </c>
      <c r="H19" s="84" t="inlineStr">
        <is>
          <t>Hardest problems in the domain · in Product Management: Product Management · stakeholder management · Market research · Project management · Product sense · Data analysis · ESG · CA + CE</t>
        </is>
      </c>
      <c r="I19" s="84" t="inlineStr">
        <is>
          <t>Already works at B3: Sets standards for a practice; cross-team problems</t>
        </is>
      </c>
      <c r="J19" s="34" t="inlineStr">
        <is>
          <t>M</t>
        </is>
      </c>
      <c r="K19" s="84" t="inlineStr">
        <is>
          <t>Works at B1: Technical / QC / client calls for the domain</t>
        </is>
      </c>
      <c r="L19" s="84" t="inlineStr">
        <is>
          <t>Allocates people and sets team priorities</t>
        </is>
      </c>
      <c r="M19" s="84" t="inlineStr">
        <is>
          <t>Already works at B3: Commercial / strategic calls for the unit</t>
        </is>
      </c>
      <c r="N19" s="34" t="inlineStr">
        <is>
          <t>M</t>
        </is>
      </c>
      <c r="O19" s="84" t="inlineStr">
        <is>
          <t>Works at B1: A domain or a small team</t>
        </is>
      </c>
      <c r="P19" s="84" t="inlineStr">
        <is>
          <t>One team or a client portfolio · KRA themes: Common themes in manager-set KRAs: development participation · cash · market requirements · tech learning · support organizational · profitability</t>
        </is>
      </c>
      <c r="Q19" s="84" t="inlineStr">
        <is>
          <t>Already works at B3: Several teams or a practice</t>
        </is>
      </c>
      <c r="R19" s="34" t="inlineStr">
        <is>
          <t>L</t>
        </is>
      </c>
      <c r="S19" s="56" t="inlineStr">
        <is>
          <t>Works at B1: IC: mentors and reviews · People: hands-on team lead of 3–5</t>
        </is>
      </c>
      <c r="T19" s="56" t="inlineStr">
        <is>
          <t>IC: guides others in the domain · People: manages a team of 6+</t>
        </is>
      </c>
      <c r="U19" s="56" t="inlineStr">
        <is>
          <t>Already works at B3: IC: leads a practice · People: team leads / managers report in</t>
        </is>
      </c>
      <c r="V19" s="34" t="inlineStr">
        <is>
          <t>L</t>
        </is>
      </c>
      <c r="W19" s="56" t="inlineStr">
        <is>
          <t>Works at B1: Moves a module's, product area's or client account's results</t>
        </is>
      </c>
      <c r="X19" s="56" t="inlineStr">
        <is>
          <t>Visible effect on a team's or client portfolio's revenue, quality or compliance · purpose: Owns product vision, roadmap, requirements · PRDs, prioritisation and adoption. At B2: deep domain expertise, or one team.
Common themes in sub-family holders, …</t>
        </is>
      </c>
      <c r="Y19" s="56" t="inlineStr">
        <is>
          <t>Already works at B3: Shapes the results of a practice or several teams</t>
        </is>
      </c>
      <c r="Z19" s="34" t="inlineStr">
        <is>
          <t>L</t>
        </is>
      </c>
      <c r="AA19" s="85" t="inlineStr">
        <is>
          <t>Less experience than the band's typical 6–9 yrs</t>
        </is>
      </c>
      <c r="AB19" s="85" t="inlineStr">
        <is>
          <t>Typical for the band: 6–9 yrs · market 6–10 yrs</t>
        </is>
      </c>
      <c r="AC19" s="85" t="inlineStr">
        <is>
          <t>More experience than the band's typical 6–9 yrs</t>
        </is>
      </c>
      <c r="AD19" s="34" t="inlineStr">
        <is>
          <t>L</t>
        </is>
      </c>
      <c r="AE19" s="85" t="inlineStr">
        <is>
          <t>Below: Graduate + relevant qualification or certification preferred</t>
        </is>
      </c>
      <c r="AF19" s="85" t="inlineStr">
        <is>
          <t>Graduate or postgraduate; professional qualification preferred</t>
        </is>
      </c>
      <c r="AG19" s="85" t="inlineStr">
        <is>
          <t>Above: Postgraduate or professional qualification preferred</t>
        </is>
      </c>
      <c r="AH19" s="44" t="inlineStr">
        <is>
          <t>51.3 · 17.3 · 9.7 · 5 · 7 · 6 · 4</t>
        </is>
      </c>
      <c r="AI19" s="38" t="inlineStr">
        <is>
          <t>6–10</t>
        </is>
      </c>
      <c r="AJ19" s="38" t="inlineStr">
        <is>
          <t>IC: none · People: 6–8 knowledge work, 8–12 standardised delivery</t>
        </is>
      </c>
      <c r="AK19" s="38" t="inlineStr">
        <is>
          <t>P4 / M3 · SFIA 4–5</t>
        </is>
      </c>
      <c r="AL19"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0" ht="120" customHeight="1">
      <c r="A20" s="90" t="inlineStr">
        <is>
          <t>B1</t>
        </is>
      </c>
      <c r="B20" s="29" t="inlineStr">
        <is>
          <t>Band B · Specialist / Manager</t>
        </is>
      </c>
      <c r="C20" s="29" t="inlineStr">
        <is>
          <t>Band B · People Manager</t>
        </is>
      </c>
      <c r="D20" s="29" t="inlineStr">
        <is>
          <t>Team Lead / Asst Manager</t>
        </is>
      </c>
      <c r="E20" s="29" t="inlineStr">
        <is>
          <t>Product Management · Associate Product Manager – POD Lead · Associate Product Manager</t>
        </is>
      </c>
      <c r="F20" s="34" t="inlineStr">
        <is>
          <t>H</t>
        </is>
      </c>
      <c r="G20" s="84" t="inlineStr">
        <is>
          <t>Works at A3: Varied and non-standard work; handles exceptions</t>
        </is>
      </c>
      <c r="H20" s="84" t="inlineStr">
        <is>
          <t>Domain specialist work · in Product Management: Product Management · Project management · Product sense · Market research · CA + CE</t>
        </is>
      </c>
      <c r="I20" s="84" t="inlineStr">
        <is>
          <t>Already works at B2: Hardest problems in the domain</t>
        </is>
      </c>
      <c r="J20" s="34" t="inlineStr">
        <is>
          <t>M</t>
        </is>
      </c>
      <c r="K20" s="84" t="inlineStr">
        <is>
          <t>Works at A3: Technical / QC / client calls on own work</t>
        </is>
      </c>
      <c r="L20" s="84" t="inlineStr">
        <is>
          <t>Technical / QC / client calls for the domain</t>
        </is>
      </c>
      <c r="M20" s="84" t="inlineStr">
        <is>
          <t>Already works at B2: Allocates people and sets team priorities</t>
        </is>
      </c>
      <c r="N20" s="34" t="inlineStr">
        <is>
          <t>M</t>
        </is>
      </c>
      <c r="O20" s="84" t="inlineStr">
        <is>
          <t>Works at A3: A module / process, or work with client or regulatory consequences</t>
        </is>
      </c>
      <c r="P20" s="84" t="inlineStr">
        <is>
          <t>A domain or a small team</t>
        </is>
      </c>
      <c r="Q20" s="84" t="inlineStr">
        <is>
          <t>Already works at B2: One team or a client portfolio</t>
        </is>
      </c>
      <c r="R20" s="34" t="inlineStr">
        <is>
          <t>M</t>
        </is>
      </c>
      <c r="S20" s="56" t="inlineStr">
        <is>
          <t>Works at A3: contributes alone; guides others only informally</t>
        </is>
      </c>
      <c r="T20" s="56" t="inlineStr">
        <is>
          <t>IC: mentors and reviews · People: hands-on team lead of 3–5</t>
        </is>
      </c>
      <c r="U20" s="56" t="inlineStr">
        <is>
          <t>Already works at B2: IC: guides others in the domain · People: manages a team of 6+</t>
        </is>
      </c>
      <c r="V20" s="34" t="inlineStr">
        <is>
          <t>L</t>
        </is>
      </c>
      <c r="W20" s="56" t="inlineStr">
        <is>
          <t>Works at A3: A process or client deliverable depends on this work</t>
        </is>
      </c>
      <c r="X20" s="56" t="inlineStr">
        <is>
          <t>Moves a module's, product area's or client account's results · purpose: Owns product vision, roadmap, requirements · PRDs, prioritisation and adoption. At B1: a domain / module, or a small team.
Common themes in role-holders' …</t>
        </is>
      </c>
      <c r="Y20" s="56" t="inlineStr">
        <is>
          <t>Already works at B2: Visible effect on a team's or client portfolio's revenue, quality or compliance</t>
        </is>
      </c>
      <c r="Z20" s="34" t="inlineStr">
        <is>
          <t>L</t>
        </is>
      </c>
      <c r="AA20" s="85" t="inlineStr">
        <is>
          <t>Less experience than the band's typical 4–7 yrs</t>
        </is>
      </c>
      <c r="AB20" s="85" t="inlineStr">
        <is>
          <t>Typical for the band: 4–7 yrs · market 4–8 yrs</t>
        </is>
      </c>
      <c r="AC20" s="85" t="inlineStr">
        <is>
          <t>More experience than the band's typical 4–7 yrs</t>
        </is>
      </c>
      <c r="AD20" s="34" t="inlineStr">
        <is>
          <t>L</t>
        </is>
      </c>
      <c r="AE20" s="85" t="inlineStr">
        <is>
          <t>Below: Graduate; relevant certification preferred</t>
        </is>
      </c>
      <c r="AF20" s="85" t="inlineStr">
        <is>
          <t>Graduate + relevant qualification or certification preferred</t>
        </is>
      </c>
      <c r="AG20" s="85" t="inlineStr">
        <is>
          <t>Above: Graduate or postgraduate; professional qualification preferred</t>
        </is>
      </c>
      <c r="AH20" s="44" t="inlineStr">
        <is>
          <t>37 · 18.3 · 11.3 · 15 · 8.7 · 6 · 4</t>
        </is>
      </c>
      <c r="AI20" s="38" t="inlineStr">
        <is>
          <t>4–8</t>
        </is>
      </c>
      <c r="AJ20" s="38" t="inlineStr">
        <is>
          <t>IC: none · Team Lead: 3–5</t>
        </is>
      </c>
      <c r="AK20" s="38" t="inlineStr">
        <is>
          <t>P3 / M2 · SFIA 4 Enable</t>
        </is>
      </c>
      <c r="AL20"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1" ht="120" customHeight="1">
      <c r="A21" s="90" t="inlineStr">
        <is>
          <t>B1</t>
        </is>
      </c>
      <c r="B21" s="29" t="inlineStr">
        <is>
          <t>Band B · Specialist / Manager</t>
        </is>
      </c>
      <c r="C21" s="29" t="inlineStr">
        <is>
          <t>Band B · Specialist / POD Lead</t>
        </is>
      </c>
      <c r="D21" s="29" t="inlineStr">
        <is>
          <t>Specialist</t>
        </is>
      </c>
      <c r="E21" s="29" t="inlineStr">
        <is>
          <t>Product Management · Associate Product Manager – POD Lead · Associate Product Manager</t>
        </is>
      </c>
      <c r="F21" s="34" t="inlineStr">
        <is>
          <t>H</t>
        </is>
      </c>
      <c r="G21" s="84" t="inlineStr">
        <is>
          <t>Works at A3: Varied and non-standard work; handles exceptions</t>
        </is>
      </c>
      <c r="H21" s="84" t="inlineStr">
        <is>
          <t>Domain specialist work · in Product Management: Product Management · Project management · Product sense · Market research · CA + CE</t>
        </is>
      </c>
      <c r="I21" s="84" t="inlineStr">
        <is>
          <t>Already works at B2: Hardest problems in the domain</t>
        </is>
      </c>
      <c r="J21" s="34" t="inlineStr">
        <is>
          <t>M</t>
        </is>
      </c>
      <c r="K21" s="84" t="inlineStr">
        <is>
          <t>Works at A3: Technical / QC / client calls on own work</t>
        </is>
      </c>
      <c r="L21" s="84" t="inlineStr">
        <is>
          <t>Technical / QC / client calls for the domain</t>
        </is>
      </c>
      <c r="M21" s="84" t="inlineStr">
        <is>
          <t>Already works at B2: Allocates people and sets team priorities</t>
        </is>
      </c>
      <c r="N21" s="34" t="inlineStr">
        <is>
          <t>M</t>
        </is>
      </c>
      <c r="O21" s="84" t="inlineStr">
        <is>
          <t>Works at A3: A module / process, or work with client or regulatory consequences</t>
        </is>
      </c>
      <c r="P21" s="84" t="inlineStr">
        <is>
          <t>A domain or a small team</t>
        </is>
      </c>
      <c r="Q21" s="84" t="inlineStr">
        <is>
          <t>Already works at B2: One team or a client portfolio</t>
        </is>
      </c>
      <c r="R21" s="34" t="inlineStr">
        <is>
          <t>L</t>
        </is>
      </c>
      <c r="S21" s="56" t="inlineStr">
        <is>
          <t>Works at A3: contributes alone; guides others only informally</t>
        </is>
      </c>
      <c r="T21" s="56" t="inlineStr">
        <is>
          <t>IC: mentors and reviews · People: hands-on team lead of 3–5</t>
        </is>
      </c>
      <c r="U21" s="56" t="inlineStr">
        <is>
          <t>Already works at B2: IC: guides others in the domain · People: manages a team of 6+</t>
        </is>
      </c>
      <c r="V21" s="34" t="inlineStr">
        <is>
          <t>L</t>
        </is>
      </c>
      <c r="W21" s="56" t="inlineStr">
        <is>
          <t>Works at A3: A process or client deliverable depends on this work</t>
        </is>
      </c>
      <c r="X21" s="56" t="inlineStr">
        <is>
          <t>Moves a module's, product area's or client account's results · purpose: Owns product vision, roadmap, requirements · PRDs, prioritisation and adoption. At B1: a domain / module, or a small team.
Common themes in role-holders' …</t>
        </is>
      </c>
      <c r="Y21" s="56" t="inlineStr">
        <is>
          <t>Already works at B2: Visible effect on a team's or client portfolio's revenue, quality or compliance</t>
        </is>
      </c>
      <c r="Z21" s="34" t="inlineStr">
        <is>
          <t>L</t>
        </is>
      </c>
      <c r="AA21" s="85" t="inlineStr">
        <is>
          <t>Less experience than the band's typical 4–7 yrs</t>
        </is>
      </c>
      <c r="AB21" s="85" t="inlineStr">
        <is>
          <t>Typical for the band: 4–7 yrs · market 4–8 yrs</t>
        </is>
      </c>
      <c r="AC21" s="85" t="inlineStr">
        <is>
          <t>More experience than the band's typical 4–7 yrs</t>
        </is>
      </c>
      <c r="AD21" s="34" t="inlineStr">
        <is>
          <t>L</t>
        </is>
      </c>
      <c r="AE21" s="85" t="inlineStr">
        <is>
          <t>Below: Graduate; relevant certification preferred</t>
        </is>
      </c>
      <c r="AF21" s="85" t="inlineStr">
        <is>
          <t>Graduate + relevant qualification or certification preferred</t>
        </is>
      </c>
      <c r="AG21" s="85" t="inlineStr">
        <is>
          <t>Above: Graduate or postgraduate; professional qualification preferred</t>
        </is>
      </c>
      <c r="AH21" s="44" t="inlineStr">
        <is>
          <t>51.3 · 17.3 · 9.7 · 5 · 7 · 6 · 4</t>
        </is>
      </c>
      <c r="AI21" s="38" t="inlineStr">
        <is>
          <t>4–8</t>
        </is>
      </c>
      <c r="AJ21" s="38" t="inlineStr">
        <is>
          <t>IC: none · Team Lead: 3–5</t>
        </is>
      </c>
      <c r="AK21" s="38" t="inlineStr">
        <is>
          <t>P3 / M2 · SFIA 4 Enable</t>
        </is>
      </c>
      <c r="AL21"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2" ht="120" customHeight="1">
      <c r="A22" s="91" t="inlineStr">
        <is>
          <t>A3</t>
        </is>
      </c>
      <c r="B22" s="29" t="inlineStr">
        <is>
          <t>Band A · Practitioner</t>
        </is>
      </c>
      <c r="C22" s="29" t="inlineStr">
        <is>
          <t>Band A · all tracks</t>
        </is>
      </c>
      <c r="D22" s="29" t="inlineStr">
        <is>
          <t>Senior Associate</t>
        </is>
      </c>
      <c r="E22" s="29" t="inlineStr">
        <is>
          <t>Product Management · Senior Product Associate
Product Operations &amp; Research · Senior Product Analyst</t>
        </is>
      </c>
      <c r="F22" s="34" t="inlineStr">
        <is>
          <t>H</t>
        </is>
      </c>
      <c r="G22" s="84" t="inlineStr">
        <is>
          <t>Works at A2: Standard work of the discipline</t>
        </is>
      </c>
      <c r="H22" s="84" t="inlineStr">
        <is>
          <t>Varied and non-standard work; handles exceptions · in Product Management: Product Management · stakeholder management · Market research · Project management · Product sense · Data analysis · ESG · CA + CE</t>
        </is>
      </c>
      <c r="I22" s="84" t="inlineStr">
        <is>
          <t>Already works at B1: Domain specialist work</t>
        </is>
      </c>
      <c r="J22" s="34" t="inlineStr">
        <is>
          <t>M</t>
        </is>
      </c>
      <c r="K22" s="84" t="inlineStr">
        <is>
          <t>Works at A2: Chooses own approach within standards</t>
        </is>
      </c>
      <c r="L22" s="84" t="inlineStr">
        <is>
          <t>Technical / QC / client calls on own work</t>
        </is>
      </c>
      <c r="M22" s="84" t="inlineStr">
        <is>
          <t>Already works at B1: Technical / QC / client calls for the domain</t>
        </is>
      </c>
      <c r="N22" s="34" t="inlineStr">
        <is>
          <t>M</t>
        </is>
      </c>
      <c r="O22" s="84" t="inlineStr">
        <is>
          <t>Works at A2: Own deliverables · accuracy, TAT</t>
        </is>
      </c>
      <c r="P22" s="84" t="inlineStr">
        <is>
          <t>A module / process, or work with client or regulatory consequences</t>
        </is>
      </c>
      <c r="Q22" s="84" t="inlineStr">
        <is>
          <t>Already works at B1: A domain or a small team</t>
        </is>
      </c>
      <c r="R22" s="34" t="inlineStr">
        <is>
          <t>L</t>
        </is>
      </c>
      <c r="S22" s="56" t="inlineStr">
        <is>
          <t>Works at A2: contributes alone; guides others only informally</t>
        </is>
      </c>
      <c r="T22" s="56" t="inlineStr">
        <is>
          <t>Helps peers and newer people informally · None · guides 1–3 juniors informally</t>
        </is>
      </c>
      <c r="U22" s="56" t="inlineStr">
        <is>
          <t>Already works at B1: IC: mentors and reviews · People: hands-on team lead of 3–5</t>
        </is>
      </c>
      <c r="V22" s="34" t="inlineStr">
        <is>
          <t>L</t>
        </is>
      </c>
      <c r="W22" s="56" t="inlineStr">
        <is>
          <t>Works at A2: Own deliverables feed a team's output and turnaround</t>
        </is>
      </c>
      <c r="X22" s="56" t="inlineStr">
        <is>
          <t>A process or client deliverable depends on this work · purpose: Owns product vision, roadmap, requirements · PRDs, prioritisation and adoption. At A3: varied work; reviews juniors; go-to for a process.
Common themes in …</t>
        </is>
      </c>
      <c r="Y22" s="56" t="inlineStr">
        <is>
          <t>Already works at B1: Moves a module's, product area's or client account's results</t>
        </is>
      </c>
      <c r="Z22" s="34" t="inlineStr">
        <is>
          <t>L</t>
        </is>
      </c>
      <c r="AA22" s="85" t="inlineStr">
        <is>
          <t>Less experience than the band's typical 2–4 yrs</t>
        </is>
      </c>
      <c r="AB22" s="85" t="inlineStr">
        <is>
          <t>Typical for the band: 2–4 yrs · market 2–5 yrs</t>
        </is>
      </c>
      <c r="AC22" s="85" t="inlineStr">
        <is>
          <t>More experience than the band's typical 2–4 yrs</t>
        </is>
      </c>
      <c r="AD22" s="34" t="inlineStr">
        <is>
          <t>L</t>
        </is>
      </c>
      <c r="AE22" s="85" t="inlineStr">
        <is>
          <t>Below: Graduate · or diploma with experience</t>
        </is>
      </c>
      <c r="AF22" s="85" t="inlineStr">
        <is>
          <t>Graduate; relevant certification preferred</t>
        </is>
      </c>
      <c r="AG22" s="85" t="inlineStr">
        <is>
          <t>Above: Graduate + relevant qualification or certification preferred</t>
        </is>
      </c>
      <c r="AH22" s="44" t="inlineStr">
        <is>
          <t>58.3 · 16 · 9 · 0 · 6.3 · 6 · 4</t>
        </is>
      </c>
      <c r="AI22" s="38" t="inlineStr">
        <is>
          <t>2–5</t>
        </is>
      </c>
      <c r="AJ22" s="38" t="inlineStr">
        <is>
          <t>None · guides 1–3 juniors informally</t>
        </is>
      </c>
      <c r="AK22" s="38" t="inlineStr">
        <is>
          <t>P2 · SFIA 3 Apply</t>
        </is>
      </c>
      <c r="AL22"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3" ht="120" customHeight="1">
      <c r="A23" s="91" t="inlineStr">
        <is>
          <t>A2</t>
        </is>
      </c>
      <c r="B23" s="29" t="inlineStr">
        <is>
          <t>Band A · Practitioner</t>
        </is>
      </c>
      <c r="C23" s="29" t="inlineStr">
        <is>
          <t>Band A · all tracks</t>
        </is>
      </c>
      <c r="D23" s="29" t="inlineStr">
        <is>
          <t>Associate</t>
        </is>
      </c>
      <c r="E23" s="29" t="inlineStr">
        <is>
          <t>— no role at this level today</t>
        </is>
      </c>
      <c r="F23" s="34" t="inlineStr">
        <is>
          <t>H</t>
        </is>
      </c>
      <c r="G23" s="84" t="inlineStr">
        <is>
          <t>Works at A1: Learning; follows worked examples</t>
        </is>
      </c>
      <c r="H23" s="84" t="inlineStr">
        <is>
          <t>Standard work of the discipline</t>
        </is>
      </c>
      <c r="I23" s="84" t="inlineStr">
        <is>
          <t>Already works at A3: Varied and non-standard work; handles exceptions</t>
        </is>
      </c>
      <c r="J23" s="34" t="inlineStr">
        <is>
          <t>M</t>
        </is>
      </c>
      <c r="K23" s="84" t="inlineStr">
        <is>
          <t>Works at A1: Needs approval / close guidance</t>
        </is>
      </c>
      <c r="L23" s="84" t="inlineStr">
        <is>
          <t>Chooses own approach within standards</t>
        </is>
      </c>
      <c r="M23" s="84" t="inlineStr">
        <is>
          <t>Already works at A3: Technical / QC / client calls on own work</t>
        </is>
      </c>
      <c r="N23" s="34" t="inlineStr">
        <is>
          <t>M</t>
        </is>
      </c>
      <c r="O23" s="84" t="inlineStr">
        <is>
          <t>Works at A1: Learning tasks</t>
        </is>
      </c>
      <c r="P23" s="84" t="inlineStr">
        <is>
          <t>Own deliverables · accuracy, TAT</t>
        </is>
      </c>
      <c r="Q23" s="84" t="inlineStr">
        <is>
          <t>Already works at A3: A module / process, or work with client or regulatory consequences</t>
        </is>
      </c>
      <c r="R23" s="34" t="inlineStr">
        <is>
          <t>L</t>
        </is>
      </c>
      <c r="S23" s="56" t="inlineStr">
        <is>
          <t>Works at A1: contributes alone; guides others only informally</t>
        </is>
      </c>
      <c r="T23" s="56" t="inlineStr">
        <is>
          <t>Helps peers and newer people informally · No direct reports</t>
        </is>
      </c>
      <c r="U23" s="56" t="inlineStr">
        <is>
          <t>Already works at A3: Not scored in Band A</t>
        </is>
      </c>
      <c r="V23" s="34" t="inlineStr">
        <is>
          <t>L</t>
        </is>
      </c>
      <c r="W23" s="56" t="inlineStr">
        <is>
          <t>Works at A1: Learning; little direct effect on business results yet</t>
        </is>
      </c>
      <c r="X23" s="56" t="inlineStr">
        <is>
          <t>Own deliverables feed a team's output and turnaround</t>
        </is>
      </c>
      <c r="Y23" s="56" t="inlineStr">
        <is>
          <t>Already works at A3: A process or client deliverable depends on this work</t>
        </is>
      </c>
      <c r="Z23" s="34" t="inlineStr">
        <is>
          <t>L</t>
        </is>
      </c>
      <c r="AA23" s="85" t="inlineStr">
        <is>
          <t>Less experience than the band's typical 0–2 yrs</t>
        </is>
      </c>
      <c r="AB23" s="85" t="inlineStr">
        <is>
          <t>Typical for the band: 0–2 yrs · market 0–3 yrs</t>
        </is>
      </c>
      <c r="AC23" s="85" t="inlineStr">
        <is>
          <t>More experience than the band's typical 0–2 yrs</t>
        </is>
      </c>
      <c r="AD23" s="34" t="inlineStr">
        <is>
          <t>L</t>
        </is>
      </c>
      <c r="AE23" s="85" t="inlineStr">
        <is>
          <t>Below: Pursuing or completed graduation / diploma</t>
        </is>
      </c>
      <c r="AF23" s="85" t="inlineStr">
        <is>
          <t>Graduate · or diploma with experience</t>
        </is>
      </c>
      <c r="AG23" s="85" t="inlineStr">
        <is>
          <t>Above: Graduate; relevant certification preferred</t>
        </is>
      </c>
      <c r="AH23" s="44" t="inlineStr">
        <is>
          <t>58.3 · 16 · 9 · 0 · 6.3 · 6 · 4</t>
        </is>
      </c>
      <c r="AI23" s="38" t="inlineStr">
        <is>
          <t>0–3</t>
        </is>
      </c>
      <c r="AJ23" s="38" t="inlineStr">
        <is>
          <t>No direct reports</t>
        </is>
      </c>
      <c r="AK23" s="38" t="inlineStr">
        <is>
          <t>P1–P2 · SFIA 2 Assist</t>
        </is>
      </c>
      <c r="AL23"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4" ht="120" customHeight="1">
      <c r="A24" s="91" t="inlineStr">
        <is>
          <t>A1</t>
        </is>
      </c>
      <c r="B24" s="29" t="inlineStr">
        <is>
          <t>Band A · Practitioner</t>
        </is>
      </c>
      <c r="C24" s="29" t="inlineStr">
        <is>
          <t>Band A · all tracks</t>
        </is>
      </c>
      <c r="D24" s="29" t="inlineStr">
        <is>
          <t>Intern / Trainee</t>
        </is>
      </c>
      <c r="E24" s="29" t="inlineStr">
        <is>
          <t>Product Operations &amp; Research · Intern – Product Operations &amp; Research</t>
        </is>
      </c>
      <c r="F24" s="34" t="inlineStr">
        <is>
          <t>H</t>
        </is>
      </c>
      <c r="G24" s="84" t="inlineStr">
        <is>
          <t>Not yet at the entry standard · in induction</t>
        </is>
      </c>
      <c r="H24" s="84" t="inlineStr">
        <is>
          <t>Learning; follows worked examples</t>
        </is>
      </c>
      <c r="I24" s="84" t="inlineStr">
        <is>
          <t>Already works at A2: Standard work of the discipline</t>
        </is>
      </c>
      <c r="J24" s="34" t="inlineStr">
        <is>
          <t>M</t>
        </is>
      </c>
      <c r="K24" s="84" t="inlineStr">
        <is>
          <t>Not yet at the entry standard · in induction</t>
        </is>
      </c>
      <c r="L24" s="84" t="inlineStr">
        <is>
          <t>Needs approval / close guidance</t>
        </is>
      </c>
      <c r="M24" s="84" t="inlineStr">
        <is>
          <t>Already works at A2: Chooses own approach within standards</t>
        </is>
      </c>
      <c r="N24" s="34" t="inlineStr">
        <is>
          <t>M</t>
        </is>
      </c>
      <c r="O24" s="84" t="inlineStr">
        <is>
          <t>Not yet at the entry standard · in induction</t>
        </is>
      </c>
      <c r="P24" s="84" t="inlineStr">
        <is>
          <t>Learning tasks</t>
        </is>
      </c>
      <c r="Q24" s="84" t="inlineStr">
        <is>
          <t>Already works at A2: Own deliverables · accuracy, TAT</t>
        </is>
      </c>
      <c r="R24" s="34" t="inlineStr">
        <is>
          <t>L</t>
        </is>
      </c>
      <c r="S24" s="56" t="inlineStr">
        <is>
          <t>Not yet at the entry standard · in induction</t>
        </is>
      </c>
      <c r="T24" s="56" t="inlineStr">
        <is>
          <t>Helps peers and newer people informally · No direct reports</t>
        </is>
      </c>
      <c r="U24" s="56" t="inlineStr">
        <is>
          <t>Already works at A2: Not scored in Band A</t>
        </is>
      </c>
      <c r="V24" s="34" t="inlineStr">
        <is>
          <t>L</t>
        </is>
      </c>
      <c r="W24" s="56" t="inlineStr">
        <is>
          <t>Not yet at the entry standard · in induction</t>
        </is>
      </c>
      <c r="X24" s="56" t="inlineStr">
        <is>
          <t>Learning; little direct effect on business results yet · purpose: Coordinates product activities and produces market / competitor research. At A1: learning the role; all work reviewed.</t>
        </is>
      </c>
      <c r="Y24" s="56" t="inlineStr">
        <is>
          <t>Already works at A2: Own deliverables feed a team's output and turnaround</t>
        </is>
      </c>
      <c r="Z24" s="34" t="inlineStr">
        <is>
          <t>L</t>
        </is>
      </c>
      <c r="AA24" s="85" t="inlineStr">
        <is>
          <t>Less experience than the band's typical 0 yrs · fresher / intern</t>
        </is>
      </c>
      <c r="AB24" s="85" t="inlineStr">
        <is>
          <t>Typical for the band: 0 yrs · fresher / intern · market — yrs</t>
        </is>
      </c>
      <c r="AC24" s="85" t="inlineStr">
        <is>
          <t>More experience than the band's typical 0 yrs · fresher / intern</t>
        </is>
      </c>
      <c r="AD24" s="34" t="inlineStr">
        <is>
          <t>L</t>
        </is>
      </c>
      <c r="AE24" s="85" t="inlineStr">
        <is>
          <t>Below graduation · still studying</t>
        </is>
      </c>
      <c r="AF24" s="85" t="inlineStr">
        <is>
          <t>Pursuing or completed graduation / diploma</t>
        </is>
      </c>
      <c r="AG24" s="85" t="inlineStr">
        <is>
          <t>Above: Graduate · or diploma with experience</t>
        </is>
      </c>
      <c r="AH24" s="44" t="inlineStr">
        <is>
          <t>58.3 · 16 · 9 · 0 · 6.3 · 6 · 4</t>
        </is>
      </c>
      <c r="AI24" s="38" t="inlineStr">
        <is>
          <t>0 yrs · fresher / intern</t>
        </is>
      </c>
      <c r="AJ24" s="38" t="inlineStr">
        <is>
          <t>No direct reports</t>
        </is>
      </c>
      <c r="AK24" s="38" t="inlineStr">
        <is>
          <t>Entry / P1 · intern · SFIA 1 Follow</t>
        </is>
      </c>
      <c r="AL24"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sheetData>
  <autoFilter ref="A5:AL24"/>
  <mergeCells count="1">
    <mergeCell ref="A2:N2"/>
  </mergeCells>
  <dataValidations count="1">
    <dataValidation sqref="F6 F7 F8 F9 F10 F11 F12 F13 F14 F15 F16 F17 F18 F19 F20 F21 F22 F23 F24 J6 J7 J8 J9 J10 J11 J12 J13 J14 J15 J16 J17 J18 J19 J20 J21 J22 J23 J24 N6 N7 N8 N9 N10 N11 N12 N13 N14 N15 N16 N17 N18 N19 N20 N21 N22 N23 N24 R6 R7 R8 R9 R10 R11 R12 R13 R14 R15 R16 R17 R18 R19 R20 R21 R22 R23 R24 V6 V7 V8 V9 V10 V11 V12 V13 V14 V15 V16 V17 V18 V19 V20 V21 V22 V23 V24 Z6 Z7 Z8 Z9 Z10 Z11 Z12 Z13 Z14 Z15 Z16 Z17 Z18 Z19 Z20 Z21 Z22 Z23 Z24 AD6 AD7 AD8 AD9 AD10 AD11 AD12 AD13 AD14 AD15 AD16 AD17 AD18 AD19 AD20 AD21 AD22 AD23 AD24" showDropDown="0" showInputMessage="0" showErrorMessage="0" allowBlank="1" type="list">
      <formula1>LIST_LMH</formula1>
    </dataValidation>
  </dataValidations>
  <hyperlinks>
    <hyperlink xmlns:r="http://schemas.openxmlformats.org/officeDocument/2006/relationships" ref="O1" r:id="rId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L24"/>
  <sheetViews>
    <sheetView zoomScale="85" workbookViewId="0">
      <pane xSplit="5" ySplit="5" topLeftCell="F6" activePane="bottomRight" state="frozen"/>
      <selection pane="topRight"/>
      <selection pane="bottomLeft"/>
      <selection pane="bottomRight" activeCell="A1" sqref="A1"/>
    </sheetView>
  </sheetViews>
  <sheetFormatPr baseColWidth="8" defaultRowHeight="15"/>
  <cols>
    <col width="7" customWidth="1" min="1" max="1"/>
    <col width="16" customWidth="1" min="2" max="2"/>
    <col width="18" customWidth="1" min="3" max="3"/>
    <col width="20" customWidth="1" min="4" max="4"/>
    <col width="34" customWidth="1" min="5" max="5"/>
    <col width="9" customWidth="1" min="6" max="6"/>
    <col width="30" customWidth="1" min="7" max="7"/>
    <col width="34" customWidth="1" min="8" max="8"/>
    <col width="30" customWidth="1" min="9" max="9"/>
    <col width="9" customWidth="1" min="10" max="10"/>
    <col width="30" customWidth="1" min="11" max="11"/>
    <col width="34" customWidth="1" min="12" max="12"/>
    <col width="30" customWidth="1" min="13" max="13"/>
    <col width="9" customWidth="1" min="14" max="14"/>
    <col width="30" customWidth="1" min="15" max="15"/>
    <col width="34" customWidth="1" min="16" max="16"/>
    <col width="30" customWidth="1" min="17" max="17"/>
    <col width="9" customWidth="1" min="18" max="18"/>
    <col width="30" customWidth="1" min="19" max="19"/>
    <col width="34" customWidth="1" min="20" max="20"/>
    <col width="30" customWidth="1" min="21" max="21"/>
    <col width="9" customWidth="1" min="22" max="22"/>
    <col width="30" customWidth="1" min="23" max="23"/>
    <col width="34" customWidth="1" min="24" max="24"/>
    <col width="30" customWidth="1" min="25" max="25"/>
    <col width="9" customWidth="1" min="26" max="26"/>
    <col width="30" customWidth="1" min="27" max="27"/>
    <col width="34" customWidth="1" min="28" max="28"/>
    <col width="30" customWidth="1" min="29" max="29"/>
    <col width="9" customWidth="1" min="30" max="30"/>
    <col width="30" customWidth="1" min="31" max="31"/>
    <col width="34" customWidth="1" min="32" max="32"/>
    <col width="30" customWidth="1" min="33" max="33"/>
    <col width="26" customWidth="1" min="34" max="34"/>
    <col width="16" customWidth="1" min="35" max="35"/>
    <col width="22" customWidth="1" min="36" max="36"/>
    <col width="18" customWidth="1" min="37" max="37"/>
    <col width="40" customWidth="1" min="38" max="38"/>
  </cols>
  <sheetData>
    <row r="1" ht="24" customHeight="1">
      <c r="A1" s="1" t="inlineStr">
        <is>
          <t>Role &amp; band matrix — Project &amp; Program Management</t>
        </is>
      </c>
      <c r="O1" s="7" t="inlineStr">
        <is>
          <t>◂ Start</t>
        </is>
      </c>
    </row>
    <row r="2" ht="30" customHeight="1">
      <c r="A2" s="2" t="inlineStr">
        <is>
          <t>What Low, Medium and High mean for each of the seven parameters at every level of Project &amp; Program Management, and how much each parameter counts · main type of work: Technology &amp; engineering. Medium is the band as described; Low is the level below; High is the level above. Change a yellow weightage and every role, department ladder and person in this family recalculates.</t>
        </is>
      </c>
    </row>
    <row r="3">
      <c r="A3" s="3" t="inlineStr">
        <is>
          <t>IRIS · Job Architecture &amp; Job Design · Final v1.15 · October 2026 · Internal — Confidential · HR only</t>
        </is>
      </c>
    </row>
    <row r="4" ht="30" customHeight="1">
      <c r="A4" s="6" t="inlineStr">
        <is>
          <t>LEVEL</t>
        </is>
      </c>
      <c r="B4" s="6" t="n"/>
      <c r="C4" s="6" t="n"/>
      <c r="D4" s="6" t="n"/>
      <c r="E4" s="6" t="n"/>
      <c r="F4" s="45" t="inlineStr">
        <is>
          <t>COMPLEXITY &amp; EXPERTISE</t>
        </is>
      </c>
      <c r="G4" s="45" t="n"/>
      <c r="H4" s="45" t="n"/>
      <c r="I4" s="45" t="n"/>
      <c r="J4" s="45" t="inlineStr">
        <is>
          <t>AUTONOMY &amp; DECISION</t>
        </is>
      </c>
      <c r="K4" s="45" t="n"/>
      <c r="L4" s="45" t="n"/>
      <c r="M4" s="45" t="n"/>
      <c r="N4" s="45" t="inlineStr">
        <is>
          <t>ACCOUNTABILITY &amp; IMPACT</t>
        </is>
      </c>
      <c r="O4" s="45" t="n"/>
      <c r="P4" s="45" t="n"/>
      <c r="Q4" s="45" t="n"/>
      <c r="R4" s="47" t="inlineStr">
        <is>
          <t>LEADERSHIP &amp; STRATEGY</t>
        </is>
      </c>
      <c r="S4" s="47" t="n"/>
      <c r="T4" s="47" t="n"/>
      <c r="U4" s="47" t="n"/>
      <c r="V4" s="47" t="inlineStr">
        <is>
          <t>BUSINESS IMPACT</t>
        </is>
      </c>
      <c r="W4" s="47" t="n"/>
      <c r="X4" s="47" t="n"/>
      <c r="Y4" s="47" t="n"/>
      <c r="Z4" s="81" t="inlineStr">
        <is>
          <t>EXPERIENCE</t>
        </is>
      </c>
      <c r="AA4" s="81" t="n"/>
      <c r="AB4" s="81" t="n"/>
      <c r="AC4" s="81" t="n"/>
      <c r="AD4" s="81" t="inlineStr">
        <is>
          <t>EDUCATION</t>
        </is>
      </c>
      <c r="AE4" s="81" t="n"/>
      <c r="AF4" s="81" t="n"/>
      <c r="AG4" s="81" t="n"/>
      <c r="AH4" s="20" t="inlineStr">
        <is>
          <t>MARKET BENCHMARK &amp; REFERENCES</t>
        </is>
      </c>
      <c r="AI4" s="20" t="n"/>
      <c r="AJ4" s="20" t="n"/>
      <c r="AK4" s="20" t="n"/>
      <c r="AL4" s="20" t="n"/>
    </row>
    <row r="5" ht="60" customHeight="1">
      <c r="A5" s="22" t="inlineStr">
        <is>
          <t>Level</t>
        </is>
      </c>
      <c r="B5" s="22" t="inlineStr">
        <is>
          <t>Band</t>
        </is>
      </c>
      <c r="C5" s="22" t="inlineStr">
        <is>
          <t>Role group</t>
        </is>
      </c>
      <c r="D5" s="22" t="inlineStr">
        <is>
          <t>Level title</t>
        </is>
      </c>
      <c r="E5" s="22" t="inlineStr">
        <is>
          <t>Roles at this level in this family</t>
        </is>
      </c>
      <c r="F5" s="48" t="inlineStr">
        <is>
          <t>Weightage · L/M/H</t>
        </is>
      </c>
      <c r="G5" s="48" t="inlineStr">
        <is>
          <t>Low</t>
        </is>
      </c>
      <c r="H5" s="48" t="inlineStr">
        <is>
          <t>Medium</t>
        </is>
      </c>
      <c r="I5" s="48" t="inlineStr">
        <is>
          <t>High</t>
        </is>
      </c>
      <c r="J5" s="48" t="inlineStr">
        <is>
          <t>Weightage · L/M/H</t>
        </is>
      </c>
      <c r="K5" s="48" t="inlineStr">
        <is>
          <t>Low</t>
        </is>
      </c>
      <c r="L5" s="48" t="inlineStr">
        <is>
          <t>Medium</t>
        </is>
      </c>
      <c r="M5" s="48" t="inlineStr">
        <is>
          <t>High</t>
        </is>
      </c>
      <c r="N5" s="48" t="inlineStr">
        <is>
          <t>Weightage · L/M/H</t>
        </is>
      </c>
      <c r="O5" s="48" t="inlineStr">
        <is>
          <t>Low</t>
        </is>
      </c>
      <c r="P5" s="48" t="inlineStr">
        <is>
          <t>Medium</t>
        </is>
      </c>
      <c r="Q5" s="48" t="inlineStr">
        <is>
          <t>High</t>
        </is>
      </c>
      <c r="R5" s="50" t="inlineStr">
        <is>
          <t>Weightage · L/M/H</t>
        </is>
      </c>
      <c r="S5" s="50" t="inlineStr">
        <is>
          <t>Low</t>
        </is>
      </c>
      <c r="T5" s="50" t="inlineStr">
        <is>
          <t>Medium</t>
        </is>
      </c>
      <c r="U5" s="50" t="inlineStr">
        <is>
          <t>High</t>
        </is>
      </c>
      <c r="V5" s="50" t="inlineStr">
        <is>
          <t>Weightage · L/M/H</t>
        </is>
      </c>
      <c r="W5" s="50" t="inlineStr">
        <is>
          <t>Low</t>
        </is>
      </c>
      <c r="X5" s="50" t="inlineStr">
        <is>
          <t>Medium</t>
        </is>
      </c>
      <c r="Y5" s="50" t="inlineStr">
        <is>
          <t>High</t>
        </is>
      </c>
      <c r="Z5" s="82" t="inlineStr">
        <is>
          <t>Weightage · L/M/H</t>
        </is>
      </c>
      <c r="AA5" s="82" t="inlineStr">
        <is>
          <t>Low</t>
        </is>
      </c>
      <c r="AB5" s="82" t="inlineStr">
        <is>
          <t>Medium</t>
        </is>
      </c>
      <c r="AC5" s="82" t="inlineStr">
        <is>
          <t>High</t>
        </is>
      </c>
      <c r="AD5" s="82" t="inlineStr">
        <is>
          <t>Weightage · L/M/H</t>
        </is>
      </c>
      <c r="AE5" s="82" t="inlineStr">
        <is>
          <t>Low</t>
        </is>
      </c>
      <c r="AF5" s="82" t="inlineStr">
        <is>
          <t>Medium</t>
        </is>
      </c>
      <c r="AG5" s="82" t="inlineStr">
        <is>
          <t>High</t>
        </is>
      </c>
      <c r="AH5" s="26" t="inlineStr">
        <is>
          <t>Market weight % · C · Au · Ac · L · BI · Exp · Edu</t>
        </is>
      </c>
      <c r="AI5" s="26" t="inlineStr">
        <is>
          <t>Market experience · yrs</t>
        </is>
      </c>
      <c r="AJ5" s="26" t="inlineStr">
        <is>
          <t>Span norm</t>
        </is>
      </c>
      <c r="AK5" s="26" t="inlineStr">
        <is>
          <t>Radford / Mercer · SFIA 9</t>
        </is>
      </c>
      <c r="AL5" s="26" t="inlineStr">
        <is>
          <t>References</t>
        </is>
      </c>
    </row>
    <row r="6" ht="120" customHeight="1">
      <c r="A6" s="83" t="inlineStr">
        <is>
          <t>E2</t>
        </is>
      </c>
      <c r="B6" s="29" t="inlineStr">
        <is>
          <t>Band E · Enterprise leadership</t>
        </is>
      </c>
      <c r="C6" s="29" t="inlineStr">
        <is>
          <t>Bands D–E · Leadership</t>
        </is>
      </c>
      <c r="D6" s="29" t="inlineStr">
        <is>
          <t>Chief Executive Officer</t>
        </is>
      </c>
      <c r="E6" s="29" t="inlineStr">
        <is>
          <t>— no role at this level today</t>
        </is>
      </c>
      <c r="F6" s="34" t="inlineStr">
        <is>
          <t>H</t>
        </is>
      </c>
      <c r="G6" s="84" t="inlineStr">
        <is>
          <t>Works at E1: Enterprise-level functional strategy</t>
        </is>
      </c>
      <c r="H6" s="84" t="inlineStr">
        <is>
          <t>Enterprise-wide uncertainty, transformation and external forces</t>
        </is>
      </c>
      <c r="I6" s="84" t="inlineStr">
        <is>
          <t>Beyond the role · a board-level mandate</t>
        </is>
      </c>
      <c r="J6" s="34" t="inlineStr">
        <is>
          <t>M</t>
        </is>
      </c>
      <c r="K6" s="84" t="inlineStr">
        <is>
          <t>Works at E1: Sets enterprise priorities for the function</t>
        </is>
      </c>
      <c r="L6" s="84" t="inlineStr">
        <is>
          <t>Accountable to the board</t>
        </is>
      </c>
      <c r="M6" s="84" t="inlineStr">
        <is>
          <t>Beyond the role · a board-level mandate</t>
        </is>
      </c>
      <c r="N6" s="34" t="inlineStr">
        <is>
          <t>M</t>
        </is>
      </c>
      <c r="O6" s="84" t="inlineStr">
        <is>
          <t>Works at E1: Enterprise-wide functional results</t>
        </is>
      </c>
      <c r="P6" s="84" t="inlineStr">
        <is>
          <t>Enterprise results, risk, culture and long-term viability</t>
        </is>
      </c>
      <c r="Q6" s="84" t="inlineStr">
        <is>
          <t>Beyond the role · a board-level mandate</t>
        </is>
      </c>
      <c r="R6" s="34" t="inlineStr">
        <is>
          <t>M</t>
        </is>
      </c>
      <c r="S6" s="56" t="inlineStr">
        <is>
          <t>Works at E1: Shapes enterprise strategy</t>
        </is>
      </c>
      <c r="T6" s="56" t="inlineStr">
        <is>
          <t>Sets enterprise strategy; leads the executive team</t>
        </is>
      </c>
      <c r="U6" s="56" t="inlineStr">
        <is>
          <t>Beyond the role · a board-level mandate</t>
        </is>
      </c>
      <c r="V6" s="34" t="inlineStr">
        <is>
          <t>L</t>
        </is>
      </c>
      <c r="W6" s="56" t="inlineStr">
        <is>
          <t>Works at E1: Shapes company-wide results through a function</t>
        </is>
      </c>
      <c r="X6" s="56" t="inlineStr">
        <is>
          <t>Answers for the whole company's results and long-term value</t>
        </is>
      </c>
      <c r="Y6" s="56" t="inlineStr">
        <is>
          <t>Beyond the role · a board-level mandate</t>
        </is>
      </c>
      <c r="Z6" s="34" t="inlineStr">
        <is>
          <t>L</t>
        </is>
      </c>
      <c r="AA6" s="85" t="inlineStr">
        <is>
          <t>Less experience than the band's typical 20+ yrs</t>
        </is>
      </c>
      <c r="AB6" s="85" t="inlineStr">
        <is>
          <t>Typical for the band: 20+ yrs · market — yrs</t>
        </is>
      </c>
      <c r="AC6" s="85" t="inlineStr">
        <is>
          <t>More experience than the band's typical 20+ yrs</t>
        </is>
      </c>
      <c r="AD6" s="34" t="inlineStr">
        <is>
          <t>L</t>
        </is>
      </c>
      <c r="AE6" s="85" t="inlineStr">
        <is>
          <t>Below: Postgraduate / professional qualification; business leadership record</t>
        </is>
      </c>
      <c r="AF6" s="85" t="inlineStr">
        <is>
          <t>Postgraduate / professional qualification; proven business leadership</t>
        </is>
      </c>
      <c r="AG6" s="85" t="inlineStr">
        <is>
          <t>Board-level credentials beyond the role's need</t>
        </is>
      </c>
      <c r="AH6" s="44" t="inlineStr">
        <is>
          <t>36.3 · 19 · 11.3 · 20 · 8.7 · 4 · 1</t>
        </is>
      </c>
      <c r="AI6" s="38" t="inlineStr">
        <is>
          <t>20+ yrs</t>
        </is>
      </c>
      <c r="AJ6" s="38" t="inlineStr">
        <is>
          <t>Executive team</t>
        </is>
      </c>
      <c r="AK6" s="38" t="inlineStr">
        <is>
          <t>E6 · SFIA 7</t>
        </is>
      </c>
      <c r="AL6"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7" ht="120" customHeight="1">
      <c r="A7" s="83" t="inlineStr">
        <is>
          <t>E1</t>
        </is>
      </c>
      <c r="B7" s="29" t="inlineStr">
        <is>
          <t>Band E · Enterprise leadership</t>
        </is>
      </c>
      <c r="C7" s="29" t="inlineStr">
        <is>
          <t>Bands D–E · Leadership</t>
        </is>
      </c>
      <c r="D7" s="29" t="inlineStr">
        <is>
          <t>CXO / President</t>
        </is>
      </c>
      <c r="E7" s="29" t="inlineStr">
        <is>
          <t>— no role at this level today</t>
        </is>
      </c>
      <c r="F7" s="34" t="inlineStr">
        <is>
          <t>H</t>
        </is>
      </c>
      <c r="G7" s="84" t="inlineStr">
        <is>
          <t>Works at D2: Portfolio-level strategic, financial and regulatory trade-offs</t>
        </is>
      </c>
      <c r="H7" s="84" t="inlineStr">
        <is>
          <t>Enterprise-level functional strategy</t>
        </is>
      </c>
      <c r="I7" s="84" t="inlineStr">
        <is>
          <t>Already works at E2: Enterprise-wide uncertainty, transformation and external forces</t>
        </is>
      </c>
      <c r="J7" s="34" t="inlineStr">
        <is>
          <t>M</t>
        </is>
      </c>
      <c r="K7" s="84" t="inlineStr">
        <is>
          <t>Works at D2: Sets direction across business lines</t>
        </is>
      </c>
      <c r="L7" s="84" t="inlineStr">
        <is>
          <t>Sets enterprise priorities for the function</t>
        </is>
      </c>
      <c r="M7" s="84" t="inlineStr">
        <is>
          <t>Already works at E2: Accountable to the board</t>
        </is>
      </c>
      <c r="N7" s="34" t="inlineStr">
        <is>
          <t>M</t>
        </is>
      </c>
      <c r="O7" s="84" t="inlineStr">
        <is>
          <t>Works at D2: Multi-business results</t>
        </is>
      </c>
      <c r="P7" s="84" t="inlineStr">
        <is>
          <t>Enterprise-wide functional results</t>
        </is>
      </c>
      <c r="Q7" s="84" t="inlineStr">
        <is>
          <t>Already works at E2: Enterprise results, risk, culture and long-term viability</t>
        </is>
      </c>
      <c r="R7" s="34" t="inlineStr">
        <is>
          <t>M</t>
        </is>
      </c>
      <c r="S7" s="56" t="inlineStr">
        <is>
          <t>Works at D2: Builds the leadership team across businesses</t>
        </is>
      </c>
      <c r="T7" s="56" t="inlineStr">
        <is>
          <t>Shapes enterprise strategy</t>
        </is>
      </c>
      <c r="U7" s="56" t="inlineStr">
        <is>
          <t>Already works at E2: Sets enterprise strategy; leads the executive team</t>
        </is>
      </c>
      <c r="V7" s="34" t="inlineStr">
        <is>
          <t>L</t>
        </is>
      </c>
      <c r="W7" s="56" t="inlineStr">
        <is>
          <t>Works at D2: Owns the results of several business lines</t>
        </is>
      </c>
      <c r="X7" s="56" t="inlineStr">
        <is>
          <t>Shapes company-wide results through a function</t>
        </is>
      </c>
      <c r="Y7" s="56" t="inlineStr">
        <is>
          <t>Already works at E2: Answers for the whole company's results and long-term value</t>
        </is>
      </c>
      <c r="Z7" s="34" t="inlineStr">
        <is>
          <t>L</t>
        </is>
      </c>
      <c r="AA7" s="85" t="inlineStr">
        <is>
          <t>Less experience than the band's typical 20+ yrs</t>
        </is>
      </c>
      <c r="AB7" s="85" t="inlineStr">
        <is>
          <t>Typical for the band: 20+ yrs · market — yrs</t>
        </is>
      </c>
      <c r="AC7" s="85" t="inlineStr">
        <is>
          <t>More experience than the band's typical 20+ yrs</t>
        </is>
      </c>
      <c r="AD7" s="34" t="inlineStr">
        <is>
          <t>L</t>
        </is>
      </c>
      <c r="AE7" s="85" t="inlineStr">
        <is>
          <t>Below: Postgraduate / professional qualification preferred</t>
        </is>
      </c>
      <c r="AF7" s="85" t="inlineStr">
        <is>
          <t>Postgraduate / professional qualification; business leadership record</t>
        </is>
      </c>
      <c r="AG7" s="85" t="inlineStr">
        <is>
          <t>Above: Postgraduate / professional qualification; proven business leadership</t>
        </is>
      </c>
      <c r="AH7" s="44" t="inlineStr">
        <is>
          <t>36.3 · 19 · 11.3 · 20 · 8.7 · 4 · 1</t>
        </is>
      </c>
      <c r="AI7" s="38" t="inlineStr">
        <is>
          <t>20+ yrs</t>
        </is>
      </c>
      <c r="AJ7" s="38" t="inlineStr">
        <is>
          <t>5–8 function heads</t>
        </is>
      </c>
      <c r="AK7" s="38" t="inlineStr">
        <is>
          <t>E5 · SFIA 7</t>
        </is>
      </c>
      <c r="AL7"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8" ht="120" customHeight="1">
      <c r="A8" s="86" t="inlineStr">
        <is>
          <t>D2</t>
        </is>
      </c>
      <c r="B8" s="29" t="inlineStr">
        <is>
          <t>Band D · Business leadership</t>
        </is>
      </c>
      <c r="C8" s="29" t="inlineStr">
        <is>
          <t>Bands D–E · Leadership</t>
        </is>
      </c>
      <c r="D8" s="29" t="inlineStr">
        <is>
          <t>Senior Vice President / Business Head</t>
        </is>
      </c>
      <c r="E8" s="29" t="inlineStr">
        <is>
          <t>— no role at this level today</t>
        </is>
      </c>
      <c r="F8" s="34" t="inlineStr">
        <is>
          <t>H</t>
        </is>
      </c>
      <c r="G8" s="84" t="inlineStr">
        <is>
          <t>Works at D1: Competing strategic, financial and regulatory priorities</t>
        </is>
      </c>
      <c r="H8" s="84" t="inlineStr">
        <is>
          <t>Portfolio-level strategic, financial and regulatory trade-offs</t>
        </is>
      </c>
      <c r="I8" s="84" t="inlineStr">
        <is>
          <t>Already works at E1: Enterprise-level functional strategy</t>
        </is>
      </c>
      <c r="J8" s="34" t="inlineStr">
        <is>
          <t>M</t>
        </is>
      </c>
      <c r="K8" s="84" t="inlineStr">
        <is>
          <t>Works at D1: Sets business-line direction, pricing and investment</t>
        </is>
      </c>
      <c r="L8" s="84" t="inlineStr">
        <is>
          <t>Sets direction across business lines</t>
        </is>
      </c>
      <c r="M8" s="84" t="inlineStr">
        <is>
          <t>Already works at E1: Sets enterprise priorities for the function</t>
        </is>
      </c>
      <c r="N8" s="34" t="inlineStr">
        <is>
          <t>M</t>
        </is>
      </c>
      <c r="O8" s="84" t="inlineStr">
        <is>
          <t>Works at D1: Business-line P&amp;L and market position</t>
        </is>
      </c>
      <c r="P8" s="84" t="inlineStr">
        <is>
          <t>Multi-business results</t>
        </is>
      </c>
      <c r="Q8" s="84" t="inlineStr">
        <is>
          <t>Already works at E1: Enterprise-wide functional results</t>
        </is>
      </c>
      <c r="R8" s="34" t="inlineStr">
        <is>
          <t>M</t>
        </is>
      </c>
      <c r="S8" s="56" t="inlineStr">
        <is>
          <t>Works at D1: Defines business strategy; builds the leadership bench</t>
        </is>
      </c>
      <c r="T8" s="56" t="inlineStr">
        <is>
          <t>Builds the leadership team across businesses</t>
        </is>
      </c>
      <c r="U8" s="56" t="inlineStr">
        <is>
          <t>Already works at E1: Shapes enterprise strategy</t>
        </is>
      </c>
      <c r="V8" s="34" t="inlineStr">
        <is>
          <t>L</t>
        </is>
      </c>
      <c r="W8" s="56" t="inlineStr">
        <is>
          <t>Works at D1: Owns a business line's P&amp;L and growth, or a company-wide function</t>
        </is>
      </c>
      <c r="X8" s="56" t="inlineStr">
        <is>
          <t>Owns the results of several business lines</t>
        </is>
      </c>
      <c r="Y8" s="56" t="inlineStr">
        <is>
          <t>Already works at E1: Shapes company-wide results through a function</t>
        </is>
      </c>
      <c r="Z8" s="34" t="inlineStr">
        <is>
          <t>L</t>
        </is>
      </c>
      <c r="AA8" s="85" t="inlineStr">
        <is>
          <t>Less experience than the band's typical 18–24 yrs</t>
        </is>
      </c>
      <c r="AB8" s="85" t="inlineStr">
        <is>
          <t>Typical for the band: 18–24 yrs · market — yrs</t>
        </is>
      </c>
      <c r="AC8" s="85" t="inlineStr">
        <is>
          <t>More experience than the band's typical 18–24 yrs</t>
        </is>
      </c>
      <c r="AD8" s="34" t="inlineStr">
        <is>
          <t>L</t>
        </is>
      </c>
      <c r="AE8" s="85" t="inlineStr">
        <is>
          <t>Below: Postgraduate / professional qualification preferred</t>
        </is>
      </c>
      <c r="AF8" s="85" t="inlineStr">
        <is>
          <t>Postgraduate / professional qualification preferred</t>
        </is>
      </c>
      <c r="AG8" s="85" t="inlineStr">
        <is>
          <t>Above: Postgraduate / professional qualification; business leadership record</t>
        </is>
      </c>
      <c r="AH8" s="44" t="inlineStr">
        <is>
          <t>36.3 · 19 · 11.3 · 20 · 8.7 · 4 · 1</t>
        </is>
      </c>
      <c r="AI8" s="38" t="inlineStr">
        <is>
          <t>18–24 yrs</t>
        </is>
      </c>
      <c r="AJ8" s="38" t="inlineStr">
        <is>
          <t>5–8 AVPs / heads</t>
        </is>
      </c>
      <c r="AK8" s="38" t="inlineStr">
        <is>
          <t>E3–E4 · SFIA 7 Set strategy</t>
        </is>
      </c>
      <c r="AL8"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9" ht="120" customHeight="1">
      <c r="A9" s="86" t="inlineStr">
        <is>
          <t>D1</t>
        </is>
      </c>
      <c r="B9" s="29" t="inlineStr">
        <is>
          <t>Band D · Business leadership</t>
        </is>
      </c>
      <c r="C9" s="29" t="inlineStr">
        <is>
          <t>Bands D–E · Leadership</t>
        </is>
      </c>
      <c r="D9" s="29" t="inlineStr">
        <is>
          <t>Associate Vice President</t>
        </is>
      </c>
      <c r="E9" s="29" t="inlineStr">
        <is>
          <t>— no role at this level today</t>
        </is>
      </c>
      <c r="F9" s="34" t="inlineStr">
        <is>
          <t>H</t>
        </is>
      </c>
      <c r="G9" s="84" t="inlineStr">
        <is>
          <t>Works at C2: Function-wide or company-wide problems; creates methods and standards</t>
        </is>
      </c>
      <c r="H9" s="84" t="inlineStr">
        <is>
          <t>Competing strategic, financial and regulatory priorities</t>
        </is>
      </c>
      <c r="I9" s="84" t="inlineStr">
        <is>
          <t>Already works at D2: Portfolio-level strategic, financial and regulatory trade-offs</t>
        </is>
      </c>
      <c r="J9" s="34" t="inlineStr">
        <is>
          <t>M</t>
        </is>
      </c>
      <c r="K9" s="84" t="inlineStr">
        <is>
          <t>Works at C2: Sets direction for a function</t>
        </is>
      </c>
      <c r="L9" s="84" t="inlineStr">
        <is>
          <t>Sets business-line direction, pricing and investment</t>
        </is>
      </c>
      <c r="M9" s="84" t="inlineStr">
        <is>
          <t>Already works at D2: Sets direction across business lines</t>
        </is>
      </c>
      <c r="N9" s="34" t="inlineStr">
        <is>
          <t>M</t>
        </is>
      </c>
      <c r="O9" s="84" t="inlineStr">
        <is>
          <t>Works at C2: Function results, budget and risk</t>
        </is>
      </c>
      <c r="P9" s="84" t="inlineStr">
        <is>
          <t>Business-line P&amp;L and market position</t>
        </is>
      </c>
      <c r="Q9" s="84" t="inlineStr">
        <is>
          <t>Already works at D2: Multi-business results</t>
        </is>
      </c>
      <c r="R9" s="34" t="inlineStr">
        <is>
          <t>M</t>
        </is>
      </c>
      <c r="S9" s="56" t="inlineStr">
        <is>
          <t>Works at C2: Leads a function; shapes functional strategy</t>
        </is>
      </c>
      <c r="T9" s="56" t="inlineStr">
        <is>
          <t>Defines business strategy; builds the leadership bench</t>
        </is>
      </c>
      <c r="U9" s="56" t="inlineStr">
        <is>
          <t>Already works at D2: Builds the leadership team across businesses</t>
        </is>
      </c>
      <c r="V9" s="34" t="inlineStr">
        <is>
          <t>L</t>
        </is>
      </c>
      <c r="W9" s="56" t="inlineStr">
        <is>
          <t>Works at C2: Drives a function's or department's results and costs</t>
        </is>
      </c>
      <c r="X9" s="56" t="inlineStr">
        <is>
          <t>Owns a business line's P&amp;L and growth, or a company-wide function</t>
        </is>
      </c>
      <c r="Y9" s="56" t="inlineStr">
        <is>
          <t>Already works at D2: Owns the results of several business lines</t>
        </is>
      </c>
      <c r="Z9" s="34" t="inlineStr">
        <is>
          <t>L</t>
        </is>
      </c>
      <c r="AA9" s="85" t="inlineStr">
        <is>
          <t>Less experience than the band's typical 15–20 yrs</t>
        </is>
      </c>
      <c r="AB9" s="85" t="inlineStr">
        <is>
          <t>Typical for the band: 15–20 yrs · market — yrs</t>
        </is>
      </c>
      <c r="AC9" s="85" t="inlineStr">
        <is>
          <t>More experience than the band's typical 15–20 yrs</t>
        </is>
      </c>
      <c r="AD9" s="34" t="inlineStr">
        <is>
          <t>L</t>
        </is>
      </c>
      <c r="AE9" s="85" t="inlineStr">
        <is>
          <t>Below: Postgraduate / professional qualification preferred</t>
        </is>
      </c>
      <c r="AF9" s="85" t="inlineStr">
        <is>
          <t>Postgraduate / professional qualification preferred</t>
        </is>
      </c>
      <c r="AG9" s="85" t="inlineStr">
        <is>
          <t>Above: Postgraduate / professional qualification preferred</t>
        </is>
      </c>
      <c r="AH9" s="44" t="inlineStr">
        <is>
          <t>36.3 · 19 · 11.3 · 20 · 8.7 · 4 · 1</t>
        </is>
      </c>
      <c r="AI9" s="38" t="inlineStr">
        <is>
          <t>15–20 yrs</t>
        </is>
      </c>
      <c r="AJ9" s="38" t="inlineStr">
        <is>
          <t>5–8 heads</t>
        </is>
      </c>
      <c r="AK9" s="38" t="inlineStr">
        <is>
          <t>E1–E2 · SFIA 6–7</t>
        </is>
      </c>
      <c r="AL9"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0" ht="120" customHeight="1">
      <c r="A10" s="87" t="inlineStr">
        <is>
          <t>C+</t>
        </is>
      </c>
      <c r="B10" s="29" t="inlineStr">
        <is>
          <t>C+ · Player-Coach</t>
        </is>
      </c>
      <c r="C10" s="29" t="inlineStr">
        <is>
          <t>C+ · Player-Coach</t>
        </is>
      </c>
      <c r="D10" s="29" t="inlineStr">
        <is>
          <t>Group Head · Player-Coach</t>
        </is>
      </c>
      <c r="E10" s="29" t="inlineStr">
        <is>
          <t>— no role at this level today</t>
        </is>
      </c>
      <c r="F10" s="34" t="inlineStr">
        <is>
          <t>H</t>
        </is>
      </c>
      <c r="G10" s="84" t="inlineStr">
        <is>
          <t>Works at C2: Function-wide or company-wide problems; creates methods and standards</t>
        </is>
      </c>
      <c r="H10" s="84" t="inlineStr">
        <is>
          <t>Function-wide and cross-product problems; personally handles the most critical client or technical work</t>
        </is>
      </c>
      <c r="I10" s="84" t="inlineStr">
        <is>
          <t>Already works at D1: Competing strategic, financial and regulatory priorities</t>
        </is>
      </c>
      <c r="J10" s="34" t="inlineStr">
        <is>
          <t>M</t>
        </is>
      </c>
      <c r="K10" s="84" t="inlineStr">
        <is>
          <t>Works at C2: Sets direction for a function</t>
        </is>
      </c>
      <c r="L10" s="84" t="inlineStr">
        <is>
          <t>Sets direction for the function; business-line trade-offs go to the Business Head</t>
        </is>
      </c>
      <c r="M10" s="84" t="inlineStr">
        <is>
          <t>Already works at D1: Sets business-line direction, pricing and investment</t>
        </is>
      </c>
      <c r="N10" s="34" t="inlineStr">
        <is>
          <t>M</t>
        </is>
      </c>
      <c r="O10" s="84" t="inlineStr">
        <is>
          <t>Works at C2: Function results, budget and risk</t>
        </is>
      </c>
      <c r="P10" s="84" t="inlineStr">
        <is>
          <t>Function results, budget and key-client outcomes; carries own book or principal delivery</t>
        </is>
      </c>
      <c r="Q10" s="84" t="inlineStr">
        <is>
          <t>Already works at D1: Business-line P&amp;L and market position</t>
        </is>
      </c>
      <c r="R10" s="34" t="inlineStr">
        <is>
          <t>M</t>
        </is>
      </c>
      <c r="S10" s="56" t="inlineStr">
        <is>
          <t>Works at C2: Leads a function; shapes functional strategy</t>
        </is>
      </c>
      <c r="T10" s="56" t="inlineStr">
        <is>
          <t>Leads managers and leads and 10+ people in the function while staying hands-on</t>
        </is>
      </c>
      <c r="U10" s="56" t="inlineStr">
        <is>
          <t>Already works at D1: Defines business strategy; builds the leadership bench</t>
        </is>
      </c>
      <c r="V10" s="34" t="inlineStr">
        <is>
          <t>L</t>
        </is>
      </c>
      <c r="W10" s="56" t="inlineStr">
        <is>
          <t>Works at C2: Drives a function's or department's results and costs</t>
        </is>
      </c>
      <c r="X10" s="56" t="inlineStr">
        <is>
          <t>Drives a function's results and personally wins or delivers key work</t>
        </is>
      </c>
      <c r="Y10" s="56" t="inlineStr">
        <is>
          <t>Already works at D1: Owns a business line's P&amp;L and growth, or a company-wide function</t>
        </is>
      </c>
      <c r="Z10" s="34" t="inlineStr">
        <is>
          <t>L</t>
        </is>
      </c>
      <c r="AA10" s="85" t="inlineStr">
        <is>
          <t>Less experience than the band's typical 13–18 yrs</t>
        </is>
      </c>
      <c r="AB10" s="85" t="inlineStr">
        <is>
          <t>Typical for the band: 13–18 yrs · market 15–18 yrs</t>
        </is>
      </c>
      <c r="AC10" s="85" t="inlineStr">
        <is>
          <t>More experience than the band's typical 13–18 yrs</t>
        </is>
      </c>
      <c r="AD10" s="34" t="inlineStr">
        <is>
          <t>L</t>
        </is>
      </c>
      <c r="AE10" s="85" t="inlineStr">
        <is>
          <t>Below: Postgraduate / professional qualification preferred</t>
        </is>
      </c>
      <c r="AF10" s="85" t="inlineStr">
        <is>
          <t>Postgraduate / professional qualification preferred</t>
        </is>
      </c>
      <c r="AG10" s="85" t="inlineStr">
        <is>
          <t>Above: Postgraduate / professional qualification preferred</t>
        </is>
      </c>
      <c r="AH10" s="44" t="inlineStr">
        <is>
          <t>37.7 · 18.3 · 10.7 · 20 · 8 · 4 · 1</t>
        </is>
      </c>
      <c r="AI10" s="38" t="inlineStr">
        <is>
          <t>15–18</t>
        </is>
      </c>
      <c r="AJ10" s="38" t="inlineStr">
        <is>
          <t>4–8 managers / leads with ≥ 25% of time on own principal delivery</t>
        </is>
      </c>
      <c r="AK10" s="38" t="inlineStr">
        <is>
          <t>M6 / E1 · SFIA 6 Initiate, influence</t>
        </is>
      </c>
      <c r="AL10"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1" ht="120" customHeight="1">
      <c r="A11" s="88" t="inlineStr">
        <is>
          <t>C2</t>
        </is>
      </c>
      <c r="B11" s="29" t="inlineStr">
        <is>
          <t>Band C · Principal / Head</t>
        </is>
      </c>
      <c r="C11" s="29" t="inlineStr">
        <is>
          <t>Band C · Head / manager</t>
        </is>
      </c>
      <c r="D11" s="29" t="inlineStr">
        <is>
          <t>Head of Function</t>
        </is>
      </c>
      <c r="E11" s="29" t="inlineStr">
        <is>
          <t>Delivery Leadership · Head – Delivery</t>
        </is>
      </c>
      <c r="F11" s="34" t="inlineStr">
        <is>
          <t>H</t>
        </is>
      </c>
      <c r="G11" s="84" t="inlineStr">
        <is>
          <t>Works at C1: Ambiguous, cross-product problems</t>
        </is>
      </c>
      <c r="H11" s="84" t="inlineStr">
        <is>
          <t>Function-wide or company-wide problems; creates methods and standards</t>
        </is>
      </c>
      <c r="I11" s="84" t="inlineStr">
        <is>
          <t>Already works at D1: Competing strategic, financial and regulatory priorities</t>
        </is>
      </c>
      <c r="J11" s="34" t="inlineStr">
        <is>
          <t>M</t>
        </is>
      </c>
      <c r="K11" s="84" t="inlineStr">
        <is>
          <t>Works at C1: Sets direction for a sub-function or domain</t>
        </is>
      </c>
      <c r="L11" s="84" t="inlineStr">
        <is>
          <t>Sets direction for a function</t>
        </is>
      </c>
      <c r="M11" s="84" t="inlineStr">
        <is>
          <t>Already works at D1: Sets business-line direction, pricing and investment</t>
        </is>
      </c>
      <c r="N11" s="34" t="inlineStr">
        <is>
          <t>L</t>
        </is>
      </c>
      <c r="O11" s="84" t="inlineStr">
        <is>
          <t>Works at C1: Sub-function results or domain quality across products</t>
        </is>
      </c>
      <c r="P11" s="84" t="inlineStr">
        <is>
          <t>Function results, budget and risk</t>
        </is>
      </c>
      <c r="Q11" s="84" t="inlineStr">
        <is>
          <t>Already works at D1: Business-line P&amp;L and market position</t>
        </is>
      </c>
      <c r="R11" s="34" t="inlineStr">
        <is>
          <t>M</t>
        </is>
      </c>
      <c r="S11" s="56" t="inlineStr">
        <is>
          <t>Works at C1: Leads managers or a community of practice</t>
        </is>
      </c>
      <c r="T11" s="56" t="inlineStr">
        <is>
          <t>Leads a function; shapes functional strategy</t>
        </is>
      </c>
      <c r="U11" s="56" t="inlineStr">
        <is>
          <t>Already works at D1: Defines business strategy; builds the leadership bench</t>
        </is>
      </c>
      <c r="V11" s="34" t="inlineStr">
        <is>
          <t>L</t>
        </is>
      </c>
      <c r="W11" s="56" t="inlineStr">
        <is>
          <t>Works at C1: Changes results across a sub-function or across products</t>
        </is>
      </c>
      <c r="X11" s="56" t="inlineStr">
        <is>
          <t>Drives a function's or department's results and costs · purpose: Leads the project &amp; program management function. At C2: a function or department, or a company-wide discipline.</t>
        </is>
      </c>
      <c r="Y11" s="56" t="inlineStr">
        <is>
          <t>Already works at D1: Owns a business line's P&amp;L and growth, or a company-wide function</t>
        </is>
      </c>
      <c r="Z11" s="34" t="inlineStr">
        <is>
          <t>L</t>
        </is>
      </c>
      <c r="AA11" s="85" t="inlineStr">
        <is>
          <t>Less experience than the band's typical 12–17 yrs</t>
        </is>
      </c>
      <c r="AB11" s="85" t="inlineStr">
        <is>
          <t>Typical for the band: 12–17 yrs · market — yrs</t>
        </is>
      </c>
      <c r="AC11" s="85" t="inlineStr">
        <is>
          <t>More experience than the band's typical 12–17 yrs</t>
        </is>
      </c>
      <c r="AD11" s="34" t="inlineStr">
        <is>
          <t>L</t>
        </is>
      </c>
      <c r="AE11" s="85" t="inlineStr">
        <is>
          <t>Below: Postgraduate / professional qualification preferred</t>
        </is>
      </c>
      <c r="AF11" s="85" t="inlineStr">
        <is>
          <t>Postgraduate / professional qualification preferred</t>
        </is>
      </c>
      <c r="AG11" s="85" t="inlineStr">
        <is>
          <t>Above: Postgraduate / professional qualification preferred</t>
        </is>
      </c>
      <c r="AH11" s="44" t="inlineStr">
        <is>
          <t>43.3 · 18 · 10.7 · 15 · 8 · 4 · 1</t>
        </is>
      </c>
      <c r="AI11" s="38" t="inlineStr">
        <is>
          <t>12–17 yrs</t>
        </is>
      </c>
      <c r="AJ11" s="38" t="inlineStr">
        <is>
          <t>5–8 managers / associate heads</t>
        </is>
      </c>
      <c r="AK11" s="38" t="inlineStr">
        <is>
          <t>P7 / M6 · SFIA 6 Initiate, influence</t>
        </is>
      </c>
      <c r="AL11"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2" ht="120" customHeight="1">
      <c r="A12" s="88" t="inlineStr">
        <is>
          <t>C2</t>
        </is>
      </c>
      <c r="B12" s="29" t="inlineStr">
        <is>
          <t>Band C · Principal / Head</t>
        </is>
      </c>
      <c r="C12" s="29" t="inlineStr">
        <is>
          <t>Band C · Principal specialist</t>
        </is>
      </c>
      <c r="D12" s="29" t="inlineStr">
        <is>
          <t>Senior Principal / Architect</t>
        </is>
      </c>
      <c r="E12" s="29" t="inlineStr">
        <is>
          <t>Delivery Leadership · Head – Delivery</t>
        </is>
      </c>
      <c r="F12" s="34" t="inlineStr">
        <is>
          <t>H</t>
        </is>
      </c>
      <c r="G12" s="84" t="inlineStr">
        <is>
          <t>Works at C1: Ambiguous, cross-product problems</t>
        </is>
      </c>
      <c r="H12" s="84" t="inlineStr">
        <is>
          <t>Function-wide or company-wide problems; creates methods and standards</t>
        </is>
      </c>
      <c r="I12" s="84" t="inlineStr">
        <is>
          <t>Already works at D1: Competing strategic, financial and regulatory priorities</t>
        </is>
      </c>
      <c r="J12" s="34" t="inlineStr">
        <is>
          <t>M</t>
        </is>
      </c>
      <c r="K12" s="84" t="inlineStr">
        <is>
          <t>Works at C1: Sets direction for a sub-function or domain</t>
        </is>
      </c>
      <c r="L12" s="84" t="inlineStr">
        <is>
          <t>Sets direction for a function</t>
        </is>
      </c>
      <c r="M12" s="84" t="inlineStr">
        <is>
          <t>Already works at D1: Sets business-line direction, pricing and investment</t>
        </is>
      </c>
      <c r="N12" s="34" t="inlineStr">
        <is>
          <t>L</t>
        </is>
      </c>
      <c r="O12" s="84" t="inlineStr">
        <is>
          <t>Works at C1: Sub-function results or domain quality across products</t>
        </is>
      </c>
      <c r="P12" s="84" t="inlineStr">
        <is>
          <t>Function results, budget and risk</t>
        </is>
      </c>
      <c r="Q12" s="84" t="inlineStr">
        <is>
          <t>Already works at D1: Business-line P&amp;L and market position</t>
        </is>
      </c>
      <c r="R12" s="34" t="inlineStr">
        <is>
          <t>L</t>
        </is>
      </c>
      <c r="S12" s="56" t="inlineStr">
        <is>
          <t>Works at C1: Leads managers or a community of practice</t>
        </is>
      </c>
      <c r="T12" s="56" t="inlineStr">
        <is>
          <t>Leads a function; shapes functional strategy</t>
        </is>
      </c>
      <c r="U12" s="56" t="inlineStr">
        <is>
          <t>Already works at D1: Defines business strategy; builds the leadership bench</t>
        </is>
      </c>
      <c r="V12" s="34" t="inlineStr">
        <is>
          <t>L</t>
        </is>
      </c>
      <c r="W12" s="56" t="inlineStr">
        <is>
          <t>Works at C1: Changes results across a sub-function or across products</t>
        </is>
      </c>
      <c r="X12" s="56" t="inlineStr">
        <is>
          <t>Drives a function's or department's results and costs · purpose: Leads the project &amp; program management function. At C2: a function or department, or a company-wide discipline.</t>
        </is>
      </c>
      <c r="Y12" s="56" t="inlineStr">
        <is>
          <t>Already works at D1: Owns a business line's P&amp;L and growth, or a company-wide function</t>
        </is>
      </c>
      <c r="Z12" s="34" t="inlineStr">
        <is>
          <t>L</t>
        </is>
      </c>
      <c r="AA12" s="85" t="inlineStr">
        <is>
          <t>Less experience than the band's typical 12–17 yrs</t>
        </is>
      </c>
      <c r="AB12" s="85" t="inlineStr">
        <is>
          <t>Typical for the band: 12–17 yrs · market — yrs</t>
        </is>
      </c>
      <c r="AC12" s="85" t="inlineStr">
        <is>
          <t>More experience than the band's typical 12–17 yrs</t>
        </is>
      </c>
      <c r="AD12" s="34" t="inlineStr">
        <is>
          <t>L</t>
        </is>
      </c>
      <c r="AE12" s="85" t="inlineStr">
        <is>
          <t>Below: Postgraduate / professional qualification preferred</t>
        </is>
      </c>
      <c r="AF12" s="85" t="inlineStr">
        <is>
          <t>Postgraduate / professional qualification preferred</t>
        </is>
      </c>
      <c r="AG12" s="85" t="inlineStr">
        <is>
          <t>Above: Postgraduate / professional qualification preferred</t>
        </is>
      </c>
      <c r="AH12" s="44" t="inlineStr">
        <is>
          <t>54.3 · 17.7 · 10.3 · 5 · 7.7 · 4 · 1</t>
        </is>
      </c>
      <c r="AI12" s="38" t="inlineStr">
        <is>
          <t>12–17 yrs</t>
        </is>
      </c>
      <c r="AJ12" s="38" t="inlineStr">
        <is>
          <t>5–8 managers / associate heads</t>
        </is>
      </c>
      <c r="AK12" s="38" t="inlineStr">
        <is>
          <t>P7 / M6 · SFIA 6 Initiate, influence</t>
        </is>
      </c>
      <c r="AL12"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3" ht="120" customHeight="1">
      <c r="A13" s="88" t="inlineStr">
        <is>
          <t>C1</t>
        </is>
      </c>
      <c r="B13" s="29" t="inlineStr">
        <is>
          <t>Band C · Principal / Head</t>
        </is>
      </c>
      <c r="C13" s="29" t="inlineStr">
        <is>
          <t>Band C · Head / manager</t>
        </is>
      </c>
      <c r="D13" s="29" t="inlineStr">
        <is>
          <t>Associate Head</t>
        </is>
      </c>
      <c r="E13" s="29" t="inlineStr">
        <is>
          <t>— no role at this level today</t>
        </is>
      </c>
      <c r="F13" s="34" t="inlineStr">
        <is>
          <t>H</t>
        </is>
      </c>
      <c r="G13" s="84" t="inlineStr">
        <is>
          <t>Works at B3: Sets standards for a practice; cross-team problems</t>
        </is>
      </c>
      <c r="H13" s="84" t="inlineStr">
        <is>
          <t>Ambiguous, cross-product problems</t>
        </is>
      </c>
      <c r="I13" s="84" t="inlineStr">
        <is>
          <t>Already works at C2: Function-wide or company-wide problems; creates methods and standards</t>
        </is>
      </c>
      <c r="J13" s="34" t="inlineStr">
        <is>
          <t>M</t>
        </is>
      </c>
      <c r="K13" s="84" t="inlineStr">
        <is>
          <t>Works at B3: Commercial / strategic calls for the unit</t>
        </is>
      </c>
      <c r="L13" s="84" t="inlineStr">
        <is>
          <t>Sets direction for a sub-function or domain</t>
        </is>
      </c>
      <c r="M13" s="84" t="inlineStr">
        <is>
          <t>Already works at C2: Sets direction for a function</t>
        </is>
      </c>
      <c r="N13" s="34" t="inlineStr">
        <is>
          <t>L</t>
        </is>
      </c>
      <c r="O13" s="84" t="inlineStr">
        <is>
          <t>Works at B3: Several teams or a practice</t>
        </is>
      </c>
      <c r="P13" s="84" t="inlineStr">
        <is>
          <t>Sub-function results or domain quality across products</t>
        </is>
      </c>
      <c r="Q13" s="84" t="inlineStr">
        <is>
          <t>Already works at C2: Function results, budget and risk</t>
        </is>
      </c>
      <c r="R13" s="34" t="inlineStr">
        <is>
          <t>M</t>
        </is>
      </c>
      <c r="S13" s="56" t="inlineStr">
        <is>
          <t>Works at B3: IC: leads a practice · People: team leads / managers report in</t>
        </is>
      </c>
      <c r="T13" s="56" t="inlineStr">
        <is>
          <t>Leads managers or a community of practice</t>
        </is>
      </c>
      <c r="U13" s="56" t="inlineStr">
        <is>
          <t>Already works at C2: Leads a function; shapes functional strategy</t>
        </is>
      </c>
      <c r="V13" s="34" t="inlineStr">
        <is>
          <t>L</t>
        </is>
      </c>
      <c r="W13" s="56" t="inlineStr">
        <is>
          <t>Works at B3: Shapes the results of a practice or several teams</t>
        </is>
      </c>
      <c r="X13" s="56" t="inlineStr">
        <is>
          <t>Changes results across a sub-function or across products</t>
        </is>
      </c>
      <c r="Y13" s="56" t="inlineStr">
        <is>
          <t>Already works at C2: Drives a function's or department's results and costs</t>
        </is>
      </c>
      <c r="Z13" s="34" t="inlineStr">
        <is>
          <t>L</t>
        </is>
      </c>
      <c r="AA13" s="85" t="inlineStr">
        <is>
          <t>Less experience than the band's typical 10–14 yrs</t>
        </is>
      </c>
      <c r="AB13" s="85" t="inlineStr">
        <is>
          <t>Typical for the band: 10–14 yrs · market 12–17 yrs</t>
        </is>
      </c>
      <c r="AC13" s="85" t="inlineStr">
        <is>
          <t>More experience than the band's typical 10–14 yrs</t>
        </is>
      </c>
      <c r="AD13" s="34" t="inlineStr">
        <is>
          <t>L</t>
        </is>
      </c>
      <c r="AE13" s="85" t="inlineStr">
        <is>
          <t>Below: Postgraduate or professional qualification preferred</t>
        </is>
      </c>
      <c r="AF13" s="85" t="inlineStr">
        <is>
          <t>Postgraduate / professional qualification preferred</t>
        </is>
      </c>
      <c r="AG13" s="85" t="inlineStr">
        <is>
          <t>Above: Postgraduate / professional qualification preferred</t>
        </is>
      </c>
      <c r="AH13" s="44" t="inlineStr">
        <is>
          <t>43.3 · 18 · 10.7 · 15 · 8 · 4 · 1</t>
        </is>
      </c>
      <c r="AI13" s="38" t="inlineStr">
        <is>
          <t>12–17</t>
        </is>
      </c>
      <c r="AJ13" s="38" t="inlineStr">
        <is>
          <t>5–8, mostly managers</t>
        </is>
      </c>
      <c r="AK13" s="38" t="inlineStr">
        <is>
          <t>P6 / M5 · SFIA 5–6</t>
        </is>
      </c>
      <c r="AL13"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4" ht="120" customHeight="1">
      <c r="A14" s="88" t="inlineStr">
        <is>
          <t>C1</t>
        </is>
      </c>
      <c r="B14" s="29" t="inlineStr">
        <is>
          <t>Band C · Principal / Head</t>
        </is>
      </c>
      <c r="C14" s="29" t="inlineStr">
        <is>
          <t>Band C · Principal specialist</t>
        </is>
      </c>
      <c r="D14" s="29" t="inlineStr">
        <is>
          <t>Principal</t>
        </is>
      </c>
      <c r="E14" s="29" t="inlineStr">
        <is>
          <t>— no role at this level today</t>
        </is>
      </c>
      <c r="F14" s="34" t="inlineStr">
        <is>
          <t>H</t>
        </is>
      </c>
      <c r="G14" s="84" t="inlineStr">
        <is>
          <t>Works at B3: Sets standards for a practice; cross-team problems</t>
        </is>
      </c>
      <c r="H14" s="84" t="inlineStr">
        <is>
          <t>Ambiguous, cross-product problems</t>
        </is>
      </c>
      <c r="I14" s="84" t="inlineStr">
        <is>
          <t>Already works at C2: Function-wide or company-wide problems; creates methods and standards</t>
        </is>
      </c>
      <c r="J14" s="34" t="inlineStr">
        <is>
          <t>M</t>
        </is>
      </c>
      <c r="K14" s="84" t="inlineStr">
        <is>
          <t>Works at B3: Commercial / strategic calls for the unit</t>
        </is>
      </c>
      <c r="L14" s="84" t="inlineStr">
        <is>
          <t>Sets direction for a sub-function or domain</t>
        </is>
      </c>
      <c r="M14" s="84" t="inlineStr">
        <is>
          <t>Already works at C2: Sets direction for a function</t>
        </is>
      </c>
      <c r="N14" s="34" t="inlineStr">
        <is>
          <t>L</t>
        </is>
      </c>
      <c r="O14" s="84" t="inlineStr">
        <is>
          <t>Works at B3: Several teams or a practice</t>
        </is>
      </c>
      <c r="P14" s="84" t="inlineStr">
        <is>
          <t>Sub-function results or domain quality across products</t>
        </is>
      </c>
      <c r="Q14" s="84" t="inlineStr">
        <is>
          <t>Already works at C2: Function results, budget and risk</t>
        </is>
      </c>
      <c r="R14" s="34" t="inlineStr">
        <is>
          <t>L</t>
        </is>
      </c>
      <c r="S14" s="56" t="inlineStr">
        <is>
          <t>Works at B3: IC: leads a practice · People: team leads / managers report in</t>
        </is>
      </c>
      <c r="T14" s="56" t="inlineStr">
        <is>
          <t>Leads managers or a community of practice</t>
        </is>
      </c>
      <c r="U14" s="56" t="inlineStr">
        <is>
          <t>Already works at C2: Leads a function; shapes functional strategy</t>
        </is>
      </c>
      <c r="V14" s="34" t="inlineStr">
        <is>
          <t>L</t>
        </is>
      </c>
      <c r="W14" s="56" t="inlineStr">
        <is>
          <t>Works at B3: Shapes the results of a practice or several teams</t>
        </is>
      </c>
      <c r="X14" s="56" t="inlineStr">
        <is>
          <t>Changes results across a sub-function or across products</t>
        </is>
      </c>
      <c r="Y14" s="56" t="inlineStr">
        <is>
          <t>Already works at C2: Drives a function's or department's results and costs</t>
        </is>
      </c>
      <c r="Z14" s="34" t="inlineStr">
        <is>
          <t>L</t>
        </is>
      </c>
      <c r="AA14" s="85" t="inlineStr">
        <is>
          <t>Less experience than the band's typical 10–14 yrs</t>
        </is>
      </c>
      <c r="AB14" s="85" t="inlineStr">
        <is>
          <t>Typical for the band: 10–14 yrs · market 12–17 yrs</t>
        </is>
      </c>
      <c r="AC14" s="85" t="inlineStr">
        <is>
          <t>More experience than the band's typical 10–14 yrs</t>
        </is>
      </c>
      <c r="AD14" s="34" t="inlineStr">
        <is>
          <t>L</t>
        </is>
      </c>
      <c r="AE14" s="85" t="inlineStr">
        <is>
          <t>Below: Postgraduate or professional qualification preferred</t>
        </is>
      </c>
      <c r="AF14" s="85" t="inlineStr">
        <is>
          <t>Postgraduate / professional qualification preferred</t>
        </is>
      </c>
      <c r="AG14" s="85" t="inlineStr">
        <is>
          <t>Above: Postgraduate / professional qualification preferred</t>
        </is>
      </c>
      <c r="AH14" s="44" t="inlineStr">
        <is>
          <t>54.3 · 17.7 · 10.3 · 5 · 7.7 · 4 · 1</t>
        </is>
      </c>
      <c r="AI14" s="38" t="inlineStr">
        <is>
          <t>12–17</t>
        </is>
      </c>
      <c r="AJ14" s="38" t="inlineStr">
        <is>
          <t>5–8, mostly managers</t>
        </is>
      </c>
      <c r="AK14" s="38" t="inlineStr">
        <is>
          <t>P6 / M5 · SFIA 5–6</t>
        </is>
      </c>
      <c r="AL14"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5" ht="120" customHeight="1">
      <c r="A15" s="89" t="inlineStr">
        <is>
          <t>B+</t>
        </is>
      </c>
      <c r="B15" s="29" t="inlineStr">
        <is>
          <t>B+ · Player-Coach</t>
        </is>
      </c>
      <c r="C15" s="29" t="inlineStr">
        <is>
          <t>B+ · Player-Coach</t>
        </is>
      </c>
      <c r="D15" s="29" t="inlineStr">
        <is>
          <t>Practice Lead · Player-Coach</t>
        </is>
      </c>
      <c r="E15" s="29" t="inlineStr">
        <is>
          <t>Project &amp; Program Delivery · Practice Lead – Project &amp; Program Delivery · Player-Coach</t>
        </is>
      </c>
      <c r="F15" s="34" t="inlineStr">
        <is>
          <t>H</t>
        </is>
      </c>
      <c r="G15" s="84" t="inlineStr">
        <is>
          <t>Works at B3: Sets standards for a practice; cross-team problems</t>
        </is>
      </c>
      <c r="H15" s="84" t="inlineStr">
        <is>
          <t>Principal-level problems in own domain; sets technical or quality standards and still builds · in Project &amp; Program Management: Project Management · Stakeholder management · Requirement analysis</t>
        </is>
      </c>
      <c r="I15" s="84" t="inlineStr">
        <is>
          <t>Already works at C1: Ambiguous, cross-product problems</t>
        </is>
      </c>
      <c r="J15" s="34" t="inlineStr">
        <is>
          <t>M</t>
        </is>
      </c>
      <c r="K15" s="84" t="inlineStr">
        <is>
          <t>Works at B3: Commercial / strategic calls for the unit</t>
        </is>
      </c>
      <c r="L15" s="84" t="inlineStr">
        <is>
          <t>Decides approach and priorities for the practice; escalates only cross-function trade-offs</t>
        </is>
      </c>
      <c r="M15" s="84" t="inlineStr">
        <is>
          <t>Already works at C1: Sets direction for a sub-function or domain</t>
        </is>
      </c>
      <c r="N15" s="34" t="inlineStr">
        <is>
          <t>L</t>
        </is>
      </c>
      <c r="O15" s="84" t="inlineStr">
        <is>
          <t>Works at B3: Several teams or a practice</t>
        </is>
      </c>
      <c r="P15" s="84" t="inlineStr">
        <is>
          <t>Practice outcomes plus own deliverables; quality and delivery of the team</t>
        </is>
      </c>
      <c r="Q15" s="84" t="inlineStr">
        <is>
          <t>Already works at C1: Sub-function results or domain quality across products</t>
        </is>
      </c>
      <c r="R15" s="34" t="inlineStr">
        <is>
          <t>M</t>
        </is>
      </c>
      <c r="S15" s="56" t="inlineStr">
        <is>
          <t>Works at B3: IC: leads a practice · People: team leads / managers report in</t>
        </is>
      </c>
      <c r="T15" s="56" t="inlineStr">
        <is>
          <t>Leads 3–6 people · or a pod while remaining a hands-on expert; coaches, allocates, reviews</t>
        </is>
      </c>
      <c r="U15" s="56" t="inlineStr">
        <is>
          <t>Already works at C1: Leads managers or a community of practice</t>
        </is>
      </c>
      <c r="V15" s="34" t="inlineStr">
        <is>
          <t>L</t>
        </is>
      </c>
      <c r="W15" s="56" t="inlineStr">
        <is>
          <t>Works at B3: Shapes the results of a practice or several teams</t>
        </is>
      </c>
      <c r="X15" s="56" t="inlineStr">
        <is>
          <t>Drives a practice's results while delivering the hardest work · purpose: Plans and delivers projects/programmes to scope, time and cost; manages CRs, risks and stakeholders. At B+: a practice or product area: does the hardest …</t>
        </is>
      </c>
      <c r="Y15" s="56" t="inlineStr">
        <is>
          <t>Already works at C1: Changes results across a sub-function or across products</t>
        </is>
      </c>
      <c r="Z15" s="34" t="inlineStr">
        <is>
          <t>L</t>
        </is>
      </c>
      <c r="AA15" s="85" t="inlineStr">
        <is>
          <t>Less experience than the band's typical 9–14 yrs</t>
        </is>
      </c>
      <c r="AB15" s="85" t="inlineStr">
        <is>
          <t>Typical for the band: 9–14 yrs · market 9–14 yrs</t>
        </is>
      </c>
      <c r="AC15" s="85" t="inlineStr">
        <is>
          <t>More experience than the band's typical 9–14 yrs</t>
        </is>
      </c>
      <c r="AD15" s="34" t="inlineStr">
        <is>
          <t>L</t>
        </is>
      </c>
      <c r="AE15" s="85" t="inlineStr">
        <is>
          <t>Below: Postgraduate or professional qualification preferred</t>
        </is>
      </c>
      <c r="AF15" s="85" t="inlineStr">
        <is>
          <t>Postgraduate or professional qualification preferred</t>
        </is>
      </c>
      <c r="AG15" s="85" t="inlineStr">
        <is>
          <t>Above: Postgraduate / professional qualification preferred</t>
        </is>
      </c>
      <c r="AH15" s="44" t="inlineStr">
        <is>
          <t>44 · 17.7 · 10.3 · 10 · 7.7 · 6 · 4</t>
        </is>
      </c>
      <c r="AI15" s="38" t="inlineStr">
        <is>
          <t>9–14</t>
        </is>
      </c>
      <c r="AJ15" s="38" t="inlineStr">
        <is>
          <t>3–6 direct reports with ≥ 40% of time on own delivery · McKinsey player/coach 3–5; Google Tech Lead Manager</t>
        </is>
      </c>
      <c r="AK15" s="38" t="inlineStr">
        <is>
          <t>P5–P6 / M4–M5 · SFIA 5 Ensure, advise</t>
        </is>
      </c>
      <c r="AL15"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6" ht="120" customHeight="1">
      <c r="A16" s="90" t="inlineStr">
        <is>
          <t>B3</t>
        </is>
      </c>
      <c r="B16" s="29" t="inlineStr">
        <is>
          <t>Band B · Specialist / Manager</t>
        </is>
      </c>
      <c r="C16" s="29" t="inlineStr">
        <is>
          <t>Band B · People Manager</t>
        </is>
      </c>
      <c r="D16" s="29" t="inlineStr">
        <is>
          <t>Senior Manager</t>
        </is>
      </c>
      <c r="E16" s="29" t="inlineStr">
        <is>
          <t>PMO &amp; Delivery Excellence · Agile Coach
Project &amp; Program Delivery · Program Manager</t>
        </is>
      </c>
      <c r="F16" s="34" t="inlineStr">
        <is>
          <t>H</t>
        </is>
      </c>
      <c r="G16" s="84" t="inlineStr">
        <is>
          <t>Works at B2: Hardest problems in the domain</t>
        </is>
      </c>
      <c r="H16" s="84" t="inlineStr">
        <is>
          <t>Sets standards for a practice; cross-team problems · in Project &amp; Program Management: Project Management · Stakeholder management · Requirement analysis</t>
        </is>
      </c>
      <c r="I16" s="84" t="inlineStr">
        <is>
          <t>Already works at C1: Ambiguous, cross-product problems</t>
        </is>
      </c>
      <c r="J16" s="34" t="inlineStr">
        <is>
          <t>M</t>
        </is>
      </c>
      <c r="K16" s="84" t="inlineStr">
        <is>
          <t>Works at B2: Allocates people and sets team priorities</t>
        </is>
      </c>
      <c r="L16" s="84" t="inlineStr">
        <is>
          <t>Commercial / strategic calls for the unit</t>
        </is>
      </c>
      <c r="M16" s="84" t="inlineStr">
        <is>
          <t>Already works at C1: Sets direction for a sub-function or domain</t>
        </is>
      </c>
      <c r="N16" s="34" t="inlineStr">
        <is>
          <t>L</t>
        </is>
      </c>
      <c r="O16" s="84" t="inlineStr">
        <is>
          <t>Works at B2: One team or a client portfolio</t>
        </is>
      </c>
      <c r="P16" s="84" t="inlineStr">
        <is>
          <t>Several teams or a practice</t>
        </is>
      </c>
      <c r="Q16" s="84" t="inlineStr">
        <is>
          <t>Already works at C1: Sub-function results or domain quality across products</t>
        </is>
      </c>
      <c r="R16" s="34" t="inlineStr">
        <is>
          <t>M</t>
        </is>
      </c>
      <c r="S16" s="56" t="inlineStr">
        <is>
          <t>Works at B2: IC: guides others in the domain · People: manages a team of 6+</t>
        </is>
      </c>
      <c r="T16" s="56" t="inlineStr">
        <is>
          <t>IC: leads a practice · People: team leads / managers report in</t>
        </is>
      </c>
      <c r="U16" s="56" t="inlineStr">
        <is>
          <t>Already works at C1: Leads managers or a community of practice</t>
        </is>
      </c>
      <c r="V16" s="34" t="inlineStr">
        <is>
          <t>L</t>
        </is>
      </c>
      <c r="W16" s="56" t="inlineStr">
        <is>
          <t>Works at B2: Visible effect on a team's or client portfolio's revenue, quality or compliance</t>
        </is>
      </c>
      <c r="X16" s="56" t="inlineStr">
        <is>
          <t>Shapes the results of a practice or several teams · purpose: Runs delivery governance, tracking, risk and process-improvement; coaches teams on delivery practices. At B3: a practice, or several teams through team leads.</t>
        </is>
      </c>
      <c r="Y16" s="56" t="inlineStr">
        <is>
          <t>Already works at C1: Changes results across a sub-function or across products</t>
        </is>
      </c>
      <c r="Z16" s="34" t="inlineStr">
        <is>
          <t>L</t>
        </is>
      </c>
      <c r="AA16" s="85" t="inlineStr">
        <is>
          <t>Less experience than the band's typical 8–12 yrs</t>
        </is>
      </c>
      <c r="AB16" s="85" t="inlineStr">
        <is>
          <t>Typical for the band: 8–12 yrs · market 8–13 yrs</t>
        </is>
      </c>
      <c r="AC16" s="85" t="inlineStr">
        <is>
          <t>More experience than the band's typical 8–12 yrs</t>
        </is>
      </c>
      <c r="AD16" s="34" t="inlineStr">
        <is>
          <t>L</t>
        </is>
      </c>
      <c r="AE16" s="85" t="inlineStr">
        <is>
          <t>Below: Graduate or postgraduate; professional qualification preferred</t>
        </is>
      </c>
      <c r="AF16" s="85" t="inlineStr">
        <is>
          <t>Postgraduate or professional qualification preferred</t>
        </is>
      </c>
      <c r="AG16" s="85" t="inlineStr">
        <is>
          <t>Above: Postgraduate / professional qualification preferred</t>
        </is>
      </c>
      <c r="AH16" s="44" t="inlineStr">
        <is>
          <t>37 · 18.3 · 11.3 · 15 · 8.7 · 6 · 4</t>
        </is>
      </c>
      <c r="AI16" s="38" t="inlineStr">
        <is>
          <t>8–13</t>
        </is>
      </c>
      <c r="AJ16" s="38" t="inlineStr">
        <is>
          <t>IC: none · People: 5–8 incl. team leads</t>
        </is>
      </c>
      <c r="AK16" s="38" t="inlineStr">
        <is>
          <t>P5 / M4 · SFIA 5 Ensure, advise</t>
        </is>
      </c>
      <c r="AL16"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7" ht="120" customHeight="1">
      <c r="A17" s="90" t="inlineStr">
        <is>
          <t>B3</t>
        </is>
      </c>
      <c r="B17" s="29" t="inlineStr">
        <is>
          <t>Band B · Specialist / Manager</t>
        </is>
      </c>
      <c r="C17" s="29" t="inlineStr">
        <is>
          <t>Band B · Specialist / POD Lead</t>
        </is>
      </c>
      <c r="D17" s="29" t="inlineStr">
        <is>
          <t>Lead Specialist</t>
        </is>
      </c>
      <c r="E17" s="29" t="inlineStr">
        <is>
          <t>PMO &amp; Delivery Excellence · Agile Coach
Project &amp; Program Delivery · Program Manager</t>
        </is>
      </c>
      <c r="F17" s="34" t="inlineStr">
        <is>
          <t>H</t>
        </is>
      </c>
      <c r="G17" s="84" t="inlineStr">
        <is>
          <t>Works at B2: Hardest problems in the domain</t>
        </is>
      </c>
      <c r="H17" s="84" t="inlineStr">
        <is>
          <t>Sets standards for a practice; cross-team problems · in Project &amp; Program Management: Project Management · Stakeholder management · Requirement analysis</t>
        </is>
      </c>
      <c r="I17" s="84" t="inlineStr">
        <is>
          <t>Already works at C1: Ambiguous, cross-product problems</t>
        </is>
      </c>
      <c r="J17" s="34" t="inlineStr">
        <is>
          <t>M</t>
        </is>
      </c>
      <c r="K17" s="84" t="inlineStr">
        <is>
          <t>Works at B2: Allocates people and sets team priorities</t>
        </is>
      </c>
      <c r="L17" s="84" t="inlineStr">
        <is>
          <t>Commercial / strategic calls for the unit</t>
        </is>
      </c>
      <c r="M17" s="84" t="inlineStr">
        <is>
          <t>Already works at C1: Sets direction for a sub-function or domain</t>
        </is>
      </c>
      <c r="N17" s="34" t="inlineStr">
        <is>
          <t>L</t>
        </is>
      </c>
      <c r="O17" s="84" t="inlineStr">
        <is>
          <t>Works at B2: One team or a client portfolio</t>
        </is>
      </c>
      <c r="P17" s="84" t="inlineStr">
        <is>
          <t>Several teams or a practice</t>
        </is>
      </c>
      <c r="Q17" s="84" t="inlineStr">
        <is>
          <t>Already works at C1: Sub-function results or domain quality across products</t>
        </is>
      </c>
      <c r="R17" s="34" t="inlineStr">
        <is>
          <t>L</t>
        </is>
      </c>
      <c r="S17" s="56" t="inlineStr">
        <is>
          <t>Works at B2: IC: guides others in the domain · People: manages a team of 6+</t>
        </is>
      </c>
      <c r="T17" s="56" t="inlineStr">
        <is>
          <t>IC: leads a practice · People: team leads / managers report in</t>
        </is>
      </c>
      <c r="U17" s="56" t="inlineStr">
        <is>
          <t>Already works at C1: Leads managers or a community of practice</t>
        </is>
      </c>
      <c r="V17" s="34" t="inlineStr">
        <is>
          <t>L</t>
        </is>
      </c>
      <c r="W17" s="56" t="inlineStr">
        <is>
          <t>Works at B2: Visible effect on a team's or client portfolio's revenue, quality or compliance</t>
        </is>
      </c>
      <c r="X17" s="56" t="inlineStr">
        <is>
          <t>Shapes the results of a practice or several teams · purpose: Runs delivery governance, tracking, risk and process-improvement; coaches teams on delivery practices. At B3: a practice, or several teams through team leads.</t>
        </is>
      </c>
      <c r="Y17" s="56" t="inlineStr">
        <is>
          <t>Already works at C1: Changes results across a sub-function or across products</t>
        </is>
      </c>
      <c r="Z17" s="34" t="inlineStr">
        <is>
          <t>L</t>
        </is>
      </c>
      <c r="AA17" s="85" t="inlineStr">
        <is>
          <t>Less experience than the band's typical 8–12 yrs</t>
        </is>
      </c>
      <c r="AB17" s="85" t="inlineStr">
        <is>
          <t>Typical for the band: 8–12 yrs · market 8–13 yrs</t>
        </is>
      </c>
      <c r="AC17" s="85" t="inlineStr">
        <is>
          <t>More experience than the band's typical 8–12 yrs</t>
        </is>
      </c>
      <c r="AD17" s="34" t="inlineStr">
        <is>
          <t>L</t>
        </is>
      </c>
      <c r="AE17" s="85" t="inlineStr">
        <is>
          <t>Below: Graduate or postgraduate; professional qualification preferred</t>
        </is>
      </c>
      <c r="AF17" s="85" t="inlineStr">
        <is>
          <t>Postgraduate or professional qualification preferred</t>
        </is>
      </c>
      <c r="AG17" s="85" t="inlineStr">
        <is>
          <t>Above: Postgraduate / professional qualification preferred</t>
        </is>
      </c>
      <c r="AH17" s="44" t="inlineStr">
        <is>
          <t>51.3 · 17.3 · 9.7 · 5 · 7 · 6 · 4</t>
        </is>
      </c>
      <c r="AI17" s="38" t="inlineStr">
        <is>
          <t>8–13</t>
        </is>
      </c>
      <c r="AJ17" s="38" t="inlineStr">
        <is>
          <t>IC: none · People: 5–8 incl. team leads</t>
        </is>
      </c>
      <c r="AK17" s="38" t="inlineStr">
        <is>
          <t>P5 / M4 · SFIA 5 Ensure, advise</t>
        </is>
      </c>
      <c r="AL17"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8" ht="120" customHeight="1">
      <c r="A18" s="90" t="inlineStr">
        <is>
          <t>B2</t>
        </is>
      </c>
      <c r="B18" s="29" t="inlineStr">
        <is>
          <t>Band B · Specialist / Manager</t>
        </is>
      </c>
      <c r="C18" s="29" t="inlineStr">
        <is>
          <t>Band B · People Manager</t>
        </is>
      </c>
      <c r="D18" s="29" t="inlineStr">
        <is>
          <t>Manager</t>
        </is>
      </c>
      <c r="E18" s="29" t="inlineStr">
        <is>
          <t>PMO &amp; Delivery Excellence · PMO Manager
Project &amp; Program Delivery · Delivery Manager · Project Manager
Project &amp; Program Delivery · Project Manager</t>
        </is>
      </c>
      <c r="F18" s="34" t="inlineStr">
        <is>
          <t>H</t>
        </is>
      </c>
      <c r="G18" s="84" t="inlineStr">
        <is>
          <t>Works at B1: Domain specialist work</t>
        </is>
      </c>
      <c r="H18" s="84" t="inlineStr">
        <is>
          <t>Hardest problems in the domain · in Project &amp; Program Management: Project Management · Stakeholder management · Requirement analysis</t>
        </is>
      </c>
      <c r="I18" s="84" t="inlineStr">
        <is>
          <t>Already works at B3: Sets standards for a practice; cross-team problems</t>
        </is>
      </c>
      <c r="J18" s="34" t="inlineStr">
        <is>
          <t>M</t>
        </is>
      </c>
      <c r="K18" s="84" t="inlineStr">
        <is>
          <t>Works at B1: Technical / QC / client calls for the domain</t>
        </is>
      </c>
      <c r="L18" s="84" t="inlineStr">
        <is>
          <t>Allocates people and sets team priorities</t>
        </is>
      </c>
      <c r="M18" s="84" t="inlineStr">
        <is>
          <t>Already works at B3: Commercial / strategic calls for the unit</t>
        </is>
      </c>
      <c r="N18" s="34" t="inlineStr">
        <is>
          <t>L</t>
        </is>
      </c>
      <c r="O18" s="84" t="inlineStr">
        <is>
          <t>Works at B1: A domain or a small team</t>
        </is>
      </c>
      <c r="P18" s="84" t="inlineStr">
        <is>
          <t>One team or a client portfolio · KRA themes: Common themes in manager-set KRAs: project · management · level · support · scope · client</t>
        </is>
      </c>
      <c r="Q18" s="84" t="inlineStr">
        <is>
          <t>Already works at B3: Several teams or a practice</t>
        </is>
      </c>
      <c r="R18" s="34" t="inlineStr">
        <is>
          <t>M</t>
        </is>
      </c>
      <c r="S18" s="56" t="inlineStr">
        <is>
          <t>Works at B1: IC: mentors and reviews · People: hands-on team lead of 3–5</t>
        </is>
      </c>
      <c r="T18" s="56" t="inlineStr">
        <is>
          <t>IC: guides others in the domain · People: manages a team of 6+</t>
        </is>
      </c>
      <c r="U18" s="56" t="inlineStr">
        <is>
          <t>Already works at B3: IC: leads a practice · People: team leads / managers report in</t>
        </is>
      </c>
      <c r="V18" s="34" t="inlineStr">
        <is>
          <t>L</t>
        </is>
      </c>
      <c r="W18" s="56" t="inlineStr">
        <is>
          <t>Works at B1: Moves a module's, product area's or client account's results</t>
        </is>
      </c>
      <c r="X18" s="56" t="inlineStr">
        <is>
          <t>Visible effect on a team's or client portfolio's revenue, quality or compliance · purpose: Runs delivery governance, tracking, risk and process-improvement; coaches teams on delivery practices. At B2: deep domain expertise, or one team.</t>
        </is>
      </c>
      <c r="Y18" s="56" t="inlineStr">
        <is>
          <t>Already works at B3: Shapes the results of a practice or several teams</t>
        </is>
      </c>
      <c r="Z18" s="34" t="inlineStr">
        <is>
          <t>L</t>
        </is>
      </c>
      <c r="AA18" s="85" t="inlineStr">
        <is>
          <t>Less experience than the band's typical 6–9 yrs</t>
        </is>
      </c>
      <c r="AB18" s="85" t="inlineStr">
        <is>
          <t>Typical for the band: 6–9 yrs · market 6–10 yrs</t>
        </is>
      </c>
      <c r="AC18" s="85" t="inlineStr">
        <is>
          <t>More experience than the band's typical 6–9 yrs</t>
        </is>
      </c>
      <c r="AD18" s="34" t="inlineStr">
        <is>
          <t>L</t>
        </is>
      </c>
      <c r="AE18" s="85" t="inlineStr">
        <is>
          <t>Below: Graduate + relevant qualification or certification preferred</t>
        </is>
      </c>
      <c r="AF18" s="85" t="inlineStr">
        <is>
          <t>Graduate or postgraduate; professional qualification preferred</t>
        </is>
      </c>
      <c r="AG18" s="85" t="inlineStr">
        <is>
          <t>Above: Postgraduate or professional qualification preferred</t>
        </is>
      </c>
      <c r="AH18" s="44" t="inlineStr">
        <is>
          <t>37 · 18.3 · 11.3 · 15 · 8.7 · 6 · 4</t>
        </is>
      </c>
      <c r="AI18" s="38" t="inlineStr">
        <is>
          <t>6–10</t>
        </is>
      </c>
      <c r="AJ18" s="38" t="inlineStr">
        <is>
          <t>IC: none · People: 6–8 knowledge work, 8–12 standardised delivery</t>
        </is>
      </c>
      <c r="AK18" s="38" t="inlineStr">
        <is>
          <t>P4 / M3 · SFIA 4–5</t>
        </is>
      </c>
      <c r="AL18"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9" ht="120" customHeight="1">
      <c r="A19" s="90" t="inlineStr">
        <is>
          <t>B2</t>
        </is>
      </c>
      <c r="B19" s="29" t="inlineStr">
        <is>
          <t>Band B · Specialist / Manager</t>
        </is>
      </c>
      <c r="C19" s="29" t="inlineStr">
        <is>
          <t>Band B · Specialist / POD Lead</t>
        </is>
      </c>
      <c r="D19" s="29" t="inlineStr">
        <is>
          <t>Senior Specialist</t>
        </is>
      </c>
      <c r="E19" s="29" t="inlineStr">
        <is>
          <t>PMO &amp; Delivery Excellence · PMO Manager
Project &amp; Program Delivery · Delivery Manager · Project Manager
Project &amp; Program Delivery · Project Manager</t>
        </is>
      </c>
      <c r="F19" s="34" t="inlineStr">
        <is>
          <t>H</t>
        </is>
      </c>
      <c r="G19" s="84" t="inlineStr">
        <is>
          <t>Works at B1: Domain specialist work</t>
        </is>
      </c>
      <c r="H19" s="84" t="inlineStr">
        <is>
          <t>Hardest problems in the domain · in Project &amp; Program Management: Project Management · Stakeholder management · Requirement analysis</t>
        </is>
      </c>
      <c r="I19" s="84" t="inlineStr">
        <is>
          <t>Already works at B3: Sets standards for a practice; cross-team problems</t>
        </is>
      </c>
      <c r="J19" s="34" t="inlineStr">
        <is>
          <t>M</t>
        </is>
      </c>
      <c r="K19" s="84" t="inlineStr">
        <is>
          <t>Works at B1: Technical / QC / client calls for the domain</t>
        </is>
      </c>
      <c r="L19" s="84" t="inlineStr">
        <is>
          <t>Allocates people and sets team priorities</t>
        </is>
      </c>
      <c r="M19" s="84" t="inlineStr">
        <is>
          <t>Already works at B3: Commercial / strategic calls for the unit</t>
        </is>
      </c>
      <c r="N19" s="34" t="inlineStr">
        <is>
          <t>L</t>
        </is>
      </c>
      <c r="O19" s="84" t="inlineStr">
        <is>
          <t>Works at B1: A domain or a small team</t>
        </is>
      </c>
      <c r="P19" s="84" t="inlineStr">
        <is>
          <t>One team or a client portfolio · KRA themes: Common themes in manager-set KRAs: project · management · level · support · scope · client</t>
        </is>
      </c>
      <c r="Q19" s="84" t="inlineStr">
        <is>
          <t>Already works at B3: Several teams or a practice</t>
        </is>
      </c>
      <c r="R19" s="34" t="inlineStr">
        <is>
          <t>L</t>
        </is>
      </c>
      <c r="S19" s="56" t="inlineStr">
        <is>
          <t>Works at B1: IC: mentors and reviews · People: hands-on team lead of 3–5</t>
        </is>
      </c>
      <c r="T19" s="56" t="inlineStr">
        <is>
          <t>IC: guides others in the domain · People: manages a team of 6+</t>
        </is>
      </c>
      <c r="U19" s="56" t="inlineStr">
        <is>
          <t>Already works at B3: IC: leads a practice · People: team leads / managers report in</t>
        </is>
      </c>
      <c r="V19" s="34" t="inlineStr">
        <is>
          <t>L</t>
        </is>
      </c>
      <c r="W19" s="56" t="inlineStr">
        <is>
          <t>Works at B1: Moves a module's, product area's or client account's results</t>
        </is>
      </c>
      <c r="X19" s="56" t="inlineStr">
        <is>
          <t>Visible effect on a team's or client portfolio's revenue, quality or compliance · purpose: Runs delivery governance, tracking, risk and process-improvement; coaches teams on delivery practices. At B2: deep domain expertise, or one team.</t>
        </is>
      </c>
      <c r="Y19" s="56" t="inlineStr">
        <is>
          <t>Already works at B3: Shapes the results of a practice or several teams</t>
        </is>
      </c>
      <c r="Z19" s="34" t="inlineStr">
        <is>
          <t>L</t>
        </is>
      </c>
      <c r="AA19" s="85" t="inlineStr">
        <is>
          <t>Less experience than the band's typical 6–9 yrs</t>
        </is>
      </c>
      <c r="AB19" s="85" t="inlineStr">
        <is>
          <t>Typical for the band: 6–9 yrs · market 6–10 yrs</t>
        </is>
      </c>
      <c r="AC19" s="85" t="inlineStr">
        <is>
          <t>More experience than the band's typical 6–9 yrs</t>
        </is>
      </c>
      <c r="AD19" s="34" t="inlineStr">
        <is>
          <t>L</t>
        </is>
      </c>
      <c r="AE19" s="85" t="inlineStr">
        <is>
          <t>Below: Graduate + relevant qualification or certification preferred</t>
        </is>
      </c>
      <c r="AF19" s="85" t="inlineStr">
        <is>
          <t>Graduate or postgraduate; professional qualification preferred</t>
        </is>
      </c>
      <c r="AG19" s="85" t="inlineStr">
        <is>
          <t>Above: Postgraduate or professional qualification preferred</t>
        </is>
      </c>
      <c r="AH19" s="44" t="inlineStr">
        <is>
          <t>51.3 · 17.3 · 9.7 · 5 · 7 · 6 · 4</t>
        </is>
      </c>
      <c r="AI19" s="38" t="inlineStr">
        <is>
          <t>6–10</t>
        </is>
      </c>
      <c r="AJ19" s="38" t="inlineStr">
        <is>
          <t>IC: none · People: 6–8 knowledge work, 8–12 standardised delivery</t>
        </is>
      </c>
      <c r="AK19" s="38" t="inlineStr">
        <is>
          <t>P4 / M3 · SFIA 4–5</t>
        </is>
      </c>
      <c r="AL19"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0" ht="120" customHeight="1">
      <c r="A20" s="90" t="inlineStr">
        <is>
          <t>B1</t>
        </is>
      </c>
      <c r="B20" s="29" t="inlineStr">
        <is>
          <t>Band B · Specialist / Manager</t>
        </is>
      </c>
      <c r="C20" s="29" t="inlineStr">
        <is>
          <t>Band B · People Manager</t>
        </is>
      </c>
      <c r="D20" s="29" t="inlineStr">
        <is>
          <t>Team Lead / Asst Manager</t>
        </is>
      </c>
      <c r="E20" s="29" t="inlineStr">
        <is>
          <t>Project &amp; Program Delivery · Associate Project Manager · Associate Project Manager – POD Lead · Project Manager – POD Lead</t>
        </is>
      </c>
      <c r="F20" s="34" t="inlineStr">
        <is>
          <t>H</t>
        </is>
      </c>
      <c r="G20" s="84" t="inlineStr">
        <is>
          <t>Works at A3: Varied and non-standard work; handles exceptions</t>
        </is>
      </c>
      <c r="H20" s="84" t="inlineStr">
        <is>
          <t>Domain specialist work · in Project &amp; Program Management: Project Management · Stakeholder Management</t>
        </is>
      </c>
      <c r="I20" s="84" t="inlineStr">
        <is>
          <t>Already works at B2: Hardest problems in the domain</t>
        </is>
      </c>
      <c r="J20" s="34" t="inlineStr">
        <is>
          <t>M</t>
        </is>
      </c>
      <c r="K20" s="84" t="inlineStr">
        <is>
          <t>Works at A3: Technical / QC / client calls on own work</t>
        </is>
      </c>
      <c r="L20" s="84" t="inlineStr">
        <is>
          <t>Technical / QC / client calls for the domain</t>
        </is>
      </c>
      <c r="M20" s="84" t="inlineStr">
        <is>
          <t>Already works at B2: Allocates people and sets team priorities</t>
        </is>
      </c>
      <c r="N20" s="34" t="inlineStr">
        <is>
          <t>L</t>
        </is>
      </c>
      <c r="O20" s="84" t="inlineStr">
        <is>
          <t>Works at A3: A module / process, or work with client or regulatory consequences</t>
        </is>
      </c>
      <c r="P20" s="84" t="inlineStr">
        <is>
          <t>A domain or a small team · KRA themes: Common themes in manager-set KRAs: projects · support · maintain · pm · reporting · on-time</t>
        </is>
      </c>
      <c r="Q20" s="84" t="inlineStr">
        <is>
          <t>Already works at B2: One team or a client portfolio</t>
        </is>
      </c>
      <c r="R20" s="34" t="inlineStr">
        <is>
          <t>M</t>
        </is>
      </c>
      <c r="S20" s="56" t="inlineStr">
        <is>
          <t>Works at A3: contributes alone; guides others only informally</t>
        </is>
      </c>
      <c r="T20" s="56" t="inlineStr">
        <is>
          <t>IC: mentors and reviews · People: hands-on team lead of 3–5</t>
        </is>
      </c>
      <c r="U20" s="56" t="inlineStr">
        <is>
          <t>Already works at B2: IC: guides others in the domain · People: manages a team of 6+</t>
        </is>
      </c>
      <c r="V20" s="34" t="inlineStr">
        <is>
          <t>L</t>
        </is>
      </c>
      <c r="W20" s="56" t="inlineStr">
        <is>
          <t>Works at A3: A process or client deliverable depends on this work</t>
        </is>
      </c>
      <c r="X20" s="56" t="inlineStr">
        <is>
          <t>Moves a module's, product area's or client account's results · purpose: Plans and delivers projects/programmes to scope, time and cost; manages CRs, risks and stakeholders. At B1: a domain / module, or a small team.
Common themes …</t>
        </is>
      </c>
      <c r="Y20" s="56" t="inlineStr">
        <is>
          <t>Already works at B2: Visible effect on a team's or client portfolio's revenue, quality or compliance</t>
        </is>
      </c>
      <c r="Z20" s="34" t="inlineStr">
        <is>
          <t>L</t>
        </is>
      </c>
      <c r="AA20" s="85" t="inlineStr">
        <is>
          <t>Less experience than the band's typical 4–7 yrs</t>
        </is>
      </c>
      <c r="AB20" s="85" t="inlineStr">
        <is>
          <t>Typical for the band: 4–7 yrs · market 4–8 yrs</t>
        </is>
      </c>
      <c r="AC20" s="85" t="inlineStr">
        <is>
          <t>More experience than the band's typical 4–7 yrs</t>
        </is>
      </c>
      <c r="AD20" s="34" t="inlineStr">
        <is>
          <t>L</t>
        </is>
      </c>
      <c r="AE20" s="85" t="inlineStr">
        <is>
          <t>Below: Graduate; relevant certification preferred</t>
        </is>
      </c>
      <c r="AF20" s="85" t="inlineStr">
        <is>
          <t>Graduate + relevant qualification or certification preferred</t>
        </is>
      </c>
      <c r="AG20" s="85" t="inlineStr">
        <is>
          <t>Above: Graduate or postgraduate; professional qualification preferred</t>
        </is>
      </c>
      <c r="AH20" s="44" t="inlineStr">
        <is>
          <t>37 · 18.3 · 11.3 · 15 · 8.7 · 6 · 4</t>
        </is>
      </c>
      <c r="AI20" s="38" t="inlineStr">
        <is>
          <t>4–8</t>
        </is>
      </c>
      <c r="AJ20" s="38" t="inlineStr">
        <is>
          <t>IC: none · Team Lead: 3–5</t>
        </is>
      </c>
      <c r="AK20" s="38" t="inlineStr">
        <is>
          <t>P3 / M2 · SFIA 4 Enable</t>
        </is>
      </c>
      <c r="AL20"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1" ht="120" customHeight="1">
      <c r="A21" s="90" t="inlineStr">
        <is>
          <t>B1</t>
        </is>
      </c>
      <c r="B21" s="29" t="inlineStr">
        <is>
          <t>Band B · Specialist / Manager</t>
        </is>
      </c>
      <c r="C21" s="29" t="inlineStr">
        <is>
          <t>Band B · Specialist / POD Lead</t>
        </is>
      </c>
      <c r="D21" s="29" t="inlineStr">
        <is>
          <t>Specialist</t>
        </is>
      </c>
      <c r="E21" s="29" t="inlineStr">
        <is>
          <t>Project &amp; Program Delivery · Associate Project Manager · Associate Project Manager – POD Lead · Project Manager – POD Lead</t>
        </is>
      </c>
      <c r="F21" s="34" t="inlineStr">
        <is>
          <t>H</t>
        </is>
      </c>
      <c r="G21" s="84" t="inlineStr">
        <is>
          <t>Works at A3: Varied and non-standard work; handles exceptions</t>
        </is>
      </c>
      <c r="H21" s="84" t="inlineStr">
        <is>
          <t>Domain specialist work · in Project &amp; Program Management: Project Management · Stakeholder Management</t>
        </is>
      </c>
      <c r="I21" s="84" t="inlineStr">
        <is>
          <t>Already works at B2: Hardest problems in the domain</t>
        </is>
      </c>
      <c r="J21" s="34" t="inlineStr">
        <is>
          <t>M</t>
        </is>
      </c>
      <c r="K21" s="84" t="inlineStr">
        <is>
          <t>Works at A3: Technical / QC / client calls on own work</t>
        </is>
      </c>
      <c r="L21" s="84" t="inlineStr">
        <is>
          <t>Technical / QC / client calls for the domain</t>
        </is>
      </c>
      <c r="M21" s="84" t="inlineStr">
        <is>
          <t>Already works at B2: Allocates people and sets team priorities</t>
        </is>
      </c>
      <c r="N21" s="34" t="inlineStr">
        <is>
          <t>L</t>
        </is>
      </c>
      <c r="O21" s="84" t="inlineStr">
        <is>
          <t>Works at A3: A module / process, or work with client or regulatory consequences</t>
        </is>
      </c>
      <c r="P21" s="84" t="inlineStr">
        <is>
          <t>A domain or a small team · KRA themes: Common themes in manager-set KRAs: projects · support · maintain · pm · reporting · on-time</t>
        </is>
      </c>
      <c r="Q21" s="84" t="inlineStr">
        <is>
          <t>Already works at B2: One team or a client portfolio</t>
        </is>
      </c>
      <c r="R21" s="34" t="inlineStr">
        <is>
          <t>L</t>
        </is>
      </c>
      <c r="S21" s="56" t="inlineStr">
        <is>
          <t>Works at A3: contributes alone; guides others only informally</t>
        </is>
      </c>
      <c r="T21" s="56" t="inlineStr">
        <is>
          <t>IC: mentors and reviews · People: hands-on team lead of 3–5</t>
        </is>
      </c>
      <c r="U21" s="56" t="inlineStr">
        <is>
          <t>Already works at B2: IC: guides others in the domain · People: manages a team of 6+</t>
        </is>
      </c>
      <c r="V21" s="34" t="inlineStr">
        <is>
          <t>L</t>
        </is>
      </c>
      <c r="W21" s="56" t="inlineStr">
        <is>
          <t>Works at A3: A process or client deliverable depends on this work</t>
        </is>
      </c>
      <c r="X21" s="56" t="inlineStr">
        <is>
          <t>Moves a module's, product area's or client account's results · purpose: Plans and delivers projects/programmes to scope, time and cost; manages CRs, risks and stakeholders. At B1: a domain / module, or a small team.
Common themes …</t>
        </is>
      </c>
      <c r="Y21" s="56" t="inlineStr">
        <is>
          <t>Already works at B2: Visible effect on a team's or client portfolio's revenue, quality or compliance</t>
        </is>
      </c>
      <c r="Z21" s="34" t="inlineStr">
        <is>
          <t>L</t>
        </is>
      </c>
      <c r="AA21" s="85" t="inlineStr">
        <is>
          <t>Less experience than the band's typical 4–7 yrs</t>
        </is>
      </c>
      <c r="AB21" s="85" t="inlineStr">
        <is>
          <t>Typical for the band: 4–7 yrs · market 4–8 yrs</t>
        </is>
      </c>
      <c r="AC21" s="85" t="inlineStr">
        <is>
          <t>More experience than the band's typical 4–7 yrs</t>
        </is>
      </c>
      <c r="AD21" s="34" t="inlineStr">
        <is>
          <t>L</t>
        </is>
      </c>
      <c r="AE21" s="85" t="inlineStr">
        <is>
          <t>Below: Graduate; relevant certification preferred</t>
        </is>
      </c>
      <c r="AF21" s="85" t="inlineStr">
        <is>
          <t>Graduate + relevant qualification or certification preferred</t>
        </is>
      </c>
      <c r="AG21" s="85" t="inlineStr">
        <is>
          <t>Above: Graduate or postgraduate; professional qualification preferred</t>
        </is>
      </c>
      <c r="AH21" s="44" t="inlineStr">
        <is>
          <t>51.3 · 17.3 · 9.7 · 5 · 7 · 6 · 4</t>
        </is>
      </c>
      <c r="AI21" s="38" t="inlineStr">
        <is>
          <t>4–8</t>
        </is>
      </c>
      <c r="AJ21" s="38" t="inlineStr">
        <is>
          <t>IC: none · Team Lead: 3–5</t>
        </is>
      </c>
      <c r="AK21" s="38" t="inlineStr">
        <is>
          <t>P3 / M2 · SFIA 4 Enable</t>
        </is>
      </c>
      <c r="AL21"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2" ht="120" customHeight="1">
      <c r="A22" s="91" t="inlineStr">
        <is>
          <t>A3</t>
        </is>
      </c>
      <c r="B22" s="29" t="inlineStr">
        <is>
          <t>Band A · Practitioner</t>
        </is>
      </c>
      <c r="C22" s="29" t="inlineStr">
        <is>
          <t>Band A · all tracks</t>
        </is>
      </c>
      <c r="D22" s="29" t="inlineStr">
        <is>
          <t>Senior Associate</t>
        </is>
      </c>
      <c r="E22" s="29" t="inlineStr">
        <is>
          <t>— no role at this level today</t>
        </is>
      </c>
      <c r="F22" s="34" t="inlineStr">
        <is>
          <t>H</t>
        </is>
      </c>
      <c r="G22" s="84" t="inlineStr">
        <is>
          <t>Works at A2: Standard work of the discipline</t>
        </is>
      </c>
      <c r="H22" s="84" t="inlineStr">
        <is>
          <t>Varied and non-standard work; handles exceptions</t>
        </is>
      </c>
      <c r="I22" s="84" t="inlineStr">
        <is>
          <t>Already works at B1: Domain specialist work</t>
        </is>
      </c>
      <c r="J22" s="34" t="inlineStr">
        <is>
          <t>M</t>
        </is>
      </c>
      <c r="K22" s="84" t="inlineStr">
        <is>
          <t>Works at A2: Chooses own approach within standards</t>
        </is>
      </c>
      <c r="L22" s="84" t="inlineStr">
        <is>
          <t>Technical / QC / client calls on own work</t>
        </is>
      </c>
      <c r="M22" s="84" t="inlineStr">
        <is>
          <t>Already works at B1: Technical / QC / client calls for the domain</t>
        </is>
      </c>
      <c r="N22" s="34" t="inlineStr">
        <is>
          <t>L</t>
        </is>
      </c>
      <c r="O22" s="84" t="inlineStr">
        <is>
          <t>Works at A2: Own deliverables · accuracy, TAT</t>
        </is>
      </c>
      <c r="P22" s="84" t="inlineStr">
        <is>
          <t>A module / process, or work with client or regulatory consequences</t>
        </is>
      </c>
      <c r="Q22" s="84" t="inlineStr">
        <is>
          <t>Already works at B1: A domain or a small team</t>
        </is>
      </c>
      <c r="R22" s="34" t="inlineStr">
        <is>
          <t>L</t>
        </is>
      </c>
      <c r="S22" s="56" t="inlineStr">
        <is>
          <t>Works at A2: contributes alone; guides others only informally</t>
        </is>
      </c>
      <c r="T22" s="56" t="inlineStr">
        <is>
          <t>Helps peers and newer people informally · None · guides 1–3 juniors informally</t>
        </is>
      </c>
      <c r="U22" s="56" t="inlineStr">
        <is>
          <t>Already works at B1: IC: mentors and reviews · People: hands-on team lead of 3–5</t>
        </is>
      </c>
      <c r="V22" s="34" t="inlineStr">
        <is>
          <t>L</t>
        </is>
      </c>
      <c r="W22" s="56" t="inlineStr">
        <is>
          <t>Works at A2: Own deliverables feed a team's output and turnaround</t>
        </is>
      </c>
      <c r="X22" s="56" t="inlineStr">
        <is>
          <t>A process or client deliverable depends on this work</t>
        </is>
      </c>
      <c r="Y22" s="56" t="inlineStr">
        <is>
          <t>Already works at B1: Moves a module's, product area's or client account's results</t>
        </is>
      </c>
      <c r="Z22" s="34" t="inlineStr">
        <is>
          <t>L</t>
        </is>
      </c>
      <c r="AA22" s="85" t="inlineStr">
        <is>
          <t>Less experience than the band's typical 2–4 yrs</t>
        </is>
      </c>
      <c r="AB22" s="85" t="inlineStr">
        <is>
          <t>Typical for the band: 2–4 yrs · market 2–5 yrs</t>
        </is>
      </c>
      <c r="AC22" s="85" t="inlineStr">
        <is>
          <t>More experience than the band's typical 2–4 yrs</t>
        </is>
      </c>
      <c r="AD22" s="34" t="inlineStr">
        <is>
          <t>L</t>
        </is>
      </c>
      <c r="AE22" s="85" t="inlineStr">
        <is>
          <t>Below: Graduate · or diploma with experience</t>
        </is>
      </c>
      <c r="AF22" s="85" t="inlineStr">
        <is>
          <t>Graduate; relevant certification preferred</t>
        </is>
      </c>
      <c r="AG22" s="85" t="inlineStr">
        <is>
          <t>Above: Graduate + relevant qualification or certification preferred</t>
        </is>
      </c>
      <c r="AH22" s="44" t="inlineStr">
        <is>
          <t>58.3 · 16 · 9 · 0 · 6.3 · 6 · 4</t>
        </is>
      </c>
      <c r="AI22" s="38" t="inlineStr">
        <is>
          <t>2–5</t>
        </is>
      </c>
      <c r="AJ22" s="38" t="inlineStr">
        <is>
          <t>None · guides 1–3 juniors informally</t>
        </is>
      </c>
      <c r="AK22" s="38" t="inlineStr">
        <is>
          <t>P2 · SFIA 3 Apply</t>
        </is>
      </c>
      <c r="AL22"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3" ht="120" customHeight="1">
      <c r="A23" s="91" t="inlineStr">
        <is>
          <t>A2</t>
        </is>
      </c>
      <c r="B23" s="29" t="inlineStr">
        <is>
          <t>Band A · Practitioner</t>
        </is>
      </c>
      <c r="C23" s="29" t="inlineStr">
        <is>
          <t>Band A · all tracks</t>
        </is>
      </c>
      <c r="D23" s="29" t="inlineStr">
        <is>
          <t>Associate</t>
        </is>
      </c>
      <c r="E23" s="29" t="inlineStr">
        <is>
          <t>— no role at this level today</t>
        </is>
      </c>
      <c r="F23" s="34" t="inlineStr">
        <is>
          <t>H</t>
        </is>
      </c>
      <c r="G23" s="84" t="inlineStr">
        <is>
          <t>Works at A1: Learning; follows worked examples</t>
        </is>
      </c>
      <c r="H23" s="84" t="inlineStr">
        <is>
          <t>Standard work of the discipline</t>
        </is>
      </c>
      <c r="I23" s="84" t="inlineStr">
        <is>
          <t>Already works at A3: Varied and non-standard work; handles exceptions</t>
        </is>
      </c>
      <c r="J23" s="34" t="inlineStr">
        <is>
          <t>M</t>
        </is>
      </c>
      <c r="K23" s="84" t="inlineStr">
        <is>
          <t>Works at A1: Needs approval / close guidance</t>
        </is>
      </c>
      <c r="L23" s="84" t="inlineStr">
        <is>
          <t>Chooses own approach within standards</t>
        </is>
      </c>
      <c r="M23" s="84" t="inlineStr">
        <is>
          <t>Already works at A3: Technical / QC / client calls on own work</t>
        </is>
      </c>
      <c r="N23" s="34" t="inlineStr">
        <is>
          <t>L</t>
        </is>
      </c>
      <c r="O23" s="84" t="inlineStr">
        <is>
          <t>Works at A1: Learning tasks</t>
        </is>
      </c>
      <c r="P23" s="84" t="inlineStr">
        <is>
          <t>Own deliverables · accuracy, TAT</t>
        </is>
      </c>
      <c r="Q23" s="84" t="inlineStr">
        <is>
          <t>Already works at A3: A module / process, or work with client or regulatory consequences</t>
        </is>
      </c>
      <c r="R23" s="34" t="inlineStr">
        <is>
          <t>L</t>
        </is>
      </c>
      <c r="S23" s="56" t="inlineStr">
        <is>
          <t>Works at A1: contributes alone; guides others only informally</t>
        </is>
      </c>
      <c r="T23" s="56" t="inlineStr">
        <is>
          <t>Helps peers and newer people informally · No direct reports</t>
        </is>
      </c>
      <c r="U23" s="56" t="inlineStr">
        <is>
          <t>Already works at A3: Not scored in Band A</t>
        </is>
      </c>
      <c r="V23" s="34" t="inlineStr">
        <is>
          <t>L</t>
        </is>
      </c>
      <c r="W23" s="56" t="inlineStr">
        <is>
          <t>Works at A1: Learning; little direct effect on business results yet</t>
        </is>
      </c>
      <c r="X23" s="56" t="inlineStr">
        <is>
          <t>Own deliverables feed a team's output and turnaround</t>
        </is>
      </c>
      <c r="Y23" s="56" t="inlineStr">
        <is>
          <t>Already works at A3: A process or client deliverable depends on this work</t>
        </is>
      </c>
      <c r="Z23" s="34" t="inlineStr">
        <is>
          <t>L</t>
        </is>
      </c>
      <c r="AA23" s="85" t="inlineStr">
        <is>
          <t>Less experience than the band's typical 0–2 yrs</t>
        </is>
      </c>
      <c r="AB23" s="85" t="inlineStr">
        <is>
          <t>Typical for the band: 0–2 yrs · market 0–3 yrs</t>
        </is>
      </c>
      <c r="AC23" s="85" t="inlineStr">
        <is>
          <t>More experience than the band's typical 0–2 yrs</t>
        </is>
      </c>
      <c r="AD23" s="34" t="inlineStr">
        <is>
          <t>L</t>
        </is>
      </c>
      <c r="AE23" s="85" t="inlineStr">
        <is>
          <t>Below: Pursuing or completed graduation / diploma</t>
        </is>
      </c>
      <c r="AF23" s="85" t="inlineStr">
        <is>
          <t>Graduate · or diploma with experience</t>
        </is>
      </c>
      <c r="AG23" s="85" t="inlineStr">
        <is>
          <t>Above: Graduate; relevant certification preferred</t>
        </is>
      </c>
      <c r="AH23" s="44" t="inlineStr">
        <is>
          <t>58.3 · 16 · 9 · 0 · 6.3 · 6 · 4</t>
        </is>
      </c>
      <c r="AI23" s="38" t="inlineStr">
        <is>
          <t>0–3</t>
        </is>
      </c>
      <c r="AJ23" s="38" t="inlineStr">
        <is>
          <t>No direct reports</t>
        </is>
      </c>
      <c r="AK23" s="38" t="inlineStr">
        <is>
          <t>P1–P2 · SFIA 2 Assist</t>
        </is>
      </c>
      <c r="AL23"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4" ht="120" customHeight="1">
      <c r="A24" s="91" t="inlineStr">
        <is>
          <t>A1</t>
        </is>
      </c>
      <c r="B24" s="29" t="inlineStr">
        <is>
          <t>Band A · Practitioner</t>
        </is>
      </c>
      <c r="C24" s="29" t="inlineStr">
        <is>
          <t>Band A · all tracks</t>
        </is>
      </c>
      <c r="D24" s="29" t="inlineStr">
        <is>
          <t>Intern / Trainee</t>
        </is>
      </c>
      <c r="E24" s="29" t="inlineStr">
        <is>
          <t>— no role at this level today</t>
        </is>
      </c>
      <c r="F24" s="34" t="inlineStr">
        <is>
          <t>H</t>
        </is>
      </c>
      <c r="G24" s="84" t="inlineStr">
        <is>
          <t>Not yet at the entry standard · in induction</t>
        </is>
      </c>
      <c r="H24" s="84" t="inlineStr">
        <is>
          <t>Learning; follows worked examples</t>
        </is>
      </c>
      <c r="I24" s="84" t="inlineStr">
        <is>
          <t>Already works at A2: Standard work of the discipline</t>
        </is>
      </c>
      <c r="J24" s="34" t="inlineStr">
        <is>
          <t>M</t>
        </is>
      </c>
      <c r="K24" s="84" t="inlineStr">
        <is>
          <t>Not yet at the entry standard · in induction</t>
        </is>
      </c>
      <c r="L24" s="84" t="inlineStr">
        <is>
          <t>Needs approval / close guidance</t>
        </is>
      </c>
      <c r="M24" s="84" t="inlineStr">
        <is>
          <t>Already works at A2: Chooses own approach within standards</t>
        </is>
      </c>
      <c r="N24" s="34" t="inlineStr">
        <is>
          <t>L</t>
        </is>
      </c>
      <c r="O24" s="84" t="inlineStr">
        <is>
          <t>Not yet at the entry standard · in induction</t>
        </is>
      </c>
      <c r="P24" s="84" t="inlineStr">
        <is>
          <t>Learning tasks</t>
        </is>
      </c>
      <c r="Q24" s="84" t="inlineStr">
        <is>
          <t>Already works at A2: Own deliverables · accuracy, TAT</t>
        </is>
      </c>
      <c r="R24" s="34" t="inlineStr">
        <is>
          <t>L</t>
        </is>
      </c>
      <c r="S24" s="56" t="inlineStr">
        <is>
          <t>Not yet at the entry standard · in induction</t>
        </is>
      </c>
      <c r="T24" s="56" t="inlineStr">
        <is>
          <t>Helps peers and newer people informally · No direct reports</t>
        </is>
      </c>
      <c r="U24" s="56" t="inlineStr">
        <is>
          <t>Already works at A2: Not scored in Band A</t>
        </is>
      </c>
      <c r="V24" s="34" t="inlineStr">
        <is>
          <t>L</t>
        </is>
      </c>
      <c r="W24" s="56" t="inlineStr">
        <is>
          <t>Not yet at the entry standard · in induction</t>
        </is>
      </c>
      <c r="X24" s="56" t="inlineStr">
        <is>
          <t>Learning; little direct effect on business results yet</t>
        </is>
      </c>
      <c r="Y24" s="56" t="inlineStr">
        <is>
          <t>Already works at A2: Own deliverables feed a team's output and turnaround</t>
        </is>
      </c>
      <c r="Z24" s="34" t="inlineStr">
        <is>
          <t>L</t>
        </is>
      </c>
      <c r="AA24" s="85" t="inlineStr">
        <is>
          <t>Less experience than the band's typical 0 yrs · fresher / intern</t>
        </is>
      </c>
      <c r="AB24" s="85" t="inlineStr">
        <is>
          <t>Typical for the band: 0 yrs · fresher / intern · market — yrs</t>
        </is>
      </c>
      <c r="AC24" s="85" t="inlineStr">
        <is>
          <t>More experience than the band's typical 0 yrs · fresher / intern</t>
        </is>
      </c>
      <c r="AD24" s="34" t="inlineStr">
        <is>
          <t>L</t>
        </is>
      </c>
      <c r="AE24" s="85" t="inlineStr">
        <is>
          <t>Below graduation · still studying</t>
        </is>
      </c>
      <c r="AF24" s="85" t="inlineStr">
        <is>
          <t>Pursuing or completed graduation / diploma</t>
        </is>
      </c>
      <c r="AG24" s="85" t="inlineStr">
        <is>
          <t>Above: Graduate · or diploma with experience</t>
        </is>
      </c>
      <c r="AH24" s="44" t="inlineStr">
        <is>
          <t>58.3 · 16 · 9 · 0 · 6.3 · 6 · 4</t>
        </is>
      </c>
      <c r="AI24" s="38" t="inlineStr">
        <is>
          <t>0 yrs · fresher / intern</t>
        </is>
      </c>
      <c r="AJ24" s="38" t="inlineStr">
        <is>
          <t>No direct reports</t>
        </is>
      </c>
      <c r="AK24" s="38" t="inlineStr">
        <is>
          <t>Entry / P1 · intern · SFIA 1 Follow</t>
        </is>
      </c>
      <c r="AL24"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sheetData>
  <autoFilter ref="A5:AL24"/>
  <mergeCells count="1">
    <mergeCell ref="A2:N2"/>
  </mergeCells>
  <dataValidations count="1">
    <dataValidation sqref="F6 F7 F8 F9 F10 F11 F12 F13 F14 F15 F16 F17 F18 F19 F20 F21 F22 F23 F24 J6 J7 J8 J9 J10 J11 J12 J13 J14 J15 J16 J17 J18 J19 J20 J21 J22 J23 J24 N6 N7 N8 N9 N10 N11 N12 N13 N14 N15 N16 N17 N18 N19 N20 N21 N22 N23 N24 R6 R7 R8 R9 R10 R11 R12 R13 R14 R15 R16 R17 R18 R19 R20 R21 R22 R23 R24 V6 V7 V8 V9 V10 V11 V12 V13 V14 V15 V16 V17 V18 V19 V20 V21 V22 V23 V24 Z6 Z7 Z8 Z9 Z10 Z11 Z12 Z13 Z14 Z15 Z16 Z17 Z18 Z19 Z20 Z21 Z22 Z23 Z24 AD6 AD7 AD8 AD9 AD10 AD11 AD12 AD13 AD14 AD15 AD16 AD17 AD18 AD19 AD20 AD21 AD22 AD23 AD24" showDropDown="0" showInputMessage="0" showErrorMessage="0" allowBlank="1" type="list">
      <formula1>LIST_LMH</formula1>
    </dataValidation>
  </dataValidations>
  <hyperlinks>
    <hyperlink xmlns:r="http://schemas.openxmlformats.org/officeDocument/2006/relationships" ref="O1" r:id="rId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L24"/>
  <sheetViews>
    <sheetView zoomScale="85" workbookViewId="0">
      <pane xSplit="5" ySplit="5" topLeftCell="F6" activePane="bottomRight" state="frozen"/>
      <selection pane="topRight"/>
      <selection pane="bottomLeft"/>
      <selection pane="bottomRight" activeCell="A1" sqref="A1"/>
    </sheetView>
  </sheetViews>
  <sheetFormatPr baseColWidth="8" defaultRowHeight="15"/>
  <cols>
    <col width="7" customWidth="1" min="1" max="1"/>
    <col width="16" customWidth="1" min="2" max="2"/>
    <col width="18" customWidth="1" min="3" max="3"/>
    <col width="20" customWidth="1" min="4" max="4"/>
    <col width="34" customWidth="1" min="5" max="5"/>
    <col width="9" customWidth="1" min="6" max="6"/>
    <col width="30" customWidth="1" min="7" max="7"/>
    <col width="34" customWidth="1" min="8" max="8"/>
    <col width="30" customWidth="1" min="9" max="9"/>
    <col width="9" customWidth="1" min="10" max="10"/>
    <col width="30" customWidth="1" min="11" max="11"/>
    <col width="34" customWidth="1" min="12" max="12"/>
    <col width="30" customWidth="1" min="13" max="13"/>
    <col width="9" customWidth="1" min="14" max="14"/>
    <col width="30" customWidth="1" min="15" max="15"/>
    <col width="34" customWidth="1" min="16" max="16"/>
    <col width="30" customWidth="1" min="17" max="17"/>
    <col width="9" customWidth="1" min="18" max="18"/>
    <col width="30" customWidth="1" min="19" max="19"/>
    <col width="34" customWidth="1" min="20" max="20"/>
    <col width="30" customWidth="1" min="21" max="21"/>
    <col width="9" customWidth="1" min="22" max="22"/>
    <col width="30" customWidth="1" min="23" max="23"/>
    <col width="34" customWidth="1" min="24" max="24"/>
    <col width="30" customWidth="1" min="25" max="25"/>
    <col width="9" customWidth="1" min="26" max="26"/>
    <col width="30" customWidth="1" min="27" max="27"/>
    <col width="34" customWidth="1" min="28" max="28"/>
    <col width="30" customWidth="1" min="29" max="29"/>
    <col width="9" customWidth="1" min="30" max="30"/>
    <col width="30" customWidth="1" min="31" max="31"/>
    <col width="34" customWidth="1" min="32" max="32"/>
    <col width="30" customWidth="1" min="33" max="33"/>
    <col width="26" customWidth="1" min="34" max="34"/>
    <col width="16" customWidth="1" min="35" max="35"/>
    <col width="22" customWidth="1" min="36" max="36"/>
    <col width="18" customWidth="1" min="37" max="37"/>
    <col width="40" customWidth="1" min="38" max="38"/>
  </cols>
  <sheetData>
    <row r="1" ht="24" customHeight="1">
      <c r="A1" s="1" t="inlineStr">
        <is>
          <t>Role &amp; band matrix — Quality Assurance</t>
        </is>
      </c>
      <c r="O1" s="7" t="inlineStr">
        <is>
          <t>◂ Start</t>
        </is>
      </c>
    </row>
    <row r="2" ht="30" customHeight="1">
      <c r="A2" s="2" t="inlineStr">
        <is>
          <t>What Low, Medium and High mean for each of the seven parameters at every level of Quality Assurance, and how much each parameter counts · main type of work: Technology &amp; engineering. Medium is the band as described; Low is the level below; High is the level above. Change a yellow weightage and every role, department ladder and person in this family recalculates.</t>
        </is>
      </c>
    </row>
    <row r="3">
      <c r="A3" s="3" t="inlineStr">
        <is>
          <t>IRIS · Job Architecture &amp; Job Design · Final v1.15 · October 2026 · Internal — Confidential · HR only</t>
        </is>
      </c>
    </row>
    <row r="4" ht="30" customHeight="1">
      <c r="A4" s="6" t="inlineStr">
        <is>
          <t>LEVEL</t>
        </is>
      </c>
      <c r="B4" s="6" t="n"/>
      <c r="C4" s="6" t="n"/>
      <c r="D4" s="6" t="n"/>
      <c r="E4" s="6" t="n"/>
      <c r="F4" s="45" t="inlineStr">
        <is>
          <t>COMPLEXITY &amp; EXPERTISE</t>
        </is>
      </c>
      <c r="G4" s="45" t="n"/>
      <c r="H4" s="45" t="n"/>
      <c r="I4" s="45" t="n"/>
      <c r="J4" s="45" t="inlineStr">
        <is>
          <t>AUTONOMY &amp; DECISION</t>
        </is>
      </c>
      <c r="K4" s="45" t="n"/>
      <c r="L4" s="45" t="n"/>
      <c r="M4" s="45" t="n"/>
      <c r="N4" s="45" t="inlineStr">
        <is>
          <t>ACCOUNTABILITY &amp; IMPACT</t>
        </is>
      </c>
      <c r="O4" s="45" t="n"/>
      <c r="P4" s="45" t="n"/>
      <c r="Q4" s="45" t="n"/>
      <c r="R4" s="47" t="inlineStr">
        <is>
          <t>LEADERSHIP &amp; STRATEGY</t>
        </is>
      </c>
      <c r="S4" s="47" t="n"/>
      <c r="T4" s="47" t="n"/>
      <c r="U4" s="47" t="n"/>
      <c r="V4" s="47" t="inlineStr">
        <is>
          <t>BUSINESS IMPACT</t>
        </is>
      </c>
      <c r="W4" s="47" t="n"/>
      <c r="X4" s="47" t="n"/>
      <c r="Y4" s="47" t="n"/>
      <c r="Z4" s="81" t="inlineStr">
        <is>
          <t>EXPERIENCE</t>
        </is>
      </c>
      <c r="AA4" s="81" t="n"/>
      <c r="AB4" s="81" t="n"/>
      <c r="AC4" s="81" t="n"/>
      <c r="AD4" s="81" t="inlineStr">
        <is>
          <t>EDUCATION</t>
        </is>
      </c>
      <c r="AE4" s="81" t="n"/>
      <c r="AF4" s="81" t="n"/>
      <c r="AG4" s="81" t="n"/>
      <c r="AH4" s="20" t="inlineStr">
        <is>
          <t>MARKET BENCHMARK &amp; REFERENCES</t>
        </is>
      </c>
      <c r="AI4" s="20" t="n"/>
      <c r="AJ4" s="20" t="n"/>
      <c r="AK4" s="20" t="n"/>
      <c r="AL4" s="20" t="n"/>
    </row>
    <row r="5" ht="60" customHeight="1">
      <c r="A5" s="22" t="inlineStr">
        <is>
          <t>Level</t>
        </is>
      </c>
      <c r="B5" s="22" t="inlineStr">
        <is>
          <t>Band</t>
        </is>
      </c>
      <c r="C5" s="22" t="inlineStr">
        <is>
          <t>Role group</t>
        </is>
      </c>
      <c r="D5" s="22" t="inlineStr">
        <is>
          <t>Level title</t>
        </is>
      </c>
      <c r="E5" s="22" t="inlineStr">
        <is>
          <t>Roles at this level in this family</t>
        </is>
      </c>
      <c r="F5" s="48" t="inlineStr">
        <is>
          <t>Weightage · L/M/H</t>
        </is>
      </c>
      <c r="G5" s="48" t="inlineStr">
        <is>
          <t>Low</t>
        </is>
      </c>
      <c r="H5" s="48" t="inlineStr">
        <is>
          <t>Medium</t>
        </is>
      </c>
      <c r="I5" s="48" t="inlineStr">
        <is>
          <t>High</t>
        </is>
      </c>
      <c r="J5" s="48" t="inlineStr">
        <is>
          <t>Weightage · L/M/H</t>
        </is>
      </c>
      <c r="K5" s="48" t="inlineStr">
        <is>
          <t>Low</t>
        </is>
      </c>
      <c r="L5" s="48" t="inlineStr">
        <is>
          <t>Medium</t>
        </is>
      </c>
      <c r="M5" s="48" t="inlineStr">
        <is>
          <t>High</t>
        </is>
      </c>
      <c r="N5" s="48" t="inlineStr">
        <is>
          <t>Weightage · L/M/H</t>
        </is>
      </c>
      <c r="O5" s="48" t="inlineStr">
        <is>
          <t>Low</t>
        </is>
      </c>
      <c r="P5" s="48" t="inlineStr">
        <is>
          <t>Medium</t>
        </is>
      </c>
      <c r="Q5" s="48" t="inlineStr">
        <is>
          <t>High</t>
        </is>
      </c>
      <c r="R5" s="50" t="inlineStr">
        <is>
          <t>Weightage · L/M/H</t>
        </is>
      </c>
      <c r="S5" s="50" t="inlineStr">
        <is>
          <t>Low</t>
        </is>
      </c>
      <c r="T5" s="50" t="inlineStr">
        <is>
          <t>Medium</t>
        </is>
      </c>
      <c r="U5" s="50" t="inlineStr">
        <is>
          <t>High</t>
        </is>
      </c>
      <c r="V5" s="50" t="inlineStr">
        <is>
          <t>Weightage · L/M/H</t>
        </is>
      </c>
      <c r="W5" s="50" t="inlineStr">
        <is>
          <t>Low</t>
        </is>
      </c>
      <c r="X5" s="50" t="inlineStr">
        <is>
          <t>Medium</t>
        </is>
      </c>
      <c r="Y5" s="50" t="inlineStr">
        <is>
          <t>High</t>
        </is>
      </c>
      <c r="Z5" s="82" t="inlineStr">
        <is>
          <t>Weightage · L/M/H</t>
        </is>
      </c>
      <c r="AA5" s="82" t="inlineStr">
        <is>
          <t>Low</t>
        </is>
      </c>
      <c r="AB5" s="82" t="inlineStr">
        <is>
          <t>Medium</t>
        </is>
      </c>
      <c r="AC5" s="82" t="inlineStr">
        <is>
          <t>High</t>
        </is>
      </c>
      <c r="AD5" s="82" t="inlineStr">
        <is>
          <t>Weightage · L/M/H</t>
        </is>
      </c>
      <c r="AE5" s="82" t="inlineStr">
        <is>
          <t>Low</t>
        </is>
      </c>
      <c r="AF5" s="82" t="inlineStr">
        <is>
          <t>Medium</t>
        </is>
      </c>
      <c r="AG5" s="82" t="inlineStr">
        <is>
          <t>High</t>
        </is>
      </c>
      <c r="AH5" s="26" t="inlineStr">
        <is>
          <t>Market weight % · C · Au · Ac · L · BI · Exp · Edu</t>
        </is>
      </c>
      <c r="AI5" s="26" t="inlineStr">
        <is>
          <t>Market experience · yrs</t>
        </is>
      </c>
      <c r="AJ5" s="26" t="inlineStr">
        <is>
          <t>Span norm</t>
        </is>
      </c>
      <c r="AK5" s="26" t="inlineStr">
        <is>
          <t>Radford / Mercer · SFIA 9</t>
        </is>
      </c>
      <c r="AL5" s="26" t="inlineStr">
        <is>
          <t>References</t>
        </is>
      </c>
    </row>
    <row r="6" ht="120" customHeight="1">
      <c r="A6" s="83" t="inlineStr">
        <is>
          <t>E2</t>
        </is>
      </c>
      <c r="B6" s="29" t="inlineStr">
        <is>
          <t>Band E · Enterprise leadership</t>
        </is>
      </c>
      <c r="C6" s="29" t="inlineStr">
        <is>
          <t>Bands D–E · Leadership</t>
        </is>
      </c>
      <c r="D6" s="29" t="inlineStr">
        <is>
          <t>Chief Executive Officer</t>
        </is>
      </c>
      <c r="E6" s="29" t="inlineStr">
        <is>
          <t>— no role at this level today</t>
        </is>
      </c>
      <c r="F6" s="34" t="inlineStr">
        <is>
          <t>H</t>
        </is>
      </c>
      <c r="G6" s="84" t="inlineStr">
        <is>
          <t>Works at E1: Enterprise-level functional strategy</t>
        </is>
      </c>
      <c r="H6" s="84" t="inlineStr">
        <is>
          <t>Enterprise-wide uncertainty, transformation and external forces</t>
        </is>
      </c>
      <c r="I6" s="84" t="inlineStr">
        <is>
          <t>Beyond the role · a board-level mandate</t>
        </is>
      </c>
      <c r="J6" s="34" t="inlineStr">
        <is>
          <t>M</t>
        </is>
      </c>
      <c r="K6" s="84" t="inlineStr">
        <is>
          <t>Works at E1: Sets enterprise priorities for the function</t>
        </is>
      </c>
      <c r="L6" s="84" t="inlineStr">
        <is>
          <t>Accountable to the board</t>
        </is>
      </c>
      <c r="M6" s="84" t="inlineStr">
        <is>
          <t>Beyond the role · a board-level mandate</t>
        </is>
      </c>
      <c r="N6" s="34" t="inlineStr">
        <is>
          <t>M</t>
        </is>
      </c>
      <c r="O6" s="84" t="inlineStr">
        <is>
          <t>Works at E1: Enterprise-wide functional results</t>
        </is>
      </c>
      <c r="P6" s="84" t="inlineStr">
        <is>
          <t>Enterprise results, risk, culture and long-term viability</t>
        </is>
      </c>
      <c r="Q6" s="84" t="inlineStr">
        <is>
          <t>Beyond the role · a board-level mandate</t>
        </is>
      </c>
      <c r="R6" s="34" t="inlineStr">
        <is>
          <t>M</t>
        </is>
      </c>
      <c r="S6" s="56" t="inlineStr">
        <is>
          <t>Works at E1: Shapes enterprise strategy</t>
        </is>
      </c>
      <c r="T6" s="56" t="inlineStr">
        <is>
          <t>Sets enterprise strategy; leads the executive team</t>
        </is>
      </c>
      <c r="U6" s="56" t="inlineStr">
        <is>
          <t>Beyond the role · a board-level mandate</t>
        </is>
      </c>
      <c r="V6" s="34" t="inlineStr">
        <is>
          <t>L</t>
        </is>
      </c>
      <c r="W6" s="56" t="inlineStr">
        <is>
          <t>Works at E1: Shapes company-wide results through a function</t>
        </is>
      </c>
      <c r="X6" s="56" t="inlineStr">
        <is>
          <t>Answers for the whole company's results and long-term value</t>
        </is>
      </c>
      <c r="Y6" s="56" t="inlineStr">
        <is>
          <t>Beyond the role · a board-level mandate</t>
        </is>
      </c>
      <c r="Z6" s="34" t="inlineStr">
        <is>
          <t>L</t>
        </is>
      </c>
      <c r="AA6" s="85" t="inlineStr">
        <is>
          <t>Less experience than the band's typical 20+ yrs</t>
        </is>
      </c>
      <c r="AB6" s="85" t="inlineStr">
        <is>
          <t>Typical for the band: 20+ yrs · market — yrs</t>
        </is>
      </c>
      <c r="AC6" s="85" t="inlineStr">
        <is>
          <t>More experience than the band's typical 20+ yrs</t>
        </is>
      </c>
      <c r="AD6" s="34" t="inlineStr">
        <is>
          <t>L</t>
        </is>
      </c>
      <c r="AE6" s="85" t="inlineStr">
        <is>
          <t>Below: Postgraduate / professional qualification; business leadership record</t>
        </is>
      </c>
      <c r="AF6" s="85" t="inlineStr">
        <is>
          <t>Postgraduate / professional qualification; proven business leadership</t>
        </is>
      </c>
      <c r="AG6" s="85" t="inlineStr">
        <is>
          <t>Board-level credentials beyond the role's need</t>
        </is>
      </c>
      <c r="AH6" s="44" t="inlineStr">
        <is>
          <t>36.3 · 19 · 11.3 · 20 · 8.7 · 4 · 1</t>
        </is>
      </c>
      <c r="AI6" s="38" t="inlineStr">
        <is>
          <t>20+ yrs</t>
        </is>
      </c>
      <c r="AJ6" s="38" t="inlineStr">
        <is>
          <t>Executive team</t>
        </is>
      </c>
      <c r="AK6" s="38" t="inlineStr">
        <is>
          <t>E6 · SFIA 7</t>
        </is>
      </c>
      <c r="AL6"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7" ht="120" customHeight="1">
      <c r="A7" s="83" t="inlineStr">
        <is>
          <t>E1</t>
        </is>
      </c>
      <c r="B7" s="29" t="inlineStr">
        <is>
          <t>Band E · Enterprise leadership</t>
        </is>
      </c>
      <c r="C7" s="29" t="inlineStr">
        <is>
          <t>Bands D–E · Leadership</t>
        </is>
      </c>
      <c r="D7" s="29" t="inlineStr">
        <is>
          <t>CXO / President</t>
        </is>
      </c>
      <c r="E7" s="29" t="inlineStr">
        <is>
          <t>— no role at this level today</t>
        </is>
      </c>
      <c r="F7" s="34" t="inlineStr">
        <is>
          <t>H</t>
        </is>
      </c>
      <c r="G7" s="84" t="inlineStr">
        <is>
          <t>Works at D2: Portfolio-level strategic, financial and regulatory trade-offs</t>
        </is>
      </c>
      <c r="H7" s="84" t="inlineStr">
        <is>
          <t>Enterprise-level functional strategy</t>
        </is>
      </c>
      <c r="I7" s="84" t="inlineStr">
        <is>
          <t>Already works at E2: Enterprise-wide uncertainty, transformation and external forces</t>
        </is>
      </c>
      <c r="J7" s="34" t="inlineStr">
        <is>
          <t>M</t>
        </is>
      </c>
      <c r="K7" s="84" t="inlineStr">
        <is>
          <t>Works at D2: Sets direction across business lines</t>
        </is>
      </c>
      <c r="L7" s="84" t="inlineStr">
        <is>
          <t>Sets enterprise priorities for the function</t>
        </is>
      </c>
      <c r="M7" s="84" t="inlineStr">
        <is>
          <t>Already works at E2: Accountable to the board</t>
        </is>
      </c>
      <c r="N7" s="34" t="inlineStr">
        <is>
          <t>M</t>
        </is>
      </c>
      <c r="O7" s="84" t="inlineStr">
        <is>
          <t>Works at D2: Multi-business results</t>
        </is>
      </c>
      <c r="P7" s="84" t="inlineStr">
        <is>
          <t>Enterprise-wide functional results</t>
        </is>
      </c>
      <c r="Q7" s="84" t="inlineStr">
        <is>
          <t>Already works at E2: Enterprise results, risk, culture and long-term viability</t>
        </is>
      </c>
      <c r="R7" s="34" t="inlineStr">
        <is>
          <t>M</t>
        </is>
      </c>
      <c r="S7" s="56" t="inlineStr">
        <is>
          <t>Works at D2: Builds the leadership team across businesses</t>
        </is>
      </c>
      <c r="T7" s="56" t="inlineStr">
        <is>
          <t>Shapes enterprise strategy</t>
        </is>
      </c>
      <c r="U7" s="56" t="inlineStr">
        <is>
          <t>Already works at E2: Sets enterprise strategy; leads the executive team</t>
        </is>
      </c>
      <c r="V7" s="34" t="inlineStr">
        <is>
          <t>L</t>
        </is>
      </c>
      <c r="W7" s="56" t="inlineStr">
        <is>
          <t>Works at D2: Owns the results of several business lines</t>
        </is>
      </c>
      <c r="X7" s="56" t="inlineStr">
        <is>
          <t>Shapes company-wide results through a function</t>
        </is>
      </c>
      <c r="Y7" s="56" t="inlineStr">
        <is>
          <t>Already works at E2: Answers for the whole company's results and long-term value</t>
        </is>
      </c>
      <c r="Z7" s="34" t="inlineStr">
        <is>
          <t>L</t>
        </is>
      </c>
      <c r="AA7" s="85" t="inlineStr">
        <is>
          <t>Less experience than the band's typical 20+ yrs</t>
        </is>
      </c>
      <c r="AB7" s="85" t="inlineStr">
        <is>
          <t>Typical for the band: 20+ yrs · market — yrs</t>
        </is>
      </c>
      <c r="AC7" s="85" t="inlineStr">
        <is>
          <t>More experience than the band's typical 20+ yrs</t>
        </is>
      </c>
      <c r="AD7" s="34" t="inlineStr">
        <is>
          <t>L</t>
        </is>
      </c>
      <c r="AE7" s="85" t="inlineStr">
        <is>
          <t>Below: Postgraduate / professional qualification preferred</t>
        </is>
      </c>
      <c r="AF7" s="85" t="inlineStr">
        <is>
          <t>Postgraduate / professional qualification; business leadership record</t>
        </is>
      </c>
      <c r="AG7" s="85" t="inlineStr">
        <is>
          <t>Above: Postgraduate / professional qualification; proven business leadership</t>
        </is>
      </c>
      <c r="AH7" s="44" t="inlineStr">
        <is>
          <t>36.3 · 19 · 11.3 · 20 · 8.7 · 4 · 1</t>
        </is>
      </c>
      <c r="AI7" s="38" t="inlineStr">
        <is>
          <t>20+ yrs</t>
        </is>
      </c>
      <c r="AJ7" s="38" t="inlineStr">
        <is>
          <t>5–8 function heads</t>
        </is>
      </c>
      <c r="AK7" s="38" t="inlineStr">
        <is>
          <t>E5 · SFIA 7</t>
        </is>
      </c>
      <c r="AL7"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8" ht="120" customHeight="1">
      <c r="A8" s="86" t="inlineStr">
        <is>
          <t>D2</t>
        </is>
      </c>
      <c r="B8" s="29" t="inlineStr">
        <is>
          <t>Band D · Business leadership</t>
        </is>
      </c>
      <c r="C8" s="29" t="inlineStr">
        <is>
          <t>Bands D–E · Leadership</t>
        </is>
      </c>
      <c r="D8" s="29" t="inlineStr">
        <is>
          <t>Senior Vice President / Business Head</t>
        </is>
      </c>
      <c r="E8" s="29" t="inlineStr">
        <is>
          <t>— no role at this level today</t>
        </is>
      </c>
      <c r="F8" s="34" t="inlineStr">
        <is>
          <t>H</t>
        </is>
      </c>
      <c r="G8" s="84" t="inlineStr">
        <is>
          <t>Works at D1: Competing strategic, financial and regulatory priorities</t>
        </is>
      </c>
      <c r="H8" s="84" t="inlineStr">
        <is>
          <t>Portfolio-level strategic, financial and regulatory trade-offs</t>
        </is>
      </c>
      <c r="I8" s="84" t="inlineStr">
        <is>
          <t>Already works at E1: Enterprise-level functional strategy</t>
        </is>
      </c>
      <c r="J8" s="34" t="inlineStr">
        <is>
          <t>M</t>
        </is>
      </c>
      <c r="K8" s="84" t="inlineStr">
        <is>
          <t>Works at D1: Sets business-line direction, pricing and investment</t>
        </is>
      </c>
      <c r="L8" s="84" t="inlineStr">
        <is>
          <t>Sets direction across business lines</t>
        </is>
      </c>
      <c r="M8" s="84" t="inlineStr">
        <is>
          <t>Already works at E1: Sets enterprise priorities for the function</t>
        </is>
      </c>
      <c r="N8" s="34" t="inlineStr">
        <is>
          <t>M</t>
        </is>
      </c>
      <c r="O8" s="84" t="inlineStr">
        <is>
          <t>Works at D1: Business-line P&amp;L and market position</t>
        </is>
      </c>
      <c r="P8" s="84" t="inlineStr">
        <is>
          <t>Multi-business results</t>
        </is>
      </c>
      <c r="Q8" s="84" t="inlineStr">
        <is>
          <t>Already works at E1: Enterprise-wide functional results</t>
        </is>
      </c>
      <c r="R8" s="34" t="inlineStr">
        <is>
          <t>M</t>
        </is>
      </c>
      <c r="S8" s="56" t="inlineStr">
        <is>
          <t>Works at D1: Defines business strategy; builds the leadership bench</t>
        </is>
      </c>
      <c r="T8" s="56" t="inlineStr">
        <is>
          <t>Builds the leadership team across businesses</t>
        </is>
      </c>
      <c r="U8" s="56" t="inlineStr">
        <is>
          <t>Already works at E1: Shapes enterprise strategy</t>
        </is>
      </c>
      <c r="V8" s="34" t="inlineStr">
        <is>
          <t>L</t>
        </is>
      </c>
      <c r="W8" s="56" t="inlineStr">
        <is>
          <t>Works at D1: Owns a business line's P&amp;L and growth, or a company-wide function</t>
        </is>
      </c>
      <c r="X8" s="56" t="inlineStr">
        <is>
          <t>Owns the results of several business lines</t>
        </is>
      </c>
      <c r="Y8" s="56" t="inlineStr">
        <is>
          <t>Already works at E1: Shapes company-wide results through a function</t>
        </is>
      </c>
      <c r="Z8" s="34" t="inlineStr">
        <is>
          <t>L</t>
        </is>
      </c>
      <c r="AA8" s="85" t="inlineStr">
        <is>
          <t>Less experience than the band's typical 18–24 yrs</t>
        </is>
      </c>
      <c r="AB8" s="85" t="inlineStr">
        <is>
          <t>Typical for the band: 18–24 yrs · market — yrs</t>
        </is>
      </c>
      <c r="AC8" s="85" t="inlineStr">
        <is>
          <t>More experience than the band's typical 18–24 yrs</t>
        </is>
      </c>
      <c r="AD8" s="34" t="inlineStr">
        <is>
          <t>L</t>
        </is>
      </c>
      <c r="AE8" s="85" t="inlineStr">
        <is>
          <t>Below: Postgraduate / professional qualification preferred</t>
        </is>
      </c>
      <c r="AF8" s="85" t="inlineStr">
        <is>
          <t>Postgraduate / professional qualification preferred</t>
        </is>
      </c>
      <c r="AG8" s="85" t="inlineStr">
        <is>
          <t>Above: Postgraduate / professional qualification; business leadership record</t>
        </is>
      </c>
      <c r="AH8" s="44" t="inlineStr">
        <is>
          <t>36.3 · 19 · 11.3 · 20 · 8.7 · 4 · 1</t>
        </is>
      </c>
      <c r="AI8" s="38" t="inlineStr">
        <is>
          <t>18–24 yrs</t>
        </is>
      </c>
      <c r="AJ8" s="38" t="inlineStr">
        <is>
          <t>5–8 AVPs / heads</t>
        </is>
      </c>
      <c r="AK8" s="38" t="inlineStr">
        <is>
          <t>E3–E4 · SFIA 7 Set strategy</t>
        </is>
      </c>
      <c r="AL8"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9" ht="120" customHeight="1">
      <c r="A9" s="86" t="inlineStr">
        <is>
          <t>D1</t>
        </is>
      </c>
      <c r="B9" s="29" t="inlineStr">
        <is>
          <t>Band D · Business leadership</t>
        </is>
      </c>
      <c r="C9" s="29" t="inlineStr">
        <is>
          <t>Bands D–E · Leadership</t>
        </is>
      </c>
      <c r="D9" s="29" t="inlineStr">
        <is>
          <t>Associate Vice President</t>
        </is>
      </c>
      <c r="E9" s="29" t="inlineStr">
        <is>
          <t>— no role at this level today</t>
        </is>
      </c>
      <c r="F9" s="34" t="inlineStr">
        <is>
          <t>H</t>
        </is>
      </c>
      <c r="G9" s="84" t="inlineStr">
        <is>
          <t>Works at C2: Function-wide or company-wide problems; creates methods and standards</t>
        </is>
      </c>
      <c r="H9" s="84" t="inlineStr">
        <is>
          <t>Competing strategic, financial and regulatory priorities</t>
        </is>
      </c>
      <c r="I9" s="84" t="inlineStr">
        <is>
          <t>Already works at D2: Portfolio-level strategic, financial and regulatory trade-offs</t>
        </is>
      </c>
      <c r="J9" s="34" t="inlineStr">
        <is>
          <t>M</t>
        </is>
      </c>
      <c r="K9" s="84" t="inlineStr">
        <is>
          <t>Works at C2: Sets direction for a function</t>
        </is>
      </c>
      <c r="L9" s="84" t="inlineStr">
        <is>
          <t>Sets business-line direction, pricing and investment</t>
        </is>
      </c>
      <c r="M9" s="84" t="inlineStr">
        <is>
          <t>Already works at D2: Sets direction across business lines</t>
        </is>
      </c>
      <c r="N9" s="34" t="inlineStr">
        <is>
          <t>M</t>
        </is>
      </c>
      <c r="O9" s="84" t="inlineStr">
        <is>
          <t>Works at C2: Function results, budget and risk</t>
        </is>
      </c>
      <c r="P9" s="84" t="inlineStr">
        <is>
          <t>Business-line P&amp;L and market position</t>
        </is>
      </c>
      <c r="Q9" s="84" t="inlineStr">
        <is>
          <t>Already works at D2: Multi-business results</t>
        </is>
      </c>
      <c r="R9" s="34" t="inlineStr">
        <is>
          <t>M</t>
        </is>
      </c>
      <c r="S9" s="56" t="inlineStr">
        <is>
          <t>Works at C2: Leads a function; shapes functional strategy</t>
        </is>
      </c>
      <c r="T9" s="56" t="inlineStr">
        <is>
          <t>Defines business strategy; builds the leadership bench</t>
        </is>
      </c>
      <c r="U9" s="56" t="inlineStr">
        <is>
          <t>Already works at D2: Builds the leadership team across businesses</t>
        </is>
      </c>
      <c r="V9" s="34" t="inlineStr">
        <is>
          <t>L</t>
        </is>
      </c>
      <c r="W9" s="56" t="inlineStr">
        <is>
          <t>Works at C2: Drives a function's or department's results and costs</t>
        </is>
      </c>
      <c r="X9" s="56" t="inlineStr">
        <is>
          <t>Owns a business line's P&amp;L and growth, or a company-wide function</t>
        </is>
      </c>
      <c r="Y9" s="56" t="inlineStr">
        <is>
          <t>Already works at D2: Owns the results of several business lines</t>
        </is>
      </c>
      <c r="Z9" s="34" t="inlineStr">
        <is>
          <t>L</t>
        </is>
      </c>
      <c r="AA9" s="85" t="inlineStr">
        <is>
          <t>Less experience than the band's typical 15–20 yrs</t>
        </is>
      </c>
      <c r="AB9" s="85" t="inlineStr">
        <is>
          <t>Typical for the band: 15–20 yrs · market — yrs</t>
        </is>
      </c>
      <c r="AC9" s="85" t="inlineStr">
        <is>
          <t>More experience than the band's typical 15–20 yrs</t>
        </is>
      </c>
      <c r="AD9" s="34" t="inlineStr">
        <is>
          <t>L</t>
        </is>
      </c>
      <c r="AE9" s="85" t="inlineStr">
        <is>
          <t>Below: Postgraduate / professional qualification preferred</t>
        </is>
      </c>
      <c r="AF9" s="85" t="inlineStr">
        <is>
          <t>Postgraduate / professional qualification preferred</t>
        </is>
      </c>
      <c r="AG9" s="85" t="inlineStr">
        <is>
          <t>Above: Postgraduate / professional qualification preferred</t>
        </is>
      </c>
      <c r="AH9" s="44" t="inlineStr">
        <is>
          <t>36.3 · 19 · 11.3 · 20 · 8.7 · 4 · 1</t>
        </is>
      </c>
      <c r="AI9" s="38" t="inlineStr">
        <is>
          <t>15–20 yrs</t>
        </is>
      </c>
      <c r="AJ9" s="38" t="inlineStr">
        <is>
          <t>5–8 heads</t>
        </is>
      </c>
      <c r="AK9" s="38" t="inlineStr">
        <is>
          <t>E1–E2 · SFIA 6–7</t>
        </is>
      </c>
      <c r="AL9"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0" ht="120" customHeight="1">
      <c r="A10" s="87" t="inlineStr">
        <is>
          <t>C+</t>
        </is>
      </c>
      <c r="B10" s="29" t="inlineStr">
        <is>
          <t>C+ · Player-Coach</t>
        </is>
      </c>
      <c r="C10" s="29" t="inlineStr">
        <is>
          <t>C+ · Player-Coach</t>
        </is>
      </c>
      <c r="D10" s="29" t="inlineStr">
        <is>
          <t>Group Head · Player-Coach</t>
        </is>
      </c>
      <c r="E10" s="29" t="inlineStr">
        <is>
          <t>— no role at this level today</t>
        </is>
      </c>
      <c r="F10" s="34" t="inlineStr">
        <is>
          <t>H</t>
        </is>
      </c>
      <c r="G10" s="84" t="inlineStr">
        <is>
          <t>Works at C2: Function-wide or company-wide problems; creates methods and standards</t>
        </is>
      </c>
      <c r="H10" s="84" t="inlineStr">
        <is>
          <t>Function-wide and cross-product problems; personally handles the most critical client or technical work</t>
        </is>
      </c>
      <c r="I10" s="84" t="inlineStr">
        <is>
          <t>Already works at D1: Competing strategic, financial and regulatory priorities</t>
        </is>
      </c>
      <c r="J10" s="34" t="inlineStr">
        <is>
          <t>M</t>
        </is>
      </c>
      <c r="K10" s="84" t="inlineStr">
        <is>
          <t>Works at C2: Sets direction for a function</t>
        </is>
      </c>
      <c r="L10" s="84" t="inlineStr">
        <is>
          <t>Sets direction for the function; business-line trade-offs go to the Business Head</t>
        </is>
      </c>
      <c r="M10" s="84" t="inlineStr">
        <is>
          <t>Already works at D1: Sets business-line direction, pricing and investment</t>
        </is>
      </c>
      <c r="N10" s="34" t="inlineStr">
        <is>
          <t>M</t>
        </is>
      </c>
      <c r="O10" s="84" t="inlineStr">
        <is>
          <t>Works at C2: Function results, budget and risk</t>
        </is>
      </c>
      <c r="P10" s="84" t="inlineStr">
        <is>
          <t>Function results, budget and key-client outcomes; carries own book or principal delivery</t>
        </is>
      </c>
      <c r="Q10" s="84" t="inlineStr">
        <is>
          <t>Already works at D1: Business-line P&amp;L and market position</t>
        </is>
      </c>
      <c r="R10" s="34" t="inlineStr">
        <is>
          <t>M</t>
        </is>
      </c>
      <c r="S10" s="56" t="inlineStr">
        <is>
          <t>Works at C2: Leads a function; shapes functional strategy</t>
        </is>
      </c>
      <c r="T10" s="56" t="inlineStr">
        <is>
          <t>Leads managers and leads and 10+ people in the function while staying hands-on</t>
        </is>
      </c>
      <c r="U10" s="56" t="inlineStr">
        <is>
          <t>Already works at D1: Defines business strategy; builds the leadership bench</t>
        </is>
      </c>
      <c r="V10" s="34" t="inlineStr">
        <is>
          <t>L</t>
        </is>
      </c>
      <c r="W10" s="56" t="inlineStr">
        <is>
          <t>Works at C2: Drives a function's or department's results and costs</t>
        </is>
      </c>
      <c r="X10" s="56" t="inlineStr">
        <is>
          <t>Drives a function's results and personally wins or delivers key work</t>
        </is>
      </c>
      <c r="Y10" s="56" t="inlineStr">
        <is>
          <t>Already works at D1: Owns a business line's P&amp;L and growth, or a company-wide function</t>
        </is>
      </c>
      <c r="Z10" s="34" t="inlineStr">
        <is>
          <t>L</t>
        </is>
      </c>
      <c r="AA10" s="85" t="inlineStr">
        <is>
          <t>Less experience than the band's typical 13–18 yrs</t>
        </is>
      </c>
      <c r="AB10" s="85" t="inlineStr">
        <is>
          <t>Typical for the band: 13–18 yrs · market 15–18 yrs</t>
        </is>
      </c>
      <c r="AC10" s="85" t="inlineStr">
        <is>
          <t>More experience than the band's typical 13–18 yrs</t>
        </is>
      </c>
      <c r="AD10" s="34" t="inlineStr">
        <is>
          <t>L</t>
        </is>
      </c>
      <c r="AE10" s="85" t="inlineStr">
        <is>
          <t>Below: Postgraduate / professional qualification preferred</t>
        </is>
      </c>
      <c r="AF10" s="85" t="inlineStr">
        <is>
          <t>Postgraduate / professional qualification preferred</t>
        </is>
      </c>
      <c r="AG10" s="85" t="inlineStr">
        <is>
          <t>Above: Postgraduate / professional qualification preferred</t>
        </is>
      </c>
      <c r="AH10" s="44" t="inlineStr">
        <is>
          <t>37.7 · 18.3 · 10.7 · 20 · 8 · 4 · 1</t>
        </is>
      </c>
      <c r="AI10" s="38" t="inlineStr">
        <is>
          <t>15–18</t>
        </is>
      </c>
      <c r="AJ10" s="38" t="inlineStr">
        <is>
          <t>4–8 managers / leads with ≥ 25% of time on own principal delivery</t>
        </is>
      </c>
      <c r="AK10" s="38" t="inlineStr">
        <is>
          <t>M6 / E1 · SFIA 6 Initiate, influence</t>
        </is>
      </c>
      <c r="AL10"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1" ht="120" customHeight="1">
      <c r="A11" s="88" t="inlineStr">
        <is>
          <t>C2</t>
        </is>
      </c>
      <c r="B11" s="29" t="inlineStr">
        <is>
          <t>Band C · Principal / Head</t>
        </is>
      </c>
      <c r="C11" s="29" t="inlineStr">
        <is>
          <t>Band C · Head / manager</t>
        </is>
      </c>
      <c r="D11" s="29" t="inlineStr">
        <is>
          <t>Head of Function</t>
        </is>
      </c>
      <c r="E11" s="29" t="inlineStr">
        <is>
          <t>— no role at this level today</t>
        </is>
      </c>
      <c r="F11" s="34" t="inlineStr">
        <is>
          <t>H</t>
        </is>
      </c>
      <c r="G11" s="84" t="inlineStr">
        <is>
          <t>Works at C1: Ambiguous, cross-product problems</t>
        </is>
      </c>
      <c r="H11" s="84" t="inlineStr">
        <is>
          <t>Function-wide or company-wide problems; creates methods and standards</t>
        </is>
      </c>
      <c r="I11" s="84" t="inlineStr">
        <is>
          <t>Already works at D1: Competing strategic, financial and regulatory priorities</t>
        </is>
      </c>
      <c r="J11" s="34" t="inlineStr">
        <is>
          <t>M</t>
        </is>
      </c>
      <c r="K11" s="84" t="inlineStr">
        <is>
          <t>Works at C1: Sets direction for a sub-function or domain</t>
        </is>
      </c>
      <c r="L11" s="84" t="inlineStr">
        <is>
          <t>Sets direction for a function</t>
        </is>
      </c>
      <c r="M11" s="84" t="inlineStr">
        <is>
          <t>Already works at D1: Sets business-line direction, pricing and investment</t>
        </is>
      </c>
      <c r="N11" s="34" t="inlineStr">
        <is>
          <t>L</t>
        </is>
      </c>
      <c r="O11" s="84" t="inlineStr">
        <is>
          <t>Works at C1: Sub-function results or domain quality across products</t>
        </is>
      </c>
      <c r="P11" s="84" t="inlineStr">
        <is>
          <t>Function results, budget and risk</t>
        </is>
      </c>
      <c r="Q11" s="84" t="inlineStr">
        <is>
          <t>Already works at D1: Business-line P&amp;L and market position</t>
        </is>
      </c>
      <c r="R11" s="34" t="inlineStr">
        <is>
          <t>M</t>
        </is>
      </c>
      <c r="S11" s="56" t="inlineStr">
        <is>
          <t>Works at C1: Leads managers or a community of practice</t>
        </is>
      </c>
      <c r="T11" s="56" t="inlineStr">
        <is>
          <t>Leads a function; shapes functional strategy</t>
        </is>
      </c>
      <c r="U11" s="56" t="inlineStr">
        <is>
          <t>Already works at D1: Defines business strategy; builds the leadership bench</t>
        </is>
      </c>
      <c r="V11" s="34" t="inlineStr">
        <is>
          <t>L</t>
        </is>
      </c>
      <c r="W11" s="56" t="inlineStr">
        <is>
          <t>Works at C1: Changes results across a sub-function or across products</t>
        </is>
      </c>
      <c r="X11" s="56" t="inlineStr">
        <is>
          <t>Drives a function's or department's results and costs</t>
        </is>
      </c>
      <c r="Y11" s="56" t="inlineStr">
        <is>
          <t>Already works at D1: Owns a business line's P&amp;L and growth, or a company-wide function</t>
        </is>
      </c>
      <c r="Z11" s="34" t="inlineStr">
        <is>
          <t>L</t>
        </is>
      </c>
      <c r="AA11" s="85" t="inlineStr">
        <is>
          <t>Less experience than the band's typical 12–17 yrs</t>
        </is>
      </c>
      <c r="AB11" s="85" t="inlineStr">
        <is>
          <t>Typical for the band: 12–17 yrs · market — yrs</t>
        </is>
      </c>
      <c r="AC11" s="85" t="inlineStr">
        <is>
          <t>More experience than the band's typical 12–17 yrs</t>
        </is>
      </c>
      <c r="AD11" s="34" t="inlineStr">
        <is>
          <t>L</t>
        </is>
      </c>
      <c r="AE11" s="85" t="inlineStr">
        <is>
          <t>Below: Postgraduate / professional qualification preferred</t>
        </is>
      </c>
      <c r="AF11" s="85" t="inlineStr">
        <is>
          <t>Postgraduate / professional qualification preferred</t>
        </is>
      </c>
      <c r="AG11" s="85" t="inlineStr">
        <is>
          <t>Above: Postgraduate / professional qualification preferred</t>
        </is>
      </c>
      <c r="AH11" s="44" t="inlineStr">
        <is>
          <t>43.3 · 18 · 10.7 · 15 · 8 · 4 · 1</t>
        </is>
      </c>
      <c r="AI11" s="38" t="inlineStr">
        <is>
          <t>12–17 yrs</t>
        </is>
      </c>
      <c r="AJ11" s="38" t="inlineStr">
        <is>
          <t>5–8 managers / associate heads</t>
        </is>
      </c>
      <c r="AK11" s="38" t="inlineStr">
        <is>
          <t>P7 / M6 · SFIA 6 Initiate, influence</t>
        </is>
      </c>
      <c r="AL11"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2" ht="120" customHeight="1">
      <c r="A12" s="88" t="inlineStr">
        <is>
          <t>C2</t>
        </is>
      </c>
      <c r="B12" s="29" t="inlineStr">
        <is>
          <t>Band C · Principal / Head</t>
        </is>
      </c>
      <c r="C12" s="29" t="inlineStr">
        <is>
          <t>Band C · Principal specialist</t>
        </is>
      </c>
      <c r="D12" s="29" t="inlineStr">
        <is>
          <t>Senior Principal / Architect</t>
        </is>
      </c>
      <c r="E12" s="29" t="inlineStr">
        <is>
          <t>— no role at this level today</t>
        </is>
      </c>
      <c r="F12" s="34" t="inlineStr">
        <is>
          <t>H</t>
        </is>
      </c>
      <c r="G12" s="84" t="inlineStr">
        <is>
          <t>Works at C1: Ambiguous, cross-product problems</t>
        </is>
      </c>
      <c r="H12" s="84" t="inlineStr">
        <is>
          <t>Function-wide or company-wide problems; creates methods and standards</t>
        </is>
      </c>
      <c r="I12" s="84" t="inlineStr">
        <is>
          <t>Already works at D1: Competing strategic, financial and regulatory priorities</t>
        </is>
      </c>
      <c r="J12" s="34" t="inlineStr">
        <is>
          <t>M</t>
        </is>
      </c>
      <c r="K12" s="84" t="inlineStr">
        <is>
          <t>Works at C1: Sets direction for a sub-function or domain</t>
        </is>
      </c>
      <c r="L12" s="84" t="inlineStr">
        <is>
          <t>Sets direction for a function</t>
        </is>
      </c>
      <c r="M12" s="84" t="inlineStr">
        <is>
          <t>Already works at D1: Sets business-line direction, pricing and investment</t>
        </is>
      </c>
      <c r="N12" s="34" t="inlineStr">
        <is>
          <t>L</t>
        </is>
      </c>
      <c r="O12" s="84" t="inlineStr">
        <is>
          <t>Works at C1: Sub-function results or domain quality across products</t>
        </is>
      </c>
      <c r="P12" s="84" t="inlineStr">
        <is>
          <t>Function results, budget and risk</t>
        </is>
      </c>
      <c r="Q12" s="84" t="inlineStr">
        <is>
          <t>Already works at D1: Business-line P&amp;L and market position</t>
        </is>
      </c>
      <c r="R12" s="34" t="inlineStr">
        <is>
          <t>L</t>
        </is>
      </c>
      <c r="S12" s="56" t="inlineStr">
        <is>
          <t>Works at C1: Leads managers or a community of practice</t>
        </is>
      </c>
      <c r="T12" s="56" t="inlineStr">
        <is>
          <t>Leads a function; shapes functional strategy</t>
        </is>
      </c>
      <c r="U12" s="56" t="inlineStr">
        <is>
          <t>Already works at D1: Defines business strategy; builds the leadership bench</t>
        </is>
      </c>
      <c r="V12" s="34" t="inlineStr">
        <is>
          <t>L</t>
        </is>
      </c>
      <c r="W12" s="56" t="inlineStr">
        <is>
          <t>Works at C1: Changes results across a sub-function or across products</t>
        </is>
      </c>
      <c r="X12" s="56" t="inlineStr">
        <is>
          <t>Drives a function's or department's results and costs</t>
        </is>
      </c>
      <c r="Y12" s="56" t="inlineStr">
        <is>
          <t>Already works at D1: Owns a business line's P&amp;L and growth, or a company-wide function</t>
        </is>
      </c>
      <c r="Z12" s="34" t="inlineStr">
        <is>
          <t>L</t>
        </is>
      </c>
      <c r="AA12" s="85" t="inlineStr">
        <is>
          <t>Less experience than the band's typical 12–17 yrs</t>
        </is>
      </c>
      <c r="AB12" s="85" t="inlineStr">
        <is>
          <t>Typical for the band: 12–17 yrs · market — yrs</t>
        </is>
      </c>
      <c r="AC12" s="85" t="inlineStr">
        <is>
          <t>More experience than the band's typical 12–17 yrs</t>
        </is>
      </c>
      <c r="AD12" s="34" t="inlineStr">
        <is>
          <t>L</t>
        </is>
      </c>
      <c r="AE12" s="85" t="inlineStr">
        <is>
          <t>Below: Postgraduate / professional qualification preferred</t>
        </is>
      </c>
      <c r="AF12" s="85" t="inlineStr">
        <is>
          <t>Postgraduate / professional qualification preferred</t>
        </is>
      </c>
      <c r="AG12" s="85" t="inlineStr">
        <is>
          <t>Above: Postgraduate / professional qualification preferred</t>
        </is>
      </c>
      <c r="AH12" s="44" t="inlineStr">
        <is>
          <t>54.3 · 17.7 · 10.3 · 5 · 7.7 · 4 · 1</t>
        </is>
      </c>
      <c r="AI12" s="38" t="inlineStr">
        <is>
          <t>12–17 yrs</t>
        </is>
      </c>
      <c r="AJ12" s="38" t="inlineStr">
        <is>
          <t>5–8 managers / associate heads</t>
        </is>
      </c>
      <c r="AK12" s="38" t="inlineStr">
        <is>
          <t>P7 / M6 · SFIA 6 Initiate, influence</t>
        </is>
      </c>
      <c r="AL12"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3" ht="120" customHeight="1">
      <c r="A13" s="88" t="inlineStr">
        <is>
          <t>C1</t>
        </is>
      </c>
      <c r="B13" s="29" t="inlineStr">
        <is>
          <t>Band C · Principal / Head</t>
        </is>
      </c>
      <c r="C13" s="29" t="inlineStr">
        <is>
          <t>Band C · Head / manager</t>
        </is>
      </c>
      <c r="D13" s="29" t="inlineStr">
        <is>
          <t>Associate Head</t>
        </is>
      </c>
      <c r="E13" s="29" t="inlineStr">
        <is>
          <t>— no role at this level today</t>
        </is>
      </c>
      <c r="F13" s="34" t="inlineStr">
        <is>
          <t>H</t>
        </is>
      </c>
      <c r="G13" s="84" t="inlineStr">
        <is>
          <t>Works at B3: Sets standards for a practice; cross-team problems</t>
        </is>
      </c>
      <c r="H13" s="84" t="inlineStr">
        <is>
          <t>Ambiguous, cross-product problems</t>
        </is>
      </c>
      <c r="I13" s="84" t="inlineStr">
        <is>
          <t>Already works at C2: Function-wide or company-wide problems; creates methods and standards</t>
        </is>
      </c>
      <c r="J13" s="34" t="inlineStr">
        <is>
          <t>M</t>
        </is>
      </c>
      <c r="K13" s="84" t="inlineStr">
        <is>
          <t>Works at B3: Commercial / strategic calls for the unit</t>
        </is>
      </c>
      <c r="L13" s="84" t="inlineStr">
        <is>
          <t>Sets direction for a sub-function or domain</t>
        </is>
      </c>
      <c r="M13" s="84" t="inlineStr">
        <is>
          <t>Already works at C2: Sets direction for a function</t>
        </is>
      </c>
      <c r="N13" s="34" t="inlineStr">
        <is>
          <t>L</t>
        </is>
      </c>
      <c r="O13" s="84" t="inlineStr">
        <is>
          <t>Works at B3: Several teams or a practice</t>
        </is>
      </c>
      <c r="P13" s="84" t="inlineStr">
        <is>
          <t>Sub-function results or domain quality across products</t>
        </is>
      </c>
      <c r="Q13" s="84" t="inlineStr">
        <is>
          <t>Already works at C2: Function results, budget and risk</t>
        </is>
      </c>
      <c r="R13" s="34" t="inlineStr">
        <is>
          <t>M</t>
        </is>
      </c>
      <c r="S13" s="56" t="inlineStr">
        <is>
          <t>Works at B3: IC: leads a practice · People: team leads / managers report in</t>
        </is>
      </c>
      <c r="T13" s="56" t="inlineStr">
        <is>
          <t>Leads managers or a community of practice</t>
        </is>
      </c>
      <c r="U13" s="56" t="inlineStr">
        <is>
          <t>Already works at C2: Leads a function; shapes functional strategy</t>
        </is>
      </c>
      <c r="V13" s="34" t="inlineStr">
        <is>
          <t>L</t>
        </is>
      </c>
      <c r="W13" s="56" t="inlineStr">
        <is>
          <t>Works at B3: Shapes the results of a practice or several teams</t>
        </is>
      </c>
      <c r="X13" s="56" t="inlineStr">
        <is>
          <t>Changes results across a sub-function or across products</t>
        </is>
      </c>
      <c r="Y13" s="56" t="inlineStr">
        <is>
          <t>Already works at C2: Drives a function's or department's results and costs</t>
        </is>
      </c>
      <c r="Z13" s="34" t="inlineStr">
        <is>
          <t>L</t>
        </is>
      </c>
      <c r="AA13" s="85" t="inlineStr">
        <is>
          <t>Less experience than the band's typical 10–14 yrs</t>
        </is>
      </c>
      <c r="AB13" s="85" t="inlineStr">
        <is>
          <t>Typical for the band: 10–14 yrs · market 12–17 yrs</t>
        </is>
      </c>
      <c r="AC13" s="85" t="inlineStr">
        <is>
          <t>More experience than the band's typical 10–14 yrs</t>
        </is>
      </c>
      <c r="AD13" s="34" t="inlineStr">
        <is>
          <t>L</t>
        </is>
      </c>
      <c r="AE13" s="85" t="inlineStr">
        <is>
          <t>Below: Postgraduate or professional qualification preferred</t>
        </is>
      </c>
      <c r="AF13" s="85" t="inlineStr">
        <is>
          <t>Postgraduate / professional qualification preferred</t>
        </is>
      </c>
      <c r="AG13" s="85" t="inlineStr">
        <is>
          <t>Above: Postgraduate / professional qualification preferred</t>
        </is>
      </c>
      <c r="AH13" s="44" t="inlineStr">
        <is>
          <t>43.3 · 18 · 10.7 · 15 · 8 · 4 · 1</t>
        </is>
      </c>
      <c r="AI13" s="38" t="inlineStr">
        <is>
          <t>12–17</t>
        </is>
      </c>
      <c r="AJ13" s="38" t="inlineStr">
        <is>
          <t>5–8, mostly managers</t>
        </is>
      </c>
      <c r="AK13" s="38" t="inlineStr">
        <is>
          <t>P6 / M5 · SFIA 5–6</t>
        </is>
      </c>
      <c r="AL13"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4" ht="120" customHeight="1">
      <c r="A14" s="88" t="inlineStr">
        <is>
          <t>C1</t>
        </is>
      </c>
      <c r="B14" s="29" t="inlineStr">
        <is>
          <t>Band C · Principal / Head</t>
        </is>
      </c>
      <c r="C14" s="29" t="inlineStr">
        <is>
          <t>Band C · Principal specialist</t>
        </is>
      </c>
      <c r="D14" s="29" t="inlineStr">
        <is>
          <t>Principal</t>
        </is>
      </c>
      <c r="E14" s="29" t="inlineStr">
        <is>
          <t>— no role at this level today</t>
        </is>
      </c>
      <c r="F14" s="34" t="inlineStr">
        <is>
          <t>H</t>
        </is>
      </c>
      <c r="G14" s="84" t="inlineStr">
        <is>
          <t>Works at B3: Sets standards for a practice; cross-team problems</t>
        </is>
      </c>
      <c r="H14" s="84" t="inlineStr">
        <is>
          <t>Ambiguous, cross-product problems</t>
        </is>
      </c>
      <c r="I14" s="84" t="inlineStr">
        <is>
          <t>Already works at C2: Function-wide or company-wide problems; creates methods and standards</t>
        </is>
      </c>
      <c r="J14" s="34" t="inlineStr">
        <is>
          <t>M</t>
        </is>
      </c>
      <c r="K14" s="84" t="inlineStr">
        <is>
          <t>Works at B3: Commercial / strategic calls for the unit</t>
        </is>
      </c>
      <c r="L14" s="84" t="inlineStr">
        <is>
          <t>Sets direction for a sub-function or domain</t>
        </is>
      </c>
      <c r="M14" s="84" t="inlineStr">
        <is>
          <t>Already works at C2: Sets direction for a function</t>
        </is>
      </c>
      <c r="N14" s="34" t="inlineStr">
        <is>
          <t>L</t>
        </is>
      </c>
      <c r="O14" s="84" t="inlineStr">
        <is>
          <t>Works at B3: Several teams or a practice</t>
        </is>
      </c>
      <c r="P14" s="84" t="inlineStr">
        <is>
          <t>Sub-function results or domain quality across products</t>
        </is>
      </c>
      <c r="Q14" s="84" t="inlineStr">
        <is>
          <t>Already works at C2: Function results, budget and risk</t>
        </is>
      </c>
      <c r="R14" s="34" t="inlineStr">
        <is>
          <t>L</t>
        </is>
      </c>
      <c r="S14" s="56" t="inlineStr">
        <is>
          <t>Works at B3: IC: leads a practice · People: team leads / managers report in</t>
        </is>
      </c>
      <c r="T14" s="56" t="inlineStr">
        <is>
          <t>Leads managers or a community of practice</t>
        </is>
      </c>
      <c r="U14" s="56" t="inlineStr">
        <is>
          <t>Already works at C2: Leads a function; shapes functional strategy</t>
        </is>
      </c>
      <c r="V14" s="34" t="inlineStr">
        <is>
          <t>L</t>
        </is>
      </c>
      <c r="W14" s="56" t="inlineStr">
        <is>
          <t>Works at B3: Shapes the results of a practice or several teams</t>
        </is>
      </c>
      <c r="X14" s="56" t="inlineStr">
        <is>
          <t>Changes results across a sub-function or across products</t>
        </is>
      </c>
      <c r="Y14" s="56" t="inlineStr">
        <is>
          <t>Already works at C2: Drives a function's or department's results and costs</t>
        </is>
      </c>
      <c r="Z14" s="34" t="inlineStr">
        <is>
          <t>L</t>
        </is>
      </c>
      <c r="AA14" s="85" t="inlineStr">
        <is>
          <t>Less experience than the band's typical 10–14 yrs</t>
        </is>
      </c>
      <c r="AB14" s="85" t="inlineStr">
        <is>
          <t>Typical for the band: 10–14 yrs · market 12–17 yrs</t>
        </is>
      </c>
      <c r="AC14" s="85" t="inlineStr">
        <is>
          <t>More experience than the band's typical 10–14 yrs</t>
        </is>
      </c>
      <c r="AD14" s="34" t="inlineStr">
        <is>
          <t>L</t>
        </is>
      </c>
      <c r="AE14" s="85" t="inlineStr">
        <is>
          <t>Below: Postgraduate or professional qualification preferred</t>
        </is>
      </c>
      <c r="AF14" s="85" t="inlineStr">
        <is>
          <t>Postgraduate / professional qualification preferred</t>
        </is>
      </c>
      <c r="AG14" s="85" t="inlineStr">
        <is>
          <t>Above: Postgraduate / professional qualification preferred</t>
        </is>
      </c>
      <c r="AH14" s="44" t="inlineStr">
        <is>
          <t>54.3 · 17.7 · 10.3 · 5 · 7.7 · 4 · 1</t>
        </is>
      </c>
      <c r="AI14" s="38" t="inlineStr">
        <is>
          <t>12–17</t>
        </is>
      </c>
      <c r="AJ14" s="38" t="inlineStr">
        <is>
          <t>5–8, mostly managers</t>
        </is>
      </c>
      <c r="AK14" s="38" t="inlineStr">
        <is>
          <t>P6 / M5 · SFIA 5–6</t>
        </is>
      </c>
      <c r="AL14"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5" ht="120" customHeight="1">
      <c r="A15" s="89" t="inlineStr">
        <is>
          <t>B+</t>
        </is>
      </c>
      <c r="B15" s="29" t="inlineStr">
        <is>
          <t>B+ · Player-Coach</t>
        </is>
      </c>
      <c r="C15" s="29" t="inlineStr">
        <is>
          <t>B+ · Player-Coach</t>
        </is>
      </c>
      <c r="D15" s="29" t="inlineStr">
        <is>
          <t>Practice Lead · Player-Coach</t>
        </is>
      </c>
      <c r="E15" s="29" t="inlineStr">
        <is>
          <t>— no role at this level today</t>
        </is>
      </c>
      <c r="F15" s="34" t="inlineStr">
        <is>
          <t>H</t>
        </is>
      </c>
      <c r="G15" s="84" t="inlineStr">
        <is>
          <t>Works at B3: Sets standards for a practice; cross-team problems</t>
        </is>
      </c>
      <c r="H15" s="84" t="inlineStr">
        <is>
          <t>Principal-level problems in own domain; sets technical or quality standards and still builds</t>
        </is>
      </c>
      <c r="I15" s="84" t="inlineStr">
        <is>
          <t>Already works at C1: Ambiguous, cross-product problems</t>
        </is>
      </c>
      <c r="J15" s="34" t="inlineStr">
        <is>
          <t>M</t>
        </is>
      </c>
      <c r="K15" s="84" t="inlineStr">
        <is>
          <t>Works at B3: Commercial / strategic calls for the unit</t>
        </is>
      </c>
      <c r="L15" s="84" t="inlineStr">
        <is>
          <t>Decides approach and priorities for the practice; escalates only cross-function trade-offs</t>
        </is>
      </c>
      <c r="M15" s="84" t="inlineStr">
        <is>
          <t>Already works at C1: Sets direction for a sub-function or domain</t>
        </is>
      </c>
      <c r="N15" s="34" t="inlineStr">
        <is>
          <t>L</t>
        </is>
      </c>
      <c r="O15" s="84" t="inlineStr">
        <is>
          <t>Works at B3: Several teams or a practice</t>
        </is>
      </c>
      <c r="P15" s="84" t="inlineStr">
        <is>
          <t>Practice outcomes plus own deliverables; quality and delivery of the team</t>
        </is>
      </c>
      <c r="Q15" s="84" t="inlineStr">
        <is>
          <t>Already works at C1: Sub-function results or domain quality across products</t>
        </is>
      </c>
      <c r="R15" s="34" t="inlineStr">
        <is>
          <t>M</t>
        </is>
      </c>
      <c r="S15" s="56" t="inlineStr">
        <is>
          <t>Works at B3: IC: leads a practice · People: team leads / managers report in</t>
        </is>
      </c>
      <c r="T15" s="56" t="inlineStr">
        <is>
          <t>Leads 3–6 people · or a pod while remaining a hands-on expert; coaches, allocates, reviews</t>
        </is>
      </c>
      <c r="U15" s="56" t="inlineStr">
        <is>
          <t>Already works at C1: Leads managers or a community of practice</t>
        </is>
      </c>
      <c r="V15" s="34" t="inlineStr">
        <is>
          <t>L</t>
        </is>
      </c>
      <c r="W15" s="56" t="inlineStr">
        <is>
          <t>Works at B3: Shapes the results of a practice or several teams</t>
        </is>
      </c>
      <c r="X15" s="56" t="inlineStr">
        <is>
          <t>Drives a practice's results while delivering the hardest work</t>
        </is>
      </c>
      <c r="Y15" s="56" t="inlineStr">
        <is>
          <t>Already works at C1: Changes results across a sub-function or across products</t>
        </is>
      </c>
      <c r="Z15" s="34" t="inlineStr">
        <is>
          <t>L</t>
        </is>
      </c>
      <c r="AA15" s="85" t="inlineStr">
        <is>
          <t>Less experience than the band's typical 9–14 yrs</t>
        </is>
      </c>
      <c r="AB15" s="85" t="inlineStr">
        <is>
          <t>Typical for the band: 9–14 yrs · market 9–14 yrs</t>
        </is>
      </c>
      <c r="AC15" s="85" t="inlineStr">
        <is>
          <t>More experience than the band's typical 9–14 yrs</t>
        </is>
      </c>
      <c r="AD15" s="34" t="inlineStr">
        <is>
          <t>L</t>
        </is>
      </c>
      <c r="AE15" s="85" t="inlineStr">
        <is>
          <t>Below: Postgraduate or professional qualification preferred</t>
        </is>
      </c>
      <c r="AF15" s="85" t="inlineStr">
        <is>
          <t>Postgraduate or professional qualification preferred</t>
        </is>
      </c>
      <c r="AG15" s="85" t="inlineStr">
        <is>
          <t>Above: Postgraduate / professional qualification preferred</t>
        </is>
      </c>
      <c r="AH15" s="44" t="inlineStr">
        <is>
          <t>44 · 17.7 · 10.3 · 10 · 7.7 · 6 · 4</t>
        </is>
      </c>
      <c r="AI15" s="38" t="inlineStr">
        <is>
          <t>9–14</t>
        </is>
      </c>
      <c r="AJ15" s="38" t="inlineStr">
        <is>
          <t>3–6 direct reports with ≥ 40% of time on own delivery · McKinsey player/coach 3–5; Google Tech Lead Manager</t>
        </is>
      </c>
      <c r="AK15" s="38" t="inlineStr">
        <is>
          <t>P5–P6 / M4–M5 · SFIA 5 Ensure, advise</t>
        </is>
      </c>
      <c r="AL15"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6" ht="120" customHeight="1">
      <c r="A16" s="90" t="inlineStr">
        <is>
          <t>B3</t>
        </is>
      </c>
      <c r="B16" s="29" t="inlineStr">
        <is>
          <t>Band B · Specialist / Manager</t>
        </is>
      </c>
      <c r="C16" s="29" t="inlineStr">
        <is>
          <t>Band B · People Manager</t>
        </is>
      </c>
      <c r="D16" s="29" t="inlineStr">
        <is>
          <t>Senior Manager</t>
        </is>
      </c>
      <c r="E16" s="29" t="inlineStr">
        <is>
          <t>— no role at this level today</t>
        </is>
      </c>
      <c r="F16" s="34" t="inlineStr">
        <is>
          <t>H</t>
        </is>
      </c>
      <c r="G16" s="84" t="inlineStr">
        <is>
          <t>Works at B2: Hardest problems in the domain</t>
        </is>
      </c>
      <c r="H16" s="84" t="inlineStr">
        <is>
          <t>Sets standards for a practice; cross-team problems</t>
        </is>
      </c>
      <c r="I16" s="84" t="inlineStr">
        <is>
          <t>Already works at C1: Ambiguous, cross-product problems</t>
        </is>
      </c>
      <c r="J16" s="34" t="inlineStr">
        <is>
          <t>M</t>
        </is>
      </c>
      <c r="K16" s="84" t="inlineStr">
        <is>
          <t>Works at B2: Allocates people and sets team priorities</t>
        </is>
      </c>
      <c r="L16" s="84" t="inlineStr">
        <is>
          <t>Commercial / strategic calls for the unit</t>
        </is>
      </c>
      <c r="M16" s="84" t="inlineStr">
        <is>
          <t>Already works at C1: Sets direction for a sub-function or domain</t>
        </is>
      </c>
      <c r="N16" s="34" t="inlineStr">
        <is>
          <t>L</t>
        </is>
      </c>
      <c r="O16" s="84" t="inlineStr">
        <is>
          <t>Works at B2: One team or a client portfolio</t>
        </is>
      </c>
      <c r="P16" s="84" t="inlineStr">
        <is>
          <t>Several teams or a practice</t>
        </is>
      </c>
      <c r="Q16" s="84" t="inlineStr">
        <is>
          <t>Already works at C1: Sub-function results or domain quality across products</t>
        </is>
      </c>
      <c r="R16" s="34" t="inlineStr">
        <is>
          <t>M</t>
        </is>
      </c>
      <c r="S16" s="56" t="inlineStr">
        <is>
          <t>Works at B2: IC: guides others in the domain · People: manages a team of 6+</t>
        </is>
      </c>
      <c r="T16" s="56" t="inlineStr">
        <is>
          <t>IC: leads a practice · People: team leads / managers report in</t>
        </is>
      </c>
      <c r="U16" s="56" t="inlineStr">
        <is>
          <t>Already works at C1: Leads managers or a community of practice</t>
        </is>
      </c>
      <c r="V16" s="34" t="inlineStr">
        <is>
          <t>L</t>
        </is>
      </c>
      <c r="W16" s="56" t="inlineStr">
        <is>
          <t>Works at B2: Visible effect on a team's or client portfolio's revenue, quality or compliance</t>
        </is>
      </c>
      <c r="X16" s="56" t="inlineStr">
        <is>
          <t>Shapes the results of a practice or several teams</t>
        </is>
      </c>
      <c r="Y16" s="56" t="inlineStr">
        <is>
          <t>Already works at C1: Changes results across a sub-function or across products</t>
        </is>
      </c>
      <c r="Z16" s="34" t="inlineStr">
        <is>
          <t>L</t>
        </is>
      </c>
      <c r="AA16" s="85" t="inlineStr">
        <is>
          <t>Less experience than the band's typical 8–12 yrs</t>
        </is>
      </c>
      <c r="AB16" s="85" t="inlineStr">
        <is>
          <t>Typical for the band: 8–12 yrs · market 8–13 yrs</t>
        </is>
      </c>
      <c r="AC16" s="85" t="inlineStr">
        <is>
          <t>More experience than the band's typical 8–12 yrs</t>
        </is>
      </c>
      <c r="AD16" s="34" t="inlineStr">
        <is>
          <t>L</t>
        </is>
      </c>
      <c r="AE16" s="85" t="inlineStr">
        <is>
          <t>Below: Graduate or postgraduate; professional qualification preferred</t>
        </is>
      </c>
      <c r="AF16" s="85" t="inlineStr">
        <is>
          <t>Postgraduate or professional qualification preferred</t>
        </is>
      </c>
      <c r="AG16" s="85" t="inlineStr">
        <is>
          <t>Above: Postgraduate / professional qualification preferred</t>
        </is>
      </c>
      <c r="AH16" s="44" t="inlineStr">
        <is>
          <t>37 · 18.3 · 11.3 · 15 · 8.7 · 6 · 4</t>
        </is>
      </c>
      <c r="AI16" s="38" t="inlineStr">
        <is>
          <t>8–13</t>
        </is>
      </c>
      <c r="AJ16" s="38" t="inlineStr">
        <is>
          <t>IC: none · People: 5–8 incl. team leads</t>
        </is>
      </c>
      <c r="AK16" s="38" t="inlineStr">
        <is>
          <t>P5 / M4 · SFIA 5 Ensure, advise</t>
        </is>
      </c>
      <c r="AL16"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7" ht="120" customHeight="1">
      <c r="A17" s="90" t="inlineStr">
        <is>
          <t>B3</t>
        </is>
      </c>
      <c r="B17" s="29" t="inlineStr">
        <is>
          <t>Band B · Specialist / Manager</t>
        </is>
      </c>
      <c r="C17" s="29" t="inlineStr">
        <is>
          <t>Band B · Specialist / POD Lead</t>
        </is>
      </c>
      <c r="D17" s="29" t="inlineStr">
        <is>
          <t>Lead Specialist</t>
        </is>
      </c>
      <c r="E17" s="29" t="inlineStr">
        <is>
          <t>— no role at this level today</t>
        </is>
      </c>
      <c r="F17" s="34" t="inlineStr">
        <is>
          <t>H</t>
        </is>
      </c>
      <c r="G17" s="84" t="inlineStr">
        <is>
          <t>Works at B2: Hardest problems in the domain</t>
        </is>
      </c>
      <c r="H17" s="84" t="inlineStr">
        <is>
          <t>Sets standards for a practice; cross-team problems</t>
        </is>
      </c>
      <c r="I17" s="84" t="inlineStr">
        <is>
          <t>Already works at C1: Ambiguous, cross-product problems</t>
        </is>
      </c>
      <c r="J17" s="34" t="inlineStr">
        <is>
          <t>M</t>
        </is>
      </c>
      <c r="K17" s="84" t="inlineStr">
        <is>
          <t>Works at B2: Allocates people and sets team priorities</t>
        </is>
      </c>
      <c r="L17" s="84" t="inlineStr">
        <is>
          <t>Commercial / strategic calls for the unit</t>
        </is>
      </c>
      <c r="M17" s="84" t="inlineStr">
        <is>
          <t>Already works at C1: Sets direction for a sub-function or domain</t>
        </is>
      </c>
      <c r="N17" s="34" t="inlineStr">
        <is>
          <t>L</t>
        </is>
      </c>
      <c r="O17" s="84" t="inlineStr">
        <is>
          <t>Works at B2: One team or a client portfolio</t>
        </is>
      </c>
      <c r="P17" s="84" t="inlineStr">
        <is>
          <t>Several teams or a practice</t>
        </is>
      </c>
      <c r="Q17" s="84" t="inlineStr">
        <is>
          <t>Already works at C1: Sub-function results or domain quality across products</t>
        </is>
      </c>
      <c r="R17" s="34" t="inlineStr">
        <is>
          <t>L</t>
        </is>
      </c>
      <c r="S17" s="56" t="inlineStr">
        <is>
          <t>Works at B2: IC: guides others in the domain · People: manages a team of 6+</t>
        </is>
      </c>
      <c r="T17" s="56" t="inlineStr">
        <is>
          <t>IC: leads a practice · People: team leads / managers report in</t>
        </is>
      </c>
      <c r="U17" s="56" t="inlineStr">
        <is>
          <t>Already works at C1: Leads managers or a community of practice</t>
        </is>
      </c>
      <c r="V17" s="34" t="inlineStr">
        <is>
          <t>L</t>
        </is>
      </c>
      <c r="W17" s="56" t="inlineStr">
        <is>
          <t>Works at B2: Visible effect on a team's or client portfolio's revenue, quality or compliance</t>
        </is>
      </c>
      <c r="X17" s="56" t="inlineStr">
        <is>
          <t>Shapes the results of a practice or several teams</t>
        </is>
      </c>
      <c r="Y17" s="56" t="inlineStr">
        <is>
          <t>Already works at C1: Changes results across a sub-function or across products</t>
        </is>
      </c>
      <c r="Z17" s="34" t="inlineStr">
        <is>
          <t>L</t>
        </is>
      </c>
      <c r="AA17" s="85" t="inlineStr">
        <is>
          <t>Less experience than the band's typical 8–12 yrs</t>
        </is>
      </c>
      <c r="AB17" s="85" t="inlineStr">
        <is>
          <t>Typical for the band: 8–12 yrs · market 8–13 yrs</t>
        </is>
      </c>
      <c r="AC17" s="85" t="inlineStr">
        <is>
          <t>More experience than the band's typical 8–12 yrs</t>
        </is>
      </c>
      <c r="AD17" s="34" t="inlineStr">
        <is>
          <t>L</t>
        </is>
      </c>
      <c r="AE17" s="85" t="inlineStr">
        <is>
          <t>Below: Graduate or postgraduate; professional qualification preferred</t>
        </is>
      </c>
      <c r="AF17" s="85" t="inlineStr">
        <is>
          <t>Postgraduate or professional qualification preferred</t>
        </is>
      </c>
      <c r="AG17" s="85" t="inlineStr">
        <is>
          <t>Above: Postgraduate / professional qualification preferred</t>
        </is>
      </c>
      <c r="AH17" s="44" t="inlineStr">
        <is>
          <t>51.3 · 17.3 · 9.7 · 5 · 7 · 6 · 4</t>
        </is>
      </c>
      <c r="AI17" s="38" t="inlineStr">
        <is>
          <t>8–13</t>
        </is>
      </c>
      <c r="AJ17" s="38" t="inlineStr">
        <is>
          <t>IC: none · People: 5–8 incl. team leads</t>
        </is>
      </c>
      <c r="AK17" s="38" t="inlineStr">
        <is>
          <t>P5 / M4 · SFIA 5 Ensure, advise</t>
        </is>
      </c>
      <c r="AL17"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8" ht="120" customHeight="1">
      <c r="A18" s="90" t="inlineStr">
        <is>
          <t>B2</t>
        </is>
      </c>
      <c r="B18" s="29" t="inlineStr">
        <is>
          <t>Band B · Specialist / Manager</t>
        </is>
      </c>
      <c r="C18" s="29" t="inlineStr">
        <is>
          <t>Band B · People Manager</t>
        </is>
      </c>
      <c r="D18" s="29" t="inlineStr">
        <is>
          <t>Manager</t>
        </is>
      </c>
      <c r="E18" s="29" t="inlineStr">
        <is>
          <t>Functional &amp; Domain Testing · Senior QA Specialist – POD Lead
Test Management &amp; QA Leadership · QA Manager · Senior QA Manager
Test Management &amp; QA Leadership · Senior QA Specialist – POD Lead</t>
        </is>
      </c>
      <c r="F18" s="34" t="inlineStr">
        <is>
          <t>H</t>
        </is>
      </c>
      <c r="G18" s="84" t="inlineStr">
        <is>
          <t>Works at B1: Domain specialist work</t>
        </is>
      </c>
      <c r="H18" s="84" t="inlineStr">
        <is>
          <t>Hardest problems in the domain · in Quality Assurance: Software testing · Test case design · regression testing · Functional testing · Manual Testing · Test Case execution · Analytical thinking · Attention to detail</t>
        </is>
      </c>
      <c r="I18" s="84" t="inlineStr">
        <is>
          <t>Already works at B3: Sets standards for a practice; cross-team problems</t>
        </is>
      </c>
      <c r="J18" s="34" t="inlineStr">
        <is>
          <t>M</t>
        </is>
      </c>
      <c r="K18" s="84" t="inlineStr">
        <is>
          <t>Works at B1: Technical / QC / client calls for the domain</t>
        </is>
      </c>
      <c r="L18" s="84" t="inlineStr">
        <is>
          <t>Allocates people and sets team priorities</t>
        </is>
      </c>
      <c r="M18" s="84" t="inlineStr">
        <is>
          <t>Already works at B3: Commercial / strategic calls for the unit</t>
        </is>
      </c>
      <c r="N18" s="34" t="inlineStr">
        <is>
          <t>L</t>
        </is>
      </c>
      <c r="O18" s="84" t="inlineStr">
        <is>
          <t>Works at B1: A domain or a small team</t>
        </is>
      </c>
      <c r="P18" s="84" t="inlineStr">
        <is>
          <t>One team or a client portfolio</t>
        </is>
      </c>
      <c r="Q18" s="84" t="inlineStr">
        <is>
          <t>Already works at B3: Several teams or a practice</t>
        </is>
      </c>
      <c r="R18" s="34" t="inlineStr">
        <is>
          <t>M</t>
        </is>
      </c>
      <c r="S18" s="56" t="inlineStr">
        <is>
          <t>Works at B1: IC: mentors and reviews · People: hands-on team lead of 3–5</t>
        </is>
      </c>
      <c r="T18" s="56" t="inlineStr">
        <is>
          <t>IC: guides others in the domain · People: manages a team of 6+</t>
        </is>
      </c>
      <c r="U18" s="56" t="inlineStr">
        <is>
          <t>Already works at B3: IC: leads a practice · People: team leads / managers report in</t>
        </is>
      </c>
      <c r="V18" s="34" t="inlineStr">
        <is>
          <t>L</t>
        </is>
      </c>
      <c r="W18" s="56" t="inlineStr">
        <is>
          <t>Works at B1: Moves a module's, product area's or client account's results</t>
        </is>
      </c>
      <c r="X18" s="56" t="inlineStr">
        <is>
          <t>Visible effect on a team's or client portfolio's revenue, quality or compliance · purpose: Designs and executes functional, regression and domain/AI-feature test cases; logs defects; supports sign-off. At B2: deep domain expertise, or one …</t>
        </is>
      </c>
      <c r="Y18" s="56" t="inlineStr">
        <is>
          <t>Already works at B3: Shapes the results of a practice or several teams</t>
        </is>
      </c>
      <c r="Z18" s="34" t="inlineStr">
        <is>
          <t>L</t>
        </is>
      </c>
      <c r="AA18" s="85" t="inlineStr">
        <is>
          <t>Less experience than the band's typical 6–9 yrs</t>
        </is>
      </c>
      <c r="AB18" s="85" t="inlineStr">
        <is>
          <t>Typical for the band: 6–9 yrs · market 6–10 yrs</t>
        </is>
      </c>
      <c r="AC18" s="85" t="inlineStr">
        <is>
          <t>More experience than the band's typical 6–9 yrs</t>
        </is>
      </c>
      <c r="AD18" s="34" t="inlineStr">
        <is>
          <t>L</t>
        </is>
      </c>
      <c r="AE18" s="85" t="inlineStr">
        <is>
          <t>Below: Graduate + relevant qualification or certification preferred</t>
        </is>
      </c>
      <c r="AF18" s="85" t="inlineStr">
        <is>
          <t>Graduate or postgraduate; professional qualification preferred</t>
        </is>
      </c>
      <c r="AG18" s="85" t="inlineStr">
        <is>
          <t>Above: Postgraduate or professional qualification preferred</t>
        </is>
      </c>
      <c r="AH18" s="44" t="inlineStr">
        <is>
          <t>37 · 18.3 · 11.3 · 15 · 8.7 · 6 · 4</t>
        </is>
      </c>
      <c r="AI18" s="38" t="inlineStr">
        <is>
          <t>6–10</t>
        </is>
      </c>
      <c r="AJ18" s="38" t="inlineStr">
        <is>
          <t>IC: none · People: 6–8 knowledge work, 8–12 standardised delivery</t>
        </is>
      </c>
      <c r="AK18" s="38" t="inlineStr">
        <is>
          <t>P4 / M3 · SFIA 4–5</t>
        </is>
      </c>
      <c r="AL18"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9" ht="120" customHeight="1">
      <c r="A19" s="90" t="inlineStr">
        <is>
          <t>B2</t>
        </is>
      </c>
      <c r="B19" s="29" t="inlineStr">
        <is>
          <t>Band B · Specialist / Manager</t>
        </is>
      </c>
      <c r="C19" s="29" t="inlineStr">
        <is>
          <t>Band B · Specialist / POD Lead</t>
        </is>
      </c>
      <c r="D19" s="29" t="inlineStr">
        <is>
          <t>Senior Specialist</t>
        </is>
      </c>
      <c r="E19" s="29" t="inlineStr">
        <is>
          <t>Functional &amp; Domain Testing · Senior QA Specialist – POD Lead
Test Management &amp; QA Leadership · QA Manager · Senior QA Manager
Test Management &amp; QA Leadership · Senior QA Specialist – POD Lead</t>
        </is>
      </c>
      <c r="F19" s="34" t="inlineStr">
        <is>
          <t>H</t>
        </is>
      </c>
      <c r="G19" s="84" t="inlineStr">
        <is>
          <t>Works at B1: Domain specialist work</t>
        </is>
      </c>
      <c r="H19" s="84" t="inlineStr">
        <is>
          <t>Hardest problems in the domain · in Quality Assurance: Software testing · Test case design · regression testing · Functional testing · Manual Testing · Test Case execution · Analytical thinking · Attention to detail</t>
        </is>
      </c>
      <c r="I19" s="84" t="inlineStr">
        <is>
          <t>Already works at B3: Sets standards for a practice; cross-team problems</t>
        </is>
      </c>
      <c r="J19" s="34" t="inlineStr">
        <is>
          <t>M</t>
        </is>
      </c>
      <c r="K19" s="84" t="inlineStr">
        <is>
          <t>Works at B1: Technical / QC / client calls for the domain</t>
        </is>
      </c>
      <c r="L19" s="84" t="inlineStr">
        <is>
          <t>Allocates people and sets team priorities</t>
        </is>
      </c>
      <c r="M19" s="84" t="inlineStr">
        <is>
          <t>Already works at B3: Commercial / strategic calls for the unit</t>
        </is>
      </c>
      <c r="N19" s="34" t="inlineStr">
        <is>
          <t>L</t>
        </is>
      </c>
      <c r="O19" s="84" t="inlineStr">
        <is>
          <t>Works at B1: A domain or a small team</t>
        </is>
      </c>
      <c r="P19" s="84" t="inlineStr">
        <is>
          <t>One team or a client portfolio</t>
        </is>
      </c>
      <c r="Q19" s="84" t="inlineStr">
        <is>
          <t>Already works at B3: Several teams or a practice</t>
        </is>
      </c>
      <c r="R19" s="34" t="inlineStr">
        <is>
          <t>L</t>
        </is>
      </c>
      <c r="S19" s="56" t="inlineStr">
        <is>
          <t>Works at B1: IC: mentors and reviews · People: hands-on team lead of 3–5</t>
        </is>
      </c>
      <c r="T19" s="56" t="inlineStr">
        <is>
          <t>IC: guides others in the domain · People: manages a team of 6+</t>
        </is>
      </c>
      <c r="U19" s="56" t="inlineStr">
        <is>
          <t>Already works at B3: IC: leads a practice · People: team leads / managers report in</t>
        </is>
      </c>
      <c r="V19" s="34" t="inlineStr">
        <is>
          <t>L</t>
        </is>
      </c>
      <c r="W19" s="56" t="inlineStr">
        <is>
          <t>Works at B1: Moves a module's, product area's or client account's results</t>
        </is>
      </c>
      <c r="X19" s="56" t="inlineStr">
        <is>
          <t>Visible effect on a team's or client portfolio's revenue, quality or compliance · purpose: Designs and executes functional, regression and domain/AI-feature test cases; logs defects; supports sign-off. At B2: deep domain expertise, or one …</t>
        </is>
      </c>
      <c r="Y19" s="56" t="inlineStr">
        <is>
          <t>Already works at B3: Shapes the results of a practice or several teams</t>
        </is>
      </c>
      <c r="Z19" s="34" t="inlineStr">
        <is>
          <t>L</t>
        </is>
      </c>
      <c r="AA19" s="85" t="inlineStr">
        <is>
          <t>Less experience than the band's typical 6–9 yrs</t>
        </is>
      </c>
      <c r="AB19" s="85" t="inlineStr">
        <is>
          <t>Typical for the band: 6–9 yrs · market 6–10 yrs</t>
        </is>
      </c>
      <c r="AC19" s="85" t="inlineStr">
        <is>
          <t>More experience than the band's typical 6–9 yrs</t>
        </is>
      </c>
      <c r="AD19" s="34" t="inlineStr">
        <is>
          <t>L</t>
        </is>
      </c>
      <c r="AE19" s="85" t="inlineStr">
        <is>
          <t>Below: Graduate + relevant qualification or certification preferred</t>
        </is>
      </c>
      <c r="AF19" s="85" t="inlineStr">
        <is>
          <t>Graduate or postgraduate; professional qualification preferred</t>
        </is>
      </c>
      <c r="AG19" s="85" t="inlineStr">
        <is>
          <t>Above: Postgraduate or professional qualification preferred</t>
        </is>
      </c>
      <c r="AH19" s="44" t="inlineStr">
        <is>
          <t>51.3 · 17.3 · 9.7 · 5 · 7 · 6 · 4</t>
        </is>
      </c>
      <c r="AI19" s="38" t="inlineStr">
        <is>
          <t>6–10</t>
        </is>
      </c>
      <c r="AJ19" s="38" t="inlineStr">
        <is>
          <t>IC: none · People: 6–8 knowledge work, 8–12 standardised delivery</t>
        </is>
      </c>
      <c r="AK19" s="38" t="inlineStr">
        <is>
          <t>P4 / M3 · SFIA 4–5</t>
        </is>
      </c>
      <c r="AL19"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0" ht="120" customHeight="1">
      <c r="A20" s="90" t="inlineStr">
        <is>
          <t>B1</t>
        </is>
      </c>
      <c r="B20" s="29" t="inlineStr">
        <is>
          <t>Band B · Specialist / Manager</t>
        </is>
      </c>
      <c r="C20" s="29" t="inlineStr">
        <is>
          <t>Band B · People Manager</t>
        </is>
      </c>
      <c r="D20" s="29" t="inlineStr">
        <is>
          <t>Team Lead / Asst Manager</t>
        </is>
      </c>
      <c r="E20" s="29" t="inlineStr">
        <is>
          <t>Functional &amp; Domain Testing · QA Manager
Functional &amp; Domain Testing · QA Specialist – POD Lead</t>
        </is>
      </c>
      <c r="F20" s="34" t="inlineStr">
        <is>
          <t>H</t>
        </is>
      </c>
      <c r="G20" s="84" t="inlineStr">
        <is>
          <t>Works at A3: Varied and non-standard work; handles exceptions</t>
        </is>
      </c>
      <c r="H20" s="84" t="inlineStr">
        <is>
          <t>Domain specialist work · in Quality Assurance: Software Testing · Functional testing</t>
        </is>
      </c>
      <c r="I20" s="84" t="inlineStr">
        <is>
          <t>Already works at B2: Hardest problems in the domain</t>
        </is>
      </c>
      <c r="J20" s="34" t="inlineStr">
        <is>
          <t>M</t>
        </is>
      </c>
      <c r="K20" s="84" t="inlineStr">
        <is>
          <t>Works at A3: Technical / QC / client calls on own work</t>
        </is>
      </c>
      <c r="L20" s="84" t="inlineStr">
        <is>
          <t>Technical / QC / client calls for the domain</t>
        </is>
      </c>
      <c r="M20" s="84" t="inlineStr">
        <is>
          <t>Already works at B2: Allocates people and sets team priorities</t>
        </is>
      </c>
      <c r="N20" s="34" t="inlineStr">
        <is>
          <t>L</t>
        </is>
      </c>
      <c r="O20" s="84" t="inlineStr">
        <is>
          <t>Works at A3: A module / process, or work with client or regulatory consequences</t>
        </is>
      </c>
      <c r="P20" s="84" t="inlineStr">
        <is>
          <t>A domain or a small team · KRA themes: Common themes in manager-set KRAs: business · portal · testing · maintained · resolution · automation</t>
        </is>
      </c>
      <c r="Q20" s="84" t="inlineStr">
        <is>
          <t>Already works at B2: One team or a client portfolio</t>
        </is>
      </c>
      <c r="R20" s="34" t="inlineStr">
        <is>
          <t>M</t>
        </is>
      </c>
      <c r="S20" s="56" t="inlineStr">
        <is>
          <t>Works at A3: contributes alone; guides others only informally</t>
        </is>
      </c>
      <c r="T20" s="56" t="inlineStr">
        <is>
          <t>IC: mentors and reviews · People: hands-on team lead of 3–5</t>
        </is>
      </c>
      <c r="U20" s="56" t="inlineStr">
        <is>
          <t>Already works at B2: IC: guides others in the domain · People: manages a team of 6+</t>
        </is>
      </c>
      <c r="V20" s="34" t="inlineStr">
        <is>
          <t>L</t>
        </is>
      </c>
      <c r="W20" s="56" t="inlineStr">
        <is>
          <t>Works at A3: A process or client deliverable depends on this work</t>
        </is>
      </c>
      <c r="X20" s="56" t="inlineStr">
        <is>
          <t>Moves a module's, product area's or client account's results · purpose: Designs and executes functional, regression and domain/AI-feature test cases; logs defects; supports sign-off. At B1: a domain / module, or a small …</t>
        </is>
      </c>
      <c r="Y20" s="56" t="inlineStr">
        <is>
          <t>Already works at B2: Visible effect on a team's or client portfolio's revenue, quality or compliance</t>
        </is>
      </c>
      <c r="Z20" s="34" t="inlineStr">
        <is>
          <t>L</t>
        </is>
      </c>
      <c r="AA20" s="85" t="inlineStr">
        <is>
          <t>Less experience than the band's typical 4–7 yrs</t>
        </is>
      </c>
      <c r="AB20" s="85" t="inlineStr">
        <is>
          <t>Typical for the band: 4–7 yrs · market 4–8 yrs</t>
        </is>
      </c>
      <c r="AC20" s="85" t="inlineStr">
        <is>
          <t>More experience than the band's typical 4–7 yrs</t>
        </is>
      </c>
      <c r="AD20" s="34" t="inlineStr">
        <is>
          <t>L</t>
        </is>
      </c>
      <c r="AE20" s="85" t="inlineStr">
        <is>
          <t>Below: Graduate; relevant certification preferred</t>
        </is>
      </c>
      <c r="AF20" s="85" t="inlineStr">
        <is>
          <t>Graduate + relevant qualification or certification preferred</t>
        </is>
      </c>
      <c r="AG20" s="85" t="inlineStr">
        <is>
          <t>Above: Graduate or postgraduate; professional qualification preferred</t>
        </is>
      </c>
      <c r="AH20" s="44" t="inlineStr">
        <is>
          <t>37 · 18.3 · 11.3 · 15 · 8.7 · 6 · 4</t>
        </is>
      </c>
      <c r="AI20" s="38" t="inlineStr">
        <is>
          <t>4–8</t>
        </is>
      </c>
      <c r="AJ20" s="38" t="inlineStr">
        <is>
          <t>IC: none · Team Lead: 3–5</t>
        </is>
      </c>
      <c r="AK20" s="38" t="inlineStr">
        <is>
          <t>P3 / M2 · SFIA 4 Enable</t>
        </is>
      </c>
      <c r="AL20"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1" ht="120" customHeight="1">
      <c r="A21" s="90" t="inlineStr">
        <is>
          <t>B1</t>
        </is>
      </c>
      <c r="B21" s="29" t="inlineStr">
        <is>
          <t>Band B · Specialist / Manager</t>
        </is>
      </c>
      <c r="C21" s="29" t="inlineStr">
        <is>
          <t>Band B · Specialist / POD Lead</t>
        </is>
      </c>
      <c r="D21" s="29" t="inlineStr">
        <is>
          <t>Specialist</t>
        </is>
      </c>
      <c r="E21" s="29" t="inlineStr">
        <is>
          <t>Functional &amp; Domain Testing · QA Manager
Functional &amp; Domain Testing · QA Specialist – POD Lead</t>
        </is>
      </c>
      <c r="F21" s="34" t="inlineStr">
        <is>
          <t>H</t>
        </is>
      </c>
      <c r="G21" s="84" t="inlineStr">
        <is>
          <t>Works at A3: Varied and non-standard work; handles exceptions</t>
        </is>
      </c>
      <c r="H21" s="84" t="inlineStr">
        <is>
          <t>Domain specialist work · in Quality Assurance: Software Testing · Functional testing</t>
        </is>
      </c>
      <c r="I21" s="84" t="inlineStr">
        <is>
          <t>Already works at B2: Hardest problems in the domain</t>
        </is>
      </c>
      <c r="J21" s="34" t="inlineStr">
        <is>
          <t>M</t>
        </is>
      </c>
      <c r="K21" s="84" t="inlineStr">
        <is>
          <t>Works at A3: Technical / QC / client calls on own work</t>
        </is>
      </c>
      <c r="L21" s="84" t="inlineStr">
        <is>
          <t>Technical / QC / client calls for the domain</t>
        </is>
      </c>
      <c r="M21" s="84" t="inlineStr">
        <is>
          <t>Already works at B2: Allocates people and sets team priorities</t>
        </is>
      </c>
      <c r="N21" s="34" t="inlineStr">
        <is>
          <t>L</t>
        </is>
      </c>
      <c r="O21" s="84" t="inlineStr">
        <is>
          <t>Works at A3: A module / process, or work with client or regulatory consequences</t>
        </is>
      </c>
      <c r="P21" s="84" t="inlineStr">
        <is>
          <t>A domain or a small team · KRA themes: Common themes in manager-set KRAs: business · portal · testing · maintained · resolution · automation</t>
        </is>
      </c>
      <c r="Q21" s="84" t="inlineStr">
        <is>
          <t>Already works at B2: One team or a client portfolio</t>
        </is>
      </c>
      <c r="R21" s="34" t="inlineStr">
        <is>
          <t>L</t>
        </is>
      </c>
      <c r="S21" s="56" t="inlineStr">
        <is>
          <t>Works at A3: contributes alone; guides others only informally</t>
        </is>
      </c>
      <c r="T21" s="56" t="inlineStr">
        <is>
          <t>IC: mentors and reviews · People: hands-on team lead of 3–5</t>
        </is>
      </c>
      <c r="U21" s="56" t="inlineStr">
        <is>
          <t>Already works at B2: IC: guides others in the domain · People: manages a team of 6+</t>
        </is>
      </c>
      <c r="V21" s="34" t="inlineStr">
        <is>
          <t>L</t>
        </is>
      </c>
      <c r="W21" s="56" t="inlineStr">
        <is>
          <t>Works at A3: A process or client deliverable depends on this work</t>
        </is>
      </c>
      <c r="X21" s="56" t="inlineStr">
        <is>
          <t>Moves a module's, product area's or client account's results · purpose: Designs and executes functional, regression and domain/AI-feature test cases; logs defects; supports sign-off. At B1: a domain / module, or a small …</t>
        </is>
      </c>
      <c r="Y21" s="56" t="inlineStr">
        <is>
          <t>Already works at B2: Visible effect on a team's or client portfolio's revenue, quality or compliance</t>
        </is>
      </c>
      <c r="Z21" s="34" t="inlineStr">
        <is>
          <t>L</t>
        </is>
      </c>
      <c r="AA21" s="85" t="inlineStr">
        <is>
          <t>Less experience than the band's typical 4–7 yrs</t>
        </is>
      </c>
      <c r="AB21" s="85" t="inlineStr">
        <is>
          <t>Typical for the band: 4–7 yrs · market 4–8 yrs</t>
        </is>
      </c>
      <c r="AC21" s="85" t="inlineStr">
        <is>
          <t>More experience than the band's typical 4–7 yrs</t>
        </is>
      </c>
      <c r="AD21" s="34" t="inlineStr">
        <is>
          <t>L</t>
        </is>
      </c>
      <c r="AE21" s="85" t="inlineStr">
        <is>
          <t>Below: Graduate; relevant certification preferred</t>
        </is>
      </c>
      <c r="AF21" s="85" t="inlineStr">
        <is>
          <t>Graduate + relevant qualification or certification preferred</t>
        </is>
      </c>
      <c r="AG21" s="85" t="inlineStr">
        <is>
          <t>Above: Graduate or postgraduate; professional qualification preferred</t>
        </is>
      </c>
      <c r="AH21" s="44" t="inlineStr">
        <is>
          <t>51.3 · 17.3 · 9.7 · 5 · 7 · 6 · 4</t>
        </is>
      </c>
      <c r="AI21" s="38" t="inlineStr">
        <is>
          <t>4–8</t>
        </is>
      </c>
      <c r="AJ21" s="38" t="inlineStr">
        <is>
          <t>IC: none · Team Lead: 3–5</t>
        </is>
      </c>
      <c r="AK21" s="38" t="inlineStr">
        <is>
          <t>P3 / M2 · SFIA 4 Enable</t>
        </is>
      </c>
      <c r="AL21"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2" ht="120" customHeight="1">
      <c r="A22" s="91" t="inlineStr">
        <is>
          <t>A3</t>
        </is>
      </c>
      <c r="B22" s="29" t="inlineStr">
        <is>
          <t>Band A · Practitioner</t>
        </is>
      </c>
      <c r="C22" s="29" t="inlineStr">
        <is>
          <t>Band A · all tracks</t>
        </is>
      </c>
      <c r="D22" s="29" t="inlineStr">
        <is>
          <t>Senior Associate</t>
        </is>
      </c>
      <c r="E22" s="29" t="inlineStr">
        <is>
          <t>Functional &amp; Domain Testing · Senior QA Engineer · QA Specialist
Test Automation · Senior QA Automation Engineer</t>
        </is>
      </c>
      <c r="F22" s="34" t="inlineStr">
        <is>
          <t>H</t>
        </is>
      </c>
      <c r="G22" s="84" t="inlineStr">
        <is>
          <t>Works at A2: Standard work of the discipline</t>
        </is>
      </c>
      <c r="H22" s="84" t="inlineStr">
        <is>
          <t>Varied and non-standard work; handles exceptions · in Quality Assurance: Software testing · regression testing · Test case design · Manual Testing · Execution · Test case execution</t>
        </is>
      </c>
      <c r="I22" s="84" t="inlineStr">
        <is>
          <t>Already works at B1: Domain specialist work</t>
        </is>
      </c>
      <c r="J22" s="34" t="inlineStr">
        <is>
          <t>M</t>
        </is>
      </c>
      <c r="K22" s="84" t="inlineStr">
        <is>
          <t>Works at A2: Chooses own approach within standards</t>
        </is>
      </c>
      <c r="L22" s="84" t="inlineStr">
        <is>
          <t>Technical / QC / client calls on own work</t>
        </is>
      </c>
      <c r="M22" s="84" t="inlineStr">
        <is>
          <t>Already works at B1: Technical / QC / client calls for the domain</t>
        </is>
      </c>
      <c r="N22" s="34" t="inlineStr">
        <is>
          <t>L</t>
        </is>
      </c>
      <c r="O22" s="84" t="inlineStr">
        <is>
          <t>Works at A2: Own deliverables · accuracy, TAT</t>
        </is>
      </c>
      <c r="P22" s="84" t="inlineStr">
        <is>
          <t>A module / process, or work with client or regulatory consequences · KRA themes: Common themes in manager-set KRAs: project · qa · quality · production · knowledge · test</t>
        </is>
      </c>
      <c r="Q22" s="84" t="inlineStr">
        <is>
          <t>Already works at B1: A domain or a small team</t>
        </is>
      </c>
      <c r="R22" s="34" t="inlineStr">
        <is>
          <t>L</t>
        </is>
      </c>
      <c r="S22" s="56" t="inlineStr">
        <is>
          <t>Works at A2: contributes alone; guides others only informally</t>
        </is>
      </c>
      <c r="T22" s="56" t="inlineStr">
        <is>
          <t>Helps peers and newer people informally · None · guides 1–3 juniors informally</t>
        </is>
      </c>
      <c r="U22" s="56" t="inlineStr">
        <is>
          <t>Already works at B1: IC: mentors and reviews · People: hands-on team lead of 3–5</t>
        </is>
      </c>
      <c r="V22" s="34" t="inlineStr">
        <is>
          <t>L</t>
        </is>
      </c>
      <c r="W22" s="56" t="inlineStr">
        <is>
          <t>Works at A2: Own deliverables feed a team's output and turnaround</t>
        </is>
      </c>
      <c r="X22" s="56" t="inlineStr">
        <is>
          <t>A process or client deliverable depends on this work · purpose: Designs and executes functional, regression and domain/AI-feature test cases; logs defects; supports sign-off. At A3: varied work; reviews juniors; go-to for a …</t>
        </is>
      </c>
      <c r="Y22" s="56" t="inlineStr">
        <is>
          <t>Already works at B1: Moves a module's, product area's or client account's results</t>
        </is>
      </c>
      <c r="Z22" s="34" t="inlineStr">
        <is>
          <t>L</t>
        </is>
      </c>
      <c r="AA22" s="85" t="inlineStr">
        <is>
          <t>Less experience than the band's typical 2–4 yrs</t>
        </is>
      </c>
      <c r="AB22" s="85" t="inlineStr">
        <is>
          <t>Typical for the band: 2–4 yrs · market 2–5 yrs</t>
        </is>
      </c>
      <c r="AC22" s="85" t="inlineStr">
        <is>
          <t>More experience than the band's typical 2–4 yrs</t>
        </is>
      </c>
      <c r="AD22" s="34" t="inlineStr">
        <is>
          <t>L</t>
        </is>
      </c>
      <c r="AE22" s="85" t="inlineStr">
        <is>
          <t>Below: Graduate · or diploma with experience</t>
        </is>
      </c>
      <c r="AF22" s="85" t="inlineStr">
        <is>
          <t>Graduate; relevant certification preferred</t>
        </is>
      </c>
      <c r="AG22" s="85" t="inlineStr">
        <is>
          <t>Above: Graduate + relevant qualification or certification preferred</t>
        </is>
      </c>
      <c r="AH22" s="44" t="inlineStr">
        <is>
          <t>58.3 · 16 · 9 · 0 · 6.3 · 6 · 4</t>
        </is>
      </c>
      <c r="AI22" s="38" t="inlineStr">
        <is>
          <t>2–5</t>
        </is>
      </c>
      <c r="AJ22" s="38" t="inlineStr">
        <is>
          <t>None · guides 1–3 juniors informally</t>
        </is>
      </c>
      <c r="AK22" s="38" t="inlineStr">
        <is>
          <t>P2 · SFIA 3 Apply</t>
        </is>
      </c>
      <c r="AL22"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3" ht="120" customHeight="1">
      <c r="A23" s="91" t="inlineStr">
        <is>
          <t>A2</t>
        </is>
      </c>
      <c r="B23" s="29" t="inlineStr">
        <is>
          <t>Band A · Practitioner</t>
        </is>
      </c>
      <c r="C23" s="29" t="inlineStr">
        <is>
          <t>Band A · all tracks</t>
        </is>
      </c>
      <c r="D23" s="29" t="inlineStr">
        <is>
          <t>Associate</t>
        </is>
      </c>
      <c r="E23" s="29" t="inlineStr">
        <is>
          <t>Functional &amp; Domain Testing · QA Engineer</t>
        </is>
      </c>
      <c r="F23" s="34" t="inlineStr">
        <is>
          <t>H</t>
        </is>
      </c>
      <c r="G23" s="84" t="inlineStr">
        <is>
          <t>Works at A1: Learning; follows worked examples</t>
        </is>
      </c>
      <c r="H23" s="84" t="inlineStr">
        <is>
          <t>Standard work of the discipline · in Quality Assurance: Software testing · Test case design · regression testing · Functional testing · Manual Testing · Test Case execution · Analytical thinking · Attention to detail</t>
        </is>
      </c>
      <c r="I23" s="84" t="inlineStr">
        <is>
          <t>Already works at A3: Varied and non-standard work; handles exceptions</t>
        </is>
      </c>
      <c r="J23" s="34" t="inlineStr">
        <is>
          <t>M</t>
        </is>
      </c>
      <c r="K23" s="84" t="inlineStr">
        <is>
          <t>Works at A1: Needs approval / close guidance</t>
        </is>
      </c>
      <c r="L23" s="84" t="inlineStr">
        <is>
          <t>Chooses own approach within standards</t>
        </is>
      </c>
      <c r="M23" s="84" t="inlineStr">
        <is>
          <t>Already works at A3: Technical / QC / client calls on own work</t>
        </is>
      </c>
      <c r="N23" s="34" t="inlineStr">
        <is>
          <t>L</t>
        </is>
      </c>
      <c r="O23" s="84" t="inlineStr">
        <is>
          <t>Works at A1: Learning tasks</t>
        </is>
      </c>
      <c r="P23" s="84" t="inlineStr">
        <is>
          <t>Own deliverables · accuracy, TAT</t>
        </is>
      </c>
      <c r="Q23" s="84" t="inlineStr">
        <is>
          <t>Already works at A3: A module / process, or work with client or regulatory consequences</t>
        </is>
      </c>
      <c r="R23" s="34" t="inlineStr">
        <is>
          <t>L</t>
        </is>
      </c>
      <c r="S23" s="56" t="inlineStr">
        <is>
          <t>Works at A1: contributes alone; guides others only informally</t>
        </is>
      </c>
      <c r="T23" s="56" t="inlineStr">
        <is>
          <t>Helps peers and newer people informally · No direct reports</t>
        </is>
      </c>
      <c r="U23" s="56" t="inlineStr">
        <is>
          <t>Already works at A3: Not scored in Band A</t>
        </is>
      </c>
      <c r="V23" s="34" t="inlineStr">
        <is>
          <t>L</t>
        </is>
      </c>
      <c r="W23" s="56" t="inlineStr">
        <is>
          <t>Works at A1: Learning; little direct effect on business results yet</t>
        </is>
      </c>
      <c r="X23" s="56" t="inlineStr">
        <is>
          <t>Own deliverables feed a team's output and turnaround · purpose: Designs and executes functional, regression and domain/AI-feature test cases; logs defects; supports sign-off. At A2: standard work delivered …</t>
        </is>
      </c>
      <c r="Y23" s="56" t="inlineStr">
        <is>
          <t>Already works at A3: A process or client deliverable depends on this work</t>
        </is>
      </c>
      <c r="Z23" s="34" t="inlineStr">
        <is>
          <t>L</t>
        </is>
      </c>
      <c r="AA23" s="85" t="inlineStr">
        <is>
          <t>Less experience than the band's typical 0–2 yrs</t>
        </is>
      </c>
      <c r="AB23" s="85" t="inlineStr">
        <is>
          <t>Typical for the band: 0–2 yrs · market 0–3 yrs</t>
        </is>
      </c>
      <c r="AC23" s="85" t="inlineStr">
        <is>
          <t>More experience than the band's typical 0–2 yrs</t>
        </is>
      </c>
      <c r="AD23" s="34" t="inlineStr">
        <is>
          <t>L</t>
        </is>
      </c>
      <c r="AE23" s="85" t="inlineStr">
        <is>
          <t>Below: Pursuing or completed graduation / diploma</t>
        </is>
      </c>
      <c r="AF23" s="85" t="inlineStr">
        <is>
          <t>Graduate · or diploma with experience</t>
        </is>
      </c>
      <c r="AG23" s="85" t="inlineStr">
        <is>
          <t>Above: Graduate; relevant certification preferred</t>
        </is>
      </c>
      <c r="AH23" s="44" t="inlineStr">
        <is>
          <t>58.3 · 16 · 9 · 0 · 6.3 · 6 · 4</t>
        </is>
      </c>
      <c r="AI23" s="38" t="inlineStr">
        <is>
          <t>0–3</t>
        </is>
      </c>
      <c r="AJ23" s="38" t="inlineStr">
        <is>
          <t>No direct reports</t>
        </is>
      </c>
      <c r="AK23" s="38" t="inlineStr">
        <is>
          <t>P1–P2 · SFIA 2 Assist</t>
        </is>
      </c>
      <c r="AL23"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4" ht="120" customHeight="1">
      <c r="A24" s="91" t="inlineStr">
        <is>
          <t>A1</t>
        </is>
      </c>
      <c r="B24" s="29" t="inlineStr">
        <is>
          <t>Band A · Practitioner</t>
        </is>
      </c>
      <c r="C24" s="29" t="inlineStr">
        <is>
          <t>Band A · all tracks</t>
        </is>
      </c>
      <c r="D24" s="29" t="inlineStr">
        <is>
          <t>Intern / Trainee</t>
        </is>
      </c>
      <c r="E24" s="29" t="inlineStr">
        <is>
          <t>Functional &amp; Domain Testing · Intern – Functional &amp; Domain Testing
Test Automation · Trainee QA Automation Engineer</t>
        </is>
      </c>
      <c r="F24" s="34" t="inlineStr">
        <is>
          <t>H</t>
        </is>
      </c>
      <c r="G24" s="84" t="inlineStr">
        <is>
          <t>Not yet at the entry standard · in induction</t>
        </is>
      </c>
      <c r="H24" s="84" t="inlineStr">
        <is>
          <t>Learning; follows worked examples · in Quality Assurance: Software testing · Test case design · regression testing · Functional testing · Manual Testing · Test Case execution · Analytical thinking · Attention to detail</t>
        </is>
      </c>
      <c r="I24" s="84" t="inlineStr">
        <is>
          <t>Already works at A2: Standard work of the discipline</t>
        </is>
      </c>
      <c r="J24" s="34" t="inlineStr">
        <is>
          <t>M</t>
        </is>
      </c>
      <c r="K24" s="84" t="inlineStr">
        <is>
          <t>Not yet at the entry standard · in induction</t>
        </is>
      </c>
      <c r="L24" s="84" t="inlineStr">
        <is>
          <t>Needs approval / close guidance</t>
        </is>
      </c>
      <c r="M24" s="84" t="inlineStr">
        <is>
          <t>Already works at A2: Chooses own approach within standards</t>
        </is>
      </c>
      <c r="N24" s="34" t="inlineStr">
        <is>
          <t>L</t>
        </is>
      </c>
      <c r="O24" s="84" t="inlineStr">
        <is>
          <t>Not yet at the entry standard · in induction</t>
        </is>
      </c>
      <c r="P24" s="84" t="inlineStr">
        <is>
          <t>Learning tasks · KRA themes: Common themes in manager-set KRAs: learning · defect · test · assigned · execution · resolve</t>
        </is>
      </c>
      <c r="Q24" s="84" t="inlineStr">
        <is>
          <t>Already works at A2: Own deliverables · accuracy, TAT</t>
        </is>
      </c>
      <c r="R24" s="34" t="inlineStr">
        <is>
          <t>L</t>
        </is>
      </c>
      <c r="S24" s="56" t="inlineStr">
        <is>
          <t>Not yet at the entry standard · in induction</t>
        </is>
      </c>
      <c r="T24" s="56" t="inlineStr">
        <is>
          <t>Helps peers and newer people informally · No direct reports</t>
        </is>
      </c>
      <c r="U24" s="56" t="inlineStr">
        <is>
          <t>Already works at A2: Not scored in Band A</t>
        </is>
      </c>
      <c r="V24" s="34" t="inlineStr">
        <is>
          <t>L</t>
        </is>
      </c>
      <c r="W24" s="56" t="inlineStr">
        <is>
          <t>Not yet at the entry standard · in induction</t>
        </is>
      </c>
      <c r="X24" s="56" t="inlineStr">
        <is>
          <t>Learning; little direct effect on business results yet · purpose: Designs and executes functional, regression and domain/AI-feature test cases; logs defects; supports sign-off. At A1: learning the role; all work …</t>
        </is>
      </c>
      <c r="Y24" s="56" t="inlineStr">
        <is>
          <t>Already works at A2: Own deliverables feed a team's output and turnaround</t>
        </is>
      </c>
      <c r="Z24" s="34" t="inlineStr">
        <is>
          <t>L</t>
        </is>
      </c>
      <c r="AA24" s="85" t="inlineStr">
        <is>
          <t>Less experience than the band's typical 0 yrs · fresher / intern</t>
        </is>
      </c>
      <c r="AB24" s="85" t="inlineStr">
        <is>
          <t>Typical for the band: 0 yrs · fresher / intern · market — yrs</t>
        </is>
      </c>
      <c r="AC24" s="85" t="inlineStr">
        <is>
          <t>More experience than the band's typical 0 yrs · fresher / intern</t>
        </is>
      </c>
      <c r="AD24" s="34" t="inlineStr">
        <is>
          <t>L</t>
        </is>
      </c>
      <c r="AE24" s="85" t="inlineStr">
        <is>
          <t>Below graduation · still studying</t>
        </is>
      </c>
      <c r="AF24" s="85" t="inlineStr">
        <is>
          <t>Pursuing or completed graduation / diploma</t>
        </is>
      </c>
      <c r="AG24" s="85" t="inlineStr">
        <is>
          <t>Above: Graduate · or diploma with experience</t>
        </is>
      </c>
      <c r="AH24" s="44" t="inlineStr">
        <is>
          <t>58.3 · 16 · 9 · 0 · 6.3 · 6 · 4</t>
        </is>
      </c>
      <c r="AI24" s="38" t="inlineStr">
        <is>
          <t>0 yrs · fresher / intern</t>
        </is>
      </c>
      <c r="AJ24" s="38" t="inlineStr">
        <is>
          <t>No direct reports</t>
        </is>
      </c>
      <c r="AK24" s="38" t="inlineStr">
        <is>
          <t>Entry / P1 · intern · SFIA 1 Follow</t>
        </is>
      </c>
      <c r="AL24"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sheetData>
  <autoFilter ref="A5:AL24"/>
  <mergeCells count="1">
    <mergeCell ref="A2:N2"/>
  </mergeCells>
  <dataValidations count="1">
    <dataValidation sqref="F6 F7 F8 F9 F10 F11 F12 F13 F14 F15 F16 F17 F18 F19 F20 F21 F22 F23 F24 J6 J7 J8 J9 J10 J11 J12 J13 J14 J15 J16 J17 J18 J19 J20 J21 J22 J23 J24 N6 N7 N8 N9 N10 N11 N12 N13 N14 N15 N16 N17 N18 N19 N20 N21 N22 N23 N24 R6 R7 R8 R9 R10 R11 R12 R13 R14 R15 R16 R17 R18 R19 R20 R21 R22 R23 R24 V6 V7 V8 V9 V10 V11 V12 V13 V14 V15 V16 V17 V18 V19 V20 V21 V22 V23 V24 Z6 Z7 Z8 Z9 Z10 Z11 Z12 Z13 Z14 Z15 Z16 Z17 Z18 Z19 Z20 Z21 Z22 Z23 Z24 AD6 AD7 AD8 AD9 AD10 AD11 AD12 AD13 AD14 AD15 AD16 AD17 AD18 AD19 AD20 AD21 AD22 AD23 AD24" showDropDown="0" showInputMessage="0" showErrorMessage="0" allowBlank="1" type="list">
      <formula1>LIST_LMH</formula1>
    </dataValidation>
  </dataValidations>
  <hyperlinks>
    <hyperlink xmlns:r="http://schemas.openxmlformats.org/officeDocument/2006/relationships" ref="O1" r:id="rId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L33"/>
  <sheetViews>
    <sheetView zoomScale="85" workbookViewId="0">
      <pane xSplit="5" ySplit="14" topLeftCell="F15" activePane="bottomRight" state="frozen"/>
      <selection pane="topRight"/>
      <selection pane="bottomLeft"/>
      <selection pane="bottomRight" activeCell="A1" sqref="A1"/>
    </sheetView>
  </sheetViews>
  <sheetFormatPr baseColWidth="8" defaultRowHeight="15"/>
  <cols>
    <col width="7" customWidth="1" min="1" max="1"/>
    <col width="16" customWidth="1" min="2" max="2"/>
    <col width="18" customWidth="1" min="3" max="3"/>
    <col width="20" customWidth="1" min="4" max="4"/>
    <col width="34" customWidth="1" min="5" max="5"/>
    <col width="9" customWidth="1" min="6" max="6"/>
    <col width="30" customWidth="1" min="7" max="7"/>
    <col width="34" customWidth="1" min="8" max="8"/>
    <col width="30" customWidth="1" min="9" max="9"/>
    <col width="9" customWidth="1" min="10" max="10"/>
    <col width="30" customWidth="1" min="11" max="11"/>
    <col width="34" customWidth="1" min="12" max="12"/>
    <col width="30" customWidth="1" min="13" max="13"/>
    <col width="9" customWidth="1" min="14" max="14"/>
    <col width="30" customWidth="1" min="15" max="15"/>
    <col width="34" customWidth="1" min="16" max="16"/>
    <col width="30" customWidth="1" min="17" max="17"/>
    <col width="9" customWidth="1" min="18" max="18"/>
    <col width="30" customWidth="1" min="19" max="19"/>
    <col width="34" customWidth="1" min="20" max="20"/>
    <col width="30" customWidth="1" min="21" max="21"/>
    <col width="9" customWidth="1" min="22" max="22"/>
    <col width="30" customWidth="1" min="23" max="23"/>
    <col width="34" customWidth="1" min="24" max="24"/>
    <col width="30" customWidth="1" min="25" max="25"/>
    <col width="9" customWidth="1" min="26" max="26"/>
    <col width="30" customWidth="1" min="27" max="27"/>
    <col width="34" customWidth="1" min="28" max="28"/>
    <col width="30" customWidth="1" min="29" max="29"/>
    <col width="9" customWidth="1" min="30" max="30"/>
    <col width="30" customWidth="1" min="31" max="31"/>
    <col width="34" customWidth="1" min="32" max="32"/>
    <col width="30" customWidth="1" min="33" max="33"/>
    <col width="26" customWidth="1" min="34" max="34"/>
    <col width="16" customWidth="1" min="35" max="35"/>
    <col width="22" customWidth="1" min="36" max="36"/>
    <col width="18" customWidth="1" min="37" max="37"/>
    <col width="40" customWidth="1" min="38" max="38"/>
  </cols>
  <sheetData>
    <row r="1" ht="24" customHeight="1">
      <c r="A1" s="1" t="inlineStr">
        <is>
          <t>Role &amp; band matrix — Sales &amp; Business Development</t>
        </is>
      </c>
      <c r="O1" s="7" t="inlineStr">
        <is>
          <t>◂ Start</t>
        </is>
      </c>
    </row>
    <row r="2" ht="30" customHeight="1">
      <c r="A2" s="2" t="inlineStr">
        <is>
          <t>What Low, Medium and High mean for each of the seven parameters at every level of Sales &amp; Business Development, and how much each parameter counts · main type of work: Sales &amp; marketing. Medium is the band as described; Low is the level below; High is the level above. Change a yellow weightage and every role, department ladder and person in this family recalculates.</t>
        </is>
      </c>
    </row>
    <row r="3">
      <c r="A3" s="3" t="inlineStr">
        <is>
          <t>IRIS · Job Architecture &amp; Job Design · Final v1.15 · October 2026 · Internal — Confidential · HR only</t>
        </is>
      </c>
    </row>
    <row r="4">
      <c r="A4" s="19" t="inlineStr">
        <is>
          <t>HR draft — Sales anchors by level · HR's sketch of 12 October 2026 · confirm the unit and how L1–L6 map to IRIS levels</t>
        </is>
      </c>
      <c r="B4" s="61" t="n"/>
      <c r="C4" s="61" t="n"/>
      <c r="D4" s="61" t="n"/>
      <c r="E4" s="61" t="n"/>
      <c r="F4" s="61" t="n"/>
      <c r="G4" s="61" t="n"/>
      <c r="H4" s="61" t="n"/>
      <c r="I4" s="61" t="n"/>
      <c r="J4" s="62" t="n"/>
    </row>
    <row r="5">
      <c r="A5" s="92" t="inlineStr">
        <is>
          <t>Parameter</t>
        </is>
      </c>
      <c r="B5" s="92" t="inlineStr">
        <is>
          <t>L1</t>
        </is>
      </c>
      <c r="C5" s="92" t="inlineStr">
        <is>
          <t>L2</t>
        </is>
      </c>
      <c r="D5" s="92" t="inlineStr">
        <is>
          <t>L3</t>
        </is>
      </c>
      <c r="E5" s="92" t="inlineStr">
        <is>
          <t>L4</t>
        </is>
      </c>
      <c r="F5" s="92" t="inlineStr">
        <is>
          <t>L5</t>
        </is>
      </c>
      <c r="G5" s="92" t="inlineStr">
        <is>
          <t>L6</t>
        </is>
      </c>
    </row>
    <row r="6">
      <c r="A6" s="92" t="inlineStr">
        <is>
          <t>Accountability</t>
        </is>
      </c>
      <c r="B6" s="40" t="inlineStr">
        <is>
          <t>20–30</t>
        </is>
      </c>
      <c r="C6" s="40" t="inlineStr">
        <is>
          <t>30–40</t>
        </is>
      </c>
      <c r="D6" s="40" t="inlineStr">
        <is>
          <t>50</t>
        </is>
      </c>
      <c r="E6" s="40" t="inlineStr">
        <is>
          <t>60</t>
        </is>
      </c>
      <c r="F6" s="40" t="inlineStr">
        <is>
          <t>80</t>
        </is>
      </c>
      <c r="G6" s="40" t="inlineStr">
        <is>
          <t>100</t>
        </is>
      </c>
    </row>
    <row r="7">
      <c r="A7" s="92" t="inlineStr">
        <is>
          <t>Impact</t>
        </is>
      </c>
      <c r="B7" s="40" t="inlineStr">
        <is>
          <t>5</t>
        </is>
      </c>
      <c r="C7" s="40" t="inlineStr">
        <is>
          <t>25</t>
        </is>
      </c>
      <c r="D7" s="40" t="inlineStr">
        <is>
          <t>Revenue numbers</t>
        </is>
      </c>
      <c r="E7" s="40" t="n"/>
      <c r="F7" s="40" t="n"/>
      <c r="G7" s="40" t="n"/>
    </row>
    <row r="8">
      <c r="A8" s="92" t="inlineStr">
        <is>
          <t>Complexity</t>
        </is>
      </c>
      <c r="B8" s="40" t="n"/>
      <c r="C8" s="40" t="n"/>
      <c r="D8" s="40" t="n"/>
      <c r="E8" s="40" t="n"/>
      <c r="F8" s="40" t="n"/>
      <c r="G8" s="40" t="n"/>
    </row>
    <row r="9">
      <c r="A9" s="92" t="inlineStr">
        <is>
          <t>Autonomy</t>
        </is>
      </c>
      <c r="B9" s="40" t="n"/>
      <c r="C9" s="40" t="n"/>
      <c r="D9" s="40" t="n"/>
      <c r="E9" s="40" t="n"/>
      <c r="F9" s="40" t="n"/>
      <c r="G9" s="40" t="n"/>
    </row>
    <row r="10">
      <c r="A10" s="92" t="inlineStr">
        <is>
          <t>Experience</t>
        </is>
      </c>
      <c r="B10" s="40" t="n"/>
      <c r="C10" s="40" t="n"/>
      <c r="D10" s="40" t="n"/>
      <c r="E10" s="40" t="n"/>
      <c r="F10" s="40" t="n"/>
      <c r="G10" s="40" t="n"/>
    </row>
    <row r="11">
      <c r="A11" s="92" t="inlineStr">
        <is>
          <t>Education</t>
        </is>
      </c>
      <c r="B11" s="40" t="n"/>
      <c r="C11" s="40" t="n"/>
      <c r="D11" s="40" t="n"/>
      <c r="E11" s="40" t="n"/>
      <c r="F11" s="40" t="n"/>
      <c r="G11" s="40" t="n"/>
    </row>
    <row r="13" ht="30" customHeight="1">
      <c r="A13" s="6" t="inlineStr">
        <is>
          <t>LEVEL</t>
        </is>
      </c>
      <c r="B13" s="6" t="n"/>
      <c r="C13" s="6" t="n"/>
      <c r="D13" s="6" t="n"/>
      <c r="E13" s="6" t="n"/>
      <c r="F13" s="45" t="inlineStr">
        <is>
          <t>COMPLEXITY &amp; EXPERTISE</t>
        </is>
      </c>
      <c r="G13" s="45" t="n"/>
      <c r="H13" s="45" t="n"/>
      <c r="I13" s="45" t="n"/>
      <c r="J13" s="45" t="inlineStr">
        <is>
          <t>AUTONOMY &amp; DECISION</t>
        </is>
      </c>
      <c r="K13" s="45" t="n"/>
      <c r="L13" s="45" t="n"/>
      <c r="M13" s="45" t="n"/>
      <c r="N13" s="45" t="inlineStr">
        <is>
          <t>ACCOUNTABILITY &amp; IMPACT</t>
        </is>
      </c>
      <c r="O13" s="45" t="n"/>
      <c r="P13" s="45" t="n"/>
      <c r="Q13" s="45" t="n"/>
      <c r="R13" s="47" t="inlineStr">
        <is>
          <t>LEADERSHIP &amp; STRATEGY</t>
        </is>
      </c>
      <c r="S13" s="47" t="n"/>
      <c r="T13" s="47" t="n"/>
      <c r="U13" s="47" t="n"/>
      <c r="V13" s="47" t="inlineStr">
        <is>
          <t>BUSINESS IMPACT</t>
        </is>
      </c>
      <c r="W13" s="47" t="n"/>
      <c r="X13" s="47" t="n"/>
      <c r="Y13" s="47" t="n"/>
      <c r="Z13" s="81" t="inlineStr">
        <is>
          <t>EXPERIENCE</t>
        </is>
      </c>
      <c r="AA13" s="81" t="n"/>
      <c r="AB13" s="81" t="n"/>
      <c r="AC13" s="81" t="n"/>
      <c r="AD13" s="81" t="inlineStr">
        <is>
          <t>EDUCATION</t>
        </is>
      </c>
      <c r="AE13" s="81" t="n"/>
      <c r="AF13" s="81" t="n"/>
      <c r="AG13" s="81" t="n"/>
      <c r="AH13" s="20" t="inlineStr">
        <is>
          <t>MARKET BENCHMARK &amp; REFERENCES</t>
        </is>
      </c>
      <c r="AI13" s="20" t="n"/>
      <c r="AJ13" s="20" t="n"/>
      <c r="AK13" s="20" t="n"/>
      <c r="AL13" s="20" t="n"/>
    </row>
    <row r="14" ht="60" customHeight="1">
      <c r="A14" s="22" t="inlineStr">
        <is>
          <t>Level</t>
        </is>
      </c>
      <c r="B14" s="22" t="inlineStr">
        <is>
          <t>Band</t>
        </is>
      </c>
      <c r="C14" s="22" t="inlineStr">
        <is>
          <t>Role group</t>
        </is>
      </c>
      <c r="D14" s="22" t="inlineStr">
        <is>
          <t>Level title</t>
        </is>
      </c>
      <c r="E14" s="22" t="inlineStr">
        <is>
          <t>Roles at this level in this family</t>
        </is>
      </c>
      <c r="F14" s="48" t="inlineStr">
        <is>
          <t>Weightage · L/M/H</t>
        </is>
      </c>
      <c r="G14" s="48" t="inlineStr">
        <is>
          <t>Low</t>
        </is>
      </c>
      <c r="H14" s="48" t="inlineStr">
        <is>
          <t>Medium</t>
        </is>
      </c>
      <c r="I14" s="48" t="inlineStr">
        <is>
          <t>High</t>
        </is>
      </c>
      <c r="J14" s="48" t="inlineStr">
        <is>
          <t>Weightage · L/M/H</t>
        </is>
      </c>
      <c r="K14" s="48" t="inlineStr">
        <is>
          <t>Low</t>
        </is>
      </c>
      <c r="L14" s="48" t="inlineStr">
        <is>
          <t>Medium</t>
        </is>
      </c>
      <c r="M14" s="48" t="inlineStr">
        <is>
          <t>High</t>
        </is>
      </c>
      <c r="N14" s="48" t="inlineStr">
        <is>
          <t>Weightage · L/M/H</t>
        </is>
      </c>
      <c r="O14" s="48" t="inlineStr">
        <is>
          <t>Low</t>
        </is>
      </c>
      <c r="P14" s="48" t="inlineStr">
        <is>
          <t>Medium</t>
        </is>
      </c>
      <c r="Q14" s="48" t="inlineStr">
        <is>
          <t>High</t>
        </is>
      </c>
      <c r="R14" s="50" t="inlineStr">
        <is>
          <t>Weightage · L/M/H</t>
        </is>
      </c>
      <c r="S14" s="50" t="inlineStr">
        <is>
          <t>Low</t>
        </is>
      </c>
      <c r="T14" s="50" t="inlineStr">
        <is>
          <t>Medium</t>
        </is>
      </c>
      <c r="U14" s="50" t="inlineStr">
        <is>
          <t>High</t>
        </is>
      </c>
      <c r="V14" s="50" t="inlineStr">
        <is>
          <t>Weightage · L/M/H</t>
        </is>
      </c>
      <c r="W14" s="50" t="inlineStr">
        <is>
          <t>Low</t>
        </is>
      </c>
      <c r="X14" s="50" t="inlineStr">
        <is>
          <t>Medium</t>
        </is>
      </c>
      <c r="Y14" s="50" t="inlineStr">
        <is>
          <t>High</t>
        </is>
      </c>
      <c r="Z14" s="82" t="inlineStr">
        <is>
          <t>Weightage · L/M/H</t>
        </is>
      </c>
      <c r="AA14" s="82" t="inlineStr">
        <is>
          <t>Low</t>
        </is>
      </c>
      <c r="AB14" s="82" t="inlineStr">
        <is>
          <t>Medium</t>
        </is>
      </c>
      <c r="AC14" s="82" t="inlineStr">
        <is>
          <t>High</t>
        </is>
      </c>
      <c r="AD14" s="82" t="inlineStr">
        <is>
          <t>Weightage · L/M/H</t>
        </is>
      </c>
      <c r="AE14" s="82" t="inlineStr">
        <is>
          <t>Low</t>
        </is>
      </c>
      <c r="AF14" s="82" t="inlineStr">
        <is>
          <t>Medium</t>
        </is>
      </c>
      <c r="AG14" s="82" t="inlineStr">
        <is>
          <t>High</t>
        </is>
      </c>
      <c r="AH14" s="26" t="inlineStr">
        <is>
          <t>Market weight % · C · Au · Ac · L · BI · Exp · Edu</t>
        </is>
      </c>
      <c r="AI14" s="26" t="inlineStr">
        <is>
          <t>Market experience · yrs</t>
        </is>
      </c>
      <c r="AJ14" s="26" t="inlineStr">
        <is>
          <t>Span norm</t>
        </is>
      </c>
      <c r="AK14" s="26" t="inlineStr">
        <is>
          <t>Radford / Mercer · SFIA 9</t>
        </is>
      </c>
      <c r="AL14" s="26" t="inlineStr">
        <is>
          <t>References</t>
        </is>
      </c>
    </row>
    <row r="15" ht="120" customHeight="1">
      <c r="A15" s="83" t="inlineStr">
        <is>
          <t>E2</t>
        </is>
      </c>
      <c r="B15" s="29" t="inlineStr">
        <is>
          <t>Band E · Enterprise leadership</t>
        </is>
      </c>
      <c r="C15" s="29" t="inlineStr">
        <is>
          <t>Bands D–E · Leadership</t>
        </is>
      </c>
      <c r="D15" s="29" t="inlineStr">
        <is>
          <t>Chief Executive Officer</t>
        </is>
      </c>
      <c r="E15" s="29" t="inlineStr">
        <is>
          <t>— no role at this level today</t>
        </is>
      </c>
      <c r="F15" s="34" t="inlineStr">
        <is>
          <t>H</t>
        </is>
      </c>
      <c r="G15" s="84" t="inlineStr">
        <is>
          <t>Works at E1: Enterprise-level functional strategy</t>
        </is>
      </c>
      <c r="H15" s="84" t="inlineStr">
        <is>
          <t>Enterprise-wide uncertainty, transformation and external forces</t>
        </is>
      </c>
      <c r="I15" s="84" t="inlineStr">
        <is>
          <t>Beyond the role · a board-level mandate</t>
        </is>
      </c>
      <c r="J15" s="34" t="inlineStr">
        <is>
          <t>M</t>
        </is>
      </c>
      <c r="K15" s="84" t="inlineStr">
        <is>
          <t>Works at E1: Sets enterprise priorities for the function</t>
        </is>
      </c>
      <c r="L15" s="84" t="inlineStr">
        <is>
          <t>Accountable to the board</t>
        </is>
      </c>
      <c r="M15" s="84" t="inlineStr">
        <is>
          <t>Beyond the role · a board-level mandate</t>
        </is>
      </c>
      <c r="N15" s="34" t="inlineStr">
        <is>
          <t>M</t>
        </is>
      </c>
      <c r="O15" s="84" t="inlineStr">
        <is>
          <t>Works at E1: Enterprise-wide functional results</t>
        </is>
      </c>
      <c r="P15" s="84" t="inlineStr">
        <is>
          <t>Enterprise results, risk, culture and long-term viability</t>
        </is>
      </c>
      <c r="Q15" s="84" t="inlineStr">
        <is>
          <t>Beyond the role · a board-level mandate</t>
        </is>
      </c>
      <c r="R15" s="34" t="inlineStr">
        <is>
          <t>M</t>
        </is>
      </c>
      <c r="S15" s="56" t="inlineStr">
        <is>
          <t>Works at E1: Shapes enterprise strategy</t>
        </is>
      </c>
      <c r="T15" s="56" t="inlineStr">
        <is>
          <t>Sets enterprise strategy; leads the executive team</t>
        </is>
      </c>
      <c r="U15" s="56" t="inlineStr">
        <is>
          <t>Beyond the role · a board-level mandate</t>
        </is>
      </c>
      <c r="V15" s="34" t="inlineStr">
        <is>
          <t>L</t>
        </is>
      </c>
      <c r="W15" s="56" t="inlineStr">
        <is>
          <t>Works at E1: Shapes company-wide results through a function</t>
        </is>
      </c>
      <c r="X15" s="56" t="inlineStr">
        <is>
          <t>Answers for the whole company's results and long-term value</t>
        </is>
      </c>
      <c r="Y15" s="56" t="inlineStr">
        <is>
          <t>Beyond the role · a board-level mandate</t>
        </is>
      </c>
      <c r="Z15" s="34" t="inlineStr">
        <is>
          <t>L</t>
        </is>
      </c>
      <c r="AA15" s="85" t="inlineStr">
        <is>
          <t>Less experience than the band's typical 20+ yrs</t>
        </is>
      </c>
      <c r="AB15" s="85" t="inlineStr">
        <is>
          <t>Typical for the band: 20+ yrs · market — yrs</t>
        </is>
      </c>
      <c r="AC15" s="85" t="inlineStr">
        <is>
          <t>More experience than the band's typical 20+ yrs</t>
        </is>
      </c>
      <c r="AD15" s="34" t="inlineStr">
        <is>
          <t>L</t>
        </is>
      </c>
      <c r="AE15" s="85" t="inlineStr">
        <is>
          <t>Below: Postgraduate / professional qualification; business leadership record</t>
        </is>
      </c>
      <c r="AF15" s="85" t="inlineStr">
        <is>
          <t>Postgraduate / professional qualification; proven business leadership</t>
        </is>
      </c>
      <c r="AG15" s="85" t="inlineStr">
        <is>
          <t>Board-level credentials beyond the role's need</t>
        </is>
      </c>
      <c r="AH15" s="44" t="inlineStr">
        <is>
          <t>36.3 · 19 · 11.3 · 20 · 8.7 · 4 · 1</t>
        </is>
      </c>
      <c r="AI15" s="38" t="inlineStr">
        <is>
          <t>20+ yrs</t>
        </is>
      </c>
      <c r="AJ15" s="38" t="inlineStr">
        <is>
          <t>Executive team</t>
        </is>
      </c>
      <c r="AK15" s="38" t="inlineStr">
        <is>
          <t>E6 · SFIA 7</t>
        </is>
      </c>
      <c r="AL15"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6" ht="120" customHeight="1">
      <c r="A16" s="83" t="inlineStr">
        <is>
          <t>E1</t>
        </is>
      </c>
      <c r="B16" s="29" t="inlineStr">
        <is>
          <t>Band E · Enterprise leadership</t>
        </is>
      </c>
      <c r="C16" s="29" t="inlineStr">
        <is>
          <t>Bands D–E · Leadership</t>
        </is>
      </c>
      <c r="D16" s="29" t="inlineStr">
        <is>
          <t>CXO / President</t>
        </is>
      </c>
      <c r="E16" s="29" t="inlineStr">
        <is>
          <t>— no role at this level today</t>
        </is>
      </c>
      <c r="F16" s="34" t="inlineStr">
        <is>
          <t>H</t>
        </is>
      </c>
      <c r="G16" s="84" t="inlineStr">
        <is>
          <t>Works at D2: Portfolio-level strategic, financial and regulatory trade-offs</t>
        </is>
      </c>
      <c r="H16" s="84" t="inlineStr">
        <is>
          <t>Enterprise-level functional strategy</t>
        </is>
      </c>
      <c r="I16" s="84" t="inlineStr">
        <is>
          <t>Already works at E2: Enterprise-wide uncertainty, transformation and external forces</t>
        </is>
      </c>
      <c r="J16" s="34" t="inlineStr">
        <is>
          <t>M</t>
        </is>
      </c>
      <c r="K16" s="84" t="inlineStr">
        <is>
          <t>Works at D2: Sets direction across business lines</t>
        </is>
      </c>
      <c r="L16" s="84" t="inlineStr">
        <is>
          <t>Sets enterprise priorities for the function</t>
        </is>
      </c>
      <c r="M16" s="84" t="inlineStr">
        <is>
          <t>Already works at E2: Accountable to the board</t>
        </is>
      </c>
      <c r="N16" s="34" t="inlineStr">
        <is>
          <t>M</t>
        </is>
      </c>
      <c r="O16" s="84" t="inlineStr">
        <is>
          <t>Works at D2: Multi-business results</t>
        </is>
      </c>
      <c r="P16" s="84" t="inlineStr">
        <is>
          <t>Enterprise-wide functional results</t>
        </is>
      </c>
      <c r="Q16" s="84" t="inlineStr">
        <is>
          <t>Already works at E2: Enterprise results, risk, culture and long-term viability</t>
        </is>
      </c>
      <c r="R16" s="34" t="inlineStr">
        <is>
          <t>M</t>
        </is>
      </c>
      <c r="S16" s="56" t="inlineStr">
        <is>
          <t>Works at D2: Builds the leadership team across businesses</t>
        </is>
      </c>
      <c r="T16" s="56" t="inlineStr">
        <is>
          <t>Shapes enterprise strategy</t>
        </is>
      </c>
      <c r="U16" s="56" t="inlineStr">
        <is>
          <t>Already works at E2: Sets enterprise strategy; leads the executive team</t>
        </is>
      </c>
      <c r="V16" s="34" t="inlineStr">
        <is>
          <t>L</t>
        </is>
      </c>
      <c r="W16" s="56" t="inlineStr">
        <is>
          <t>Works at D2: Owns the results of several business lines</t>
        </is>
      </c>
      <c r="X16" s="56" t="inlineStr">
        <is>
          <t>Shapes company-wide results through a function</t>
        </is>
      </c>
      <c r="Y16" s="56" t="inlineStr">
        <is>
          <t>Already works at E2: Answers for the whole company's results and long-term value</t>
        </is>
      </c>
      <c r="Z16" s="34" t="inlineStr">
        <is>
          <t>L</t>
        </is>
      </c>
      <c r="AA16" s="85" t="inlineStr">
        <is>
          <t>Less experience than the band's typical 20+ yrs</t>
        </is>
      </c>
      <c r="AB16" s="85" t="inlineStr">
        <is>
          <t>Typical for the band: 20+ yrs · market — yrs</t>
        </is>
      </c>
      <c r="AC16" s="85" t="inlineStr">
        <is>
          <t>More experience than the band's typical 20+ yrs</t>
        </is>
      </c>
      <c r="AD16" s="34" t="inlineStr">
        <is>
          <t>L</t>
        </is>
      </c>
      <c r="AE16" s="85" t="inlineStr">
        <is>
          <t>Below: Postgraduate / professional qualification preferred</t>
        </is>
      </c>
      <c r="AF16" s="85" t="inlineStr">
        <is>
          <t>Postgraduate / professional qualification; business leadership record</t>
        </is>
      </c>
      <c r="AG16" s="85" t="inlineStr">
        <is>
          <t>Above: Postgraduate / professional qualification; proven business leadership</t>
        </is>
      </c>
      <c r="AH16" s="44" t="inlineStr">
        <is>
          <t>36.3 · 19 · 11.3 · 20 · 8.7 · 4 · 1</t>
        </is>
      </c>
      <c r="AI16" s="38" t="inlineStr">
        <is>
          <t>20+ yrs</t>
        </is>
      </c>
      <c r="AJ16" s="38" t="inlineStr">
        <is>
          <t>5–8 function heads</t>
        </is>
      </c>
      <c r="AK16" s="38" t="inlineStr">
        <is>
          <t>E5 · SFIA 7</t>
        </is>
      </c>
      <c r="AL16"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7" ht="120" customHeight="1">
      <c r="A17" s="86" t="inlineStr">
        <is>
          <t>D2</t>
        </is>
      </c>
      <c r="B17" s="29" t="inlineStr">
        <is>
          <t>Band D · Business leadership</t>
        </is>
      </c>
      <c r="C17" s="29" t="inlineStr">
        <is>
          <t>Bands D–E · Leadership</t>
        </is>
      </c>
      <c r="D17" s="29" t="inlineStr">
        <is>
          <t>Senior Vice President / Business Head</t>
        </is>
      </c>
      <c r="E17" s="29" t="inlineStr">
        <is>
          <t>— no role at this level today</t>
        </is>
      </c>
      <c r="F17" s="34" t="inlineStr">
        <is>
          <t>H</t>
        </is>
      </c>
      <c r="G17" s="84" t="inlineStr">
        <is>
          <t>Works at D1: Competing strategic, financial and regulatory priorities</t>
        </is>
      </c>
      <c r="H17" s="84" t="inlineStr">
        <is>
          <t>Portfolio-level strategic, financial and regulatory trade-offs</t>
        </is>
      </c>
      <c r="I17" s="84" t="inlineStr">
        <is>
          <t>Already works at E1: Enterprise-level functional strategy</t>
        </is>
      </c>
      <c r="J17" s="34" t="inlineStr">
        <is>
          <t>M</t>
        </is>
      </c>
      <c r="K17" s="84" t="inlineStr">
        <is>
          <t>Works at D1: Sets business-line direction, pricing and investment</t>
        </is>
      </c>
      <c r="L17" s="84" t="inlineStr">
        <is>
          <t>Sets direction across business lines</t>
        </is>
      </c>
      <c r="M17" s="84" t="inlineStr">
        <is>
          <t>Already works at E1: Sets enterprise priorities for the function</t>
        </is>
      </c>
      <c r="N17" s="34" t="inlineStr">
        <is>
          <t>M</t>
        </is>
      </c>
      <c r="O17" s="84" t="inlineStr">
        <is>
          <t>Works at D1: Business-line P&amp;L and market position</t>
        </is>
      </c>
      <c r="P17" s="84" t="inlineStr">
        <is>
          <t>Multi-business results</t>
        </is>
      </c>
      <c r="Q17" s="84" t="inlineStr">
        <is>
          <t>Already works at E1: Enterprise-wide functional results</t>
        </is>
      </c>
      <c r="R17" s="34" t="inlineStr">
        <is>
          <t>M</t>
        </is>
      </c>
      <c r="S17" s="56" t="inlineStr">
        <is>
          <t>Works at D1: Defines business strategy; builds the leadership bench</t>
        </is>
      </c>
      <c r="T17" s="56" t="inlineStr">
        <is>
          <t>Builds the leadership team across businesses</t>
        </is>
      </c>
      <c r="U17" s="56" t="inlineStr">
        <is>
          <t>Already works at E1: Shapes enterprise strategy</t>
        </is>
      </c>
      <c r="V17" s="34" t="inlineStr">
        <is>
          <t>L</t>
        </is>
      </c>
      <c r="W17" s="56" t="inlineStr">
        <is>
          <t>Works at D1: Owns a business line's P&amp;L and growth, or a company-wide function</t>
        </is>
      </c>
      <c r="X17" s="56" t="inlineStr">
        <is>
          <t>Owns the results of several business lines</t>
        </is>
      </c>
      <c r="Y17" s="56" t="inlineStr">
        <is>
          <t>Already works at E1: Shapes company-wide results through a function</t>
        </is>
      </c>
      <c r="Z17" s="34" t="inlineStr">
        <is>
          <t>L</t>
        </is>
      </c>
      <c r="AA17" s="85" t="inlineStr">
        <is>
          <t>Less experience than the band's typical 18–24 yrs</t>
        </is>
      </c>
      <c r="AB17" s="85" t="inlineStr">
        <is>
          <t>Typical for the band: 18–24 yrs · market — yrs</t>
        </is>
      </c>
      <c r="AC17" s="85" t="inlineStr">
        <is>
          <t>More experience than the band's typical 18–24 yrs</t>
        </is>
      </c>
      <c r="AD17" s="34" t="inlineStr">
        <is>
          <t>L</t>
        </is>
      </c>
      <c r="AE17" s="85" t="inlineStr">
        <is>
          <t>Below: Postgraduate / professional qualification preferred</t>
        </is>
      </c>
      <c r="AF17" s="85" t="inlineStr">
        <is>
          <t>Postgraduate / professional qualification preferred</t>
        </is>
      </c>
      <c r="AG17" s="85" t="inlineStr">
        <is>
          <t>Above: Postgraduate / professional qualification; business leadership record</t>
        </is>
      </c>
      <c r="AH17" s="44" t="inlineStr">
        <is>
          <t>36.3 · 19 · 11.3 · 20 · 8.7 · 4 · 1</t>
        </is>
      </c>
      <c r="AI17" s="38" t="inlineStr">
        <is>
          <t>18–24 yrs</t>
        </is>
      </c>
      <c r="AJ17" s="38" t="inlineStr">
        <is>
          <t>5–8 AVPs / heads</t>
        </is>
      </c>
      <c r="AK17" s="38" t="inlineStr">
        <is>
          <t>E3–E4 · SFIA 7 Set strategy</t>
        </is>
      </c>
      <c r="AL17"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8" ht="120" customHeight="1">
      <c r="A18" s="86" t="inlineStr">
        <is>
          <t>D1</t>
        </is>
      </c>
      <c r="B18" s="29" t="inlineStr">
        <is>
          <t>Band D · Business leadership</t>
        </is>
      </c>
      <c r="C18" s="29" t="inlineStr">
        <is>
          <t>Bands D–E · Leadership</t>
        </is>
      </c>
      <c r="D18" s="29" t="inlineStr">
        <is>
          <t>Associate Vice President</t>
        </is>
      </c>
      <c r="E18" s="29" t="inlineStr">
        <is>
          <t>— no role at this level today</t>
        </is>
      </c>
      <c r="F18" s="34" t="inlineStr">
        <is>
          <t>H</t>
        </is>
      </c>
      <c r="G18" s="84" t="inlineStr">
        <is>
          <t>Works at C2: Function-wide or company-wide problems; creates methods and standards</t>
        </is>
      </c>
      <c r="H18" s="84" t="inlineStr">
        <is>
          <t>Competing strategic, financial and regulatory priorities</t>
        </is>
      </c>
      <c r="I18" s="84" t="inlineStr">
        <is>
          <t>Already works at D2: Portfolio-level strategic, financial and regulatory trade-offs</t>
        </is>
      </c>
      <c r="J18" s="34" t="inlineStr">
        <is>
          <t>M</t>
        </is>
      </c>
      <c r="K18" s="84" t="inlineStr">
        <is>
          <t>Works at C2: Sets direction for a function</t>
        </is>
      </c>
      <c r="L18" s="84" t="inlineStr">
        <is>
          <t>Sets business-line direction, pricing and investment</t>
        </is>
      </c>
      <c r="M18" s="84" t="inlineStr">
        <is>
          <t>Already works at D2: Sets direction across business lines</t>
        </is>
      </c>
      <c r="N18" s="34" t="inlineStr">
        <is>
          <t>M</t>
        </is>
      </c>
      <c r="O18" s="84" t="inlineStr">
        <is>
          <t>Works at C2: Function results, budget and risk</t>
        </is>
      </c>
      <c r="P18" s="84" t="inlineStr">
        <is>
          <t>Business-line P&amp;L and market position</t>
        </is>
      </c>
      <c r="Q18" s="84" t="inlineStr">
        <is>
          <t>Already works at D2: Multi-business results</t>
        </is>
      </c>
      <c r="R18" s="34" t="inlineStr">
        <is>
          <t>M</t>
        </is>
      </c>
      <c r="S18" s="56" t="inlineStr">
        <is>
          <t>Works at C2: Leads a function; shapes functional strategy</t>
        </is>
      </c>
      <c r="T18" s="56" t="inlineStr">
        <is>
          <t>Defines business strategy; builds the leadership bench</t>
        </is>
      </c>
      <c r="U18" s="56" t="inlineStr">
        <is>
          <t>Already works at D2: Builds the leadership team across businesses</t>
        </is>
      </c>
      <c r="V18" s="34" t="inlineStr">
        <is>
          <t>L</t>
        </is>
      </c>
      <c r="W18" s="56" t="inlineStr">
        <is>
          <t>Works at C2: Drives a function's or department's results and costs</t>
        </is>
      </c>
      <c r="X18" s="56" t="inlineStr">
        <is>
          <t>Owns a business line's P&amp;L and growth, or a company-wide function</t>
        </is>
      </c>
      <c r="Y18" s="56" t="inlineStr">
        <is>
          <t>Already works at D2: Owns the results of several business lines</t>
        </is>
      </c>
      <c r="Z18" s="34" t="inlineStr">
        <is>
          <t>L</t>
        </is>
      </c>
      <c r="AA18" s="85" t="inlineStr">
        <is>
          <t>Less experience than the band's typical 15–20 yrs</t>
        </is>
      </c>
      <c r="AB18" s="85" t="inlineStr">
        <is>
          <t>Typical for the band: 15–20 yrs · market — yrs</t>
        </is>
      </c>
      <c r="AC18" s="85" t="inlineStr">
        <is>
          <t>More experience than the band's typical 15–20 yrs</t>
        </is>
      </c>
      <c r="AD18" s="34" t="inlineStr">
        <is>
          <t>L</t>
        </is>
      </c>
      <c r="AE18" s="85" t="inlineStr">
        <is>
          <t>Below: Postgraduate / professional qualification preferred</t>
        </is>
      </c>
      <c r="AF18" s="85" t="inlineStr">
        <is>
          <t>Postgraduate / professional qualification preferred</t>
        </is>
      </c>
      <c r="AG18" s="85" t="inlineStr">
        <is>
          <t>Above: Postgraduate / professional qualification preferred</t>
        </is>
      </c>
      <c r="AH18" s="44" t="inlineStr">
        <is>
          <t>36.3 · 19 · 11.3 · 20 · 8.7 · 4 · 1</t>
        </is>
      </c>
      <c r="AI18" s="38" t="inlineStr">
        <is>
          <t>15–20 yrs</t>
        </is>
      </c>
      <c r="AJ18" s="38" t="inlineStr">
        <is>
          <t>5–8 heads</t>
        </is>
      </c>
      <c r="AK18" s="38" t="inlineStr">
        <is>
          <t>E1–E2 · SFIA 6–7</t>
        </is>
      </c>
      <c r="AL18"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9" ht="120" customHeight="1">
      <c r="A19" s="87" t="inlineStr">
        <is>
          <t>C+</t>
        </is>
      </c>
      <c r="B19" s="29" t="inlineStr">
        <is>
          <t>C+ · Player-Coach</t>
        </is>
      </c>
      <c r="C19" s="29" t="inlineStr">
        <is>
          <t>C+ · Player-Coach</t>
        </is>
      </c>
      <c r="D19" s="29" t="inlineStr">
        <is>
          <t>Group Head · Player-Coach</t>
        </is>
      </c>
      <c r="E19" s="29" t="inlineStr">
        <is>
          <t>— no role at this level today</t>
        </is>
      </c>
      <c r="F19" s="34" t="inlineStr">
        <is>
          <t>H</t>
        </is>
      </c>
      <c r="G19" s="84" t="inlineStr">
        <is>
          <t>Works at C2: Function-wide or company-wide problems; creates methods and standards</t>
        </is>
      </c>
      <c r="H19" s="84" t="inlineStr">
        <is>
          <t>Function-wide and cross-product problems; personally handles the most critical client or technical work</t>
        </is>
      </c>
      <c r="I19" s="84" t="inlineStr">
        <is>
          <t>Already works at D1: Competing strategic, financial and regulatory priorities</t>
        </is>
      </c>
      <c r="J19" s="34" t="inlineStr">
        <is>
          <t>M</t>
        </is>
      </c>
      <c r="K19" s="84" t="inlineStr">
        <is>
          <t>Works at C2: Sets direction for a function</t>
        </is>
      </c>
      <c r="L19" s="84" t="inlineStr">
        <is>
          <t>Sets direction for the function; business-line trade-offs go to the Business Head</t>
        </is>
      </c>
      <c r="M19" s="84" t="inlineStr">
        <is>
          <t>Already works at D1: Sets business-line direction, pricing and investment</t>
        </is>
      </c>
      <c r="N19" s="34" t="inlineStr">
        <is>
          <t>M</t>
        </is>
      </c>
      <c r="O19" s="84" t="inlineStr">
        <is>
          <t>Works at C2: Function results, budget and risk</t>
        </is>
      </c>
      <c r="P19" s="84" t="inlineStr">
        <is>
          <t>Function results, budget and key-client outcomes; carries own book or principal delivery</t>
        </is>
      </c>
      <c r="Q19" s="84" t="inlineStr">
        <is>
          <t>Already works at D1: Business-line P&amp;L and market position</t>
        </is>
      </c>
      <c r="R19" s="34" t="inlineStr">
        <is>
          <t>M</t>
        </is>
      </c>
      <c r="S19" s="56" t="inlineStr">
        <is>
          <t>Works at C2: Leads a function; shapes functional strategy</t>
        </is>
      </c>
      <c r="T19" s="56" t="inlineStr">
        <is>
          <t>Leads managers and leads and 10+ people in the function while staying hands-on</t>
        </is>
      </c>
      <c r="U19" s="56" t="inlineStr">
        <is>
          <t>Already works at D1: Defines business strategy; builds the leadership bench</t>
        </is>
      </c>
      <c r="V19" s="34" t="inlineStr">
        <is>
          <t>L</t>
        </is>
      </c>
      <c r="W19" s="56" t="inlineStr">
        <is>
          <t>Works at C2: Drives a function's or department's results and costs</t>
        </is>
      </c>
      <c r="X19" s="56" t="inlineStr">
        <is>
          <t>Drives a function's results and personally wins or delivers key work</t>
        </is>
      </c>
      <c r="Y19" s="56" t="inlineStr">
        <is>
          <t>Already works at D1: Owns a business line's P&amp;L and growth, or a company-wide function</t>
        </is>
      </c>
      <c r="Z19" s="34" t="inlineStr">
        <is>
          <t>L</t>
        </is>
      </c>
      <c r="AA19" s="85" t="inlineStr">
        <is>
          <t>Less experience than the band's typical 13–18 yrs</t>
        </is>
      </c>
      <c r="AB19" s="85" t="inlineStr">
        <is>
          <t>Typical for the band: 13–18 yrs · market 15–18 yrs</t>
        </is>
      </c>
      <c r="AC19" s="85" t="inlineStr">
        <is>
          <t>More experience than the band's typical 13–18 yrs</t>
        </is>
      </c>
      <c r="AD19" s="34" t="inlineStr">
        <is>
          <t>L</t>
        </is>
      </c>
      <c r="AE19" s="85" t="inlineStr">
        <is>
          <t>Below: Postgraduate / professional qualification preferred</t>
        </is>
      </c>
      <c r="AF19" s="85" t="inlineStr">
        <is>
          <t>Postgraduate / professional qualification preferred</t>
        </is>
      </c>
      <c r="AG19" s="85" t="inlineStr">
        <is>
          <t>Above: Postgraduate / professional qualification preferred</t>
        </is>
      </c>
      <c r="AH19" s="44" t="inlineStr">
        <is>
          <t>37.7 · 18.3 · 10.7 · 20 · 8 · 4 · 1</t>
        </is>
      </c>
      <c r="AI19" s="38" t="inlineStr">
        <is>
          <t>15–18</t>
        </is>
      </c>
      <c r="AJ19" s="38" t="inlineStr">
        <is>
          <t>4–8 managers / leads with ≥ 25% of time on own principal delivery</t>
        </is>
      </c>
      <c r="AK19" s="38" t="inlineStr">
        <is>
          <t>M6 / E1 · SFIA 6 Initiate, influence</t>
        </is>
      </c>
      <c r="AL19"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0" ht="120" customHeight="1">
      <c r="A20" s="88" t="inlineStr">
        <is>
          <t>C2</t>
        </is>
      </c>
      <c r="B20" s="29" t="inlineStr">
        <is>
          <t>Band C · Principal / Head</t>
        </is>
      </c>
      <c r="C20" s="29" t="inlineStr">
        <is>
          <t>Band C · Head / manager</t>
        </is>
      </c>
      <c r="D20" s="29" t="inlineStr">
        <is>
          <t>Head of Function</t>
        </is>
      </c>
      <c r="E20" s="29" t="inlineStr">
        <is>
          <t>Sales Leadership · Head – Sales</t>
        </is>
      </c>
      <c r="F20" s="34" t="inlineStr">
        <is>
          <t>H</t>
        </is>
      </c>
      <c r="G20" s="84" t="inlineStr">
        <is>
          <t>Works at C1: Ambiguous, cross-product problems</t>
        </is>
      </c>
      <c r="H20" s="84" t="inlineStr">
        <is>
          <t>Function-wide or company-wide problems; creates methods and standards · in Sales &amp; Business Development: Sales</t>
        </is>
      </c>
      <c r="I20" s="84" t="inlineStr">
        <is>
          <t>Already works at D1: Competing strategic, financial and regulatory priorities</t>
        </is>
      </c>
      <c r="J20" s="34" t="inlineStr">
        <is>
          <t>M</t>
        </is>
      </c>
      <c r="K20" s="84" t="inlineStr">
        <is>
          <t>Works at C1: Sets direction for a sub-function or domain</t>
        </is>
      </c>
      <c r="L20" s="84" t="inlineStr">
        <is>
          <t>Sets direction for a function</t>
        </is>
      </c>
      <c r="M20" s="84" t="inlineStr">
        <is>
          <t>Already works at D1: Sets business-line direction, pricing and investment</t>
        </is>
      </c>
      <c r="N20" s="34" t="inlineStr">
        <is>
          <t>L</t>
        </is>
      </c>
      <c r="O20" s="84" t="inlineStr">
        <is>
          <t>Works at C1: Sub-function results or domain quality across products</t>
        </is>
      </c>
      <c r="P20" s="84" t="inlineStr">
        <is>
          <t>Function results, budget and risk</t>
        </is>
      </c>
      <c r="Q20" s="84" t="inlineStr">
        <is>
          <t>Already works at D1: Business-line P&amp;L and market position</t>
        </is>
      </c>
      <c r="R20" s="34" t="inlineStr">
        <is>
          <t>M</t>
        </is>
      </c>
      <c r="S20" s="56" t="inlineStr">
        <is>
          <t>Works at C1: Leads managers or a community of practice</t>
        </is>
      </c>
      <c r="T20" s="56" t="inlineStr">
        <is>
          <t>Leads a function; shapes functional strategy</t>
        </is>
      </c>
      <c r="U20" s="56" t="inlineStr">
        <is>
          <t>Already works at D1: Defines business strategy; builds the leadership bench</t>
        </is>
      </c>
      <c r="V20" s="34" t="inlineStr">
        <is>
          <t>M</t>
        </is>
      </c>
      <c r="W20" s="56" t="inlineStr">
        <is>
          <t>Works at C1: Changes results across a sub-function or across products</t>
        </is>
      </c>
      <c r="X20" s="56" t="inlineStr">
        <is>
          <t>Drives a function's or department's results and costs · purpose: Leads the sales &amp; business development function. At C2: a function or department, or a company-wide discipline.
Common themes in sub-family holders, all …</t>
        </is>
      </c>
      <c r="Y20" s="56" t="inlineStr">
        <is>
          <t>Already works at D1: Owns a business line's P&amp;L and growth, or a company-wide function</t>
        </is>
      </c>
      <c r="Z20" s="34" t="inlineStr">
        <is>
          <t>L</t>
        </is>
      </c>
      <c r="AA20" s="85" t="inlineStr">
        <is>
          <t>Less experience than the band's typical 12–17 yrs</t>
        </is>
      </c>
      <c r="AB20" s="85" t="inlineStr">
        <is>
          <t>Typical for the band: 12–17 yrs · market — yrs</t>
        </is>
      </c>
      <c r="AC20" s="85" t="inlineStr">
        <is>
          <t>More experience than the band's typical 12–17 yrs</t>
        </is>
      </c>
      <c r="AD20" s="34" t="inlineStr">
        <is>
          <t>L</t>
        </is>
      </c>
      <c r="AE20" s="85" t="inlineStr">
        <is>
          <t>Below: Postgraduate / professional qualification preferred</t>
        </is>
      </c>
      <c r="AF20" s="85" t="inlineStr">
        <is>
          <t>Postgraduate / professional qualification preferred</t>
        </is>
      </c>
      <c r="AG20" s="85" t="inlineStr">
        <is>
          <t>Above: Postgraduate / professional qualification preferred</t>
        </is>
      </c>
      <c r="AH20" s="44" t="inlineStr">
        <is>
          <t>43.3 · 18 · 10.7 · 15 · 8 · 4 · 1</t>
        </is>
      </c>
      <c r="AI20" s="38" t="inlineStr">
        <is>
          <t>12–17 yrs</t>
        </is>
      </c>
      <c r="AJ20" s="38" t="inlineStr">
        <is>
          <t>5–8 managers / associate heads</t>
        </is>
      </c>
      <c r="AK20" s="38" t="inlineStr">
        <is>
          <t>P7 / M6 · SFIA 6 Initiate, influence</t>
        </is>
      </c>
      <c r="AL20"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1" ht="120" customHeight="1">
      <c r="A21" s="88" t="inlineStr">
        <is>
          <t>C2</t>
        </is>
      </c>
      <c r="B21" s="29" t="inlineStr">
        <is>
          <t>Band C · Principal / Head</t>
        </is>
      </c>
      <c r="C21" s="29" t="inlineStr">
        <is>
          <t>Band C · Principal specialist</t>
        </is>
      </c>
      <c r="D21" s="29" t="inlineStr">
        <is>
          <t>Senior Principal / Architect</t>
        </is>
      </c>
      <c r="E21" s="29" t="inlineStr">
        <is>
          <t>Sales Leadership · Head – Sales</t>
        </is>
      </c>
      <c r="F21" s="34" t="inlineStr">
        <is>
          <t>H</t>
        </is>
      </c>
      <c r="G21" s="84" t="inlineStr">
        <is>
          <t>Works at C1: Ambiguous, cross-product problems</t>
        </is>
      </c>
      <c r="H21" s="84" t="inlineStr">
        <is>
          <t>Function-wide or company-wide problems; creates methods and standards · in Sales &amp; Business Development: Sales</t>
        </is>
      </c>
      <c r="I21" s="84" t="inlineStr">
        <is>
          <t>Already works at D1: Competing strategic, financial and regulatory priorities</t>
        </is>
      </c>
      <c r="J21" s="34" t="inlineStr">
        <is>
          <t>M</t>
        </is>
      </c>
      <c r="K21" s="84" t="inlineStr">
        <is>
          <t>Works at C1: Sets direction for a sub-function or domain</t>
        </is>
      </c>
      <c r="L21" s="84" t="inlineStr">
        <is>
          <t>Sets direction for a function</t>
        </is>
      </c>
      <c r="M21" s="84" t="inlineStr">
        <is>
          <t>Already works at D1: Sets business-line direction, pricing and investment</t>
        </is>
      </c>
      <c r="N21" s="34" t="inlineStr">
        <is>
          <t>L</t>
        </is>
      </c>
      <c r="O21" s="84" t="inlineStr">
        <is>
          <t>Works at C1: Sub-function results or domain quality across products</t>
        </is>
      </c>
      <c r="P21" s="84" t="inlineStr">
        <is>
          <t>Function results, budget and risk</t>
        </is>
      </c>
      <c r="Q21" s="84" t="inlineStr">
        <is>
          <t>Already works at D1: Business-line P&amp;L and market position</t>
        </is>
      </c>
      <c r="R21" s="34" t="inlineStr">
        <is>
          <t>L</t>
        </is>
      </c>
      <c r="S21" s="56" t="inlineStr">
        <is>
          <t>Works at C1: Leads managers or a community of practice</t>
        </is>
      </c>
      <c r="T21" s="56" t="inlineStr">
        <is>
          <t>Leads a function; shapes functional strategy</t>
        </is>
      </c>
      <c r="U21" s="56" t="inlineStr">
        <is>
          <t>Already works at D1: Defines business strategy; builds the leadership bench</t>
        </is>
      </c>
      <c r="V21" s="34" t="inlineStr">
        <is>
          <t>M</t>
        </is>
      </c>
      <c r="W21" s="56" t="inlineStr">
        <is>
          <t>Works at C1: Changes results across a sub-function or across products</t>
        </is>
      </c>
      <c r="X21" s="56" t="inlineStr">
        <is>
          <t>Drives a function's or department's results and costs · purpose: Leads the sales &amp; business development function. At C2: a function or department, or a company-wide discipline.
Common themes in sub-family holders, all …</t>
        </is>
      </c>
      <c r="Y21" s="56" t="inlineStr">
        <is>
          <t>Already works at D1: Owns a business line's P&amp;L and growth, or a company-wide function</t>
        </is>
      </c>
      <c r="Z21" s="34" t="inlineStr">
        <is>
          <t>L</t>
        </is>
      </c>
      <c r="AA21" s="85" t="inlineStr">
        <is>
          <t>Less experience than the band's typical 12–17 yrs</t>
        </is>
      </c>
      <c r="AB21" s="85" t="inlineStr">
        <is>
          <t>Typical for the band: 12–17 yrs · market — yrs</t>
        </is>
      </c>
      <c r="AC21" s="85" t="inlineStr">
        <is>
          <t>More experience than the band's typical 12–17 yrs</t>
        </is>
      </c>
      <c r="AD21" s="34" t="inlineStr">
        <is>
          <t>L</t>
        </is>
      </c>
      <c r="AE21" s="85" t="inlineStr">
        <is>
          <t>Below: Postgraduate / professional qualification preferred</t>
        </is>
      </c>
      <c r="AF21" s="85" t="inlineStr">
        <is>
          <t>Postgraduate / professional qualification preferred</t>
        </is>
      </c>
      <c r="AG21" s="85" t="inlineStr">
        <is>
          <t>Above: Postgraduate / professional qualification preferred</t>
        </is>
      </c>
      <c r="AH21" s="44" t="inlineStr">
        <is>
          <t>54.3 · 17.7 · 10.3 · 5 · 7.7 · 4 · 1</t>
        </is>
      </c>
      <c r="AI21" s="38" t="inlineStr">
        <is>
          <t>12–17 yrs</t>
        </is>
      </c>
      <c r="AJ21" s="38" t="inlineStr">
        <is>
          <t>5–8 managers / associate heads</t>
        </is>
      </c>
      <c r="AK21" s="38" t="inlineStr">
        <is>
          <t>P7 / M6 · SFIA 6 Initiate, influence</t>
        </is>
      </c>
      <c r="AL21"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2" ht="120" customHeight="1">
      <c r="A22" s="88" t="inlineStr">
        <is>
          <t>C1</t>
        </is>
      </c>
      <c r="B22" s="29" t="inlineStr">
        <is>
          <t>Band C · Principal / Head</t>
        </is>
      </c>
      <c r="C22" s="29" t="inlineStr">
        <is>
          <t>Band C · Head / manager</t>
        </is>
      </c>
      <c r="D22" s="29" t="inlineStr">
        <is>
          <t>Associate Head</t>
        </is>
      </c>
      <c r="E22" s="29" t="inlineStr">
        <is>
          <t>Sales Leadership · Principal – Enterprise Sales · Principal – Sales</t>
        </is>
      </c>
      <c r="F22" s="34" t="inlineStr">
        <is>
          <t>H</t>
        </is>
      </c>
      <c r="G22" s="84" t="inlineStr">
        <is>
          <t>Works at B3: Sets standards for a practice; cross-team problems</t>
        </is>
      </c>
      <c r="H22" s="84" t="inlineStr">
        <is>
          <t>Ambiguous, cross-product problems · in Sales &amp; Business Development: Sales</t>
        </is>
      </c>
      <c r="I22" s="84" t="inlineStr">
        <is>
          <t>Already works at C2: Function-wide or company-wide problems; creates methods and standards</t>
        </is>
      </c>
      <c r="J22" s="34" t="inlineStr">
        <is>
          <t>M</t>
        </is>
      </c>
      <c r="K22" s="84" t="inlineStr">
        <is>
          <t>Works at B3: Commercial / strategic calls for the unit</t>
        </is>
      </c>
      <c r="L22" s="84" t="inlineStr">
        <is>
          <t>Sets direction for a sub-function or domain</t>
        </is>
      </c>
      <c r="M22" s="84" t="inlineStr">
        <is>
          <t>Already works at C2: Sets direction for a function</t>
        </is>
      </c>
      <c r="N22" s="34" t="inlineStr">
        <is>
          <t>L</t>
        </is>
      </c>
      <c r="O22" s="84" t="inlineStr">
        <is>
          <t>Works at B3: Several teams or a practice</t>
        </is>
      </c>
      <c r="P22" s="84" t="inlineStr">
        <is>
          <t>Sub-function results or domain quality across products</t>
        </is>
      </c>
      <c r="Q22" s="84" t="inlineStr">
        <is>
          <t>Already works at C2: Function results, budget and risk</t>
        </is>
      </c>
      <c r="R22" s="34" t="inlineStr">
        <is>
          <t>M</t>
        </is>
      </c>
      <c r="S22" s="56" t="inlineStr">
        <is>
          <t>Works at B3: IC: leads a practice · People: team leads / managers report in</t>
        </is>
      </c>
      <c r="T22" s="56" t="inlineStr">
        <is>
          <t>Leads managers or a community of practice</t>
        </is>
      </c>
      <c r="U22" s="56" t="inlineStr">
        <is>
          <t>Already works at C2: Leads a function; shapes functional strategy</t>
        </is>
      </c>
      <c r="V22" s="34" t="inlineStr">
        <is>
          <t>M</t>
        </is>
      </c>
      <c r="W22" s="56" t="inlineStr">
        <is>
          <t>Works at B3: Shapes the results of a practice or several teams</t>
        </is>
      </c>
      <c r="X22" s="56" t="inlineStr">
        <is>
          <t>Changes results across a sub-function or across products · purpose: Leads the sales &amp; business development function. At C1: a sub-function, or principal authority across products.
Common themes in sub-family holders, all …</t>
        </is>
      </c>
      <c r="Y22" s="56" t="inlineStr">
        <is>
          <t>Already works at C2: Drives a function's or department's results and costs</t>
        </is>
      </c>
      <c r="Z22" s="34" t="inlineStr">
        <is>
          <t>L</t>
        </is>
      </c>
      <c r="AA22" s="85" t="inlineStr">
        <is>
          <t>Less experience than the band's typical 10–14 yrs</t>
        </is>
      </c>
      <c r="AB22" s="85" t="inlineStr">
        <is>
          <t>Typical for the band: 10–14 yrs · market 12–17 yrs</t>
        </is>
      </c>
      <c r="AC22" s="85" t="inlineStr">
        <is>
          <t>More experience than the band's typical 10–14 yrs</t>
        </is>
      </c>
      <c r="AD22" s="34" t="inlineStr">
        <is>
          <t>L</t>
        </is>
      </c>
      <c r="AE22" s="85" t="inlineStr">
        <is>
          <t>Below: Postgraduate or professional qualification preferred</t>
        </is>
      </c>
      <c r="AF22" s="85" t="inlineStr">
        <is>
          <t>Postgraduate / professional qualification preferred</t>
        </is>
      </c>
      <c r="AG22" s="85" t="inlineStr">
        <is>
          <t>Above: Postgraduate / professional qualification preferred</t>
        </is>
      </c>
      <c r="AH22" s="44" t="inlineStr">
        <is>
          <t>43.3 · 18 · 10.7 · 15 · 8 · 4 · 1</t>
        </is>
      </c>
      <c r="AI22" s="38" t="inlineStr">
        <is>
          <t>12–17</t>
        </is>
      </c>
      <c r="AJ22" s="38" t="inlineStr">
        <is>
          <t>5–8, mostly managers</t>
        </is>
      </c>
      <c r="AK22" s="38" t="inlineStr">
        <is>
          <t>P6 / M5 · SFIA 5–6</t>
        </is>
      </c>
      <c r="AL22"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3" ht="120" customHeight="1">
      <c r="A23" s="88" t="inlineStr">
        <is>
          <t>C1</t>
        </is>
      </c>
      <c r="B23" s="29" t="inlineStr">
        <is>
          <t>Band C · Principal / Head</t>
        </is>
      </c>
      <c r="C23" s="29" t="inlineStr">
        <is>
          <t>Band C · Principal specialist</t>
        </is>
      </c>
      <c r="D23" s="29" t="inlineStr">
        <is>
          <t>Principal</t>
        </is>
      </c>
      <c r="E23" s="29" t="inlineStr">
        <is>
          <t>Sales Leadership · Principal – Enterprise Sales · Principal – Sales</t>
        </is>
      </c>
      <c r="F23" s="34" t="inlineStr">
        <is>
          <t>H</t>
        </is>
      </c>
      <c r="G23" s="84" t="inlineStr">
        <is>
          <t>Works at B3: Sets standards for a practice; cross-team problems</t>
        </is>
      </c>
      <c r="H23" s="84" t="inlineStr">
        <is>
          <t>Ambiguous, cross-product problems · in Sales &amp; Business Development: Sales</t>
        </is>
      </c>
      <c r="I23" s="84" t="inlineStr">
        <is>
          <t>Already works at C2: Function-wide or company-wide problems; creates methods and standards</t>
        </is>
      </c>
      <c r="J23" s="34" t="inlineStr">
        <is>
          <t>M</t>
        </is>
      </c>
      <c r="K23" s="84" t="inlineStr">
        <is>
          <t>Works at B3: Commercial / strategic calls for the unit</t>
        </is>
      </c>
      <c r="L23" s="84" t="inlineStr">
        <is>
          <t>Sets direction for a sub-function or domain</t>
        </is>
      </c>
      <c r="M23" s="84" t="inlineStr">
        <is>
          <t>Already works at C2: Sets direction for a function</t>
        </is>
      </c>
      <c r="N23" s="34" t="inlineStr">
        <is>
          <t>L</t>
        </is>
      </c>
      <c r="O23" s="84" t="inlineStr">
        <is>
          <t>Works at B3: Several teams or a practice</t>
        </is>
      </c>
      <c r="P23" s="84" t="inlineStr">
        <is>
          <t>Sub-function results or domain quality across products</t>
        </is>
      </c>
      <c r="Q23" s="84" t="inlineStr">
        <is>
          <t>Already works at C2: Function results, budget and risk</t>
        </is>
      </c>
      <c r="R23" s="34" t="inlineStr">
        <is>
          <t>L</t>
        </is>
      </c>
      <c r="S23" s="56" t="inlineStr">
        <is>
          <t>Works at B3: IC: leads a practice · People: team leads / managers report in</t>
        </is>
      </c>
      <c r="T23" s="56" t="inlineStr">
        <is>
          <t>Leads managers or a community of practice</t>
        </is>
      </c>
      <c r="U23" s="56" t="inlineStr">
        <is>
          <t>Already works at C2: Leads a function; shapes functional strategy</t>
        </is>
      </c>
      <c r="V23" s="34" t="inlineStr">
        <is>
          <t>M</t>
        </is>
      </c>
      <c r="W23" s="56" t="inlineStr">
        <is>
          <t>Works at B3: Shapes the results of a practice or several teams</t>
        </is>
      </c>
      <c r="X23" s="56" t="inlineStr">
        <is>
          <t>Changes results across a sub-function or across products · purpose: Leads the sales &amp; business development function. At C1: a sub-function, or principal authority across products.
Common themes in sub-family holders, all …</t>
        </is>
      </c>
      <c r="Y23" s="56" t="inlineStr">
        <is>
          <t>Already works at C2: Drives a function's or department's results and costs</t>
        </is>
      </c>
      <c r="Z23" s="34" t="inlineStr">
        <is>
          <t>L</t>
        </is>
      </c>
      <c r="AA23" s="85" t="inlineStr">
        <is>
          <t>Less experience than the band's typical 10–14 yrs</t>
        </is>
      </c>
      <c r="AB23" s="85" t="inlineStr">
        <is>
          <t>Typical for the band: 10–14 yrs · market 12–17 yrs</t>
        </is>
      </c>
      <c r="AC23" s="85" t="inlineStr">
        <is>
          <t>More experience than the band's typical 10–14 yrs</t>
        </is>
      </c>
      <c r="AD23" s="34" t="inlineStr">
        <is>
          <t>L</t>
        </is>
      </c>
      <c r="AE23" s="85" t="inlineStr">
        <is>
          <t>Below: Postgraduate or professional qualification preferred</t>
        </is>
      </c>
      <c r="AF23" s="85" t="inlineStr">
        <is>
          <t>Postgraduate / professional qualification preferred</t>
        </is>
      </c>
      <c r="AG23" s="85" t="inlineStr">
        <is>
          <t>Above: Postgraduate / professional qualification preferred</t>
        </is>
      </c>
      <c r="AH23" s="44" t="inlineStr">
        <is>
          <t>54.3 · 17.7 · 10.3 · 5 · 7.7 · 4 · 1</t>
        </is>
      </c>
      <c r="AI23" s="38" t="inlineStr">
        <is>
          <t>12–17</t>
        </is>
      </c>
      <c r="AJ23" s="38" t="inlineStr">
        <is>
          <t>5–8, mostly managers</t>
        </is>
      </c>
      <c r="AK23" s="38" t="inlineStr">
        <is>
          <t>P6 / M5 · SFIA 5–6</t>
        </is>
      </c>
      <c r="AL23"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4" ht="120" customHeight="1">
      <c r="A24" s="89" t="inlineStr">
        <is>
          <t>B+</t>
        </is>
      </c>
      <c r="B24" s="29" t="inlineStr">
        <is>
          <t>B+ · Player-Coach</t>
        </is>
      </c>
      <c r="C24" s="29" t="inlineStr">
        <is>
          <t>B+ · Player-Coach</t>
        </is>
      </c>
      <c r="D24" s="29" t="inlineStr">
        <is>
          <t>Practice Lead · Player-Coach</t>
        </is>
      </c>
      <c r="E24" s="29" t="inlineStr">
        <is>
          <t>— no role at this level today</t>
        </is>
      </c>
      <c r="F24" s="34" t="inlineStr">
        <is>
          <t>H</t>
        </is>
      </c>
      <c r="G24" s="84" t="inlineStr">
        <is>
          <t>Works at B3: Sets standards for a practice; cross-team problems</t>
        </is>
      </c>
      <c r="H24" s="84" t="inlineStr">
        <is>
          <t>Principal-level problems in own domain; sets technical or quality standards and still builds</t>
        </is>
      </c>
      <c r="I24" s="84" t="inlineStr">
        <is>
          <t>Already works at C1: Ambiguous, cross-product problems</t>
        </is>
      </c>
      <c r="J24" s="34" t="inlineStr">
        <is>
          <t>M</t>
        </is>
      </c>
      <c r="K24" s="84" t="inlineStr">
        <is>
          <t>Works at B3: Commercial / strategic calls for the unit</t>
        </is>
      </c>
      <c r="L24" s="84" t="inlineStr">
        <is>
          <t>Decides approach and priorities for the practice; escalates only cross-function trade-offs</t>
        </is>
      </c>
      <c r="M24" s="84" t="inlineStr">
        <is>
          <t>Already works at C1: Sets direction for a sub-function or domain</t>
        </is>
      </c>
      <c r="N24" s="34" t="inlineStr">
        <is>
          <t>L</t>
        </is>
      </c>
      <c r="O24" s="84" t="inlineStr">
        <is>
          <t>Works at B3: Several teams or a practice</t>
        </is>
      </c>
      <c r="P24" s="84" t="inlineStr">
        <is>
          <t>Practice outcomes plus own deliverables; quality and delivery of the team</t>
        </is>
      </c>
      <c r="Q24" s="84" t="inlineStr">
        <is>
          <t>Already works at C1: Sub-function results or domain quality across products</t>
        </is>
      </c>
      <c r="R24" s="34" t="inlineStr">
        <is>
          <t>M</t>
        </is>
      </c>
      <c r="S24" s="56" t="inlineStr">
        <is>
          <t>Works at B3: IC: leads a practice · People: team leads / managers report in</t>
        </is>
      </c>
      <c r="T24" s="56" t="inlineStr">
        <is>
          <t>Leads 3–6 people · or a pod while remaining a hands-on expert; coaches, allocates, reviews</t>
        </is>
      </c>
      <c r="U24" s="56" t="inlineStr">
        <is>
          <t>Already works at C1: Leads managers or a community of practice</t>
        </is>
      </c>
      <c r="V24" s="34" t="inlineStr">
        <is>
          <t>M</t>
        </is>
      </c>
      <c r="W24" s="56" t="inlineStr">
        <is>
          <t>Works at B3: Shapes the results of a practice or several teams</t>
        </is>
      </c>
      <c r="X24" s="56" t="inlineStr">
        <is>
          <t>Drives a practice's results while delivering the hardest work</t>
        </is>
      </c>
      <c r="Y24" s="56" t="inlineStr">
        <is>
          <t>Already works at C1: Changes results across a sub-function or across products</t>
        </is>
      </c>
      <c r="Z24" s="34" t="inlineStr">
        <is>
          <t>L</t>
        </is>
      </c>
      <c r="AA24" s="85" t="inlineStr">
        <is>
          <t>Less experience than the band's typical 9–14 yrs</t>
        </is>
      </c>
      <c r="AB24" s="85" t="inlineStr">
        <is>
          <t>Typical for the band: 9–14 yrs · market 9–14 yrs</t>
        </is>
      </c>
      <c r="AC24" s="85" t="inlineStr">
        <is>
          <t>More experience than the band's typical 9–14 yrs</t>
        </is>
      </c>
      <c r="AD24" s="34" t="inlineStr">
        <is>
          <t>L</t>
        </is>
      </c>
      <c r="AE24" s="85" t="inlineStr">
        <is>
          <t>Below: Postgraduate or professional qualification preferred</t>
        </is>
      </c>
      <c r="AF24" s="85" t="inlineStr">
        <is>
          <t>Postgraduate or professional qualification preferred</t>
        </is>
      </c>
      <c r="AG24" s="85" t="inlineStr">
        <is>
          <t>Above: Postgraduate / professional qualification preferred</t>
        </is>
      </c>
      <c r="AH24" s="44" t="inlineStr">
        <is>
          <t>44 · 17.7 · 10.3 · 10 · 7.7 · 6 · 4</t>
        </is>
      </c>
      <c r="AI24" s="38" t="inlineStr">
        <is>
          <t>9–14</t>
        </is>
      </c>
      <c r="AJ24" s="38" t="inlineStr">
        <is>
          <t>3–6 direct reports with ≥ 40% of time on own delivery · McKinsey player/coach 3–5; Google Tech Lead Manager</t>
        </is>
      </c>
      <c r="AK24" s="38" t="inlineStr">
        <is>
          <t>P5–P6 / M4–M5 · SFIA 5 Ensure, advise</t>
        </is>
      </c>
      <c r="AL24"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5" ht="120" customHeight="1">
      <c r="A25" s="90" t="inlineStr">
        <is>
          <t>B3</t>
        </is>
      </c>
      <c r="B25" s="29" t="inlineStr">
        <is>
          <t>Band B · Specialist / Manager</t>
        </is>
      </c>
      <c r="C25" s="29" t="inlineStr">
        <is>
          <t>Band B · People Manager</t>
        </is>
      </c>
      <c r="D25" s="29" t="inlineStr">
        <is>
          <t>Senior Manager</t>
        </is>
      </c>
      <c r="E25" s="29" t="inlineStr">
        <is>
          <t>Partnerships &amp; Alliances · Lead Alliances Specialist – POD Lead
Sales Leadership · Lead Account Executive</t>
        </is>
      </c>
      <c r="F25" s="34" t="inlineStr">
        <is>
          <t>H</t>
        </is>
      </c>
      <c r="G25" s="84" t="inlineStr">
        <is>
          <t>Works at B2: Hardest problems in the domain</t>
        </is>
      </c>
      <c r="H25" s="84" t="inlineStr">
        <is>
          <t>Sets standards for a practice; cross-team problems · in Sales &amp; Business Development: Sales</t>
        </is>
      </c>
      <c r="I25" s="84" t="inlineStr">
        <is>
          <t>Already works at C1: Ambiguous, cross-product problems</t>
        </is>
      </c>
      <c r="J25" s="34" t="inlineStr">
        <is>
          <t>M</t>
        </is>
      </c>
      <c r="K25" s="84" t="inlineStr">
        <is>
          <t>Works at B2: Allocates people and sets team priorities</t>
        </is>
      </c>
      <c r="L25" s="84" t="inlineStr">
        <is>
          <t>Commercial / strategic calls for the unit</t>
        </is>
      </c>
      <c r="M25" s="84" t="inlineStr">
        <is>
          <t>Already works at C1: Sets direction for a sub-function or domain</t>
        </is>
      </c>
      <c r="N25" s="34" t="inlineStr">
        <is>
          <t>L</t>
        </is>
      </c>
      <c r="O25" s="84" t="inlineStr">
        <is>
          <t>Works at B2: One team or a client portfolio</t>
        </is>
      </c>
      <c r="P25" s="84" t="inlineStr">
        <is>
          <t>Several teams or a practice</t>
        </is>
      </c>
      <c r="Q25" s="84" t="inlineStr">
        <is>
          <t>Already works at C1: Sub-function results or domain quality across products</t>
        </is>
      </c>
      <c r="R25" s="34" t="inlineStr">
        <is>
          <t>M</t>
        </is>
      </c>
      <c r="S25" s="56" t="inlineStr">
        <is>
          <t>Works at B2: IC: guides others in the domain · People: manages a team of 6+</t>
        </is>
      </c>
      <c r="T25" s="56" t="inlineStr">
        <is>
          <t>IC: leads a practice · People: team leads / managers report in</t>
        </is>
      </c>
      <c r="U25" s="56" t="inlineStr">
        <is>
          <t>Already works at C1: Leads managers or a community of practice</t>
        </is>
      </c>
      <c r="V25" s="34" t="inlineStr">
        <is>
          <t>M</t>
        </is>
      </c>
      <c r="W25" s="56" t="inlineStr">
        <is>
          <t>Works at B2: Visible effect on a team's or client portfolio's revenue, quality or compliance</t>
        </is>
      </c>
      <c r="X25" s="56" t="inlineStr">
        <is>
          <t>Shapes the results of a practice or several teams · purpose: Builds and manages partner / alliance revenue. At B3: a practice, or several teams through team leads.</t>
        </is>
      </c>
      <c r="Y25" s="56" t="inlineStr">
        <is>
          <t>Already works at C1: Changes results across a sub-function or across products</t>
        </is>
      </c>
      <c r="Z25" s="34" t="inlineStr">
        <is>
          <t>L</t>
        </is>
      </c>
      <c r="AA25" s="85" t="inlineStr">
        <is>
          <t>Less experience than the band's typical 8–12 yrs</t>
        </is>
      </c>
      <c r="AB25" s="85" t="inlineStr">
        <is>
          <t>Typical for the band: 8–12 yrs · market 8–13 yrs</t>
        </is>
      </c>
      <c r="AC25" s="85" t="inlineStr">
        <is>
          <t>More experience than the band's typical 8–12 yrs</t>
        </is>
      </c>
      <c r="AD25" s="34" t="inlineStr">
        <is>
          <t>L</t>
        </is>
      </c>
      <c r="AE25" s="85" t="inlineStr">
        <is>
          <t>Below: Graduate or postgraduate; professional qualification preferred</t>
        </is>
      </c>
      <c r="AF25" s="85" t="inlineStr">
        <is>
          <t>Postgraduate or professional qualification preferred</t>
        </is>
      </c>
      <c r="AG25" s="85" t="inlineStr">
        <is>
          <t>Above: Postgraduate / professional qualification preferred</t>
        </is>
      </c>
      <c r="AH25" s="44" t="inlineStr">
        <is>
          <t>37 · 18.3 · 11.3 · 15 · 8.7 · 6 · 4</t>
        </is>
      </c>
      <c r="AI25" s="38" t="inlineStr">
        <is>
          <t>8–13</t>
        </is>
      </c>
      <c r="AJ25" s="38" t="inlineStr">
        <is>
          <t>IC: none · People: 5–8 incl. team leads</t>
        </is>
      </c>
      <c r="AK25" s="38" t="inlineStr">
        <is>
          <t>P5 / M4 · SFIA 5 Ensure, advise</t>
        </is>
      </c>
      <c r="AL25"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6" ht="120" customHeight="1">
      <c r="A26" s="90" t="inlineStr">
        <is>
          <t>B3</t>
        </is>
      </c>
      <c r="B26" s="29" t="inlineStr">
        <is>
          <t>Band B · Specialist / Manager</t>
        </is>
      </c>
      <c r="C26" s="29" t="inlineStr">
        <is>
          <t>Band B · Specialist / POD Lead</t>
        </is>
      </c>
      <c r="D26" s="29" t="inlineStr">
        <is>
          <t>Lead Specialist</t>
        </is>
      </c>
      <c r="E26" s="29" t="inlineStr">
        <is>
          <t>Partnerships &amp; Alliances · Lead Alliances Specialist – POD Lead
Sales Leadership · Lead Account Executive</t>
        </is>
      </c>
      <c r="F26" s="34" t="inlineStr">
        <is>
          <t>H</t>
        </is>
      </c>
      <c r="G26" s="84" t="inlineStr">
        <is>
          <t>Works at B2: Hardest problems in the domain</t>
        </is>
      </c>
      <c r="H26" s="84" t="inlineStr">
        <is>
          <t>Sets standards for a practice; cross-team problems · in Sales &amp; Business Development: Sales</t>
        </is>
      </c>
      <c r="I26" s="84" t="inlineStr">
        <is>
          <t>Already works at C1: Ambiguous, cross-product problems</t>
        </is>
      </c>
      <c r="J26" s="34" t="inlineStr">
        <is>
          <t>M</t>
        </is>
      </c>
      <c r="K26" s="84" t="inlineStr">
        <is>
          <t>Works at B2: Allocates people and sets team priorities</t>
        </is>
      </c>
      <c r="L26" s="84" t="inlineStr">
        <is>
          <t>Commercial / strategic calls for the unit</t>
        </is>
      </c>
      <c r="M26" s="84" t="inlineStr">
        <is>
          <t>Already works at C1: Sets direction for a sub-function or domain</t>
        </is>
      </c>
      <c r="N26" s="34" t="inlineStr">
        <is>
          <t>L</t>
        </is>
      </c>
      <c r="O26" s="84" t="inlineStr">
        <is>
          <t>Works at B2: One team or a client portfolio</t>
        </is>
      </c>
      <c r="P26" s="84" t="inlineStr">
        <is>
          <t>Several teams or a practice</t>
        </is>
      </c>
      <c r="Q26" s="84" t="inlineStr">
        <is>
          <t>Already works at C1: Sub-function results or domain quality across products</t>
        </is>
      </c>
      <c r="R26" s="34" t="inlineStr">
        <is>
          <t>L</t>
        </is>
      </c>
      <c r="S26" s="56" t="inlineStr">
        <is>
          <t>Works at B2: IC: guides others in the domain · People: manages a team of 6+</t>
        </is>
      </c>
      <c r="T26" s="56" t="inlineStr">
        <is>
          <t>IC: leads a practice · People: team leads / managers report in</t>
        </is>
      </c>
      <c r="U26" s="56" t="inlineStr">
        <is>
          <t>Already works at C1: Leads managers or a community of practice</t>
        </is>
      </c>
      <c r="V26" s="34" t="inlineStr">
        <is>
          <t>M</t>
        </is>
      </c>
      <c r="W26" s="56" t="inlineStr">
        <is>
          <t>Works at B2: Visible effect on a team's or client portfolio's revenue, quality or compliance</t>
        </is>
      </c>
      <c r="X26" s="56" t="inlineStr">
        <is>
          <t>Shapes the results of a practice or several teams · purpose: Builds and manages partner / alliance revenue. At B3: a practice, or several teams through team leads.</t>
        </is>
      </c>
      <c r="Y26" s="56" t="inlineStr">
        <is>
          <t>Already works at C1: Changes results across a sub-function or across products</t>
        </is>
      </c>
      <c r="Z26" s="34" t="inlineStr">
        <is>
          <t>L</t>
        </is>
      </c>
      <c r="AA26" s="85" t="inlineStr">
        <is>
          <t>Less experience than the band's typical 8–12 yrs</t>
        </is>
      </c>
      <c r="AB26" s="85" t="inlineStr">
        <is>
          <t>Typical for the band: 8–12 yrs · market 8–13 yrs</t>
        </is>
      </c>
      <c r="AC26" s="85" t="inlineStr">
        <is>
          <t>More experience than the band's typical 8–12 yrs</t>
        </is>
      </c>
      <c r="AD26" s="34" t="inlineStr">
        <is>
          <t>L</t>
        </is>
      </c>
      <c r="AE26" s="85" t="inlineStr">
        <is>
          <t>Below: Graduate or postgraduate; professional qualification preferred</t>
        </is>
      </c>
      <c r="AF26" s="85" t="inlineStr">
        <is>
          <t>Postgraduate or professional qualification preferred</t>
        </is>
      </c>
      <c r="AG26" s="85" t="inlineStr">
        <is>
          <t>Above: Postgraduate / professional qualification preferred</t>
        </is>
      </c>
      <c r="AH26" s="44" t="inlineStr">
        <is>
          <t>51.3 · 17.3 · 9.7 · 5 · 7 · 6 · 4</t>
        </is>
      </c>
      <c r="AI26" s="38" t="inlineStr">
        <is>
          <t>8–13</t>
        </is>
      </c>
      <c r="AJ26" s="38" t="inlineStr">
        <is>
          <t>IC: none · People: 5–8 incl. team leads</t>
        </is>
      </c>
      <c r="AK26" s="38" t="inlineStr">
        <is>
          <t>P5 / M4 · SFIA 5 Ensure, advise</t>
        </is>
      </c>
      <c r="AL26"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7" ht="120" customHeight="1">
      <c r="A27" s="90" t="inlineStr">
        <is>
          <t>B2</t>
        </is>
      </c>
      <c r="B27" s="29" t="inlineStr">
        <is>
          <t>Band B · Specialist / Manager</t>
        </is>
      </c>
      <c r="C27" s="29" t="inlineStr">
        <is>
          <t>Band B · People Manager</t>
        </is>
      </c>
      <c r="D27" s="29" t="inlineStr">
        <is>
          <t>Manager</t>
        </is>
      </c>
      <c r="E27" s="29" t="inlineStr">
        <is>
          <t>Enterprise Sales &amp; Account Management · Senior Account Executive
Field Outreach &amp; Programme Sales · Program Manager – Outreach
Field Outreach &amp; Programme Sales · Senior Program Specialist – POD Lead
Sales Development &amp; Prospecting · Senior Account Executive – POD Lead
Sales Leadership · Lead Account Executive · Senior Account Executive – POD Lead</t>
        </is>
      </c>
      <c r="F27" s="34" t="inlineStr">
        <is>
          <t>H</t>
        </is>
      </c>
      <c r="G27" s="84" t="inlineStr">
        <is>
          <t>Works at B1: Domain specialist work</t>
        </is>
      </c>
      <c r="H27" s="84" t="inlineStr">
        <is>
          <t>Hardest problems in the domain · in Sales &amp; Business Development: Sales</t>
        </is>
      </c>
      <c r="I27" s="84" t="inlineStr">
        <is>
          <t>Already works at B3: Sets standards for a practice; cross-team problems</t>
        </is>
      </c>
      <c r="J27" s="34" t="inlineStr">
        <is>
          <t>M</t>
        </is>
      </c>
      <c r="K27" s="84" t="inlineStr">
        <is>
          <t>Works at B1: Technical / QC / client calls for the domain</t>
        </is>
      </c>
      <c r="L27" s="84" t="inlineStr">
        <is>
          <t>Allocates people and sets team priorities</t>
        </is>
      </c>
      <c r="M27" s="84" t="inlineStr">
        <is>
          <t>Already works at B3: Commercial / strategic calls for the unit</t>
        </is>
      </c>
      <c r="N27" s="34" t="inlineStr">
        <is>
          <t>L</t>
        </is>
      </c>
      <c r="O27" s="84" t="inlineStr">
        <is>
          <t>Works at B1: A domain or a small team</t>
        </is>
      </c>
      <c r="P27" s="84" t="inlineStr">
        <is>
          <t>One team or a client portfolio</t>
        </is>
      </c>
      <c r="Q27" s="84" t="inlineStr">
        <is>
          <t>Already works at B3: Several teams or a practice</t>
        </is>
      </c>
      <c r="R27" s="34" t="inlineStr">
        <is>
          <t>M</t>
        </is>
      </c>
      <c r="S27" s="56" t="inlineStr">
        <is>
          <t>Works at B1: IC: mentors and reviews · People: hands-on team lead of 3–5</t>
        </is>
      </c>
      <c r="T27" s="56" t="inlineStr">
        <is>
          <t>IC: guides others in the domain · People: manages a team of 6+</t>
        </is>
      </c>
      <c r="U27" s="56" t="inlineStr">
        <is>
          <t>Already works at B3: IC: leads a practice · People: team leads / managers report in</t>
        </is>
      </c>
      <c r="V27" s="34" t="inlineStr">
        <is>
          <t>M</t>
        </is>
      </c>
      <c r="W27" s="56" t="inlineStr">
        <is>
          <t>Works at B1: Moves a module's, product area's or client account's results</t>
        </is>
      </c>
      <c r="X27" s="56" t="inlineStr">
        <is>
          <t>Visible effect on a team's or client portfolio's revenue, quality or compliance · purpose: Runs discovery, demos, proposals and negotiations; closes and grows accounts. At B2: deep domain expertise, or one team.
Common themes in sub-family holders, …</t>
        </is>
      </c>
      <c r="Y27" s="56" t="inlineStr">
        <is>
          <t>Already works at B3: Shapes the results of a practice or several teams</t>
        </is>
      </c>
      <c r="Z27" s="34" t="inlineStr">
        <is>
          <t>L</t>
        </is>
      </c>
      <c r="AA27" s="85" t="inlineStr">
        <is>
          <t>Less experience than the band's typical 6–9 yrs</t>
        </is>
      </c>
      <c r="AB27" s="85" t="inlineStr">
        <is>
          <t>Typical for the band: 6–9 yrs · market 6–10 yrs</t>
        </is>
      </c>
      <c r="AC27" s="85" t="inlineStr">
        <is>
          <t>More experience than the band's typical 6–9 yrs</t>
        </is>
      </c>
      <c r="AD27" s="34" t="inlineStr">
        <is>
          <t>L</t>
        </is>
      </c>
      <c r="AE27" s="85" t="inlineStr">
        <is>
          <t>Below: Graduate + relevant qualification or certification preferred</t>
        </is>
      </c>
      <c r="AF27" s="85" t="inlineStr">
        <is>
          <t>Graduate or postgraduate; professional qualification preferred</t>
        </is>
      </c>
      <c r="AG27" s="85" t="inlineStr">
        <is>
          <t>Above: Postgraduate or professional qualification preferred</t>
        </is>
      </c>
      <c r="AH27" s="44" t="inlineStr">
        <is>
          <t>37 · 18.3 · 11.3 · 15 · 8.7 · 6 · 4</t>
        </is>
      </c>
      <c r="AI27" s="38" t="inlineStr">
        <is>
          <t>6–10</t>
        </is>
      </c>
      <c r="AJ27" s="38" t="inlineStr">
        <is>
          <t>IC: none · People: 6–8 knowledge work, 8–12 standardised delivery</t>
        </is>
      </c>
      <c r="AK27" s="38" t="inlineStr">
        <is>
          <t>P4 / M3 · SFIA 4–5</t>
        </is>
      </c>
      <c r="AL27"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8" ht="120" customHeight="1">
      <c r="A28" s="90" t="inlineStr">
        <is>
          <t>B2</t>
        </is>
      </c>
      <c r="B28" s="29" t="inlineStr">
        <is>
          <t>Band B · Specialist / Manager</t>
        </is>
      </c>
      <c r="C28" s="29" t="inlineStr">
        <is>
          <t>Band B · Specialist / POD Lead</t>
        </is>
      </c>
      <c r="D28" s="29" t="inlineStr">
        <is>
          <t>Senior Specialist</t>
        </is>
      </c>
      <c r="E28" s="29" t="inlineStr">
        <is>
          <t>Enterprise Sales &amp; Account Management · Senior Account Executive
Field Outreach &amp; Programme Sales · Program Manager – Outreach
Field Outreach &amp; Programme Sales · Senior Program Specialist – POD Lead
Sales Development &amp; Prospecting · Senior Account Executive – POD Lead
Sales Leadership · Lead Account Executive · Senior Account Executive – POD Lead</t>
        </is>
      </c>
      <c r="F28" s="34" t="inlineStr">
        <is>
          <t>H</t>
        </is>
      </c>
      <c r="G28" s="84" t="inlineStr">
        <is>
          <t>Works at B1: Domain specialist work</t>
        </is>
      </c>
      <c r="H28" s="84" t="inlineStr">
        <is>
          <t>Hardest problems in the domain · in Sales &amp; Business Development: Sales</t>
        </is>
      </c>
      <c r="I28" s="84" t="inlineStr">
        <is>
          <t>Already works at B3: Sets standards for a practice; cross-team problems</t>
        </is>
      </c>
      <c r="J28" s="34" t="inlineStr">
        <is>
          <t>M</t>
        </is>
      </c>
      <c r="K28" s="84" t="inlineStr">
        <is>
          <t>Works at B1: Technical / QC / client calls for the domain</t>
        </is>
      </c>
      <c r="L28" s="84" t="inlineStr">
        <is>
          <t>Allocates people and sets team priorities</t>
        </is>
      </c>
      <c r="M28" s="84" t="inlineStr">
        <is>
          <t>Already works at B3: Commercial / strategic calls for the unit</t>
        </is>
      </c>
      <c r="N28" s="34" t="inlineStr">
        <is>
          <t>L</t>
        </is>
      </c>
      <c r="O28" s="84" t="inlineStr">
        <is>
          <t>Works at B1: A domain or a small team</t>
        </is>
      </c>
      <c r="P28" s="84" t="inlineStr">
        <is>
          <t>One team or a client portfolio</t>
        </is>
      </c>
      <c r="Q28" s="84" t="inlineStr">
        <is>
          <t>Already works at B3: Several teams or a practice</t>
        </is>
      </c>
      <c r="R28" s="34" t="inlineStr">
        <is>
          <t>L</t>
        </is>
      </c>
      <c r="S28" s="56" t="inlineStr">
        <is>
          <t>Works at B1: IC: mentors and reviews · People: hands-on team lead of 3–5</t>
        </is>
      </c>
      <c r="T28" s="56" t="inlineStr">
        <is>
          <t>IC: guides others in the domain · People: manages a team of 6+</t>
        </is>
      </c>
      <c r="U28" s="56" t="inlineStr">
        <is>
          <t>Already works at B3: IC: leads a practice · People: team leads / managers report in</t>
        </is>
      </c>
      <c r="V28" s="34" t="inlineStr">
        <is>
          <t>M</t>
        </is>
      </c>
      <c r="W28" s="56" t="inlineStr">
        <is>
          <t>Works at B1: Moves a module's, product area's or client account's results</t>
        </is>
      </c>
      <c r="X28" s="56" t="inlineStr">
        <is>
          <t>Visible effect on a team's or client portfolio's revenue, quality or compliance · purpose: Runs discovery, demos, proposals and negotiations; closes and grows accounts. At B2: deep domain expertise, or one team.
Common themes in sub-family holders, …</t>
        </is>
      </c>
      <c r="Y28" s="56" t="inlineStr">
        <is>
          <t>Already works at B3: Shapes the results of a practice or several teams</t>
        </is>
      </c>
      <c r="Z28" s="34" t="inlineStr">
        <is>
          <t>L</t>
        </is>
      </c>
      <c r="AA28" s="85" t="inlineStr">
        <is>
          <t>Less experience than the band's typical 6–9 yrs</t>
        </is>
      </c>
      <c r="AB28" s="85" t="inlineStr">
        <is>
          <t>Typical for the band: 6–9 yrs · market 6–10 yrs</t>
        </is>
      </c>
      <c r="AC28" s="85" t="inlineStr">
        <is>
          <t>More experience than the band's typical 6–9 yrs</t>
        </is>
      </c>
      <c r="AD28" s="34" t="inlineStr">
        <is>
          <t>L</t>
        </is>
      </c>
      <c r="AE28" s="85" t="inlineStr">
        <is>
          <t>Below: Graduate + relevant qualification or certification preferred</t>
        </is>
      </c>
      <c r="AF28" s="85" t="inlineStr">
        <is>
          <t>Graduate or postgraduate; professional qualification preferred</t>
        </is>
      </c>
      <c r="AG28" s="85" t="inlineStr">
        <is>
          <t>Above: Postgraduate or professional qualification preferred</t>
        </is>
      </c>
      <c r="AH28" s="44" t="inlineStr">
        <is>
          <t>51.3 · 17.3 · 9.7 · 5 · 7 · 6 · 4</t>
        </is>
      </c>
      <c r="AI28" s="38" t="inlineStr">
        <is>
          <t>6–10</t>
        </is>
      </c>
      <c r="AJ28" s="38" t="inlineStr">
        <is>
          <t>IC: none · People: 6–8 knowledge work, 8–12 standardised delivery</t>
        </is>
      </c>
      <c r="AK28" s="38" t="inlineStr">
        <is>
          <t>P4 / M3 · SFIA 4–5</t>
        </is>
      </c>
      <c r="AL28"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9" ht="120" customHeight="1">
      <c r="A29" s="90" t="inlineStr">
        <is>
          <t>B1</t>
        </is>
      </c>
      <c r="B29" s="29" t="inlineStr">
        <is>
          <t>Band B · Specialist / Manager</t>
        </is>
      </c>
      <c r="C29" s="29" t="inlineStr">
        <is>
          <t>Band B · People Manager</t>
        </is>
      </c>
      <c r="D29" s="29" t="inlineStr">
        <is>
          <t>Team Lead / Asst Manager</t>
        </is>
      </c>
      <c r="E29" s="29" t="inlineStr">
        <is>
          <t>Bids, RFP &amp; Sales Operations · Sales Operations Specialist – POD Lead
Enterprise Sales &amp; Account Management · Account Executive – POD Lead · Account Executive
Pre-Sales &amp; Solution Demos · Pre-Sales Specialist
Sales Development &amp; Prospecting · Account Executive
Sales Development &amp; Prospecting · Team Lead – Sales Development</t>
        </is>
      </c>
      <c r="F29" s="34" t="inlineStr">
        <is>
          <t>H</t>
        </is>
      </c>
      <c r="G29" s="84" t="inlineStr">
        <is>
          <t>Works at A3: Varied and non-standard work; handles exceptions</t>
        </is>
      </c>
      <c r="H29" s="84" t="inlineStr">
        <is>
          <t>Domain specialist work · in Sales &amp; Business Development: Sales</t>
        </is>
      </c>
      <c r="I29" s="84" t="inlineStr">
        <is>
          <t>Already works at B2: Hardest problems in the domain</t>
        </is>
      </c>
      <c r="J29" s="34" t="inlineStr">
        <is>
          <t>M</t>
        </is>
      </c>
      <c r="K29" s="84" t="inlineStr">
        <is>
          <t>Works at A3: Technical / QC / client calls on own work</t>
        </is>
      </c>
      <c r="L29" s="84" t="inlineStr">
        <is>
          <t>Technical / QC / client calls for the domain</t>
        </is>
      </c>
      <c r="M29" s="84" t="inlineStr">
        <is>
          <t>Already works at B2: Allocates people and sets team priorities</t>
        </is>
      </c>
      <c r="N29" s="34" t="inlineStr">
        <is>
          <t>L</t>
        </is>
      </c>
      <c r="O29" s="84" t="inlineStr">
        <is>
          <t>Works at A3: A module / process, or work with client or regulatory consequences</t>
        </is>
      </c>
      <c r="P29" s="84" t="inlineStr">
        <is>
          <t>A domain or a small team</t>
        </is>
      </c>
      <c r="Q29" s="84" t="inlineStr">
        <is>
          <t>Already works at B2: One team or a client portfolio</t>
        </is>
      </c>
      <c r="R29" s="34" t="inlineStr">
        <is>
          <t>M</t>
        </is>
      </c>
      <c r="S29" s="56" t="inlineStr">
        <is>
          <t>Works at A3: contributes alone; guides others only informally</t>
        </is>
      </c>
      <c r="T29" s="56" t="inlineStr">
        <is>
          <t>IC: mentors and reviews · People: hands-on team lead of 3–5</t>
        </is>
      </c>
      <c r="U29" s="56" t="inlineStr">
        <is>
          <t>Already works at B2: IC: guides others in the domain · People: manages a team of 6+</t>
        </is>
      </c>
      <c r="V29" s="34" t="inlineStr">
        <is>
          <t>M</t>
        </is>
      </c>
      <c r="W29" s="56" t="inlineStr">
        <is>
          <t>Works at A3: A process or client deliverable depends on this work</t>
        </is>
      </c>
      <c r="X29" s="56" t="inlineStr">
        <is>
          <t>Moves a module's, product area's or client account's results · purpose: Prepares RFPs, vendor registrations, deal documentation and sales operations. At B1: a domain / module, or a small team.</t>
        </is>
      </c>
      <c r="Y29" s="56" t="inlineStr">
        <is>
          <t>Already works at B2: Visible effect on a team's or client portfolio's revenue, quality or compliance</t>
        </is>
      </c>
      <c r="Z29" s="34" t="inlineStr">
        <is>
          <t>L</t>
        </is>
      </c>
      <c r="AA29" s="85" t="inlineStr">
        <is>
          <t>Less experience than the band's typical 4–7 yrs</t>
        </is>
      </c>
      <c r="AB29" s="85" t="inlineStr">
        <is>
          <t>Typical for the band: 4–7 yrs · market 4–8 yrs</t>
        </is>
      </c>
      <c r="AC29" s="85" t="inlineStr">
        <is>
          <t>More experience than the band's typical 4–7 yrs</t>
        </is>
      </c>
      <c r="AD29" s="34" t="inlineStr">
        <is>
          <t>L</t>
        </is>
      </c>
      <c r="AE29" s="85" t="inlineStr">
        <is>
          <t>Below: Graduate; relevant certification preferred</t>
        </is>
      </c>
      <c r="AF29" s="85" t="inlineStr">
        <is>
          <t>Graduate + relevant qualification or certification preferred</t>
        </is>
      </c>
      <c r="AG29" s="85" t="inlineStr">
        <is>
          <t>Above: Graduate or postgraduate; professional qualification preferred</t>
        </is>
      </c>
      <c r="AH29" s="44" t="inlineStr">
        <is>
          <t>37 · 18.3 · 11.3 · 15 · 8.7 · 6 · 4</t>
        </is>
      </c>
      <c r="AI29" s="38" t="inlineStr">
        <is>
          <t>4–8</t>
        </is>
      </c>
      <c r="AJ29" s="38" t="inlineStr">
        <is>
          <t>IC: none · Team Lead: 3–5</t>
        </is>
      </c>
      <c r="AK29" s="38" t="inlineStr">
        <is>
          <t>P3 / M2 · SFIA 4 Enable</t>
        </is>
      </c>
      <c r="AL29"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30" ht="120" customHeight="1">
      <c r="A30" s="90" t="inlineStr">
        <is>
          <t>B1</t>
        </is>
      </c>
      <c r="B30" s="29" t="inlineStr">
        <is>
          <t>Band B · Specialist / Manager</t>
        </is>
      </c>
      <c r="C30" s="29" t="inlineStr">
        <is>
          <t>Band B · Specialist / POD Lead</t>
        </is>
      </c>
      <c r="D30" s="29" t="inlineStr">
        <is>
          <t>Specialist</t>
        </is>
      </c>
      <c r="E30" s="29" t="inlineStr">
        <is>
          <t>Bids, RFP &amp; Sales Operations · Sales Operations Specialist – POD Lead
Enterprise Sales &amp; Account Management · Account Executive – POD Lead · Account Executive
Pre-Sales &amp; Solution Demos · Pre-Sales Specialist
Sales Development &amp; Prospecting · Account Executive
Sales Development &amp; Prospecting · Team Lead – Sales Development</t>
        </is>
      </c>
      <c r="F30" s="34" t="inlineStr">
        <is>
          <t>H</t>
        </is>
      </c>
      <c r="G30" s="84" t="inlineStr">
        <is>
          <t>Works at A3: Varied and non-standard work; handles exceptions</t>
        </is>
      </c>
      <c r="H30" s="84" t="inlineStr">
        <is>
          <t>Domain specialist work · in Sales &amp; Business Development: Sales</t>
        </is>
      </c>
      <c r="I30" s="84" t="inlineStr">
        <is>
          <t>Already works at B2: Hardest problems in the domain</t>
        </is>
      </c>
      <c r="J30" s="34" t="inlineStr">
        <is>
          <t>M</t>
        </is>
      </c>
      <c r="K30" s="84" t="inlineStr">
        <is>
          <t>Works at A3: Technical / QC / client calls on own work</t>
        </is>
      </c>
      <c r="L30" s="84" t="inlineStr">
        <is>
          <t>Technical / QC / client calls for the domain</t>
        </is>
      </c>
      <c r="M30" s="84" t="inlineStr">
        <is>
          <t>Already works at B2: Allocates people and sets team priorities</t>
        </is>
      </c>
      <c r="N30" s="34" t="inlineStr">
        <is>
          <t>L</t>
        </is>
      </c>
      <c r="O30" s="84" t="inlineStr">
        <is>
          <t>Works at A3: A module / process, or work with client or regulatory consequences</t>
        </is>
      </c>
      <c r="P30" s="84" t="inlineStr">
        <is>
          <t>A domain or a small team</t>
        </is>
      </c>
      <c r="Q30" s="84" t="inlineStr">
        <is>
          <t>Already works at B2: One team or a client portfolio</t>
        </is>
      </c>
      <c r="R30" s="34" t="inlineStr">
        <is>
          <t>L</t>
        </is>
      </c>
      <c r="S30" s="56" t="inlineStr">
        <is>
          <t>Works at A3: contributes alone; guides others only informally</t>
        </is>
      </c>
      <c r="T30" s="56" t="inlineStr">
        <is>
          <t>IC: mentors and reviews · People: hands-on team lead of 3–5</t>
        </is>
      </c>
      <c r="U30" s="56" t="inlineStr">
        <is>
          <t>Already works at B2: IC: guides others in the domain · People: manages a team of 6+</t>
        </is>
      </c>
      <c r="V30" s="34" t="inlineStr">
        <is>
          <t>M</t>
        </is>
      </c>
      <c r="W30" s="56" t="inlineStr">
        <is>
          <t>Works at A3: A process or client deliverable depends on this work</t>
        </is>
      </c>
      <c r="X30" s="56" t="inlineStr">
        <is>
          <t>Moves a module's, product area's or client account's results · purpose: Prepares RFPs, vendor registrations, deal documentation and sales operations. At B1: a domain / module, or a small team.</t>
        </is>
      </c>
      <c r="Y30" s="56" t="inlineStr">
        <is>
          <t>Already works at B2: Visible effect on a team's or client portfolio's revenue, quality or compliance</t>
        </is>
      </c>
      <c r="Z30" s="34" t="inlineStr">
        <is>
          <t>L</t>
        </is>
      </c>
      <c r="AA30" s="85" t="inlineStr">
        <is>
          <t>Less experience than the band's typical 4–7 yrs</t>
        </is>
      </c>
      <c r="AB30" s="85" t="inlineStr">
        <is>
          <t>Typical for the band: 4–7 yrs · market 4–8 yrs</t>
        </is>
      </c>
      <c r="AC30" s="85" t="inlineStr">
        <is>
          <t>More experience than the band's typical 4–7 yrs</t>
        </is>
      </c>
      <c r="AD30" s="34" t="inlineStr">
        <is>
          <t>L</t>
        </is>
      </c>
      <c r="AE30" s="85" t="inlineStr">
        <is>
          <t>Below: Graduate; relevant certification preferred</t>
        </is>
      </c>
      <c r="AF30" s="85" t="inlineStr">
        <is>
          <t>Graduate + relevant qualification or certification preferred</t>
        </is>
      </c>
      <c r="AG30" s="85" t="inlineStr">
        <is>
          <t>Above: Graduate or postgraduate; professional qualification preferred</t>
        </is>
      </c>
      <c r="AH30" s="44" t="inlineStr">
        <is>
          <t>51.3 · 17.3 · 9.7 · 5 · 7 · 6 · 4</t>
        </is>
      </c>
      <c r="AI30" s="38" t="inlineStr">
        <is>
          <t>4–8</t>
        </is>
      </c>
      <c r="AJ30" s="38" t="inlineStr">
        <is>
          <t>IC: none · Team Lead: 3–5</t>
        </is>
      </c>
      <c r="AK30" s="38" t="inlineStr">
        <is>
          <t>P3 / M2 · SFIA 4 Enable</t>
        </is>
      </c>
      <c r="AL30"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31" ht="120" customHeight="1">
      <c r="A31" s="91" t="inlineStr">
        <is>
          <t>A3</t>
        </is>
      </c>
      <c r="B31" s="29" t="inlineStr">
        <is>
          <t>Band A · Practitioner</t>
        </is>
      </c>
      <c r="C31" s="29" t="inlineStr">
        <is>
          <t>Band A · all tracks</t>
        </is>
      </c>
      <c r="D31" s="29" t="inlineStr">
        <is>
          <t>Senior Associate</t>
        </is>
      </c>
      <c r="E31" s="29" t="inlineStr">
        <is>
          <t>Bids, RFP &amp; Sales Operations · Senior Sales Operations Analyst
Field Outreach &amp; Programme Sales · Senior Program Executive
Partnerships &amp; Alliances · Senior Alliances Executive
Sales Development &amp; Prospecting · Senior Sales Development Representative</t>
        </is>
      </c>
      <c r="F31" s="34" t="inlineStr">
        <is>
          <t>H</t>
        </is>
      </c>
      <c r="G31" s="84" t="inlineStr">
        <is>
          <t>Works at A2: Standard work of the discipline</t>
        </is>
      </c>
      <c r="H31" s="84" t="inlineStr">
        <is>
          <t>Varied and non-standard work; handles exceptions · in Sales &amp; Business Development: Sales</t>
        </is>
      </c>
      <c r="I31" s="84" t="inlineStr">
        <is>
          <t>Already works at B1: Domain specialist work</t>
        </is>
      </c>
      <c r="J31" s="34" t="inlineStr">
        <is>
          <t>M</t>
        </is>
      </c>
      <c r="K31" s="84" t="inlineStr">
        <is>
          <t>Works at A2: Chooses own approach within standards</t>
        </is>
      </c>
      <c r="L31" s="84" t="inlineStr">
        <is>
          <t>Technical / QC / client calls on own work</t>
        </is>
      </c>
      <c r="M31" s="84" t="inlineStr">
        <is>
          <t>Already works at B1: Technical / QC / client calls for the domain</t>
        </is>
      </c>
      <c r="N31" s="34" t="inlineStr">
        <is>
          <t>L</t>
        </is>
      </c>
      <c r="O31" s="84" t="inlineStr">
        <is>
          <t>Works at A2: Own deliverables · accuracy, TAT</t>
        </is>
      </c>
      <c r="P31" s="84" t="inlineStr">
        <is>
          <t>A module / process, or work with client or regulatory consequences · KRA themes: Common themes in manager-set KRAs: month quarter · minimum msmes · applications quarter · business · bhr units · onboard minimum</t>
        </is>
      </c>
      <c r="Q31" s="84" t="inlineStr">
        <is>
          <t>Already works at B1: A domain or a small team</t>
        </is>
      </c>
      <c r="R31" s="34" t="inlineStr">
        <is>
          <t>L</t>
        </is>
      </c>
      <c r="S31" s="56" t="inlineStr">
        <is>
          <t>Works at A2: contributes alone; guides others only informally</t>
        </is>
      </c>
      <c r="T31" s="56" t="inlineStr">
        <is>
          <t>Helps peers and newer people informally · None · guides 1–3 juniors informally</t>
        </is>
      </c>
      <c r="U31" s="56" t="inlineStr">
        <is>
          <t>Already works at B1: IC: mentors and reviews · People: hands-on team lead of 3–5</t>
        </is>
      </c>
      <c r="V31" s="34" t="inlineStr">
        <is>
          <t>M</t>
        </is>
      </c>
      <c r="W31" s="56" t="inlineStr">
        <is>
          <t>Works at A2: Own deliverables feed a team's output and turnaround</t>
        </is>
      </c>
      <c r="X31" s="56" t="inlineStr">
        <is>
          <t>A process or client deliverable depends on this work · purpose: Prepares RFPs, vendor registrations, deal documentation and sales operations. At A3: varied work; reviews juniors; go-to for a process.</t>
        </is>
      </c>
      <c r="Y31" s="56" t="inlineStr">
        <is>
          <t>Already works at B1: Moves a module's, product area's or client account's results</t>
        </is>
      </c>
      <c r="Z31" s="34" t="inlineStr">
        <is>
          <t>L</t>
        </is>
      </c>
      <c r="AA31" s="85" t="inlineStr">
        <is>
          <t>Less experience than the band's typical 2–4 yrs</t>
        </is>
      </c>
      <c r="AB31" s="85" t="inlineStr">
        <is>
          <t>Typical for the band: 2–4 yrs · market 2–5 yrs</t>
        </is>
      </c>
      <c r="AC31" s="85" t="inlineStr">
        <is>
          <t>More experience than the band's typical 2–4 yrs</t>
        </is>
      </c>
      <c r="AD31" s="34" t="inlineStr">
        <is>
          <t>L</t>
        </is>
      </c>
      <c r="AE31" s="85" t="inlineStr">
        <is>
          <t>Below: Graduate · or diploma with experience</t>
        </is>
      </c>
      <c r="AF31" s="85" t="inlineStr">
        <is>
          <t>Graduate; relevant certification preferred</t>
        </is>
      </c>
      <c r="AG31" s="85" t="inlineStr">
        <is>
          <t>Above: Graduate + relevant qualification or certification preferred</t>
        </is>
      </c>
      <c r="AH31" s="44" t="inlineStr">
        <is>
          <t>58.3 · 16 · 9 · 0 · 6.3 · 6 · 4</t>
        </is>
      </c>
      <c r="AI31" s="38" t="inlineStr">
        <is>
          <t>2–5</t>
        </is>
      </c>
      <c r="AJ31" s="38" t="inlineStr">
        <is>
          <t>None · guides 1–3 juniors informally</t>
        </is>
      </c>
      <c r="AK31" s="38" t="inlineStr">
        <is>
          <t>P2 · SFIA 3 Apply</t>
        </is>
      </c>
      <c r="AL31"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32" ht="120" customHeight="1">
      <c r="A32" s="91" t="inlineStr">
        <is>
          <t>A2</t>
        </is>
      </c>
      <c r="B32" s="29" t="inlineStr">
        <is>
          <t>Band A · Practitioner</t>
        </is>
      </c>
      <c r="C32" s="29" t="inlineStr">
        <is>
          <t>Band A · all tracks</t>
        </is>
      </c>
      <c r="D32" s="29" t="inlineStr">
        <is>
          <t>Associate</t>
        </is>
      </c>
      <c r="E32" s="29" t="inlineStr">
        <is>
          <t>Field Outreach &amp; Programme Sales · Program Executive
Sales Development &amp; Prospecting · Sales Development Representative</t>
        </is>
      </c>
      <c r="F32" s="34" t="inlineStr">
        <is>
          <t>H</t>
        </is>
      </c>
      <c r="G32" s="84" t="inlineStr">
        <is>
          <t>Works at A1: Learning; follows worked examples</t>
        </is>
      </c>
      <c r="H32" s="84" t="inlineStr">
        <is>
          <t>Standard work of the discipline · in Sales &amp; Business Development: Sales · Business development</t>
        </is>
      </c>
      <c r="I32" s="84" t="inlineStr">
        <is>
          <t>Already works at A3: Varied and non-standard work; handles exceptions</t>
        </is>
      </c>
      <c r="J32" s="34" t="inlineStr">
        <is>
          <t>M</t>
        </is>
      </c>
      <c r="K32" s="84" t="inlineStr">
        <is>
          <t>Works at A1: Needs approval / close guidance</t>
        </is>
      </c>
      <c r="L32" s="84" t="inlineStr">
        <is>
          <t>Chooses own approach within standards</t>
        </is>
      </c>
      <c r="M32" s="84" t="inlineStr">
        <is>
          <t>Already works at A3: Technical / QC / client calls on own work</t>
        </is>
      </c>
      <c r="N32" s="34" t="inlineStr">
        <is>
          <t>L</t>
        </is>
      </c>
      <c r="O32" s="84" t="inlineStr">
        <is>
          <t>Works at A1: Learning tasks</t>
        </is>
      </c>
      <c r="P32" s="84" t="inlineStr">
        <is>
          <t>Own deliverables · accuracy, TAT · KRA themes: Common themes in manager-set KRAs: ramping quarter · weightage bhr · applications achieve · sales · sell · ratio ramping</t>
        </is>
      </c>
      <c r="Q32" s="84" t="inlineStr">
        <is>
          <t>Already works at A3: A module / process, or work with client or regulatory consequences</t>
        </is>
      </c>
      <c r="R32" s="34" t="inlineStr">
        <is>
          <t>L</t>
        </is>
      </c>
      <c r="S32" s="56" t="inlineStr">
        <is>
          <t>Works at A1: contributes alone; guides others only informally</t>
        </is>
      </c>
      <c r="T32" s="56" t="inlineStr">
        <is>
          <t>Helps peers and newer people informally · No direct reports</t>
        </is>
      </c>
      <c r="U32" s="56" t="inlineStr">
        <is>
          <t>Already works at A3: Not scored in Band A</t>
        </is>
      </c>
      <c r="V32" s="34" t="inlineStr">
        <is>
          <t>M</t>
        </is>
      </c>
      <c r="W32" s="56" t="inlineStr">
        <is>
          <t>Works at A1: Learning; little direct effect on business results yet</t>
        </is>
      </c>
      <c r="X32" s="56" t="inlineStr">
        <is>
          <t>Own deliverables feed a team's output and turnaround · purpose: Onboards MSMEs and partners in the field; generates programme leads and engagement. At A2: standard work delivered independently.
Common themes in sub-family …</t>
        </is>
      </c>
      <c r="Y32" s="56" t="inlineStr">
        <is>
          <t>Already works at A3: A process or client deliverable depends on this work</t>
        </is>
      </c>
      <c r="Z32" s="34" t="inlineStr">
        <is>
          <t>L</t>
        </is>
      </c>
      <c r="AA32" s="85" t="inlineStr">
        <is>
          <t>Less experience than the band's typical 0–2 yrs</t>
        </is>
      </c>
      <c r="AB32" s="85" t="inlineStr">
        <is>
          <t>Typical for the band: 0–2 yrs · market 0–3 yrs</t>
        </is>
      </c>
      <c r="AC32" s="85" t="inlineStr">
        <is>
          <t>More experience than the band's typical 0–2 yrs</t>
        </is>
      </c>
      <c r="AD32" s="34" t="inlineStr">
        <is>
          <t>L</t>
        </is>
      </c>
      <c r="AE32" s="85" t="inlineStr">
        <is>
          <t>Below: Pursuing or completed graduation / diploma</t>
        </is>
      </c>
      <c r="AF32" s="85" t="inlineStr">
        <is>
          <t>Graduate · or diploma with experience</t>
        </is>
      </c>
      <c r="AG32" s="85" t="inlineStr">
        <is>
          <t>Above: Graduate; relevant certification preferred</t>
        </is>
      </c>
      <c r="AH32" s="44" t="inlineStr">
        <is>
          <t>58.3 · 16 · 9 · 0 · 6.3 · 6 · 4</t>
        </is>
      </c>
      <c r="AI32" s="38" t="inlineStr">
        <is>
          <t>0–3</t>
        </is>
      </c>
      <c r="AJ32" s="38" t="inlineStr">
        <is>
          <t>No direct reports</t>
        </is>
      </c>
      <c r="AK32" s="38" t="inlineStr">
        <is>
          <t>P1–P2 · SFIA 2 Assist</t>
        </is>
      </c>
      <c r="AL32"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33" ht="120" customHeight="1">
      <c r="A33" s="91" t="inlineStr">
        <is>
          <t>A1</t>
        </is>
      </c>
      <c r="B33" s="29" t="inlineStr">
        <is>
          <t>Band A · Practitioner</t>
        </is>
      </c>
      <c r="C33" s="29" t="inlineStr">
        <is>
          <t>Band A · all tracks</t>
        </is>
      </c>
      <c r="D33" s="29" t="inlineStr">
        <is>
          <t>Intern / Trainee</t>
        </is>
      </c>
      <c r="E33" s="29" t="inlineStr">
        <is>
          <t>Sales Development &amp; Prospecting · Intern – Sales Development &amp; Prospecting</t>
        </is>
      </c>
      <c r="F33" s="34" t="inlineStr">
        <is>
          <t>H</t>
        </is>
      </c>
      <c r="G33" s="84" t="inlineStr">
        <is>
          <t>Not yet at the entry standard · in induction</t>
        </is>
      </c>
      <c r="H33" s="84" t="inlineStr">
        <is>
          <t>Learning; follows worked examples · in Sales &amp; Business Development: Marketing · Objection Handling</t>
        </is>
      </c>
      <c r="I33" s="84" t="inlineStr">
        <is>
          <t>Already works at A2: Standard work of the discipline</t>
        </is>
      </c>
      <c r="J33" s="34" t="inlineStr">
        <is>
          <t>M</t>
        </is>
      </c>
      <c r="K33" s="84" t="inlineStr">
        <is>
          <t>Not yet at the entry standard · in induction</t>
        </is>
      </c>
      <c r="L33" s="84" t="inlineStr">
        <is>
          <t>Needs approval / close guidance</t>
        </is>
      </c>
      <c r="M33" s="84" t="inlineStr">
        <is>
          <t>Already works at A2: Chooses own approach within standards</t>
        </is>
      </c>
      <c r="N33" s="34" t="inlineStr">
        <is>
          <t>L</t>
        </is>
      </c>
      <c r="O33" s="84" t="inlineStr">
        <is>
          <t>Not yet at the entry standard · in induction</t>
        </is>
      </c>
      <c r="P33" s="84" t="inlineStr">
        <is>
          <t>Learning tasks</t>
        </is>
      </c>
      <c r="Q33" s="84" t="inlineStr">
        <is>
          <t>Already works at A2: Own deliverables · accuracy, TAT</t>
        </is>
      </c>
      <c r="R33" s="34" t="inlineStr">
        <is>
          <t>L</t>
        </is>
      </c>
      <c r="S33" s="56" t="inlineStr">
        <is>
          <t>Not yet at the entry standard · in induction</t>
        </is>
      </c>
      <c r="T33" s="56" t="inlineStr">
        <is>
          <t>Helps peers and newer people informally · No direct reports</t>
        </is>
      </c>
      <c r="U33" s="56" t="inlineStr">
        <is>
          <t>Already works at A2: Not scored in Band A</t>
        </is>
      </c>
      <c r="V33" s="34" t="inlineStr">
        <is>
          <t>M</t>
        </is>
      </c>
      <c r="W33" s="56" t="inlineStr">
        <is>
          <t>Not yet at the entry standard · in induction</t>
        </is>
      </c>
      <c r="X33" s="56" t="inlineStr">
        <is>
          <t>Learning; little direct effect on business results yet · purpose: Researches target accounts, runs outbound outreach, qualifies leads and books meetings. At A1: learning the role; all work reviewed.
Common themes in …</t>
        </is>
      </c>
      <c r="Y33" s="56" t="inlineStr">
        <is>
          <t>Already works at A2: Own deliverables feed a team's output and turnaround</t>
        </is>
      </c>
      <c r="Z33" s="34" t="inlineStr">
        <is>
          <t>L</t>
        </is>
      </c>
      <c r="AA33" s="85" t="inlineStr">
        <is>
          <t>Less experience than the band's typical 0 yrs · fresher / intern</t>
        </is>
      </c>
      <c r="AB33" s="85" t="inlineStr">
        <is>
          <t>Typical for the band: 0 yrs · fresher / intern · market — yrs</t>
        </is>
      </c>
      <c r="AC33" s="85" t="inlineStr">
        <is>
          <t>More experience than the band's typical 0 yrs · fresher / intern</t>
        </is>
      </c>
      <c r="AD33" s="34" t="inlineStr">
        <is>
          <t>L</t>
        </is>
      </c>
      <c r="AE33" s="85" t="inlineStr">
        <is>
          <t>Below graduation · still studying</t>
        </is>
      </c>
      <c r="AF33" s="85" t="inlineStr">
        <is>
          <t>Pursuing or completed graduation / diploma</t>
        </is>
      </c>
      <c r="AG33" s="85" t="inlineStr">
        <is>
          <t>Above: Graduate · or diploma with experience</t>
        </is>
      </c>
      <c r="AH33" s="44" t="inlineStr">
        <is>
          <t>58.3 · 16 · 9 · 0 · 6.3 · 6 · 4</t>
        </is>
      </c>
      <c r="AI33" s="38" t="inlineStr">
        <is>
          <t>0 yrs · fresher / intern</t>
        </is>
      </c>
      <c r="AJ33" s="38" t="inlineStr">
        <is>
          <t>No direct reports</t>
        </is>
      </c>
      <c r="AK33" s="38" t="inlineStr">
        <is>
          <t>Entry / P1 · intern · SFIA 1 Follow</t>
        </is>
      </c>
      <c r="AL33"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sheetData>
  <autoFilter ref="A14:AL33"/>
  <mergeCells count="2">
    <mergeCell ref="A4:J4"/>
    <mergeCell ref="A2:N2"/>
  </mergeCells>
  <dataValidations count="1">
    <dataValidation sqref="F15 F16 F17 F18 F19 F20 F21 F22 F23 F24 F25 F26 F27 F28 F29 F30 F31 F32 F33 J15 J16 J17 J18 J19 J20 J21 J22 J23 J24 J25 J26 J27 J28 J29 J30 J31 J32 J33 N15 N16 N17 N18 N19 N20 N21 N22 N23 N24 N25 N26 N27 N28 N29 N30 N31 N32 N33 R15 R16 R17 R18 R19 R20 R21 R22 R23 R24 R25 R26 R27 R28 R29 R30 R31 R32 R33 V15 V16 V17 V18 V19 V20 V21 V22 V23 V24 V25 V26 V27 V28 V29 V30 V31 V32 V33 Z15 Z16 Z17 Z18 Z19 Z20 Z21 Z22 Z23 Z24 Z25 Z26 Z27 Z28 Z29 Z30 Z31 Z32 Z33 AD15 AD16 AD17 AD18 AD19 AD20 AD21 AD22 AD23 AD24 AD25 AD26 AD27 AD28 AD29 AD30 AD31 AD32 AD33" showDropDown="0" showInputMessage="0" showErrorMessage="0" allowBlank="1" type="list">
      <formula1>LIST_LMH</formula1>
    </dataValidation>
  </dataValidations>
  <hyperlinks>
    <hyperlink xmlns:r="http://schemas.openxmlformats.org/officeDocument/2006/relationships" ref="O1" r:id="rId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L24"/>
  <sheetViews>
    <sheetView zoomScale="85" workbookViewId="0">
      <pane xSplit="5" ySplit="5" topLeftCell="F6" activePane="bottomRight" state="frozen"/>
      <selection pane="topRight"/>
      <selection pane="bottomLeft"/>
      <selection pane="bottomRight" activeCell="A1" sqref="A1"/>
    </sheetView>
  </sheetViews>
  <sheetFormatPr baseColWidth="8" defaultRowHeight="15"/>
  <cols>
    <col width="7" customWidth="1" min="1" max="1"/>
    <col width="16" customWidth="1" min="2" max="2"/>
    <col width="18" customWidth="1" min="3" max="3"/>
    <col width="20" customWidth="1" min="4" max="4"/>
    <col width="34" customWidth="1" min="5" max="5"/>
    <col width="9" customWidth="1" min="6" max="6"/>
    <col width="30" customWidth="1" min="7" max="7"/>
    <col width="34" customWidth="1" min="8" max="8"/>
    <col width="30" customWidth="1" min="9" max="9"/>
    <col width="9" customWidth="1" min="10" max="10"/>
    <col width="30" customWidth="1" min="11" max="11"/>
    <col width="34" customWidth="1" min="12" max="12"/>
    <col width="30" customWidth="1" min="13" max="13"/>
    <col width="9" customWidth="1" min="14" max="14"/>
    <col width="30" customWidth="1" min="15" max="15"/>
    <col width="34" customWidth="1" min="16" max="16"/>
    <col width="30" customWidth="1" min="17" max="17"/>
    <col width="9" customWidth="1" min="18" max="18"/>
    <col width="30" customWidth="1" min="19" max="19"/>
    <col width="34" customWidth="1" min="20" max="20"/>
    <col width="30" customWidth="1" min="21" max="21"/>
    <col width="9" customWidth="1" min="22" max="22"/>
    <col width="30" customWidth="1" min="23" max="23"/>
    <col width="34" customWidth="1" min="24" max="24"/>
    <col width="30" customWidth="1" min="25" max="25"/>
    <col width="9" customWidth="1" min="26" max="26"/>
    <col width="30" customWidth="1" min="27" max="27"/>
    <col width="34" customWidth="1" min="28" max="28"/>
    <col width="30" customWidth="1" min="29" max="29"/>
    <col width="9" customWidth="1" min="30" max="30"/>
    <col width="30" customWidth="1" min="31" max="31"/>
    <col width="34" customWidth="1" min="32" max="32"/>
    <col width="30" customWidth="1" min="33" max="33"/>
    <col width="26" customWidth="1" min="34" max="34"/>
    <col width="16" customWidth="1" min="35" max="35"/>
    <col width="22" customWidth="1" min="36" max="36"/>
    <col width="18" customWidth="1" min="37" max="37"/>
    <col width="40" customWidth="1" min="38" max="38"/>
  </cols>
  <sheetData>
    <row r="1" ht="24" customHeight="1">
      <c r="A1" s="1" t="inlineStr">
        <is>
          <t>Role &amp; band matrix — Solution Consulting &amp; Implementation</t>
        </is>
      </c>
      <c r="O1" s="7" t="inlineStr">
        <is>
          <t>◂ Start</t>
        </is>
      </c>
    </row>
    <row r="2" ht="30" customHeight="1">
      <c r="A2" s="2" t="inlineStr">
        <is>
          <t>What Low, Medium and High mean for each of the seven parameters at every level of Solution Consulting &amp; Implementation, and how much each parameter counts · main type of work: Regulatory &amp; domain consulting. Medium is the band as described; Low is the level below; High is the level above. Change a yellow weightage and every role, department ladder and person in this family recalculates.</t>
        </is>
      </c>
    </row>
    <row r="3">
      <c r="A3" s="3" t="inlineStr">
        <is>
          <t>IRIS · Job Architecture &amp; Job Design · Final v1.15 · October 2026 · Internal — Confidential · HR only</t>
        </is>
      </c>
    </row>
    <row r="4" ht="30" customHeight="1">
      <c r="A4" s="6" t="inlineStr">
        <is>
          <t>LEVEL</t>
        </is>
      </c>
      <c r="B4" s="6" t="n"/>
      <c r="C4" s="6" t="n"/>
      <c r="D4" s="6" t="n"/>
      <c r="E4" s="6" t="n"/>
      <c r="F4" s="45" t="inlineStr">
        <is>
          <t>COMPLEXITY &amp; EXPERTISE</t>
        </is>
      </c>
      <c r="G4" s="45" t="n"/>
      <c r="H4" s="45" t="n"/>
      <c r="I4" s="45" t="n"/>
      <c r="J4" s="45" t="inlineStr">
        <is>
          <t>AUTONOMY &amp; DECISION</t>
        </is>
      </c>
      <c r="K4" s="45" t="n"/>
      <c r="L4" s="45" t="n"/>
      <c r="M4" s="45" t="n"/>
      <c r="N4" s="45" t="inlineStr">
        <is>
          <t>ACCOUNTABILITY &amp; IMPACT</t>
        </is>
      </c>
      <c r="O4" s="45" t="n"/>
      <c r="P4" s="45" t="n"/>
      <c r="Q4" s="45" t="n"/>
      <c r="R4" s="47" t="inlineStr">
        <is>
          <t>LEADERSHIP &amp; STRATEGY</t>
        </is>
      </c>
      <c r="S4" s="47" t="n"/>
      <c r="T4" s="47" t="n"/>
      <c r="U4" s="47" t="n"/>
      <c r="V4" s="47" t="inlineStr">
        <is>
          <t>BUSINESS IMPACT</t>
        </is>
      </c>
      <c r="W4" s="47" t="n"/>
      <c r="X4" s="47" t="n"/>
      <c r="Y4" s="47" t="n"/>
      <c r="Z4" s="81" t="inlineStr">
        <is>
          <t>EXPERIENCE</t>
        </is>
      </c>
      <c r="AA4" s="81" t="n"/>
      <c r="AB4" s="81" t="n"/>
      <c r="AC4" s="81" t="n"/>
      <c r="AD4" s="81" t="inlineStr">
        <is>
          <t>EDUCATION</t>
        </is>
      </c>
      <c r="AE4" s="81" t="n"/>
      <c r="AF4" s="81" t="n"/>
      <c r="AG4" s="81" t="n"/>
      <c r="AH4" s="20" t="inlineStr">
        <is>
          <t>MARKET BENCHMARK &amp; REFERENCES</t>
        </is>
      </c>
      <c r="AI4" s="20" t="n"/>
      <c r="AJ4" s="20" t="n"/>
      <c r="AK4" s="20" t="n"/>
      <c r="AL4" s="20" t="n"/>
    </row>
    <row r="5" ht="60" customHeight="1">
      <c r="A5" s="22" t="inlineStr">
        <is>
          <t>Level</t>
        </is>
      </c>
      <c r="B5" s="22" t="inlineStr">
        <is>
          <t>Band</t>
        </is>
      </c>
      <c r="C5" s="22" t="inlineStr">
        <is>
          <t>Role group</t>
        </is>
      </c>
      <c r="D5" s="22" t="inlineStr">
        <is>
          <t>Level title</t>
        </is>
      </c>
      <c r="E5" s="22" t="inlineStr">
        <is>
          <t>Roles at this level in this family</t>
        </is>
      </c>
      <c r="F5" s="48" t="inlineStr">
        <is>
          <t>Weightage · L/M/H</t>
        </is>
      </c>
      <c r="G5" s="48" t="inlineStr">
        <is>
          <t>Low</t>
        </is>
      </c>
      <c r="H5" s="48" t="inlineStr">
        <is>
          <t>Medium</t>
        </is>
      </c>
      <c r="I5" s="48" t="inlineStr">
        <is>
          <t>High</t>
        </is>
      </c>
      <c r="J5" s="48" t="inlineStr">
        <is>
          <t>Weightage · L/M/H</t>
        </is>
      </c>
      <c r="K5" s="48" t="inlineStr">
        <is>
          <t>Low</t>
        </is>
      </c>
      <c r="L5" s="48" t="inlineStr">
        <is>
          <t>Medium</t>
        </is>
      </c>
      <c r="M5" s="48" t="inlineStr">
        <is>
          <t>High</t>
        </is>
      </c>
      <c r="N5" s="48" t="inlineStr">
        <is>
          <t>Weightage · L/M/H</t>
        </is>
      </c>
      <c r="O5" s="48" t="inlineStr">
        <is>
          <t>Low</t>
        </is>
      </c>
      <c r="P5" s="48" t="inlineStr">
        <is>
          <t>Medium</t>
        </is>
      </c>
      <c r="Q5" s="48" t="inlineStr">
        <is>
          <t>High</t>
        </is>
      </c>
      <c r="R5" s="50" t="inlineStr">
        <is>
          <t>Weightage · L/M/H</t>
        </is>
      </c>
      <c r="S5" s="50" t="inlineStr">
        <is>
          <t>Low</t>
        </is>
      </c>
      <c r="T5" s="50" t="inlineStr">
        <is>
          <t>Medium</t>
        </is>
      </c>
      <c r="U5" s="50" t="inlineStr">
        <is>
          <t>High</t>
        </is>
      </c>
      <c r="V5" s="50" t="inlineStr">
        <is>
          <t>Weightage · L/M/H</t>
        </is>
      </c>
      <c r="W5" s="50" t="inlineStr">
        <is>
          <t>Low</t>
        </is>
      </c>
      <c r="X5" s="50" t="inlineStr">
        <is>
          <t>Medium</t>
        </is>
      </c>
      <c r="Y5" s="50" t="inlineStr">
        <is>
          <t>High</t>
        </is>
      </c>
      <c r="Z5" s="82" t="inlineStr">
        <is>
          <t>Weightage · L/M/H</t>
        </is>
      </c>
      <c r="AA5" s="82" t="inlineStr">
        <is>
          <t>Low</t>
        </is>
      </c>
      <c r="AB5" s="82" t="inlineStr">
        <is>
          <t>Medium</t>
        </is>
      </c>
      <c r="AC5" s="82" t="inlineStr">
        <is>
          <t>High</t>
        </is>
      </c>
      <c r="AD5" s="82" t="inlineStr">
        <is>
          <t>Weightage · L/M/H</t>
        </is>
      </c>
      <c r="AE5" s="82" t="inlineStr">
        <is>
          <t>Low</t>
        </is>
      </c>
      <c r="AF5" s="82" t="inlineStr">
        <is>
          <t>Medium</t>
        </is>
      </c>
      <c r="AG5" s="82" t="inlineStr">
        <is>
          <t>High</t>
        </is>
      </c>
      <c r="AH5" s="26" t="inlineStr">
        <is>
          <t>Market weight % · C · Au · Ac · L · BI · Exp · Edu</t>
        </is>
      </c>
      <c r="AI5" s="26" t="inlineStr">
        <is>
          <t>Market experience · yrs</t>
        </is>
      </c>
      <c r="AJ5" s="26" t="inlineStr">
        <is>
          <t>Span norm</t>
        </is>
      </c>
      <c r="AK5" s="26" t="inlineStr">
        <is>
          <t>Radford / Mercer · SFIA 9</t>
        </is>
      </c>
      <c r="AL5" s="26" t="inlineStr">
        <is>
          <t>References</t>
        </is>
      </c>
    </row>
    <row r="6" ht="120" customHeight="1">
      <c r="A6" s="83" t="inlineStr">
        <is>
          <t>E2</t>
        </is>
      </c>
      <c r="B6" s="29" t="inlineStr">
        <is>
          <t>Band E · Enterprise leadership</t>
        </is>
      </c>
      <c r="C6" s="29" t="inlineStr">
        <is>
          <t>Bands D–E · Leadership</t>
        </is>
      </c>
      <c r="D6" s="29" t="inlineStr">
        <is>
          <t>Chief Executive Officer</t>
        </is>
      </c>
      <c r="E6" s="29" t="inlineStr">
        <is>
          <t>— no role at this level today</t>
        </is>
      </c>
      <c r="F6" s="34" t="inlineStr">
        <is>
          <t>H</t>
        </is>
      </c>
      <c r="G6" s="84" t="inlineStr">
        <is>
          <t>Works at E1: Enterprise-level functional strategy</t>
        </is>
      </c>
      <c r="H6" s="84" t="inlineStr">
        <is>
          <t>Enterprise-wide uncertainty, transformation and external forces</t>
        </is>
      </c>
      <c r="I6" s="84" t="inlineStr">
        <is>
          <t>Beyond the role · a board-level mandate</t>
        </is>
      </c>
      <c r="J6" s="34" t="inlineStr">
        <is>
          <t>M</t>
        </is>
      </c>
      <c r="K6" s="84" t="inlineStr">
        <is>
          <t>Works at E1: Sets enterprise priorities for the function</t>
        </is>
      </c>
      <c r="L6" s="84" t="inlineStr">
        <is>
          <t>Accountable to the board</t>
        </is>
      </c>
      <c r="M6" s="84" t="inlineStr">
        <is>
          <t>Beyond the role · a board-level mandate</t>
        </is>
      </c>
      <c r="N6" s="34" t="inlineStr">
        <is>
          <t>M</t>
        </is>
      </c>
      <c r="O6" s="84" t="inlineStr">
        <is>
          <t>Works at E1: Enterprise-wide functional results</t>
        </is>
      </c>
      <c r="P6" s="84" t="inlineStr">
        <is>
          <t>Enterprise results, risk, culture and long-term viability</t>
        </is>
      </c>
      <c r="Q6" s="84" t="inlineStr">
        <is>
          <t>Beyond the role · a board-level mandate</t>
        </is>
      </c>
      <c r="R6" s="34" t="inlineStr">
        <is>
          <t>M</t>
        </is>
      </c>
      <c r="S6" s="56" t="inlineStr">
        <is>
          <t>Works at E1: Shapes enterprise strategy</t>
        </is>
      </c>
      <c r="T6" s="56" t="inlineStr">
        <is>
          <t>Sets enterprise strategy; leads the executive team</t>
        </is>
      </c>
      <c r="U6" s="56" t="inlineStr">
        <is>
          <t>Beyond the role · a board-level mandate</t>
        </is>
      </c>
      <c r="V6" s="34" t="inlineStr">
        <is>
          <t>L</t>
        </is>
      </c>
      <c r="W6" s="56" t="inlineStr">
        <is>
          <t>Works at E1: Shapes company-wide results through a function</t>
        </is>
      </c>
      <c r="X6" s="56" t="inlineStr">
        <is>
          <t>Answers for the whole company's results and long-term value</t>
        </is>
      </c>
      <c r="Y6" s="56" t="inlineStr">
        <is>
          <t>Beyond the role · a board-level mandate</t>
        </is>
      </c>
      <c r="Z6" s="34" t="inlineStr">
        <is>
          <t>L</t>
        </is>
      </c>
      <c r="AA6" s="85" t="inlineStr">
        <is>
          <t>Less experience than the band's typical 20+ yrs</t>
        </is>
      </c>
      <c r="AB6" s="85" t="inlineStr">
        <is>
          <t>Typical for the band: 20+ yrs · market — yrs</t>
        </is>
      </c>
      <c r="AC6" s="85" t="inlineStr">
        <is>
          <t>More experience than the band's typical 20+ yrs</t>
        </is>
      </c>
      <c r="AD6" s="34" t="inlineStr">
        <is>
          <t>L</t>
        </is>
      </c>
      <c r="AE6" s="85" t="inlineStr">
        <is>
          <t>Below: Postgraduate / professional qualification; business leadership record</t>
        </is>
      </c>
      <c r="AF6" s="85" t="inlineStr">
        <is>
          <t>Postgraduate / professional qualification; proven business leadership</t>
        </is>
      </c>
      <c r="AG6" s="85" t="inlineStr">
        <is>
          <t>Board-level credentials beyond the role's need</t>
        </is>
      </c>
      <c r="AH6" s="44" t="inlineStr">
        <is>
          <t>36.3 · 19 · 11.3 · 20 · 8.7 · 4 · 1</t>
        </is>
      </c>
      <c r="AI6" s="38" t="inlineStr">
        <is>
          <t>20+ yrs</t>
        </is>
      </c>
      <c r="AJ6" s="38" t="inlineStr">
        <is>
          <t>Executive team</t>
        </is>
      </c>
      <c r="AK6" s="38" t="inlineStr">
        <is>
          <t>E6 · SFIA 7</t>
        </is>
      </c>
      <c r="AL6"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7" ht="120" customHeight="1">
      <c r="A7" s="83" t="inlineStr">
        <is>
          <t>E1</t>
        </is>
      </c>
      <c r="B7" s="29" t="inlineStr">
        <is>
          <t>Band E · Enterprise leadership</t>
        </is>
      </c>
      <c r="C7" s="29" t="inlineStr">
        <is>
          <t>Bands D–E · Leadership</t>
        </is>
      </c>
      <c r="D7" s="29" t="inlineStr">
        <is>
          <t>CXO / President</t>
        </is>
      </c>
      <c r="E7" s="29" t="inlineStr">
        <is>
          <t>— no role at this level today</t>
        </is>
      </c>
      <c r="F7" s="34" t="inlineStr">
        <is>
          <t>H</t>
        </is>
      </c>
      <c r="G7" s="84" t="inlineStr">
        <is>
          <t>Works at D2: Portfolio-level strategic, financial and regulatory trade-offs</t>
        </is>
      </c>
      <c r="H7" s="84" t="inlineStr">
        <is>
          <t>Enterprise-level functional strategy</t>
        </is>
      </c>
      <c r="I7" s="84" t="inlineStr">
        <is>
          <t>Already works at E2: Enterprise-wide uncertainty, transformation and external forces</t>
        </is>
      </c>
      <c r="J7" s="34" t="inlineStr">
        <is>
          <t>M</t>
        </is>
      </c>
      <c r="K7" s="84" t="inlineStr">
        <is>
          <t>Works at D2: Sets direction across business lines</t>
        </is>
      </c>
      <c r="L7" s="84" t="inlineStr">
        <is>
          <t>Sets enterprise priorities for the function</t>
        </is>
      </c>
      <c r="M7" s="84" t="inlineStr">
        <is>
          <t>Already works at E2: Accountable to the board</t>
        </is>
      </c>
      <c r="N7" s="34" t="inlineStr">
        <is>
          <t>M</t>
        </is>
      </c>
      <c r="O7" s="84" t="inlineStr">
        <is>
          <t>Works at D2: Multi-business results</t>
        </is>
      </c>
      <c r="P7" s="84" t="inlineStr">
        <is>
          <t>Enterprise-wide functional results</t>
        </is>
      </c>
      <c r="Q7" s="84" t="inlineStr">
        <is>
          <t>Already works at E2: Enterprise results, risk, culture and long-term viability</t>
        </is>
      </c>
      <c r="R7" s="34" t="inlineStr">
        <is>
          <t>M</t>
        </is>
      </c>
      <c r="S7" s="56" t="inlineStr">
        <is>
          <t>Works at D2: Builds the leadership team across businesses</t>
        </is>
      </c>
      <c r="T7" s="56" t="inlineStr">
        <is>
          <t>Shapes enterprise strategy</t>
        </is>
      </c>
      <c r="U7" s="56" t="inlineStr">
        <is>
          <t>Already works at E2: Sets enterprise strategy; leads the executive team</t>
        </is>
      </c>
      <c r="V7" s="34" t="inlineStr">
        <is>
          <t>L</t>
        </is>
      </c>
      <c r="W7" s="56" t="inlineStr">
        <is>
          <t>Works at D2: Owns the results of several business lines</t>
        </is>
      </c>
      <c r="X7" s="56" t="inlineStr">
        <is>
          <t>Shapes company-wide results through a function</t>
        </is>
      </c>
      <c r="Y7" s="56" t="inlineStr">
        <is>
          <t>Already works at E2: Answers for the whole company's results and long-term value</t>
        </is>
      </c>
      <c r="Z7" s="34" t="inlineStr">
        <is>
          <t>L</t>
        </is>
      </c>
      <c r="AA7" s="85" t="inlineStr">
        <is>
          <t>Less experience than the band's typical 20+ yrs</t>
        </is>
      </c>
      <c r="AB7" s="85" t="inlineStr">
        <is>
          <t>Typical for the band: 20+ yrs · market — yrs</t>
        </is>
      </c>
      <c r="AC7" s="85" t="inlineStr">
        <is>
          <t>More experience than the band's typical 20+ yrs</t>
        </is>
      </c>
      <c r="AD7" s="34" t="inlineStr">
        <is>
          <t>L</t>
        </is>
      </c>
      <c r="AE7" s="85" t="inlineStr">
        <is>
          <t>Below: Postgraduate / professional qualification preferred</t>
        </is>
      </c>
      <c r="AF7" s="85" t="inlineStr">
        <is>
          <t>Postgraduate / professional qualification; business leadership record</t>
        </is>
      </c>
      <c r="AG7" s="85" t="inlineStr">
        <is>
          <t>Above: Postgraduate / professional qualification; proven business leadership</t>
        </is>
      </c>
      <c r="AH7" s="44" t="inlineStr">
        <is>
          <t>36.3 · 19 · 11.3 · 20 · 8.7 · 4 · 1</t>
        </is>
      </c>
      <c r="AI7" s="38" t="inlineStr">
        <is>
          <t>20+ yrs</t>
        </is>
      </c>
      <c r="AJ7" s="38" t="inlineStr">
        <is>
          <t>5–8 function heads</t>
        </is>
      </c>
      <c r="AK7" s="38" t="inlineStr">
        <is>
          <t>E5 · SFIA 7</t>
        </is>
      </c>
      <c r="AL7"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8" ht="120" customHeight="1">
      <c r="A8" s="86" t="inlineStr">
        <is>
          <t>D2</t>
        </is>
      </c>
      <c r="B8" s="29" t="inlineStr">
        <is>
          <t>Band D · Business leadership</t>
        </is>
      </c>
      <c r="C8" s="29" t="inlineStr">
        <is>
          <t>Bands D–E · Leadership</t>
        </is>
      </c>
      <c r="D8" s="29" t="inlineStr">
        <is>
          <t>Senior Vice President / Business Head</t>
        </is>
      </c>
      <c r="E8" s="29" t="inlineStr">
        <is>
          <t>— no role at this level today</t>
        </is>
      </c>
      <c r="F8" s="34" t="inlineStr">
        <is>
          <t>H</t>
        </is>
      </c>
      <c r="G8" s="84" t="inlineStr">
        <is>
          <t>Works at D1: Competing strategic, financial and regulatory priorities</t>
        </is>
      </c>
      <c r="H8" s="84" t="inlineStr">
        <is>
          <t>Portfolio-level strategic, financial and regulatory trade-offs</t>
        </is>
      </c>
      <c r="I8" s="84" t="inlineStr">
        <is>
          <t>Already works at E1: Enterprise-level functional strategy</t>
        </is>
      </c>
      <c r="J8" s="34" t="inlineStr">
        <is>
          <t>M</t>
        </is>
      </c>
      <c r="K8" s="84" t="inlineStr">
        <is>
          <t>Works at D1: Sets business-line direction, pricing and investment</t>
        </is>
      </c>
      <c r="L8" s="84" t="inlineStr">
        <is>
          <t>Sets direction across business lines</t>
        </is>
      </c>
      <c r="M8" s="84" t="inlineStr">
        <is>
          <t>Already works at E1: Sets enterprise priorities for the function</t>
        </is>
      </c>
      <c r="N8" s="34" t="inlineStr">
        <is>
          <t>M</t>
        </is>
      </c>
      <c r="O8" s="84" t="inlineStr">
        <is>
          <t>Works at D1: Business-line P&amp;L and market position</t>
        </is>
      </c>
      <c r="P8" s="84" t="inlineStr">
        <is>
          <t>Multi-business results</t>
        </is>
      </c>
      <c r="Q8" s="84" t="inlineStr">
        <is>
          <t>Already works at E1: Enterprise-wide functional results</t>
        </is>
      </c>
      <c r="R8" s="34" t="inlineStr">
        <is>
          <t>M</t>
        </is>
      </c>
      <c r="S8" s="56" t="inlineStr">
        <is>
          <t>Works at D1: Defines business strategy; builds the leadership bench</t>
        </is>
      </c>
      <c r="T8" s="56" t="inlineStr">
        <is>
          <t>Builds the leadership team across businesses</t>
        </is>
      </c>
      <c r="U8" s="56" t="inlineStr">
        <is>
          <t>Already works at E1: Shapes enterprise strategy</t>
        </is>
      </c>
      <c r="V8" s="34" t="inlineStr">
        <is>
          <t>L</t>
        </is>
      </c>
      <c r="W8" s="56" t="inlineStr">
        <is>
          <t>Works at D1: Owns a business line's P&amp;L and growth, or a company-wide function</t>
        </is>
      </c>
      <c r="X8" s="56" t="inlineStr">
        <is>
          <t>Owns the results of several business lines</t>
        </is>
      </c>
      <c r="Y8" s="56" t="inlineStr">
        <is>
          <t>Already works at E1: Shapes company-wide results through a function</t>
        </is>
      </c>
      <c r="Z8" s="34" t="inlineStr">
        <is>
          <t>L</t>
        </is>
      </c>
      <c r="AA8" s="85" t="inlineStr">
        <is>
          <t>Less experience than the band's typical 18–24 yrs</t>
        </is>
      </c>
      <c r="AB8" s="85" t="inlineStr">
        <is>
          <t>Typical for the band: 18–24 yrs · market — yrs</t>
        </is>
      </c>
      <c r="AC8" s="85" t="inlineStr">
        <is>
          <t>More experience than the band's typical 18–24 yrs</t>
        </is>
      </c>
      <c r="AD8" s="34" t="inlineStr">
        <is>
          <t>L</t>
        </is>
      </c>
      <c r="AE8" s="85" t="inlineStr">
        <is>
          <t>Below: Postgraduate / professional qualification preferred</t>
        </is>
      </c>
      <c r="AF8" s="85" t="inlineStr">
        <is>
          <t>Postgraduate / professional qualification preferred</t>
        </is>
      </c>
      <c r="AG8" s="85" t="inlineStr">
        <is>
          <t>Above: Postgraduate / professional qualification; business leadership record</t>
        </is>
      </c>
      <c r="AH8" s="44" t="inlineStr">
        <is>
          <t>36.3 · 19 · 11.3 · 20 · 8.7 · 4 · 1</t>
        </is>
      </c>
      <c r="AI8" s="38" t="inlineStr">
        <is>
          <t>18–24 yrs</t>
        </is>
      </c>
      <c r="AJ8" s="38" t="inlineStr">
        <is>
          <t>5–8 AVPs / heads</t>
        </is>
      </c>
      <c r="AK8" s="38" t="inlineStr">
        <is>
          <t>E3–E4 · SFIA 7 Set strategy</t>
        </is>
      </c>
      <c r="AL8"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9" ht="120" customHeight="1">
      <c r="A9" s="86" t="inlineStr">
        <is>
          <t>D1</t>
        </is>
      </c>
      <c r="B9" s="29" t="inlineStr">
        <is>
          <t>Band D · Business leadership</t>
        </is>
      </c>
      <c r="C9" s="29" t="inlineStr">
        <is>
          <t>Bands D–E · Leadership</t>
        </is>
      </c>
      <c r="D9" s="29" t="inlineStr">
        <is>
          <t>Associate Vice President</t>
        </is>
      </c>
      <c r="E9" s="29" t="inlineStr">
        <is>
          <t>— no role at this level today</t>
        </is>
      </c>
      <c r="F9" s="34" t="inlineStr">
        <is>
          <t>H</t>
        </is>
      </c>
      <c r="G9" s="84" t="inlineStr">
        <is>
          <t>Works at C2: Function-wide or company-wide problems; creates methods and standards</t>
        </is>
      </c>
      <c r="H9" s="84" t="inlineStr">
        <is>
          <t>Competing strategic, financial and regulatory priorities</t>
        </is>
      </c>
      <c r="I9" s="84" t="inlineStr">
        <is>
          <t>Already works at D2: Portfolio-level strategic, financial and regulatory trade-offs</t>
        </is>
      </c>
      <c r="J9" s="34" t="inlineStr">
        <is>
          <t>M</t>
        </is>
      </c>
      <c r="K9" s="84" t="inlineStr">
        <is>
          <t>Works at C2: Sets direction for a function</t>
        </is>
      </c>
      <c r="L9" s="84" t="inlineStr">
        <is>
          <t>Sets business-line direction, pricing and investment</t>
        </is>
      </c>
      <c r="M9" s="84" t="inlineStr">
        <is>
          <t>Already works at D2: Sets direction across business lines</t>
        </is>
      </c>
      <c r="N9" s="34" t="inlineStr">
        <is>
          <t>M</t>
        </is>
      </c>
      <c r="O9" s="84" t="inlineStr">
        <is>
          <t>Works at C2: Function results, budget and risk</t>
        </is>
      </c>
      <c r="P9" s="84" t="inlineStr">
        <is>
          <t>Business-line P&amp;L and market position</t>
        </is>
      </c>
      <c r="Q9" s="84" t="inlineStr">
        <is>
          <t>Already works at D2: Multi-business results</t>
        </is>
      </c>
      <c r="R9" s="34" t="inlineStr">
        <is>
          <t>M</t>
        </is>
      </c>
      <c r="S9" s="56" t="inlineStr">
        <is>
          <t>Works at C2: Leads a function; shapes functional strategy</t>
        </is>
      </c>
      <c r="T9" s="56" t="inlineStr">
        <is>
          <t>Defines business strategy; builds the leadership bench</t>
        </is>
      </c>
      <c r="U9" s="56" t="inlineStr">
        <is>
          <t>Already works at D2: Builds the leadership team across businesses</t>
        </is>
      </c>
      <c r="V9" s="34" t="inlineStr">
        <is>
          <t>L</t>
        </is>
      </c>
      <c r="W9" s="56" t="inlineStr">
        <is>
          <t>Works at C2: Drives a function's or department's results and costs</t>
        </is>
      </c>
      <c r="X9" s="56" t="inlineStr">
        <is>
          <t>Owns a business line's P&amp;L and growth, or a company-wide function</t>
        </is>
      </c>
      <c r="Y9" s="56" t="inlineStr">
        <is>
          <t>Already works at D2: Owns the results of several business lines</t>
        </is>
      </c>
      <c r="Z9" s="34" t="inlineStr">
        <is>
          <t>L</t>
        </is>
      </c>
      <c r="AA9" s="85" t="inlineStr">
        <is>
          <t>Less experience than the band's typical 15–20 yrs</t>
        </is>
      </c>
      <c r="AB9" s="85" t="inlineStr">
        <is>
          <t>Typical for the band: 15–20 yrs · market — yrs</t>
        </is>
      </c>
      <c r="AC9" s="85" t="inlineStr">
        <is>
          <t>More experience than the band's typical 15–20 yrs</t>
        </is>
      </c>
      <c r="AD9" s="34" t="inlineStr">
        <is>
          <t>L</t>
        </is>
      </c>
      <c r="AE9" s="85" t="inlineStr">
        <is>
          <t>Below: Postgraduate / professional qualification preferred</t>
        </is>
      </c>
      <c r="AF9" s="85" t="inlineStr">
        <is>
          <t>Postgraduate / professional qualification preferred</t>
        </is>
      </c>
      <c r="AG9" s="85" t="inlineStr">
        <is>
          <t>Above: Postgraduate / professional qualification preferred</t>
        </is>
      </c>
      <c r="AH9" s="44" t="inlineStr">
        <is>
          <t>36.3 · 19 · 11.3 · 20 · 8.7 · 4 · 1</t>
        </is>
      </c>
      <c r="AI9" s="38" t="inlineStr">
        <is>
          <t>15–20 yrs</t>
        </is>
      </c>
      <c r="AJ9" s="38" t="inlineStr">
        <is>
          <t>5–8 heads</t>
        </is>
      </c>
      <c r="AK9" s="38" t="inlineStr">
        <is>
          <t>E1–E2 · SFIA 6–7</t>
        </is>
      </c>
      <c r="AL9"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0" ht="120" customHeight="1">
      <c r="A10" s="87" t="inlineStr">
        <is>
          <t>C+</t>
        </is>
      </c>
      <c r="B10" s="29" t="inlineStr">
        <is>
          <t>C+ · Player-Coach</t>
        </is>
      </c>
      <c r="C10" s="29" t="inlineStr">
        <is>
          <t>C+ · Player-Coach</t>
        </is>
      </c>
      <c r="D10" s="29" t="inlineStr">
        <is>
          <t>Group Head · Player-Coach</t>
        </is>
      </c>
      <c r="E10" s="29" t="inlineStr">
        <is>
          <t>— no role at this level today</t>
        </is>
      </c>
      <c r="F10" s="34" t="inlineStr">
        <is>
          <t>H</t>
        </is>
      </c>
      <c r="G10" s="84" t="inlineStr">
        <is>
          <t>Works at C2: Function-wide or company-wide problems; creates methods and standards</t>
        </is>
      </c>
      <c r="H10" s="84" t="inlineStr">
        <is>
          <t>Function-wide and cross-product problems; personally handles the most critical client or technical work</t>
        </is>
      </c>
      <c r="I10" s="84" t="inlineStr">
        <is>
          <t>Already works at D1: Competing strategic, financial and regulatory priorities</t>
        </is>
      </c>
      <c r="J10" s="34" t="inlineStr">
        <is>
          <t>M</t>
        </is>
      </c>
      <c r="K10" s="84" t="inlineStr">
        <is>
          <t>Works at C2: Sets direction for a function</t>
        </is>
      </c>
      <c r="L10" s="84" t="inlineStr">
        <is>
          <t>Sets direction for the function; business-line trade-offs go to the Business Head</t>
        </is>
      </c>
      <c r="M10" s="84" t="inlineStr">
        <is>
          <t>Already works at D1: Sets business-line direction, pricing and investment</t>
        </is>
      </c>
      <c r="N10" s="34" t="inlineStr">
        <is>
          <t>M</t>
        </is>
      </c>
      <c r="O10" s="84" t="inlineStr">
        <is>
          <t>Works at C2: Function results, budget and risk</t>
        </is>
      </c>
      <c r="P10" s="84" t="inlineStr">
        <is>
          <t>Function results, budget and key-client outcomes; carries own book or principal delivery</t>
        </is>
      </c>
      <c r="Q10" s="84" t="inlineStr">
        <is>
          <t>Already works at D1: Business-line P&amp;L and market position</t>
        </is>
      </c>
      <c r="R10" s="34" t="inlineStr">
        <is>
          <t>M</t>
        </is>
      </c>
      <c r="S10" s="56" t="inlineStr">
        <is>
          <t>Works at C2: Leads a function; shapes functional strategy</t>
        </is>
      </c>
      <c r="T10" s="56" t="inlineStr">
        <is>
          <t>Leads managers and leads and 10+ people in the function while staying hands-on</t>
        </is>
      </c>
      <c r="U10" s="56" t="inlineStr">
        <is>
          <t>Already works at D1: Defines business strategy; builds the leadership bench</t>
        </is>
      </c>
      <c r="V10" s="34" t="inlineStr">
        <is>
          <t>L</t>
        </is>
      </c>
      <c r="W10" s="56" t="inlineStr">
        <is>
          <t>Works at C2: Drives a function's or department's results and costs</t>
        </is>
      </c>
      <c r="X10" s="56" t="inlineStr">
        <is>
          <t>Drives a function's results and personally wins or delivers key work</t>
        </is>
      </c>
      <c r="Y10" s="56" t="inlineStr">
        <is>
          <t>Already works at D1: Owns a business line's P&amp;L and growth, or a company-wide function</t>
        </is>
      </c>
      <c r="Z10" s="34" t="inlineStr">
        <is>
          <t>L</t>
        </is>
      </c>
      <c r="AA10" s="85" t="inlineStr">
        <is>
          <t>Less experience than the band's typical 13–18 yrs</t>
        </is>
      </c>
      <c r="AB10" s="85" t="inlineStr">
        <is>
          <t>Typical for the band: 13–18 yrs · market 15–18 yrs</t>
        </is>
      </c>
      <c r="AC10" s="85" t="inlineStr">
        <is>
          <t>More experience than the band's typical 13–18 yrs</t>
        </is>
      </c>
      <c r="AD10" s="34" t="inlineStr">
        <is>
          <t>L</t>
        </is>
      </c>
      <c r="AE10" s="85" t="inlineStr">
        <is>
          <t>Below: Postgraduate / professional qualification preferred</t>
        </is>
      </c>
      <c r="AF10" s="85" t="inlineStr">
        <is>
          <t>Postgraduate / professional qualification preferred</t>
        </is>
      </c>
      <c r="AG10" s="85" t="inlineStr">
        <is>
          <t>Above: Postgraduate / professional qualification preferred</t>
        </is>
      </c>
      <c r="AH10" s="44" t="inlineStr">
        <is>
          <t>37.7 · 18.3 · 10.7 · 20 · 8 · 4 · 1</t>
        </is>
      </c>
      <c r="AI10" s="38" t="inlineStr">
        <is>
          <t>15–18</t>
        </is>
      </c>
      <c r="AJ10" s="38" t="inlineStr">
        <is>
          <t>4–8 managers / leads with ≥ 25% of time on own principal delivery</t>
        </is>
      </c>
      <c r="AK10" s="38" t="inlineStr">
        <is>
          <t>M6 / E1 · SFIA 6 Initiate, influence</t>
        </is>
      </c>
      <c r="AL10"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1" ht="120" customHeight="1">
      <c r="A11" s="88" t="inlineStr">
        <is>
          <t>C2</t>
        </is>
      </c>
      <c r="B11" s="29" t="inlineStr">
        <is>
          <t>Band C · Principal / Head</t>
        </is>
      </c>
      <c r="C11" s="29" t="inlineStr">
        <is>
          <t>Band C · Head / manager</t>
        </is>
      </c>
      <c r="D11" s="29" t="inlineStr">
        <is>
          <t>Head of Function</t>
        </is>
      </c>
      <c r="E11" s="29" t="inlineStr">
        <is>
          <t>— no role at this level today</t>
        </is>
      </c>
      <c r="F11" s="34" t="inlineStr">
        <is>
          <t>H</t>
        </is>
      </c>
      <c r="G11" s="84" t="inlineStr">
        <is>
          <t>Works at C1: Ambiguous, cross-product problems</t>
        </is>
      </c>
      <c r="H11" s="84" t="inlineStr">
        <is>
          <t>Function-wide or company-wide problems; creates methods and standards</t>
        </is>
      </c>
      <c r="I11" s="84" t="inlineStr">
        <is>
          <t>Already works at D1: Competing strategic, financial and regulatory priorities</t>
        </is>
      </c>
      <c r="J11" s="34" t="inlineStr">
        <is>
          <t>M</t>
        </is>
      </c>
      <c r="K11" s="84" t="inlineStr">
        <is>
          <t>Works at C1: Sets direction for a sub-function or domain</t>
        </is>
      </c>
      <c r="L11" s="84" t="inlineStr">
        <is>
          <t>Sets direction for a function</t>
        </is>
      </c>
      <c r="M11" s="84" t="inlineStr">
        <is>
          <t>Already works at D1: Sets business-line direction, pricing and investment</t>
        </is>
      </c>
      <c r="N11" s="34" t="inlineStr">
        <is>
          <t>M</t>
        </is>
      </c>
      <c r="O11" s="84" t="inlineStr">
        <is>
          <t>Works at C1: Sub-function results or domain quality across products</t>
        </is>
      </c>
      <c r="P11" s="84" t="inlineStr">
        <is>
          <t>Function results, budget and risk</t>
        </is>
      </c>
      <c r="Q11" s="84" t="inlineStr">
        <is>
          <t>Already works at D1: Business-line P&amp;L and market position</t>
        </is>
      </c>
      <c r="R11" s="34" t="inlineStr">
        <is>
          <t>M</t>
        </is>
      </c>
      <c r="S11" s="56" t="inlineStr">
        <is>
          <t>Works at C1: Leads managers or a community of practice</t>
        </is>
      </c>
      <c r="T11" s="56" t="inlineStr">
        <is>
          <t>Leads a function; shapes functional strategy</t>
        </is>
      </c>
      <c r="U11" s="56" t="inlineStr">
        <is>
          <t>Already works at D1: Defines business strategy; builds the leadership bench</t>
        </is>
      </c>
      <c r="V11" s="34" t="inlineStr">
        <is>
          <t>L</t>
        </is>
      </c>
      <c r="W11" s="56" t="inlineStr">
        <is>
          <t>Works at C1: Changes results across a sub-function or across products</t>
        </is>
      </c>
      <c r="X11" s="56" t="inlineStr">
        <is>
          <t>Drives a function's or department's results and costs</t>
        </is>
      </c>
      <c r="Y11" s="56" t="inlineStr">
        <is>
          <t>Already works at D1: Owns a business line's P&amp;L and growth, or a company-wide function</t>
        </is>
      </c>
      <c r="Z11" s="34" t="inlineStr">
        <is>
          <t>L</t>
        </is>
      </c>
      <c r="AA11" s="85" t="inlineStr">
        <is>
          <t>Less experience than the band's typical 12–17 yrs</t>
        </is>
      </c>
      <c r="AB11" s="85" t="inlineStr">
        <is>
          <t>Typical for the band: 12–17 yrs · market — yrs</t>
        </is>
      </c>
      <c r="AC11" s="85" t="inlineStr">
        <is>
          <t>More experience than the band's typical 12–17 yrs</t>
        </is>
      </c>
      <c r="AD11" s="34" t="inlineStr">
        <is>
          <t>L</t>
        </is>
      </c>
      <c r="AE11" s="85" t="inlineStr">
        <is>
          <t>Below: Postgraduate / professional qualification preferred</t>
        </is>
      </c>
      <c r="AF11" s="85" t="inlineStr">
        <is>
          <t>Postgraduate / professional qualification preferred</t>
        </is>
      </c>
      <c r="AG11" s="85" t="inlineStr">
        <is>
          <t>Above: Postgraduate / professional qualification preferred</t>
        </is>
      </c>
      <c r="AH11" s="44" t="inlineStr">
        <is>
          <t>43.3 · 18 · 10.7 · 15 · 8 · 4 · 1</t>
        </is>
      </c>
      <c r="AI11" s="38" t="inlineStr">
        <is>
          <t>12–17 yrs</t>
        </is>
      </c>
      <c r="AJ11" s="38" t="inlineStr">
        <is>
          <t>5–8 managers / associate heads</t>
        </is>
      </c>
      <c r="AK11" s="38" t="inlineStr">
        <is>
          <t>P7 / M6 · SFIA 6 Initiate, influence</t>
        </is>
      </c>
      <c r="AL11"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2" ht="120" customHeight="1">
      <c r="A12" s="88" t="inlineStr">
        <is>
          <t>C2</t>
        </is>
      </c>
      <c r="B12" s="29" t="inlineStr">
        <is>
          <t>Band C · Principal / Head</t>
        </is>
      </c>
      <c r="C12" s="29" t="inlineStr">
        <is>
          <t>Band C · Principal specialist</t>
        </is>
      </c>
      <c r="D12" s="29" t="inlineStr">
        <is>
          <t>Senior Principal / Architect</t>
        </is>
      </c>
      <c r="E12" s="29" t="inlineStr">
        <is>
          <t>— no role at this level today</t>
        </is>
      </c>
      <c r="F12" s="34" t="inlineStr">
        <is>
          <t>H</t>
        </is>
      </c>
      <c r="G12" s="84" t="inlineStr">
        <is>
          <t>Works at C1: Ambiguous, cross-product problems</t>
        </is>
      </c>
      <c r="H12" s="84" t="inlineStr">
        <is>
          <t>Function-wide or company-wide problems; creates methods and standards</t>
        </is>
      </c>
      <c r="I12" s="84" t="inlineStr">
        <is>
          <t>Already works at D1: Competing strategic, financial and regulatory priorities</t>
        </is>
      </c>
      <c r="J12" s="34" t="inlineStr">
        <is>
          <t>M</t>
        </is>
      </c>
      <c r="K12" s="84" t="inlineStr">
        <is>
          <t>Works at C1: Sets direction for a sub-function or domain</t>
        </is>
      </c>
      <c r="L12" s="84" t="inlineStr">
        <is>
          <t>Sets direction for a function</t>
        </is>
      </c>
      <c r="M12" s="84" t="inlineStr">
        <is>
          <t>Already works at D1: Sets business-line direction, pricing and investment</t>
        </is>
      </c>
      <c r="N12" s="34" t="inlineStr">
        <is>
          <t>M</t>
        </is>
      </c>
      <c r="O12" s="84" t="inlineStr">
        <is>
          <t>Works at C1: Sub-function results or domain quality across products</t>
        </is>
      </c>
      <c r="P12" s="84" t="inlineStr">
        <is>
          <t>Function results, budget and risk</t>
        </is>
      </c>
      <c r="Q12" s="84" t="inlineStr">
        <is>
          <t>Already works at D1: Business-line P&amp;L and market position</t>
        </is>
      </c>
      <c r="R12" s="34" t="inlineStr">
        <is>
          <t>L</t>
        </is>
      </c>
      <c r="S12" s="56" t="inlineStr">
        <is>
          <t>Works at C1: Leads managers or a community of practice</t>
        </is>
      </c>
      <c r="T12" s="56" t="inlineStr">
        <is>
          <t>Leads a function; shapes functional strategy</t>
        </is>
      </c>
      <c r="U12" s="56" t="inlineStr">
        <is>
          <t>Already works at D1: Defines business strategy; builds the leadership bench</t>
        </is>
      </c>
      <c r="V12" s="34" t="inlineStr">
        <is>
          <t>L</t>
        </is>
      </c>
      <c r="W12" s="56" t="inlineStr">
        <is>
          <t>Works at C1: Changes results across a sub-function or across products</t>
        </is>
      </c>
      <c r="X12" s="56" t="inlineStr">
        <is>
          <t>Drives a function's or department's results and costs</t>
        </is>
      </c>
      <c r="Y12" s="56" t="inlineStr">
        <is>
          <t>Already works at D1: Owns a business line's P&amp;L and growth, or a company-wide function</t>
        </is>
      </c>
      <c r="Z12" s="34" t="inlineStr">
        <is>
          <t>L</t>
        </is>
      </c>
      <c r="AA12" s="85" t="inlineStr">
        <is>
          <t>Less experience than the band's typical 12–17 yrs</t>
        </is>
      </c>
      <c r="AB12" s="85" t="inlineStr">
        <is>
          <t>Typical for the band: 12–17 yrs · market — yrs</t>
        </is>
      </c>
      <c r="AC12" s="85" t="inlineStr">
        <is>
          <t>More experience than the band's typical 12–17 yrs</t>
        </is>
      </c>
      <c r="AD12" s="34" t="inlineStr">
        <is>
          <t>L</t>
        </is>
      </c>
      <c r="AE12" s="85" t="inlineStr">
        <is>
          <t>Below: Postgraduate / professional qualification preferred</t>
        </is>
      </c>
      <c r="AF12" s="85" t="inlineStr">
        <is>
          <t>Postgraduate / professional qualification preferred</t>
        </is>
      </c>
      <c r="AG12" s="85" t="inlineStr">
        <is>
          <t>Above: Postgraduate / professional qualification preferred</t>
        </is>
      </c>
      <c r="AH12" s="44" t="inlineStr">
        <is>
          <t>54.3 · 17.7 · 10.3 · 5 · 7.7 · 4 · 1</t>
        </is>
      </c>
      <c r="AI12" s="38" t="inlineStr">
        <is>
          <t>12–17 yrs</t>
        </is>
      </c>
      <c r="AJ12" s="38" t="inlineStr">
        <is>
          <t>5–8 managers / associate heads</t>
        </is>
      </c>
      <c r="AK12" s="38" t="inlineStr">
        <is>
          <t>P7 / M6 · SFIA 6 Initiate, influence</t>
        </is>
      </c>
      <c r="AL12"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3" ht="120" customHeight="1">
      <c r="A13" s="88" t="inlineStr">
        <is>
          <t>C1</t>
        </is>
      </c>
      <c r="B13" s="29" t="inlineStr">
        <is>
          <t>Band C · Principal / Head</t>
        </is>
      </c>
      <c r="C13" s="29" t="inlineStr">
        <is>
          <t>Band C · Head / manager</t>
        </is>
      </c>
      <c r="D13" s="29" t="inlineStr">
        <is>
          <t>Associate Head</t>
        </is>
      </c>
      <c r="E13" s="29" t="inlineStr">
        <is>
          <t>— no role at this level today</t>
        </is>
      </c>
      <c r="F13" s="34" t="inlineStr">
        <is>
          <t>H</t>
        </is>
      </c>
      <c r="G13" s="84" t="inlineStr">
        <is>
          <t>Works at B3: Sets standards for a practice; cross-team problems</t>
        </is>
      </c>
      <c r="H13" s="84" t="inlineStr">
        <is>
          <t>Ambiguous, cross-product problems</t>
        </is>
      </c>
      <c r="I13" s="84" t="inlineStr">
        <is>
          <t>Already works at C2: Function-wide or company-wide problems; creates methods and standards</t>
        </is>
      </c>
      <c r="J13" s="34" t="inlineStr">
        <is>
          <t>M</t>
        </is>
      </c>
      <c r="K13" s="84" t="inlineStr">
        <is>
          <t>Works at B3: Commercial / strategic calls for the unit</t>
        </is>
      </c>
      <c r="L13" s="84" t="inlineStr">
        <is>
          <t>Sets direction for a sub-function or domain</t>
        </is>
      </c>
      <c r="M13" s="84" t="inlineStr">
        <is>
          <t>Already works at C2: Sets direction for a function</t>
        </is>
      </c>
      <c r="N13" s="34" t="inlineStr">
        <is>
          <t>M</t>
        </is>
      </c>
      <c r="O13" s="84" t="inlineStr">
        <is>
          <t>Works at B3: Several teams or a practice</t>
        </is>
      </c>
      <c r="P13" s="84" t="inlineStr">
        <is>
          <t>Sub-function results or domain quality across products</t>
        </is>
      </c>
      <c r="Q13" s="84" t="inlineStr">
        <is>
          <t>Already works at C2: Function results, budget and risk</t>
        </is>
      </c>
      <c r="R13" s="34" t="inlineStr">
        <is>
          <t>M</t>
        </is>
      </c>
      <c r="S13" s="56" t="inlineStr">
        <is>
          <t>Works at B3: IC: leads a practice · People: team leads / managers report in</t>
        </is>
      </c>
      <c r="T13" s="56" t="inlineStr">
        <is>
          <t>Leads managers or a community of practice</t>
        </is>
      </c>
      <c r="U13" s="56" t="inlineStr">
        <is>
          <t>Already works at C2: Leads a function; shapes functional strategy</t>
        </is>
      </c>
      <c r="V13" s="34" t="inlineStr">
        <is>
          <t>L</t>
        </is>
      </c>
      <c r="W13" s="56" t="inlineStr">
        <is>
          <t>Works at B3: Shapes the results of a practice or several teams</t>
        </is>
      </c>
      <c r="X13" s="56" t="inlineStr">
        <is>
          <t>Changes results across a sub-function or across products</t>
        </is>
      </c>
      <c r="Y13" s="56" t="inlineStr">
        <is>
          <t>Already works at C2: Drives a function's or department's results and costs</t>
        </is>
      </c>
      <c r="Z13" s="34" t="inlineStr">
        <is>
          <t>L</t>
        </is>
      </c>
      <c r="AA13" s="85" t="inlineStr">
        <is>
          <t>Less experience than the band's typical 10–14 yrs</t>
        </is>
      </c>
      <c r="AB13" s="85" t="inlineStr">
        <is>
          <t>Typical for the band: 10–14 yrs · market 12–17 yrs</t>
        </is>
      </c>
      <c r="AC13" s="85" t="inlineStr">
        <is>
          <t>More experience than the band's typical 10–14 yrs</t>
        </is>
      </c>
      <c r="AD13" s="34" t="inlineStr">
        <is>
          <t>L</t>
        </is>
      </c>
      <c r="AE13" s="85" t="inlineStr">
        <is>
          <t>Below: Postgraduate or professional qualification preferred</t>
        </is>
      </c>
      <c r="AF13" s="85" t="inlineStr">
        <is>
          <t>Postgraduate / professional qualification preferred</t>
        </is>
      </c>
      <c r="AG13" s="85" t="inlineStr">
        <is>
          <t>Above: Postgraduate / professional qualification preferred</t>
        </is>
      </c>
      <c r="AH13" s="44" t="inlineStr">
        <is>
          <t>43.3 · 18 · 10.7 · 15 · 8 · 4 · 1</t>
        </is>
      </c>
      <c r="AI13" s="38" t="inlineStr">
        <is>
          <t>12–17</t>
        </is>
      </c>
      <c r="AJ13" s="38" t="inlineStr">
        <is>
          <t>5–8, mostly managers</t>
        </is>
      </c>
      <c r="AK13" s="38" t="inlineStr">
        <is>
          <t>P6 / M5 · SFIA 5–6</t>
        </is>
      </c>
      <c r="AL13"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4" ht="120" customHeight="1">
      <c r="A14" s="88" t="inlineStr">
        <is>
          <t>C1</t>
        </is>
      </c>
      <c r="B14" s="29" t="inlineStr">
        <is>
          <t>Band C · Principal / Head</t>
        </is>
      </c>
      <c r="C14" s="29" t="inlineStr">
        <is>
          <t>Band C · Principal specialist</t>
        </is>
      </c>
      <c r="D14" s="29" t="inlineStr">
        <is>
          <t>Principal</t>
        </is>
      </c>
      <c r="E14" s="29" t="inlineStr">
        <is>
          <t>— no role at this level today</t>
        </is>
      </c>
      <c r="F14" s="34" t="inlineStr">
        <is>
          <t>H</t>
        </is>
      </c>
      <c r="G14" s="84" t="inlineStr">
        <is>
          <t>Works at B3: Sets standards for a practice; cross-team problems</t>
        </is>
      </c>
      <c r="H14" s="84" t="inlineStr">
        <is>
          <t>Ambiguous, cross-product problems</t>
        </is>
      </c>
      <c r="I14" s="84" t="inlineStr">
        <is>
          <t>Already works at C2: Function-wide or company-wide problems; creates methods and standards</t>
        </is>
      </c>
      <c r="J14" s="34" t="inlineStr">
        <is>
          <t>M</t>
        </is>
      </c>
      <c r="K14" s="84" t="inlineStr">
        <is>
          <t>Works at B3: Commercial / strategic calls for the unit</t>
        </is>
      </c>
      <c r="L14" s="84" t="inlineStr">
        <is>
          <t>Sets direction for a sub-function or domain</t>
        </is>
      </c>
      <c r="M14" s="84" t="inlineStr">
        <is>
          <t>Already works at C2: Sets direction for a function</t>
        </is>
      </c>
      <c r="N14" s="34" t="inlineStr">
        <is>
          <t>M</t>
        </is>
      </c>
      <c r="O14" s="84" t="inlineStr">
        <is>
          <t>Works at B3: Several teams or a practice</t>
        </is>
      </c>
      <c r="P14" s="84" t="inlineStr">
        <is>
          <t>Sub-function results or domain quality across products</t>
        </is>
      </c>
      <c r="Q14" s="84" t="inlineStr">
        <is>
          <t>Already works at C2: Function results, budget and risk</t>
        </is>
      </c>
      <c r="R14" s="34" t="inlineStr">
        <is>
          <t>L</t>
        </is>
      </c>
      <c r="S14" s="56" t="inlineStr">
        <is>
          <t>Works at B3: IC: leads a practice · People: team leads / managers report in</t>
        </is>
      </c>
      <c r="T14" s="56" t="inlineStr">
        <is>
          <t>Leads managers or a community of practice</t>
        </is>
      </c>
      <c r="U14" s="56" t="inlineStr">
        <is>
          <t>Already works at C2: Leads a function; shapes functional strategy</t>
        </is>
      </c>
      <c r="V14" s="34" t="inlineStr">
        <is>
          <t>L</t>
        </is>
      </c>
      <c r="W14" s="56" t="inlineStr">
        <is>
          <t>Works at B3: Shapes the results of a practice or several teams</t>
        </is>
      </c>
      <c r="X14" s="56" t="inlineStr">
        <is>
          <t>Changes results across a sub-function or across products</t>
        </is>
      </c>
      <c r="Y14" s="56" t="inlineStr">
        <is>
          <t>Already works at C2: Drives a function's or department's results and costs</t>
        </is>
      </c>
      <c r="Z14" s="34" t="inlineStr">
        <is>
          <t>L</t>
        </is>
      </c>
      <c r="AA14" s="85" t="inlineStr">
        <is>
          <t>Less experience than the band's typical 10–14 yrs</t>
        </is>
      </c>
      <c r="AB14" s="85" t="inlineStr">
        <is>
          <t>Typical for the band: 10–14 yrs · market 12–17 yrs</t>
        </is>
      </c>
      <c r="AC14" s="85" t="inlineStr">
        <is>
          <t>More experience than the band's typical 10–14 yrs</t>
        </is>
      </c>
      <c r="AD14" s="34" t="inlineStr">
        <is>
          <t>L</t>
        </is>
      </c>
      <c r="AE14" s="85" t="inlineStr">
        <is>
          <t>Below: Postgraduate or professional qualification preferred</t>
        </is>
      </c>
      <c r="AF14" s="85" t="inlineStr">
        <is>
          <t>Postgraduate / professional qualification preferred</t>
        </is>
      </c>
      <c r="AG14" s="85" t="inlineStr">
        <is>
          <t>Above: Postgraduate / professional qualification preferred</t>
        </is>
      </c>
      <c r="AH14" s="44" t="inlineStr">
        <is>
          <t>54.3 · 17.7 · 10.3 · 5 · 7.7 · 4 · 1</t>
        </is>
      </c>
      <c r="AI14" s="38" t="inlineStr">
        <is>
          <t>12–17</t>
        </is>
      </c>
      <c r="AJ14" s="38" t="inlineStr">
        <is>
          <t>5–8, mostly managers</t>
        </is>
      </c>
      <c r="AK14" s="38" t="inlineStr">
        <is>
          <t>P6 / M5 · SFIA 5–6</t>
        </is>
      </c>
      <c r="AL14"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5" ht="120" customHeight="1">
      <c r="A15" s="89" t="inlineStr">
        <is>
          <t>B+</t>
        </is>
      </c>
      <c r="B15" s="29" t="inlineStr">
        <is>
          <t>B+ · Player-Coach</t>
        </is>
      </c>
      <c r="C15" s="29" t="inlineStr">
        <is>
          <t>B+ · Player-Coach</t>
        </is>
      </c>
      <c r="D15" s="29" t="inlineStr">
        <is>
          <t>Practice Lead · Player-Coach</t>
        </is>
      </c>
      <c r="E15" s="29" t="inlineStr">
        <is>
          <t>— no role at this level today</t>
        </is>
      </c>
      <c r="F15" s="34" t="inlineStr">
        <is>
          <t>H</t>
        </is>
      </c>
      <c r="G15" s="84" t="inlineStr">
        <is>
          <t>Works at B3: Sets standards for a practice; cross-team problems</t>
        </is>
      </c>
      <c r="H15" s="84" t="inlineStr">
        <is>
          <t>Principal-level problems in own domain; sets technical or quality standards and still builds</t>
        </is>
      </c>
      <c r="I15" s="84" t="inlineStr">
        <is>
          <t>Already works at C1: Ambiguous, cross-product problems</t>
        </is>
      </c>
      <c r="J15" s="34" t="inlineStr">
        <is>
          <t>M</t>
        </is>
      </c>
      <c r="K15" s="84" t="inlineStr">
        <is>
          <t>Works at B3: Commercial / strategic calls for the unit</t>
        </is>
      </c>
      <c r="L15" s="84" t="inlineStr">
        <is>
          <t>Decides approach and priorities for the practice; escalates only cross-function trade-offs</t>
        </is>
      </c>
      <c r="M15" s="84" t="inlineStr">
        <is>
          <t>Already works at C1: Sets direction for a sub-function or domain</t>
        </is>
      </c>
      <c r="N15" s="34" t="inlineStr">
        <is>
          <t>M</t>
        </is>
      </c>
      <c r="O15" s="84" t="inlineStr">
        <is>
          <t>Works at B3: Several teams or a practice</t>
        </is>
      </c>
      <c r="P15" s="84" t="inlineStr">
        <is>
          <t>Practice outcomes plus own deliverables; quality and delivery of the team</t>
        </is>
      </c>
      <c r="Q15" s="84" t="inlineStr">
        <is>
          <t>Already works at C1: Sub-function results or domain quality across products</t>
        </is>
      </c>
      <c r="R15" s="34" t="inlineStr">
        <is>
          <t>M</t>
        </is>
      </c>
      <c r="S15" s="56" t="inlineStr">
        <is>
          <t>Works at B3: IC: leads a practice · People: team leads / managers report in</t>
        </is>
      </c>
      <c r="T15" s="56" t="inlineStr">
        <is>
          <t>Leads 3–6 people · or a pod while remaining a hands-on expert; coaches, allocates, reviews</t>
        </is>
      </c>
      <c r="U15" s="56" t="inlineStr">
        <is>
          <t>Already works at C1: Leads managers or a community of practice</t>
        </is>
      </c>
      <c r="V15" s="34" t="inlineStr">
        <is>
          <t>L</t>
        </is>
      </c>
      <c r="W15" s="56" t="inlineStr">
        <is>
          <t>Works at B3: Shapes the results of a practice or several teams</t>
        </is>
      </c>
      <c r="X15" s="56" t="inlineStr">
        <is>
          <t>Drives a practice's results while delivering the hardest work</t>
        </is>
      </c>
      <c r="Y15" s="56" t="inlineStr">
        <is>
          <t>Already works at C1: Changes results across a sub-function or across products</t>
        </is>
      </c>
      <c r="Z15" s="34" t="inlineStr">
        <is>
          <t>L</t>
        </is>
      </c>
      <c r="AA15" s="85" t="inlineStr">
        <is>
          <t>Less experience than the band's typical 9–14 yrs</t>
        </is>
      </c>
      <c r="AB15" s="85" t="inlineStr">
        <is>
          <t>Typical for the band: 9–14 yrs · market 9–14 yrs</t>
        </is>
      </c>
      <c r="AC15" s="85" t="inlineStr">
        <is>
          <t>More experience than the band's typical 9–14 yrs</t>
        </is>
      </c>
      <c r="AD15" s="34" t="inlineStr">
        <is>
          <t>L</t>
        </is>
      </c>
      <c r="AE15" s="85" t="inlineStr">
        <is>
          <t>Below: Postgraduate or professional qualification preferred</t>
        </is>
      </c>
      <c r="AF15" s="85" t="inlineStr">
        <is>
          <t>Postgraduate or professional qualification preferred</t>
        </is>
      </c>
      <c r="AG15" s="85" t="inlineStr">
        <is>
          <t>Above: Postgraduate / professional qualification preferred</t>
        </is>
      </c>
      <c r="AH15" s="44" t="inlineStr">
        <is>
          <t>44 · 17.7 · 10.3 · 10 · 7.7 · 6 · 4</t>
        </is>
      </c>
      <c r="AI15" s="38" t="inlineStr">
        <is>
          <t>9–14</t>
        </is>
      </c>
      <c r="AJ15" s="38" t="inlineStr">
        <is>
          <t>3–6 direct reports with ≥ 40% of time on own delivery · McKinsey player/coach 3–5; Google Tech Lead Manager</t>
        </is>
      </c>
      <c r="AK15" s="38" t="inlineStr">
        <is>
          <t>P5–P6 / M4–M5 · SFIA 5 Ensure, advise</t>
        </is>
      </c>
      <c r="AL15"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6" ht="120" customHeight="1">
      <c r="A16" s="90" t="inlineStr">
        <is>
          <t>B3</t>
        </is>
      </c>
      <c r="B16" s="29" t="inlineStr">
        <is>
          <t>Band B · Specialist / Manager</t>
        </is>
      </c>
      <c r="C16" s="29" t="inlineStr">
        <is>
          <t>Band B · People Manager</t>
        </is>
      </c>
      <c r="D16" s="29" t="inlineStr">
        <is>
          <t>Senior Manager</t>
        </is>
      </c>
      <c r="E16" s="29" t="inlineStr">
        <is>
          <t>— no role at this level today</t>
        </is>
      </c>
      <c r="F16" s="34" t="inlineStr">
        <is>
          <t>H</t>
        </is>
      </c>
      <c r="G16" s="84" t="inlineStr">
        <is>
          <t>Works at B2: Hardest problems in the domain</t>
        </is>
      </c>
      <c r="H16" s="84" t="inlineStr">
        <is>
          <t>Sets standards for a practice; cross-team problems</t>
        </is>
      </c>
      <c r="I16" s="84" t="inlineStr">
        <is>
          <t>Already works at C1: Ambiguous, cross-product problems</t>
        </is>
      </c>
      <c r="J16" s="34" t="inlineStr">
        <is>
          <t>M</t>
        </is>
      </c>
      <c r="K16" s="84" t="inlineStr">
        <is>
          <t>Works at B2: Allocates people and sets team priorities</t>
        </is>
      </c>
      <c r="L16" s="84" t="inlineStr">
        <is>
          <t>Commercial / strategic calls for the unit</t>
        </is>
      </c>
      <c r="M16" s="84" t="inlineStr">
        <is>
          <t>Already works at C1: Sets direction for a sub-function or domain</t>
        </is>
      </c>
      <c r="N16" s="34" t="inlineStr">
        <is>
          <t>M</t>
        </is>
      </c>
      <c r="O16" s="84" t="inlineStr">
        <is>
          <t>Works at B2: One team or a client portfolio</t>
        </is>
      </c>
      <c r="P16" s="84" t="inlineStr">
        <is>
          <t>Several teams or a practice</t>
        </is>
      </c>
      <c r="Q16" s="84" t="inlineStr">
        <is>
          <t>Already works at C1: Sub-function results or domain quality across products</t>
        </is>
      </c>
      <c r="R16" s="34" t="inlineStr">
        <is>
          <t>M</t>
        </is>
      </c>
      <c r="S16" s="56" t="inlineStr">
        <is>
          <t>Works at B2: IC: guides others in the domain · People: manages a team of 6+</t>
        </is>
      </c>
      <c r="T16" s="56" t="inlineStr">
        <is>
          <t>IC: leads a practice · People: team leads / managers report in</t>
        </is>
      </c>
      <c r="U16" s="56" t="inlineStr">
        <is>
          <t>Already works at C1: Leads managers or a community of practice</t>
        </is>
      </c>
      <c r="V16" s="34" t="inlineStr">
        <is>
          <t>L</t>
        </is>
      </c>
      <c r="W16" s="56" t="inlineStr">
        <is>
          <t>Works at B2: Visible effect on a team's or client portfolio's revenue, quality or compliance</t>
        </is>
      </c>
      <c r="X16" s="56" t="inlineStr">
        <is>
          <t>Shapes the results of a practice or several teams</t>
        </is>
      </c>
      <c r="Y16" s="56" t="inlineStr">
        <is>
          <t>Already works at C1: Changes results across a sub-function or across products</t>
        </is>
      </c>
      <c r="Z16" s="34" t="inlineStr">
        <is>
          <t>L</t>
        </is>
      </c>
      <c r="AA16" s="85" t="inlineStr">
        <is>
          <t>Less experience than the band's typical 8–12 yrs</t>
        </is>
      </c>
      <c r="AB16" s="85" t="inlineStr">
        <is>
          <t>Typical for the band: 8–12 yrs · market 8–13 yrs</t>
        </is>
      </c>
      <c r="AC16" s="85" t="inlineStr">
        <is>
          <t>More experience than the band's typical 8–12 yrs</t>
        </is>
      </c>
      <c r="AD16" s="34" t="inlineStr">
        <is>
          <t>L</t>
        </is>
      </c>
      <c r="AE16" s="85" t="inlineStr">
        <is>
          <t>Below: Graduate or postgraduate; professional qualification preferred</t>
        </is>
      </c>
      <c r="AF16" s="85" t="inlineStr">
        <is>
          <t>Postgraduate or professional qualification preferred</t>
        </is>
      </c>
      <c r="AG16" s="85" t="inlineStr">
        <is>
          <t>Above: Postgraduate / professional qualification preferred</t>
        </is>
      </c>
      <c r="AH16" s="44" t="inlineStr">
        <is>
          <t>37 · 18.3 · 11.3 · 15 · 8.7 · 6 · 4</t>
        </is>
      </c>
      <c r="AI16" s="38" t="inlineStr">
        <is>
          <t>8–13</t>
        </is>
      </c>
      <c r="AJ16" s="38" t="inlineStr">
        <is>
          <t>IC: none · People: 5–8 incl. team leads</t>
        </is>
      </c>
      <c r="AK16" s="38" t="inlineStr">
        <is>
          <t>P5 / M4 · SFIA 5 Ensure, advise</t>
        </is>
      </c>
      <c r="AL16"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7" ht="120" customHeight="1">
      <c r="A17" s="90" t="inlineStr">
        <is>
          <t>B3</t>
        </is>
      </c>
      <c r="B17" s="29" t="inlineStr">
        <is>
          <t>Band B · Specialist / Manager</t>
        </is>
      </c>
      <c r="C17" s="29" t="inlineStr">
        <is>
          <t>Band B · Specialist / POD Lead</t>
        </is>
      </c>
      <c r="D17" s="29" t="inlineStr">
        <is>
          <t>Lead Specialist</t>
        </is>
      </c>
      <c r="E17" s="29" t="inlineStr">
        <is>
          <t>— no role at this level today</t>
        </is>
      </c>
      <c r="F17" s="34" t="inlineStr">
        <is>
          <t>H</t>
        </is>
      </c>
      <c r="G17" s="84" t="inlineStr">
        <is>
          <t>Works at B2: Hardest problems in the domain</t>
        </is>
      </c>
      <c r="H17" s="84" t="inlineStr">
        <is>
          <t>Sets standards for a practice; cross-team problems</t>
        </is>
      </c>
      <c r="I17" s="84" t="inlineStr">
        <is>
          <t>Already works at C1: Ambiguous, cross-product problems</t>
        </is>
      </c>
      <c r="J17" s="34" t="inlineStr">
        <is>
          <t>M</t>
        </is>
      </c>
      <c r="K17" s="84" t="inlineStr">
        <is>
          <t>Works at B2: Allocates people and sets team priorities</t>
        </is>
      </c>
      <c r="L17" s="84" t="inlineStr">
        <is>
          <t>Commercial / strategic calls for the unit</t>
        </is>
      </c>
      <c r="M17" s="84" t="inlineStr">
        <is>
          <t>Already works at C1: Sets direction for a sub-function or domain</t>
        </is>
      </c>
      <c r="N17" s="34" t="inlineStr">
        <is>
          <t>M</t>
        </is>
      </c>
      <c r="O17" s="84" t="inlineStr">
        <is>
          <t>Works at B2: One team or a client portfolio</t>
        </is>
      </c>
      <c r="P17" s="84" t="inlineStr">
        <is>
          <t>Several teams or a practice</t>
        </is>
      </c>
      <c r="Q17" s="84" t="inlineStr">
        <is>
          <t>Already works at C1: Sub-function results or domain quality across products</t>
        </is>
      </c>
      <c r="R17" s="34" t="inlineStr">
        <is>
          <t>L</t>
        </is>
      </c>
      <c r="S17" s="56" t="inlineStr">
        <is>
          <t>Works at B2: IC: guides others in the domain · People: manages a team of 6+</t>
        </is>
      </c>
      <c r="T17" s="56" t="inlineStr">
        <is>
          <t>IC: leads a practice · People: team leads / managers report in</t>
        </is>
      </c>
      <c r="U17" s="56" t="inlineStr">
        <is>
          <t>Already works at C1: Leads managers or a community of practice</t>
        </is>
      </c>
      <c r="V17" s="34" t="inlineStr">
        <is>
          <t>L</t>
        </is>
      </c>
      <c r="W17" s="56" t="inlineStr">
        <is>
          <t>Works at B2: Visible effect on a team's or client portfolio's revenue, quality or compliance</t>
        </is>
      </c>
      <c r="X17" s="56" t="inlineStr">
        <is>
          <t>Shapes the results of a practice or several teams</t>
        </is>
      </c>
      <c r="Y17" s="56" t="inlineStr">
        <is>
          <t>Already works at C1: Changes results across a sub-function or across products</t>
        </is>
      </c>
      <c r="Z17" s="34" t="inlineStr">
        <is>
          <t>L</t>
        </is>
      </c>
      <c r="AA17" s="85" t="inlineStr">
        <is>
          <t>Less experience than the band's typical 8–12 yrs</t>
        </is>
      </c>
      <c r="AB17" s="85" t="inlineStr">
        <is>
          <t>Typical for the band: 8–12 yrs · market 8–13 yrs</t>
        </is>
      </c>
      <c r="AC17" s="85" t="inlineStr">
        <is>
          <t>More experience than the band's typical 8–12 yrs</t>
        </is>
      </c>
      <c r="AD17" s="34" t="inlineStr">
        <is>
          <t>L</t>
        </is>
      </c>
      <c r="AE17" s="85" t="inlineStr">
        <is>
          <t>Below: Graduate or postgraduate; professional qualification preferred</t>
        </is>
      </c>
      <c r="AF17" s="85" t="inlineStr">
        <is>
          <t>Postgraduate or professional qualification preferred</t>
        </is>
      </c>
      <c r="AG17" s="85" t="inlineStr">
        <is>
          <t>Above: Postgraduate / professional qualification preferred</t>
        </is>
      </c>
      <c r="AH17" s="44" t="inlineStr">
        <is>
          <t>51.3 · 17.3 · 9.7 · 5 · 7 · 6 · 4</t>
        </is>
      </c>
      <c r="AI17" s="38" t="inlineStr">
        <is>
          <t>8–13</t>
        </is>
      </c>
      <c r="AJ17" s="38" t="inlineStr">
        <is>
          <t>IC: none · People: 5–8 incl. team leads</t>
        </is>
      </c>
      <c r="AK17" s="38" t="inlineStr">
        <is>
          <t>P5 / M4 · SFIA 5 Ensure, advise</t>
        </is>
      </c>
      <c r="AL17"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8" ht="120" customHeight="1">
      <c r="A18" s="90" t="inlineStr">
        <is>
          <t>B2</t>
        </is>
      </c>
      <c r="B18" s="29" t="inlineStr">
        <is>
          <t>Band B · Specialist / Manager</t>
        </is>
      </c>
      <c r="C18" s="29" t="inlineStr">
        <is>
          <t>Band B · People Manager</t>
        </is>
      </c>
      <c r="D18" s="29" t="inlineStr">
        <is>
          <t>Manager</t>
        </is>
      </c>
      <c r="E18" s="29" t="inlineStr">
        <is>
          <t>Solution Consulting &amp; Implementation · Senior Functional Specialist</t>
        </is>
      </c>
      <c r="F18" s="34" t="inlineStr">
        <is>
          <t>H</t>
        </is>
      </c>
      <c r="G18" s="84" t="inlineStr">
        <is>
          <t>Works at B1: Domain specialist work</t>
        </is>
      </c>
      <c r="H18" s="84" t="inlineStr">
        <is>
          <t>Hardest problems in the domain · in Solution Consulting &amp; Implementation: CE · ESG frameworks · ESG</t>
        </is>
      </c>
      <c r="I18" s="84" t="inlineStr">
        <is>
          <t>Already works at B3: Sets standards for a practice; cross-team problems</t>
        </is>
      </c>
      <c r="J18" s="34" t="inlineStr">
        <is>
          <t>M</t>
        </is>
      </c>
      <c r="K18" s="84" t="inlineStr">
        <is>
          <t>Works at B1: Technical / QC / client calls for the domain</t>
        </is>
      </c>
      <c r="L18" s="84" t="inlineStr">
        <is>
          <t>Allocates people and sets team priorities</t>
        </is>
      </c>
      <c r="M18" s="84" t="inlineStr">
        <is>
          <t>Already works at B3: Commercial / strategic calls for the unit</t>
        </is>
      </c>
      <c r="N18" s="34" t="inlineStr">
        <is>
          <t>M</t>
        </is>
      </c>
      <c r="O18" s="84" t="inlineStr">
        <is>
          <t>Works at B1: A domain or a small team</t>
        </is>
      </c>
      <c r="P18" s="84" t="inlineStr">
        <is>
          <t>One team or a client portfolio</t>
        </is>
      </c>
      <c r="Q18" s="84" t="inlineStr">
        <is>
          <t>Already works at B3: Several teams or a practice</t>
        </is>
      </c>
      <c r="R18" s="34" t="inlineStr">
        <is>
          <t>M</t>
        </is>
      </c>
      <c r="S18" s="56" t="inlineStr">
        <is>
          <t>Works at B1: IC: mentors and reviews · People: hands-on team lead of 3–5</t>
        </is>
      </c>
      <c r="T18" s="56" t="inlineStr">
        <is>
          <t>IC: guides others in the domain · People: manages a team of 6+</t>
        </is>
      </c>
      <c r="U18" s="56" t="inlineStr">
        <is>
          <t>Already works at B3: IC: leads a practice · People: team leads / managers report in</t>
        </is>
      </c>
      <c r="V18" s="34" t="inlineStr">
        <is>
          <t>L</t>
        </is>
      </c>
      <c r="W18" s="56" t="inlineStr">
        <is>
          <t>Works at B1: Moves a module's, product area's or client account's results</t>
        </is>
      </c>
      <c r="X18" s="56" t="inlineStr">
        <is>
          <t>Visible effect on a team's or client portfolio's revenue, quality or compliance · purpose: Implements the product at clients, runs demos and training, advises on ESG / disclosure reporting. At B2: deep domain expertise, or one team.
Common themes in …</t>
        </is>
      </c>
      <c r="Y18" s="56" t="inlineStr">
        <is>
          <t>Already works at B3: Shapes the results of a practice or several teams</t>
        </is>
      </c>
      <c r="Z18" s="34" t="inlineStr">
        <is>
          <t>L</t>
        </is>
      </c>
      <c r="AA18" s="85" t="inlineStr">
        <is>
          <t>Less experience than the band's typical 6–9 yrs</t>
        </is>
      </c>
      <c r="AB18" s="85" t="inlineStr">
        <is>
          <t>Typical for the band: 6–9 yrs · market 6–10 yrs</t>
        </is>
      </c>
      <c r="AC18" s="85" t="inlineStr">
        <is>
          <t>More experience than the band's typical 6–9 yrs</t>
        </is>
      </c>
      <c r="AD18" s="34" t="inlineStr">
        <is>
          <t>L</t>
        </is>
      </c>
      <c r="AE18" s="85" t="inlineStr">
        <is>
          <t>Below: Graduate + relevant qualification or certification preferred</t>
        </is>
      </c>
      <c r="AF18" s="85" t="inlineStr">
        <is>
          <t>Graduate or postgraduate; professional qualification preferred</t>
        </is>
      </c>
      <c r="AG18" s="85" t="inlineStr">
        <is>
          <t>Above: Postgraduate or professional qualification preferred</t>
        </is>
      </c>
      <c r="AH18" s="44" t="inlineStr">
        <is>
          <t>37 · 18.3 · 11.3 · 15 · 8.7 · 6 · 4</t>
        </is>
      </c>
      <c r="AI18" s="38" t="inlineStr">
        <is>
          <t>6–10</t>
        </is>
      </c>
      <c r="AJ18" s="38" t="inlineStr">
        <is>
          <t>IC: none · People: 6–8 knowledge work, 8–12 standardised delivery</t>
        </is>
      </c>
      <c r="AK18" s="38" t="inlineStr">
        <is>
          <t>P4 / M3 · SFIA 4–5</t>
        </is>
      </c>
      <c r="AL18"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9" ht="120" customHeight="1">
      <c r="A19" s="90" t="inlineStr">
        <is>
          <t>B2</t>
        </is>
      </c>
      <c r="B19" s="29" t="inlineStr">
        <is>
          <t>Band B · Specialist / Manager</t>
        </is>
      </c>
      <c r="C19" s="29" t="inlineStr">
        <is>
          <t>Band B · Specialist / POD Lead</t>
        </is>
      </c>
      <c r="D19" s="29" t="inlineStr">
        <is>
          <t>Senior Specialist</t>
        </is>
      </c>
      <c r="E19" s="29" t="inlineStr">
        <is>
          <t>Solution Consulting &amp; Implementation · Senior Functional Specialist</t>
        </is>
      </c>
      <c r="F19" s="34" t="inlineStr">
        <is>
          <t>H</t>
        </is>
      </c>
      <c r="G19" s="84" t="inlineStr">
        <is>
          <t>Works at B1: Domain specialist work</t>
        </is>
      </c>
      <c r="H19" s="84" t="inlineStr">
        <is>
          <t>Hardest problems in the domain · in Solution Consulting &amp; Implementation: CE · ESG frameworks · ESG</t>
        </is>
      </c>
      <c r="I19" s="84" t="inlineStr">
        <is>
          <t>Already works at B3: Sets standards for a practice; cross-team problems</t>
        </is>
      </c>
      <c r="J19" s="34" t="inlineStr">
        <is>
          <t>M</t>
        </is>
      </c>
      <c r="K19" s="84" t="inlineStr">
        <is>
          <t>Works at B1: Technical / QC / client calls for the domain</t>
        </is>
      </c>
      <c r="L19" s="84" t="inlineStr">
        <is>
          <t>Allocates people and sets team priorities</t>
        </is>
      </c>
      <c r="M19" s="84" t="inlineStr">
        <is>
          <t>Already works at B3: Commercial / strategic calls for the unit</t>
        </is>
      </c>
      <c r="N19" s="34" t="inlineStr">
        <is>
          <t>M</t>
        </is>
      </c>
      <c r="O19" s="84" t="inlineStr">
        <is>
          <t>Works at B1: A domain or a small team</t>
        </is>
      </c>
      <c r="P19" s="84" t="inlineStr">
        <is>
          <t>One team or a client portfolio</t>
        </is>
      </c>
      <c r="Q19" s="84" t="inlineStr">
        <is>
          <t>Already works at B3: Several teams or a practice</t>
        </is>
      </c>
      <c r="R19" s="34" t="inlineStr">
        <is>
          <t>L</t>
        </is>
      </c>
      <c r="S19" s="56" t="inlineStr">
        <is>
          <t>Works at B1: IC: mentors and reviews · People: hands-on team lead of 3–5</t>
        </is>
      </c>
      <c r="T19" s="56" t="inlineStr">
        <is>
          <t>IC: guides others in the domain · People: manages a team of 6+</t>
        </is>
      </c>
      <c r="U19" s="56" t="inlineStr">
        <is>
          <t>Already works at B3: IC: leads a practice · People: team leads / managers report in</t>
        </is>
      </c>
      <c r="V19" s="34" t="inlineStr">
        <is>
          <t>L</t>
        </is>
      </c>
      <c r="W19" s="56" t="inlineStr">
        <is>
          <t>Works at B1: Moves a module's, product area's or client account's results</t>
        </is>
      </c>
      <c r="X19" s="56" t="inlineStr">
        <is>
          <t>Visible effect on a team's or client portfolio's revenue, quality or compliance · purpose: Implements the product at clients, runs demos and training, advises on ESG / disclosure reporting. At B2: deep domain expertise, or one team.
Common themes in …</t>
        </is>
      </c>
      <c r="Y19" s="56" t="inlineStr">
        <is>
          <t>Already works at B3: Shapes the results of a practice or several teams</t>
        </is>
      </c>
      <c r="Z19" s="34" t="inlineStr">
        <is>
          <t>L</t>
        </is>
      </c>
      <c r="AA19" s="85" t="inlineStr">
        <is>
          <t>Less experience than the band's typical 6–9 yrs</t>
        </is>
      </c>
      <c r="AB19" s="85" t="inlineStr">
        <is>
          <t>Typical for the band: 6–9 yrs · market 6–10 yrs</t>
        </is>
      </c>
      <c r="AC19" s="85" t="inlineStr">
        <is>
          <t>More experience than the band's typical 6–9 yrs</t>
        </is>
      </c>
      <c r="AD19" s="34" t="inlineStr">
        <is>
          <t>L</t>
        </is>
      </c>
      <c r="AE19" s="85" t="inlineStr">
        <is>
          <t>Below: Graduate + relevant qualification or certification preferred</t>
        </is>
      </c>
      <c r="AF19" s="85" t="inlineStr">
        <is>
          <t>Graduate or postgraduate; professional qualification preferred</t>
        </is>
      </c>
      <c r="AG19" s="85" t="inlineStr">
        <is>
          <t>Above: Postgraduate or professional qualification preferred</t>
        </is>
      </c>
      <c r="AH19" s="44" t="inlineStr">
        <is>
          <t>51.3 · 17.3 · 9.7 · 5 · 7 · 6 · 4</t>
        </is>
      </c>
      <c r="AI19" s="38" t="inlineStr">
        <is>
          <t>6–10</t>
        </is>
      </c>
      <c r="AJ19" s="38" t="inlineStr">
        <is>
          <t>IC: none · People: 6–8 knowledge work, 8–12 standardised delivery</t>
        </is>
      </c>
      <c r="AK19" s="38" t="inlineStr">
        <is>
          <t>P4 / M3 · SFIA 4–5</t>
        </is>
      </c>
      <c r="AL19"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0" ht="120" customHeight="1">
      <c r="A20" s="90" t="inlineStr">
        <is>
          <t>B1</t>
        </is>
      </c>
      <c r="B20" s="29" t="inlineStr">
        <is>
          <t>Band B · Specialist / Manager</t>
        </is>
      </c>
      <c r="C20" s="29" t="inlineStr">
        <is>
          <t>Band B · People Manager</t>
        </is>
      </c>
      <c r="D20" s="29" t="inlineStr">
        <is>
          <t>Team Lead / Asst Manager</t>
        </is>
      </c>
      <c r="E20" s="29" t="inlineStr">
        <is>
          <t>Solution Consulting &amp; Implementation · Functional Specialist · Functional Specialist – POD Lead</t>
        </is>
      </c>
      <c r="F20" s="34" t="inlineStr">
        <is>
          <t>H</t>
        </is>
      </c>
      <c r="G20" s="84" t="inlineStr">
        <is>
          <t>Works at A3: Varied and non-standard work; handles exceptions</t>
        </is>
      </c>
      <c r="H20" s="84" t="inlineStr">
        <is>
          <t>Domain specialist work · in Solution Consulting &amp; Implementation: CE</t>
        </is>
      </c>
      <c r="I20" s="84" t="inlineStr">
        <is>
          <t>Already works at B2: Hardest problems in the domain</t>
        </is>
      </c>
      <c r="J20" s="34" t="inlineStr">
        <is>
          <t>M</t>
        </is>
      </c>
      <c r="K20" s="84" t="inlineStr">
        <is>
          <t>Works at A3: Technical / QC / client calls on own work</t>
        </is>
      </c>
      <c r="L20" s="84" t="inlineStr">
        <is>
          <t>Technical / QC / client calls for the domain</t>
        </is>
      </c>
      <c r="M20" s="84" t="inlineStr">
        <is>
          <t>Already works at B2: Allocates people and sets team priorities</t>
        </is>
      </c>
      <c r="N20" s="34" t="inlineStr">
        <is>
          <t>M</t>
        </is>
      </c>
      <c r="O20" s="84" t="inlineStr">
        <is>
          <t>Works at A3: A module / process, or work with client or regulatory consequences</t>
        </is>
      </c>
      <c r="P20" s="84" t="inlineStr">
        <is>
          <t>A domain or a small team</t>
        </is>
      </c>
      <c r="Q20" s="84" t="inlineStr">
        <is>
          <t>Already works at B2: One team or a client portfolio</t>
        </is>
      </c>
      <c r="R20" s="34" t="inlineStr">
        <is>
          <t>M</t>
        </is>
      </c>
      <c r="S20" s="56" t="inlineStr">
        <is>
          <t>Works at A3: contributes alone; guides others only informally</t>
        </is>
      </c>
      <c r="T20" s="56" t="inlineStr">
        <is>
          <t>IC: mentors and reviews · People: hands-on team lead of 3–5</t>
        </is>
      </c>
      <c r="U20" s="56" t="inlineStr">
        <is>
          <t>Already works at B2: IC: guides others in the domain · People: manages a team of 6+</t>
        </is>
      </c>
      <c r="V20" s="34" t="inlineStr">
        <is>
          <t>L</t>
        </is>
      </c>
      <c r="W20" s="56" t="inlineStr">
        <is>
          <t>Works at A3: A process or client deliverable depends on this work</t>
        </is>
      </c>
      <c r="X20" s="56" t="inlineStr">
        <is>
          <t>Moves a module's, product area's or client account's results · purpose: Implements the product at clients, runs demos and training, advises on ESG / disclosure reporting. At B1: a domain / module, or a small team.
Common themes in …</t>
        </is>
      </c>
      <c r="Y20" s="56" t="inlineStr">
        <is>
          <t>Already works at B2: Visible effect on a team's or client portfolio's revenue, quality or compliance</t>
        </is>
      </c>
      <c r="Z20" s="34" t="inlineStr">
        <is>
          <t>L</t>
        </is>
      </c>
      <c r="AA20" s="85" t="inlineStr">
        <is>
          <t>Less experience than the band's typical 4–7 yrs</t>
        </is>
      </c>
      <c r="AB20" s="85" t="inlineStr">
        <is>
          <t>Typical for the band: 4–7 yrs · market 4–8 yrs</t>
        </is>
      </c>
      <c r="AC20" s="85" t="inlineStr">
        <is>
          <t>More experience than the band's typical 4–7 yrs</t>
        </is>
      </c>
      <c r="AD20" s="34" t="inlineStr">
        <is>
          <t>L</t>
        </is>
      </c>
      <c r="AE20" s="85" t="inlineStr">
        <is>
          <t>Below: Graduate; relevant certification preferred</t>
        </is>
      </c>
      <c r="AF20" s="85" t="inlineStr">
        <is>
          <t>Graduate + relevant qualification or certification preferred</t>
        </is>
      </c>
      <c r="AG20" s="85" t="inlineStr">
        <is>
          <t>Above: Graduate or postgraduate; professional qualification preferred</t>
        </is>
      </c>
      <c r="AH20" s="44" t="inlineStr">
        <is>
          <t>37 · 18.3 · 11.3 · 15 · 8.7 · 6 · 4</t>
        </is>
      </c>
      <c r="AI20" s="38" t="inlineStr">
        <is>
          <t>4–8</t>
        </is>
      </c>
      <c r="AJ20" s="38" t="inlineStr">
        <is>
          <t>IC: none · Team Lead: 3–5</t>
        </is>
      </c>
      <c r="AK20" s="38" t="inlineStr">
        <is>
          <t>P3 / M2 · SFIA 4 Enable</t>
        </is>
      </c>
      <c r="AL20"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1" ht="120" customHeight="1">
      <c r="A21" s="90" t="inlineStr">
        <is>
          <t>B1</t>
        </is>
      </c>
      <c r="B21" s="29" t="inlineStr">
        <is>
          <t>Band B · Specialist / Manager</t>
        </is>
      </c>
      <c r="C21" s="29" t="inlineStr">
        <is>
          <t>Band B · Specialist / POD Lead</t>
        </is>
      </c>
      <c r="D21" s="29" t="inlineStr">
        <is>
          <t>Specialist</t>
        </is>
      </c>
      <c r="E21" s="29" t="inlineStr">
        <is>
          <t>Solution Consulting &amp; Implementation · Functional Specialist · Functional Specialist – POD Lead</t>
        </is>
      </c>
      <c r="F21" s="34" t="inlineStr">
        <is>
          <t>H</t>
        </is>
      </c>
      <c r="G21" s="84" t="inlineStr">
        <is>
          <t>Works at A3: Varied and non-standard work; handles exceptions</t>
        </is>
      </c>
      <c r="H21" s="84" t="inlineStr">
        <is>
          <t>Domain specialist work · in Solution Consulting &amp; Implementation: CE</t>
        </is>
      </c>
      <c r="I21" s="84" t="inlineStr">
        <is>
          <t>Already works at B2: Hardest problems in the domain</t>
        </is>
      </c>
      <c r="J21" s="34" t="inlineStr">
        <is>
          <t>M</t>
        </is>
      </c>
      <c r="K21" s="84" t="inlineStr">
        <is>
          <t>Works at A3: Technical / QC / client calls on own work</t>
        </is>
      </c>
      <c r="L21" s="84" t="inlineStr">
        <is>
          <t>Technical / QC / client calls for the domain</t>
        </is>
      </c>
      <c r="M21" s="84" t="inlineStr">
        <is>
          <t>Already works at B2: Allocates people and sets team priorities</t>
        </is>
      </c>
      <c r="N21" s="34" t="inlineStr">
        <is>
          <t>M</t>
        </is>
      </c>
      <c r="O21" s="84" t="inlineStr">
        <is>
          <t>Works at A3: A module / process, or work with client or regulatory consequences</t>
        </is>
      </c>
      <c r="P21" s="84" t="inlineStr">
        <is>
          <t>A domain or a small team</t>
        </is>
      </c>
      <c r="Q21" s="84" t="inlineStr">
        <is>
          <t>Already works at B2: One team or a client portfolio</t>
        </is>
      </c>
      <c r="R21" s="34" t="inlineStr">
        <is>
          <t>L</t>
        </is>
      </c>
      <c r="S21" s="56" t="inlineStr">
        <is>
          <t>Works at A3: contributes alone; guides others only informally</t>
        </is>
      </c>
      <c r="T21" s="56" t="inlineStr">
        <is>
          <t>IC: mentors and reviews · People: hands-on team lead of 3–5</t>
        </is>
      </c>
      <c r="U21" s="56" t="inlineStr">
        <is>
          <t>Already works at B2: IC: guides others in the domain · People: manages a team of 6+</t>
        </is>
      </c>
      <c r="V21" s="34" t="inlineStr">
        <is>
          <t>L</t>
        </is>
      </c>
      <c r="W21" s="56" t="inlineStr">
        <is>
          <t>Works at A3: A process or client deliverable depends on this work</t>
        </is>
      </c>
      <c r="X21" s="56" t="inlineStr">
        <is>
          <t>Moves a module's, product area's or client account's results · purpose: Implements the product at clients, runs demos and training, advises on ESG / disclosure reporting. At B1: a domain / module, or a small team.
Common themes in …</t>
        </is>
      </c>
      <c r="Y21" s="56" t="inlineStr">
        <is>
          <t>Already works at B2: Visible effect on a team's or client portfolio's revenue, quality or compliance</t>
        </is>
      </c>
      <c r="Z21" s="34" t="inlineStr">
        <is>
          <t>L</t>
        </is>
      </c>
      <c r="AA21" s="85" t="inlineStr">
        <is>
          <t>Less experience than the band's typical 4–7 yrs</t>
        </is>
      </c>
      <c r="AB21" s="85" t="inlineStr">
        <is>
          <t>Typical for the band: 4–7 yrs · market 4–8 yrs</t>
        </is>
      </c>
      <c r="AC21" s="85" t="inlineStr">
        <is>
          <t>More experience than the band's typical 4–7 yrs</t>
        </is>
      </c>
      <c r="AD21" s="34" t="inlineStr">
        <is>
          <t>L</t>
        </is>
      </c>
      <c r="AE21" s="85" t="inlineStr">
        <is>
          <t>Below: Graduate; relevant certification preferred</t>
        </is>
      </c>
      <c r="AF21" s="85" t="inlineStr">
        <is>
          <t>Graduate + relevant qualification or certification preferred</t>
        </is>
      </c>
      <c r="AG21" s="85" t="inlineStr">
        <is>
          <t>Above: Graduate or postgraduate; professional qualification preferred</t>
        </is>
      </c>
      <c r="AH21" s="44" t="inlineStr">
        <is>
          <t>51.3 · 17.3 · 9.7 · 5 · 7 · 6 · 4</t>
        </is>
      </c>
      <c r="AI21" s="38" t="inlineStr">
        <is>
          <t>4–8</t>
        </is>
      </c>
      <c r="AJ21" s="38" t="inlineStr">
        <is>
          <t>IC: none · Team Lead: 3–5</t>
        </is>
      </c>
      <c r="AK21" s="38" t="inlineStr">
        <is>
          <t>P3 / M2 · SFIA 4 Enable</t>
        </is>
      </c>
      <c r="AL21"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2" ht="120" customHeight="1">
      <c r="A22" s="91" t="inlineStr">
        <is>
          <t>A3</t>
        </is>
      </c>
      <c r="B22" s="29" t="inlineStr">
        <is>
          <t>Band A · Practitioner</t>
        </is>
      </c>
      <c r="C22" s="29" t="inlineStr">
        <is>
          <t>Band A · all tracks</t>
        </is>
      </c>
      <c r="D22" s="29" t="inlineStr">
        <is>
          <t>Senior Associate</t>
        </is>
      </c>
      <c r="E22" s="29" t="inlineStr">
        <is>
          <t>Solution Consulting &amp; Implementation · Senior Functional Analyst</t>
        </is>
      </c>
      <c r="F22" s="34" t="inlineStr">
        <is>
          <t>H</t>
        </is>
      </c>
      <c r="G22" s="84" t="inlineStr">
        <is>
          <t>Works at A2: Standard work of the discipline</t>
        </is>
      </c>
      <c r="H22" s="84" t="inlineStr">
        <is>
          <t>Varied and non-standard work; handles exceptions · in Solution Consulting &amp; Implementation: CE · ESG frameworks · ESG</t>
        </is>
      </c>
      <c r="I22" s="84" t="inlineStr">
        <is>
          <t>Already works at B1: Domain specialist work</t>
        </is>
      </c>
      <c r="J22" s="34" t="inlineStr">
        <is>
          <t>M</t>
        </is>
      </c>
      <c r="K22" s="84" t="inlineStr">
        <is>
          <t>Works at A2: Chooses own approach within standards</t>
        </is>
      </c>
      <c r="L22" s="84" t="inlineStr">
        <is>
          <t>Technical / QC / client calls on own work</t>
        </is>
      </c>
      <c r="M22" s="84" t="inlineStr">
        <is>
          <t>Already works at B1: Technical / QC / client calls for the domain</t>
        </is>
      </c>
      <c r="N22" s="34" t="inlineStr">
        <is>
          <t>M</t>
        </is>
      </c>
      <c r="O22" s="84" t="inlineStr">
        <is>
          <t>Works at A2: Own deliverables · accuracy, TAT</t>
        </is>
      </c>
      <c r="P22" s="84" t="inlineStr">
        <is>
          <t>A module / process, or work with client or regulatory consequences</t>
        </is>
      </c>
      <c r="Q22" s="84" t="inlineStr">
        <is>
          <t>Already works at B1: A domain or a small team</t>
        </is>
      </c>
      <c r="R22" s="34" t="inlineStr">
        <is>
          <t>L</t>
        </is>
      </c>
      <c r="S22" s="56" t="inlineStr">
        <is>
          <t>Works at A2: contributes alone; guides others only informally</t>
        </is>
      </c>
      <c r="T22" s="56" t="inlineStr">
        <is>
          <t>Helps peers and newer people informally · None · guides 1–3 juniors informally</t>
        </is>
      </c>
      <c r="U22" s="56" t="inlineStr">
        <is>
          <t>Already works at B1: IC: mentors and reviews · People: hands-on team lead of 3–5</t>
        </is>
      </c>
      <c r="V22" s="34" t="inlineStr">
        <is>
          <t>L</t>
        </is>
      </c>
      <c r="W22" s="56" t="inlineStr">
        <is>
          <t>Works at A2: Own deliverables feed a team's output and turnaround</t>
        </is>
      </c>
      <c r="X22" s="56" t="inlineStr">
        <is>
          <t>A process or client deliverable depends on this work · purpose: Implements the product at clients, runs demos and training, advises on ESG / disclosure reporting. At A3: varied work; reviews juniors; go-to for a …</t>
        </is>
      </c>
      <c r="Y22" s="56" t="inlineStr">
        <is>
          <t>Already works at B1: Moves a module's, product area's or client account's results</t>
        </is>
      </c>
      <c r="Z22" s="34" t="inlineStr">
        <is>
          <t>L</t>
        </is>
      </c>
      <c r="AA22" s="85" t="inlineStr">
        <is>
          <t>Less experience than the band's typical 2–4 yrs</t>
        </is>
      </c>
      <c r="AB22" s="85" t="inlineStr">
        <is>
          <t>Typical for the band: 2–4 yrs · market 2–5 yrs</t>
        </is>
      </c>
      <c r="AC22" s="85" t="inlineStr">
        <is>
          <t>More experience than the band's typical 2–4 yrs</t>
        </is>
      </c>
      <c r="AD22" s="34" t="inlineStr">
        <is>
          <t>L</t>
        </is>
      </c>
      <c r="AE22" s="85" t="inlineStr">
        <is>
          <t>Below: Graduate · or diploma with experience</t>
        </is>
      </c>
      <c r="AF22" s="85" t="inlineStr">
        <is>
          <t>Graduate; relevant certification preferred</t>
        </is>
      </c>
      <c r="AG22" s="85" t="inlineStr">
        <is>
          <t>Above: Graduate + relevant qualification or certification preferred</t>
        </is>
      </c>
      <c r="AH22" s="44" t="inlineStr">
        <is>
          <t>58.3 · 16 · 9 · 0 · 6.3 · 6 · 4</t>
        </is>
      </c>
      <c r="AI22" s="38" t="inlineStr">
        <is>
          <t>2–5</t>
        </is>
      </c>
      <c r="AJ22" s="38" t="inlineStr">
        <is>
          <t>None · guides 1–3 juniors informally</t>
        </is>
      </c>
      <c r="AK22" s="38" t="inlineStr">
        <is>
          <t>P2 · SFIA 3 Apply</t>
        </is>
      </c>
      <c r="AL22"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3" ht="120" customHeight="1">
      <c r="A23" s="91" t="inlineStr">
        <is>
          <t>A2</t>
        </is>
      </c>
      <c r="B23" s="29" t="inlineStr">
        <is>
          <t>Band A · Practitioner</t>
        </is>
      </c>
      <c r="C23" s="29" t="inlineStr">
        <is>
          <t>Band A · all tracks</t>
        </is>
      </c>
      <c r="D23" s="29" t="inlineStr">
        <is>
          <t>Associate</t>
        </is>
      </c>
      <c r="E23" s="29" t="inlineStr">
        <is>
          <t>— no role at this level today</t>
        </is>
      </c>
      <c r="F23" s="34" t="inlineStr">
        <is>
          <t>H</t>
        </is>
      </c>
      <c r="G23" s="84" t="inlineStr">
        <is>
          <t>Works at A1: Learning; follows worked examples</t>
        </is>
      </c>
      <c r="H23" s="84" t="inlineStr">
        <is>
          <t>Standard work of the discipline</t>
        </is>
      </c>
      <c r="I23" s="84" t="inlineStr">
        <is>
          <t>Already works at A3: Varied and non-standard work; handles exceptions</t>
        </is>
      </c>
      <c r="J23" s="34" t="inlineStr">
        <is>
          <t>M</t>
        </is>
      </c>
      <c r="K23" s="84" t="inlineStr">
        <is>
          <t>Works at A1: Needs approval / close guidance</t>
        </is>
      </c>
      <c r="L23" s="84" t="inlineStr">
        <is>
          <t>Chooses own approach within standards</t>
        </is>
      </c>
      <c r="M23" s="84" t="inlineStr">
        <is>
          <t>Already works at A3: Technical / QC / client calls on own work</t>
        </is>
      </c>
      <c r="N23" s="34" t="inlineStr">
        <is>
          <t>M</t>
        </is>
      </c>
      <c r="O23" s="84" t="inlineStr">
        <is>
          <t>Works at A1: Learning tasks</t>
        </is>
      </c>
      <c r="P23" s="84" t="inlineStr">
        <is>
          <t>Own deliverables · accuracy, TAT</t>
        </is>
      </c>
      <c r="Q23" s="84" t="inlineStr">
        <is>
          <t>Already works at A3: A module / process, or work with client or regulatory consequences</t>
        </is>
      </c>
      <c r="R23" s="34" t="inlineStr">
        <is>
          <t>L</t>
        </is>
      </c>
      <c r="S23" s="56" t="inlineStr">
        <is>
          <t>Works at A1: contributes alone; guides others only informally</t>
        </is>
      </c>
      <c r="T23" s="56" t="inlineStr">
        <is>
          <t>Helps peers and newer people informally · No direct reports</t>
        </is>
      </c>
      <c r="U23" s="56" t="inlineStr">
        <is>
          <t>Already works at A3: Not scored in Band A</t>
        </is>
      </c>
      <c r="V23" s="34" t="inlineStr">
        <is>
          <t>L</t>
        </is>
      </c>
      <c r="W23" s="56" t="inlineStr">
        <is>
          <t>Works at A1: Learning; little direct effect on business results yet</t>
        </is>
      </c>
      <c r="X23" s="56" t="inlineStr">
        <is>
          <t>Own deliverables feed a team's output and turnaround</t>
        </is>
      </c>
      <c r="Y23" s="56" t="inlineStr">
        <is>
          <t>Already works at A3: A process or client deliverable depends on this work</t>
        </is>
      </c>
      <c r="Z23" s="34" t="inlineStr">
        <is>
          <t>L</t>
        </is>
      </c>
      <c r="AA23" s="85" t="inlineStr">
        <is>
          <t>Less experience than the band's typical 0–2 yrs</t>
        </is>
      </c>
      <c r="AB23" s="85" t="inlineStr">
        <is>
          <t>Typical for the band: 0–2 yrs · market 0–3 yrs</t>
        </is>
      </c>
      <c r="AC23" s="85" t="inlineStr">
        <is>
          <t>More experience than the band's typical 0–2 yrs</t>
        </is>
      </c>
      <c r="AD23" s="34" t="inlineStr">
        <is>
          <t>L</t>
        </is>
      </c>
      <c r="AE23" s="85" t="inlineStr">
        <is>
          <t>Below: Pursuing or completed graduation / diploma</t>
        </is>
      </c>
      <c r="AF23" s="85" t="inlineStr">
        <is>
          <t>Graduate · or diploma with experience</t>
        </is>
      </c>
      <c r="AG23" s="85" t="inlineStr">
        <is>
          <t>Above: Graduate; relevant certification preferred</t>
        </is>
      </c>
      <c r="AH23" s="44" t="inlineStr">
        <is>
          <t>58.3 · 16 · 9 · 0 · 6.3 · 6 · 4</t>
        </is>
      </c>
      <c r="AI23" s="38" t="inlineStr">
        <is>
          <t>0–3</t>
        </is>
      </c>
      <c r="AJ23" s="38" t="inlineStr">
        <is>
          <t>No direct reports</t>
        </is>
      </c>
      <c r="AK23" s="38" t="inlineStr">
        <is>
          <t>P1–P2 · SFIA 2 Assist</t>
        </is>
      </c>
      <c r="AL23"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4" ht="120" customHeight="1">
      <c r="A24" s="91" t="inlineStr">
        <is>
          <t>A1</t>
        </is>
      </c>
      <c r="B24" s="29" t="inlineStr">
        <is>
          <t>Band A · Practitioner</t>
        </is>
      </c>
      <c r="C24" s="29" t="inlineStr">
        <is>
          <t>Band A · all tracks</t>
        </is>
      </c>
      <c r="D24" s="29" t="inlineStr">
        <is>
          <t>Intern / Trainee</t>
        </is>
      </c>
      <c r="E24" s="29" t="inlineStr">
        <is>
          <t>— no role at this level today</t>
        </is>
      </c>
      <c r="F24" s="34" t="inlineStr">
        <is>
          <t>H</t>
        </is>
      </c>
      <c r="G24" s="84" t="inlineStr">
        <is>
          <t>Not yet at the entry standard · in induction</t>
        </is>
      </c>
      <c r="H24" s="84" t="inlineStr">
        <is>
          <t>Learning; follows worked examples</t>
        </is>
      </c>
      <c r="I24" s="84" t="inlineStr">
        <is>
          <t>Already works at A2: Standard work of the discipline</t>
        </is>
      </c>
      <c r="J24" s="34" t="inlineStr">
        <is>
          <t>M</t>
        </is>
      </c>
      <c r="K24" s="84" t="inlineStr">
        <is>
          <t>Not yet at the entry standard · in induction</t>
        </is>
      </c>
      <c r="L24" s="84" t="inlineStr">
        <is>
          <t>Needs approval / close guidance</t>
        </is>
      </c>
      <c r="M24" s="84" t="inlineStr">
        <is>
          <t>Already works at A2: Chooses own approach within standards</t>
        </is>
      </c>
      <c r="N24" s="34" t="inlineStr">
        <is>
          <t>M</t>
        </is>
      </c>
      <c r="O24" s="84" t="inlineStr">
        <is>
          <t>Not yet at the entry standard · in induction</t>
        </is>
      </c>
      <c r="P24" s="84" t="inlineStr">
        <is>
          <t>Learning tasks</t>
        </is>
      </c>
      <c r="Q24" s="84" t="inlineStr">
        <is>
          <t>Already works at A2: Own deliverables · accuracy, TAT</t>
        </is>
      </c>
      <c r="R24" s="34" t="inlineStr">
        <is>
          <t>L</t>
        </is>
      </c>
      <c r="S24" s="56" t="inlineStr">
        <is>
          <t>Not yet at the entry standard · in induction</t>
        </is>
      </c>
      <c r="T24" s="56" t="inlineStr">
        <is>
          <t>Helps peers and newer people informally · No direct reports</t>
        </is>
      </c>
      <c r="U24" s="56" t="inlineStr">
        <is>
          <t>Already works at A2: Not scored in Band A</t>
        </is>
      </c>
      <c r="V24" s="34" t="inlineStr">
        <is>
          <t>L</t>
        </is>
      </c>
      <c r="W24" s="56" t="inlineStr">
        <is>
          <t>Not yet at the entry standard · in induction</t>
        </is>
      </c>
      <c r="X24" s="56" t="inlineStr">
        <is>
          <t>Learning; little direct effect on business results yet</t>
        </is>
      </c>
      <c r="Y24" s="56" t="inlineStr">
        <is>
          <t>Already works at A2: Own deliverables feed a team's output and turnaround</t>
        </is>
      </c>
      <c r="Z24" s="34" t="inlineStr">
        <is>
          <t>L</t>
        </is>
      </c>
      <c r="AA24" s="85" t="inlineStr">
        <is>
          <t>Less experience than the band's typical 0 yrs · fresher / intern</t>
        </is>
      </c>
      <c r="AB24" s="85" t="inlineStr">
        <is>
          <t>Typical for the band: 0 yrs · fresher / intern · market — yrs</t>
        </is>
      </c>
      <c r="AC24" s="85" t="inlineStr">
        <is>
          <t>More experience than the band's typical 0 yrs · fresher / intern</t>
        </is>
      </c>
      <c r="AD24" s="34" t="inlineStr">
        <is>
          <t>L</t>
        </is>
      </c>
      <c r="AE24" s="85" t="inlineStr">
        <is>
          <t>Below graduation · still studying</t>
        </is>
      </c>
      <c r="AF24" s="85" t="inlineStr">
        <is>
          <t>Pursuing or completed graduation / diploma</t>
        </is>
      </c>
      <c r="AG24" s="85" t="inlineStr">
        <is>
          <t>Above: Graduate · or diploma with experience</t>
        </is>
      </c>
      <c r="AH24" s="44" t="inlineStr">
        <is>
          <t>58.3 · 16 · 9 · 0 · 6.3 · 6 · 4</t>
        </is>
      </c>
      <c r="AI24" s="38" t="inlineStr">
        <is>
          <t>0 yrs · fresher / intern</t>
        </is>
      </c>
      <c r="AJ24" s="38" t="inlineStr">
        <is>
          <t>No direct reports</t>
        </is>
      </c>
      <c r="AK24" s="38" t="inlineStr">
        <is>
          <t>Entry / P1 · intern · SFIA 1 Follow</t>
        </is>
      </c>
      <c r="AL24"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sheetData>
  <autoFilter ref="A5:AL24"/>
  <mergeCells count="1">
    <mergeCell ref="A2:N2"/>
  </mergeCells>
  <dataValidations count="1">
    <dataValidation sqref="F6 F7 F8 F9 F10 F11 F12 F13 F14 F15 F16 F17 F18 F19 F20 F21 F22 F23 F24 J6 J7 J8 J9 J10 J11 J12 J13 J14 J15 J16 J17 J18 J19 J20 J21 J22 J23 J24 N6 N7 N8 N9 N10 N11 N12 N13 N14 N15 N16 N17 N18 N19 N20 N21 N22 N23 N24 R6 R7 R8 R9 R10 R11 R12 R13 R14 R15 R16 R17 R18 R19 R20 R21 R22 R23 R24 V6 V7 V8 V9 V10 V11 V12 V13 V14 V15 V16 V17 V18 V19 V20 V21 V22 V23 V24 Z6 Z7 Z8 Z9 Z10 Z11 Z12 Z13 Z14 Z15 Z16 Z17 Z18 Z19 Z20 Z21 Z22 Z23 Z24 AD6 AD7 AD8 AD9 AD10 AD11 AD12 AD13 AD14 AD15 AD16 AD17 AD18 AD19 AD20 AD21 AD22 AD23 AD24" showDropDown="0" showInputMessage="0" showErrorMessage="0" allowBlank="1" type="list">
      <formula1>LIST_LMH</formula1>
    </dataValidation>
  </dataValidations>
  <hyperlinks>
    <hyperlink xmlns:r="http://schemas.openxmlformats.org/officeDocument/2006/relationships" ref="O1" r:id="rId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L24"/>
  <sheetViews>
    <sheetView zoomScale="85" workbookViewId="0">
      <pane xSplit="5" ySplit="5" topLeftCell="F6" activePane="bottomRight" state="frozen"/>
      <selection pane="topRight"/>
      <selection pane="bottomLeft"/>
      <selection pane="bottomRight" activeCell="A1" sqref="A1"/>
    </sheetView>
  </sheetViews>
  <sheetFormatPr baseColWidth="8" defaultRowHeight="15"/>
  <cols>
    <col width="7" customWidth="1" min="1" max="1"/>
    <col width="16" customWidth="1" min="2" max="2"/>
    <col width="18" customWidth="1" min="3" max="3"/>
    <col width="20" customWidth="1" min="4" max="4"/>
    <col width="34" customWidth="1" min="5" max="5"/>
    <col width="9" customWidth="1" min="6" max="6"/>
    <col width="30" customWidth="1" min="7" max="7"/>
    <col width="34" customWidth="1" min="8" max="8"/>
    <col width="30" customWidth="1" min="9" max="9"/>
    <col width="9" customWidth="1" min="10" max="10"/>
    <col width="30" customWidth="1" min="11" max="11"/>
    <col width="34" customWidth="1" min="12" max="12"/>
    <col width="30" customWidth="1" min="13" max="13"/>
    <col width="9" customWidth="1" min="14" max="14"/>
    <col width="30" customWidth="1" min="15" max="15"/>
    <col width="34" customWidth="1" min="16" max="16"/>
    <col width="30" customWidth="1" min="17" max="17"/>
    <col width="9" customWidth="1" min="18" max="18"/>
    <col width="30" customWidth="1" min="19" max="19"/>
    <col width="34" customWidth="1" min="20" max="20"/>
    <col width="30" customWidth="1" min="21" max="21"/>
    <col width="9" customWidth="1" min="22" max="22"/>
    <col width="30" customWidth="1" min="23" max="23"/>
    <col width="34" customWidth="1" min="24" max="24"/>
    <col width="30" customWidth="1" min="25" max="25"/>
    <col width="9" customWidth="1" min="26" max="26"/>
    <col width="30" customWidth="1" min="27" max="27"/>
    <col width="34" customWidth="1" min="28" max="28"/>
    <col width="30" customWidth="1" min="29" max="29"/>
    <col width="9" customWidth="1" min="30" max="30"/>
    <col width="30" customWidth="1" min="31" max="31"/>
    <col width="34" customWidth="1" min="32" max="32"/>
    <col width="30" customWidth="1" min="33" max="33"/>
    <col width="26" customWidth="1" min="34" max="34"/>
    <col width="16" customWidth="1" min="35" max="35"/>
    <col width="22" customWidth="1" min="36" max="36"/>
    <col width="18" customWidth="1" min="37" max="37"/>
    <col width="40" customWidth="1" min="38" max="38"/>
  </cols>
  <sheetData>
    <row r="1" ht="24" customHeight="1">
      <c r="A1" s="1" t="inlineStr">
        <is>
          <t>Role &amp; band matrix — Unassigned</t>
        </is>
      </c>
      <c r="O1" s="7" t="inlineStr">
        <is>
          <t>◂ Start</t>
        </is>
      </c>
    </row>
    <row r="2" ht="30" customHeight="1">
      <c r="A2" s="2" t="inlineStr">
        <is>
          <t>What Low, Medium and High mean for each of the seven parameters at every level of Unassigned, and how much each parameter counts · main type of work: General management. Medium is the band as described; Low is the level below; High is the level above. Change a yellow weightage and every role, department ladder and person in this family recalculates.</t>
        </is>
      </c>
    </row>
    <row r="3">
      <c r="A3" s="3" t="inlineStr">
        <is>
          <t>IRIS · Job Architecture &amp; Job Design · Final v1.15 · October 2026 · Internal — Confidential · HR only</t>
        </is>
      </c>
    </row>
    <row r="4" ht="30" customHeight="1">
      <c r="A4" s="6" t="inlineStr">
        <is>
          <t>LEVEL</t>
        </is>
      </c>
      <c r="B4" s="6" t="n"/>
      <c r="C4" s="6" t="n"/>
      <c r="D4" s="6" t="n"/>
      <c r="E4" s="6" t="n"/>
      <c r="F4" s="45" t="inlineStr">
        <is>
          <t>COMPLEXITY &amp; EXPERTISE</t>
        </is>
      </c>
      <c r="G4" s="45" t="n"/>
      <c r="H4" s="45" t="n"/>
      <c r="I4" s="45" t="n"/>
      <c r="J4" s="45" t="inlineStr">
        <is>
          <t>AUTONOMY &amp; DECISION</t>
        </is>
      </c>
      <c r="K4" s="45" t="n"/>
      <c r="L4" s="45" t="n"/>
      <c r="M4" s="45" t="n"/>
      <c r="N4" s="45" t="inlineStr">
        <is>
          <t>ACCOUNTABILITY &amp; IMPACT</t>
        </is>
      </c>
      <c r="O4" s="45" t="n"/>
      <c r="P4" s="45" t="n"/>
      <c r="Q4" s="45" t="n"/>
      <c r="R4" s="47" t="inlineStr">
        <is>
          <t>LEADERSHIP &amp; STRATEGY</t>
        </is>
      </c>
      <c r="S4" s="47" t="n"/>
      <c r="T4" s="47" t="n"/>
      <c r="U4" s="47" t="n"/>
      <c r="V4" s="47" t="inlineStr">
        <is>
          <t>BUSINESS IMPACT</t>
        </is>
      </c>
      <c r="W4" s="47" t="n"/>
      <c r="X4" s="47" t="n"/>
      <c r="Y4" s="47" t="n"/>
      <c r="Z4" s="81" t="inlineStr">
        <is>
          <t>EXPERIENCE</t>
        </is>
      </c>
      <c r="AA4" s="81" t="n"/>
      <c r="AB4" s="81" t="n"/>
      <c r="AC4" s="81" t="n"/>
      <c r="AD4" s="81" t="inlineStr">
        <is>
          <t>EDUCATION</t>
        </is>
      </c>
      <c r="AE4" s="81" t="n"/>
      <c r="AF4" s="81" t="n"/>
      <c r="AG4" s="81" t="n"/>
      <c r="AH4" s="20" t="inlineStr">
        <is>
          <t>MARKET BENCHMARK &amp; REFERENCES</t>
        </is>
      </c>
      <c r="AI4" s="20" t="n"/>
      <c r="AJ4" s="20" t="n"/>
      <c r="AK4" s="20" t="n"/>
      <c r="AL4" s="20" t="n"/>
    </row>
    <row r="5" ht="60" customHeight="1">
      <c r="A5" s="22" t="inlineStr">
        <is>
          <t>Level</t>
        </is>
      </c>
      <c r="B5" s="22" t="inlineStr">
        <is>
          <t>Band</t>
        </is>
      </c>
      <c r="C5" s="22" t="inlineStr">
        <is>
          <t>Role group</t>
        </is>
      </c>
      <c r="D5" s="22" t="inlineStr">
        <is>
          <t>Level title</t>
        </is>
      </c>
      <c r="E5" s="22" t="inlineStr">
        <is>
          <t>Roles at this level in this family</t>
        </is>
      </c>
      <c r="F5" s="48" t="inlineStr">
        <is>
          <t>Weightage · L/M/H</t>
        </is>
      </c>
      <c r="G5" s="48" t="inlineStr">
        <is>
          <t>Low</t>
        </is>
      </c>
      <c r="H5" s="48" t="inlineStr">
        <is>
          <t>Medium</t>
        </is>
      </c>
      <c r="I5" s="48" t="inlineStr">
        <is>
          <t>High</t>
        </is>
      </c>
      <c r="J5" s="48" t="inlineStr">
        <is>
          <t>Weightage · L/M/H</t>
        </is>
      </c>
      <c r="K5" s="48" t="inlineStr">
        <is>
          <t>Low</t>
        </is>
      </c>
      <c r="L5" s="48" t="inlineStr">
        <is>
          <t>Medium</t>
        </is>
      </c>
      <c r="M5" s="48" t="inlineStr">
        <is>
          <t>High</t>
        </is>
      </c>
      <c r="N5" s="48" t="inlineStr">
        <is>
          <t>Weightage · L/M/H</t>
        </is>
      </c>
      <c r="O5" s="48" t="inlineStr">
        <is>
          <t>Low</t>
        </is>
      </c>
      <c r="P5" s="48" t="inlineStr">
        <is>
          <t>Medium</t>
        </is>
      </c>
      <c r="Q5" s="48" t="inlineStr">
        <is>
          <t>High</t>
        </is>
      </c>
      <c r="R5" s="50" t="inlineStr">
        <is>
          <t>Weightage · L/M/H</t>
        </is>
      </c>
      <c r="S5" s="50" t="inlineStr">
        <is>
          <t>Low</t>
        </is>
      </c>
      <c r="T5" s="50" t="inlineStr">
        <is>
          <t>Medium</t>
        </is>
      </c>
      <c r="U5" s="50" t="inlineStr">
        <is>
          <t>High</t>
        </is>
      </c>
      <c r="V5" s="50" t="inlineStr">
        <is>
          <t>Weightage · L/M/H</t>
        </is>
      </c>
      <c r="W5" s="50" t="inlineStr">
        <is>
          <t>Low</t>
        </is>
      </c>
      <c r="X5" s="50" t="inlineStr">
        <is>
          <t>Medium</t>
        </is>
      </c>
      <c r="Y5" s="50" t="inlineStr">
        <is>
          <t>High</t>
        </is>
      </c>
      <c r="Z5" s="82" t="inlineStr">
        <is>
          <t>Weightage · L/M/H</t>
        </is>
      </c>
      <c r="AA5" s="82" t="inlineStr">
        <is>
          <t>Low</t>
        </is>
      </c>
      <c r="AB5" s="82" t="inlineStr">
        <is>
          <t>Medium</t>
        </is>
      </c>
      <c r="AC5" s="82" t="inlineStr">
        <is>
          <t>High</t>
        </is>
      </c>
      <c r="AD5" s="82" t="inlineStr">
        <is>
          <t>Weightage · L/M/H</t>
        </is>
      </c>
      <c r="AE5" s="82" t="inlineStr">
        <is>
          <t>Low</t>
        </is>
      </c>
      <c r="AF5" s="82" t="inlineStr">
        <is>
          <t>Medium</t>
        </is>
      </c>
      <c r="AG5" s="82" t="inlineStr">
        <is>
          <t>High</t>
        </is>
      </c>
      <c r="AH5" s="26" t="inlineStr">
        <is>
          <t>Market weight % · C · Au · Ac · L · BI · Exp · Edu</t>
        </is>
      </c>
      <c r="AI5" s="26" t="inlineStr">
        <is>
          <t>Market experience · yrs</t>
        </is>
      </c>
      <c r="AJ5" s="26" t="inlineStr">
        <is>
          <t>Span norm</t>
        </is>
      </c>
      <c r="AK5" s="26" t="inlineStr">
        <is>
          <t>Radford / Mercer · SFIA 9</t>
        </is>
      </c>
      <c r="AL5" s="26" t="inlineStr">
        <is>
          <t>References</t>
        </is>
      </c>
    </row>
    <row r="6" ht="120" customHeight="1">
      <c r="A6" s="83" t="inlineStr">
        <is>
          <t>E2</t>
        </is>
      </c>
      <c r="B6" s="29" t="inlineStr">
        <is>
          <t>Band E · Enterprise leadership</t>
        </is>
      </c>
      <c r="C6" s="29" t="inlineStr">
        <is>
          <t>Bands D–E · Leadership</t>
        </is>
      </c>
      <c r="D6" s="29" t="inlineStr">
        <is>
          <t>Chief Executive Officer</t>
        </is>
      </c>
      <c r="E6" s="29" t="inlineStr">
        <is>
          <t>— no role at this level today</t>
        </is>
      </c>
      <c r="F6" s="34" t="inlineStr">
        <is>
          <t>H</t>
        </is>
      </c>
      <c r="G6" s="84" t="inlineStr">
        <is>
          <t>Works at E1: Enterprise-level functional strategy</t>
        </is>
      </c>
      <c r="H6" s="84" t="inlineStr">
        <is>
          <t>Enterprise-wide uncertainty, transformation and external forces</t>
        </is>
      </c>
      <c r="I6" s="84" t="inlineStr">
        <is>
          <t>Beyond the role · a board-level mandate</t>
        </is>
      </c>
      <c r="J6" s="34" t="inlineStr">
        <is>
          <t>M</t>
        </is>
      </c>
      <c r="K6" s="84" t="inlineStr">
        <is>
          <t>Works at E1: Sets enterprise priorities for the function</t>
        </is>
      </c>
      <c r="L6" s="84" t="inlineStr">
        <is>
          <t>Accountable to the board</t>
        </is>
      </c>
      <c r="M6" s="84" t="inlineStr">
        <is>
          <t>Beyond the role · a board-level mandate</t>
        </is>
      </c>
      <c r="N6" s="34" t="inlineStr">
        <is>
          <t>M</t>
        </is>
      </c>
      <c r="O6" s="84" t="inlineStr">
        <is>
          <t>Works at E1: Enterprise-wide functional results</t>
        </is>
      </c>
      <c r="P6" s="84" t="inlineStr">
        <is>
          <t>Enterprise results, risk, culture and long-term viability</t>
        </is>
      </c>
      <c r="Q6" s="84" t="inlineStr">
        <is>
          <t>Beyond the role · a board-level mandate</t>
        </is>
      </c>
      <c r="R6" s="34" t="inlineStr">
        <is>
          <t>M</t>
        </is>
      </c>
      <c r="S6" s="56" t="inlineStr">
        <is>
          <t>Works at E1: Shapes enterprise strategy</t>
        </is>
      </c>
      <c r="T6" s="56" t="inlineStr">
        <is>
          <t>Sets enterprise strategy; leads the executive team</t>
        </is>
      </c>
      <c r="U6" s="56" t="inlineStr">
        <is>
          <t>Beyond the role · a board-level mandate</t>
        </is>
      </c>
      <c r="V6" s="34" t="inlineStr">
        <is>
          <t>L</t>
        </is>
      </c>
      <c r="W6" s="56" t="inlineStr">
        <is>
          <t>Works at E1: Shapes company-wide results through a function</t>
        </is>
      </c>
      <c r="X6" s="56" t="inlineStr">
        <is>
          <t>Answers for the whole company's results and long-term value</t>
        </is>
      </c>
      <c r="Y6" s="56" t="inlineStr">
        <is>
          <t>Beyond the role · a board-level mandate</t>
        </is>
      </c>
      <c r="Z6" s="34" t="inlineStr">
        <is>
          <t>L</t>
        </is>
      </c>
      <c r="AA6" s="85" t="inlineStr">
        <is>
          <t>Less experience than the band's typical 20+ yrs</t>
        </is>
      </c>
      <c r="AB6" s="85" t="inlineStr">
        <is>
          <t>Typical for the band: 20+ yrs · market — yrs</t>
        </is>
      </c>
      <c r="AC6" s="85" t="inlineStr">
        <is>
          <t>More experience than the band's typical 20+ yrs</t>
        </is>
      </c>
      <c r="AD6" s="34" t="inlineStr">
        <is>
          <t>L</t>
        </is>
      </c>
      <c r="AE6" s="85" t="inlineStr">
        <is>
          <t>Below: Postgraduate / professional qualification; business leadership record</t>
        </is>
      </c>
      <c r="AF6" s="85" t="inlineStr">
        <is>
          <t>Postgraduate / professional qualification; proven business leadership</t>
        </is>
      </c>
      <c r="AG6" s="85" t="inlineStr">
        <is>
          <t>Board-level credentials beyond the role's need</t>
        </is>
      </c>
      <c r="AH6" s="44" t="inlineStr">
        <is>
          <t>36.3 · 19 · 11.3 · 20 · 8.7 · 4 · 1</t>
        </is>
      </c>
      <c r="AI6" s="38" t="inlineStr">
        <is>
          <t>20+ yrs</t>
        </is>
      </c>
      <c r="AJ6" s="38" t="inlineStr">
        <is>
          <t>Executive team</t>
        </is>
      </c>
      <c r="AK6" s="38" t="inlineStr">
        <is>
          <t>E6 · SFIA 7</t>
        </is>
      </c>
      <c r="AL6"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7" ht="120" customHeight="1">
      <c r="A7" s="83" t="inlineStr">
        <is>
          <t>E1</t>
        </is>
      </c>
      <c r="B7" s="29" t="inlineStr">
        <is>
          <t>Band E · Enterprise leadership</t>
        </is>
      </c>
      <c r="C7" s="29" t="inlineStr">
        <is>
          <t>Bands D–E · Leadership</t>
        </is>
      </c>
      <c r="D7" s="29" t="inlineStr">
        <is>
          <t>CXO / President</t>
        </is>
      </c>
      <c r="E7" s="29" t="inlineStr">
        <is>
          <t>— no role at this level today</t>
        </is>
      </c>
      <c r="F7" s="34" t="inlineStr">
        <is>
          <t>H</t>
        </is>
      </c>
      <c r="G7" s="84" t="inlineStr">
        <is>
          <t>Works at D2: Portfolio-level strategic, financial and regulatory trade-offs</t>
        </is>
      </c>
      <c r="H7" s="84" t="inlineStr">
        <is>
          <t>Enterprise-level functional strategy</t>
        </is>
      </c>
      <c r="I7" s="84" t="inlineStr">
        <is>
          <t>Already works at E2: Enterprise-wide uncertainty, transformation and external forces</t>
        </is>
      </c>
      <c r="J7" s="34" t="inlineStr">
        <is>
          <t>M</t>
        </is>
      </c>
      <c r="K7" s="84" t="inlineStr">
        <is>
          <t>Works at D2: Sets direction across business lines</t>
        </is>
      </c>
      <c r="L7" s="84" t="inlineStr">
        <is>
          <t>Sets enterprise priorities for the function</t>
        </is>
      </c>
      <c r="M7" s="84" t="inlineStr">
        <is>
          <t>Already works at E2: Accountable to the board</t>
        </is>
      </c>
      <c r="N7" s="34" t="inlineStr">
        <is>
          <t>M</t>
        </is>
      </c>
      <c r="O7" s="84" t="inlineStr">
        <is>
          <t>Works at D2: Multi-business results</t>
        </is>
      </c>
      <c r="P7" s="84" t="inlineStr">
        <is>
          <t>Enterprise-wide functional results</t>
        </is>
      </c>
      <c r="Q7" s="84" t="inlineStr">
        <is>
          <t>Already works at E2: Enterprise results, risk, culture and long-term viability</t>
        </is>
      </c>
      <c r="R7" s="34" t="inlineStr">
        <is>
          <t>M</t>
        </is>
      </c>
      <c r="S7" s="56" t="inlineStr">
        <is>
          <t>Works at D2: Builds the leadership team across businesses</t>
        </is>
      </c>
      <c r="T7" s="56" t="inlineStr">
        <is>
          <t>Shapes enterprise strategy</t>
        </is>
      </c>
      <c r="U7" s="56" t="inlineStr">
        <is>
          <t>Already works at E2: Sets enterprise strategy; leads the executive team</t>
        </is>
      </c>
      <c r="V7" s="34" t="inlineStr">
        <is>
          <t>L</t>
        </is>
      </c>
      <c r="W7" s="56" t="inlineStr">
        <is>
          <t>Works at D2: Owns the results of several business lines</t>
        </is>
      </c>
      <c r="X7" s="56" t="inlineStr">
        <is>
          <t>Shapes company-wide results through a function</t>
        </is>
      </c>
      <c r="Y7" s="56" t="inlineStr">
        <is>
          <t>Already works at E2: Answers for the whole company's results and long-term value</t>
        </is>
      </c>
      <c r="Z7" s="34" t="inlineStr">
        <is>
          <t>L</t>
        </is>
      </c>
      <c r="AA7" s="85" t="inlineStr">
        <is>
          <t>Less experience than the band's typical 20+ yrs</t>
        </is>
      </c>
      <c r="AB7" s="85" t="inlineStr">
        <is>
          <t>Typical for the band: 20+ yrs · market — yrs</t>
        </is>
      </c>
      <c r="AC7" s="85" t="inlineStr">
        <is>
          <t>More experience than the band's typical 20+ yrs</t>
        </is>
      </c>
      <c r="AD7" s="34" t="inlineStr">
        <is>
          <t>L</t>
        </is>
      </c>
      <c r="AE7" s="85" t="inlineStr">
        <is>
          <t>Below: Postgraduate / professional qualification preferred</t>
        </is>
      </c>
      <c r="AF7" s="85" t="inlineStr">
        <is>
          <t>Postgraduate / professional qualification; business leadership record</t>
        </is>
      </c>
      <c r="AG7" s="85" t="inlineStr">
        <is>
          <t>Above: Postgraduate / professional qualification; proven business leadership</t>
        </is>
      </c>
      <c r="AH7" s="44" t="inlineStr">
        <is>
          <t>36.3 · 19 · 11.3 · 20 · 8.7 · 4 · 1</t>
        </is>
      </c>
      <c r="AI7" s="38" t="inlineStr">
        <is>
          <t>20+ yrs</t>
        </is>
      </c>
      <c r="AJ7" s="38" t="inlineStr">
        <is>
          <t>5–8 function heads</t>
        </is>
      </c>
      <c r="AK7" s="38" t="inlineStr">
        <is>
          <t>E5 · SFIA 7</t>
        </is>
      </c>
      <c r="AL7"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8" ht="120" customHeight="1">
      <c r="A8" s="86" t="inlineStr">
        <is>
          <t>D2</t>
        </is>
      </c>
      <c r="B8" s="29" t="inlineStr">
        <is>
          <t>Band D · Business leadership</t>
        </is>
      </c>
      <c r="C8" s="29" t="inlineStr">
        <is>
          <t>Bands D–E · Leadership</t>
        </is>
      </c>
      <c r="D8" s="29" t="inlineStr">
        <is>
          <t>Senior Vice President / Business Head</t>
        </is>
      </c>
      <c r="E8" s="29" t="inlineStr">
        <is>
          <t>— no role at this level today</t>
        </is>
      </c>
      <c r="F8" s="34" t="inlineStr">
        <is>
          <t>H</t>
        </is>
      </c>
      <c r="G8" s="84" t="inlineStr">
        <is>
          <t>Works at D1: Competing strategic, financial and regulatory priorities</t>
        </is>
      </c>
      <c r="H8" s="84" t="inlineStr">
        <is>
          <t>Portfolio-level strategic, financial and regulatory trade-offs</t>
        </is>
      </c>
      <c r="I8" s="84" t="inlineStr">
        <is>
          <t>Already works at E1: Enterprise-level functional strategy</t>
        </is>
      </c>
      <c r="J8" s="34" t="inlineStr">
        <is>
          <t>M</t>
        </is>
      </c>
      <c r="K8" s="84" t="inlineStr">
        <is>
          <t>Works at D1: Sets business-line direction, pricing and investment</t>
        </is>
      </c>
      <c r="L8" s="84" t="inlineStr">
        <is>
          <t>Sets direction across business lines</t>
        </is>
      </c>
      <c r="M8" s="84" t="inlineStr">
        <is>
          <t>Already works at E1: Sets enterprise priorities for the function</t>
        </is>
      </c>
      <c r="N8" s="34" t="inlineStr">
        <is>
          <t>M</t>
        </is>
      </c>
      <c r="O8" s="84" t="inlineStr">
        <is>
          <t>Works at D1: Business-line P&amp;L and market position</t>
        </is>
      </c>
      <c r="P8" s="84" t="inlineStr">
        <is>
          <t>Multi-business results</t>
        </is>
      </c>
      <c r="Q8" s="84" t="inlineStr">
        <is>
          <t>Already works at E1: Enterprise-wide functional results</t>
        </is>
      </c>
      <c r="R8" s="34" t="inlineStr">
        <is>
          <t>M</t>
        </is>
      </c>
      <c r="S8" s="56" t="inlineStr">
        <is>
          <t>Works at D1: Defines business strategy; builds the leadership bench</t>
        </is>
      </c>
      <c r="T8" s="56" t="inlineStr">
        <is>
          <t>Builds the leadership team across businesses</t>
        </is>
      </c>
      <c r="U8" s="56" t="inlineStr">
        <is>
          <t>Already works at E1: Shapes enterprise strategy</t>
        </is>
      </c>
      <c r="V8" s="34" t="inlineStr">
        <is>
          <t>L</t>
        </is>
      </c>
      <c r="W8" s="56" t="inlineStr">
        <is>
          <t>Works at D1: Owns a business line's P&amp;L and growth, or a company-wide function</t>
        </is>
      </c>
      <c r="X8" s="56" t="inlineStr">
        <is>
          <t>Owns the results of several business lines</t>
        </is>
      </c>
      <c r="Y8" s="56" t="inlineStr">
        <is>
          <t>Already works at E1: Shapes company-wide results through a function</t>
        </is>
      </c>
      <c r="Z8" s="34" t="inlineStr">
        <is>
          <t>L</t>
        </is>
      </c>
      <c r="AA8" s="85" t="inlineStr">
        <is>
          <t>Less experience than the band's typical 18–24 yrs</t>
        </is>
      </c>
      <c r="AB8" s="85" t="inlineStr">
        <is>
          <t>Typical for the band: 18–24 yrs · market — yrs</t>
        </is>
      </c>
      <c r="AC8" s="85" t="inlineStr">
        <is>
          <t>More experience than the band's typical 18–24 yrs</t>
        </is>
      </c>
      <c r="AD8" s="34" t="inlineStr">
        <is>
          <t>L</t>
        </is>
      </c>
      <c r="AE8" s="85" t="inlineStr">
        <is>
          <t>Below: Postgraduate / professional qualification preferred</t>
        </is>
      </c>
      <c r="AF8" s="85" t="inlineStr">
        <is>
          <t>Postgraduate / professional qualification preferred</t>
        </is>
      </c>
      <c r="AG8" s="85" t="inlineStr">
        <is>
          <t>Above: Postgraduate / professional qualification; business leadership record</t>
        </is>
      </c>
      <c r="AH8" s="44" t="inlineStr">
        <is>
          <t>36.3 · 19 · 11.3 · 20 · 8.7 · 4 · 1</t>
        </is>
      </c>
      <c r="AI8" s="38" t="inlineStr">
        <is>
          <t>18–24 yrs</t>
        </is>
      </c>
      <c r="AJ8" s="38" t="inlineStr">
        <is>
          <t>5–8 AVPs / heads</t>
        </is>
      </c>
      <c r="AK8" s="38" t="inlineStr">
        <is>
          <t>E3–E4 · SFIA 7 Set strategy</t>
        </is>
      </c>
      <c r="AL8"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9" ht="120" customHeight="1">
      <c r="A9" s="86" t="inlineStr">
        <is>
          <t>D1</t>
        </is>
      </c>
      <c r="B9" s="29" t="inlineStr">
        <is>
          <t>Band D · Business leadership</t>
        </is>
      </c>
      <c r="C9" s="29" t="inlineStr">
        <is>
          <t>Bands D–E · Leadership</t>
        </is>
      </c>
      <c r="D9" s="29" t="inlineStr">
        <is>
          <t>Associate Vice President</t>
        </is>
      </c>
      <c r="E9" s="29" t="inlineStr">
        <is>
          <t>— no role at this level today</t>
        </is>
      </c>
      <c r="F9" s="34" t="inlineStr">
        <is>
          <t>H</t>
        </is>
      </c>
      <c r="G9" s="84" t="inlineStr">
        <is>
          <t>Works at C2: Function-wide or company-wide problems; creates methods and standards</t>
        </is>
      </c>
      <c r="H9" s="84" t="inlineStr">
        <is>
          <t>Competing strategic, financial and regulatory priorities</t>
        </is>
      </c>
      <c r="I9" s="84" t="inlineStr">
        <is>
          <t>Already works at D2: Portfolio-level strategic, financial and regulatory trade-offs</t>
        </is>
      </c>
      <c r="J9" s="34" t="inlineStr">
        <is>
          <t>M</t>
        </is>
      </c>
      <c r="K9" s="84" t="inlineStr">
        <is>
          <t>Works at C2: Sets direction for a function</t>
        </is>
      </c>
      <c r="L9" s="84" t="inlineStr">
        <is>
          <t>Sets business-line direction, pricing and investment</t>
        </is>
      </c>
      <c r="M9" s="84" t="inlineStr">
        <is>
          <t>Already works at D2: Sets direction across business lines</t>
        </is>
      </c>
      <c r="N9" s="34" t="inlineStr">
        <is>
          <t>M</t>
        </is>
      </c>
      <c r="O9" s="84" t="inlineStr">
        <is>
          <t>Works at C2: Function results, budget and risk</t>
        </is>
      </c>
      <c r="P9" s="84" t="inlineStr">
        <is>
          <t>Business-line P&amp;L and market position</t>
        </is>
      </c>
      <c r="Q9" s="84" t="inlineStr">
        <is>
          <t>Already works at D2: Multi-business results</t>
        </is>
      </c>
      <c r="R9" s="34" t="inlineStr">
        <is>
          <t>M</t>
        </is>
      </c>
      <c r="S9" s="56" t="inlineStr">
        <is>
          <t>Works at C2: Leads a function; shapes functional strategy</t>
        </is>
      </c>
      <c r="T9" s="56" t="inlineStr">
        <is>
          <t>Defines business strategy; builds the leadership bench</t>
        </is>
      </c>
      <c r="U9" s="56" t="inlineStr">
        <is>
          <t>Already works at D2: Builds the leadership team across businesses</t>
        </is>
      </c>
      <c r="V9" s="34" t="inlineStr">
        <is>
          <t>L</t>
        </is>
      </c>
      <c r="W9" s="56" t="inlineStr">
        <is>
          <t>Works at C2: Drives a function's or department's results and costs</t>
        </is>
      </c>
      <c r="X9" s="56" t="inlineStr">
        <is>
          <t>Owns a business line's P&amp;L and growth, or a company-wide function</t>
        </is>
      </c>
      <c r="Y9" s="56" t="inlineStr">
        <is>
          <t>Already works at D2: Owns the results of several business lines</t>
        </is>
      </c>
      <c r="Z9" s="34" t="inlineStr">
        <is>
          <t>L</t>
        </is>
      </c>
      <c r="AA9" s="85" t="inlineStr">
        <is>
          <t>Less experience than the band's typical 15–20 yrs</t>
        </is>
      </c>
      <c r="AB9" s="85" t="inlineStr">
        <is>
          <t>Typical for the band: 15–20 yrs · market — yrs</t>
        </is>
      </c>
      <c r="AC9" s="85" t="inlineStr">
        <is>
          <t>More experience than the band's typical 15–20 yrs</t>
        </is>
      </c>
      <c r="AD9" s="34" t="inlineStr">
        <is>
          <t>L</t>
        </is>
      </c>
      <c r="AE9" s="85" t="inlineStr">
        <is>
          <t>Below: Postgraduate / professional qualification preferred</t>
        </is>
      </c>
      <c r="AF9" s="85" t="inlineStr">
        <is>
          <t>Postgraduate / professional qualification preferred</t>
        </is>
      </c>
      <c r="AG9" s="85" t="inlineStr">
        <is>
          <t>Above: Postgraduate / professional qualification preferred</t>
        </is>
      </c>
      <c r="AH9" s="44" t="inlineStr">
        <is>
          <t>36.3 · 19 · 11.3 · 20 · 8.7 · 4 · 1</t>
        </is>
      </c>
      <c r="AI9" s="38" t="inlineStr">
        <is>
          <t>15–20 yrs</t>
        </is>
      </c>
      <c r="AJ9" s="38" t="inlineStr">
        <is>
          <t>5–8 heads</t>
        </is>
      </c>
      <c r="AK9" s="38" t="inlineStr">
        <is>
          <t>E1–E2 · SFIA 6–7</t>
        </is>
      </c>
      <c r="AL9"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0" ht="120" customHeight="1">
      <c r="A10" s="87" t="inlineStr">
        <is>
          <t>C+</t>
        </is>
      </c>
      <c r="B10" s="29" t="inlineStr">
        <is>
          <t>C+ · Player-Coach</t>
        </is>
      </c>
      <c r="C10" s="29" t="inlineStr">
        <is>
          <t>C+ · Player-Coach</t>
        </is>
      </c>
      <c r="D10" s="29" t="inlineStr">
        <is>
          <t>Group Head · Player-Coach</t>
        </is>
      </c>
      <c r="E10" s="29" t="inlineStr">
        <is>
          <t>— no role at this level today</t>
        </is>
      </c>
      <c r="F10" s="34" t="inlineStr">
        <is>
          <t>H</t>
        </is>
      </c>
      <c r="G10" s="84" t="inlineStr">
        <is>
          <t>Works at C2: Function-wide or company-wide problems; creates methods and standards</t>
        </is>
      </c>
      <c r="H10" s="84" t="inlineStr">
        <is>
          <t>Function-wide and cross-product problems; personally handles the most critical client or technical work</t>
        </is>
      </c>
      <c r="I10" s="84" t="inlineStr">
        <is>
          <t>Already works at D1: Competing strategic, financial and regulatory priorities</t>
        </is>
      </c>
      <c r="J10" s="34" t="inlineStr">
        <is>
          <t>M</t>
        </is>
      </c>
      <c r="K10" s="84" t="inlineStr">
        <is>
          <t>Works at C2: Sets direction for a function</t>
        </is>
      </c>
      <c r="L10" s="84" t="inlineStr">
        <is>
          <t>Sets direction for the function; business-line trade-offs go to the Business Head</t>
        </is>
      </c>
      <c r="M10" s="84" t="inlineStr">
        <is>
          <t>Already works at D1: Sets business-line direction, pricing and investment</t>
        </is>
      </c>
      <c r="N10" s="34" t="inlineStr">
        <is>
          <t>M</t>
        </is>
      </c>
      <c r="O10" s="84" t="inlineStr">
        <is>
          <t>Works at C2: Function results, budget and risk</t>
        </is>
      </c>
      <c r="P10" s="84" t="inlineStr">
        <is>
          <t>Function results, budget and key-client outcomes; carries own book or principal delivery</t>
        </is>
      </c>
      <c r="Q10" s="84" t="inlineStr">
        <is>
          <t>Already works at D1: Business-line P&amp;L and market position</t>
        </is>
      </c>
      <c r="R10" s="34" t="inlineStr">
        <is>
          <t>M</t>
        </is>
      </c>
      <c r="S10" s="56" t="inlineStr">
        <is>
          <t>Works at C2: Leads a function; shapes functional strategy</t>
        </is>
      </c>
      <c r="T10" s="56" t="inlineStr">
        <is>
          <t>Leads managers and leads and 10+ people in the function while staying hands-on</t>
        </is>
      </c>
      <c r="U10" s="56" t="inlineStr">
        <is>
          <t>Already works at D1: Defines business strategy; builds the leadership bench</t>
        </is>
      </c>
      <c r="V10" s="34" t="inlineStr">
        <is>
          <t>L</t>
        </is>
      </c>
      <c r="W10" s="56" t="inlineStr">
        <is>
          <t>Works at C2: Drives a function's or department's results and costs</t>
        </is>
      </c>
      <c r="X10" s="56" t="inlineStr">
        <is>
          <t>Drives a function's results and personally wins or delivers key work</t>
        </is>
      </c>
      <c r="Y10" s="56" t="inlineStr">
        <is>
          <t>Already works at D1: Owns a business line's P&amp;L and growth, or a company-wide function</t>
        </is>
      </c>
      <c r="Z10" s="34" t="inlineStr">
        <is>
          <t>L</t>
        </is>
      </c>
      <c r="AA10" s="85" t="inlineStr">
        <is>
          <t>Less experience than the band's typical 13–18 yrs</t>
        </is>
      </c>
      <c r="AB10" s="85" t="inlineStr">
        <is>
          <t>Typical for the band: 13–18 yrs · market 15–18 yrs</t>
        </is>
      </c>
      <c r="AC10" s="85" t="inlineStr">
        <is>
          <t>More experience than the band's typical 13–18 yrs</t>
        </is>
      </c>
      <c r="AD10" s="34" t="inlineStr">
        <is>
          <t>L</t>
        </is>
      </c>
      <c r="AE10" s="85" t="inlineStr">
        <is>
          <t>Below: Postgraduate / professional qualification preferred</t>
        </is>
      </c>
      <c r="AF10" s="85" t="inlineStr">
        <is>
          <t>Postgraduate / professional qualification preferred</t>
        </is>
      </c>
      <c r="AG10" s="85" t="inlineStr">
        <is>
          <t>Above: Postgraduate / professional qualification preferred</t>
        </is>
      </c>
      <c r="AH10" s="44" t="inlineStr">
        <is>
          <t>37.7 · 18.3 · 10.7 · 20 · 8 · 4 · 1</t>
        </is>
      </c>
      <c r="AI10" s="38" t="inlineStr">
        <is>
          <t>15–18</t>
        </is>
      </c>
      <c r="AJ10" s="38" t="inlineStr">
        <is>
          <t>4–8 managers / leads with ≥ 25% of time on own principal delivery</t>
        </is>
      </c>
      <c r="AK10" s="38" t="inlineStr">
        <is>
          <t>M6 / E1 · SFIA 6 Initiate, influence</t>
        </is>
      </c>
      <c r="AL10"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1" ht="120" customHeight="1">
      <c r="A11" s="88" t="inlineStr">
        <is>
          <t>C2</t>
        </is>
      </c>
      <c r="B11" s="29" t="inlineStr">
        <is>
          <t>Band C · Principal / Head</t>
        </is>
      </c>
      <c r="C11" s="29" t="inlineStr">
        <is>
          <t>Band C · Head / manager</t>
        </is>
      </c>
      <c r="D11" s="29" t="inlineStr">
        <is>
          <t>Head of Function</t>
        </is>
      </c>
      <c r="E11" s="29" t="inlineStr">
        <is>
          <t>— no role at this level today</t>
        </is>
      </c>
      <c r="F11" s="34" t="inlineStr">
        <is>
          <t>H</t>
        </is>
      </c>
      <c r="G11" s="84" t="inlineStr">
        <is>
          <t>Works at C1: Ambiguous, cross-product problems</t>
        </is>
      </c>
      <c r="H11" s="84" t="inlineStr">
        <is>
          <t>Function-wide or company-wide problems; creates methods and standards</t>
        </is>
      </c>
      <c r="I11" s="84" t="inlineStr">
        <is>
          <t>Already works at D1: Competing strategic, financial and regulatory priorities</t>
        </is>
      </c>
      <c r="J11" s="34" t="inlineStr">
        <is>
          <t>M</t>
        </is>
      </c>
      <c r="K11" s="84" t="inlineStr">
        <is>
          <t>Works at C1: Sets direction for a sub-function or domain</t>
        </is>
      </c>
      <c r="L11" s="84" t="inlineStr">
        <is>
          <t>Sets direction for a function</t>
        </is>
      </c>
      <c r="M11" s="84" t="inlineStr">
        <is>
          <t>Already works at D1: Sets business-line direction, pricing and investment</t>
        </is>
      </c>
      <c r="N11" s="34" t="inlineStr">
        <is>
          <t>M</t>
        </is>
      </c>
      <c r="O11" s="84" t="inlineStr">
        <is>
          <t>Works at C1: Sub-function results or domain quality across products</t>
        </is>
      </c>
      <c r="P11" s="84" t="inlineStr">
        <is>
          <t>Function results, budget and risk</t>
        </is>
      </c>
      <c r="Q11" s="84" t="inlineStr">
        <is>
          <t>Already works at D1: Business-line P&amp;L and market position</t>
        </is>
      </c>
      <c r="R11" s="34" t="inlineStr">
        <is>
          <t>M</t>
        </is>
      </c>
      <c r="S11" s="56" t="inlineStr">
        <is>
          <t>Works at C1: Leads managers or a community of practice</t>
        </is>
      </c>
      <c r="T11" s="56" t="inlineStr">
        <is>
          <t>Leads a function; shapes functional strategy</t>
        </is>
      </c>
      <c r="U11" s="56" t="inlineStr">
        <is>
          <t>Already works at D1: Defines business strategy; builds the leadership bench</t>
        </is>
      </c>
      <c r="V11" s="34" t="inlineStr">
        <is>
          <t>L</t>
        </is>
      </c>
      <c r="W11" s="56" t="inlineStr">
        <is>
          <t>Works at C1: Changes results across a sub-function or across products</t>
        </is>
      </c>
      <c r="X11" s="56" t="inlineStr">
        <is>
          <t>Drives a function's or department's results and costs</t>
        </is>
      </c>
      <c r="Y11" s="56" t="inlineStr">
        <is>
          <t>Already works at D1: Owns a business line's P&amp;L and growth, or a company-wide function</t>
        </is>
      </c>
      <c r="Z11" s="34" t="inlineStr">
        <is>
          <t>L</t>
        </is>
      </c>
      <c r="AA11" s="85" t="inlineStr">
        <is>
          <t>Less experience than the band's typical 12–17 yrs</t>
        </is>
      </c>
      <c r="AB11" s="85" t="inlineStr">
        <is>
          <t>Typical for the band: 12–17 yrs · market — yrs</t>
        </is>
      </c>
      <c r="AC11" s="85" t="inlineStr">
        <is>
          <t>More experience than the band's typical 12–17 yrs</t>
        </is>
      </c>
      <c r="AD11" s="34" t="inlineStr">
        <is>
          <t>L</t>
        </is>
      </c>
      <c r="AE11" s="85" t="inlineStr">
        <is>
          <t>Below: Postgraduate / professional qualification preferred</t>
        </is>
      </c>
      <c r="AF11" s="85" t="inlineStr">
        <is>
          <t>Postgraduate / professional qualification preferred</t>
        </is>
      </c>
      <c r="AG11" s="85" t="inlineStr">
        <is>
          <t>Above: Postgraduate / professional qualification preferred</t>
        </is>
      </c>
      <c r="AH11" s="44" t="inlineStr">
        <is>
          <t>43.3 · 18 · 10.7 · 15 · 8 · 4 · 1</t>
        </is>
      </c>
      <c r="AI11" s="38" t="inlineStr">
        <is>
          <t>12–17 yrs</t>
        </is>
      </c>
      <c r="AJ11" s="38" t="inlineStr">
        <is>
          <t>5–8 managers / associate heads</t>
        </is>
      </c>
      <c r="AK11" s="38" t="inlineStr">
        <is>
          <t>P7 / M6 · SFIA 6 Initiate, influence</t>
        </is>
      </c>
      <c r="AL11"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2" ht="120" customHeight="1">
      <c r="A12" s="88" t="inlineStr">
        <is>
          <t>C2</t>
        </is>
      </c>
      <c r="B12" s="29" t="inlineStr">
        <is>
          <t>Band C · Principal / Head</t>
        </is>
      </c>
      <c r="C12" s="29" t="inlineStr">
        <is>
          <t>Band C · Principal specialist</t>
        </is>
      </c>
      <c r="D12" s="29" t="inlineStr">
        <is>
          <t>Senior Principal / Architect</t>
        </is>
      </c>
      <c r="E12" s="29" t="inlineStr">
        <is>
          <t>— no role at this level today</t>
        </is>
      </c>
      <c r="F12" s="34" t="inlineStr">
        <is>
          <t>H</t>
        </is>
      </c>
      <c r="G12" s="84" t="inlineStr">
        <is>
          <t>Works at C1: Ambiguous, cross-product problems</t>
        </is>
      </c>
      <c r="H12" s="84" t="inlineStr">
        <is>
          <t>Function-wide or company-wide problems; creates methods and standards</t>
        </is>
      </c>
      <c r="I12" s="84" t="inlineStr">
        <is>
          <t>Already works at D1: Competing strategic, financial and regulatory priorities</t>
        </is>
      </c>
      <c r="J12" s="34" t="inlineStr">
        <is>
          <t>M</t>
        </is>
      </c>
      <c r="K12" s="84" t="inlineStr">
        <is>
          <t>Works at C1: Sets direction for a sub-function or domain</t>
        </is>
      </c>
      <c r="L12" s="84" t="inlineStr">
        <is>
          <t>Sets direction for a function</t>
        </is>
      </c>
      <c r="M12" s="84" t="inlineStr">
        <is>
          <t>Already works at D1: Sets business-line direction, pricing and investment</t>
        </is>
      </c>
      <c r="N12" s="34" t="inlineStr">
        <is>
          <t>M</t>
        </is>
      </c>
      <c r="O12" s="84" t="inlineStr">
        <is>
          <t>Works at C1: Sub-function results or domain quality across products</t>
        </is>
      </c>
      <c r="P12" s="84" t="inlineStr">
        <is>
          <t>Function results, budget and risk</t>
        </is>
      </c>
      <c r="Q12" s="84" t="inlineStr">
        <is>
          <t>Already works at D1: Business-line P&amp;L and market position</t>
        </is>
      </c>
      <c r="R12" s="34" t="inlineStr">
        <is>
          <t>L</t>
        </is>
      </c>
      <c r="S12" s="56" t="inlineStr">
        <is>
          <t>Works at C1: Leads managers or a community of practice</t>
        </is>
      </c>
      <c r="T12" s="56" t="inlineStr">
        <is>
          <t>Leads a function; shapes functional strategy</t>
        </is>
      </c>
      <c r="U12" s="56" t="inlineStr">
        <is>
          <t>Already works at D1: Defines business strategy; builds the leadership bench</t>
        </is>
      </c>
      <c r="V12" s="34" t="inlineStr">
        <is>
          <t>L</t>
        </is>
      </c>
      <c r="W12" s="56" t="inlineStr">
        <is>
          <t>Works at C1: Changes results across a sub-function or across products</t>
        </is>
      </c>
      <c r="X12" s="56" t="inlineStr">
        <is>
          <t>Drives a function's or department's results and costs</t>
        </is>
      </c>
      <c r="Y12" s="56" t="inlineStr">
        <is>
          <t>Already works at D1: Owns a business line's P&amp;L and growth, or a company-wide function</t>
        </is>
      </c>
      <c r="Z12" s="34" t="inlineStr">
        <is>
          <t>L</t>
        </is>
      </c>
      <c r="AA12" s="85" t="inlineStr">
        <is>
          <t>Less experience than the band's typical 12–17 yrs</t>
        </is>
      </c>
      <c r="AB12" s="85" t="inlineStr">
        <is>
          <t>Typical for the band: 12–17 yrs · market — yrs</t>
        </is>
      </c>
      <c r="AC12" s="85" t="inlineStr">
        <is>
          <t>More experience than the band's typical 12–17 yrs</t>
        </is>
      </c>
      <c r="AD12" s="34" t="inlineStr">
        <is>
          <t>L</t>
        </is>
      </c>
      <c r="AE12" s="85" t="inlineStr">
        <is>
          <t>Below: Postgraduate / professional qualification preferred</t>
        </is>
      </c>
      <c r="AF12" s="85" t="inlineStr">
        <is>
          <t>Postgraduate / professional qualification preferred</t>
        </is>
      </c>
      <c r="AG12" s="85" t="inlineStr">
        <is>
          <t>Above: Postgraduate / professional qualification preferred</t>
        </is>
      </c>
      <c r="AH12" s="44" t="inlineStr">
        <is>
          <t>54.3 · 17.7 · 10.3 · 5 · 7.7 · 4 · 1</t>
        </is>
      </c>
      <c r="AI12" s="38" t="inlineStr">
        <is>
          <t>12–17 yrs</t>
        </is>
      </c>
      <c r="AJ12" s="38" t="inlineStr">
        <is>
          <t>5–8 managers / associate heads</t>
        </is>
      </c>
      <c r="AK12" s="38" t="inlineStr">
        <is>
          <t>P7 / M6 · SFIA 6 Initiate, influence</t>
        </is>
      </c>
      <c r="AL12"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3" ht="120" customHeight="1">
      <c r="A13" s="88" t="inlineStr">
        <is>
          <t>C1</t>
        </is>
      </c>
      <c r="B13" s="29" t="inlineStr">
        <is>
          <t>Band C · Principal / Head</t>
        </is>
      </c>
      <c r="C13" s="29" t="inlineStr">
        <is>
          <t>Band C · Head / manager</t>
        </is>
      </c>
      <c r="D13" s="29" t="inlineStr">
        <is>
          <t>Associate Head</t>
        </is>
      </c>
      <c r="E13" s="29" t="inlineStr">
        <is>
          <t>— no role at this level today</t>
        </is>
      </c>
      <c r="F13" s="34" t="inlineStr">
        <is>
          <t>H</t>
        </is>
      </c>
      <c r="G13" s="84" t="inlineStr">
        <is>
          <t>Works at B3: Sets standards for a practice; cross-team problems</t>
        </is>
      </c>
      <c r="H13" s="84" t="inlineStr">
        <is>
          <t>Ambiguous, cross-product problems</t>
        </is>
      </c>
      <c r="I13" s="84" t="inlineStr">
        <is>
          <t>Already works at C2: Function-wide or company-wide problems; creates methods and standards</t>
        </is>
      </c>
      <c r="J13" s="34" t="inlineStr">
        <is>
          <t>M</t>
        </is>
      </c>
      <c r="K13" s="84" t="inlineStr">
        <is>
          <t>Works at B3: Commercial / strategic calls for the unit</t>
        </is>
      </c>
      <c r="L13" s="84" t="inlineStr">
        <is>
          <t>Sets direction for a sub-function or domain</t>
        </is>
      </c>
      <c r="M13" s="84" t="inlineStr">
        <is>
          <t>Already works at C2: Sets direction for a function</t>
        </is>
      </c>
      <c r="N13" s="34" t="inlineStr">
        <is>
          <t>M</t>
        </is>
      </c>
      <c r="O13" s="84" t="inlineStr">
        <is>
          <t>Works at B3: Several teams or a practice</t>
        </is>
      </c>
      <c r="P13" s="84" t="inlineStr">
        <is>
          <t>Sub-function results or domain quality across products</t>
        </is>
      </c>
      <c r="Q13" s="84" t="inlineStr">
        <is>
          <t>Already works at C2: Function results, budget and risk</t>
        </is>
      </c>
      <c r="R13" s="34" t="inlineStr">
        <is>
          <t>M</t>
        </is>
      </c>
      <c r="S13" s="56" t="inlineStr">
        <is>
          <t>Works at B3: IC: leads a practice · People: team leads / managers report in</t>
        </is>
      </c>
      <c r="T13" s="56" t="inlineStr">
        <is>
          <t>Leads managers or a community of practice</t>
        </is>
      </c>
      <c r="U13" s="56" t="inlineStr">
        <is>
          <t>Already works at C2: Leads a function; shapes functional strategy</t>
        </is>
      </c>
      <c r="V13" s="34" t="inlineStr">
        <is>
          <t>L</t>
        </is>
      </c>
      <c r="W13" s="56" t="inlineStr">
        <is>
          <t>Works at B3: Shapes the results of a practice or several teams</t>
        </is>
      </c>
      <c r="X13" s="56" t="inlineStr">
        <is>
          <t>Changes results across a sub-function or across products</t>
        </is>
      </c>
      <c r="Y13" s="56" t="inlineStr">
        <is>
          <t>Already works at C2: Drives a function's or department's results and costs</t>
        </is>
      </c>
      <c r="Z13" s="34" t="inlineStr">
        <is>
          <t>L</t>
        </is>
      </c>
      <c r="AA13" s="85" t="inlineStr">
        <is>
          <t>Less experience than the band's typical 10–14 yrs</t>
        </is>
      </c>
      <c r="AB13" s="85" t="inlineStr">
        <is>
          <t>Typical for the band: 10–14 yrs · market 12–17 yrs</t>
        </is>
      </c>
      <c r="AC13" s="85" t="inlineStr">
        <is>
          <t>More experience than the band's typical 10–14 yrs</t>
        </is>
      </c>
      <c r="AD13" s="34" t="inlineStr">
        <is>
          <t>L</t>
        </is>
      </c>
      <c r="AE13" s="85" t="inlineStr">
        <is>
          <t>Below: Postgraduate or professional qualification preferred</t>
        </is>
      </c>
      <c r="AF13" s="85" t="inlineStr">
        <is>
          <t>Postgraduate / professional qualification preferred</t>
        </is>
      </c>
      <c r="AG13" s="85" t="inlineStr">
        <is>
          <t>Above: Postgraduate / professional qualification preferred</t>
        </is>
      </c>
      <c r="AH13" s="44" t="inlineStr">
        <is>
          <t>43.3 · 18 · 10.7 · 15 · 8 · 4 · 1</t>
        </is>
      </c>
      <c r="AI13" s="38" t="inlineStr">
        <is>
          <t>12–17</t>
        </is>
      </c>
      <c r="AJ13" s="38" t="inlineStr">
        <is>
          <t>5–8, mostly managers</t>
        </is>
      </c>
      <c r="AK13" s="38" t="inlineStr">
        <is>
          <t>P6 / M5 · SFIA 5–6</t>
        </is>
      </c>
      <c r="AL13"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4" ht="120" customHeight="1">
      <c r="A14" s="88" t="inlineStr">
        <is>
          <t>C1</t>
        </is>
      </c>
      <c r="B14" s="29" t="inlineStr">
        <is>
          <t>Band C · Principal / Head</t>
        </is>
      </c>
      <c r="C14" s="29" t="inlineStr">
        <is>
          <t>Band C · Principal specialist</t>
        </is>
      </c>
      <c r="D14" s="29" t="inlineStr">
        <is>
          <t>Principal</t>
        </is>
      </c>
      <c r="E14" s="29" t="inlineStr">
        <is>
          <t>— no role at this level today</t>
        </is>
      </c>
      <c r="F14" s="34" t="inlineStr">
        <is>
          <t>H</t>
        </is>
      </c>
      <c r="G14" s="84" t="inlineStr">
        <is>
          <t>Works at B3: Sets standards for a practice; cross-team problems</t>
        </is>
      </c>
      <c r="H14" s="84" t="inlineStr">
        <is>
          <t>Ambiguous, cross-product problems</t>
        </is>
      </c>
      <c r="I14" s="84" t="inlineStr">
        <is>
          <t>Already works at C2: Function-wide or company-wide problems; creates methods and standards</t>
        </is>
      </c>
      <c r="J14" s="34" t="inlineStr">
        <is>
          <t>M</t>
        </is>
      </c>
      <c r="K14" s="84" t="inlineStr">
        <is>
          <t>Works at B3: Commercial / strategic calls for the unit</t>
        </is>
      </c>
      <c r="L14" s="84" t="inlineStr">
        <is>
          <t>Sets direction for a sub-function or domain</t>
        </is>
      </c>
      <c r="M14" s="84" t="inlineStr">
        <is>
          <t>Already works at C2: Sets direction for a function</t>
        </is>
      </c>
      <c r="N14" s="34" t="inlineStr">
        <is>
          <t>M</t>
        </is>
      </c>
      <c r="O14" s="84" t="inlineStr">
        <is>
          <t>Works at B3: Several teams or a practice</t>
        </is>
      </c>
      <c r="P14" s="84" t="inlineStr">
        <is>
          <t>Sub-function results or domain quality across products</t>
        </is>
      </c>
      <c r="Q14" s="84" t="inlineStr">
        <is>
          <t>Already works at C2: Function results, budget and risk</t>
        </is>
      </c>
      <c r="R14" s="34" t="inlineStr">
        <is>
          <t>L</t>
        </is>
      </c>
      <c r="S14" s="56" t="inlineStr">
        <is>
          <t>Works at B3: IC: leads a practice · People: team leads / managers report in</t>
        </is>
      </c>
      <c r="T14" s="56" t="inlineStr">
        <is>
          <t>Leads managers or a community of practice</t>
        </is>
      </c>
      <c r="U14" s="56" t="inlineStr">
        <is>
          <t>Already works at C2: Leads a function; shapes functional strategy</t>
        </is>
      </c>
      <c r="V14" s="34" t="inlineStr">
        <is>
          <t>L</t>
        </is>
      </c>
      <c r="W14" s="56" t="inlineStr">
        <is>
          <t>Works at B3: Shapes the results of a practice or several teams</t>
        </is>
      </c>
      <c r="X14" s="56" t="inlineStr">
        <is>
          <t>Changes results across a sub-function or across products</t>
        </is>
      </c>
      <c r="Y14" s="56" t="inlineStr">
        <is>
          <t>Already works at C2: Drives a function's or department's results and costs</t>
        </is>
      </c>
      <c r="Z14" s="34" t="inlineStr">
        <is>
          <t>L</t>
        </is>
      </c>
      <c r="AA14" s="85" t="inlineStr">
        <is>
          <t>Less experience than the band's typical 10–14 yrs</t>
        </is>
      </c>
      <c r="AB14" s="85" t="inlineStr">
        <is>
          <t>Typical for the band: 10–14 yrs · market 12–17 yrs</t>
        </is>
      </c>
      <c r="AC14" s="85" t="inlineStr">
        <is>
          <t>More experience than the band's typical 10–14 yrs</t>
        </is>
      </c>
      <c r="AD14" s="34" t="inlineStr">
        <is>
          <t>L</t>
        </is>
      </c>
      <c r="AE14" s="85" t="inlineStr">
        <is>
          <t>Below: Postgraduate or professional qualification preferred</t>
        </is>
      </c>
      <c r="AF14" s="85" t="inlineStr">
        <is>
          <t>Postgraduate / professional qualification preferred</t>
        </is>
      </c>
      <c r="AG14" s="85" t="inlineStr">
        <is>
          <t>Above: Postgraduate / professional qualification preferred</t>
        </is>
      </c>
      <c r="AH14" s="44" t="inlineStr">
        <is>
          <t>54.3 · 17.7 · 10.3 · 5 · 7.7 · 4 · 1</t>
        </is>
      </c>
      <c r="AI14" s="38" t="inlineStr">
        <is>
          <t>12–17</t>
        </is>
      </c>
      <c r="AJ14" s="38" t="inlineStr">
        <is>
          <t>5–8, mostly managers</t>
        </is>
      </c>
      <c r="AK14" s="38" t="inlineStr">
        <is>
          <t>P6 / M5 · SFIA 5–6</t>
        </is>
      </c>
      <c r="AL14"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5" ht="120" customHeight="1">
      <c r="A15" s="89" t="inlineStr">
        <is>
          <t>B+</t>
        </is>
      </c>
      <c r="B15" s="29" t="inlineStr">
        <is>
          <t>B+ · Player-Coach</t>
        </is>
      </c>
      <c r="C15" s="29" t="inlineStr">
        <is>
          <t>B+ · Player-Coach</t>
        </is>
      </c>
      <c r="D15" s="29" t="inlineStr">
        <is>
          <t>Practice Lead · Player-Coach</t>
        </is>
      </c>
      <c r="E15" s="29" t="inlineStr">
        <is>
          <t>— no role at this level today</t>
        </is>
      </c>
      <c r="F15" s="34" t="inlineStr">
        <is>
          <t>H</t>
        </is>
      </c>
      <c r="G15" s="84" t="inlineStr">
        <is>
          <t>Works at B3: Sets standards for a practice; cross-team problems</t>
        </is>
      </c>
      <c r="H15" s="84" t="inlineStr">
        <is>
          <t>Principal-level problems in own domain; sets technical or quality standards and still builds</t>
        </is>
      </c>
      <c r="I15" s="84" t="inlineStr">
        <is>
          <t>Already works at C1: Ambiguous, cross-product problems</t>
        </is>
      </c>
      <c r="J15" s="34" t="inlineStr">
        <is>
          <t>M</t>
        </is>
      </c>
      <c r="K15" s="84" t="inlineStr">
        <is>
          <t>Works at B3: Commercial / strategic calls for the unit</t>
        </is>
      </c>
      <c r="L15" s="84" t="inlineStr">
        <is>
          <t>Decides approach and priorities for the practice; escalates only cross-function trade-offs</t>
        </is>
      </c>
      <c r="M15" s="84" t="inlineStr">
        <is>
          <t>Already works at C1: Sets direction for a sub-function or domain</t>
        </is>
      </c>
      <c r="N15" s="34" t="inlineStr">
        <is>
          <t>M</t>
        </is>
      </c>
      <c r="O15" s="84" t="inlineStr">
        <is>
          <t>Works at B3: Several teams or a practice</t>
        </is>
      </c>
      <c r="P15" s="84" t="inlineStr">
        <is>
          <t>Practice outcomes plus own deliverables; quality and delivery of the team</t>
        </is>
      </c>
      <c r="Q15" s="84" t="inlineStr">
        <is>
          <t>Already works at C1: Sub-function results or domain quality across products</t>
        </is>
      </c>
      <c r="R15" s="34" t="inlineStr">
        <is>
          <t>M</t>
        </is>
      </c>
      <c r="S15" s="56" t="inlineStr">
        <is>
          <t>Works at B3: IC: leads a practice · People: team leads / managers report in</t>
        </is>
      </c>
      <c r="T15" s="56" t="inlineStr">
        <is>
          <t>Leads 3–6 people · or a pod while remaining a hands-on expert; coaches, allocates, reviews</t>
        </is>
      </c>
      <c r="U15" s="56" t="inlineStr">
        <is>
          <t>Already works at C1: Leads managers or a community of practice</t>
        </is>
      </c>
      <c r="V15" s="34" t="inlineStr">
        <is>
          <t>L</t>
        </is>
      </c>
      <c r="W15" s="56" t="inlineStr">
        <is>
          <t>Works at B3: Shapes the results of a practice or several teams</t>
        </is>
      </c>
      <c r="X15" s="56" t="inlineStr">
        <is>
          <t>Drives a practice's results while delivering the hardest work</t>
        </is>
      </c>
      <c r="Y15" s="56" t="inlineStr">
        <is>
          <t>Already works at C1: Changes results across a sub-function or across products</t>
        </is>
      </c>
      <c r="Z15" s="34" t="inlineStr">
        <is>
          <t>L</t>
        </is>
      </c>
      <c r="AA15" s="85" t="inlineStr">
        <is>
          <t>Less experience than the band's typical 9–14 yrs</t>
        </is>
      </c>
      <c r="AB15" s="85" t="inlineStr">
        <is>
          <t>Typical for the band: 9–14 yrs · market 9–14 yrs</t>
        </is>
      </c>
      <c r="AC15" s="85" t="inlineStr">
        <is>
          <t>More experience than the band's typical 9–14 yrs</t>
        </is>
      </c>
      <c r="AD15" s="34" t="inlineStr">
        <is>
          <t>L</t>
        </is>
      </c>
      <c r="AE15" s="85" t="inlineStr">
        <is>
          <t>Below: Postgraduate or professional qualification preferred</t>
        </is>
      </c>
      <c r="AF15" s="85" t="inlineStr">
        <is>
          <t>Postgraduate or professional qualification preferred</t>
        </is>
      </c>
      <c r="AG15" s="85" t="inlineStr">
        <is>
          <t>Above: Postgraduate / professional qualification preferred</t>
        </is>
      </c>
      <c r="AH15" s="44" t="inlineStr">
        <is>
          <t>44 · 17.7 · 10.3 · 10 · 7.7 · 6 · 4</t>
        </is>
      </c>
      <c r="AI15" s="38" t="inlineStr">
        <is>
          <t>9–14</t>
        </is>
      </c>
      <c r="AJ15" s="38" t="inlineStr">
        <is>
          <t>3–6 direct reports with ≥ 40% of time on own delivery · McKinsey player/coach 3–5; Google Tech Lead Manager</t>
        </is>
      </c>
      <c r="AK15" s="38" t="inlineStr">
        <is>
          <t>P5–P6 / M4–M5 · SFIA 5 Ensure, advise</t>
        </is>
      </c>
      <c r="AL15"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6" ht="120" customHeight="1">
      <c r="A16" s="90" t="inlineStr">
        <is>
          <t>B3</t>
        </is>
      </c>
      <c r="B16" s="29" t="inlineStr">
        <is>
          <t>Band B · Specialist / Manager</t>
        </is>
      </c>
      <c r="C16" s="29" t="inlineStr">
        <is>
          <t>Band B · People Manager</t>
        </is>
      </c>
      <c r="D16" s="29" t="inlineStr">
        <is>
          <t>Senior Manager</t>
        </is>
      </c>
      <c r="E16" s="29" t="inlineStr">
        <is>
          <t>— no role at this level today</t>
        </is>
      </c>
      <c r="F16" s="34" t="inlineStr">
        <is>
          <t>H</t>
        </is>
      </c>
      <c r="G16" s="84" t="inlineStr">
        <is>
          <t>Works at B2: Hardest problems in the domain</t>
        </is>
      </c>
      <c r="H16" s="84" t="inlineStr">
        <is>
          <t>Sets standards for a practice; cross-team problems</t>
        </is>
      </c>
      <c r="I16" s="84" t="inlineStr">
        <is>
          <t>Already works at C1: Ambiguous, cross-product problems</t>
        </is>
      </c>
      <c r="J16" s="34" t="inlineStr">
        <is>
          <t>M</t>
        </is>
      </c>
      <c r="K16" s="84" t="inlineStr">
        <is>
          <t>Works at B2: Allocates people and sets team priorities</t>
        </is>
      </c>
      <c r="L16" s="84" t="inlineStr">
        <is>
          <t>Commercial / strategic calls for the unit</t>
        </is>
      </c>
      <c r="M16" s="84" t="inlineStr">
        <is>
          <t>Already works at C1: Sets direction for a sub-function or domain</t>
        </is>
      </c>
      <c r="N16" s="34" t="inlineStr">
        <is>
          <t>M</t>
        </is>
      </c>
      <c r="O16" s="84" t="inlineStr">
        <is>
          <t>Works at B2: One team or a client portfolio</t>
        </is>
      </c>
      <c r="P16" s="84" t="inlineStr">
        <is>
          <t>Several teams or a practice</t>
        </is>
      </c>
      <c r="Q16" s="84" t="inlineStr">
        <is>
          <t>Already works at C1: Sub-function results or domain quality across products</t>
        </is>
      </c>
      <c r="R16" s="34" t="inlineStr">
        <is>
          <t>M</t>
        </is>
      </c>
      <c r="S16" s="56" t="inlineStr">
        <is>
          <t>Works at B2: IC: guides others in the domain · People: manages a team of 6+</t>
        </is>
      </c>
      <c r="T16" s="56" t="inlineStr">
        <is>
          <t>IC: leads a practice · People: team leads / managers report in</t>
        </is>
      </c>
      <c r="U16" s="56" t="inlineStr">
        <is>
          <t>Already works at C1: Leads managers or a community of practice</t>
        </is>
      </c>
      <c r="V16" s="34" t="inlineStr">
        <is>
          <t>L</t>
        </is>
      </c>
      <c r="W16" s="56" t="inlineStr">
        <is>
          <t>Works at B2: Visible effect on a team's or client portfolio's revenue, quality or compliance</t>
        </is>
      </c>
      <c r="X16" s="56" t="inlineStr">
        <is>
          <t>Shapes the results of a practice or several teams</t>
        </is>
      </c>
      <c r="Y16" s="56" t="inlineStr">
        <is>
          <t>Already works at C1: Changes results across a sub-function or across products</t>
        </is>
      </c>
      <c r="Z16" s="34" t="inlineStr">
        <is>
          <t>L</t>
        </is>
      </c>
      <c r="AA16" s="85" t="inlineStr">
        <is>
          <t>Less experience than the band's typical 8–12 yrs</t>
        </is>
      </c>
      <c r="AB16" s="85" t="inlineStr">
        <is>
          <t>Typical for the band: 8–12 yrs · market 8–13 yrs</t>
        </is>
      </c>
      <c r="AC16" s="85" t="inlineStr">
        <is>
          <t>More experience than the band's typical 8–12 yrs</t>
        </is>
      </c>
      <c r="AD16" s="34" t="inlineStr">
        <is>
          <t>L</t>
        </is>
      </c>
      <c r="AE16" s="85" t="inlineStr">
        <is>
          <t>Below: Graduate or postgraduate; professional qualification preferred</t>
        </is>
      </c>
      <c r="AF16" s="85" t="inlineStr">
        <is>
          <t>Postgraduate or professional qualification preferred</t>
        </is>
      </c>
      <c r="AG16" s="85" t="inlineStr">
        <is>
          <t>Above: Postgraduate / professional qualification preferred</t>
        </is>
      </c>
      <c r="AH16" s="44" t="inlineStr">
        <is>
          <t>37 · 18.3 · 11.3 · 15 · 8.7 · 6 · 4</t>
        </is>
      </c>
      <c r="AI16" s="38" t="inlineStr">
        <is>
          <t>8–13</t>
        </is>
      </c>
      <c r="AJ16" s="38" t="inlineStr">
        <is>
          <t>IC: none · People: 5–8 incl. team leads</t>
        </is>
      </c>
      <c r="AK16" s="38" t="inlineStr">
        <is>
          <t>P5 / M4 · SFIA 5 Ensure, advise</t>
        </is>
      </c>
      <c r="AL16"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7" ht="120" customHeight="1">
      <c r="A17" s="90" t="inlineStr">
        <is>
          <t>B3</t>
        </is>
      </c>
      <c r="B17" s="29" t="inlineStr">
        <is>
          <t>Band B · Specialist / Manager</t>
        </is>
      </c>
      <c r="C17" s="29" t="inlineStr">
        <is>
          <t>Band B · Specialist / POD Lead</t>
        </is>
      </c>
      <c r="D17" s="29" t="inlineStr">
        <is>
          <t>Lead Specialist</t>
        </is>
      </c>
      <c r="E17" s="29" t="inlineStr">
        <is>
          <t>— no role at this level today</t>
        </is>
      </c>
      <c r="F17" s="34" t="inlineStr">
        <is>
          <t>H</t>
        </is>
      </c>
      <c r="G17" s="84" t="inlineStr">
        <is>
          <t>Works at B2: Hardest problems in the domain</t>
        </is>
      </c>
      <c r="H17" s="84" t="inlineStr">
        <is>
          <t>Sets standards for a practice; cross-team problems</t>
        </is>
      </c>
      <c r="I17" s="84" t="inlineStr">
        <is>
          <t>Already works at C1: Ambiguous, cross-product problems</t>
        </is>
      </c>
      <c r="J17" s="34" t="inlineStr">
        <is>
          <t>M</t>
        </is>
      </c>
      <c r="K17" s="84" t="inlineStr">
        <is>
          <t>Works at B2: Allocates people and sets team priorities</t>
        </is>
      </c>
      <c r="L17" s="84" t="inlineStr">
        <is>
          <t>Commercial / strategic calls for the unit</t>
        </is>
      </c>
      <c r="M17" s="84" t="inlineStr">
        <is>
          <t>Already works at C1: Sets direction for a sub-function or domain</t>
        </is>
      </c>
      <c r="N17" s="34" t="inlineStr">
        <is>
          <t>M</t>
        </is>
      </c>
      <c r="O17" s="84" t="inlineStr">
        <is>
          <t>Works at B2: One team or a client portfolio</t>
        </is>
      </c>
      <c r="P17" s="84" t="inlineStr">
        <is>
          <t>Several teams or a practice</t>
        </is>
      </c>
      <c r="Q17" s="84" t="inlineStr">
        <is>
          <t>Already works at C1: Sub-function results or domain quality across products</t>
        </is>
      </c>
      <c r="R17" s="34" t="inlineStr">
        <is>
          <t>L</t>
        </is>
      </c>
      <c r="S17" s="56" t="inlineStr">
        <is>
          <t>Works at B2: IC: guides others in the domain · People: manages a team of 6+</t>
        </is>
      </c>
      <c r="T17" s="56" t="inlineStr">
        <is>
          <t>IC: leads a practice · People: team leads / managers report in</t>
        </is>
      </c>
      <c r="U17" s="56" t="inlineStr">
        <is>
          <t>Already works at C1: Leads managers or a community of practice</t>
        </is>
      </c>
      <c r="V17" s="34" t="inlineStr">
        <is>
          <t>L</t>
        </is>
      </c>
      <c r="W17" s="56" t="inlineStr">
        <is>
          <t>Works at B2: Visible effect on a team's or client portfolio's revenue, quality or compliance</t>
        </is>
      </c>
      <c r="X17" s="56" t="inlineStr">
        <is>
          <t>Shapes the results of a practice or several teams</t>
        </is>
      </c>
      <c r="Y17" s="56" t="inlineStr">
        <is>
          <t>Already works at C1: Changes results across a sub-function or across products</t>
        </is>
      </c>
      <c r="Z17" s="34" t="inlineStr">
        <is>
          <t>L</t>
        </is>
      </c>
      <c r="AA17" s="85" t="inlineStr">
        <is>
          <t>Less experience than the band's typical 8–12 yrs</t>
        </is>
      </c>
      <c r="AB17" s="85" t="inlineStr">
        <is>
          <t>Typical for the band: 8–12 yrs · market 8–13 yrs</t>
        </is>
      </c>
      <c r="AC17" s="85" t="inlineStr">
        <is>
          <t>More experience than the band's typical 8–12 yrs</t>
        </is>
      </c>
      <c r="AD17" s="34" t="inlineStr">
        <is>
          <t>L</t>
        </is>
      </c>
      <c r="AE17" s="85" t="inlineStr">
        <is>
          <t>Below: Graduate or postgraduate; professional qualification preferred</t>
        </is>
      </c>
      <c r="AF17" s="85" t="inlineStr">
        <is>
          <t>Postgraduate or professional qualification preferred</t>
        </is>
      </c>
      <c r="AG17" s="85" t="inlineStr">
        <is>
          <t>Above: Postgraduate / professional qualification preferred</t>
        </is>
      </c>
      <c r="AH17" s="44" t="inlineStr">
        <is>
          <t>51.3 · 17.3 · 9.7 · 5 · 7 · 6 · 4</t>
        </is>
      </c>
      <c r="AI17" s="38" t="inlineStr">
        <is>
          <t>8–13</t>
        </is>
      </c>
      <c r="AJ17" s="38" t="inlineStr">
        <is>
          <t>IC: none · People: 5–8 incl. team leads</t>
        </is>
      </c>
      <c r="AK17" s="38" t="inlineStr">
        <is>
          <t>P5 / M4 · SFIA 5 Ensure, advise</t>
        </is>
      </c>
      <c r="AL17"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8" ht="120" customHeight="1">
      <c r="A18" s="90" t="inlineStr">
        <is>
          <t>B2</t>
        </is>
      </c>
      <c r="B18" s="29" t="inlineStr">
        <is>
          <t>Band B · Specialist / Manager</t>
        </is>
      </c>
      <c r="C18" s="29" t="inlineStr">
        <is>
          <t>Band B · People Manager</t>
        </is>
      </c>
      <c r="D18" s="29" t="inlineStr">
        <is>
          <t>Manager</t>
        </is>
      </c>
      <c r="E18" s="29" t="inlineStr">
        <is>
          <t>— no role at this level today</t>
        </is>
      </c>
      <c r="F18" s="34" t="inlineStr">
        <is>
          <t>H</t>
        </is>
      </c>
      <c r="G18" s="84" t="inlineStr">
        <is>
          <t>Works at B1: Domain specialist work</t>
        </is>
      </c>
      <c r="H18" s="84" t="inlineStr">
        <is>
          <t>Hardest problems in the domain</t>
        </is>
      </c>
      <c r="I18" s="84" t="inlineStr">
        <is>
          <t>Already works at B3: Sets standards for a practice; cross-team problems</t>
        </is>
      </c>
      <c r="J18" s="34" t="inlineStr">
        <is>
          <t>M</t>
        </is>
      </c>
      <c r="K18" s="84" t="inlineStr">
        <is>
          <t>Works at B1: Technical / QC / client calls for the domain</t>
        </is>
      </c>
      <c r="L18" s="84" t="inlineStr">
        <is>
          <t>Allocates people and sets team priorities</t>
        </is>
      </c>
      <c r="M18" s="84" t="inlineStr">
        <is>
          <t>Already works at B3: Commercial / strategic calls for the unit</t>
        </is>
      </c>
      <c r="N18" s="34" t="inlineStr">
        <is>
          <t>M</t>
        </is>
      </c>
      <c r="O18" s="84" t="inlineStr">
        <is>
          <t>Works at B1: A domain or a small team</t>
        </is>
      </c>
      <c r="P18" s="84" t="inlineStr">
        <is>
          <t>One team or a client portfolio</t>
        </is>
      </c>
      <c r="Q18" s="84" t="inlineStr">
        <is>
          <t>Already works at B3: Several teams or a practice</t>
        </is>
      </c>
      <c r="R18" s="34" t="inlineStr">
        <is>
          <t>M</t>
        </is>
      </c>
      <c r="S18" s="56" t="inlineStr">
        <is>
          <t>Works at B1: IC: mentors and reviews · People: hands-on team lead of 3–5</t>
        </is>
      </c>
      <c r="T18" s="56" t="inlineStr">
        <is>
          <t>IC: guides others in the domain · People: manages a team of 6+</t>
        </is>
      </c>
      <c r="U18" s="56" t="inlineStr">
        <is>
          <t>Already works at B3: IC: leads a practice · People: team leads / managers report in</t>
        </is>
      </c>
      <c r="V18" s="34" t="inlineStr">
        <is>
          <t>L</t>
        </is>
      </c>
      <c r="W18" s="56" t="inlineStr">
        <is>
          <t>Works at B1: Moves a module's, product area's or client account's results</t>
        </is>
      </c>
      <c r="X18" s="56" t="inlineStr">
        <is>
          <t>Visible effect on a team's or client portfolio's revenue, quality or compliance</t>
        </is>
      </c>
      <c r="Y18" s="56" t="inlineStr">
        <is>
          <t>Already works at B3: Shapes the results of a practice or several teams</t>
        </is>
      </c>
      <c r="Z18" s="34" t="inlineStr">
        <is>
          <t>L</t>
        </is>
      </c>
      <c r="AA18" s="85" t="inlineStr">
        <is>
          <t>Less experience than the band's typical 6–9 yrs</t>
        </is>
      </c>
      <c r="AB18" s="85" t="inlineStr">
        <is>
          <t>Typical for the band: 6–9 yrs · market 6–10 yrs</t>
        </is>
      </c>
      <c r="AC18" s="85" t="inlineStr">
        <is>
          <t>More experience than the band's typical 6–9 yrs</t>
        </is>
      </c>
      <c r="AD18" s="34" t="inlineStr">
        <is>
          <t>L</t>
        </is>
      </c>
      <c r="AE18" s="85" t="inlineStr">
        <is>
          <t>Below: Graduate + relevant qualification or certification preferred</t>
        </is>
      </c>
      <c r="AF18" s="85" t="inlineStr">
        <is>
          <t>Graduate or postgraduate; professional qualification preferred</t>
        </is>
      </c>
      <c r="AG18" s="85" t="inlineStr">
        <is>
          <t>Above: Postgraduate or professional qualification preferred</t>
        </is>
      </c>
      <c r="AH18" s="44" t="inlineStr">
        <is>
          <t>37 · 18.3 · 11.3 · 15 · 8.7 · 6 · 4</t>
        </is>
      </c>
      <c r="AI18" s="38" t="inlineStr">
        <is>
          <t>6–10</t>
        </is>
      </c>
      <c r="AJ18" s="38" t="inlineStr">
        <is>
          <t>IC: none · People: 6–8 knowledge work, 8–12 standardised delivery</t>
        </is>
      </c>
      <c r="AK18" s="38" t="inlineStr">
        <is>
          <t>P4 / M3 · SFIA 4–5</t>
        </is>
      </c>
      <c r="AL18"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19" ht="120" customHeight="1">
      <c r="A19" s="90" t="inlineStr">
        <is>
          <t>B2</t>
        </is>
      </c>
      <c r="B19" s="29" t="inlineStr">
        <is>
          <t>Band B · Specialist / Manager</t>
        </is>
      </c>
      <c r="C19" s="29" t="inlineStr">
        <is>
          <t>Band B · Specialist / POD Lead</t>
        </is>
      </c>
      <c r="D19" s="29" t="inlineStr">
        <is>
          <t>Senior Specialist</t>
        </is>
      </c>
      <c r="E19" s="29" t="inlineStr">
        <is>
          <t>— no role at this level today</t>
        </is>
      </c>
      <c r="F19" s="34" t="inlineStr">
        <is>
          <t>H</t>
        </is>
      </c>
      <c r="G19" s="84" t="inlineStr">
        <is>
          <t>Works at B1: Domain specialist work</t>
        </is>
      </c>
      <c r="H19" s="84" t="inlineStr">
        <is>
          <t>Hardest problems in the domain</t>
        </is>
      </c>
      <c r="I19" s="84" t="inlineStr">
        <is>
          <t>Already works at B3: Sets standards for a practice; cross-team problems</t>
        </is>
      </c>
      <c r="J19" s="34" t="inlineStr">
        <is>
          <t>M</t>
        </is>
      </c>
      <c r="K19" s="84" t="inlineStr">
        <is>
          <t>Works at B1: Technical / QC / client calls for the domain</t>
        </is>
      </c>
      <c r="L19" s="84" t="inlineStr">
        <is>
          <t>Allocates people and sets team priorities</t>
        </is>
      </c>
      <c r="M19" s="84" t="inlineStr">
        <is>
          <t>Already works at B3: Commercial / strategic calls for the unit</t>
        </is>
      </c>
      <c r="N19" s="34" t="inlineStr">
        <is>
          <t>M</t>
        </is>
      </c>
      <c r="O19" s="84" t="inlineStr">
        <is>
          <t>Works at B1: A domain or a small team</t>
        </is>
      </c>
      <c r="P19" s="84" t="inlineStr">
        <is>
          <t>One team or a client portfolio</t>
        </is>
      </c>
      <c r="Q19" s="84" t="inlineStr">
        <is>
          <t>Already works at B3: Several teams or a practice</t>
        </is>
      </c>
      <c r="R19" s="34" t="inlineStr">
        <is>
          <t>L</t>
        </is>
      </c>
      <c r="S19" s="56" t="inlineStr">
        <is>
          <t>Works at B1: IC: mentors and reviews · People: hands-on team lead of 3–5</t>
        </is>
      </c>
      <c r="T19" s="56" t="inlineStr">
        <is>
          <t>IC: guides others in the domain · People: manages a team of 6+</t>
        </is>
      </c>
      <c r="U19" s="56" t="inlineStr">
        <is>
          <t>Already works at B3: IC: leads a practice · People: team leads / managers report in</t>
        </is>
      </c>
      <c r="V19" s="34" t="inlineStr">
        <is>
          <t>L</t>
        </is>
      </c>
      <c r="W19" s="56" t="inlineStr">
        <is>
          <t>Works at B1: Moves a module's, product area's or client account's results</t>
        </is>
      </c>
      <c r="X19" s="56" t="inlineStr">
        <is>
          <t>Visible effect on a team's or client portfolio's revenue, quality or compliance</t>
        </is>
      </c>
      <c r="Y19" s="56" t="inlineStr">
        <is>
          <t>Already works at B3: Shapes the results of a practice or several teams</t>
        </is>
      </c>
      <c r="Z19" s="34" t="inlineStr">
        <is>
          <t>L</t>
        </is>
      </c>
      <c r="AA19" s="85" t="inlineStr">
        <is>
          <t>Less experience than the band's typical 6–9 yrs</t>
        </is>
      </c>
      <c r="AB19" s="85" t="inlineStr">
        <is>
          <t>Typical for the band: 6–9 yrs · market 6–10 yrs</t>
        </is>
      </c>
      <c r="AC19" s="85" t="inlineStr">
        <is>
          <t>More experience than the band's typical 6–9 yrs</t>
        </is>
      </c>
      <c r="AD19" s="34" t="inlineStr">
        <is>
          <t>L</t>
        </is>
      </c>
      <c r="AE19" s="85" t="inlineStr">
        <is>
          <t>Below: Graduate + relevant qualification or certification preferred</t>
        </is>
      </c>
      <c r="AF19" s="85" t="inlineStr">
        <is>
          <t>Graduate or postgraduate; professional qualification preferred</t>
        </is>
      </c>
      <c r="AG19" s="85" t="inlineStr">
        <is>
          <t>Above: Postgraduate or professional qualification preferred</t>
        </is>
      </c>
      <c r="AH19" s="44" t="inlineStr">
        <is>
          <t>51.3 · 17.3 · 9.7 · 5 · 7 · 6 · 4</t>
        </is>
      </c>
      <c r="AI19" s="38" t="inlineStr">
        <is>
          <t>6–10</t>
        </is>
      </c>
      <c r="AJ19" s="38" t="inlineStr">
        <is>
          <t>IC: none · People: 6–8 knowledge work, 8–12 standardised delivery</t>
        </is>
      </c>
      <c r="AK19" s="38" t="inlineStr">
        <is>
          <t>P4 / M3 · SFIA 4–5</t>
        </is>
      </c>
      <c r="AL19"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0" ht="120" customHeight="1">
      <c r="A20" s="90" t="inlineStr">
        <is>
          <t>B1</t>
        </is>
      </c>
      <c r="B20" s="29" t="inlineStr">
        <is>
          <t>Band B · Specialist / Manager</t>
        </is>
      </c>
      <c r="C20" s="29" t="inlineStr">
        <is>
          <t>Band B · People Manager</t>
        </is>
      </c>
      <c r="D20" s="29" t="inlineStr">
        <is>
          <t>Team Lead / Asst Manager</t>
        </is>
      </c>
      <c r="E20" s="29" t="inlineStr">
        <is>
          <t>— no role at this level today</t>
        </is>
      </c>
      <c r="F20" s="34" t="inlineStr">
        <is>
          <t>H</t>
        </is>
      </c>
      <c r="G20" s="84" t="inlineStr">
        <is>
          <t>Works at A3: Varied and non-standard work; handles exceptions</t>
        </is>
      </c>
      <c r="H20" s="84" t="inlineStr">
        <is>
          <t>Domain specialist work</t>
        </is>
      </c>
      <c r="I20" s="84" t="inlineStr">
        <is>
          <t>Already works at B2: Hardest problems in the domain</t>
        </is>
      </c>
      <c r="J20" s="34" t="inlineStr">
        <is>
          <t>M</t>
        </is>
      </c>
      <c r="K20" s="84" t="inlineStr">
        <is>
          <t>Works at A3: Technical / QC / client calls on own work</t>
        </is>
      </c>
      <c r="L20" s="84" t="inlineStr">
        <is>
          <t>Technical / QC / client calls for the domain</t>
        </is>
      </c>
      <c r="M20" s="84" t="inlineStr">
        <is>
          <t>Already works at B2: Allocates people and sets team priorities</t>
        </is>
      </c>
      <c r="N20" s="34" t="inlineStr">
        <is>
          <t>M</t>
        </is>
      </c>
      <c r="O20" s="84" t="inlineStr">
        <is>
          <t>Works at A3: A module / process, or work with client or regulatory consequences</t>
        </is>
      </c>
      <c r="P20" s="84" t="inlineStr">
        <is>
          <t>A domain or a small team</t>
        </is>
      </c>
      <c r="Q20" s="84" t="inlineStr">
        <is>
          <t>Already works at B2: One team or a client portfolio</t>
        </is>
      </c>
      <c r="R20" s="34" t="inlineStr">
        <is>
          <t>M</t>
        </is>
      </c>
      <c r="S20" s="56" t="inlineStr">
        <is>
          <t>Works at A3: contributes alone; guides others only informally</t>
        </is>
      </c>
      <c r="T20" s="56" t="inlineStr">
        <is>
          <t>IC: mentors and reviews · People: hands-on team lead of 3–5</t>
        </is>
      </c>
      <c r="U20" s="56" t="inlineStr">
        <is>
          <t>Already works at B2: IC: guides others in the domain · People: manages a team of 6+</t>
        </is>
      </c>
      <c r="V20" s="34" t="inlineStr">
        <is>
          <t>L</t>
        </is>
      </c>
      <c r="W20" s="56" t="inlineStr">
        <is>
          <t>Works at A3: A process or client deliverable depends on this work</t>
        </is>
      </c>
      <c r="X20" s="56" t="inlineStr">
        <is>
          <t>Moves a module's, product area's or client account's results</t>
        </is>
      </c>
      <c r="Y20" s="56" t="inlineStr">
        <is>
          <t>Already works at B2: Visible effect on a team's or client portfolio's revenue, quality or compliance</t>
        </is>
      </c>
      <c r="Z20" s="34" t="inlineStr">
        <is>
          <t>L</t>
        </is>
      </c>
      <c r="AA20" s="85" t="inlineStr">
        <is>
          <t>Less experience than the band's typical 4–7 yrs</t>
        </is>
      </c>
      <c r="AB20" s="85" t="inlineStr">
        <is>
          <t>Typical for the band: 4–7 yrs · market 4–8 yrs</t>
        </is>
      </c>
      <c r="AC20" s="85" t="inlineStr">
        <is>
          <t>More experience than the band's typical 4–7 yrs</t>
        </is>
      </c>
      <c r="AD20" s="34" t="inlineStr">
        <is>
          <t>L</t>
        </is>
      </c>
      <c r="AE20" s="85" t="inlineStr">
        <is>
          <t>Below: Graduate; relevant certification preferred</t>
        </is>
      </c>
      <c r="AF20" s="85" t="inlineStr">
        <is>
          <t>Graduate + relevant qualification or certification preferred</t>
        </is>
      </c>
      <c r="AG20" s="85" t="inlineStr">
        <is>
          <t>Above: Graduate or postgraduate; professional qualification preferred</t>
        </is>
      </c>
      <c r="AH20" s="44" t="inlineStr">
        <is>
          <t>37 · 18.3 · 11.3 · 15 · 8.7 · 6 · 4</t>
        </is>
      </c>
      <c r="AI20" s="38" t="inlineStr">
        <is>
          <t>4–8</t>
        </is>
      </c>
      <c r="AJ20" s="38" t="inlineStr">
        <is>
          <t>IC: none · Team Lead: 3–5</t>
        </is>
      </c>
      <c r="AK20" s="38" t="inlineStr">
        <is>
          <t>P3 / M2 · SFIA 4 Enable</t>
        </is>
      </c>
      <c r="AL20"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1" ht="120" customHeight="1">
      <c r="A21" s="90" t="inlineStr">
        <is>
          <t>B1</t>
        </is>
      </c>
      <c r="B21" s="29" t="inlineStr">
        <is>
          <t>Band B · Specialist / Manager</t>
        </is>
      </c>
      <c r="C21" s="29" t="inlineStr">
        <is>
          <t>Band B · Specialist / POD Lead</t>
        </is>
      </c>
      <c r="D21" s="29" t="inlineStr">
        <is>
          <t>Specialist</t>
        </is>
      </c>
      <c r="E21" s="29" t="inlineStr">
        <is>
          <t>— no role at this level today</t>
        </is>
      </c>
      <c r="F21" s="34" t="inlineStr">
        <is>
          <t>H</t>
        </is>
      </c>
      <c r="G21" s="84" t="inlineStr">
        <is>
          <t>Works at A3: Varied and non-standard work; handles exceptions</t>
        </is>
      </c>
      <c r="H21" s="84" t="inlineStr">
        <is>
          <t>Domain specialist work</t>
        </is>
      </c>
      <c r="I21" s="84" t="inlineStr">
        <is>
          <t>Already works at B2: Hardest problems in the domain</t>
        </is>
      </c>
      <c r="J21" s="34" t="inlineStr">
        <is>
          <t>M</t>
        </is>
      </c>
      <c r="K21" s="84" t="inlineStr">
        <is>
          <t>Works at A3: Technical / QC / client calls on own work</t>
        </is>
      </c>
      <c r="L21" s="84" t="inlineStr">
        <is>
          <t>Technical / QC / client calls for the domain</t>
        </is>
      </c>
      <c r="M21" s="84" t="inlineStr">
        <is>
          <t>Already works at B2: Allocates people and sets team priorities</t>
        </is>
      </c>
      <c r="N21" s="34" t="inlineStr">
        <is>
          <t>M</t>
        </is>
      </c>
      <c r="O21" s="84" t="inlineStr">
        <is>
          <t>Works at A3: A module / process, or work with client or regulatory consequences</t>
        </is>
      </c>
      <c r="P21" s="84" t="inlineStr">
        <is>
          <t>A domain or a small team</t>
        </is>
      </c>
      <c r="Q21" s="84" t="inlineStr">
        <is>
          <t>Already works at B2: One team or a client portfolio</t>
        </is>
      </c>
      <c r="R21" s="34" t="inlineStr">
        <is>
          <t>L</t>
        </is>
      </c>
      <c r="S21" s="56" t="inlineStr">
        <is>
          <t>Works at A3: contributes alone; guides others only informally</t>
        </is>
      </c>
      <c r="T21" s="56" t="inlineStr">
        <is>
          <t>IC: mentors and reviews · People: hands-on team lead of 3–5</t>
        </is>
      </c>
      <c r="U21" s="56" t="inlineStr">
        <is>
          <t>Already works at B2: IC: guides others in the domain · People: manages a team of 6+</t>
        </is>
      </c>
      <c r="V21" s="34" t="inlineStr">
        <is>
          <t>L</t>
        </is>
      </c>
      <c r="W21" s="56" t="inlineStr">
        <is>
          <t>Works at A3: A process or client deliverable depends on this work</t>
        </is>
      </c>
      <c r="X21" s="56" t="inlineStr">
        <is>
          <t>Moves a module's, product area's or client account's results</t>
        </is>
      </c>
      <c r="Y21" s="56" t="inlineStr">
        <is>
          <t>Already works at B2: Visible effect on a team's or client portfolio's revenue, quality or compliance</t>
        </is>
      </c>
      <c r="Z21" s="34" t="inlineStr">
        <is>
          <t>L</t>
        </is>
      </c>
      <c r="AA21" s="85" t="inlineStr">
        <is>
          <t>Less experience than the band's typical 4–7 yrs</t>
        </is>
      </c>
      <c r="AB21" s="85" t="inlineStr">
        <is>
          <t>Typical for the band: 4–7 yrs · market 4–8 yrs</t>
        </is>
      </c>
      <c r="AC21" s="85" t="inlineStr">
        <is>
          <t>More experience than the band's typical 4–7 yrs</t>
        </is>
      </c>
      <c r="AD21" s="34" t="inlineStr">
        <is>
          <t>L</t>
        </is>
      </c>
      <c r="AE21" s="85" t="inlineStr">
        <is>
          <t>Below: Graduate; relevant certification preferred</t>
        </is>
      </c>
      <c r="AF21" s="85" t="inlineStr">
        <is>
          <t>Graduate + relevant qualification or certification preferred</t>
        </is>
      </c>
      <c r="AG21" s="85" t="inlineStr">
        <is>
          <t>Above: Graduate or postgraduate; professional qualification preferred</t>
        </is>
      </c>
      <c r="AH21" s="44" t="inlineStr">
        <is>
          <t>51.3 · 17.3 · 9.7 · 5 · 7 · 6 · 4</t>
        </is>
      </c>
      <c r="AI21" s="38" t="inlineStr">
        <is>
          <t>4–8</t>
        </is>
      </c>
      <c r="AJ21" s="38" t="inlineStr">
        <is>
          <t>IC: none · Team Lead: 3–5</t>
        </is>
      </c>
      <c r="AK21" s="38" t="inlineStr">
        <is>
          <t>P3 / M2 · SFIA 4 Enable</t>
        </is>
      </c>
      <c r="AL21"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2" ht="120" customHeight="1">
      <c r="A22" s="91" t="inlineStr">
        <is>
          <t>A3</t>
        </is>
      </c>
      <c r="B22" s="29" t="inlineStr">
        <is>
          <t>Band A · Practitioner</t>
        </is>
      </c>
      <c r="C22" s="29" t="inlineStr">
        <is>
          <t>Band A · all tracks</t>
        </is>
      </c>
      <c r="D22" s="29" t="inlineStr">
        <is>
          <t>Senior Associate</t>
        </is>
      </c>
      <c r="E22" s="29" t="inlineStr">
        <is>
          <t>— no role at this level today</t>
        </is>
      </c>
      <c r="F22" s="34" t="inlineStr">
        <is>
          <t>H</t>
        </is>
      </c>
      <c r="G22" s="84" t="inlineStr">
        <is>
          <t>Works at A2: Standard work of the discipline</t>
        </is>
      </c>
      <c r="H22" s="84" t="inlineStr">
        <is>
          <t>Varied and non-standard work; handles exceptions</t>
        </is>
      </c>
      <c r="I22" s="84" t="inlineStr">
        <is>
          <t>Already works at B1: Domain specialist work</t>
        </is>
      </c>
      <c r="J22" s="34" t="inlineStr">
        <is>
          <t>M</t>
        </is>
      </c>
      <c r="K22" s="84" t="inlineStr">
        <is>
          <t>Works at A2: Chooses own approach within standards</t>
        </is>
      </c>
      <c r="L22" s="84" t="inlineStr">
        <is>
          <t>Technical / QC / client calls on own work</t>
        </is>
      </c>
      <c r="M22" s="84" t="inlineStr">
        <is>
          <t>Already works at B1: Technical / QC / client calls for the domain</t>
        </is>
      </c>
      <c r="N22" s="34" t="inlineStr">
        <is>
          <t>M</t>
        </is>
      </c>
      <c r="O22" s="84" t="inlineStr">
        <is>
          <t>Works at A2: Own deliverables · accuracy, TAT</t>
        </is>
      </c>
      <c r="P22" s="84" t="inlineStr">
        <is>
          <t>A module / process, or work with client or regulatory consequences</t>
        </is>
      </c>
      <c r="Q22" s="84" t="inlineStr">
        <is>
          <t>Already works at B1: A domain or a small team</t>
        </is>
      </c>
      <c r="R22" s="34" t="inlineStr">
        <is>
          <t>L</t>
        </is>
      </c>
      <c r="S22" s="56" t="inlineStr">
        <is>
          <t>Works at A2: contributes alone; guides others only informally</t>
        </is>
      </c>
      <c r="T22" s="56" t="inlineStr">
        <is>
          <t>Helps peers and newer people informally · None · guides 1–3 juniors informally</t>
        </is>
      </c>
      <c r="U22" s="56" t="inlineStr">
        <is>
          <t>Already works at B1: IC: mentors and reviews · People: hands-on team lead of 3–5</t>
        </is>
      </c>
      <c r="V22" s="34" t="inlineStr">
        <is>
          <t>L</t>
        </is>
      </c>
      <c r="W22" s="56" t="inlineStr">
        <is>
          <t>Works at A2: Own deliverables feed a team's output and turnaround</t>
        </is>
      </c>
      <c r="X22" s="56" t="inlineStr">
        <is>
          <t>A process or client deliverable depends on this work</t>
        </is>
      </c>
      <c r="Y22" s="56" t="inlineStr">
        <is>
          <t>Already works at B1: Moves a module's, product area's or client account's results</t>
        </is>
      </c>
      <c r="Z22" s="34" t="inlineStr">
        <is>
          <t>L</t>
        </is>
      </c>
      <c r="AA22" s="85" t="inlineStr">
        <is>
          <t>Less experience than the band's typical 2–4 yrs</t>
        </is>
      </c>
      <c r="AB22" s="85" t="inlineStr">
        <is>
          <t>Typical for the band: 2–4 yrs · market 2–5 yrs</t>
        </is>
      </c>
      <c r="AC22" s="85" t="inlineStr">
        <is>
          <t>More experience than the band's typical 2–4 yrs</t>
        </is>
      </c>
      <c r="AD22" s="34" t="inlineStr">
        <is>
          <t>L</t>
        </is>
      </c>
      <c r="AE22" s="85" t="inlineStr">
        <is>
          <t>Below: Graduate · or diploma with experience</t>
        </is>
      </c>
      <c r="AF22" s="85" t="inlineStr">
        <is>
          <t>Graduate; relevant certification preferred</t>
        </is>
      </c>
      <c r="AG22" s="85" t="inlineStr">
        <is>
          <t>Above: Graduate + relevant qualification or certification preferred</t>
        </is>
      </c>
      <c r="AH22" s="44" t="inlineStr">
        <is>
          <t>58.3 · 16 · 9 · 0 · 6.3 · 6 · 4</t>
        </is>
      </c>
      <c r="AI22" s="38" t="inlineStr">
        <is>
          <t>2–5</t>
        </is>
      </c>
      <c r="AJ22" s="38" t="inlineStr">
        <is>
          <t>None · guides 1–3 juniors informally</t>
        </is>
      </c>
      <c r="AK22" s="38" t="inlineStr">
        <is>
          <t>P2 · SFIA 3 Apply</t>
        </is>
      </c>
      <c r="AL22"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3" ht="120" customHeight="1">
      <c r="A23" s="91" t="inlineStr">
        <is>
          <t>A2</t>
        </is>
      </c>
      <c r="B23" s="29" t="inlineStr">
        <is>
          <t>Band A · Practitioner</t>
        </is>
      </c>
      <c r="C23" s="29" t="inlineStr">
        <is>
          <t>Band A · all tracks</t>
        </is>
      </c>
      <c r="D23" s="29" t="inlineStr">
        <is>
          <t>Associate</t>
        </is>
      </c>
      <c r="E23" s="29" t="inlineStr">
        <is>
          <t>— no role at this level today</t>
        </is>
      </c>
      <c r="F23" s="34" t="inlineStr">
        <is>
          <t>H</t>
        </is>
      </c>
      <c r="G23" s="84" t="inlineStr">
        <is>
          <t>Works at A1: Learning; follows worked examples</t>
        </is>
      </c>
      <c r="H23" s="84" t="inlineStr">
        <is>
          <t>Standard work of the discipline</t>
        </is>
      </c>
      <c r="I23" s="84" t="inlineStr">
        <is>
          <t>Already works at A3: Varied and non-standard work; handles exceptions</t>
        </is>
      </c>
      <c r="J23" s="34" t="inlineStr">
        <is>
          <t>M</t>
        </is>
      </c>
      <c r="K23" s="84" t="inlineStr">
        <is>
          <t>Works at A1: Needs approval / close guidance</t>
        </is>
      </c>
      <c r="L23" s="84" t="inlineStr">
        <is>
          <t>Chooses own approach within standards</t>
        </is>
      </c>
      <c r="M23" s="84" t="inlineStr">
        <is>
          <t>Already works at A3: Technical / QC / client calls on own work</t>
        </is>
      </c>
      <c r="N23" s="34" t="inlineStr">
        <is>
          <t>M</t>
        </is>
      </c>
      <c r="O23" s="84" t="inlineStr">
        <is>
          <t>Works at A1: Learning tasks</t>
        </is>
      </c>
      <c r="P23" s="84" t="inlineStr">
        <is>
          <t>Own deliverables · accuracy, TAT</t>
        </is>
      </c>
      <c r="Q23" s="84" t="inlineStr">
        <is>
          <t>Already works at A3: A module / process, or work with client or regulatory consequences</t>
        </is>
      </c>
      <c r="R23" s="34" t="inlineStr">
        <is>
          <t>L</t>
        </is>
      </c>
      <c r="S23" s="56" t="inlineStr">
        <is>
          <t>Works at A1: contributes alone; guides others only informally</t>
        </is>
      </c>
      <c r="T23" s="56" t="inlineStr">
        <is>
          <t>Helps peers and newer people informally · No direct reports</t>
        </is>
      </c>
      <c r="U23" s="56" t="inlineStr">
        <is>
          <t>Already works at A3: Not scored in Band A</t>
        </is>
      </c>
      <c r="V23" s="34" t="inlineStr">
        <is>
          <t>L</t>
        </is>
      </c>
      <c r="W23" s="56" t="inlineStr">
        <is>
          <t>Works at A1: Learning; little direct effect on business results yet</t>
        </is>
      </c>
      <c r="X23" s="56" t="inlineStr">
        <is>
          <t>Own deliverables feed a team's output and turnaround</t>
        </is>
      </c>
      <c r="Y23" s="56" t="inlineStr">
        <is>
          <t>Already works at A3: A process or client deliverable depends on this work</t>
        </is>
      </c>
      <c r="Z23" s="34" t="inlineStr">
        <is>
          <t>L</t>
        </is>
      </c>
      <c r="AA23" s="85" t="inlineStr">
        <is>
          <t>Less experience than the band's typical 0–2 yrs</t>
        </is>
      </c>
      <c r="AB23" s="85" t="inlineStr">
        <is>
          <t>Typical for the band: 0–2 yrs · market 0–3 yrs</t>
        </is>
      </c>
      <c r="AC23" s="85" t="inlineStr">
        <is>
          <t>More experience than the band's typical 0–2 yrs</t>
        </is>
      </c>
      <c r="AD23" s="34" t="inlineStr">
        <is>
          <t>L</t>
        </is>
      </c>
      <c r="AE23" s="85" t="inlineStr">
        <is>
          <t>Below: Pursuing or completed graduation / diploma</t>
        </is>
      </c>
      <c r="AF23" s="85" t="inlineStr">
        <is>
          <t>Graduate · or diploma with experience</t>
        </is>
      </c>
      <c r="AG23" s="85" t="inlineStr">
        <is>
          <t>Above: Graduate; relevant certification preferred</t>
        </is>
      </c>
      <c r="AH23" s="44" t="inlineStr">
        <is>
          <t>58.3 · 16 · 9 · 0 · 6.3 · 6 · 4</t>
        </is>
      </c>
      <c r="AI23" s="38" t="inlineStr">
        <is>
          <t>0–3</t>
        </is>
      </c>
      <c r="AJ23" s="38" t="inlineStr">
        <is>
          <t>No direct reports</t>
        </is>
      </c>
      <c r="AK23" s="38" t="inlineStr">
        <is>
          <t>P1–P2 · SFIA 2 Assist</t>
        </is>
      </c>
      <c r="AL23"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row r="24" ht="120" customHeight="1">
      <c r="A24" s="91" t="inlineStr">
        <is>
          <t>A1</t>
        </is>
      </c>
      <c r="B24" s="29" t="inlineStr">
        <is>
          <t>Band A · Practitioner</t>
        </is>
      </c>
      <c r="C24" s="29" t="inlineStr">
        <is>
          <t>Band A · all tracks</t>
        </is>
      </c>
      <c r="D24" s="29" t="inlineStr">
        <is>
          <t>Intern / Trainee</t>
        </is>
      </c>
      <c r="E24" s="29" t="inlineStr">
        <is>
          <t>— no role at this level today</t>
        </is>
      </c>
      <c r="F24" s="34" t="inlineStr">
        <is>
          <t>H</t>
        </is>
      </c>
      <c r="G24" s="84" t="inlineStr">
        <is>
          <t>Not yet at the entry standard · in induction</t>
        </is>
      </c>
      <c r="H24" s="84" t="inlineStr">
        <is>
          <t>Learning; follows worked examples</t>
        </is>
      </c>
      <c r="I24" s="84" t="inlineStr">
        <is>
          <t>Already works at A2: Standard work of the discipline</t>
        </is>
      </c>
      <c r="J24" s="34" t="inlineStr">
        <is>
          <t>M</t>
        </is>
      </c>
      <c r="K24" s="84" t="inlineStr">
        <is>
          <t>Not yet at the entry standard · in induction</t>
        </is>
      </c>
      <c r="L24" s="84" t="inlineStr">
        <is>
          <t>Needs approval / close guidance</t>
        </is>
      </c>
      <c r="M24" s="84" t="inlineStr">
        <is>
          <t>Already works at A2: Chooses own approach within standards</t>
        </is>
      </c>
      <c r="N24" s="34" t="inlineStr">
        <is>
          <t>M</t>
        </is>
      </c>
      <c r="O24" s="84" t="inlineStr">
        <is>
          <t>Not yet at the entry standard · in induction</t>
        </is>
      </c>
      <c r="P24" s="84" t="inlineStr">
        <is>
          <t>Learning tasks</t>
        </is>
      </c>
      <c r="Q24" s="84" t="inlineStr">
        <is>
          <t>Already works at A2: Own deliverables · accuracy, TAT</t>
        </is>
      </c>
      <c r="R24" s="34" t="inlineStr">
        <is>
          <t>L</t>
        </is>
      </c>
      <c r="S24" s="56" t="inlineStr">
        <is>
          <t>Not yet at the entry standard · in induction</t>
        </is>
      </c>
      <c r="T24" s="56" t="inlineStr">
        <is>
          <t>Helps peers and newer people informally · No direct reports</t>
        </is>
      </c>
      <c r="U24" s="56" t="inlineStr">
        <is>
          <t>Already works at A2: Not scored in Band A</t>
        </is>
      </c>
      <c r="V24" s="34" t="inlineStr">
        <is>
          <t>L</t>
        </is>
      </c>
      <c r="W24" s="56" t="inlineStr">
        <is>
          <t>Not yet at the entry standard · in induction</t>
        </is>
      </c>
      <c r="X24" s="56" t="inlineStr">
        <is>
          <t>Learning; little direct effect on business results yet</t>
        </is>
      </c>
      <c r="Y24" s="56" t="inlineStr">
        <is>
          <t>Already works at A2: Own deliverables feed a team's output and turnaround</t>
        </is>
      </c>
      <c r="Z24" s="34" t="inlineStr">
        <is>
          <t>L</t>
        </is>
      </c>
      <c r="AA24" s="85" t="inlineStr">
        <is>
          <t>Less experience than the band's typical 0 yrs · fresher / intern</t>
        </is>
      </c>
      <c r="AB24" s="85" t="inlineStr">
        <is>
          <t>Typical for the band: 0 yrs · fresher / intern · market — yrs</t>
        </is>
      </c>
      <c r="AC24" s="85" t="inlineStr">
        <is>
          <t>More experience than the band's typical 0 yrs · fresher / intern</t>
        </is>
      </c>
      <c r="AD24" s="34" t="inlineStr">
        <is>
          <t>L</t>
        </is>
      </c>
      <c r="AE24" s="85" t="inlineStr">
        <is>
          <t>Below graduation · still studying</t>
        </is>
      </c>
      <c r="AF24" s="85" t="inlineStr">
        <is>
          <t>Pursuing or completed graduation / diploma</t>
        </is>
      </c>
      <c r="AG24" s="85" t="inlineStr">
        <is>
          <t>Above: Graduate · or diploma with experience</t>
        </is>
      </c>
      <c r="AH24" s="44" t="inlineStr">
        <is>
          <t>58.3 · 16 · 9 · 0 · 6.3 · 6 · 4</t>
        </is>
      </c>
      <c r="AI24" s="38" t="inlineStr">
        <is>
          <t>0 yrs · fresher / intern</t>
        </is>
      </c>
      <c r="AJ24" s="38" t="inlineStr">
        <is>
          <t>No direct reports</t>
        </is>
      </c>
      <c r="AK24" s="38" t="inlineStr">
        <is>
          <t>Entry / P1 · intern · SFIA 1 Follow</t>
        </is>
      </c>
      <c r="AL24" s="38" t="inlineStr">
        <is>
          <t>Weights: S46–S51 Korn Ferry Hay evaluations · S04, S52 Mercer IPE · S53–S57 NHS, UK NJC/PSC, GLPC, SJC, US OPM point-factor plans · Exp/Edu: S58 McKinsey skills-based hiring · S60 WEF skills-first · S61 EY India 2026 · the Experience / Education split is an IRIS rule · tilt: S06 Hay short profile · ±5 is an IRIS rule · levels: S01 Aon Radford · S02 Pave · S08 SFIA 9 · S03 Mercer career levels · experience: S32 Google, Microsoft, Amazon · S33 Infosys · S35 Accenture India · IRIS experience guide · span: S09 McKinsey spans of control · S37 GitLab layers · S44 Google Tech Lead Manager</t>
        </is>
      </c>
    </row>
  </sheetData>
  <autoFilter ref="A5:AL24"/>
  <mergeCells count="1">
    <mergeCell ref="A2:N2"/>
  </mergeCells>
  <dataValidations count="1">
    <dataValidation sqref="F6 F7 F8 F9 F10 F11 F12 F13 F14 F15 F16 F17 F18 F19 F20 F21 F22 F23 F24 J6 J7 J8 J9 J10 J11 J12 J13 J14 J15 J16 J17 J18 J19 J20 J21 J22 J23 J24 N6 N7 N8 N9 N10 N11 N12 N13 N14 N15 N16 N17 N18 N19 N20 N21 N22 N23 N24 R6 R7 R8 R9 R10 R11 R12 R13 R14 R15 R16 R17 R18 R19 R20 R21 R22 R23 R24 V6 V7 V8 V9 V10 V11 V12 V13 V14 V15 V16 V17 V18 V19 V20 V21 V22 V23 V24 Z6 Z7 Z8 Z9 Z10 Z11 Z12 Z13 Z14 Z15 Z16 Z17 Z18 Z19 Z20 Z21 Z22 Z23 Z24 AD6 AD7 AD8 AD9 AD10 AD11 AD12 AD13 AD14 AD15 AD16 AD17 AD18 AD19 AD20 AD21 AD22 AD23 AD24" showDropDown="0" showInputMessage="0" showErrorMessage="0" allowBlank="1" type="list">
      <formula1>LIST_LMH</formula1>
    </dataValidation>
  </dataValidations>
  <hyperlinks>
    <hyperlink xmlns:r="http://schemas.openxmlformats.org/officeDocument/2006/relationships" ref="O1" r:id="rId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K437"/>
  <sheetViews>
    <sheetView workbookViewId="0">
      <selection activeCell="A1" sqref="A1"/>
    </sheetView>
  </sheetViews>
  <sheetFormatPr baseColWidth="8" defaultRowHeight="15"/>
  <cols>
    <col width="34" customWidth="1" min="1" max="1"/>
    <col width="22" customWidth="1" min="2" max="2"/>
    <col width="12" customWidth="1" min="3" max="3"/>
    <col width="22"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ht="24" customHeight="1">
      <c r="A1" s="1" t="inlineStr">
        <is>
          <t>Backend Data — the lookups that make the workbook live</t>
        </is>
      </c>
      <c r="K1" s="7" t="inlineStr">
        <is>
          <t>◂ Start</t>
        </is>
      </c>
    </row>
    <row r="2" ht="30" customHeight="1">
      <c r="A2" s="2" t="inlineStr">
        <is>
          <t>Last sheet · Low / Medium / High in points and steps, the level ladders, the band order, the default weightage of every family × level × role group (linked to the RB sheets), and the drop-down lists. Edit the yellow cells only if HR agrees to change the model.</t>
        </is>
      </c>
    </row>
    <row r="3">
      <c r="A3" s="3" t="inlineStr">
        <is>
          <t>IRIS · Job Architecture &amp; Job Design · Final v1.15 · October 2026 · Internal — Confidential · HR only</t>
        </is>
      </c>
    </row>
    <row r="5">
      <c r="A5" s="6" t="inlineStr">
        <is>
          <t>LOW · MEDIUM · HIGH — what each choice is worth</t>
        </is>
      </c>
    </row>
    <row r="6">
      <c r="A6" s="27" t="inlineStr">
        <is>
          <t>Code</t>
        </is>
      </c>
      <c r="B6" s="27" t="inlineStr">
        <is>
          <t>Means</t>
        </is>
      </c>
      <c r="C6" s="27" t="inlineStr">
        <is>
          <t>Weightage points</t>
        </is>
      </c>
      <c r="D6" s="27" t="inlineStr">
        <is>
          <t>Assessment step</t>
        </is>
      </c>
      <c r="E6" s="27" t="inlineStr">
        <is>
          <t>Explained</t>
        </is>
      </c>
    </row>
    <row r="7">
      <c r="A7" s="64" t="inlineStr">
        <is>
          <t>L</t>
        </is>
      </c>
      <c r="B7" s="53" t="inlineStr">
        <is>
          <t>Low</t>
        </is>
      </c>
      <c r="C7" s="43" t="n">
        <v>1</v>
      </c>
      <c r="D7" s="43" t="n">
        <v>-1</v>
      </c>
      <c r="E7" s="53" t="inlineStr">
        <is>
          <t>Below what the matrix describes for this band · works at the level below on this parameter</t>
        </is>
      </c>
    </row>
    <row r="8">
      <c r="A8" s="64" t="inlineStr">
        <is>
          <t>M</t>
        </is>
      </c>
      <c r="B8" s="53" t="inlineStr">
        <is>
          <t>Medium</t>
        </is>
      </c>
      <c r="C8" s="43" t="n">
        <v>3</v>
      </c>
      <c r="D8" s="43" t="n">
        <v>0</v>
      </c>
      <c r="E8" s="53" t="inlineStr">
        <is>
          <t>Meets what the matrix describes for this band</t>
        </is>
      </c>
    </row>
    <row r="9">
      <c r="A9" s="64" t="inlineStr">
        <is>
          <t>H</t>
        </is>
      </c>
      <c r="B9" s="53" t="inlineStr">
        <is>
          <t>High</t>
        </is>
      </c>
      <c r="C9" s="43" t="n">
        <v>9</v>
      </c>
      <c r="D9" s="43" t="n">
        <v>1</v>
      </c>
      <c r="E9" s="53" t="inlineStr">
        <is>
          <t>Above what the matrix describes for this band · already works at the level above on this parameter</t>
        </is>
      </c>
    </row>
    <row r="10" ht="45" customHeight="1">
      <c r="A10" s="53" t="inlineStr">
        <is>
          <t>Weightage: a parameter's share = its points ÷ the points of all seven. With L 1 · M 3 · H 9 the shares follow the published job-evaluation weights within a few points — see 4. Market Benchmark, section 4. Assessment: the weighted net of the seven steps runs from −1 to +1; at +0.5 or more the person moves one level up from the HR proposed level, at −0.5 or less one level down.</t>
        </is>
      </c>
      <c r="B10" s="61" t="n"/>
      <c r="C10" s="61" t="n"/>
      <c r="D10" s="61" t="n"/>
      <c r="E10" s="61" t="n"/>
      <c r="F10" s="61" t="n"/>
      <c r="G10" s="61" t="n"/>
      <c r="H10" s="62" t="n"/>
    </row>
    <row r="12">
      <c r="A12" s="6" t="inlineStr">
        <is>
          <t>LEVELS — value, band and band order</t>
        </is>
      </c>
    </row>
    <row r="13">
      <c r="A13" s="27" t="inlineStr">
        <is>
          <t>Level</t>
        </is>
      </c>
      <c r="B13" s="27" t="inlineStr">
        <is>
          <t>Value</t>
        </is>
      </c>
      <c r="C13" s="27" t="inlineStr">
        <is>
          <t>Band</t>
        </is>
      </c>
      <c r="D13" s="27" t="inlineStr">
        <is>
          <t>Band rank</t>
        </is>
      </c>
      <c r="E13" s="27" t="inlineStr">
        <is>
          <t>Standard ladder</t>
        </is>
      </c>
      <c r="F13" s="27" t="inlineStr">
        <is>
          <t>Player-Coach ladder</t>
        </is>
      </c>
    </row>
    <row r="14">
      <c r="A14" s="64" t="inlineStr">
        <is>
          <t>A1</t>
        </is>
      </c>
      <c r="B14" s="53" t="n">
        <v>1</v>
      </c>
      <c r="C14" s="53" t="inlineStr">
        <is>
          <t>A</t>
        </is>
      </c>
      <c r="D14" s="53" t="n">
        <v>1</v>
      </c>
      <c r="E14" s="53" t="inlineStr">
        <is>
          <t>A1</t>
        </is>
      </c>
      <c r="F14" s="53" t="inlineStr">
        <is>
          <t>A1</t>
        </is>
      </c>
    </row>
    <row r="15">
      <c r="A15" s="64" t="inlineStr">
        <is>
          <t>A2</t>
        </is>
      </c>
      <c r="B15" s="53" t="n">
        <v>2</v>
      </c>
      <c r="C15" s="53" t="inlineStr">
        <is>
          <t>A</t>
        </is>
      </c>
      <c r="D15" s="53" t="n">
        <v>1</v>
      </c>
      <c r="E15" s="53" t="inlineStr">
        <is>
          <t>A2</t>
        </is>
      </c>
      <c r="F15" s="53" t="inlineStr">
        <is>
          <t>A2</t>
        </is>
      </c>
    </row>
    <row r="16">
      <c r="A16" s="64" t="inlineStr">
        <is>
          <t>A3</t>
        </is>
      </c>
      <c r="B16" s="53" t="n">
        <v>3</v>
      </c>
      <c r="C16" s="53" t="inlineStr">
        <is>
          <t>A</t>
        </is>
      </c>
      <c r="D16" s="53" t="n">
        <v>1</v>
      </c>
      <c r="E16" s="53" t="inlineStr">
        <is>
          <t>A3</t>
        </is>
      </c>
      <c r="F16" s="53" t="inlineStr">
        <is>
          <t>A3</t>
        </is>
      </c>
    </row>
    <row r="17">
      <c r="A17" s="64" t="inlineStr">
        <is>
          <t>B1</t>
        </is>
      </c>
      <c r="B17" s="53" t="n">
        <v>4</v>
      </c>
      <c r="C17" s="53" t="inlineStr">
        <is>
          <t>B</t>
        </is>
      </c>
      <c r="D17" s="53" t="n">
        <v>2</v>
      </c>
      <c r="E17" s="53" t="inlineStr">
        <is>
          <t>B1</t>
        </is>
      </c>
      <c r="F17" s="53" t="inlineStr">
        <is>
          <t>B1</t>
        </is>
      </c>
    </row>
    <row r="18">
      <c r="A18" s="64" t="inlineStr">
        <is>
          <t>B2</t>
        </is>
      </c>
      <c r="B18" s="53" t="n">
        <v>5</v>
      </c>
      <c r="C18" s="53" t="inlineStr">
        <is>
          <t>B</t>
        </is>
      </c>
      <c r="D18" s="53" t="n">
        <v>2</v>
      </c>
      <c r="E18" s="53" t="inlineStr">
        <is>
          <t>B2</t>
        </is>
      </c>
      <c r="F18" s="53" t="inlineStr">
        <is>
          <t>B2</t>
        </is>
      </c>
    </row>
    <row r="19">
      <c r="A19" s="64" t="inlineStr">
        <is>
          <t>B3</t>
        </is>
      </c>
      <c r="B19" s="53" t="n">
        <v>6</v>
      </c>
      <c r="C19" s="53" t="inlineStr">
        <is>
          <t>B</t>
        </is>
      </c>
      <c r="D19" s="53" t="n">
        <v>2</v>
      </c>
      <c r="E19" s="53" t="inlineStr">
        <is>
          <t>B3</t>
        </is>
      </c>
      <c r="F19" s="53" t="inlineStr">
        <is>
          <t>B3</t>
        </is>
      </c>
    </row>
    <row r="20">
      <c r="A20" s="64" t="inlineStr">
        <is>
          <t>B+</t>
        </is>
      </c>
      <c r="B20" s="53" t="n">
        <v>6.5</v>
      </c>
      <c r="C20" s="53" t="inlineStr">
        <is>
          <t>B+</t>
        </is>
      </c>
      <c r="D20" s="53" t="n">
        <v>3</v>
      </c>
      <c r="E20" s="53" t="inlineStr">
        <is>
          <t>C1</t>
        </is>
      </c>
      <c r="F20" s="53" t="inlineStr">
        <is>
          <t>B+</t>
        </is>
      </c>
    </row>
    <row r="21">
      <c r="A21" s="64" t="inlineStr">
        <is>
          <t>C1</t>
        </is>
      </c>
      <c r="B21" s="53" t="n">
        <v>7</v>
      </c>
      <c r="C21" s="53" t="inlineStr">
        <is>
          <t>C</t>
        </is>
      </c>
      <c r="D21" s="53" t="n">
        <v>4</v>
      </c>
      <c r="E21" s="53" t="inlineStr">
        <is>
          <t>C2</t>
        </is>
      </c>
      <c r="F21" s="53" t="inlineStr">
        <is>
          <t>C1</t>
        </is>
      </c>
    </row>
    <row r="22">
      <c r="A22" s="64" t="inlineStr">
        <is>
          <t>C2</t>
        </is>
      </c>
      <c r="B22" s="53" t="n">
        <v>8</v>
      </c>
      <c r="C22" s="53" t="inlineStr">
        <is>
          <t>C</t>
        </is>
      </c>
      <c r="D22" s="53" t="n">
        <v>4</v>
      </c>
      <c r="E22" s="53" t="inlineStr">
        <is>
          <t>D1</t>
        </is>
      </c>
      <c r="F22" s="53" t="inlineStr">
        <is>
          <t>C2</t>
        </is>
      </c>
    </row>
    <row r="23">
      <c r="A23" s="64" t="inlineStr">
        <is>
          <t>C+</t>
        </is>
      </c>
      <c r="B23" s="53" t="n">
        <v>8.5</v>
      </c>
      <c r="C23" s="53" t="inlineStr">
        <is>
          <t>C+</t>
        </is>
      </c>
      <c r="D23" s="53" t="n">
        <v>5</v>
      </c>
      <c r="E23" s="53" t="inlineStr">
        <is>
          <t>D2</t>
        </is>
      </c>
      <c r="F23" s="53" t="inlineStr">
        <is>
          <t>C+</t>
        </is>
      </c>
    </row>
    <row r="24">
      <c r="A24" s="64" t="inlineStr">
        <is>
          <t>D1</t>
        </is>
      </c>
      <c r="B24" s="53" t="n">
        <v>9</v>
      </c>
      <c r="C24" s="53" t="inlineStr">
        <is>
          <t>D</t>
        </is>
      </c>
      <c r="D24" s="53" t="n">
        <v>6</v>
      </c>
      <c r="E24" s="53" t="inlineStr">
        <is>
          <t>E1</t>
        </is>
      </c>
      <c r="F24" s="53" t="inlineStr">
        <is>
          <t>D1</t>
        </is>
      </c>
    </row>
    <row r="25">
      <c r="A25" s="64" t="inlineStr">
        <is>
          <t>D2</t>
        </is>
      </c>
      <c r="B25" s="53" t="n">
        <v>10</v>
      </c>
      <c r="C25" s="53" t="inlineStr">
        <is>
          <t>D</t>
        </is>
      </c>
      <c r="D25" s="53" t="n">
        <v>6</v>
      </c>
      <c r="E25" s="53" t="inlineStr">
        <is>
          <t>E2</t>
        </is>
      </c>
      <c r="F25" s="53" t="inlineStr">
        <is>
          <t>D2</t>
        </is>
      </c>
    </row>
    <row r="26">
      <c r="A26" s="64" t="inlineStr">
        <is>
          <t>E1</t>
        </is>
      </c>
      <c r="B26" s="53" t="n">
        <v>11</v>
      </c>
      <c r="C26" s="53" t="inlineStr">
        <is>
          <t>E</t>
        </is>
      </c>
      <c r="D26" s="53" t="n">
        <v>7</v>
      </c>
      <c r="E26" s="53" t="n"/>
      <c r="F26" s="53" t="inlineStr">
        <is>
          <t>E1</t>
        </is>
      </c>
    </row>
    <row r="27">
      <c r="A27" s="64" t="inlineStr">
        <is>
          <t>E2</t>
        </is>
      </c>
      <c r="B27" s="53" t="n">
        <v>12</v>
      </c>
      <c r="C27" s="53" t="inlineStr">
        <is>
          <t>E</t>
        </is>
      </c>
      <c r="D27" s="53" t="n">
        <v>7</v>
      </c>
      <c r="E27" s="53" t="n"/>
      <c r="F27" s="53" t="inlineStr">
        <is>
          <t>E2</t>
        </is>
      </c>
    </row>
    <row r="28">
      <c r="A28" s="64" t="inlineStr">
        <is>
          <t>X1</t>
        </is>
      </c>
      <c r="B28" s="53" t="n">
        <v>0</v>
      </c>
      <c r="C28" s="53" t="inlineStr">
        <is>
          <t>X</t>
        </is>
      </c>
      <c r="D28" s="53" t="n">
        <v>0</v>
      </c>
      <c r="E28" s="53" t="n"/>
      <c r="F28" s="53" t="n"/>
    </row>
    <row r="29">
      <c r="A29" s="64" t="inlineStr">
        <is>
          <t>X2</t>
        </is>
      </c>
      <c r="B29" s="53" t="n">
        <v>0</v>
      </c>
      <c r="C29" s="53" t="inlineStr">
        <is>
          <t>X</t>
        </is>
      </c>
      <c r="D29" s="53" t="n">
        <v>0</v>
      </c>
      <c r="E29" s="53" t="n"/>
      <c r="F29" s="53" t="n"/>
    </row>
    <row r="30">
      <c r="A30" s="64" t="inlineStr">
        <is>
          <t>X3</t>
        </is>
      </c>
      <c r="B30" s="53" t="n">
        <v>0</v>
      </c>
      <c r="C30" s="53" t="inlineStr">
        <is>
          <t>X</t>
        </is>
      </c>
      <c r="D30" s="53" t="n">
        <v>0</v>
      </c>
      <c r="E30" s="53" t="n"/>
      <c r="F30" s="53" t="n"/>
    </row>
    <row r="32">
      <c r="A32" s="6" t="inlineStr">
        <is>
          <t>DEFAULT WEIGHTAGE — family × level × role group · linked to each RB sheet</t>
        </is>
      </c>
    </row>
    <row r="33">
      <c r="A33" s="27" t="inlineStr">
        <is>
          <t>Key</t>
        </is>
      </c>
      <c r="B33" s="27" t="inlineStr">
        <is>
          <t>Job family</t>
        </is>
      </c>
      <c r="C33" s="27" t="inlineStr">
        <is>
          <t>Level</t>
        </is>
      </c>
      <c r="D33" s="27" t="inlineStr">
        <is>
          <t>Role group</t>
        </is>
      </c>
      <c r="E33" s="27" t="inlineStr">
        <is>
          <t>Complexity &amp; Expertise</t>
        </is>
      </c>
      <c r="F33" s="27" t="inlineStr">
        <is>
          <t>Autonomy &amp; Decision</t>
        </is>
      </c>
      <c r="G33" s="27" t="inlineStr">
        <is>
          <t>Accountability &amp; Impact</t>
        </is>
      </c>
      <c r="H33" s="27" t="inlineStr">
        <is>
          <t>Leadership &amp; Strategy</t>
        </is>
      </c>
      <c r="I33" s="27" t="inlineStr">
        <is>
          <t>Business Impact</t>
        </is>
      </c>
      <c r="J33" s="27" t="inlineStr">
        <is>
          <t>Experience</t>
        </is>
      </c>
      <c r="K33" s="27" t="inlineStr">
        <is>
          <t>Education</t>
        </is>
      </c>
    </row>
    <row r="34">
      <c r="A34" s="53" t="inlineStr">
        <is>
          <t>Administration, Legal &amp; Secretarial|E2|DE</t>
        </is>
      </c>
      <c r="B34" s="53" t="inlineStr">
        <is>
          <t>Administration, Legal &amp; Secretarial</t>
        </is>
      </c>
      <c r="C34" s="53" t="inlineStr">
        <is>
          <t>E2</t>
        </is>
      </c>
      <c r="D34" s="53" t="inlineStr">
        <is>
          <t>Bands D–E · Leadership</t>
        </is>
      </c>
      <c r="E34" s="38" t="str">
        <f>'RB · Administration, Legal &amp; Se'!F6</f>
        <v>H</v>
      </c>
      <c r="F34" s="38" t="str">
        <f>'RB · Administration, Legal &amp; Se'!J6</f>
        <v>M</v>
      </c>
      <c r="G34" s="38" t="str">
        <f>'RB · Administration, Legal &amp; Se'!N6</f>
        <v>M</v>
      </c>
      <c r="H34" s="38" t="str">
        <f>'RB · Administration, Legal &amp; Se'!R6</f>
        <v>M</v>
      </c>
      <c r="I34" s="38" t="str">
        <f>'RB · Administration, Legal &amp; Se'!V6</f>
        <v>L</v>
      </c>
      <c r="J34" s="38" t="str">
        <f>'RB · Administration, Legal &amp; Se'!Z6</f>
        <v>L</v>
      </c>
      <c r="K34" s="38" t="str">
        <f>'RB · Administration, Legal &amp; Se'!AD6</f>
        <v>L</v>
      </c>
    </row>
    <row r="35">
      <c r="A35" s="53" t="inlineStr">
        <is>
          <t>Administration, Legal &amp; Secretarial|E1|DE</t>
        </is>
      </c>
      <c r="B35" s="53" t="inlineStr">
        <is>
          <t>Administration, Legal &amp; Secretarial</t>
        </is>
      </c>
      <c r="C35" s="53" t="inlineStr">
        <is>
          <t>E1</t>
        </is>
      </c>
      <c r="D35" s="53" t="inlineStr">
        <is>
          <t>Bands D–E · Leadership</t>
        </is>
      </c>
      <c r="E35" s="38" t="str">
        <f>'RB · Administration, Legal &amp; Se'!F7</f>
        <v>H</v>
      </c>
      <c r="F35" s="38" t="str">
        <f>'RB · Administration, Legal &amp; Se'!J7</f>
        <v>M</v>
      </c>
      <c r="G35" s="38" t="str">
        <f>'RB · Administration, Legal &amp; Se'!N7</f>
        <v>M</v>
      </c>
      <c r="H35" s="38" t="str">
        <f>'RB · Administration, Legal &amp; Se'!R7</f>
        <v>M</v>
      </c>
      <c r="I35" s="38" t="str">
        <f>'RB · Administration, Legal &amp; Se'!V7</f>
        <v>L</v>
      </c>
      <c r="J35" s="38" t="str">
        <f>'RB · Administration, Legal &amp; Se'!Z7</f>
        <v>L</v>
      </c>
      <c r="K35" s="38" t="str">
        <f>'RB · Administration, Legal &amp; Se'!AD7</f>
        <v>L</v>
      </c>
    </row>
    <row r="36">
      <c r="A36" s="53" t="inlineStr">
        <is>
          <t>Administration, Legal &amp; Secretarial|D2|DE</t>
        </is>
      </c>
      <c r="B36" s="53" t="inlineStr">
        <is>
          <t>Administration, Legal &amp; Secretarial</t>
        </is>
      </c>
      <c r="C36" s="53" t="inlineStr">
        <is>
          <t>D2</t>
        </is>
      </c>
      <c r="D36" s="53" t="inlineStr">
        <is>
          <t>Bands D–E · Leadership</t>
        </is>
      </c>
      <c r="E36" s="38" t="str">
        <f>'RB · Administration, Legal &amp; Se'!F8</f>
        <v>H</v>
      </c>
      <c r="F36" s="38" t="str">
        <f>'RB · Administration, Legal &amp; Se'!J8</f>
        <v>M</v>
      </c>
      <c r="G36" s="38" t="str">
        <f>'RB · Administration, Legal &amp; Se'!N8</f>
        <v>M</v>
      </c>
      <c r="H36" s="38" t="str">
        <f>'RB · Administration, Legal &amp; Se'!R8</f>
        <v>M</v>
      </c>
      <c r="I36" s="38" t="str">
        <f>'RB · Administration, Legal &amp; Se'!V8</f>
        <v>L</v>
      </c>
      <c r="J36" s="38" t="str">
        <f>'RB · Administration, Legal &amp; Se'!Z8</f>
        <v>L</v>
      </c>
      <c r="K36" s="38" t="str">
        <f>'RB · Administration, Legal &amp; Se'!AD8</f>
        <v>L</v>
      </c>
    </row>
    <row r="37">
      <c r="A37" s="53" t="inlineStr">
        <is>
          <t>Administration, Legal &amp; Secretarial|D1|DE</t>
        </is>
      </c>
      <c r="B37" s="53" t="inlineStr">
        <is>
          <t>Administration, Legal &amp; Secretarial</t>
        </is>
      </c>
      <c r="C37" s="53" t="inlineStr">
        <is>
          <t>D1</t>
        </is>
      </c>
      <c r="D37" s="53" t="inlineStr">
        <is>
          <t>Bands D–E · Leadership</t>
        </is>
      </c>
      <c r="E37" s="38" t="str">
        <f>'RB · Administration, Legal &amp; Se'!F9</f>
        <v>H</v>
      </c>
      <c r="F37" s="38" t="str">
        <f>'RB · Administration, Legal &amp; Se'!J9</f>
        <v>M</v>
      </c>
      <c r="G37" s="38" t="str">
        <f>'RB · Administration, Legal &amp; Se'!N9</f>
        <v>M</v>
      </c>
      <c r="H37" s="38" t="str">
        <f>'RB · Administration, Legal &amp; Se'!R9</f>
        <v>M</v>
      </c>
      <c r="I37" s="38" t="str">
        <f>'RB · Administration, Legal &amp; Se'!V9</f>
        <v>L</v>
      </c>
      <c r="J37" s="38" t="str">
        <f>'RB · Administration, Legal &amp; Se'!Z9</f>
        <v>L</v>
      </c>
      <c r="K37" s="38" t="str">
        <f>'RB · Administration, Legal &amp; Se'!AD9</f>
        <v>L</v>
      </c>
    </row>
    <row r="38">
      <c r="A38" s="53" t="inlineStr">
        <is>
          <t>Administration, Legal &amp; Secretarial|C+|C+</t>
        </is>
      </c>
      <c r="B38" s="53" t="inlineStr">
        <is>
          <t>Administration, Legal &amp; Secretarial</t>
        </is>
      </c>
      <c r="C38" s="53" t="inlineStr">
        <is>
          <t>C+</t>
        </is>
      </c>
      <c r="D38" s="53" t="inlineStr">
        <is>
          <t>C+ · Player-Coach</t>
        </is>
      </c>
      <c r="E38" s="38" t="str">
        <f>'RB · Administration, Legal &amp; Se'!F10</f>
        <v>H</v>
      </c>
      <c r="F38" s="38" t="str">
        <f>'RB · Administration, Legal &amp; Se'!J10</f>
        <v>M</v>
      </c>
      <c r="G38" s="38" t="str">
        <f>'RB · Administration, Legal &amp; Se'!N10</f>
        <v>M</v>
      </c>
      <c r="H38" s="38" t="str">
        <f>'RB · Administration, Legal &amp; Se'!R10</f>
        <v>M</v>
      </c>
      <c r="I38" s="38" t="str">
        <f>'RB · Administration, Legal &amp; Se'!V10</f>
        <v>L</v>
      </c>
      <c r="J38" s="38" t="str">
        <f>'RB · Administration, Legal &amp; Se'!Z10</f>
        <v>L</v>
      </c>
      <c r="K38" s="38" t="str">
        <f>'RB · Administration, Legal &amp; Se'!AD10</f>
        <v>L</v>
      </c>
    </row>
    <row r="39">
      <c r="A39" s="53" t="inlineStr">
        <is>
          <t>Administration, Legal &amp; Secretarial|C2|C-M</t>
        </is>
      </c>
      <c r="B39" s="53" t="inlineStr">
        <is>
          <t>Administration, Legal &amp; Secretarial</t>
        </is>
      </c>
      <c r="C39" s="53" t="inlineStr">
        <is>
          <t>C2</t>
        </is>
      </c>
      <c r="D39" s="53" t="inlineStr">
        <is>
          <t>Band C · Head / manager</t>
        </is>
      </c>
      <c r="E39" s="38" t="str">
        <f>'RB · Administration, Legal &amp; Se'!F11</f>
        <v>H</v>
      </c>
      <c r="F39" s="38" t="str">
        <f>'RB · Administration, Legal &amp; Se'!J11</f>
        <v>M</v>
      </c>
      <c r="G39" s="38" t="str">
        <f>'RB · Administration, Legal &amp; Se'!N11</f>
        <v>M</v>
      </c>
      <c r="H39" s="38" t="str">
        <f>'RB · Administration, Legal &amp; Se'!R11</f>
        <v>M</v>
      </c>
      <c r="I39" s="38" t="str">
        <f>'RB · Administration, Legal &amp; Se'!V11</f>
        <v>L</v>
      </c>
      <c r="J39" s="38" t="str">
        <f>'RB · Administration, Legal &amp; Se'!Z11</f>
        <v>L</v>
      </c>
      <c r="K39" s="38" t="str">
        <f>'RB · Administration, Legal &amp; Se'!AD11</f>
        <v>L</v>
      </c>
    </row>
    <row r="40">
      <c r="A40" s="53" t="inlineStr">
        <is>
          <t>Administration, Legal &amp; Secretarial|C2|C-IC</t>
        </is>
      </c>
      <c r="B40" s="53" t="inlineStr">
        <is>
          <t>Administration, Legal &amp; Secretarial</t>
        </is>
      </c>
      <c r="C40" s="53" t="inlineStr">
        <is>
          <t>C2</t>
        </is>
      </c>
      <c r="D40" s="53" t="inlineStr">
        <is>
          <t>Band C · Principal specialist</t>
        </is>
      </c>
      <c r="E40" s="38" t="str">
        <f>'RB · Administration, Legal &amp; Se'!F12</f>
        <v>H</v>
      </c>
      <c r="F40" s="38" t="str">
        <f>'RB · Administration, Legal &amp; Se'!J12</f>
        <v>M</v>
      </c>
      <c r="G40" s="38" t="str">
        <f>'RB · Administration, Legal &amp; Se'!N12</f>
        <v>M</v>
      </c>
      <c r="H40" s="38" t="str">
        <f>'RB · Administration, Legal &amp; Se'!R12</f>
        <v>L</v>
      </c>
      <c r="I40" s="38" t="str">
        <f>'RB · Administration, Legal &amp; Se'!V12</f>
        <v>L</v>
      </c>
      <c r="J40" s="38" t="str">
        <f>'RB · Administration, Legal &amp; Se'!Z12</f>
        <v>L</v>
      </c>
      <c r="K40" s="38" t="str">
        <f>'RB · Administration, Legal &amp; Se'!AD12</f>
        <v>L</v>
      </c>
    </row>
    <row r="41">
      <c r="A41" s="53" t="inlineStr">
        <is>
          <t>Administration, Legal &amp; Secretarial|C1|C-M</t>
        </is>
      </c>
      <c r="B41" s="53" t="inlineStr">
        <is>
          <t>Administration, Legal &amp; Secretarial</t>
        </is>
      </c>
      <c r="C41" s="53" t="inlineStr">
        <is>
          <t>C1</t>
        </is>
      </c>
      <c r="D41" s="53" t="inlineStr">
        <is>
          <t>Band C · Head / manager</t>
        </is>
      </c>
      <c r="E41" s="38" t="str">
        <f>'RB · Administration, Legal &amp; Se'!F13</f>
        <v>H</v>
      </c>
      <c r="F41" s="38" t="str">
        <f>'RB · Administration, Legal &amp; Se'!J13</f>
        <v>M</v>
      </c>
      <c r="G41" s="38" t="str">
        <f>'RB · Administration, Legal &amp; Se'!N13</f>
        <v>M</v>
      </c>
      <c r="H41" s="38" t="str">
        <f>'RB · Administration, Legal &amp; Se'!R13</f>
        <v>M</v>
      </c>
      <c r="I41" s="38" t="str">
        <f>'RB · Administration, Legal &amp; Se'!V13</f>
        <v>L</v>
      </c>
      <c r="J41" s="38" t="str">
        <f>'RB · Administration, Legal &amp; Se'!Z13</f>
        <v>L</v>
      </c>
      <c r="K41" s="38" t="str">
        <f>'RB · Administration, Legal &amp; Se'!AD13</f>
        <v>L</v>
      </c>
    </row>
    <row r="42">
      <c r="A42" s="53" t="inlineStr">
        <is>
          <t>Administration, Legal &amp; Secretarial|C1|C-IC</t>
        </is>
      </c>
      <c r="B42" s="53" t="inlineStr">
        <is>
          <t>Administration, Legal &amp; Secretarial</t>
        </is>
      </c>
      <c r="C42" s="53" t="inlineStr">
        <is>
          <t>C1</t>
        </is>
      </c>
      <c r="D42" s="53" t="inlineStr">
        <is>
          <t>Band C · Principal specialist</t>
        </is>
      </c>
      <c r="E42" s="38" t="str">
        <f>'RB · Administration, Legal &amp; Se'!F14</f>
        <v>H</v>
      </c>
      <c r="F42" s="38" t="str">
        <f>'RB · Administration, Legal &amp; Se'!J14</f>
        <v>M</v>
      </c>
      <c r="G42" s="38" t="str">
        <f>'RB · Administration, Legal &amp; Se'!N14</f>
        <v>M</v>
      </c>
      <c r="H42" s="38" t="str">
        <f>'RB · Administration, Legal &amp; Se'!R14</f>
        <v>L</v>
      </c>
      <c r="I42" s="38" t="str">
        <f>'RB · Administration, Legal &amp; Se'!V14</f>
        <v>L</v>
      </c>
      <c r="J42" s="38" t="str">
        <f>'RB · Administration, Legal &amp; Se'!Z14</f>
        <v>L</v>
      </c>
      <c r="K42" s="38" t="str">
        <f>'RB · Administration, Legal &amp; Se'!AD14</f>
        <v>L</v>
      </c>
    </row>
    <row r="43">
      <c r="A43" s="53" t="inlineStr">
        <is>
          <t>Administration, Legal &amp; Secretarial|B+|B+</t>
        </is>
      </c>
      <c r="B43" s="53" t="inlineStr">
        <is>
          <t>Administration, Legal &amp; Secretarial</t>
        </is>
      </c>
      <c r="C43" s="53" t="inlineStr">
        <is>
          <t>B+</t>
        </is>
      </c>
      <c r="D43" s="53" t="inlineStr">
        <is>
          <t>B+ · Player-Coach</t>
        </is>
      </c>
      <c r="E43" s="38" t="str">
        <f>'RB · Administration, Legal &amp; Se'!F15</f>
        <v>H</v>
      </c>
      <c r="F43" s="38" t="str">
        <f>'RB · Administration, Legal &amp; Se'!J15</f>
        <v>M</v>
      </c>
      <c r="G43" s="38" t="str">
        <f>'RB · Administration, Legal &amp; Se'!N15</f>
        <v>M</v>
      </c>
      <c r="H43" s="38" t="str">
        <f>'RB · Administration, Legal &amp; Se'!R15</f>
        <v>M</v>
      </c>
      <c r="I43" s="38" t="str">
        <f>'RB · Administration, Legal &amp; Se'!V15</f>
        <v>L</v>
      </c>
      <c r="J43" s="38" t="str">
        <f>'RB · Administration, Legal &amp; Se'!Z15</f>
        <v>L</v>
      </c>
      <c r="K43" s="38" t="str">
        <f>'RB · Administration, Legal &amp; Se'!AD15</f>
        <v>M</v>
      </c>
    </row>
    <row r="44">
      <c r="A44" s="53" t="inlineStr">
        <is>
          <t>Administration, Legal &amp; Secretarial|B3|B-M</t>
        </is>
      </c>
      <c r="B44" s="53" t="inlineStr">
        <is>
          <t>Administration, Legal &amp; Secretarial</t>
        </is>
      </c>
      <c r="C44" s="53" t="inlineStr">
        <is>
          <t>B3</t>
        </is>
      </c>
      <c r="D44" s="53" t="inlineStr">
        <is>
          <t>Band B · People Manager</t>
        </is>
      </c>
      <c r="E44" s="38" t="str">
        <f>'RB · Administration, Legal &amp; Se'!F16</f>
        <v>H</v>
      </c>
      <c r="F44" s="38" t="str">
        <f>'RB · Administration, Legal &amp; Se'!J16</f>
        <v>M</v>
      </c>
      <c r="G44" s="38" t="str">
        <f>'RB · Administration, Legal &amp; Se'!N16</f>
        <v>M</v>
      </c>
      <c r="H44" s="38" t="str">
        <f>'RB · Administration, Legal &amp; Se'!R16</f>
        <v>M</v>
      </c>
      <c r="I44" s="38" t="str">
        <f>'RB · Administration, Legal &amp; Se'!V16</f>
        <v>L</v>
      </c>
      <c r="J44" s="38" t="str">
        <f>'RB · Administration, Legal &amp; Se'!Z16</f>
        <v>L</v>
      </c>
      <c r="K44" s="38" t="str">
        <f>'RB · Administration, Legal &amp; Se'!AD16</f>
        <v>L</v>
      </c>
    </row>
    <row r="45">
      <c r="A45" s="53" t="inlineStr">
        <is>
          <t>Administration, Legal &amp; Secretarial|B3|B-IC</t>
        </is>
      </c>
      <c r="B45" s="53" t="inlineStr">
        <is>
          <t>Administration, Legal &amp; Secretarial</t>
        </is>
      </c>
      <c r="C45" s="53" t="inlineStr">
        <is>
          <t>B3</t>
        </is>
      </c>
      <c r="D45" s="53" t="inlineStr">
        <is>
          <t>Band B · Specialist / POD Lead</t>
        </is>
      </c>
      <c r="E45" s="38" t="str">
        <f>'RB · Administration, Legal &amp; Se'!F17</f>
        <v>H</v>
      </c>
      <c r="F45" s="38" t="str">
        <f>'RB · Administration, Legal &amp; Se'!J17</f>
        <v>M</v>
      </c>
      <c r="G45" s="38" t="str">
        <f>'RB · Administration, Legal &amp; Se'!N17</f>
        <v>M</v>
      </c>
      <c r="H45" s="38" t="str">
        <f>'RB · Administration, Legal &amp; Se'!R17</f>
        <v>L</v>
      </c>
      <c r="I45" s="38" t="str">
        <f>'RB · Administration, Legal &amp; Se'!V17</f>
        <v>L</v>
      </c>
      <c r="J45" s="38" t="str">
        <f>'RB · Administration, Legal &amp; Se'!Z17</f>
        <v>L</v>
      </c>
      <c r="K45" s="38" t="str">
        <f>'RB · Administration, Legal &amp; Se'!AD17</f>
        <v>L</v>
      </c>
    </row>
    <row r="46">
      <c r="A46" s="53" t="inlineStr">
        <is>
          <t>Administration, Legal &amp; Secretarial|B2|B-M</t>
        </is>
      </c>
      <c r="B46" s="53" t="inlineStr">
        <is>
          <t>Administration, Legal &amp; Secretarial</t>
        </is>
      </c>
      <c r="C46" s="53" t="inlineStr">
        <is>
          <t>B2</t>
        </is>
      </c>
      <c r="D46" s="53" t="inlineStr">
        <is>
          <t>Band B · People Manager</t>
        </is>
      </c>
      <c r="E46" s="38" t="str">
        <f>'RB · Administration, Legal &amp; Se'!F18</f>
        <v>H</v>
      </c>
      <c r="F46" s="38" t="str">
        <f>'RB · Administration, Legal &amp; Se'!J18</f>
        <v>M</v>
      </c>
      <c r="G46" s="38" t="str">
        <f>'RB · Administration, Legal &amp; Se'!N18</f>
        <v>M</v>
      </c>
      <c r="H46" s="38" t="str">
        <f>'RB · Administration, Legal &amp; Se'!R18</f>
        <v>M</v>
      </c>
      <c r="I46" s="38" t="str">
        <f>'RB · Administration, Legal &amp; Se'!V18</f>
        <v>L</v>
      </c>
      <c r="J46" s="38" t="str">
        <f>'RB · Administration, Legal &amp; Se'!Z18</f>
        <v>L</v>
      </c>
      <c r="K46" s="38" t="str">
        <f>'RB · Administration, Legal &amp; Se'!AD18</f>
        <v>L</v>
      </c>
    </row>
    <row r="47">
      <c r="A47" s="53" t="inlineStr">
        <is>
          <t>Administration, Legal &amp; Secretarial|B2|B-IC</t>
        </is>
      </c>
      <c r="B47" s="53" t="inlineStr">
        <is>
          <t>Administration, Legal &amp; Secretarial</t>
        </is>
      </c>
      <c r="C47" s="53" t="inlineStr">
        <is>
          <t>B2</t>
        </is>
      </c>
      <c r="D47" s="53" t="inlineStr">
        <is>
          <t>Band B · Specialist / POD Lead</t>
        </is>
      </c>
      <c r="E47" s="38" t="str">
        <f>'RB · Administration, Legal &amp; Se'!F19</f>
        <v>H</v>
      </c>
      <c r="F47" s="38" t="str">
        <f>'RB · Administration, Legal &amp; Se'!J19</f>
        <v>M</v>
      </c>
      <c r="G47" s="38" t="str">
        <f>'RB · Administration, Legal &amp; Se'!N19</f>
        <v>M</v>
      </c>
      <c r="H47" s="38" t="str">
        <f>'RB · Administration, Legal &amp; Se'!R19</f>
        <v>L</v>
      </c>
      <c r="I47" s="38" t="str">
        <f>'RB · Administration, Legal &amp; Se'!V19</f>
        <v>L</v>
      </c>
      <c r="J47" s="38" t="str">
        <f>'RB · Administration, Legal &amp; Se'!Z19</f>
        <v>L</v>
      </c>
      <c r="K47" s="38" t="str">
        <f>'RB · Administration, Legal &amp; Se'!AD19</f>
        <v>L</v>
      </c>
    </row>
    <row r="48">
      <c r="A48" s="53" t="inlineStr">
        <is>
          <t>Administration, Legal &amp; Secretarial|B1|B-M</t>
        </is>
      </c>
      <c r="B48" s="53" t="inlineStr">
        <is>
          <t>Administration, Legal &amp; Secretarial</t>
        </is>
      </c>
      <c r="C48" s="53" t="inlineStr">
        <is>
          <t>B1</t>
        </is>
      </c>
      <c r="D48" s="53" t="inlineStr">
        <is>
          <t>Band B · People Manager</t>
        </is>
      </c>
      <c r="E48" s="38" t="str">
        <f>'RB · Administration, Legal &amp; Se'!F20</f>
        <v>H</v>
      </c>
      <c r="F48" s="38" t="str">
        <f>'RB · Administration, Legal &amp; Se'!J20</f>
        <v>M</v>
      </c>
      <c r="G48" s="38" t="str">
        <f>'RB · Administration, Legal &amp; Se'!N20</f>
        <v>M</v>
      </c>
      <c r="H48" s="38" t="str">
        <f>'RB · Administration, Legal &amp; Se'!R20</f>
        <v>M</v>
      </c>
      <c r="I48" s="38" t="str">
        <f>'RB · Administration, Legal &amp; Se'!V20</f>
        <v>L</v>
      </c>
      <c r="J48" s="38" t="str">
        <f>'RB · Administration, Legal &amp; Se'!Z20</f>
        <v>L</v>
      </c>
      <c r="K48" s="38" t="str">
        <f>'RB · Administration, Legal &amp; Se'!AD20</f>
        <v>L</v>
      </c>
    </row>
    <row r="49">
      <c r="A49" s="53" t="inlineStr">
        <is>
          <t>Administration, Legal &amp; Secretarial|B1|B-IC</t>
        </is>
      </c>
      <c r="B49" s="53" t="inlineStr">
        <is>
          <t>Administration, Legal &amp; Secretarial</t>
        </is>
      </c>
      <c r="C49" s="53" t="inlineStr">
        <is>
          <t>B1</t>
        </is>
      </c>
      <c r="D49" s="53" t="inlineStr">
        <is>
          <t>Band B · Specialist / POD Lead</t>
        </is>
      </c>
      <c r="E49" s="38" t="str">
        <f>'RB · Administration, Legal &amp; Se'!F21</f>
        <v>H</v>
      </c>
      <c r="F49" s="38" t="str">
        <f>'RB · Administration, Legal &amp; Se'!J21</f>
        <v>M</v>
      </c>
      <c r="G49" s="38" t="str">
        <f>'RB · Administration, Legal &amp; Se'!N21</f>
        <v>M</v>
      </c>
      <c r="H49" s="38" t="str">
        <f>'RB · Administration, Legal &amp; Se'!R21</f>
        <v>L</v>
      </c>
      <c r="I49" s="38" t="str">
        <f>'RB · Administration, Legal &amp; Se'!V21</f>
        <v>L</v>
      </c>
      <c r="J49" s="38" t="str">
        <f>'RB · Administration, Legal &amp; Se'!Z21</f>
        <v>L</v>
      </c>
      <c r="K49" s="38" t="str">
        <f>'RB · Administration, Legal &amp; Se'!AD21</f>
        <v>L</v>
      </c>
    </row>
    <row r="50">
      <c r="A50" s="53" t="inlineStr">
        <is>
          <t>Administration, Legal &amp; Secretarial|A3|A</t>
        </is>
      </c>
      <c r="B50" s="53" t="inlineStr">
        <is>
          <t>Administration, Legal &amp; Secretarial</t>
        </is>
      </c>
      <c r="C50" s="53" t="inlineStr">
        <is>
          <t>A3</t>
        </is>
      </c>
      <c r="D50" s="53" t="inlineStr">
        <is>
          <t>Band A · all tracks</t>
        </is>
      </c>
      <c r="E50" s="38" t="str">
        <f>'RB · Administration, Legal &amp; Se'!F22</f>
        <v>H</v>
      </c>
      <c r="F50" s="38" t="str">
        <f>'RB · Administration, Legal &amp; Se'!J22</f>
        <v>M</v>
      </c>
      <c r="G50" s="38" t="str">
        <f>'RB · Administration, Legal &amp; Se'!N22</f>
        <v>M</v>
      </c>
      <c r="H50" s="38" t="str">
        <f>'RB · Administration, Legal &amp; Se'!R22</f>
        <v>L</v>
      </c>
      <c r="I50" s="38" t="str">
        <f>'RB · Administration, Legal &amp; Se'!V22</f>
        <v>L</v>
      </c>
      <c r="J50" s="38" t="str">
        <f>'RB · Administration, Legal &amp; Se'!Z22</f>
        <v>L</v>
      </c>
      <c r="K50" s="38" t="str">
        <f>'RB · Administration, Legal &amp; Se'!AD22</f>
        <v>M</v>
      </c>
    </row>
    <row r="51">
      <c r="A51" s="53" t="inlineStr">
        <is>
          <t>Administration, Legal &amp; Secretarial|A2|A</t>
        </is>
      </c>
      <c r="B51" s="53" t="inlineStr">
        <is>
          <t>Administration, Legal &amp; Secretarial</t>
        </is>
      </c>
      <c r="C51" s="53" t="inlineStr">
        <is>
          <t>A2</t>
        </is>
      </c>
      <c r="D51" s="53" t="inlineStr">
        <is>
          <t>Band A · all tracks</t>
        </is>
      </c>
      <c r="E51" s="38" t="str">
        <f>'RB · Administration, Legal &amp; Se'!F23</f>
        <v>H</v>
      </c>
      <c r="F51" s="38" t="str">
        <f>'RB · Administration, Legal &amp; Se'!J23</f>
        <v>M</v>
      </c>
      <c r="G51" s="38" t="str">
        <f>'RB · Administration, Legal &amp; Se'!N23</f>
        <v>M</v>
      </c>
      <c r="H51" s="38" t="str">
        <f>'RB · Administration, Legal &amp; Se'!R23</f>
        <v>L</v>
      </c>
      <c r="I51" s="38" t="str">
        <f>'RB · Administration, Legal &amp; Se'!V23</f>
        <v>L</v>
      </c>
      <c r="J51" s="38" t="str">
        <f>'RB · Administration, Legal &amp; Se'!Z23</f>
        <v>L</v>
      </c>
      <c r="K51" s="38" t="str">
        <f>'RB · Administration, Legal &amp; Se'!AD23</f>
        <v>M</v>
      </c>
    </row>
    <row r="52">
      <c r="A52" s="53" t="inlineStr">
        <is>
          <t>Administration, Legal &amp; Secretarial|A1|A</t>
        </is>
      </c>
      <c r="B52" s="53" t="inlineStr">
        <is>
          <t>Administration, Legal &amp; Secretarial</t>
        </is>
      </c>
      <c r="C52" s="53" t="inlineStr">
        <is>
          <t>A1</t>
        </is>
      </c>
      <c r="D52" s="53" t="inlineStr">
        <is>
          <t>Band A · all tracks</t>
        </is>
      </c>
      <c r="E52" s="38" t="str">
        <f>'RB · Administration, Legal &amp; Se'!F24</f>
        <v>H</v>
      </c>
      <c r="F52" s="38" t="str">
        <f>'RB · Administration, Legal &amp; Se'!J24</f>
        <v>M</v>
      </c>
      <c r="G52" s="38" t="str">
        <f>'RB · Administration, Legal &amp; Se'!N24</f>
        <v>M</v>
      </c>
      <c r="H52" s="38" t="str">
        <f>'RB · Administration, Legal &amp; Se'!R24</f>
        <v>L</v>
      </c>
      <c r="I52" s="38" t="str">
        <f>'RB · Administration, Legal &amp; Se'!V24</f>
        <v>L</v>
      </c>
      <c r="J52" s="38" t="str">
        <f>'RB · Administration, Legal &amp; Se'!Z24</f>
        <v>L</v>
      </c>
      <c r="K52" s="38" t="str">
        <f>'RB · Administration, Legal &amp; Se'!AD24</f>
        <v>M</v>
      </c>
    </row>
    <row r="53">
      <c r="A53" s="53" t="inlineStr">
        <is>
          <t>Business Analysis|E2|DE</t>
        </is>
      </c>
      <c r="B53" s="53" t="inlineStr">
        <is>
          <t>Business Analysis</t>
        </is>
      </c>
      <c r="C53" s="53" t="inlineStr">
        <is>
          <t>E2</t>
        </is>
      </c>
      <c r="D53" s="53" t="inlineStr">
        <is>
          <t>Bands D–E · Leadership</t>
        </is>
      </c>
      <c r="E53" s="38" t="str">
        <f>'RB · Business Analysis'!F6</f>
        <v>H</v>
      </c>
      <c r="F53" s="38" t="str">
        <f>'RB · Business Analysis'!J6</f>
        <v>M</v>
      </c>
      <c r="G53" s="38" t="str">
        <f>'RB · Business Analysis'!N6</f>
        <v>M</v>
      </c>
      <c r="H53" s="38" t="str">
        <f>'RB · Business Analysis'!R6</f>
        <v>M</v>
      </c>
      <c r="I53" s="38" t="str">
        <f>'RB · Business Analysis'!V6</f>
        <v>L</v>
      </c>
      <c r="J53" s="38" t="str">
        <f>'RB · Business Analysis'!Z6</f>
        <v>L</v>
      </c>
      <c r="K53" s="38" t="str">
        <f>'RB · Business Analysis'!AD6</f>
        <v>L</v>
      </c>
    </row>
    <row r="54">
      <c r="A54" s="53" t="inlineStr">
        <is>
          <t>Business Analysis|E1|DE</t>
        </is>
      </c>
      <c r="B54" s="53" t="inlineStr">
        <is>
          <t>Business Analysis</t>
        </is>
      </c>
      <c r="C54" s="53" t="inlineStr">
        <is>
          <t>E1</t>
        </is>
      </c>
      <c r="D54" s="53" t="inlineStr">
        <is>
          <t>Bands D–E · Leadership</t>
        </is>
      </c>
      <c r="E54" s="38" t="str">
        <f>'RB · Business Analysis'!F7</f>
        <v>H</v>
      </c>
      <c r="F54" s="38" t="str">
        <f>'RB · Business Analysis'!J7</f>
        <v>M</v>
      </c>
      <c r="G54" s="38" t="str">
        <f>'RB · Business Analysis'!N7</f>
        <v>M</v>
      </c>
      <c r="H54" s="38" t="str">
        <f>'RB · Business Analysis'!R7</f>
        <v>M</v>
      </c>
      <c r="I54" s="38" t="str">
        <f>'RB · Business Analysis'!V7</f>
        <v>L</v>
      </c>
      <c r="J54" s="38" t="str">
        <f>'RB · Business Analysis'!Z7</f>
        <v>L</v>
      </c>
      <c r="K54" s="38" t="str">
        <f>'RB · Business Analysis'!AD7</f>
        <v>L</v>
      </c>
    </row>
    <row r="55">
      <c r="A55" s="53" t="inlineStr">
        <is>
          <t>Business Analysis|D2|DE</t>
        </is>
      </c>
      <c r="B55" s="53" t="inlineStr">
        <is>
          <t>Business Analysis</t>
        </is>
      </c>
      <c r="C55" s="53" t="inlineStr">
        <is>
          <t>D2</t>
        </is>
      </c>
      <c r="D55" s="53" t="inlineStr">
        <is>
          <t>Bands D–E · Leadership</t>
        </is>
      </c>
      <c r="E55" s="38" t="str">
        <f>'RB · Business Analysis'!F8</f>
        <v>H</v>
      </c>
      <c r="F55" s="38" t="str">
        <f>'RB · Business Analysis'!J8</f>
        <v>M</v>
      </c>
      <c r="G55" s="38" t="str">
        <f>'RB · Business Analysis'!N8</f>
        <v>M</v>
      </c>
      <c r="H55" s="38" t="str">
        <f>'RB · Business Analysis'!R8</f>
        <v>M</v>
      </c>
      <c r="I55" s="38" t="str">
        <f>'RB · Business Analysis'!V8</f>
        <v>L</v>
      </c>
      <c r="J55" s="38" t="str">
        <f>'RB · Business Analysis'!Z8</f>
        <v>L</v>
      </c>
      <c r="K55" s="38" t="str">
        <f>'RB · Business Analysis'!AD8</f>
        <v>L</v>
      </c>
    </row>
    <row r="56">
      <c r="A56" s="53" t="inlineStr">
        <is>
          <t>Business Analysis|D1|DE</t>
        </is>
      </c>
      <c r="B56" s="53" t="inlineStr">
        <is>
          <t>Business Analysis</t>
        </is>
      </c>
      <c r="C56" s="53" t="inlineStr">
        <is>
          <t>D1</t>
        </is>
      </c>
      <c r="D56" s="53" t="inlineStr">
        <is>
          <t>Bands D–E · Leadership</t>
        </is>
      </c>
      <c r="E56" s="38" t="str">
        <f>'RB · Business Analysis'!F9</f>
        <v>H</v>
      </c>
      <c r="F56" s="38" t="str">
        <f>'RB · Business Analysis'!J9</f>
        <v>M</v>
      </c>
      <c r="G56" s="38" t="str">
        <f>'RB · Business Analysis'!N9</f>
        <v>M</v>
      </c>
      <c r="H56" s="38" t="str">
        <f>'RB · Business Analysis'!R9</f>
        <v>M</v>
      </c>
      <c r="I56" s="38" t="str">
        <f>'RB · Business Analysis'!V9</f>
        <v>L</v>
      </c>
      <c r="J56" s="38" t="str">
        <f>'RB · Business Analysis'!Z9</f>
        <v>L</v>
      </c>
      <c r="K56" s="38" t="str">
        <f>'RB · Business Analysis'!AD9</f>
        <v>L</v>
      </c>
    </row>
    <row r="57">
      <c r="A57" s="53" t="inlineStr">
        <is>
          <t>Business Analysis|C+|C+</t>
        </is>
      </c>
      <c r="B57" s="53" t="inlineStr">
        <is>
          <t>Business Analysis</t>
        </is>
      </c>
      <c r="C57" s="53" t="inlineStr">
        <is>
          <t>C+</t>
        </is>
      </c>
      <c r="D57" s="53" t="inlineStr">
        <is>
          <t>C+ · Player-Coach</t>
        </is>
      </c>
      <c r="E57" s="38" t="str">
        <f>'RB · Business Analysis'!F10</f>
        <v>H</v>
      </c>
      <c r="F57" s="38" t="str">
        <f>'RB · Business Analysis'!J10</f>
        <v>M</v>
      </c>
      <c r="G57" s="38" t="str">
        <f>'RB · Business Analysis'!N10</f>
        <v>M</v>
      </c>
      <c r="H57" s="38" t="str">
        <f>'RB · Business Analysis'!R10</f>
        <v>M</v>
      </c>
      <c r="I57" s="38" t="str">
        <f>'RB · Business Analysis'!V10</f>
        <v>L</v>
      </c>
      <c r="J57" s="38" t="str">
        <f>'RB · Business Analysis'!Z10</f>
        <v>L</v>
      </c>
      <c r="K57" s="38" t="str">
        <f>'RB · Business Analysis'!AD10</f>
        <v>L</v>
      </c>
    </row>
    <row r="58">
      <c r="A58" s="53" t="inlineStr">
        <is>
          <t>Business Analysis|C2|C-M</t>
        </is>
      </c>
      <c r="B58" s="53" t="inlineStr">
        <is>
          <t>Business Analysis</t>
        </is>
      </c>
      <c r="C58" s="53" t="inlineStr">
        <is>
          <t>C2</t>
        </is>
      </c>
      <c r="D58" s="53" t="inlineStr">
        <is>
          <t>Band C · Head / manager</t>
        </is>
      </c>
      <c r="E58" s="38" t="str">
        <f>'RB · Business Analysis'!F11</f>
        <v>H</v>
      </c>
      <c r="F58" s="38" t="str">
        <f>'RB · Business Analysis'!J11</f>
        <v>M</v>
      </c>
      <c r="G58" s="38" t="str">
        <f>'RB · Business Analysis'!N11</f>
        <v>L</v>
      </c>
      <c r="H58" s="38" t="str">
        <f>'RB · Business Analysis'!R11</f>
        <v>M</v>
      </c>
      <c r="I58" s="38" t="str">
        <f>'RB · Business Analysis'!V11</f>
        <v>L</v>
      </c>
      <c r="J58" s="38" t="str">
        <f>'RB · Business Analysis'!Z11</f>
        <v>L</v>
      </c>
      <c r="K58" s="38" t="str">
        <f>'RB · Business Analysis'!AD11</f>
        <v>L</v>
      </c>
    </row>
    <row r="59">
      <c r="A59" s="53" t="inlineStr">
        <is>
          <t>Business Analysis|C2|C-IC</t>
        </is>
      </c>
      <c r="B59" s="53" t="inlineStr">
        <is>
          <t>Business Analysis</t>
        </is>
      </c>
      <c r="C59" s="53" t="inlineStr">
        <is>
          <t>C2</t>
        </is>
      </c>
      <c r="D59" s="53" t="inlineStr">
        <is>
          <t>Band C · Principal specialist</t>
        </is>
      </c>
      <c r="E59" s="38" t="str">
        <f>'RB · Business Analysis'!F12</f>
        <v>H</v>
      </c>
      <c r="F59" s="38" t="str">
        <f>'RB · Business Analysis'!J12</f>
        <v>M</v>
      </c>
      <c r="G59" s="38" t="str">
        <f>'RB · Business Analysis'!N12</f>
        <v>L</v>
      </c>
      <c r="H59" s="38" t="str">
        <f>'RB · Business Analysis'!R12</f>
        <v>L</v>
      </c>
      <c r="I59" s="38" t="str">
        <f>'RB · Business Analysis'!V12</f>
        <v>L</v>
      </c>
      <c r="J59" s="38" t="str">
        <f>'RB · Business Analysis'!Z12</f>
        <v>L</v>
      </c>
      <c r="K59" s="38" t="str">
        <f>'RB · Business Analysis'!AD12</f>
        <v>L</v>
      </c>
    </row>
    <row r="60">
      <c r="A60" s="53" t="inlineStr">
        <is>
          <t>Business Analysis|C1|C-M</t>
        </is>
      </c>
      <c r="B60" s="53" t="inlineStr">
        <is>
          <t>Business Analysis</t>
        </is>
      </c>
      <c r="C60" s="53" t="inlineStr">
        <is>
          <t>C1</t>
        </is>
      </c>
      <c r="D60" s="53" t="inlineStr">
        <is>
          <t>Band C · Head / manager</t>
        </is>
      </c>
      <c r="E60" s="38" t="str">
        <f>'RB · Business Analysis'!F13</f>
        <v>H</v>
      </c>
      <c r="F60" s="38" t="str">
        <f>'RB · Business Analysis'!J13</f>
        <v>M</v>
      </c>
      <c r="G60" s="38" t="str">
        <f>'RB · Business Analysis'!N13</f>
        <v>L</v>
      </c>
      <c r="H60" s="38" t="str">
        <f>'RB · Business Analysis'!R13</f>
        <v>M</v>
      </c>
      <c r="I60" s="38" t="str">
        <f>'RB · Business Analysis'!V13</f>
        <v>L</v>
      </c>
      <c r="J60" s="38" t="str">
        <f>'RB · Business Analysis'!Z13</f>
        <v>L</v>
      </c>
      <c r="K60" s="38" t="str">
        <f>'RB · Business Analysis'!AD13</f>
        <v>L</v>
      </c>
    </row>
    <row r="61">
      <c r="A61" s="53" t="inlineStr">
        <is>
          <t>Business Analysis|C1|C-IC</t>
        </is>
      </c>
      <c r="B61" s="53" t="inlineStr">
        <is>
          <t>Business Analysis</t>
        </is>
      </c>
      <c r="C61" s="53" t="inlineStr">
        <is>
          <t>C1</t>
        </is>
      </c>
      <c r="D61" s="53" t="inlineStr">
        <is>
          <t>Band C · Principal specialist</t>
        </is>
      </c>
      <c r="E61" s="38" t="str">
        <f>'RB · Business Analysis'!F14</f>
        <v>H</v>
      </c>
      <c r="F61" s="38" t="str">
        <f>'RB · Business Analysis'!J14</f>
        <v>M</v>
      </c>
      <c r="G61" s="38" t="str">
        <f>'RB · Business Analysis'!N14</f>
        <v>L</v>
      </c>
      <c r="H61" s="38" t="str">
        <f>'RB · Business Analysis'!R14</f>
        <v>L</v>
      </c>
      <c r="I61" s="38" t="str">
        <f>'RB · Business Analysis'!V14</f>
        <v>L</v>
      </c>
      <c r="J61" s="38" t="str">
        <f>'RB · Business Analysis'!Z14</f>
        <v>L</v>
      </c>
      <c r="K61" s="38" t="str">
        <f>'RB · Business Analysis'!AD14</f>
        <v>L</v>
      </c>
    </row>
    <row r="62">
      <c r="A62" s="53" t="inlineStr">
        <is>
          <t>Business Analysis|B+|B+</t>
        </is>
      </c>
      <c r="B62" s="53" t="inlineStr">
        <is>
          <t>Business Analysis</t>
        </is>
      </c>
      <c r="C62" s="53" t="inlineStr">
        <is>
          <t>B+</t>
        </is>
      </c>
      <c r="D62" s="53" t="inlineStr">
        <is>
          <t>B+ · Player-Coach</t>
        </is>
      </c>
      <c r="E62" s="38" t="str">
        <f>'RB · Business Analysis'!F15</f>
        <v>H</v>
      </c>
      <c r="F62" s="38" t="str">
        <f>'RB · Business Analysis'!J15</f>
        <v>M</v>
      </c>
      <c r="G62" s="38" t="str">
        <f>'RB · Business Analysis'!N15</f>
        <v>L</v>
      </c>
      <c r="H62" s="38" t="str">
        <f>'RB · Business Analysis'!R15</f>
        <v>M</v>
      </c>
      <c r="I62" s="38" t="str">
        <f>'RB · Business Analysis'!V15</f>
        <v>L</v>
      </c>
      <c r="J62" s="38" t="str">
        <f>'RB · Business Analysis'!Z15</f>
        <v>L</v>
      </c>
      <c r="K62" s="38" t="str">
        <f>'RB · Business Analysis'!AD15</f>
        <v>L</v>
      </c>
    </row>
    <row r="63">
      <c r="A63" s="53" t="inlineStr">
        <is>
          <t>Business Analysis|B3|B-M</t>
        </is>
      </c>
      <c r="B63" s="53" t="inlineStr">
        <is>
          <t>Business Analysis</t>
        </is>
      </c>
      <c r="C63" s="53" t="inlineStr">
        <is>
          <t>B3</t>
        </is>
      </c>
      <c r="D63" s="53" t="inlineStr">
        <is>
          <t>Band B · People Manager</t>
        </is>
      </c>
      <c r="E63" s="38" t="str">
        <f>'RB · Business Analysis'!F16</f>
        <v>H</v>
      </c>
      <c r="F63" s="38" t="str">
        <f>'RB · Business Analysis'!J16</f>
        <v>M</v>
      </c>
      <c r="G63" s="38" t="str">
        <f>'RB · Business Analysis'!N16</f>
        <v>L</v>
      </c>
      <c r="H63" s="38" t="str">
        <f>'RB · Business Analysis'!R16</f>
        <v>M</v>
      </c>
      <c r="I63" s="38" t="str">
        <f>'RB · Business Analysis'!V16</f>
        <v>L</v>
      </c>
      <c r="J63" s="38" t="str">
        <f>'RB · Business Analysis'!Z16</f>
        <v>L</v>
      </c>
      <c r="K63" s="38" t="str">
        <f>'RB · Business Analysis'!AD16</f>
        <v>L</v>
      </c>
    </row>
    <row r="64">
      <c r="A64" s="53" t="inlineStr">
        <is>
          <t>Business Analysis|B3|B-IC</t>
        </is>
      </c>
      <c r="B64" s="53" t="inlineStr">
        <is>
          <t>Business Analysis</t>
        </is>
      </c>
      <c r="C64" s="53" t="inlineStr">
        <is>
          <t>B3</t>
        </is>
      </c>
      <c r="D64" s="53" t="inlineStr">
        <is>
          <t>Band B · Specialist / POD Lead</t>
        </is>
      </c>
      <c r="E64" s="38" t="str">
        <f>'RB · Business Analysis'!F17</f>
        <v>H</v>
      </c>
      <c r="F64" s="38" t="str">
        <f>'RB · Business Analysis'!J17</f>
        <v>M</v>
      </c>
      <c r="G64" s="38" t="str">
        <f>'RB · Business Analysis'!N17</f>
        <v>L</v>
      </c>
      <c r="H64" s="38" t="str">
        <f>'RB · Business Analysis'!R17</f>
        <v>L</v>
      </c>
      <c r="I64" s="38" t="str">
        <f>'RB · Business Analysis'!V17</f>
        <v>L</v>
      </c>
      <c r="J64" s="38" t="str">
        <f>'RB · Business Analysis'!Z17</f>
        <v>L</v>
      </c>
      <c r="K64" s="38" t="str">
        <f>'RB · Business Analysis'!AD17</f>
        <v>L</v>
      </c>
    </row>
    <row r="65">
      <c r="A65" s="53" t="inlineStr">
        <is>
          <t>Business Analysis|B2|B-M</t>
        </is>
      </c>
      <c r="B65" s="53" t="inlineStr">
        <is>
          <t>Business Analysis</t>
        </is>
      </c>
      <c r="C65" s="53" t="inlineStr">
        <is>
          <t>B2</t>
        </is>
      </c>
      <c r="D65" s="53" t="inlineStr">
        <is>
          <t>Band B · People Manager</t>
        </is>
      </c>
      <c r="E65" s="38" t="str">
        <f>'RB · Business Analysis'!F18</f>
        <v>H</v>
      </c>
      <c r="F65" s="38" t="str">
        <f>'RB · Business Analysis'!J18</f>
        <v>M</v>
      </c>
      <c r="G65" s="38" t="str">
        <f>'RB · Business Analysis'!N18</f>
        <v>L</v>
      </c>
      <c r="H65" s="38" t="str">
        <f>'RB · Business Analysis'!R18</f>
        <v>M</v>
      </c>
      <c r="I65" s="38" t="str">
        <f>'RB · Business Analysis'!V18</f>
        <v>L</v>
      </c>
      <c r="J65" s="38" t="str">
        <f>'RB · Business Analysis'!Z18</f>
        <v>L</v>
      </c>
      <c r="K65" s="38" t="str">
        <f>'RB · Business Analysis'!AD18</f>
        <v>L</v>
      </c>
    </row>
    <row r="66">
      <c r="A66" s="53" t="inlineStr">
        <is>
          <t>Business Analysis|B2|B-IC</t>
        </is>
      </c>
      <c r="B66" s="53" t="inlineStr">
        <is>
          <t>Business Analysis</t>
        </is>
      </c>
      <c r="C66" s="53" t="inlineStr">
        <is>
          <t>B2</t>
        </is>
      </c>
      <c r="D66" s="53" t="inlineStr">
        <is>
          <t>Band B · Specialist / POD Lead</t>
        </is>
      </c>
      <c r="E66" s="38" t="str">
        <f>'RB · Business Analysis'!F19</f>
        <v>H</v>
      </c>
      <c r="F66" s="38" t="str">
        <f>'RB · Business Analysis'!J19</f>
        <v>M</v>
      </c>
      <c r="G66" s="38" t="str">
        <f>'RB · Business Analysis'!N19</f>
        <v>L</v>
      </c>
      <c r="H66" s="38" t="str">
        <f>'RB · Business Analysis'!R19</f>
        <v>L</v>
      </c>
      <c r="I66" s="38" t="str">
        <f>'RB · Business Analysis'!V19</f>
        <v>L</v>
      </c>
      <c r="J66" s="38" t="str">
        <f>'RB · Business Analysis'!Z19</f>
        <v>L</v>
      </c>
      <c r="K66" s="38" t="str">
        <f>'RB · Business Analysis'!AD19</f>
        <v>L</v>
      </c>
    </row>
    <row r="67">
      <c r="A67" s="53" t="inlineStr">
        <is>
          <t>Business Analysis|B1|B-M</t>
        </is>
      </c>
      <c r="B67" s="53" t="inlineStr">
        <is>
          <t>Business Analysis</t>
        </is>
      </c>
      <c r="C67" s="53" t="inlineStr">
        <is>
          <t>B1</t>
        </is>
      </c>
      <c r="D67" s="53" t="inlineStr">
        <is>
          <t>Band B · People Manager</t>
        </is>
      </c>
      <c r="E67" s="38" t="str">
        <f>'RB · Business Analysis'!F20</f>
        <v>H</v>
      </c>
      <c r="F67" s="38" t="str">
        <f>'RB · Business Analysis'!J20</f>
        <v>M</v>
      </c>
      <c r="G67" s="38" t="str">
        <f>'RB · Business Analysis'!N20</f>
        <v>L</v>
      </c>
      <c r="H67" s="38" t="str">
        <f>'RB · Business Analysis'!R20</f>
        <v>M</v>
      </c>
      <c r="I67" s="38" t="str">
        <f>'RB · Business Analysis'!V20</f>
        <v>L</v>
      </c>
      <c r="J67" s="38" t="str">
        <f>'RB · Business Analysis'!Z20</f>
        <v>L</v>
      </c>
      <c r="K67" s="38" t="str">
        <f>'RB · Business Analysis'!AD20</f>
        <v>L</v>
      </c>
    </row>
    <row r="68">
      <c r="A68" s="53" t="inlineStr">
        <is>
          <t>Business Analysis|B1|B-IC</t>
        </is>
      </c>
      <c r="B68" s="53" t="inlineStr">
        <is>
          <t>Business Analysis</t>
        </is>
      </c>
      <c r="C68" s="53" t="inlineStr">
        <is>
          <t>B1</t>
        </is>
      </c>
      <c r="D68" s="53" t="inlineStr">
        <is>
          <t>Band B · Specialist / POD Lead</t>
        </is>
      </c>
      <c r="E68" s="38" t="str">
        <f>'RB · Business Analysis'!F21</f>
        <v>H</v>
      </c>
      <c r="F68" s="38" t="str">
        <f>'RB · Business Analysis'!J21</f>
        <v>M</v>
      </c>
      <c r="G68" s="38" t="str">
        <f>'RB · Business Analysis'!N21</f>
        <v>L</v>
      </c>
      <c r="H68" s="38" t="str">
        <f>'RB · Business Analysis'!R21</f>
        <v>L</v>
      </c>
      <c r="I68" s="38" t="str">
        <f>'RB · Business Analysis'!V21</f>
        <v>L</v>
      </c>
      <c r="J68" s="38" t="str">
        <f>'RB · Business Analysis'!Z21</f>
        <v>L</v>
      </c>
      <c r="K68" s="38" t="str">
        <f>'RB · Business Analysis'!AD21</f>
        <v>L</v>
      </c>
    </row>
    <row r="69">
      <c r="A69" s="53" t="inlineStr">
        <is>
          <t>Business Analysis|A3|A</t>
        </is>
      </c>
      <c r="B69" s="53" t="inlineStr">
        <is>
          <t>Business Analysis</t>
        </is>
      </c>
      <c r="C69" s="53" t="inlineStr">
        <is>
          <t>A3</t>
        </is>
      </c>
      <c r="D69" s="53" t="inlineStr">
        <is>
          <t>Band A · all tracks</t>
        </is>
      </c>
      <c r="E69" s="38" t="str">
        <f>'RB · Business Analysis'!F22</f>
        <v>H</v>
      </c>
      <c r="F69" s="38" t="str">
        <f>'RB · Business Analysis'!J22</f>
        <v>M</v>
      </c>
      <c r="G69" s="38" t="str">
        <f>'RB · Business Analysis'!N22</f>
        <v>L</v>
      </c>
      <c r="H69" s="38" t="str">
        <f>'RB · Business Analysis'!R22</f>
        <v>L</v>
      </c>
      <c r="I69" s="38" t="str">
        <f>'RB · Business Analysis'!V22</f>
        <v>L</v>
      </c>
      <c r="J69" s="38" t="str">
        <f>'RB · Business Analysis'!Z22</f>
        <v>L</v>
      </c>
      <c r="K69" s="38" t="str">
        <f>'RB · Business Analysis'!AD22</f>
        <v>L</v>
      </c>
    </row>
    <row r="70">
      <c r="A70" s="53" t="inlineStr">
        <is>
          <t>Business Analysis|A2|A</t>
        </is>
      </c>
      <c r="B70" s="53" t="inlineStr">
        <is>
          <t>Business Analysis</t>
        </is>
      </c>
      <c r="C70" s="53" t="inlineStr">
        <is>
          <t>A2</t>
        </is>
      </c>
      <c r="D70" s="53" t="inlineStr">
        <is>
          <t>Band A · all tracks</t>
        </is>
      </c>
      <c r="E70" s="38" t="str">
        <f>'RB · Business Analysis'!F23</f>
        <v>H</v>
      </c>
      <c r="F70" s="38" t="str">
        <f>'RB · Business Analysis'!J23</f>
        <v>M</v>
      </c>
      <c r="G70" s="38" t="str">
        <f>'RB · Business Analysis'!N23</f>
        <v>L</v>
      </c>
      <c r="H70" s="38" t="str">
        <f>'RB · Business Analysis'!R23</f>
        <v>L</v>
      </c>
      <c r="I70" s="38" t="str">
        <f>'RB · Business Analysis'!V23</f>
        <v>L</v>
      </c>
      <c r="J70" s="38" t="str">
        <f>'RB · Business Analysis'!Z23</f>
        <v>L</v>
      </c>
      <c r="K70" s="38" t="str">
        <f>'RB · Business Analysis'!AD23</f>
        <v>L</v>
      </c>
    </row>
    <row r="71">
      <c r="A71" s="53" t="inlineStr">
        <is>
          <t>Business Analysis|A1|A</t>
        </is>
      </c>
      <c r="B71" s="53" t="inlineStr">
        <is>
          <t>Business Analysis</t>
        </is>
      </c>
      <c r="C71" s="53" t="inlineStr">
        <is>
          <t>A1</t>
        </is>
      </c>
      <c r="D71" s="53" t="inlineStr">
        <is>
          <t>Band A · all tracks</t>
        </is>
      </c>
      <c r="E71" s="38" t="str">
        <f>'RB · Business Analysis'!F24</f>
        <v>H</v>
      </c>
      <c r="F71" s="38" t="str">
        <f>'RB · Business Analysis'!J24</f>
        <v>M</v>
      </c>
      <c r="G71" s="38" t="str">
        <f>'RB · Business Analysis'!N24</f>
        <v>L</v>
      </c>
      <c r="H71" s="38" t="str">
        <f>'RB · Business Analysis'!R24</f>
        <v>L</v>
      </c>
      <c r="I71" s="38" t="str">
        <f>'RB · Business Analysis'!V24</f>
        <v>L</v>
      </c>
      <c r="J71" s="38" t="str">
        <f>'RB · Business Analysis'!Z24</f>
        <v>L</v>
      </c>
      <c r="K71" s="38" t="str">
        <f>'RB · Business Analysis'!AD24</f>
        <v>L</v>
      </c>
    </row>
    <row r="72">
      <c r="A72" s="53" t="inlineStr">
        <is>
          <t>Consulting &amp; Professional Services|E2|DE</t>
        </is>
      </c>
      <c r="B72" s="53" t="inlineStr">
        <is>
          <t>Consulting &amp; Professional Services</t>
        </is>
      </c>
      <c r="C72" s="53" t="inlineStr">
        <is>
          <t>E2</t>
        </is>
      </c>
      <c r="D72" s="53" t="inlineStr">
        <is>
          <t>Bands D–E · Leadership</t>
        </is>
      </c>
      <c r="E72" s="38" t="str">
        <f>'RB · Consulting &amp; Professional'!F6</f>
        <v>H</v>
      </c>
      <c r="F72" s="38" t="str">
        <f>'RB · Consulting &amp; Professional'!J6</f>
        <v>M</v>
      </c>
      <c r="G72" s="38" t="str">
        <f>'RB · Consulting &amp; Professional'!N6</f>
        <v>M</v>
      </c>
      <c r="H72" s="38" t="str">
        <f>'RB · Consulting &amp; Professional'!R6</f>
        <v>M</v>
      </c>
      <c r="I72" s="38" t="str">
        <f>'RB · Consulting &amp; Professional'!V6</f>
        <v>L</v>
      </c>
      <c r="J72" s="38" t="str">
        <f>'RB · Consulting &amp; Professional'!Z6</f>
        <v>L</v>
      </c>
      <c r="K72" s="38" t="str">
        <f>'RB · Consulting &amp; Professional'!AD6</f>
        <v>L</v>
      </c>
    </row>
    <row r="73">
      <c r="A73" s="53" t="inlineStr">
        <is>
          <t>Consulting &amp; Professional Services|E1|DE</t>
        </is>
      </c>
      <c r="B73" s="53" t="inlineStr">
        <is>
          <t>Consulting &amp; Professional Services</t>
        </is>
      </c>
      <c r="C73" s="53" t="inlineStr">
        <is>
          <t>E1</t>
        </is>
      </c>
      <c r="D73" s="53" t="inlineStr">
        <is>
          <t>Bands D–E · Leadership</t>
        </is>
      </c>
      <c r="E73" s="38" t="str">
        <f>'RB · Consulting &amp; Professional'!F7</f>
        <v>H</v>
      </c>
      <c r="F73" s="38" t="str">
        <f>'RB · Consulting &amp; Professional'!J7</f>
        <v>M</v>
      </c>
      <c r="G73" s="38" t="str">
        <f>'RB · Consulting &amp; Professional'!N7</f>
        <v>M</v>
      </c>
      <c r="H73" s="38" t="str">
        <f>'RB · Consulting &amp; Professional'!R7</f>
        <v>M</v>
      </c>
      <c r="I73" s="38" t="str">
        <f>'RB · Consulting &amp; Professional'!V7</f>
        <v>L</v>
      </c>
      <c r="J73" s="38" t="str">
        <f>'RB · Consulting &amp; Professional'!Z7</f>
        <v>L</v>
      </c>
      <c r="K73" s="38" t="str">
        <f>'RB · Consulting &amp; Professional'!AD7</f>
        <v>L</v>
      </c>
    </row>
    <row r="74">
      <c r="A74" s="53" t="inlineStr">
        <is>
          <t>Consulting &amp; Professional Services|D2|DE</t>
        </is>
      </c>
      <c r="B74" s="53" t="inlineStr">
        <is>
          <t>Consulting &amp; Professional Services</t>
        </is>
      </c>
      <c r="C74" s="53" t="inlineStr">
        <is>
          <t>D2</t>
        </is>
      </c>
      <c r="D74" s="53" t="inlineStr">
        <is>
          <t>Bands D–E · Leadership</t>
        </is>
      </c>
      <c r="E74" s="38" t="str">
        <f>'RB · Consulting &amp; Professional'!F8</f>
        <v>H</v>
      </c>
      <c r="F74" s="38" t="str">
        <f>'RB · Consulting &amp; Professional'!J8</f>
        <v>M</v>
      </c>
      <c r="G74" s="38" t="str">
        <f>'RB · Consulting &amp; Professional'!N8</f>
        <v>M</v>
      </c>
      <c r="H74" s="38" t="str">
        <f>'RB · Consulting &amp; Professional'!R8</f>
        <v>M</v>
      </c>
      <c r="I74" s="38" t="str">
        <f>'RB · Consulting &amp; Professional'!V8</f>
        <v>L</v>
      </c>
      <c r="J74" s="38" t="str">
        <f>'RB · Consulting &amp; Professional'!Z8</f>
        <v>L</v>
      </c>
      <c r="K74" s="38" t="str">
        <f>'RB · Consulting &amp; Professional'!AD8</f>
        <v>L</v>
      </c>
    </row>
    <row r="75">
      <c r="A75" s="53" t="inlineStr">
        <is>
          <t>Consulting &amp; Professional Services|D1|DE</t>
        </is>
      </c>
      <c r="B75" s="53" t="inlineStr">
        <is>
          <t>Consulting &amp; Professional Services</t>
        </is>
      </c>
      <c r="C75" s="53" t="inlineStr">
        <is>
          <t>D1</t>
        </is>
      </c>
      <c r="D75" s="53" t="inlineStr">
        <is>
          <t>Bands D–E · Leadership</t>
        </is>
      </c>
      <c r="E75" s="38" t="str">
        <f>'RB · Consulting &amp; Professional'!F9</f>
        <v>H</v>
      </c>
      <c r="F75" s="38" t="str">
        <f>'RB · Consulting &amp; Professional'!J9</f>
        <v>M</v>
      </c>
      <c r="G75" s="38" t="str">
        <f>'RB · Consulting &amp; Professional'!N9</f>
        <v>M</v>
      </c>
      <c r="H75" s="38" t="str">
        <f>'RB · Consulting &amp; Professional'!R9</f>
        <v>M</v>
      </c>
      <c r="I75" s="38" t="str">
        <f>'RB · Consulting &amp; Professional'!V9</f>
        <v>L</v>
      </c>
      <c r="J75" s="38" t="str">
        <f>'RB · Consulting &amp; Professional'!Z9</f>
        <v>L</v>
      </c>
      <c r="K75" s="38" t="str">
        <f>'RB · Consulting &amp; Professional'!AD9</f>
        <v>L</v>
      </c>
    </row>
    <row r="76">
      <c r="A76" s="53" t="inlineStr">
        <is>
          <t>Consulting &amp; Professional Services|C+|C+</t>
        </is>
      </c>
      <c r="B76" s="53" t="inlineStr">
        <is>
          <t>Consulting &amp; Professional Services</t>
        </is>
      </c>
      <c r="C76" s="53" t="inlineStr">
        <is>
          <t>C+</t>
        </is>
      </c>
      <c r="D76" s="53" t="inlineStr">
        <is>
          <t>C+ · Player-Coach</t>
        </is>
      </c>
      <c r="E76" s="38" t="str">
        <f>'RB · Consulting &amp; Professional'!F10</f>
        <v>H</v>
      </c>
      <c r="F76" s="38" t="str">
        <f>'RB · Consulting &amp; Professional'!J10</f>
        <v>M</v>
      </c>
      <c r="G76" s="38" t="str">
        <f>'RB · Consulting &amp; Professional'!N10</f>
        <v>M</v>
      </c>
      <c r="H76" s="38" t="str">
        <f>'RB · Consulting &amp; Professional'!R10</f>
        <v>M</v>
      </c>
      <c r="I76" s="38" t="str">
        <f>'RB · Consulting &amp; Professional'!V10</f>
        <v>L</v>
      </c>
      <c r="J76" s="38" t="str">
        <f>'RB · Consulting &amp; Professional'!Z10</f>
        <v>L</v>
      </c>
      <c r="K76" s="38" t="str">
        <f>'RB · Consulting &amp; Professional'!AD10</f>
        <v>L</v>
      </c>
    </row>
    <row r="77">
      <c r="A77" s="53" t="inlineStr">
        <is>
          <t>Consulting &amp; Professional Services|C2|C-M</t>
        </is>
      </c>
      <c r="B77" s="53" t="inlineStr">
        <is>
          <t>Consulting &amp; Professional Services</t>
        </is>
      </c>
      <c r="C77" s="53" t="inlineStr">
        <is>
          <t>C2</t>
        </is>
      </c>
      <c r="D77" s="53" t="inlineStr">
        <is>
          <t>Band C · Head / manager</t>
        </is>
      </c>
      <c r="E77" s="38" t="str">
        <f>'RB · Consulting &amp; Professional'!F11</f>
        <v>H</v>
      </c>
      <c r="F77" s="38" t="str">
        <f>'RB · Consulting &amp; Professional'!J11</f>
        <v>M</v>
      </c>
      <c r="G77" s="38" t="str">
        <f>'RB · Consulting &amp; Professional'!N11</f>
        <v>M</v>
      </c>
      <c r="H77" s="38" t="str">
        <f>'RB · Consulting &amp; Professional'!R11</f>
        <v>M</v>
      </c>
      <c r="I77" s="38" t="str">
        <f>'RB · Consulting &amp; Professional'!V11</f>
        <v>L</v>
      </c>
      <c r="J77" s="38" t="str">
        <f>'RB · Consulting &amp; Professional'!Z11</f>
        <v>L</v>
      </c>
      <c r="K77" s="38" t="str">
        <f>'RB · Consulting &amp; Professional'!AD11</f>
        <v>L</v>
      </c>
    </row>
    <row r="78">
      <c r="A78" s="53" t="inlineStr">
        <is>
          <t>Consulting &amp; Professional Services|C2|C-IC</t>
        </is>
      </c>
      <c r="B78" s="53" t="inlineStr">
        <is>
          <t>Consulting &amp; Professional Services</t>
        </is>
      </c>
      <c r="C78" s="53" t="inlineStr">
        <is>
          <t>C2</t>
        </is>
      </c>
      <c r="D78" s="53" t="inlineStr">
        <is>
          <t>Band C · Principal specialist</t>
        </is>
      </c>
      <c r="E78" s="38" t="str">
        <f>'RB · Consulting &amp; Professional'!F12</f>
        <v>H</v>
      </c>
      <c r="F78" s="38" t="str">
        <f>'RB · Consulting &amp; Professional'!J12</f>
        <v>M</v>
      </c>
      <c r="G78" s="38" t="str">
        <f>'RB · Consulting &amp; Professional'!N12</f>
        <v>M</v>
      </c>
      <c r="H78" s="38" t="str">
        <f>'RB · Consulting &amp; Professional'!R12</f>
        <v>L</v>
      </c>
      <c r="I78" s="38" t="str">
        <f>'RB · Consulting &amp; Professional'!V12</f>
        <v>L</v>
      </c>
      <c r="J78" s="38" t="str">
        <f>'RB · Consulting &amp; Professional'!Z12</f>
        <v>L</v>
      </c>
      <c r="K78" s="38" t="str">
        <f>'RB · Consulting &amp; Professional'!AD12</f>
        <v>L</v>
      </c>
    </row>
    <row r="79">
      <c r="A79" s="53" t="inlineStr">
        <is>
          <t>Consulting &amp; Professional Services|C1|C-M</t>
        </is>
      </c>
      <c r="B79" s="53" t="inlineStr">
        <is>
          <t>Consulting &amp; Professional Services</t>
        </is>
      </c>
      <c r="C79" s="53" t="inlineStr">
        <is>
          <t>C1</t>
        </is>
      </c>
      <c r="D79" s="53" t="inlineStr">
        <is>
          <t>Band C · Head / manager</t>
        </is>
      </c>
      <c r="E79" s="38" t="str">
        <f>'RB · Consulting &amp; Professional'!F13</f>
        <v>H</v>
      </c>
      <c r="F79" s="38" t="str">
        <f>'RB · Consulting &amp; Professional'!J13</f>
        <v>M</v>
      </c>
      <c r="G79" s="38" t="str">
        <f>'RB · Consulting &amp; Professional'!N13</f>
        <v>M</v>
      </c>
      <c r="H79" s="38" t="str">
        <f>'RB · Consulting &amp; Professional'!R13</f>
        <v>M</v>
      </c>
      <c r="I79" s="38" t="str">
        <f>'RB · Consulting &amp; Professional'!V13</f>
        <v>L</v>
      </c>
      <c r="J79" s="38" t="str">
        <f>'RB · Consulting &amp; Professional'!Z13</f>
        <v>L</v>
      </c>
      <c r="K79" s="38" t="str">
        <f>'RB · Consulting &amp; Professional'!AD13</f>
        <v>L</v>
      </c>
    </row>
    <row r="80">
      <c r="A80" s="53" t="inlineStr">
        <is>
          <t>Consulting &amp; Professional Services|C1|C-IC</t>
        </is>
      </c>
      <c r="B80" s="53" t="inlineStr">
        <is>
          <t>Consulting &amp; Professional Services</t>
        </is>
      </c>
      <c r="C80" s="53" t="inlineStr">
        <is>
          <t>C1</t>
        </is>
      </c>
      <c r="D80" s="53" t="inlineStr">
        <is>
          <t>Band C · Principal specialist</t>
        </is>
      </c>
      <c r="E80" s="38" t="str">
        <f>'RB · Consulting &amp; Professional'!F14</f>
        <v>H</v>
      </c>
      <c r="F80" s="38" t="str">
        <f>'RB · Consulting &amp; Professional'!J14</f>
        <v>M</v>
      </c>
      <c r="G80" s="38" t="str">
        <f>'RB · Consulting &amp; Professional'!N14</f>
        <v>M</v>
      </c>
      <c r="H80" s="38" t="str">
        <f>'RB · Consulting &amp; Professional'!R14</f>
        <v>L</v>
      </c>
      <c r="I80" s="38" t="str">
        <f>'RB · Consulting &amp; Professional'!V14</f>
        <v>L</v>
      </c>
      <c r="J80" s="38" t="str">
        <f>'RB · Consulting &amp; Professional'!Z14</f>
        <v>L</v>
      </c>
      <c r="K80" s="38" t="str">
        <f>'RB · Consulting &amp; Professional'!AD14</f>
        <v>L</v>
      </c>
    </row>
    <row r="81">
      <c r="A81" s="53" t="inlineStr">
        <is>
          <t>Consulting &amp; Professional Services|B+|B+</t>
        </is>
      </c>
      <c r="B81" s="53" t="inlineStr">
        <is>
          <t>Consulting &amp; Professional Services</t>
        </is>
      </c>
      <c r="C81" s="53" t="inlineStr">
        <is>
          <t>B+</t>
        </is>
      </c>
      <c r="D81" s="53" t="inlineStr">
        <is>
          <t>B+ · Player-Coach</t>
        </is>
      </c>
      <c r="E81" s="38" t="str">
        <f>'RB · Consulting &amp; Professional'!F15</f>
        <v>H</v>
      </c>
      <c r="F81" s="38" t="str">
        <f>'RB · Consulting &amp; Professional'!J15</f>
        <v>M</v>
      </c>
      <c r="G81" s="38" t="str">
        <f>'RB · Consulting &amp; Professional'!N15</f>
        <v>M</v>
      </c>
      <c r="H81" s="38" t="str">
        <f>'RB · Consulting &amp; Professional'!R15</f>
        <v>M</v>
      </c>
      <c r="I81" s="38" t="str">
        <f>'RB · Consulting &amp; Professional'!V15</f>
        <v>L</v>
      </c>
      <c r="J81" s="38" t="str">
        <f>'RB · Consulting &amp; Professional'!Z15</f>
        <v>L</v>
      </c>
      <c r="K81" s="38" t="str">
        <f>'RB · Consulting &amp; Professional'!AD15</f>
        <v>L</v>
      </c>
    </row>
    <row r="82">
      <c r="A82" s="53" t="inlineStr">
        <is>
          <t>Consulting &amp; Professional Services|B3|B-M</t>
        </is>
      </c>
      <c r="B82" s="53" t="inlineStr">
        <is>
          <t>Consulting &amp; Professional Services</t>
        </is>
      </c>
      <c r="C82" s="53" t="inlineStr">
        <is>
          <t>B3</t>
        </is>
      </c>
      <c r="D82" s="53" t="inlineStr">
        <is>
          <t>Band B · People Manager</t>
        </is>
      </c>
      <c r="E82" s="38" t="str">
        <f>'RB · Consulting &amp; Professional'!F16</f>
        <v>H</v>
      </c>
      <c r="F82" s="38" t="str">
        <f>'RB · Consulting &amp; Professional'!J16</f>
        <v>M</v>
      </c>
      <c r="G82" s="38" t="str">
        <f>'RB · Consulting &amp; Professional'!N16</f>
        <v>M</v>
      </c>
      <c r="H82" s="38" t="str">
        <f>'RB · Consulting &amp; Professional'!R16</f>
        <v>M</v>
      </c>
      <c r="I82" s="38" t="str">
        <f>'RB · Consulting &amp; Professional'!V16</f>
        <v>L</v>
      </c>
      <c r="J82" s="38" t="str">
        <f>'RB · Consulting &amp; Professional'!Z16</f>
        <v>L</v>
      </c>
      <c r="K82" s="38" t="str">
        <f>'RB · Consulting &amp; Professional'!AD16</f>
        <v>L</v>
      </c>
    </row>
    <row r="83">
      <c r="A83" s="53" t="inlineStr">
        <is>
          <t>Consulting &amp; Professional Services|B3|B-IC</t>
        </is>
      </c>
      <c r="B83" s="53" t="inlineStr">
        <is>
          <t>Consulting &amp; Professional Services</t>
        </is>
      </c>
      <c r="C83" s="53" t="inlineStr">
        <is>
          <t>B3</t>
        </is>
      </c>
      <c r="D83" s="53" t="inlineStr">
        <is>
          <t>Band B · Specialist / POD Lead</t>
        </is>
      </c>
      <c r="E83" s="38" t="str">
        <f>'RB · Consulting &amp; Professional'!F17</f>
        <v>H</v>
      </c>
      <c r="F83" s="38" t="str">
        <f>'RB · Consulting &amp; Professional'!J17</f>
        <v>M</v>
      </c>
      <c r="G83" s="38" t="str">
        <f>'RB · Consulting &amp; Professional'!N17</f>
        <v>M</v>
      </c>
      <c r="H83" s="38" t="str">
        <f>'RB · Consulting &amp; Professional'!R17</f>
        <v>L</v>
      </c>
      <c r="I83" s="38" t="str">
        <f>'RB · Consulting &amp; Professional'!V17</f>
        <v>L</v>
      </c>
      <c r="J83" s="38" t="str">
        <f>'RB · Consulting &amp; Professional'!Z17</f>
        <v>L</v>
      </c>
      <c r="K83" s="38" t="str">
        <f>'RB · Consulting &amp; Professional'!AD17</f>
        <v>L</v>
      </c>
    </row>
    <row r="84">
      <c r="A84" s="53" t="inlineStr">
        <is>
          <t>Consulting &amp; Professional Services|B2|B-M</t>
        </is>
      </c>
      <c r="B84" s="53" t="inlineStr">
        <is>
          <t>Consulting &amp; Professional Services</t>
        </is>
      </c>
      <c r="C84" s="53" t="inlineStr">
        <is>
          <t>B2</t>
        </is>
      </c>
      <c r="D84" s="53" t="inlineStr">
        <is>
          <t>Band B · People Manager</t>
        </is>
      </c>
      <c r="E84" s="38" t="str">
        <f>'RB · Consulting &amp; Professional'!F18</f>
        <v>H</v>
      </c>
      <c r="F84" s="38" t="str">
        <f>'RB · Consulting &amp; Professional'!J18</f>
        <v>M</v>
      </c>
      <c r="G84" s="38" t="str">
        <f>'RB · Consulting &amp; Professional'!N18</f>
        <v>M</v>
      </c>
      <c r="H84" s="38" t="str">
        <f>'RB · Consulting &amp; Professional'!R18</f>
        <v>M</v>
      </c>
      <c r="I84" s="38" t="str">
        <f>'RB · Consulting &amp; Professional'!V18</f>
        <v>L</v>
      </c>
      <c r="J84" s="38" t="str">
        <f>'RB · Consulting &amp; Professional'!Z18</f>
        <v>L</v>
      </c>
      <c r="K84" s="38" t="str">
        <f>'RB · Consulting &amp; Professional'!AD18</f>
        <v>L</v>
      </c>
    </row>
    <row r="85">
      <c r="A85" s="53" t="inlineStr">
        <is>
          <t>Consulting &amp; Professional Services|B2|B-IC</t>
        </is>
      </c>
      <c r="B85" s="53" t="inlineStr">
        <is>
          <t>Consulting &amp; Professional Services</t>
        </is>
      </c>
      <c r="C85" s="53" t="inlineStr">
        <is>
          <t>B2</t>
        </is>
      </c>
      <c r="D85" s="53" t="inlineStr">
        <is>
          <t>Band B · Specialist / POD Lead</t>
        </is>
      </c>
      <c r="E85" s="38" t="str">
        <f>'RB · Consulting &amp; Professional'!F19</f>
        <v>H</v>
      </c>
      <c r="F85" s="38" t="str">
        <f>'RB · Consulting &amp; Professional'!J19</f>
        <v>M</v>
      </c>
      <c r="G85" s="38" t="str">
        <f>'RB · Consulting &amp; Professional'!N19</f>
        <v>M</v>
      </c>
      <c r="H85" s="38" t="str">
        <f>'RB · Consulting &amp; Professional'!R19</f>
        <v>L</v>
      </c>
      <c r="I85" s="38" t="str">
        <f>'RB · Consulting &amp; Professional'!V19</f>
        <v>L</v>
      </c>
      <c r="J85" s="38" t="str">
        <f>'RB · Consulting &amp; Professional'!Z19</f>
        <v>L</v>
      </c>
      <c r="K85" s="38" t="str">
        <f>'RB · Consulting &amp; Professional'!AD19</f>
        <v>L</v>
      </c>
    </row>
    <row r="86">
      <c r="A86" s="53" t="inlineStr">
        <is>
          <t>Consulting &amp; Professional Services|B1|B-M</t>
        </is>
      </c>
      <c r="B86" s="53" t="inlineStr">
        <is>
          <t>Consulting &amp; Professional Services</t>
        </is>
      </c>
      <c r="C86" s="53" t="inlineStr">
        <is>
          <t>B1</t>
        </is>
      </c>
      <c r="D86" s="53" t="inlineStr">
        <is>
          <t>Band B · People Manager</t>
        </is>
      </c>
      <c r="E86" s="38" t="str">
        <f>'RB · Consulting &amp; Professional'!F20</f>
        <v>H</v>
      </c>
      <c r="F86" s="38" t="str">
        <f>'RB · Consulting &amp; Professional'!J20</f>
        <v>M</v>
      </c>
      <c r="G86" s="38" t="str">
        <f>'RB · Consulting &amp; Professional'!N20</f>
        <v>M</v>
      </c>
      <c r="H86" s="38" t="str">
        <f>'RB · Consulting &amp; Professional'!R20</f>
        <v>M</v>
      </c>
      <c r="I86" s="38" t="str">
        <f>'RB · Consulting &amp; Professional'!V20</f>
        <v>L</v>
      </c>
      <c r="J86" s="38" t="str">
        <f>'RB · Consulting &amp; Professional'!Z20</f>
        <v>L</v>
      </c>
      <c r="K86" s="38" t="str">
        <f>'RB · Consulting &amp; Professional'!AD20</f>
        <v>L</v>
      </c>
    </row>
    <row r="87">
      <c r="A87" s="53" t="inlineStr">
        <is>
          <t>Consulting &amp; Professional Services|B1|B-IC</t>
        </is>
      </c>
      <c r="B87" s="53" t="inlineStr">
        <is>
          <t>Consulting &amp; Professional Services</t>
        </is>
      </c>
      <c r="C87" s="53" t="inlineStr">
        <is>
          <t>B1</t>
        </is>
      </c>
      <c r="D87" s="53" t="inlineStr">
        <is>
          <t>Band B · Specialist / POD Lead</t>
        </is>
      </c>
      <c r="E87" s="38" t="str">
        <f>'RB · Consulting &amp; Professional'!F21</f>
        <v>H</v>
      </c>
      <c r="F87" s="38" t="str">
        <f>'RB · Consulting &amp; Professional'!J21</f>
        <v>M</v>
      </c>
      <c r="G87" s="38" t="str">
        <f>'RB · Consulting &amp; Professional'!N21</f>
        <v>M</v>
      </c>
      <c r="H87" s="38" t="str">
        <f>'RB · Consulting &amp; Professional'!R21</f>
        <v>L</v>
      </c>
      <c r="I87" s="38" t="str">
        <f>'RB · Consulting &amp; Professional'!V21</f>
        <v>L</v>
      </c>
      <c r="J87" s="38" t="str">
        <f>'RB · Consulting &amp; Professional'!Z21</f>
        <v>L</v>
      </c>
      <c r="K87" s="38" t="str">
        <f>'RB · Consulting &amp; Professional'!AD21</f>
        <v>L</v>
      </c>
    </row>
    <row r="88">
      <c r="A88" s="53" t="inlineStr">
        <is>
          <t>Consulting &amp; Professional Services|A3|A</t>
        </is>
      </c>
      <c r="B88" s="53" t="inlineStr">
        <is>
          <t>Consulting &amp; Professional Services</t>
        </is>
      </c>
      <c r="C88" s="53" t="inlineStr">
        <is>
          <t>A3</t>
        </is>
      </c>
      <c r="D88" s="53" t="inlineStr">
        <is>
          <t>Band A · all tracks</t>
        </is>
      </c>
      <c r="E88" s="38" t="str">
        <f>'RB · Consulting &amp; Professional'!F22</f>
        <v>H</v>
      </c>
      <c r="F88" s="38" t="str">
        <f>'RB · Consulting &amp; Professional'!J22</f>
        <v>M</v>
      </c>
      <c r="G88" s="38" t="str">
        <f>'RB · Consulting &amp; Professional'!N22</f>
        <v>M</v>
      </c>
      <c r="H88" s="38" t="str">
        <f>'RB · Consulting &amp; Professional'!R22</f>
        <v>L</v>
      </c>
      <c r="I88" s="38" t="str">
        <f>'RB · Consulting &amp; Professional'!V22</f>
        <v>L</v>
      </c>
      <c r="J88" s="38" t="str">
        <f>'RB · Consulting &amp; Professional'!Z22</f>
        <v>L</v>
      </c>
      <c r="K88" s="38" t="str">
        <f>'RB · Consulting &amp; Professional'!AD22</f>
        <v>L</v>
      </c>
    </row>
    <row r="89">
      <c r="A89" s="53" t="inlineStr">
        <is>
          <t>Consulting &amp; Professional Services|A2|A</t>
        </is>
      </c>
      <c r="B89" s="53" t="inlineStr">
        <is>
          <t>Consulting &amp; Professional Services</t>
        </is>
      </c>
      <c r="C89" s="53" t="inlineStr">
        <is>
          <t>A2</t>
        </is>
      </c>
      <c r="D89" s="53" t="inlineStr">
        <is>
          <t>Band A · all tracks</t>
        </is>
      </c>
      <c r="E89" s="38" t="str">
        <f>'RB · Consulting &amp; Professional'!F23</f>
        <v>H</v>
      </c>
      <c r="F89" s="38" t="str">
        <f>'RB · Consulting &amp; Professional'!J23</f>
        <v>M</v>
      </c>
      <c r="G89" s="38" t="str">
        <f>'RB · Consulting &amp; Professional'!N23</f>
        <v>M</v>
      </c>
      <c r="H89" s="38" t="str">
        <f>'RB · Consulting &amp; Professional'!R23</f>
        <v>L</v>
      </c>
      <c r="I89" s="38" t="str">
        <f>'RB · Consulting &amp; Professional'!V23</f>
        <v>L</v>
      </c>
      <c r="J89" s="38" t="str">
        <f>'RB · Consulting &amp; Professional'!Z23</f>
        <v>L</v>
      </c>
      <c r="K89" s="38" t="str">
        <f>'RB · Consulting &amp; Professional'!AD23</f>
        <v>L</v>
      </c>
    </row>
    <row r="90">
      <c r="A90" s="53" t="inlineStr">
        <is>
          <t>Consulting &amp; Professional Services|A1|A</t>
        </is>
      </c>
      <c r="B90" s="53" t="inlineStr">
        <is>
          <t>Consulting &amp; Professional Services</t>
        </is>
      </c>
      <c r="C90" s="53" t="inlineStr">
        <is>
          <t>A1</t>
        </is>
      </c>
      <c r="D90" s="53" t="inlineStr">
        <is>
          <t>Band A · all tracks</t>
        </is>
      </c>
      <c r="E90" s="38" t="str">
        <f>'RB · Consulting &amp; Professional'!F24</f>
        <v>H</v>
      </c>
      <c r="F90" s="38" t="str">
        <f>'RB · Consulting &amp; Professional'!J24</f>
        <v>M</v>
      </c>
      <c r="G90" s="38" t="str">
        <f>'RB · Consulting &amp; Professional'!N24</f>
        <v>M</v>
      </c>
      <c r="H90" s="38" t="str">
        <f>'RB · Consulting &amp; Professional'!R24</f>
        <v>L</v>
      </c>
      <c r="I90" s="38" t="str">
        <f>'RB · Consulting &amp; Professional'!V24</f>
        <v>L</v>
      </c>
      <c r="J90" s="38" t="str">
        <f>'RB · Consulting &amp; Professional'!Z24</f>
        <v>L</v>
      </c>
      <c r="K90" s="38" t="str">
        <f>'RB · Consulting &amp; Professional'!AD24</f>
        <v>L</v>
      </c>
    </row>
    <row r="91">
      <c r="A91" s="53" t="inlineStr">
        <is>
          <t>Customer Success &amp; Support|E2|DE</t>
        </is>
      </c>
      <c r="B91" s="53" t="inlineStr">
        <is>
          <t>Customer Success &amp; Support</t>
        </is>
      </c>
      <c r="C91" s="53" t="inlineStr">
        <is>
          <t>E2</t>
        </is>
      </c>
      <c r="D91" s="53" t="inlineStr">
        <is>
          <t>Bands D–E · Leadership</t>
        </is>
      </c>
      <c r="E91" s="38" t="str">
        <f>'RB · Customer Success &amp; Support'!F6</f>
        <v>H</v>
      </c>
      <c r="F91" s="38" t="str">
        <f>'RB · Customer Success &amp; Support'!J6</f>
        <v>M</v>
      </c>
      <c r="G91" s="38" t="str">
        <f>'RB · Customer Success &amp; Support'!N6</f>
        <v>M</v>
      </c>
      <c r="H91" s="38" t="str">
        <f>'RB · Customer Success &amp; Support'!R6</f>
        <v>M</v>
      </c>
      <c r="I91" s="38" t="str">
        <f>'RB · Customer Success &amp; Support'!V6</f>
        <v>L</v>
      </c>
      <c r="J91" s="38" t="str">
        <f>'RB · Customer Success &amp; Support'!Z6</f>
        <v>L</v>
      </c>
      <c r="K91" s="38" t="str">
        <f>'RB · Customer Success &amp; Support'!AD6</f>
        <v>L</v>
      </c>
    </row>
    <row r="92">
      <c r="A92" s="53" t="inlineStr">
        <is>
          <t>Customer Success &amp; Support|E1|DE</t>
        </is>
      </c>
      <c r="B92" s="53" t="inlineStr">
        <is>
          <t>Customer Success &amp; Support</t>
        </is>
      </c>
      <c r="C92" s="53" t="inlineStr">
        <is>
          <t>E1</t>
        </is>
      </c>
      <c r="D92" s="53" t="inlineStr">
        <is>
          <t>Bands D–E · Leadership</t>
        </is>
      </c>
      <c r="E92" s="38" t="str">
        <f>'RB · Customer Success &amp; Support'!F7</f>
        <v>H</v>
      </c>
      <c r="F92" s="38" t="str">
        <f>'RB · Customer Success &amp; Support'!J7</f>
        <v>M</v>
      </c>
      <c r="G92" s="38" t="str">
        <f>'RB · Customer Success &amp; Support'!N7</f>
        <v>M</v>
      </c>
      <c r="H92" s="38" t="str">
        <f>'RB · Customer Success &amp; Support'!R7</f>
        <v>M</v>
      </c>
      <c r="I92" s="38" t="str">
        <f>'RB · Customer Success &amp; Support'!V7</f>
        <v>L</v>
      </c>
      <c r="J92" s="38" t="str">
        <f>'RB · Customer Success &amp; Support'!Z7</f>
        <v>L</v>
      </c>
      <c r="K92" s="38" t="str">
        <f>'RB · Customer Success &amp; Support'!AD7</f>
        <v>L</v>
      </c>
    </row>
    <row r="93">
      <c r="A93" s="53" t="inlineStr">
        <is>
          <t>Customer Success &amp; Support|D2|DE</t>
        </is>
      </c>
      <c r="B93" s="53" t="inlineStr">
        <is>
          <t>Customer Success &amp; Support</t>
        </is>
      </c>
      <c r="C93" s="53" t="inlineStr">
        <is>
          <t>D2</t>
        </is>
      </c>
      <c r="D93" s="53" t="inlineStr">
        <is>
          <t>Bands D–E · Leadership</t>
        </is>
      </c>
      <c r="E93" s="38" t="str">
        <f>'RB · Customer Success &amp; Support'!F8</f>
        <v>H</v>
      </c>
      <c r="F93" s="38" t="str">
        <f>'RB · Customer Success &amp; Support'!J8</f>
        <v>M</v>
      </c>
      <c r="G93" s="38" t="str">
        <f>'RB · Customer Success &amp; Support'!N8</f>
        <v>M</v>
      </c>
      <c r="H93" s="38" t="str">
        <f>'RB · Customer Success &amp; Support'!R8</f>
        <v>M</v>
      </c>
      <c r="I93" s="38" t="str">
        <f>'RB · Customer Success &amp; Support'!V8</f>
        <v>L</v>
      </c>
      <c r="J93" s="38" t="str">
        <f>'RB · Customer Success &amp; Support'!Z8</f>
        <v>L</v>
      </c>
      <c r="K93" s="38" t="str">
        <f>'RB · Customer Success &amp; Support'!AD8</f>
        <v>L</v>
      </c>
    </row>
    <row r="94">
      <c r="A94" s="53" t="inlineStr">
        <is>
          <t>Customer Success &amp; Support|D1|DE</t>
        </is>
      </c>
      <c r="B94" s="53" t="inlineStr">
        <is>
          <t>Customer Success &amp; Support</t>
        </is>
      </c>
      <c r="C94" s="53" t="inlineStr">
        <is>
          <t>D1</t>
        </is>
      </c>
      <c r="D94" s="53" t="inlineStr">
        <is>
          <t>Bands D–E · Leadership</t>
        </is>
      </c>
      <c r="E94" s="38" t="str">
        <f>'RB · Customer Success &amp; Support'!F9</f>
        <v>H</v>
      </c>
      <c r="F94" s="38" t="str">
        <f>'RB · Customer Success &amp; Support'!J9</f>
        <v>M</v>
      </c>
      <c r="G94" s="38" t="str">
        <f>'RB · Customer Success &amp; Support'!N9</f>
        <v>M</v>
      </c>
      <c r="H94" s="38" t="str">
        <f>'RB · Customer Success &amp; Support'!R9</f>
        <v>M</v>
      </c>
      <c r="I94" s="38" t="str">
        <f>'RB · Customer Success &amp; Support'!V9</f>
        <v>L</v>
      </c>
      <c r="J94" s="38" t="str">
        <f>'RB · Customer Success &amp; Support'!Z9</f>
        <v>L</v>
      </c>
      <c r="K94" s="38" t="str">
        <f>'RB · Customer Success &amp; Support'!AD9</f>
        <v>L</v>
      </c>
    </row>
    <row r="95">
      <c r="A95" s="53" t="inlineStr">
        <is>
          <t>Customer Success &amp; Support|C+|C+</t>
        </is>
      </c>
      <c r="B95" s="53" t="inlineStr">
        <is>
          <t>Customer Success &amp; Support</t>
        </is>
      </c>
      <c r="C95" s="53" t="inlineStr">
        <is>
          <t>C+</t>
        </is>
      </c>
      <c r="D95" s="53" t="inlineStr">
        <is>
          <t>C+ · Player-Coach</t>
        </is>
      </c>
      <c r="E95" s="38" t="str">
        <f>'RB · Customer Success &amp; Support'!F10</f>
        <v>H</v>
      </c>
      <c r="F95" s="38" t="str">
        <f>'RB · Customer Success &amp; Support'!J10</f>
        <v>M</v>
      </c>
      <c r="G95" s="38" t="str">
        <f>'RB · Customer Success &amp; Support'!N10</f>
        <v>M</v>
      </c>
      <c r="H95" s="38" t="str">
        <f>'RB · Customer Success &amp; Support'!R10</f>
        <v>M</v>
      </c>
      <c r="I95" s="38" t="str">
        <f>'RB · Customer Success &amp; Support'!V10</f>
        <v>L</v>
      </c>
      <c r="J95" s="38" t="str">
        <f>'RB · Customer Success &amp; Support'!Z10</f>
        <v>L</v>
      </c>
      <c r="K95" s="38" t="str">
        <f>'RB · Customer Success &amp; Support'!AD10</f>
        <v>L</v>
      </c>
    </row>
    <row r="96">
      <c r="A96" s="53" t="inlineStr">
        <is>
          <t>Customer Success &amp; Support|C2|C-M</t>
        </is>
      </c>
      <c r="B96" s="53" t="inlineStr">
        <is>
          <t>Customer Success &amp; Support</t>
        </is>
      </c>
      <c r="C96" s="53" t="inlineStr">
        <is>
          <t>C2</t>
        </is>
      </c>
      <c r="D96" s="53" t="inlineStr">
        <is>
          <t>Band C · Head / manager</t>
        </is>
      </c>
      <c r="E96" s="38" t="str">
        <f>'RB · Customer Success &amp; Support'!F11</f>
        <v>H</v>
      </c>
      <c r="F96" s="38" t="str">
        <f>'RB · Customer Success &amp; Support'!J11</f>
        <v>M</v>
      </c>
      <c r="G96" s="38" t="str">
        <f>'RB · Customer Success &amp; Support'!N11</f>
        <v>M</v>
      </c>
      <c r="H96" s="38" t="str">
        <f>'RB · Customer Success &amp; Support'!R11</f>
        <v>M</v>
      </c>
      <c r="I96" s="38" t="str">
        <f>'RB · Customer Success &amp; Support'!V11</f>
        <v>M</v>
      </c>
      <c r="J96" s="38" t="str">
        <f>'RB · Customer Success &amp; Support'!Z11</f>
        <v>L</v>
      </c>
      <c r="K96" s="38" t="str">
        <f>'RB · Customer Success &amp; Support'!AD11</f>
        <v>L</v>
      </c>
    </row>
    <row r="97">
      <c r="A97" s="53" t="inlineStr">
        <is>
          <t>Customer Success &amp; Support|C2|C-IC</t>
        </is>
      </c>
      <c r="B97" s="53" t="inlineStr">
        <is>
          <t>Customer Success &amp; Support</t>
        </is>
      </c>
      <c r="C97" s="53" t="inlineStr">
        <is>
          <t>C2</t>
        </is>
      </c>
      <c r="D97" s="53" t="inlineStr">
        <is>
          <t>Band C · Principal specialist</t>
        </is>
      </c>
      <c r="E97" s="38" t="str">
        <f>'RB · Customer Success &amp; Support'!F12</f>
        <v>H</v>
      </c>
      <c r="F97" s="38" t="str">
        <f>'RB · Customer Success &amp; Support'!J12</f>
        <v>M</v>
      </c>
      <c r="G97" s="38" t="str">
        <f>'RB · Customer Success &amp; Support'!N12</f>
        <v>M</v>
      </c>
      <c r="H97" s="38" t="str">
        <f>'RB · Customer Success &amp; Support'!R12</f>
        <v>L</v>
      </c>
      <c r="I97" s="38" t="str">
        <f>'RB · Customer Success &amp; Support'!V12</f>
        <v>M</v>
      </c>
      <c r="J97" s="38" t="str">
        <f>'RB · Customer Success &amp; Support'!Z12</f>
        <v>L</v>
      </c>
      <c r="K97" s="38" t="str">
        <f>'RB · Customer Success &amp; Support'!AD12</f>
        <v>L</v>
      </c>
    </row>
    <row r="98">
      <c r="A98" s="53" t="inlineStr">
        <is>
          <t>Customer Success &amp; Support|C1|C-M</t>
        </is>
      </c>
      <c r="B98" s="53" t="inlineStr">
        <is>
          <t>Customer Success &amp; Support</t>
        </is>
      </c>
      <c r="C98" s="53" t="inlineStr">
        <is>
          <t>C1</t>
        </is>
      </c>
      <c r="D98" s="53" t="inlineStr">
        <is>
          <t>Band C · Head / manager</t>
        </is>
      </c>
      <c r="E98" s="38" t="str">
        <f>'RB · Customer Success &amp; Support'!F13</f>
        <v>H</v>
      </c>
      <c r="F98" s="38" t="str">
        <f>'RB · Customer Success &amp; Support'!J13</f>
        <v>M</v>
      </c>
      <c r="G98" s="38" t="str">
        <f>'RB · Customer Success &amp; Support'!N13</f>
        <v>M</v>
      </c>
      <c r="H98" s="38" t="str">
        <f>'RB · Customer Success &amp; Support'!R13</f>
        <v>M</v>
      </c>
      <c r="I98" s="38" t="str">
        <f>'RB · Customer Success &amp; Support'!V13</f>
        <v>M</v>
      </c>
      <c r="J98" s="38" t="str">
        <f>'RB · Customer Success &amp; Support'!Z13</f>
        <v>L</v>
      </c>
      <c r="K98" s="38" t="str">
        <f>'RB · Customer Success &amp; Support'!AD13</f>
        <v>L</v>
      </c>
    </row>
    <row r="99">
      <c r="A99" s="53" t="inlineStr">
        <is>
          <t>Customer Success &amp; Support|C1|C-IC</t>
        </is>
      </c>
      <c r="B99" s="53" t="inlineStr">
        <is>
          <t>Customer Success &amp; Support</t>
        </is>
      </c>
      <c r="C99" s="53" t="inlineStr">
        <is>
          <t>C1</t>
        </is>
      </c>
      <c r="D99" s="53" t="inlineStr">
        <is>
          <t>Band C · Principal specialist</t>
        </is>
      </c>
      <c r="E99" s="38" t="str">
        <f>'RB · Customer Success &amp; Support'!F14</f>
        <v>H</v>
      </c>
      <c r="F99" s="38" t="str">
        <f>'RB · Customer Success &amp; Support'!J14</f>
        <v>M</v>
      </c>
      <c r="G99" s="38" t="str">
        <f>'RB · Customer Success &amp; Support'!N14</f>
        <v>M</v>
      </c>
      <c r="H99" s="38" t="str">
        <f>'RB · Customer Success &amp; Support'!R14</f>
        <v>L</v>
      </c>
      <c r="I99" s="38" t="str">
        <f>'RB · Customer Success &amp; Support'!V14</f>
        <v>M</v>
      </c>
      <c r="J99" s="38" t="str">
        <f>'RB · Customer Success &amp; Support'!Z14</f>
        <v>L</v>
      </c>
      <c r="K99" s="38" t="str">
        <f>'RB · Customer Success &amp; Support'!AD14</f>
        <v>L</v>
      </c>
    </row>
    <row r="100">
      <c r="A100" s="53" t="inlineStr">
        <is>
          <t>Customer Success &amp; Support|B+|B+</t>
        </is>
      </c>
      <c r="B100" s="53" t="inlineStr">
        <is>
          <t>Customer Success &amp; Support</t>
        </is>
      </c>
      <c r="C100" s="53" t="inlineStr">
        <is>
          <t>B+</t>
        </is>
      </c>
      <c r="D100" s="53" t="inlineStr">
        <is>
          <t>B+ · Player-Coach</t>
        </is>
      </c>
      <c r="E100" s="38" t="str">
        <f>'RB · Customer Success &amp; Support'!F15</f>
        <v>H</v>
      </c>
      <c r="F100" s="38" t="str">
        <f>'RB · Customer Success &amp; Support'!J15</f>
        <v>M</v>
      </c>
      <c r="G100" s="38" t="str">
        <f>'RB · Customer Success &amp; Support'!N15</f>
        <v>M</v>
      </c>
      <c r="H100" s="38" t="str">
        <f>'RB · Customer Success &amp; Support'!R15</f>
        <v>M</v>
      </c>
      <c r="I100" s="38" t="str">
        <f>'RB · Customer Success &amp; Support'!V15</f>
        <v>M</v>
      </c>
      <c r="J100" s="38" t="str">
        <f>'RB · Customer Success &amp; Support'!Z15</f>
        <v>L</v>
      </c>
      <c r="K100" s="38" t="str">
        <f>'RB · Customer Success &amp; Support'!AD15</f>
        <v>L</v>
      </c>
    </row>
    <row r="101">
      <c r="A101" s="53" t="inlineStr">
        <is>
          <t>Customer Success &amp; Support|B3|B-M</t>
        </is>
      </c>
      <c r="B101" s="53" t="inlineStr">
        <is>
          <t>Customer Success &amp; Support</t>
        </is>
      </c>
      <c r="C101" s="53" t="inlineStr">
        <is>
          <t>B3</t>
        </is>
      </c>
      <c r="D101" s="53" t="inlineStr">
        <is>
          <t>Band B · People Manager</t>
        </is>
      </c>
      <c r="E101" s="38" t="str">
        <f>'RB · Customer Success &amp; Support'!F16</f>
        <v>H</v>
      </c>
      <c r="F101" s="38" t="str">
        <f>'RB · Customer Success &amp; Support'!J16</f>
        <v>M</v>
      </c>
      <c r="G101" s="38" t="str">
        <f>'RB · Customer Success &amp; Support'!N16</f>
        <v>M</v>
      </c>
      <c r="H101" s="38" t="str">
        <f>'RB · Customer Success &amp; Support'!R16</f>
        <v>M</v>
      </c>
      <c r="I101" s="38" t="str">
        <f>'RB · Customer Success &amp; Support'!V16</f>
        <v>M</v>
      </c>
      <c r="J101" s="38" t="str">
        <f>'RB · Customer Success &amp; Support'!Z16</f>
        <v>L</v>
      </c>
      <c r="K101" s="38" t="str">
        <f>'RB · Customer Success &amp; Support'!AD16</f>
        <v>L</v>
      </c>
    </row>
    <row r="102">
      <c r="A102" s="53" t="inlineStr">
        <is>
          <t>Customer Success &amp; Support|B3|B-IC</t>
        </is>
      </c>
      <c r="B102" s="53" t="inlineStr">
        <is>
          <t>Customer Success &amp; Support</t>
        </is>
      </c>
      <c r="C102" s="53" t="inlineStr">
        <is>
          <t>B3</t>
        </is>
      </c>
      <c r="D102" s="53" t="inlineStr">
        <is>
          <t>Band B · Specialist / POD Lead</t>
        </is>
      </c>
      <c r="E102" s="38" t="str">
        <f>'RB · Customer Success &amp; Support'!F17</f>
        <v>H</v>
      </c>
      <c r="F102" s="38" t="str">
        <f>'RB · Customer Success &amp; Support'!J17</f>
        <v>M</v>
      </c>
      <c r="G102" s="38" t="str">
        <f>'RB · Customer Success &amp; Support'!N17</f>
        <v>M</v>
      </c>
      <c r="H102" s="38" t="str">
        <f>'RB · Customer Success &amp; Support'!R17</f>
        <v>L</v>
      </c>
      <c r="I102" s="38" t="str">
        <f>'RB · Customer Success &amp; Support'!V17</f>
        <v>M</v>
      </c>
      <c r="J102" s="38" t="str">
        <f>'RB · Customer Success &amp; Support'!Z17</f>
        <v>L</v>
      </c>
      <c r="K102" s="38" t="str">
        <f>'RB · Customer Success &amp; Support'!AD17</f>
        <v>L</v>
      </c>
    </row>
    <row r="103">
      <c r="A103" s="53" t="inlineStr">
        <is>
          <t>Customer Success &amp; Support|B2|B-M</t>
        </is>
      </c>
      <c r="B103" s="53" t="inlineStr">
        <is>
          <t>Customer Success &amp; Support</t>
        </is>
      </c>
      <c r="C103" s="53" t="inlineStr">
        <is>
          <t>B2</t>
        </is>
      </c>
      <c r="D103" s="53" t="inlineStr">
        <is>
          <t>Band B · People Manager</t>
        </is>
      </c>
      <c r="E103" s="38" t="str">
        <f>'RB · Customer Success &amp; Support'!F18</f>
        <v>H</v>
      </c>
      <c r="F103" s="38" t="str">
        <f>'RB · Customer Success &amp; Support'!J18</f>
        <v>M</v>
      </c>
      <c r="G103" s="38" t="str">
        <f>'RB · Customer Success &amp; Support'!N18</f>
        <v>M</v>
      </c>
      <c r="H103" s="38" t="str">
        <f>'RB · Customer Success &amp; Support'!R18</f>
        <v>M</v>
      </c>
      <c r="I103" s="38" t="str">
        <f>'RB · Customer Success &amp; Support'!V18</f>
        <v>M</v>
      </c>
      <c r="J103" s="38" t="str">
        <f>'RB · Customer Success &amp; Support'!Z18</f>
        <v>L</v>
      </c>
      <c r="K103" s="38" t="str">
        <f>'RB · Customer Success &amp; Support'!AD18</f>
        <v>L</v>
      </c>
    </row>
    <row r="104">
      <c r="A104" s="53" t="inlineStr">
        <is>
          <t>Customer Success &amp; Support|B2|B-IC</t>
        </is>
      </c>
      <c r="B104" s="53" t="inlineStr">
        <is>
          <t>Customer Success &amp; Support</t>
        </is>
      </c>
      <c r="C104" s="53" t="inlineStr">
        <is>
          <t>B2</t>
        </is>
      </c>
      <c r="D104" s="53" t="inlineStr">
        <is>
          <t>Band B · Specialist / POD Lead</t>
        </is>
      </c>
      <c r="E104" s="38" t="str">
        <f>'RB · Customer Success &amp; Support'!F19</f>
        <v>H</v>
      </c>
      <c r="F104" s="38" t="str">
        <f>'RB · Customer Success &amp; Support'!J19</f>
        <v>M</v>
      </c>
      <c r="G104" s="38" t="str">
        <f>'RB · Customer Success &amp; Support'!N19</f>
        <v>M</v>
      </c>
      <c r="H104" s="38" t="str">
        <f>'RB · Customer Success &amp; Support'!R19</f>
        <v>L</v>
      </c>
      <c r="I104" s="38" t="str">
        <f>'RB · Customer Success &amp; Support'!V19</f>
        <v>M</v>
      </c>
      <c r="J104" s="38" t="str">
        <f>'RB · Customer Success &amp; Support'!Z19</f>
        <v>L</v>
      </c>
      <c r="K104" s="38" t="str">
        <f>'RB · Customer Success &amp; Support'!AD19</f>
        <v>L</v>
      </c>
    </row>
    <row r="105">
      <c r="A105" s="53" t="inlineStr">
        <is>
          <t>Customer Success &amp; Support|B1|B-M</t>
        </is>
      </c>
      <c r="B105" s="53" t="inlineStr">
        <is>
          <t>Customer Success &amp; Support</t>
        </is>
      </c>
      <c r="C105" s="53" t="inlineStr">
        <is>
          <t>B1</t>
        </is>
      </c>
      <c r="D105" s="53" t="inlineStr">
        <is>
          <t>Band B · People Manager</t>
        </is>
      </c>
      <c r="E105" s="38" t="str">
        <f>'RB · Customer Success &amp; Support'!F20</f>
        <v>H</v>
      </c>
      <c r="F105" s="38" t="str">
        <f>'RB · Customer Success &amp; Support'!J20</f>
        <v>M</v>
      </c>
      <c r="G105" s="38" t="str">
        <f>'RB · Customer Success &amp; Support'!N20</f>
        <v>M</v>
      </c>
      <c r="H105" s="38" t="str">
        <f>'RB · Customer Success &amp; Support'!R20</f>
        <v>M</v>
      </c>
      <c r="I105" s="38" t="str">
        <f>'RB · Customer Success &amp; Support'!V20</f>
        <v>M</v>
      </c>
      <c r="J105" s="38" t="str">
        <f>'RB · Customer Success &amp; Support'!Z20</f>
        <v>L</v>
      </c>
      <c r="K105" s="38" t="str">
        <f>'RB · Customer Success &amp; Support'!AD20</f>
        <v>L</v>
      </c>
    </row>
    <row r="106">
      <c r="A106" s="53" t="inlineStr">
        <is>
          <t>Customer Success &amp; Support|B1|B-IC</t>
        </is>
      </c>
      <c r="B106" s="53" t="inlineStr">
        <is>
          <t>Customer Success &amp; Support</t>
        </is>
      </c>
      <c r="C106" s="53" t="inlineStr">
        <is>
          <t>B1</t>
        </is>
      </c>
      <c r="D106" s="53" t="inlineStr">
        <is>
          <t>Band B · Specialist / POD Lead</t>
        </is>
      </c>
      <c r="E106" s="38" t="str">
        <f>'RB · Customer Success &amp; Support'!F21</f>
        <v>H</v>
      </c>
      <c r="F106" s="38" t="str">
        <f>'RB · Customer Success &amp; Support'!J21</f>
        <v>M</v>
      </c>
      <c r="G106" s="38" t="str">
        <f>'RB · Customer Success &amp; Support'!N21</f>
        <v>M</v>
      </c>
      <c r="H106" s="38" t="str">
        <f>'RB · Customer Success &amp; Support'!R21</f>
        <v>L</v>
      </c>
      <c r="I106" s="38" t="str">
        <f>'RB · Customer Success &amp; Support'!V21</f>
        <v>M</v>
      </c>
      <c r="J106" s="38" t="str">
        <f>'RB · Customer Success &amp; Support'!Z21</f>
        <v>L</v>
      </c>
      <c r="K106" s="38" t="str">
        <f>'RB · Customer Success &amp; Support'!AD21</f>
        <v>L</v>
      </c>
    </row>
    <row r="107">
      <c r="A107" s="53" t="inlineStr">
        <is>
          <t>Customer Success &amp; Support|A3|A</t>
        </is>
      </c>
      <c r="B107" s="53" t="inlineStr">
        <is>
          <t>Customer Success &amp; Support</t>
        </is>
      </c>
      <c r="C107" s="53" t="inlineStr">
        <is>
          <t>A3</t>
        </is>
      </c>
      <c r="D107" s="53" t="inlineStr">
        <is>
          <t>Band A · all tracks</t>
        </is>
      </c>
      <c r="E107" s="38" t="str">
        <f>'RB · Customer Success &amp; Support'!F22</f>
        <v>H</v>
      </c>
      <c r="F107" s="38" t="str">
        <f>'RB · Customer Success &amp; Support'!J22</f>
        <v>M</v>
      </c>
      <c r="G107" s="38" t="str">
        <f>'RB · Customer Success &amp; Support'!N22</f>
        <v>M</v>
      </c>
      <c r="H107" s="38" t="str">
        <f>'RB · Customer Success &amp; Support'!R22</f>
        <v>L</v>
      </c>
      <c r="I107" s="38" t="str">
        <f>'RB · Customer Success &amp; Support'!V22</f>
        <v>M</v>
      </c>
      <c r="J107" s="38" t="str">
        <f>'RB · Customer Success &amp; Support'!Z22</f>
        <v>L</v>
      </c>
      <c r="K107" s="38" t="str">
        <f>'RB · Customer Success &amp; Support'!AD22</f>
        <v>L</v>
      </c>
    </row>
    <row r="108">
      <c r="A108" s="53" t="inlineStr">
        <is>
          <t>Customer Success &amp; Support|A2|A</t>
        </is>
      </c>
      <c r="B108" s="53" t="inlineStr">
        <is>
          <t>Customer Success &amp; Support</t>
        </is>
      </c>
      <c r="C108" s="53" t="inlineStr">
        <is>
          <t>A2</t>
        </is>
      </c>
      <c r="D108" s="53" t="inlineStr">
        <is>
          <t>Band A · all tracks</t>
        </is>
      </c>
      <c r="E108" s="38" t="str">
        <f>'RB · Customer Success &amp; Support'!F23</f>
        <v>H</v>
      </c>
      <c r="F108" s="38" t="str">
        <f>'RB · Customer Success &amp; Support'!J23</f>
        <v>M</v>
      </c>
      <c r="G108" s="38" t="str">
        <f>'RB · Customer Success &amp; Support'!N23</f>
        <v>M</v>
      </c>
      <c r="H108" s="38" t="str">
        <f>'RB · Customer Success &amp; Support'!R23</f>
        <v>L</v>
      </c>
      <c r="I108" s="38" t="str">
        <f>'RB · Customer Success &amp; Support'!V23</f>
        <v>M</v>
      </c>
      <c r="J108" s="38" t="str">
        <f>'RB · Customer Success &amp; Support'!Z23</f>
        <v>L</v>
      </c>
      <c r="K108" s="38" t="str">
        <f>'RB · Customer Success &amp; Support'!AD23</f>
        <v>L</v>
      </c>
    </row>
    <row r="109">
      <c r="A109" s="53" t="inlineStr">
        <is>
          <t>Customer Success &amp; Support|A1|A</t>
        </is>
      </c>
      <c r="B109" s="53" t="inlineStr">
        <is>
          <t>Customer Success &amp; Support</t>
        </is>
      </c>
      <c r="C109" s="53" t="inlineStr">
        <is>
          <t>A1</t>
        </is>
      </c>
      <c r="D109" s="53" t="inlineStr">
        <is>
          <t>Band A · all tracks</t>
        </is>
      </c>
      <c r="E109" s="38" t="str">
        <f>'RB · Customer Success &amp; Support'!F24</f>
        <v>H</v>
      </c>
      <c r="F109" s="38" t="str">
        <f>'RB · Customer Success &amp; Support'!J24</f>
        <v>M</v>
      </c>
      <c r="G109" s="38" t="str">
        <f>'RB · Customer Success &amp; Support'!N24</f>
        <v>M</v>
      </c>
      <c r="H109" s="38" t="str">
        <f>'RB · Customer Success &amp; Support'!R24</f>
        <v>L</v>
      </c>
      <c r="I109" s="38" t="str">
        <f>'RB · Customer Success &amp; Support'!V24</f>
        <v>M</v>
      </c>
      <c r="J109" s="38" t="str">
        <f>'RB · Customer Success &amp; Support'!Z24</f>
        <v>L</v>
      </c>
      <c r="K109" s="38" t="str">
        <f>'RB · Customer Success &amp; Support'!AD24</f>
        <v>L</v>
      </c>
    </row>
    <row r="110">
      <c r="A110" s="53" t="inlineStr">
        <is>
          <t>Data &amp; Analytics|E2|DE</t>
        </is>
      </c>
      <c r="B110" s="53" t="inlineStr">
        <is>
          <t>Data &amp; Analytics</t>
        </is>
      </c>
      <c r="C110" s="53" t="inlineStr">
        <is>
          <t>E2</t>
        </is>
      </c>
      <c r="D110" s="53" t="inlineStr">
        <is>
          <t>Bands D–E · Leadership</t>
        </is>
      </c>
      <c r="E110" s="38" t="str">
        <f>'RB · Data &amp; Analytics'!F6</f>
        <v>H</v>
      </c>
      <c r="F110" s="38" t="str">
        <f>'RB · Data &amp; Analytics'!J6</f>
        <v>M</v>
      </c>
      <c r="G110" s="38" t="str">
        <f>'RB · Data &amp; Analytics'!N6</f>
        <v>M</v>
      </c>
      <c r="H110" s="38" t="str">
        <f>'RB · Data &amp; Analytics'!R6</f>
        <v>M</v>
      </c>
      <c r="I110" s="38" t="str">
        <f>'RB · Data &amp; Analytics'!V6</f>
        <v>L</v>
      </c>
      <c r="J110" s="38" t="str">
        <f>'RB · Data &amp; Analytics'!Z6</f>
        <v>L</v>
      </c>
      <c r="K110" s="38" t="str">
        <f>'RB · Data &amp; Analytics'!AD6</f>
        <v>L</v>
      </c>
    </row>
    <row r="111">
      <c r="A111" s="53" t="inlineStr">
        <is>
          <t>Data &amp; Analytics|E1|DE</t>
        </is>
      </c>
      <c r="B111" s="53" t="inlineStr">
        <is>
          <t>Data &amp; Analytics</t>
        </is>
      </c>
      <c r="C111" s="53" t="inlineStr">
        <is>
          <t>E1</t>
        </is>
      </c>
      <c r="D111" s="53" t="inlineStr">
        <is>
          <t>Bands D–E · Leadership</t>
        </is>
      </c>
      <c r="E111" s="38" t="str">
        <f>'RB · Data &amp; Analytics'!F7</f>
        <v>H</v>
      </c>
      <c r="F111" s="38" t="str">
        <f>'RB · Data &amp; Analytics'!J7</f>
        <v>M</v>
      </c>
      <c r="G111" s="38" t="str">
        <f>'RB · Data &amp; Analytics'!N7</f>
        <v>M</v>
      </c>
      <c r="H111" s="38" t="str">
        <f>'RB · Data &amp; Analytics'!R7</f>
        <v>M</v>
      </c>
      <c r="I111" s="38" t="str">
        <f>'RB · Data &amp; Analytics'!V7</f>
        <v>L</v>
      </c>
      <c r="J111" s="38" t="str">
        <f>'RB · Data &amp; Analytics'!Z7</f>
        <v>L</v>
      </c>
      <c r="K111" s="38" t="str">
        <f>'RB · Data &amp; Analytics'!AD7</f>
        <v>L</v>
      </c>
    </row>
    <row r="112">
      <c r="A112" s="53" t="inlineStr">
        <is>
          <t>Data &amp; Analytics|D2|DE</t>
        </is>
      </c>
      <c r="B112" s="53" t="inlineStr">
        <is>
          <t>Data &amp; Analytics</t>
        </is>
      </c>
      <c r="C112" s="53" t="inlineStr">
        <is>
          <t>D2</t>
        </is>
      </c>
      <c r="D112" s="53" t="inlineStr">
        <is>
          <t>Bands D–E · Leadership</t>
        </is>
      </c>
      <c r="E112" s="38" t="str">
        <f>'RB · Data &amp; Analytics'!F8</f>
        <v>H</v>
      </c>
      <c r="F112" s="38" t="str">
        <f>'RB · Data &amp; Analytics'!J8</f>
        <v>M</v>
      </c>
      <c r="G112" s="38" t="str">
        <f>'RB · Data &amp; Analytics'!N8</f>
        <v>M</v>
      </c>
      <c r="H112" s="38" t="str">
        <f>'RB · Data &amp; Analytics'!R8</f>
        <v>M</v>
      </c>
      <c r="I112" s="38" t="str">
        <f>'RB · Data &amp; Analytics'!V8</f>
        <v>L</v>
      </c>
      <c r="J112" s="38" t="str">
        <f>'RB · Data &amp; Analytics'!Z8</f>
        <v>L</v>
      </c>
      <c r="K112" s="38" t="str">
        <f>'RB · Data &amp; Analytics'!AD8</f>
        <v>L</v>
      </c>
    </row>
    <row r="113">
      <c r="A113" s="53" t="inlineStr">
        <is>
          <t>Data &amp; Analytics|D1|DE</t>
        </is>
      </c>
      <c r="B113" s="53" t="inlineStr">
        <is>
          <t>Data &amp; Analytics</t>
        </is>
      </c>
      <c r="C113" s="53" t="inlineStr">
        <is>
          <t>D1</t>
        </is>
      </c>
      <c r="D113" s="53" t="inlineStr">
        <is>
          <t>Bands D–E · Leadership</t>
        </is>
      </c>
      <c r="E113" s="38" t="str">
        <f>'RB · Data &amp; Analytics'!F9</f>
        <v>H</v>
      </c>
      <c r="F113" s="38" t="str">
        <f>'RB · Data &amp; Analytics'!J9</f>
        <v>M</v>
      </c>
      <c r="G113" s="38" t="str">
        <f>'RB · Data &amp; Analytics'!N9</f>
        <v>M</v>
      </c>
      <c r="H113" s="38" t="str">
        <f>'RB · Data &amp; Analytics'!R9</f>
        <v>M</v>
      </c>
      <c r="I113" s="38" t="str">
        <f>'RB · Data &amp; Analytics'!V9</f>
        <v>L</v>
      </c>
      <c r="J113" s="38" t="str">
        <f>'RB · Data &amp; Analytics'!Z9</f>
        <v>L</v>
      </c>
      <c r="K113" s="38" t="str">
        <f>'RB · Data &amp; Analytics'!AD9</f>
        <v>L</v>
      </c>
    </row>
    <row r="114">
      <c r="A114" s="53" t="inlineStr">
        <is>
          <t>Data &amp; Analytics|C+|C+</t>
        </is>
      </c>
      <c r="B114" s="53" t="inlineStr">
        <is>
          <t>Data &amp; Analytics</t>
        </is>
      </c>
      <c r="C114" s="53" t="inlineStr">
        <is>
          <t>C+</t>
        </is>
      </c>
      <c r="D114" s="53" t="inlineStr">
        <is>
          <t>C+ · Player-Coach</t>
        </is>
      </c>
      <c r="E114" s="38" t="str">
        <f>'RB · Data &amp; Analytics'!F10</f>
        <v>H</v>
      </c>
      <c r="F114" s="38" t="str">
        <f>'RB · Data &amp; Analytics'!J10</f>
        <v>M</v>
      </c>
      <c r="G114" s="38" t="str">
        <f>'RB · Data &amp; Analytics'!N10</f>
        <v>M</v>
      </c>
      <c r="H114" s="38" t="str">
        <f>'RB · Data &amp; Analytics'!R10</f>
        <v>M</v>
      </c>
      <c r="I114" s="38" t="str">
        <f>'RB · Data &amp; Analytics'!V10</f>
        <v>L</v>
      </c>
      <c r="J114" s="38" t="str">
        <f>'RB · Data &amp; Analytics'!Z10</f>
        <v>L</v>
      </c>
      <c r="K114" s="38" t="str">
        <f>'RB · Data &amp; Analytics'!AD10</f>
        <v>L</v>
      </c>
    </row>
    <row r="115">
      <c r="A115" s="53" t="inlineStr">
        <is>
          <t>Data &amp; Analytics|C2|C-M</t>
        </is>
      </c>
      <c r="B115" s="53" t="inlineStr">
        <is>
          <t>Data &amp; Analytics</t>
        </is>
      </c>
      <c r="C115" s="53" t="inlineStr">
        <is>
          <t>C2</t>
        </is>
      </c>
      <c r="D115" s="53" t="inlineStr">
        <is>
          <t>Band C · Head / manager</t>
        </is>
      </c>
      <c r="E115" s="38" t="str">
        <f>'RB · Data &amp; Analytics'!F11</f>
        <v>H</v>
      </c>
      <c r="F115" s="38" t="str">
        <f>'RB · Data &amp; Analytics'!J11</f>
        <v>M</v>
      </c>
      <c r="G115" s="38" t="str">
        <f>'RB · Data &amp; Analytics'!N11</f>
        <v>M</v>
      </c>
      <c r="H115" s="38" t="str">
        <f>'RB · Data &amp; Analytics'!R11</f>
        <v>M</v>
      </c>
      <c r="I115" s="38" t="str">
        <f>'RB · Data &amp; Analytics'!V11</f>
        <v>L</v>
      </c>
      <c r="J115" s="38" t="str">
        <f>'RB · Data &amp; Analytics'!Z11</f>
        <v>L</v>
      </c>
      <c r="K115" s="38" t="str">
        <f>'RB · Data &amp; Analytics'!AD11</f>
        <v>L</v>
      </c>
    </row>
    <row r="116">
      <c r="A116" s="53" t="inlineStr">
        <is>
          <t>Data &amp; Analytics|C2|C-IC</t>
        </is>
      </c>
      <c r="B116" s="53" t="inlineStr">
        <is>
          <t>Data &amp; Analytics</t>
        </is>
      </c>
      <c r="C116" s="53" t="inlineStr">
        <is>
          <t>C2</t>
        </is>
      </c>
      <c r="D116" s="53" t="inlineStr">
        <is>
          <t>Band C · Principal specialist</t>
        </is>
      </c>
      <c r="E116" s="38" t="str">
        <f>'RB · Data &amp; Analytics'!F12</f>
        <v>H</v>
      </c>
      <c r="F116" s="38" t="str">
        <f>'RB · Data &amp; Analytics'!J12</f>
        <v>M</v>
      </c>
      <c r="G116" s="38" t="str">
        <f>'RB · Data &amp; Analytics'!N12</f>
        <v>M</v>
      </c>
      <c r="H116" s="38" t="str">
        <f>'RB · Data &amp; Analytics'!R12</f>
        <v>L</v>
      </c>
      <c r="I116" s="38" t="str">
        <f>'RB · Data &amp; Analytics'!V12</f>
        <v>L</v>
      </c>
      <c r="J116" s="38" t="str">
        <f>'RB · Data &amp; Analytics'!Z12</f>
        <v>L</v>
      </c>
      <c r="K116" s="38" t="str">
        <f>'RB · Data &amp; Analytics'!AD12</f>
        <v>L</v>
      </c>
    </row>
    <row r="117">
      <c r="A117" s="53" t="inlineStr">
        <is>
          <t>Data &amp; Analytics|C1|C-M</t>
        </is>
      </c>
      <c r="B117" s="53" t="inlineStr">
        <is>
          <t>Data &amp; Analytics</t>
        </is>
      </c>
      <c r="C117" s="53" t="inlineStr">
        <is>
          <t>C1</t>
        </is>
      </c>
      <c r="D117" s="53" t="inlineStr">
        <is>
          <t>Band C · Head / manager</t>
        </is>
      </c>
      <c r="E117" s="38" t="str">
        <f>'RB · Data &amp; Analytics'!F13</f>
        <v>H</v>
      </c>
      <c r="F117" s="38" t="str">
        <f>'RB · Data &amp; Analytics'!J13</f>
        <v>M</v>
      </c>
      <c r="G117" s="38" t="str">
        <f>'RB · Data &amp; Analytics'!N13</f>
        <v>M</v>
      </c>
      <c r="H117" s="38" t="str">
        <f>'RB · Data &amp; Analytics'!R13</f>
        <v>M</v>
      </c>
      <c r="I117" s="38" t="str">
        <f>'RB · Data &amp; Analytics'!V13</f>
        <v>L</v>
      </c>
      <c r="J117" s="38" t="str">
        <f>'RB · Data &amp; Analytics'!Z13</f>
        <v>L</v>
      </c>
      <c r="K117" s="38" t="str">
        <f>'RB · Data &amp; Analytics'!AD13</f>
        <v>L</v>
      </c>
    </row>
    <row r="118">
      <c r="A118" s="53" t="inlineStr">
        <is>
          <t>Data &amp; Analytics|C1|C-IC</t>
        </is>
      </c>
      <c r="B118" s="53" t="inlineStr">
        <is>
          <t>Data &amp; Analytics</t>
        </is>
      </c>
      <c r="C118" s="53" t="inlineStr">
        <is>
          <t>C1</t>
        </is>
      </c>
      <c r="D118" s="53" t="inlineStr">
        <is>
          <t>Band C · Principal specialist</t>
        </is>
      </c>
      <c r="E118" s="38" t="str">
        <f>'RB · Data &amp; Analytics'!F14</f>
        <v>H</v>
      </c>
      <c r="F118" s="38" t="str">
        <f>'RB · Data &amp; Analytics'!J14</f>
        <v>M</v>
      </c>
      <c r="G118" s="38" t="str">
        <f>'RB · Data &amp; Analytics'!N14</f>
        <v>M</v>
      </c>
      <c r="H118" s="38" t="str">
        <f>'RB · Data &amp; Analytics'!R14</f>
        <v>L</v>
      </c>
      <c r="I118" s="38" t="str">
        <f>'RB · Data &amp; Analytics'!V14</f>
        <v>L</v>
      </c>
      <c r="J118" s="38" t="str">
        <f>'RB · Data &amp; Analytics'!Z14</f>
        <v>L</v>
      </c>
      <c r="K118" s="38" t="str">
        <f>'RB · Data &amp; Analytics'!AD14</f>
        <v>L</v>
      </c>
    </row>
    <row r="119">
      <c r="A119" s="53" t="inlineStr">
        <is>
          <t>Data &amp; Analytics|B+|B+</t>
        </is>
      </c>
      <c r="B119" s="53" t="inlineStr">
        <is>
          <t>Data &amp; Analytics</t>
        </is>
      </c>
      <c r="C119" s="53" t="inlineStr">
        <is>
          <t>B+</t>
        </is>
      </c>
      <c r="D119" s="53" t="inlineStr">
        <is>
          <t>B+ · Player-Coach</t>
        </is>
      </c>
      <c r="E119" s="38" t="str">
        <f>'RB · Data &amp; Analytics'!F15</f>
        <v>H</v>
      </c>
      <c r="F119" s="38" t="str">
        <f>'RB · Data &amp; Analytics'!J15</f>
        <v>M</v>
      </c>
      <c r="G119" s="38" t="str">
        <f>'RB · Data &amp; Analytics'!N15</f>
        <v>M</v>
      </c>
      <c r="H119" s="38" t="str">
        <f>'RB · Data &amp; Analytics'!R15</f>
        <v>M</v>
      </c>
      <c r="I119" s="38" t="str">
        <f>'RB · Data &amp; Analytics'!V15</f>
        <v>L</v>
      </c>
      <c r="J119" s="38" t="str">
        <f>'RB · Data &amp; Analytics'!Z15</f>
        <v>L</v>
      </c>
      <c r="K119" s="38" t="str">
        <f>'RB · Data &amp; Analytics'!AD15</f>
        <v>L</v>
      </c>
    </row>
    <row r="120">
      <c r="A120" s="53" t="inlineStr">
        <is>
          <t>Data &amp; Analytics|B3|B-M</t>
        </is>
      </c>
      <c r="B120" s="53" t="inlineStr">
        <is>
          <t>Data &amp; Analytics</t>
        </is>
      </c>
      <c r="C120" s="53" t="inlineStr">
        <is>
          <t>B3</t>
        </is>
      </c>
      <c r="D120" s="53" t="inlineStr">
        <is>
          <t>Band B · People Manager</t>
        </is>
      </c>
      <c r="E120" s="38" t="str">
        <f>'RB · Data &amp; Analytics'!F16</f>
        <v>H</v>
      </c>
      <c r="F120" s="38" t="str">
        <f>'RB · Data &amp; Analytics'!J16</f>
        <v>M</v>
      </c>
      <c r="G120" s="38" t="str">
        <f>'RB · Data &amp; Analytics'!N16</f>
        <v>M</v>
      </c>
      <c r="H120" s="38" t="str">
        <f>'RB · Data &amp; Analytics'!R16</f>
        <v>M</v>
      </c>
      <c r="I120" s="38" t="str">
        <f>'RB · Data &amp; Analytics'!V16</f>
        <v>L</v>
      </c>
      <c r="J120" s="38" t="str">
        <f>'RB · Data &amp; Analytics'!Z16</f>
        <v>L</v>
      </c>
      <c r="K120" s="38" t="str">
        <f>'RB · Data &amp; Analytics'!AD16</f>
        <v>L</v>
      </c>
    </row>
    <row r="121">
      <c r="A121" s="53" t="inlineStr">
        <is>
          <t>Data &amp; Analytics|B3|B-IC</t>
        </is>
      </c>
      <c r="B121" s="53" t="inlineStr">
        <is>
          <t>Data &amp; Analytics</t>
        </is>
      </c>
      <c r="C121" s="53" t="inlineStr">
        <is>
          <t>B3</t>
        </is>
      </c>
      <c r="D121" s="53" t="inlineStr">
        <is>
          <t>Band B · Specialist / POD Lead</t>
        </is>
      </c>
      <c r="E121" s="38" t="str">
        <f>'RB · Data &amp; Analytics'!F17</f>
        <v>H</v>
      </c>
      <c r="F121" s="38" t="str">
        <f>'RB · Data &amp; Analytics'!J17</f>
        <v>M</v>
      </c>
      <c r="G121" s="38" t="str">
        <f>'RB · Data &amp; Analytics'!N17</f>
        <v>M</v>
      </c>
      <c r="H121" s="38" t="str">
        <f>'RB · Data &amp; Analytics'!R17</f>
        <v>L</v>
      </c>
      <c r="I121" s="38" t="str">
        <f>'RB · Data &amp; Analytics'!V17</f>
        <v>L</v>
      </c>
      <c r="J121" s="38" t="str">
        <f>'RB · Data &amp; Analytics'!Z17</f>
        <v>L</v>
      </c>
      <c r="K121" s="38" t="str">
        <f>'RB · Data &amp; Analytics'!AD17</f>
        <v>L</v>
      </c>
    </row>
    <row r="122">
      <c r="A122" s="53" t="inlineStr">
        <is>
          <t>Data &amp; Analytics|B2|B-M</t>
        </is>
      </c>
      <c r="B122" s="53" t="inlineStr">
        <is>
          <t>Data &amp; Analytics</t>
        </is>
      </c>
      <c r="C122" s="53" t="inlineStr">
        <is>
          <t>B2</t>
        </is>
      </c>
      <c r="D122" s="53" t="inlineStr">
        <is>
          <t>Band B · People Manager</t>
        </is>
      </c>
      <c r="E122" s="38" t="str">
        <f>'RB · Data &amp; Analytics'!F18</f>
        <v>H</v>
      </c>
      <c r="F122" s="38" t="str">
        <f>'RB · Data &amp; Analytics'!J18</f>
        <v>M</v>
      </c>
      <c r="G122" s="38" t="str">
        <f>'RB · Data &amp; Analytics'!N18</f>
        <v>M</v>
      </c>
      <c r="H122" s="38" t="str">
        <f>'RB · Data &amp; Analytics'!R18</f>
        <v>M</v>
      </c>
      <c r="I122" s="38" t="str">
        <f>'RB · Data &amp; Analytics'!V18</f>
        <v>L</v>
      </c>
      <c r="J122" s="38" t="str">
        <f>'RB · Data &amp; Analytics'!Z18</f>
        <v>L</v>
      </c>
      <c r="K122" s="38" t="str">
        <f>'RB · Data &amp; Analytics'!AD18</f>
        <v>L</v>
      </c>
    </row>
    <row r="123">
      <c r="A123" s="53" t="inlineStr">
        <is>
          <t>Data &amp; Analytics|B2|B-IC</t>
        </is>
      </c>
      <c r="B123" s="53" t="inlineStr">
        <is>
          <t>Data &amp; Analytics</t>
        </is>
      </c>
      <c r="C123" s="53" t="inlineStr">
        <is>
          <t>B2</t>
        </is>
      </c>
      <c r="D123" s="53" t="inlineStr">
        <is>
          <t>Band B · Specialist / POD Lead</t>
        </is>
      </c>
      <c r="E123" s="38" t="str">
        <f>'RB · Data &amp; Analytics'!F19</f>
        <v>H</v>
      </c>
      <c r="F123" s="38" t="str">
        <f>'RB · Data &amp; Analytics'!J19</f>
        <v>M</v>
      </c>
      <c r="G123" s="38" t="str">
        <f>'RB · Data &amp; Analytics'!N19</f>
        <v>M</v>
      </c>
      <c r="H123" s="38" t="str">
        <f>'RB · Data &amp; Analytics'!R19</f>
        <v>L</v>
      </c>
      <c r="I123" s="38" t="str">
        <f>'RB · Data &amp; Analytics'!V19</f>
        <v>L</v>
      </c>
      <c r="J123" s="38" t="str">
        <f>'RB · Data &amp; Analytics'!Z19</f>
        <v>L</v>
      </c>
      <c r="K123" s="38" t="str">
        <f>'RB · Data &amp; Analytics'!AD19</f>
        <v>L</v>
      </c>
    </row>
    <row r="124">
      <c r="A124" s="53" t="inlineStr">
        <is>
          <t>Data &amp; Analytics|B1|B-M</t>
        </is>
      </c>
      <c r="B124" s="53" t="inlineStr">
        <is>
          <t>Data &amp; Analytics</t>
        </is>
      </c>
      <c r="C124" s="53" t="inlineStr">
        <is>
          <t>B1</t>
        </is>
      </c>
      <c r="D124" s="53" t="inlineStr">
        <is>
          <t>Band B · People Manager</t>
        </is>
      </c>
      <c r="E124" s="38" t="str">
        <f>'RB · Data &amp; Analytics'!F20</f>
        <v>H</v>
      </c>
      <c r="F124" s="38" t="str">
        <f>'RB · Data &amp; Analytics'!J20</f>
        <v>M</v>
      </c>
      <c r="G124" s="38" t="str">
        <f>'RB · Data &amp; Analytics'!N20</f>
        <v>M</v>
      </c>
      <c r="H124" s="38" t="str">
        <f>'RB · Data &amp; Analytics'!R20</f>
        <v>M</v>
      </c>
      <c r="I124" s="38" t="str">
        <f>'RB · Data &amp; Analytics'!V20</f>
        <v>L</v>
      </c>
      <c r="J124" s="38" t="str">
        <f>'RB · Data &amp; Analytics'!Z20</f>
        <v>L</v>
      </c>
      <c r="K124" s="38" t="str">
        <f>'RB · Data &amp; Analytics'!AD20</f>
        <v>L</v>
      </c>
    </row>
    <row r="125">
      <c r="A125" s="53" t="inlineStr">
        <is>
          <t>Data &amp; Analytics|B1|B-IC</t>
        </is>
      </c>
      <c r="B125" s="53" t="inlineStr">
        <is>
          <t>Data &amp; Analytics</t>
        </is>
      </c>
      <c r="C125" s="53" t="inlineStr">
        <is>
          <t>B1</t>
        </is>
      </c>
      <c r="D125" s="53" t="inlineStr">
        <is>
          <t>Band B · Specialist / POD Lead</t>
        </is>
      </c>
      <c r="E125" s="38" t="str">
        <f>'RB · Data &amp; Analytics'!F21</f>
        <v>H</v>
      </c>
      <c r="F125" s="38" t="str">
        <f>'RB · Data &amp; Analytics'!J21</f>
        <v>M</v>
      </c>
      <c r="G125" s="38" t="str">
        <f>'RB · Data &amp; Analytics'!N21</f>
        <v>M</v>
      </c>
      <c r="H125" s="38" t="str">
        <f>'RB · Data &amp; Analytics'!R21</f>
        <v>L</v>
      </c>
      <c r="I125" s="38" t="str">
        <f>'RB · Data &amp; Analytics'!V21</f>
        <v>L</v>
      </c>
      <c r="J125" s="38" t="str">
        <f>'RB · Data &amp; Analytics'!Z21</f>
        <v>L</v>
      </c>
      <c r="K125" s="38" t="str">
        <f>'RB · Data &amp; Analytics'!AD21</f>
        <v>L</v>
      </c>
    </row>
    <row r="126">
      <c r="A126" s="53" t="inlineStr">
        <is>
          <t>Data &amp; Analytics|A3|A</t>
        </is>
      </c>
      <c r="B126" s="53" t="inlineStr">
        <is>
          <t>Data &amp; Analytics</t>
        </is>
      </c>
      <c r="C126" s="53" t="inlineStr">
        <is>
          <t>A3</t>
        </is>
      </c>
      <c r="D126" s="53" t="inlineStr">
        <is>
          <t>Band A · all tracks</t>
        </is>
      </c>
      <c r="E126" s="38" t="str">
        <f>'RB · Data &amp; Analytics'!F22</f>
        <v>H</v>
      </c>
      <c r="F126" s="38" t="str">
        <f>'RB · Data &amp; Analytics'!J22</f>
        <v>M</v>
      </c>
      <c r="G126" s="38" t="str">
        <f>'RB · Data &amp; Analytics'!N22</f>
        <v>M</v>
      </c>
      <c r="H126" s="38" t="str">
        <f>'RB · Data &amp; Analytics'!R22</f>
        <v>L</v>
      </c>
      <c r="I126" s="38" t="str">
        <f>'RB · Data &amp; Analytics'!V22</f>
        <v>L</v>
      </c>
      <c r="J126" s="38" t="str">
        <f>'RB · Data &amp; Analytics'!Z22</f>
        <v>L</v>
      </c>
      <c r="K126" s="38" t="str">
        <f>'RB · Data &amp; Analytics'!AD22</f>
        <v>L</v>
      </c>
    </row>
    <row r="127">
      <c r="A127" s="53" t="inlineStr">
        <is>
          <t>Data &amp; Analytics|A2|A</t>
        </is>
      </c>
      <c r="B127" s="53" t="inlineStr">
        <is>
          <t>Data &amp; Analytics</t>
        </is>
      </c>
      <c r="C127" s="53" t="inlineStr">
        <is>
          <t>A2</t>
        </is>
      </c>
      <c r="D127" s="53" t="inlineStr">
        <is>
          <t>Band A · all tracks</t>
        </is>
      </c>
      <c r="E127" s="38" t="str">
        <f>'RB · Data &amp; Analytics'!F23</f>
        <v>H</v>
      </c>
      <c r="F127" s="38" t="str">
        <f>'RB · Data &amp; Analytics'!J23</f>
        <v>M</v>
      </c>
      <c r="G127" s="38" t="str">
        <f>'RB · Data &amp; Analytics'!N23</f>
        <v>M</v>
      </c>
      <c r="H127" s="38" t="str">
        <f>'RB · Data &amp; Analytics'!R23</f>
        <v>L</v>
      </c>
      <c r="I127" s="38" t="str">
        <f>'RB · Data &amp; Analytics'!V23</f>
        <v>L</v>
      </c>
      <c r="J127" s="38" t="str">
        <f>'RB · Data &amp; Analytics'!Z23</f>
        <v>L</v>
      </c>
      <c r="K127" s="38" t="str">
        <f>'RB · Data &amp; Analytics'!AD23</f>
        <v>L</v>
      </c>
    </row>
    <row r="128">
      <c r="A128" s="53" t="inlineStr">
        <is>
          <t>Data &amp; Analytics|A1|A</t>
        </is>
      </c>
      <c r="B128" s="53" t="inlineStr">
        <is>
          <t>Data &amp; Analytics</t>
        </is>
      </c>
      <c r="C128" s="53" t="inlineStr">
        <is>
          <t>A1</t>
        </is>
      </c>
      <c r="D128" s="53" t="inlineStr">
        <is>
          <t>Band A · all tracks</t>
        </is>
      </c>
      <c r="E128" s="38" t="str">
        <f>'RB · Data &amp; Analytics'!F24</f>
        <v>H</v>
      </c>
      <c r="F128" s="38" t="str">
        <f>'RB · Data &amp; Analytics'!J24</f>
        <v>M</v>
      </c>
      <c r="G128" s="38" t="str">
        <f>'RB · Data &amp; Analytics'!N24</f>
        <v>M</v>
      </c>
      <c r="H128" s="38" t="str">
        <f>'RB · Data &amp; Analytics'!R24</f>
        <v>L</v>
      </c>
      <c r="I128" s="38" t="str">
        <f>'RB · Data &amp; Analytics'!V24</f>
        <v>L</v>
      </c>
      <c r="J128" s="38" t="str">
        <f>'RB · Data &amp; Analytics'!Z24</f>
        <v>L</v>
      </c>
      <c r="K128" s="38" t="str">
        <f>'RB · Data &amp; Analytics'!AD24</f>
        <v>L</v>
      </c>
    </row>
    <row r="129">
      <c r="A129" s="53" t="inlineStr">
        <is>
          <t>Data Operations &amp; Digitization|E2|DE</t>
        </is>
      </c>
      <c r="B129" s="53" t="inlineStr">
        <is>
          <t>Data Operations &amp; Digitization</t>
        </is>
      </c>
      <c r="C129" s="53" t="inlineStr">
        <is>
          <t>E2</t>
        </is>
      </c>
      <c r="D129" s="53" t="inlineStr">
        <is>
          <t>Bands D–E · Leadership</t>
        </is>
      </c>
      <c r="E129" s="38" t="str">
        <f>'RB · Data Operations &amp; Digitiza'!F6</f>
        <v>H</v>
      </c>
      <c r="F129" s="38" t="str">
        <f>'RB · Data Operations &amp; Digitiza'!J6</f>
        <v>M</v>
      </c>
      <c r="G129" s="38" t="str">
        <f>'RB · Data Operations &amp; Digitiza'!N6</f>
        <v>M</v>
      </c>
      <c r="H129" s="38" t="str">
        <f>'RB · Data Operations &amp; Digitiza'!R6</f>
        <v>M</v>
      </c>
      <c r="I129" s="38" t="str">
        <f>'RB · Data Operations &amp; Digitiza'!V6</f>
        <v>L</v>
      </c>
      <c r="J129" s="38" t="str">
        <f>'RB · Data Operations &amp; Digitiza'!Z6</f>
        <v>L</v>
      </c>
      <c r="K129" s="38" t="str">
        <f>'RB · Data Operations &amp; Digitiza'!AD6</f>
        <v>L</v>
      </c>
    </row>
    <row r="130">
      <c r="A130" s="53" t="inlineStr">
        <is>
          <t>Data Operations &amp; Digitization|E1|DE</t>
        </is>
      </c>
      <c r="B130" s="53" t="inlineStr">
        <is>
          <t>Data Operations &amp; Digitization</t>
        </is>
      </c>
      <c r="C130" s="53" t="inlineStr">
        <is>
          <t>E1</t>
        </is>
      </c>
      <c r="D130" s="53" t="inlineStr">
        <is>
          <t>Bands D–E · Leadership</t>
        </is>
      </c>
      <c r="E130" s="38" t="str">
        <f>'RB · Data Operations &amp; Digitiza'!F7</f>
        <v>H</v>
      </c>
      <c r="F130" s="38" t="str">
        <f>'RB · Data Operations &amp; Digitiza'!J7</f>
        <v>M</v>
      </c>
      <c r="G130" s="38" t="str">
        <f>'RB · Data Operations &amp; Digitiza'!N7</f>
        <v>M</v>
      </c>
      <c r="H130" s="38" t="str">
        <f>'RB · Data Operations &amp; Digitiza'!R7</f>
        <v>M</v>
      </c>
      <c r="I130" s="38" t="str">
        <f>'RB · Data Operations &amp; Digitiza'!V7</f>
        <v>L</v>
      </c>
      <c r="J130" s="38" t="str">
        <f>'RB · Data Operations &amp; Digitiza'!Z7</f>
        <v>L</v>
      </c>
      <c r="K130" s="38" t="str">
        <f>'RB · Data Operations &amp; Digitiza'!AD7</f>
        <v>L</v>
      </c>
    </row>
    <row r="131">
      <c r="A131" s="53" t="inlineStr">
        <is>
          <t>Data Operations &amp; Digitization|D2|DE</t>
        </is>
      </c>
      <c r="B131" s="53" t="inlineStr">
        <is>
          <t>Data Operations &amp; Digitization</t>
        </is>
      </c>
      <c r="C131" s="53" t="inlineStr">
        <is>
          <t>D2</t>
        </is>
      </c>
      <c r="D131" s="53" t="inlineStr">
        <is>
          <t>Bands D–E · Leadership</t>
        </is>
      </c>
      <c r="E131" s="38" t="str">
        <f>'RB · Data Operations &amp; Digitiza'!F8</f>
        <v>H</v>
      </c>
      <c r="F131" s="38" t="str">
        <f>'RB · Data Operations &amp; Digitiza'!J8</f>
        <v>M</v>
      </c>
      <c r="G131" s="38" t="str">
        <f>'RB · Data Operations &amp; Digitiza'!N8</f>
        <v>M</v>
      </c>
      <c r="H131" s="38" t="str">
        <f>'RB · Data Operations &amp; Digitiza'!R8</f>
        <v>M</v>
      </c>
      <c r="I131" s="38" t="str">
        <f>'RB · Data Operations &amp; Digitiza'!V8</f>
        <v>L</v>
      </c>
      <c r="J131" s="38" t="str">
        <f>'RB · Data Operations &amp; Digitiza'!Z8</f>
        <v>L</v>
      </c>
      <c r="K131" s="38" t="str">
        <f>'RB · Data Operations &amp; Digitiza'!AD8</f>
        <v>L</v>
      </c>
    </row>
    <row r="132">
      <c r="A132" s="53" t="inlineStr">
        <is>
          <t>Data Operations &amp; Digitization|D1|DE</t>
        </is>
      </c>
      <c r="B132" s="53" t="inlineStr">
        <is>
          <t>Data Operations &amp; Digitization</t>
        </is>
      </c>
      <c r="C132" s="53" t="inlineStr">
        <is>
          <t>D1</t>
        </is>
      </c>
      <c r="D132" s="53" t="inlineStr">
        <is>
          <t>Bands D–E · Leadership</t>
        </is>
      </c>
      <c r="E132" s="38" t="str">
        <f>'RB · Data Operations &amp; Digitiza'!F9</f>
        <v>H</v>
      </c>
      <c r="F132" s="38" t="str">
        <f>'RB · Data Operations &amp; Digitiza'!J9</f>
        <v>M</v>
      </c>
      <c r="G132" s="38" t="str">
        <f>'RB · Data Operations &amp; Digitiza'!N9</f>
        <v>M</v>
      </c>
      <c r="H132" s="38" t="str">
        <f>'RB · Data Operations &amp; Digitiza'!R9</f>
        <v>M</v>
      </c>
      <c r="I132" s="38" t="str">
        <f>'RB · Data Operations &amp; Digitiza'!V9</f>
        <v>L</v>
      </c>
      <c r="J132" s="38" t="str">
        <f>'RB · Data Operations &amp; Digitiza'!Z9</f>
        <v>L</v>
      </c>
      <c r="K132" s="38" t="str">
        <f>'RB · Data Operations &amp; Digitiza'!AD9</f>
        <v>L</v>
      </c>
    </row>
    <row r="133">
      <c r="A133" s="53" t="inlineStr">
        <is>
          <t>Data Operations &amp; Digitization|C+|C+</t>
        </is>
      </c>
      <c r="B133" s="53" t="inlineStr">
        <is>
          <t>Data Operations &amp; Digitization</t>
        </is>
      </c>
      <c r="C133" s="53" t="inlineStr">
        <is>
          <t>C+</t>
        </is>
      </c>
      <c r="D133" s="53" t="inlineStr">
        <is>
          <t>C+ · Player-Coach</t>
        </is>
      </c>
      <c r="E133" s="38" t="str">
        <f>'RB · Data Operations &amp; Digitiza'!F10</f>
        <v>H</v>
      </c>
      <c r="F133" s="38" t="str">
        <f>'RB · Data Operations &amp; Digitiza'!J10</f>
        <v>M</v>
      </c>
      <c r="G133" s="38" t="str">
        <f>'RB · Data Operations &amp; Digitiza'!N10</f>
        <v>M</v>
      </c>
      <c r="H133" s="38" t="str">
        <f>'RB · Data Operations &amp; Digitiza'!R10</f>
        <v>M</v>
      </c>
      <c r="I133" s="38" t="str">
        <f>'RB · Data Operations &amp; Digitiza'!V10</f>
        <v>L</v>
      </c>
      <c r="J133" s="38" t="str">
        <f>'RB · Data Operations &amp; Digitiza'!Z10</f>
        <v>L</v>
      </c>
      <c r="K133" s="38" t="str">
        <f>'RB · Data Operations &amp; Digitiza'!AD10</f>
        <v>L</v>
      </c>
    </row>
    <row r="134">
      <c r="A134" s="53" t="inlineStr">
        <is>
          <t>Data Operations &amp; Digitization|C2|C-M</t>
        </is>
      </c>
      <c r="B134" s="53" t="inlineStr">
        <is>
          <t>Data Operations &amp; Digitization</t>
        </is>
      </c>
      <c r="C134" s="53" t="inlineStr">
        <is>
          <t>C2</t>
        </is>
      </c>
      <c r="D134" s="53" t="inlineStr">
        <is>
          <t>Band C · Head / manager</t>
        </is>
      </c>
      <c r="E134" s="38" t="str">
        <f>'RB · Data Operations &amp; Digitiza'!F11</f>
        <v>H</v>
      </c>
      <c r="F134" s="38" t="str">
        <f>'RB · Data Operations &amp; Digitiza'!J11</f>
        <v>M</v>
      </c>
      <c r="G134" s="38" t="str">
        <f>'RB · Data Operations &amp; Digitiza'!N11</f>
        <v>M</v>
      </c>
      <c r="H134" s="38" t="str">
        <f>'RB · Data Operations &amp; Digitiza'!R11</f>
        <v>M</v>
      </c>
      <c r="I134" s="38" t="str">
        <f>'RB · Data Operations &amp; Digitiza'!V11</f>
        <v>L</v>
      </c>
      <c r="J134" s="38" t="str">
        <f>'RB · Data Operations &amp; Digitiza'!Z11</f>
        <v>L</v>
      </c>
      <c r="K134" s="38" t="str">
        <f>'RB · Data Operations &amp; Digitiza'!AD11</f>
        <v>L</v>
      </c>
    </row>
    <row r="135">
      <c r="A135" s="53" t="inlineStr">
        <is>
          <t>Data Operations &amp; Digitization|C2|C-IC</t>
        </is>
      </c>
      <c r="B135" s="53" t="inlineStr">
        <is>
          <t>Data Operations &amp; Digitization</t>
        </is>
      </c>
      <c r="C135" s="53" t="inlineStr">
        <is>
          <t>C2</t>
        </is>
      </c>
      <c r="D135" s="53" t="inlineStr">
        <is>
          <t>Band C · Principal specialist</t>
        </is>
      </c>
      <c r="E135" s="38" t="str">
        <f>'RB · Data Operations &amp; Digitiza'!F12</f>
        <v>H</v>
      </c>
      <c r="F135" s="38" t="str">
        <f>'RB · Data Operations &amp; Digitiza'!J12</f>
        <v>M</v>
      </c>
      <c r="G135" s="38" t="str">
        <f>'RB · Data Operations &amp; Digitiza'!N12</f>
        <v>M</v>
      </c>
      <c r="H135" s="38" t="str">
        <f>'RB · Data Operations &amp; Digitiza'!R12</f>
        <v>L</v>
      </c>
      <c r="I135" s="38" t="str">
        <f>'RB · Data Operations &amp; Digitiza'!V12</f>
        <v>L</v>
      </c>
      <c r="J135" s="38" t="str">
        <f>'RB · Data Operations &amp; Digitiza'!Z12</f>
        <v>L</v>
      </c>
      <c r="K135" s="38" t="str">
        <f>'RB · Data Operations &amp; Digitiza'!AD12</f>
        <v>L</v>
      </c>
    </row>
    <row r="136">
      <c r="A136" s="53" t="inlineStr">
        <is>
          <t>Data Operations &amp; Digitization|C1|C-M</t>
        </is>
      </c>
      <c r="B136" s="53" t="inlineStr">
        <is>
          <t>Data Operations &amp; Digitization</t>
        </is>
      </c>
      <c r="C136" s="53" t="inlineStr">
        <is>
          <t>C1</t>
        </is>
      </c>
      <c r="D136" s="53" t="inlineStr">
        <is>
          <t>Band C · Head / manager</t>
        </is>
      </c>
      <c r="E136" s="38" t="str">
        <f>'RB · Data Operations &amp; Digitiza'!F13</f>
        <v>H</v>
      </c>
      <c r="F136" s="38" t="str">
        <f>'RB · Data Operations &amp; Digitiza'!J13</f>
        <v>M</v>
      </c>
      <c r="G136" s="38" t="str">
        <f>'RB · Data Operations &amp; Digitiza'!N13</f>
        <v>M</v>
      </c>
      <c r="H136" s="38" t="str">
        <f>'RB · Data Operations &amp; Digitiza'!R13</f>
        <v>M</v>
      </c>
      <c r="I136" s="38" t="str">
        <f>'RB · Data Operations &amp; Digitiza'!V13</f>
        <v>L</v>
      </c>
      <c r="J136" s="38" t="str">
        <f>'RB · Data Operations &amp; Digitiza'!Z13</f>
        <v>L</v>
      </c>
      <c r="K136" s="38" t="str">
        <f>'RB · Data Operations &amp; Digitiza'!AD13</f>
        <v>L</v>
      </c>
    </row>
    <row r="137">
      <c r="A137" s="53" t="inlineStr">
        <is>
          <t>Data Operations &amp; Digitization|C1|C-IC</t>
        </is>
      </c>
      <c r="B137" s="53" t="inlineStr">
        <is>
          <t>Data Operations &amp; Digitization</t>
        </is>
      </c>
      <c r="C137" s="53" t="inlineStr">
        <is>
          <t>C1</t>
        </is>
      </c>
      <c r="D137" s="53" t="inlineStr">
        <is>
          <t>Band C · Principal specialist</t>
        </is>
      </c>
      <c r="E137" s="38" t="str">
        <f>'RB · Data Operations &amp; Digitiza'!F14</f>
        <v>H</v>
      </c>
      <c r="F137" s="38" t="str">
        <f>'RB · Data Operations &amp; Digitiza'!J14</f>
        <v>M</v>
      </c>
      <c r="G137" s="38" t="str">
        <f>'RB · Data Operations &amp; Digitiza'!N14</f>
        <v>M</v>
      </c>
      <c r="H137" s="38" t="str">
        <f>'RB · Data Operations &amp; Digitiza'!R14</f>
        <v>L</v>
      </c>
      <c r="I137" s="38" t="str">
        <f>'RB · Data Operations &amp; Digitiza'!V14</f>
        <v>L</v>
      </c>
      <c r="J137" s="38" t="str">
        <f>'RB · Data Operations &amp; Digitiza'!Z14</f>
        <v>L</v>
      </c>
      <c r="K137" s="38" t="str">
        <f>'RB · Data Operations &amp; Digitiza'!AD14</f>
        <v>L</v>
      </c>
    </row>
    <row r="138">
      <c r="A138" s="53" t="inlineStr">
        <is>
          <t>Data Operations &amp; Digitization|B+|B+</t>
        </is>
      </c>
      <c r="B138" s="53" t="inlineStr">
        <is>
          <t>Data Operations &amp; Digitization</t>
        </is>
      </c>
      <c r="C138" s="53" t="inlineStr">
        <is>
          <t>B+</t>
        </is>
      </c>
      <c r="D138" s="53" t="inlineStr">
        <is>
          <t>B+ · Player-Coach</t>
        </is>
      </c>
      <c r="E138" s="38" t="str">
        <f>'RB · Data Operations &amp; Digitiza'!F15</f>
        <v>H</v>
      </c>
      <c r="F138" s="38" t="str">
        <f>'RB · Data Operations &amp; Digitiza'!J15</f>
        <v>M</v>
      </c>
      <c r="G138" s="38" t="str">
        <f>'RB · Data Operations &amp; Digitiza'!N15</f>
        <v>M</v>
      </c>
      <c r="H138" s="38" t="str">
        <f>'RB · Data Operations &amp; Digitiza'!R15</f>
        <v>M</v>
      </c>
      <c r="I138" s="38" t="str">
        <f>'RB · Data Operations &amp; Digitiza'!V15</f>
        <v>L</v>
      </c>
      <c r="J138" s="38" t="str">
        <f>'RB · Data Operations &amp; Digitiza'!Z15</f>
        <v>L</v>
      </c>
      <c r="K138" s="38" t="str">
        <f>'RB · Data Operations &amp; Digitiza'!AD15</f>
        <v>L</v>
      </c>
    </row>
    <row r="139">
      <c r="A139" s="53" t="inlineStr">
        <is>
          <t>Data Operations &amp; Digitization|B3|B-M</t>
        </is>
      </c>
      <c r="B139" s="53" t="inlineStr">
        <is>
          <t>Data Operations &amp; Digitization</t>
        </is>
      </c>
      <c r="C139" s="53" t="inlineStr">
        <is>
          <t>B3</t>
        </is>
      </c>
      <c r="D139" s="53" t="inlineStr">
        <is>
          <t>Band B · People Manager</t>
        </is>
      </c>
      <c r="E139" s="38" t="str">
        <f>'RB · Data Operations &amp; Digitiza'!F16</f>
        <v>H</v>
      </c>
      <c r="F139" s="38" t="str">
        <f>'RB · Data Operations &amp; Digitiza'!J16</f>
        <v>M</v>
      </c>
      <c r="G139" s="38" t="str">
        <f>'RB · Data Operations &amp; Digitiza'!N16</f>
        <v>M</v>
      </c>
      <c r="H139" s="38" t="str">
        <f>'RB · Data Operations &amp; Digitiza'!R16</f>
        <v>M</v>
      </c>
      <c r="I139" s="38" t="str">
        <f>'RB · Data Operations &amp; Digitiza'!V16</f>
        <v>L</v>
      </c>
      <c r="J139" s="38" t="str">
        <f>'RB · Data Operations &amp; Digitiza'!Z16</f>
        <v>L</v>
      </c>
      <c r="K139" s="38" t="str">
        <f>'RB · Data Operations &amp; Digitiza'!AD16</f>
        <v>L</v>
      </c>
    </row>
    <row r="140">
      <c r="A140" s="53" t="inlineStr">
        <is>
          <t>Data Operations &amp; Digitization|B3|B-IC</t>
        </is>
      </c>
      <c r="B140" s="53" t="inlineStr">
        <is>
          <t>Data Operations &amp; Digitization</t>
        </is>
      </c>
      <c r="C140" s="53" t="inlineStr">
        <is>
          <t>B3</t>
        </is>
      </c>
      <c r="D140" s="53" t="inlineStr">
        <is>
          <t>Band B · Specialist / POD Lead</t>
        </is>
      </c>
      <c r="E140" s="38" t="str">
        <f>'RB · Data Operations &amp; Digitiza'!F17</f>
        <v>H</v>
      </c>
      <c r="F140" s="38" t="str">
        <f>'RB · Data Operations &amp; Digitiza'!J17</f>
        <v>M</v>
      </c>
      <c r="G140" s="38" t="str">
        <f>'RB · Data Operations &amp; Digitiza'!N17</f>
        <v>M</v>
      </c>
      <c r="H140" s="38" t="str">
        <f>'RB · Data Operations &amp; Digitiza'!R17</f>
        <v>L</v>
      </c>
      <c r="I140" s="38" t="str">
        <f>'RB · Data Operations &amp; Digitiza'!V17</f>
        <v>L</v>
      </c>
      <c r="J140" s="38" t="str">
        <f>'RB · Data Operations &amp; Digitiza'!Z17</f>
        <v>L</v>
      </c>
      <c r="K140" s="38" t="str">
        <f>'RB · Data Operations &amp; Digitiza'!AD17</f>
        <v>L</v>
      </c>
    </row>
    <row r="141">
      <c r="A141" s="53" t="inlineStr">
        <is>
          <t>Data Operations &amp; Digitization|B2|B-M</t>
        </is>
      </c>
      <c r="B141" s="53" t="inlineStr">
        <is>
          <t>Data Operations &amp; Digitization</t>
        </is>
      </c>
      <c r="C141" s="53" t="inlineStr">
        <is>
          <t>B2</t>
        </is>
      </c>
      <c r="D141" s="53" t="inlineStr">
        <is>
          <t>Band B · People Manager</t>
        </is>
      </c>
      <c r="E141" s="38" t="str">
        <f>'RB · Data Operations &amp; Digitiza'!F18</f>
        <v>H</v>
      </c>
      <c r="F141" s="38" t="str">
        <f>'RB · Data Operations &amp; Digitiza'!J18</f>
        <v>M</v>
      </c>
      <c r="G141" s="38" t="str">
        <f>'RB · Data Operations &amp; Digitiza'!N18</f>
        <v>M</v>
      </c>
      <c r="H141" s="38" t="str">
        <f>'RB · Data Operations &amp; Digitiza'!R18</f>
        <v>M</v>
      </c>
      <c r="I141" s="38" t="str">
        <f>'RB · Data Operations &amp; Digitiza'!V18</f>
        <v>L</v>
      </c>
      <c r="J141" s="38" t="str">
        <f>'RB · Data Operations &amp; Digitiza'!Z18</f>
        <v>L</v>
      </c>
      <c r="K141" s="38" t="str">
        <f>'RB · Data Operations &amp; Digitiza'!AD18</f>
        <v>L</v>
      </c>
    </row>
    <row r="142">
      <c r="A142" s="53" t="inlineStr">
        <is>
          <t>Data Operations &amp; Digitization|B2|B-IC</t>
        </is>
      </c>
      <c r="B142" s="53" t="inlineStr">
        <is>
          <t>Data Operations &amp; Digitization</t>
        </is>
      </c>
      <c r="C142" s="53" t="inlineStr">
        <is>
          <t>B2</t>
        </is>
      </c>
      <c r="D142" s="53" t="inlineStr">
        <is>
          <t>Band B · Specialist / POD Lead</t>
        </is>
      </c>
      <c r="E142" s="38" t="str">
        <f>'RB · Data Operations &amp; Digitiza'!F19</f>
        <v>H</v>
      </c>
      <c r="F142" s="38" t="str">
        <f>'RB · Data Operations &amp; Digitiza'!J19</f>
        <v>M</v>
      </c>
      <c r="G142" s="38" t="str">
        <f>'RB · Data Operations &amp; Digitiza'!N19</f>
        <v>M</v>
      </c>
      <c r="H142" s="38" t="str">
        <f>'RB · Data Operations &amp; Digitiza'!R19</f>
        <v>L</v>
      </c>
      <c r="I142" s="38" t="str">
        <f>'RB · Data Operations &amp; Digitiza'!V19</f>
        <v>L</v>
      </c>
      <c r="J142" s="38" t="str">
        <f>'RB · Data Operations &amp; Digitiza'!Z19</f>
        <v>L</v>
      </c>
      <c r="K142" s="38" t="str">
        <f>'RB · Data Operations &amp; Digitiza'!AD19</f>
        <v>L</v>
      </c>
    </row>
    <row r="143">
      <c r="A143" s="53" t="inlineStr">
        <is>
          <t>Data Operations &amp; Digitization|B1|B-M</t>
        </is>
      </c>
      <c r="B143" s="53" t="inlineStr">
        <is>
          <t>Data Operations &amp; Digitization</t>
        </is>
      </c>
      <c r="C143" s="53" t="inlineStr">
        <is>
          <t>B1</t>
        </is>
      </c>
      <c r="D143" s="53" t="inlineStr">
        <is>
          <t>Band B · People Manager</t>
        </is>
      </c>
      <c r="E143" s="38" t="str">
        <f>'RB · Data Operations &amp; Digitiza'!F20</f>
        <v>H</v>
      </c>
      <c r="F143" s="38" t="str">
        <f>'RB · Data Operations &amp; Digitiza'!J20</f>
        <v>M</v>
      </c>
      <c r="G143" s="38" t="str">
        <f>'RB · Data Operations &amp; Digitiza'!N20</f>
        <v>M</v>
      </c>
      <c r="H143" s="38" t="str">
        <f>'RB · Data Operations &amp; Digitiza'!R20</f>
        <v>M</v>
      </c>
      <c r="I143" s="38" t="str">
        <f>'RB · Data Operations &amp; Digitiza'!V20</f>
        <v>L</v>
      </c>
      <c r="J143" s="38" t="str">
        <f>'RB · Data Operations &amp; Digitiza'!Z20</f>
        <v>L</v>
      </c>
      <c r="K143" s="38" t="str">
        <f>'RB · Data Operations &amp; Digitiza'!AD20</f>
        <v>L</v>
      </c>
    </row>
    <row r="144">
      <c r="A144" s="53" t="inlineStr">
        <is>
          <t>Data Operations &amp; Digitization|B1|B-IC</t>
        </is>
      </c>
      <c r="B144" s="53" t="inlineStr">
        <is>
          <t>Data Operations &amp; Digitization</t>
        </is>
      </c>
      <c r="C144" s="53" t="inlineStr">
        <is>
          <t>B1</t>
        </is>
      </c>
      <c r="D144" s="53" t="inlineStr">
        <is>
          <t>Band B · Specialist / POD Lead</t>
        </is>
      </c>
      <c r="E144" s="38" t="str">
        <f>'RB · Data Operations &amp; Digitiza'!F21</f>
        <v>H</v>
      </c>
      <c r="F144" s="38" t="str">
        <f>'RB · Data Operations &amp; Digitiza'!J21</f>
        <v>M</v>
      </c>
      <c r="G144" s="38" t="str">
        <f>'RB · Data Operations &amp; Digitiza'!N21</f>
        <v>M</v>
      </c>
      <c r="H144" s="38" t="str">
        <f>'RB · Data Operations &amp; Digitiza'!R21</f>
        <v>L</v>
      </c>
      <c r="I144" s="38" t="str">
        <f>'RB · Data Operations &amp; Digitiza'!V21</f>
        <v>L</v>
      </c>
      <c r="J144" s="38" t="str">
        <f>'RB · Data Operations &amp; Digitiza'!Z21</f>
        <v>L</v>
      </c>
      <c r="K144" s="38" t="str">
        <f>'RB · Data Operations &amp; Digitiza'!AD21</f>
        <v>L</v>
      </c>
    </row>
    <row r="145">
      <c r="A145" s="53" t="inlineStr">
        <is>
          <t>Data Operations &amp; Digitization|A3|A</t>
        </is>
      </c>
      <c r="B145" s="53" t="inlineStr">
        <is>
          <t>Data Operations &amp; Digitization</t>
        </is>
      </c>
      <c r="C145" s="53" t="inlineStr">
        <is>
          <t>A3</t>
        </is>
      </c>
      <c r="D145" s="53" t="inlineStr">
        <is>
          <t>Band A · all tracks</t>
        </is>
      </c>
      <c r="E145" s="38" t="str">
        <f>'RB · Data Operations &amp; Digitiza'!F22</f>
        <v>H</v>
      </c>
      <c r="F145" s="38" t="str">
        <f>'RB · Data Operations &amp; Digitiza'!J22</f>
        <v>M</v>
      </c>
      <c r="G145" s="38" t="str">
        <f>'RB · Data Operations &amp; Digitiza'!N22</f>
        <v>M</v>
      </c>
      <c r="H145" s="38" t="str">
        <f>'RB · Data Operations &amp; Digitiza'!R22</f>
        <v>L</v>
      </c>
      <c r="I145" s="38" t="str">
        <f>'RB · Data Operations &amp; Digitiza'!V22</f>
        <v>L</v>
      </c>
      <c r="J145" s="38" t="str">
        <f>'RB · Data Operations &amp; Digitiza'!Z22</f>
        <v>L</v>
      </c>
      <c r="K145" s="38" t="str">
        <f>'RB · Data Operations &amp; Digitiza'!AD22</f>
        <v>L</v>
      </c>
    </row>
    <row r="146">
      <c r="A146" s="53" t="inlineStr">
        <is>
          <t>Data Operations &amp; Digitization|A2|A</t>
        </is>
      </c>
      <c r="B146" s="53" t="inlineStr">
        <is>
          <t>Data Operations &amp; Digitization</t>
        </is>
      </c>
      <c r="C146" s="53" t="inlineStr">
        <is>
          <t>A2</t>
        </is>
      </c>
      <c r="D146" s="53" t="inlineStr">
        <is>
          <t>Band A · all tracks</t>
        </is>
      </c>
      <c r="E146" s="38" t="str">
        <f>'RB · Data Operations &amp; Digitiza'!F23</f>
        <v>H</v>
      </c>
      <c r="F146" s="38" t="str">
        <f>'RB · Data Operations &amp; Digitiza'!J23</f>
        <v>M</v>
      </c>
      <c r="G146" s="38" t="str">
        <f>'RB · Data Operations &amp; Digitiza'!N23</f>
        <v>M</v>
      </c>
      <c r="H146" s="38" t="str">
        <f>'RB · Data Operations &amp; Digitiza'!R23</f>
        <v>L</v>
      </c>
      <c r="I146" s="38" t="str">
        <f>'RB · Data Operations &amp; Digitiza'!V23</f>
        <v>L</v>
      </c>
      <c r="J146" s="38" t="str">
        <f>'RB · Data Operations &amp; Digitiza'!Z23</f>
        <v>L</v>
      </c>
      <c r="K146" s="38" t="str">
        <f>'RB · Data Operations &amp; Digitiza'!AD23</f>
        <v>L</v>
      </c>
    </row>
    <row r="147">
      <c r="A147" s="53" t="inlineStr">
        <is>
          <t>Data Operations &amp; Digitization|A1|A</t>
        </is>
      </c>
      <c r="B147" s="53" t="inlineStr">
        <is>
          <t>Data Operations &amp; Digitization</t>
        </is>
      </c>
      <c r="C147" s="53" t="inlineStr">
        <is>
          <t>A1</t>
        </is>
      </c>
      <c r="D147" s="53" t="inlineStr">
        <is>
          <t>Band A · all tracks</t>
        </is>
      </c>
      <c r="E147" s="38" t="str">
        <f>'RB · Data Operations &amp; Digitiza'!F24</f>
        <v>H</v>
      </c>
      <c r="F147" s="38" t="str">
        <f>'RB · Data Operations &amp; Digitiza'!J24</f>
        <v>M</v>
      </c>
      <c r="G147" s="38" t="str">
        <f>'RB · Data Operations &amp; Digitiza'!N24</f>
        <v>M</v>
      </c>
      <c r="H147" s="38" t="str">
        <f>'RB · Data Operations &amp; Digitiza'!R24</f>
        <v>L</v>
      </c>
      <c r="I147" s="38" t="str">
        <f>'RB · Data Operations &amp; Digitiza'!V24</f>
        <v>L</v>
      </c>
      <c r="J147" s="38" t="str">
        <f>'RB · Data Operations &amp; Digitiza'!Z24</f>
        <v>L</v>
      </c>
      <c r="K147" s="38" t="str">
        <f>'RB · Data Operations &amp; Digitiza'!AD24</f>
        <v>L</v>
      </c>
    </row>
    <row r="148">
      <c r="A148" s="53" t="inlineStr">
        <is>
          <t>Design &amp; Creative|E2|DE</t>
        </is>
      </c>
      <c r="B148" s="53" t="inlineStr">
        <is>
          <t>Design &amp; Creative</t>
        </is>
      </c>
      <c r="C148" s="53" t="inlineStr">
        <is>
          <t>E2</t>
        </is>
      </c>
      <c r="D148" s="53" t="inlineStr">
        <is>
          <t>Bands D–E · Leadership</t>
        </is>
      </c>
      <c r="E148" s="38" t="str">
        <f>'RB · Design &amp; Creative'!F6</f>
        <v>H</v>
      </c>
      <c r="F148" s="38" t="str">
        <f>'RB · Design &amp; Creative'!J6</f>
        <v>M</v>
      </c>
      <c r="G148" s="38" t="str">
        <f>'RB · Design &amp; Creative'!N6</f>
        <v>M</v>
      </c>
      <c r="H148" s="38" t="str">
        <f>'RB · Design &amp; Creative'!R6</f>
        <v>M</v>
      </c>
      <c r="I148" s="38" t="str">
        <f>'RB · Design &amp; Creative'!V6</f>
        <v>L</v>
      </c>
      <c r="J148" s="38" t="str">
        <f>'RB · Design &amp; Creative'!Z6</f>
        <v>L</v>
      </c>
      <c r="K148" s="38" t="str">
        <f>'RB · Design &amp; Creative'!AD6</f>
        <v>L</v>
      </c>
    </row>
    <row r="149">
      <c r="A149" s="53" t="inlineStr">
        <is>
          <t>Design &amp; Creative|E1|DE</t>
        </is>
      </c>
      <c r="B149" s="53" t="inlineStr">
        <is>
          <t>Design &amp; Creative</t>
        </is>
      </c>
      <c r="C149" s="53" t="inlineStr">
        <is>
          <t>E1</t>
        </is>
      </c>
      <c r="D149" s="53" t="inlineStr">
        <is>
          <t>Bands D–E · Leadership</t>
        </is>
      </c>
      <c r="E149" s="38" t="str">
        <f>'RB · Design &amp; Creative'!F7</f>
        <v>H</v>
      </c>
      <c r="F149" s="38" t="str">
        <f>'RB · Design &amp; Creative'!J7</f>
        <v>M</v>
      </c>
      <c r="G149" s="38" t="str">
        <f>'RB · Design &amp; Creative'!N7</f>
        <v>M</v>
      </c>
      <c r="H149" s="38" t="str">
        <f>'RB · Design &amp; Creative'!R7</f>
        <v>M</v>
      </c>
      <c r="I149" s="38" t="str">
        <f>'RB · Design &amp; Creative'!V7</f>
        <v>L</v>
      </c>
      <c r="J149" s="38" t="str">
        <f>'RB · Design &amp; Creative'!Z7</f>
        <v>L</v>
      </c>
      <c r="K149" s="38" t="str">
        <f>'RB · Design &amp; Creative'!AD7</f>
        <v>L</v>
      </c>
    </row>
    <row r="150">
      <c r="A150" s="53" t="inlineStr">
        <is>
          <t>Design &amp; Creative|D2|DE</t>
        </is>
      </c>
      <c r="B150" s="53" t="inlineStr">
        <is>
          <t>Design &amp; Creative</t>
        </is>
      </c>
      <c r="C150" s="53" t="inlineStr">
        <is>
          <t>D2</t>
        </is>
      </c>
      <c r="D150" s="53" t="inlineStr">
        <is>
          <t>Bands D–E · Leadership</t>
        </is>
      </c>
      <c r="E150" s="38" t="str">
        <f>'RB · Design &amp; Creative'!F8</f>
        <v>H</v>
      </c>
      <c r="F150" s="38" t="str">
        <f>'RB · Design &amp; Creative'!J8</f>
        <v>M</v>
      </c>
      <c r="G150" s="38" t="str">
        <f>'RB · Design &amp; Creative'!N8</f>
        <v>M</v>
      </c>
      <c r="H150" s="38" t="str">
        <f>'RB · Design &amp; Creative'!R8</f>
        <v>M</v>
      </c>
      <c r="I150" s="38" t="str">
        <f>'RB · Design &amp; Creative'!V8</f>
        <v>L</v>
      </c>
      <c r="J150" s="38" t="str">
        <f>'RB · Design &amp; Creative'!Z8</f>
        <v>L</v>
      </c>
      <c r="K150" s="38" t="str">
        <f>'RB · Design &amp; Creative'!AD8</f>
        <v>L</v>
      </c>
    </row>
    <row r="151">
      <c r="A151" s="53" t="inlineStr">
        <is>
          <t>Design &amp; Creative|D1|DE</t>
        </is>
      </c>
      <c r="B151" s="53" t="inlineStr">
        <is>
          <t>Design &amp; Creative</t>
        </is>
      </c>
      <c r="C151" s="53" t="inlineStr">
        <is>
          <t>D1</t>
        </is>
      </c>
      <c r="D151" s="53" t="inlineStr">
        <is>
          <t>Bands D–E · Leadership</t>
        </is>
      </c>
      <c r="E151" s="38" t="str">
        <f>'RB · Design &amp; Creative'!F9</f>
        <v>H</v>
      </c>
      <c r="F151" s="38" t="str">
        <f>'RB · Design &amp; Creative'!J9</f>
        <v>M</v>
      </c>
      <c r="G151" s="38" t="str">
        <f>'RB · Design &amp; Creative'!N9</f>
        <v>M</v>
      </c>
      <c r="H151" s="38" t="str">
        <f>'RB · Design &amp; Creative'!R9</f>
        <v>M</v>
      </c>
      <c r="I151" s="38" t="str">
        <f>'RB · Design &amp; Creative'!V9</f>
        <v>L</v>
      </c>
      <c r="J151" s="38" t="str">
        <f>'RB · Design &amp; Creative'!Z9</f>
        <v>L</v>
      </c>
      <c r="K151" s="38" t="str">
        <f>'RB · Design &amp; Creative'!AD9</f>
        <v>L</v>
      </c>
    </row>
    <row r="152">
      <c r="A152" s="53" t="inlineStr">
        <is>
          <t>Design &amp; Creative|C+|C+</t>
        </is>
      </c>
      <c r="B152" s="53" t="inlineStr">
        <is>
          <t>Design &amp; Creative</t>
        </is>
      </c>
      <c r="C152" s="53" t="inlineStr">
        <is>
          <t>C+</t>
        </is>
      </c>
      <c r="D152" s="53" t="inlineStr">
        <is>
          <t>C+ · Player-Coach</t>
        </is>
      </c>
      <c r="E152" s="38" t="str">
        <f>'RB · Design &amp; Creative'!F10</f>
        <v>H</v>
      </c>
      <c r="F152" s="38" t="str">
        <f>'RB · Design &amp; Creative'!J10</f>
        <v>M</v>
      </c>
      <c r="G152" s="38" t="str">
        <f>'RB · Design &amp; Creative'!N10</f>
        <v>M</v>
      </c>
      <c r="H152" s="38" t="str">
        <f>'RB · Design &amp; Creative'!R10</f>
        <v>M</v>
      </c>
      <c r="I152" s="38" t="str">
        <f>'RB · Design &amp; Creative'!V10</f>
        <v>L</v>
      </c>
      <c r="J152" s="38" t="str">
        <f>'RB · Design &amp; Creative'!Z10</f>
        <v>L</v>
      </c>
      <c r="K152" s="38" t="str">
        <f>'RB · Design &amp; Creative'!AD10</f>
        <v>L</v>
      </c>
    </row>
    <row r="153">
      <c r="A153" s="53" t="inlineStr">
        <is>
          <t>Design &amp; Creative|C2|C-M</t>
        </is>
      </c>
      <c r="B153" s="53" t="inlineStr">
        <is>
          <t>Design &amp; Creative</t>
        </is>
      </c>
      <c r="C153" s="53" t="inlineStr">
        <is>
          <t>C2</t>
        </is>
      </c>
      <c r="D153" s="53" t="inlineStr">
        <is>
          <t>Band C · Head / manager</t>
        </is>
      </c>
      <c r="E153" s="38" t="str">
        <f>'RB · Design &amp; Creative'!F11</f>
        <v>H</v>
      </c>
      <c r="F153" s="38" t="str">
        <f>'RB · Design &amp; Creative'!J11</f>
        <v>M</v>
      </c>
      <c r="G153" s="38" t="str">
        <f>'RB · Design &amp; Creative'!N11</f>
        <v>L</v>
      </c>
      <c r="H153" s="38" t="str">
        <f>'RB · Design &amp; Creative'!R11</f>
        <v>M</v>
      </c>
      <c r="I153" s="38" t="str">
        <f>'RB · Design &amp; Creative'!V11</f>
        <v>M</v>
      </c>
      <c r="J153" s="38" t="str">
        <f>'RB · Design &amp; Creative'!Z11</f>
        <v>L</v>
      </c>
      <c r="K153" s="38" t="str">
        <f>'RB · Design &amp; Creative'!AD11</f>
        <v>L</v>
      </c>
    </row>
    <row r="154">
      <c r="A154" s="53" t="inlineStr">
        <is>
          <t>Design &amp; Creative|C2|C-IC</t>
        </is>
      </c>
      <c r="B154" s="53" t="inlineStr">
        <is>
          <t>Design &amp; Creative</t>
        </is>
      </c>
      <c r="C154" s="53" t="inlineStr">
        <is>
          <t>C2</t>
        </is>
      </c>
      <c r="D154" s="53" t="inlineStr">
        <is>
          <t>Band C · Principal specialist</t>
        </is>
      </c>
      <c r="E154" s="38" t="str">
        <f>'RB · Design &amp; Creative'!F12</f>
        <v>H</v>
      </c>
      <c r="F154" s="38" t="str">
        <f>'RB · Design &amp; Creative'!J12</f>
        <v>M</v>
      </c>
      <c r="G154" s="38" t="str">
        <f>'RB · Design &amp; Creative'!N12</f>
        <v>L</v>
      </c>
      <c r="H154" s="38" t="str">
        <f>'RB · Design &amp; Creative'!R12</f>
        <v>L</v>
      </c>
      <c r="I154" s="38" t="str">
        <f>'RB · Design &amp; Creative'!V12</f>
        <v>M</v>
      </c>
      <c r="J154" s="38" t="str">
        <f>'RB · Design &amp; Creative'!Z12</f>
        <v>L</v>
      </c>
      <c r="K154" s="38" t="str">
        <f>'RB · Design &amp; Creative'!AD12</f>
        <v>L</v>
      </c>
    </row>
    <row r="155">
      <c r="A155" s="53" t="inlineStr">
        <is>
          <t>Design &amp; Creative|C1|C-M</t>
        </is>
      </c>
      <c r="B155" s="53" t="inlineStr">
        <is>
          <t>Design &amp; Creative</t>
        </is>
      </c>
      <c r="C155" s="53" t="inlineStr">
        <is>
          <t>C1</t>
        </is>
      </c>
      <c r="D155" s="53" t="inlineStr">
        <is>
          <t>Band C · Head / manager</t>
        </is>
      </c>
      <c r="E155" s="38" t="str">
        <f>'RB · Design &amp; Creative'!F13</f>
        <v>H</v>
      </c>
      <c r="F155" s="38" t="str">
        <f>'RB · Design &amp; Creative'!J13</f>
        <v>M</v>
      </c>
      <c r="G155" s="38" t="str">
        <f>'RB · Design &amp; Creative'!N13</f>
        <v>L</v>
      </c>
      <c r="H155" s="38" t="str">
        <f>'RB · Design &amp; Creative'!R13</f>
        <v>M</v>
      </c>
      <c r="I155" s="38" t="str">
        <f>'RB · Design &amp; Creative'!V13</f>
        <v>M</v>
      </c>
      <c r="J155" s="38" t="str">
        <f>'RB · Design &amp; Creative'!Z13</f>
        <v>L</v>
      </c>
      <c r="K155" s="38" t="str">
        <f>'RB · Design &amp; Creative'!AD13</f>
        <v>L</v>
      </c>
    </row>
    <row r="156">
      <c r="A156" s="53" t="inlineStr">
        <is>
          <t>Design &amp; Creative|C1|C-IC</t>
        </is>
      </c>
      <c r="B156" s="53" t="inlineStr">
        <is>
          <t>Design &amp; Creative</t>
        </is>
      </c>
      <c r="C156" s="53" t="inlineStr">
        <is>
          <t>C1</t>
        </is>
      </c>
      <c r="D156" s="53" t="inlineStr">
        <is>
          <t>Band C · Principal specialist</t>
        </is>
      </c>
      <c r="E156" s="38" t="str">
        <f>'RB · Design &amp; Creative'!F14</f>
        <v>H</v>
      </c>
      <c r="F156" s="38" t="str">
        <f>'RB · Design &amp; Creative'!J14</f>
        <v>M</v>
      </c>
      <c r="G156" s="38" t="str">
        <f>'RB · Design &amp; Creative'!N14</f>
        <v>L</v>
      </c>
      <c r="H156" s="38" t="str">
        <f>'RB · Design &amp; Creative'!R14</f>
        <v>L</v>
      </c>
      <c r="I156" s="38" t="str">
        <f>'RB · Design &amp; Creative'!V14</f>
        <v>M</v>
      </c>
      <c r="J156" s="38" t="str">
        <f>'RB · Design &amp; Creative'!Z14</f>
        <v>L</v>
      </c>
      <c r="K156" s="38" t="str">
        <f>'RB · Design &amp; Creative'!AD14</f>
        <v>L</v>
      </c>
    </row>
    <row r="157">
      <c r="A157" s="53" t="inlineStr">
        <is>
          <t>Design &amp; Creative|B+|B+</t>
        </is>
      </c>
      <c r="B157" s="53" t="inlineStr">
        <is>
          <t>Design &amp; Creative</t>
        </is>
      </c>
      <c r="C157" s="53" t="inlineStr">
        <is>
          <t>B+</t>
        </is>
      </c>
      <c r="D157" s="53" t="inlineStr">
        <is>
          <t>B+ · Player-Coach</t>
        </is>
      </c>
      <c r="E157" s="38" t="str">
        <f>'RB · Design &amp; Creative'!F15</f>
        <v>H</v>
      </c>
      <c r="F157" s="38" t="str">
        <f>'RB · Design &amp; Creative'!J15</f>
        <v>M</v>
      </c>
      <c r="G157" s="38" t="str">
        <f>'RB · Design &amp; Creative'!N15</f>
        <v>L</v>
      </c>
      <c r="H157" s="38" t="str">
        <f>'RB · Design &amp; Creative'!R15</f>
        <v>M</v>
      </c>
      <c r="I157" s="38" t="str">
        <f>'RB · Design &amp; Creative'!V15</f>
        <v>M</v>
      </c>
      <c r="J157" s="38" t="str">
        <f>'RB · Design &amp; Creative'!Z15</f>
        <v>L</v>
      </c>
      <c r="K157" s="38" t="str">
        <f>'RB · Design &amp; Creative'!AD15</f>
        <v>L</v>
      </c>
    </row>
    <row r="158">
      <c r="A158" s="53" t="inlineStr">
        <is>
          <t>Design &amp; Creative|B3|B-M</t>
        </is>
      </c>
      <c r="B158" s="53" t="inlineStr">
        <is>
          <t>Design &amp; Creative</t>
        </is>
      </c>
      <c r="C158" s="53" t="inlineStr">
        <is>
          <t>B3</t>
        </is>
      </c>
      <c r="D158" s="53" t="inlineStr">
        <is>
          <t>Band B · People Manager</t>
        </is>
      </c>
      <c r="E158" s="38" t="str">
        <f>'RB · Design &amp; Creative'!F16</f>
        <v>H</v>
      </c>
      <c r="F158" s="38" t="str">
        <f>'RB · Design &amp; Creative'!J16</f>
        <v>M</v>
      </c>
      <c r="G158" s="38" t="str">
        <f>'RB · Design &amp; Creative'!N16</f>
        <v>L</v>
      </c>
      <c r="H158" s="38" t="str">
        <f>'RB · Design &amp; Creative'!R16</f>
        <v>M</v>
      </c>
      <c r="I158" s="38" t="str">
        <f>'RB · Design &amp; Creative'!V16</f>
        <v>M</v>
      </c>
      <c r="J158" s="38" t="str">
        <f>'RB · Design &amp; Creative'!Z16</f>
        <v>L</v>
      </c>
      <c r="K158" s="38" t="str">
        <f>'RB · Design &amp; Creative'!AD16</f>
        <v>L</v>
      </c>
    </row>
    <row r="159">
      <c r="A159" s="53" t="inlineStr">
        <is>
          <t>Design &amp; Creative|B3|B-IC</t>
        </is>
      </c>
      <c r="B159" s="53" t="inlineStr">
        <is>
          <t>Design &amp; Creative</t>
        </is>
      </c>
      <c r="C159" s="53" t="inlineStr">
        <is>
          <t>B3</t>
        </is>
      </c>
      <c r="D159" s="53" t="inlineStr">
        <is>
          <t>Band B · Specialist / POD Lead</t>
        </is>
      </c>
      <c r="E159" s="38" t="str">
        <f>'RB · Design &amp; Creative'!F17</f>
        <v>H</v>
      </c>
      <c r="F159" s="38" t="str">
        <f>'RB · Design &amp; Creative'!J17</f>
        <v>M</v>
      </c>
      <c r="G159" s="38" t="str">
        <f>'RB · Design &amp; Creative'!N17</f>
        <v>L</v>
      </c>
      <c r="H159" s="38" t="str">
        <f>'RB · Design &amp; Creative'!R17</f>
        <v>L</v>
      </c>
      <c r="I159" s="38" t="str">
        <f>'RB · Design &amp; Creative'!V17</f>
        <v>M</v>
      </c>
      <c r="J159" s="38" t="str">
        <f>'RB · Design &amp; Creative'!Z17</f>
        <v>L</v>
      </c>
      <c r="K159" s="38" t="str">
        <f>'RB · Design &amp; Creative'!AD17</f>
        <v>L</v>
      </c>
    </row>
    <row r="160">
      <c r="A160" s="53" t="inlineStr">
        <is>
          <t>Design &amp; Creative|B2|B-M</t>
        </is>
      </c>
      <c r="B160" s="53" t="inlineStr">
        <is>
          <t>Design &amp; Creative</t>
        </is>
      </c>
      <c r="C160" s="53" t="inlineStr">
        <is>
          <t>B2</t>
        </is>
      </c>
      <c r="D160" s="53" t="inlineStr">
        <is>
          <t>Band B · People Manager</t>
        </is>
      </c>
      <c r="E160" s="38" t="str">
        <f>'RB · Design &amp; Creative'!F18</f>
        <v>H</v>
      </c>
      <c r="F160" s="38" t="str">
        <f>'RB · Design &amp; Creative'!J18</f>
        <v>M</v>
      </c>
      <c r="G160" s="38" t="str">
        <f>'RB · Design &amp; Creative'!N18</f>
        <v>L</v>
      </c>
      <c r="H160" s="38" t="str">
        <f>'RB · Design &amp; Creative'!R18</f>
        <v>M</v>
      </c>
      <c r="I160" s="38" t="str">
        <f>'RB · Design &amp; Creative'!V18</f>
        <v>M</v>
      </c>
      <c r="J160" s="38" t="str">
        <f>'RB · Design &amp; Creative'!Z18</f>
        <v>L</v>
      </c>
      <c r="K160" s="38" t="str">
        <f>'RB · Design &amp; Creative'!AD18</f>
        <v>L</v>
      </c>
    </row>
    <row r="161">
      <c r="A161" s="53" t="inlineStr">
        <is>
          <t>Design &amp; Creative|B2|B-IC</t>
        </is>
      </c>
      <c r="B161" s="53" t="inlineStr">
        <is>
          <t>Design &amp; Creative</t>
        </is>
      </c>
      <c r="C161" s="53" t="inlineStr">
        <is>
          <t>B2</t>
        </is>
      </c>
      <c r="D161" s="53" t="inlineStr">
        <is>
          <t>Band B · Specialist / POD Lead</t>
        </is>
      </c>
      <c r="E161" s="38" t="str">
        <f>'RB · Design &amp; Creative'!F19</f>
        <v>H</v>
      </c>
      <c r="F161" s="38" t="str">
        <f>'RB · Design &amp; Creative'!J19</f>
        <v>M</v>
      </c>
      <c r="G161" s="38" t="str">
        <f>'RB · Design &amp; Creative'!N19</f>
        <v>L</v>
      </c>
      <c r="H161" s="38" t="str">
        <f>'RB · Design &amp; Creative'!R19</f>
        <v>L</v>
      </c>
      <c r="I161" s="38" t="str">
        <f>'RB · Design &amp; Creative'!V19</f>
        <v>M</v>
      </c>
      <c r="J161" s="38" t="str">
        <f>'RB · Design &amp; Creative'!Z19</f>
        <v>L</v>
      </c>
      <c r="K161" s="38" t="str">
        <f>'RB · Design &amp; Creative'!AD19</f>
        <v>L</v>
      </c>
    </row>
    <row r="162">
      <c r="A162" s="53" t="inlineStr">
        <is>
          <t>Design &amp; Creative|B1|B-M</t>
        </is>
      </c>
      <c r="B162" s="53" t="inlineStr">
        <is>
          <t>Design &amp; Creative</t>
        </is>
      </c>
      <c r="C162" s="53" t="inlineStr">
        <is>
          <t>B1</t>
        </is>
      </c>
      <c r="D162" s="53" t="inlineStr">
        <is>
          <t>Band B · People Manager</t>
        </is>
      </c>
      <c r="E162" s="38" t="str">
        <f>'RB · Design &amp; Creative'!F20</f>
        <v>H</v>
      </c>
      <c r="F162" s="38" t="str">
        <f>'RB · Design &amp; Creative'!J20</f>
        <v>M</v>
      </c>
      <c r="G162" s="38" t="str">
        <f>'RB · Design &amp; Creative'!N20</f>
        <v>L</v>
      </c>
      <c r="H162" s="38" t="str">
        <f>'RB · Design &amp; Creative'!R20</f>
        <v>M</v>
      </c>
      <c r="I162" s="38" t="str">
        <f>'RB · Design &amp; Creative'!V20</f>
        <v>M</v>
      </c>
      <c r="J162" s="38" t="str">
        <f>'RB · Design &amp; Creative'!Z20</f>
        <v>L</v>
      </c>
      <c r="K162" s="38" t="str">
        <f>'RB · Design &amp; Creative'!AD20</f>
        <v>L</v>
      </c>
    </row>
    <row r="163">
      <c r="A163" s="53" t="inlineStr">
        <is>
          <t>Design &amp; Creative|B1|B-IC</t>
        </is>
      </c>
      <c r="B163" s="53" t="inlineStr">
        <is>
          <t>Design &amp; Creative</t>
        </is>
      </c>
      <c r="C163" s="53" t="inlineStr">
        <is>
          <t>B1</t>
        </is>
      </c>
      <c r="D163" s="53" t="inlineStr">
        <is>
          <t>Band B · Specialist / POD Lead</t>
        </is>
      </c>
      <c r="E163" s="38" t="str">
        <f>'RB · Design &amp; Creative'!F21</f>
        <v>H</v>
      </c>
      <c r="F163" s="38" t="str">
        <f>'RB · Design &amp; Creative'!J21</f>
        <v>M</v>
      </c>
      <c r="G163" s="38" t="str">
        <f>'RB · Design &amp; Creative'!N21</f>
        <v>L</v>
      </c>
      <c r="H163" s="38" t="str">
        <f>'RB · Design &amp; Creative'!R21</f>
        <v>L</v>
      </c>
      <c r="I163" s="38" t="str">
        <f>'RB · Design &amp; Creative'!V21</f>
        <v>M</v>
      </c>
      <c r="J163" s="38" t="str">
        <f>'RB · Design &amp; Creative'!Z21</f>
        <v>L</v>
      </c>
      <c r="K163" s="38" t="str">
        <f>'RB · Design &amp; Creative'!AD21</f>
        <v>L</v>
      </c>
    </row>
    <row r="164">
      <c r="A164" s="53" t="inlineStr">
        <is>
          <t>Design &amp; Creative|A3|A</t>
        </is>
      </c>
      <c r="B164" s="53" t="inlineStr">
        <is>
          <t>Design &amp; Creative</t>
        </is>
      </c>
      <c r="C164" s="53" t="inlineStr">
        <is>
          <t>A3</t>
        </is>
      </c>
      <c r="D164" s="53" t="inlineStr">
        <is>
          <t>Band A · all tracks</t>
        </is>
      </c>
      <c r="E164" s="38" t="str">
        <f>'RB · Design &amp; Creative'!F22</f>
        <v>H</v>
      </c>
      <c r="F164" s="38" t="str">
        <f>'RB · Design &amp; Creative'!J22</f>
        <v>M</v>
      </c>
      <c r="G164" s="38" t="str">
        <f>'RB · Design &amp; Creative'!N22</f>
        <v>L</v>
      </c>
      <c r="H164" s="38" t="str">
        <f>'RB · Design &amp; Creative'!R22</f>
        <v>L</v>
      </c>
      <c r="I164" s="38" t="str">
        <f>'RB · Design &amp; Creative'!V22</f>
        <v>M</v>
      </c>
      <c r="J164" s="38" t="str">
        <f>'RB · Design &amp; Creative'!Z22</f>
        <v>L</v>
      </c>
      <c r="K164" s="38" t="str">
        <f>'RB · Design &amp; Creative'!AD22</f>
        <v>L</v>
      </c>
    </row>
    <row r="165">
      <c r="A165" s="53" t="inlineStr">
        <is>
          <t>Design &amp; Creative|A2|A</t>
        </is>
      </c>
      <c r="B165" s="53" t="inlineStr">
        <is>
          <t>Design &amp; Creative</t>
        </is>
      </c>
      <c r="C165" s="53" t="inlineStr">
        <is>
          <t>A2</t>
        </is>
      </c>
      <c r="D165" s="53" t="inlineStr">
        <is>
          <t>Band A · all tracks</t>
        </is>
      </c>
      <c r="E165" s="38" t="str">
        <f>'RB · Design &amp; Creative'!F23</f>
        <v>H</v>
      </c>
      <c r="F165" s="38" t="str">
        <f>'RB · Design &amp; Creative'!J23</f>
        <v>M</v>
      </c>
      <c r="G165" s="38" t="str">
        <f>'RB · Design &amp; Creative'!N23</f>
        <v>L</v>
      </c>
      <c r="H165" s="38" t="str">
        <f>'RB · Design &amp; Creative'!R23</f>
        <v>L</v>
      </c>
      <c r="I165" s="38" t="str">
        <f>'RB · Design &amp; Creative'!V23</f>
        <v>M</v>
      </c>
      <c r="J165" s="38" t="str">
        <f>'RB · Design &amp; Creative'!Z23</f>
        <v>L</v>
      </c>
      <c r="K165" s="38" t="str">
        <f>'RB · Design &amp; Creative'!AD23</f>
        <v>L</v>
      </c>
    </row>
    <row r="166">
      <c r="A166" s="53" t="inlineStr">
        <is>
          <t>Design &amp; Creative|A1|A</t>
        </is>
      </c>
      <c r="B166" s="53" t="inlineStr">
        <is>
          <t>Design &amp; Creative</t>
        </is>
      </c>
      <c r="C166" s="53" t="inlineStr">
        <is>
          <t>A1</t>
        </is>
      </c>
      <c r="D166" s="53" t="inlineStr">
        <is>
          <t>Band A · all tracks</t>
        </is>
      </c>
      <c r="E166" s="38" t="str">
        <f>'RB · Design &amp; Creative'!F24</f>
        <v>H</v>
      </c>
      <c r="F166" s="38" t="str">
        <f>'RB · Design &amp; Creative'!J24</f>
        <v>M</v>
      </c>
      <c r="G166" s="38" t="str">
        <f>'RB · Design &amp; Creative'!N24</f>
        <v>L</v>
      </c>
      <c r="H166" s="38" t="str">
        <f>'RB · Design &amp; Creative'!R24</f>
        <v>L</v>
      </c>
      <c r="I166" s="38" t="str">
        <f>'RB · Design &amp; Creative'!V24</f>
        <v>M</v>
      </c>
      <c r="J166" s="38" t="str">
        <f>'RB · Design &amp; Creative'!Z24</f>
        <v>L</v>
      </c>
      <c r="K166" s="38" t="str">
        <f>'RB · Design &amp; Creative'!AD24</f>
        <v>L</v>
      </c>
    </row>
    <row r="167">
      <c r="A167" s="53" t="inlineStr">
        <is>
          <t>Engineering &amp; Architecture|E2|DE</t>
        </is>
      </c>
      <c r="B167" s="53" t="inlineStr">
        <is>
          <t>Engineering &amp; Architecture</t>
        </is>
      </c>
      <c r="C167" s="53" t="inlineStr">
        <is>
          <t>E2</t>
        </is>
      </c>
      <c r="D167" s="53" t="inlineStr">
        <is>
          <t>Bands D–E · Leadership</t>
        </is>
      </c>
      <c r="E167" s="38" t="str">
        <f>'RB · Engineering &amp; Architecture'!F6</f>
        <v>H</v>
      </c>
      <c r="F167" s="38" t="str">
        <f>'RB · Engineering &amp; Architecture'!J6</f>
        <v>M</v>
      </c>
      <c r="G167" s="38" t="str">
        <f>'RB · Engineering &amp; Architecture'!N6</f>
        <v>M</v>
      </c>
      <c r="H167" s="38" t="str">
        <f>'RB · Engineering &amp; Architecture'!R6</f>
        <v>M</v>
      </c>
      <c r="I167" s="38" t="str">
        <f>'RB · Engineering &amp; Architecture'!V6</f>
        <v>L</v>
      </c>
      <c r="J167" s="38" t="str">
        <f>'RB · Engineering &amp; Architecture'!Z6</f>
        <v>L</v>
      </c>
      <c r="K167" s="38" t="str">
        <f>'RB · Engineering &amp; Architecture'!AD6</f>
        <v>L</v>
      </c>
    </row>
    <row r="168">
      <c r="A168" s="53" t="inlineStr">
        <is>
          <t>Engineering &amp; Architecture|E1|DE</t>
        </is>
      </c>
      <c r="B168" s="53" t="inlineStr">
        <is>
          <t>Engineering &amp; Architecture</t>
        </is>
      </c>
      <c r="C168" s="53" t="inlineStr">
        <is>
          <t>E1</t>
        </is>
      </c>
      <c r="D168" s="53" t="inlineStr">
        <is>
          <t>Bands D–E · Leadership</t>
        </is>
      </c>
      <c r="E168" s="38" t="str">
        <f>'RB · Engineering &amp; Architecture'!F7</f>
        <v>H</v>
      </c>
      <c r="F168" s="38" t="str">
        <f>'RB · Engineering &amp; Architecture'!J7</f>
        <v>M</v>
      </c>
      <c r="G168" s="38" t="str">
        <f>'RB · Engineering &amp; Architecture'!N7</f>
        <v>M</v>
      </c>
      <c r="H168" s="38" t="str">
        <f>'RB · Engineering &amp; Architecture'!R7</f>
        <v>M</v>
      </c>
      <c r="I168" s="38" t="str">
        <f>'RB · Engineering &amp; Architecture'!V7</f>
        <v>L</v>
      </c>
      <c r="J168" s="38" t="str">
        <f>'RB · Engineering &amp; Architecture'!Z7</f>
        <v>L</v>
      </c>
      <c r="K168" s="38" t="str">
        <f>'RB · Engineering &amp; Architecture'!AD7</f>
        <v>L</v>
      </c>
    </row>
    <row r="169">
      <c r="A169" s="53" t="inlineStr">
        <is>
          <t>Engineering &amp; Architecture|D2|DE</t>
        </is>
      </c>
      <c r="B169" s="53" t="inlineStr">
        <is>
          <t>Engineering &amp; Architecture</t>
        </is>
      </c>
      <c r="C169" s="53" t="inlineStr">
        <is>
          <t>D2</t>
        </is>
      </c>
      <c r="D169" s="53" t="inlineStr">
        <is>
          <t>Bands D–E · Leadership</t>
        </is>
      </c>
      <c r="E169" s="38" t="str">
        <f>'RB · Engineering &amp; Architecture'!F8</f>
        <v>H</v>
      </c>
      <c r="F169" s="38" t="str">
        <f>'RB · Engineering &amp; Architecture'!J8</f>
        <v>M</v>
      </c>
      <c r="G169" s="38" t="str">
        <f>'RB · Engineering &amp; Architecture'!N8</f>
        <v>M</v>
      </c>
      <c r="H169" s="38" t="str">
        <f>'RB · Engineering &amp; Architecture'!R8</f>
        <v>M</v>
      </c>
      <c r="I169" s="38" t="str">
        <f>'RB · Engineering &amp; Architecture'!V8</f>
        <v>L</v>
      </c>
      <c r="J169" s="38" t="str">
        <f>'RB · Engineering &amp; Architecture'!Z8</f>
        <v>L</v>
      </c>
      <c r="K169" s="38" t="str">
        <f>'RB · Engineering &amp; Architecture'!AD8</f>
        <v>L</v>
      </c>
    </row>
    <row r="170">
      <c r="A170" s="53" t="inlineStr">
        <is>
          <t>Engineering &amp; Architecture|D1|DE</t>
        </is>
      </c>
      <c r="B170" s="53" t="inlineStr">
        <is>
          <t>Engineering &amp; Architecture</t>
        </is>
      </c>
      <c r="C170" s="53" t="inlineStr">
        <is>
          <t>D1</t>
        </is>
      </c>
      <c r="D170" s="53" t="inlineStr">
        <is>
          <t>Bands D–E · Leadership</t>
        </is>
      </c>
      <c r="E170" s="38" t="str">
        <f>'RB · Engineering &amp; Architecture'!F9</f>
        <v>H</v>
      </c>
      <c r="F170" s="38" t="str">
        <f>'RB · Engineering &amp; Architecture'!J9</f>
        <v>M</v>
      </c>
      <c r="G170" s="38" t="str">
        <f>'RB · Engineering &amp; Architecture'!N9</f>
        <v>M</v>
      </c>
      <c r="H170" s="38" t="str">
        <f>'RB · Engineering &amp; Architecture'!R9</f>
        <v>M</v>
      </c>
      <c r="I170" s="38" t="str">
        <f>'RB · Engineering &amp; Architecture'!V9</f>
        <v>L</v>
      </c>
      <c r="J170" s="38" t="str">
        <f>'RB · Engineering &amp; Architecture'!Z9</f>
        <v>L</v>
      </c>
      <c r="K170" s="38" t="str">
        <f>'RB · Engineering &amp; Architecture'!AD9</f>
        <v>L</v>
      </c>
    </row>
    <row r="171">
      <c r="A171" s="53" t="inlineStr">
        <is>
          <t>Engineering &amp; Architecture|C+|C+</t>
        </is>
      </c>
      <c r="B171" s="53" t="inlineStr">
        <is>
          <t>Engineering &amp; Architecture</t>
        </is>
      </c>
      <c r="C171" s="53" t="inlineStr">
        <is>
          <t>C+</t>
        </is>
      </c>
      <c r="D171" s="53" t="inlineStr">
        <is>
          <t>C+ · Player-Coach</t>
        </is>
      </c>
      <c r="E171" s="38" t="str">
        <f>'RB · Engineering &amp; Architecture'!F10</f>
        <v>H</v>
      </c>
      <c r="F171" s="38" t="str">
        <f>'RB · Engineering &amp; Architecture'!J10</f>
        <v>M</v>
      </c>
      <c r="G171" s="38" t="str">
        <f>'RB · Engineering &amp; Architecture'!N10</f>
        <v>M</v>
      </c>
      <c r="H171" s="38" t="str">
        <f>'RB · Engineering &amp; Architecture'!R10</f>
        <v>M</v>
      </c>
      <c r="I171" s="38" t="str">
        <f>'RB · Engineering &amp; Architecture'!V10</f>
        <v>L</v>
      </c>
      <c r="J171" s="38" t="str">
        <f>'RB · Engineering &amp; Architecture'!Z10</f>
        <v>L</v>
      </c>
      <c r="K171" s="38" t="str">
        <f>'RB · Engineering &amp; Architecture'!AD10</f>
        <v>L</v>
      </c>
    </row>
    <row r="172">
      <c r="A172" s="53" t="inlineStr">
        <is>
          <t>Engineering &amp; Architecture|C2|C-M</t>
        </is>
      </c>
      <c r="B172" s="53" t="inlineStr">
        <is>
          <t>Engineering &amp; Architecture</t>
        </is>
      </c>
      <c r="C172" s="53" t="inlineStr">
        <is>
          <t>C2</t>
        </is>
      </c>
      <c r="D172" s="53" t="inlineStr">
        <is>
          <t>Band C · Head / manager</t>
        </is>
      </c>
      <c r="E172" s="38" t="str">
        <f>'RB · Engineering &amp; Architecture'!F11</f>
        <v>H</v>
      </c>
      <c r="F172" s="38" t="str">
        <f>'RB · Engineering &amp; Architecture'!J11</f>
        <v>M</v>
      </c>
      <c r="G172" s="38" t="str">
        <f>'RB · Engineering &amp; Architecture'!N11</f>
        <v>L</v>
      </c>
      <c r="H172" s="38" t="str">
        <f>'RB · Engineering &amp; Architecture'!R11</f>
        <v>M</v>
      </c>
      <c r="I172" s="38" t="str">
        <f>'RB · Engineering &amp; Architecture'!V11</f>
        <v>L</v>
      </c>
      <c r="J172" s="38" t="str">
        <f>'RB · Engineering &amp; Architecture'!Z11</f>
        <v>L</v>
      </c>
      <c r="K172" s="38" t="str">
        <f>'RB · Engineering &amp; Architecture'!AD11</f>
        <v>L</v>
      </c>
    </row>
    <row r="173">
      <c r="A173" s="53" t="inlineStr">
        <is>
          <t>Engineering &amp; Architecture|C2|C-IC</t>
        </is>
      </c>
      <c r="B173" s="53" t="inlineStr">
        <is>
          <t>Engineering &amp; Architecture</t>
        </is>
      </c>
      <c r="C173" s="53" t="inlineStr">
        <is>
          <t>C2</t>
        </is>
      </c>
      <c r="D173" s="53" t="inlineStr">
        <is>
          <t>Band C · Principal specialist</t>
        </is>
      </c>
      <c r="E173" s="38" t="str">
        <f>'RB · Engineering &amp; Architecture'!F12</f>
        <v>H</v>
      </c>
      <c r="F173" s="38" t="str">
        <f>'RB · Engineering &amp; Architecture'!J12</f>
        <v>M</v>
      </c>
      <c r="G173" s="38" t="str">
        <f>'RB · Engineering &amp; Architecture'!N12</f>
        <v>L</v>
      </c>
      <c r="H173" s="38" t="str">
        <f>'RB · Engineering &amp; Architecture'!R12</f>
        <v>L</v>
      </c>
      <c r="I173" s="38" t="str">
        <f>'RB · Engineering &amp; Architecture'!V12</f>
        <v>L</v>
      </c>
      <c r="J173" s="38" t="str">
        <f>'RB · Engineering &amp; Architecture'!Z12</f>
        <v>L</v>
      </c>
      <c r="K173" s="38" t="str">
        <f>'RB · Engineering &amp; Architecture'!AD12</f>
        <v>L</v>
      </c>
    </row>
    <row r="174">
      <c r="A174" s="53" t="inlineStr">
        <is>
          <t>Engineering &amp; Architecture|C1|C-M</t>
        </is>
      </c>
      <c r="B174" s="53" t="inlineStr">
        <is>
          <t>Engineering &amp; Architecture</t>
        </is>
      </c>
      <c r="C174" s="53" t="inlineStr">
        <is>
          <t>C1</t>
        </is>
      </c>
      <c r="D174" s="53" t="inlineStr">
        <is>
          <t>Band C · Head / manager</t>
        </is>
      </c>
      <c r="E174" s="38" t="str">
        <f>'RB · Engineering &amp; Architecture'!F13</f>
        <v>H</v>
      </c>
      <c r="F174" s="38" t="str">
        <f>'RB · Engineering &amp; Architecture'!J13</f>
        <v>M</v>
      </c>
      <c r="G174" s="38" t="str">
        <f>'RB · Engineering &amp; Architecture'!N13</f>
        <v>L</v>
      </c>
      <c r="H174" s="38" t="str">
        <f>'RB · Engineering &amp; Architecture'!R13</f>
        <v>M</v>
      </c>
      <c r="I174" s="38" t="str">
        <f>'RB · Engineering &amp; Architecture'!V13</f>
        <v>L</v>
      </c>
      <c r="J174" s="38" t="str">
        <f>'RB · Engineering &amp; Architecture'!Z13</f>
        <v>L</v>
      </c>
      <c r="K174" s="38" t="str">
        <f>'RB · Engineering &amp; Architecture'!AD13</f>
        <v>L</v>
      </c>
    </row>
    <row r="175">
      <c r="A175" s="53" t="inlineStr">
        <is>
          <t>Engineering &amp; Architecture|C1|C-IC</t>
        </is>
      </c>
      <c r="B175" s="53" t="inlineStr">
        <is>
          <t>Engineering &amp; Architecture</t>
        </is>
      </c>
      <c r="C175" s="53" t="inlineStr">
        <is>
          <t>C1</t>
        </is>
      </c>
      <c r="D175" s="53" t="inlineStr">
        <is>
          <t>Band C · Principal specialist</t>
        </is>
      </c>
      <c r="E175" s="38" t="str">
        <f>'RB · Engineering &amp; Architecture'!F14</f>
        <v>H</v>
      </c>
      <c r="F175" s="38" t="str">
        <f>'RB · Engineering &amp; Architecture'!J14</f>
        <v>M</v>
      </c>
      <c r="G175" s="38" t="str">
        <f>'RB · Engineering &amp; Architecture'!N14</f>
        <v>L</v>
      </c>
      <c r="H175" s="38" t="str">
        <f>'RB · Engineering &amp; Architecture'!R14</f>
        <v>L</v>
      </c>
      <c r="I175" s="38" t="str">
        <f>'RB · Engineering &amp; Architecture'!V14</f>
        <v>L</v>
      </c>
      <c r="J175" s="38" t="str">
        <f>'RB · Engineering &amp; Architecture'!Z14</f>
        <v>L</v>
      </c>
      <c r="K175" s="38" t="str">
        <f>'RB · Engineering &amp; Architecture'!AD14</f>
        <v>L</v>
      </c>
    </row>
    <row r="176">
      <c r="A176" s="53" t="inlineStr">
        <is>
          <t>Engineering &amp; Architecture|B+|B+</t>
        </is>
      </c>
      <c r="B176" s="53" t="inlineStr">
        <is>
          <t>Engineering &amp; Architecture</t>
        </is>
      </c>
      <c r="C176" s="53" t="inlineStr">
        <is>
          <t>B+</t>
        </is>
      </c>
      <c r="D176" s="53" t="inlineStr">
        <is>
          <t>B+ · Player-Coach</t>
        </is>
      </c>
      <c r="E176" s="38" t="str">
        <f>'RB · Engineering &amp; Architecture'!F15</f>
        <v>H</v>
      </c>
      <c r="F176" s="38" t="str">
        <f>'RB · Engineering &amp; Architecture'!J15</f>
        <v>M</v>
      </c>
      <c r="G176" s="38" t="str">
        <f>'RB · Engineering &amp; Architecture'!N15</f>
        <v>L</v>
      </c>
      <c r="H176" s="38" t="str">
        <f>'RB · Engineering &amp; Architecture'!R15</f>
        <v>M</v>
      </c>
      <c r="I176" s="38" t="str">
        <f>'RB · Engineering &amp; Architecture'!V15</f>
        <v>L</v>
      </c>
      <c r="J176" s="38" t="str">
        <f>'RB · Engineering &amp; Architecture'!Z15</f>
        <v>L</v>
      </c>
      <c r="K176" s="38" t="str">
        <f>'RB · Engineering &amp; Architecture'!AD15</f>
        <v>L</v>
      </c>
    </row>
    <row r="177">
      <c r="A177" s="53" t="inlineStr">
        <is>
          <t>Engineering &amp; Architecture|B3|B-M</t>
        </is>
      </c>
      <c r="B177" s="53" t="inlineStr">
        <is>
          <t>Engineering &amp; Architecture</t>
        </is>
      </c>
      <c r="C177" s="53" t="inlineStr">
        <is>
          <t>B3</t>
        </is>
      </c>
      <c r="D177" s="53" t="inlineStr">
        <is>
          <t>Band B · People Manager</t>
        </is>
      </c>
      <c r="E177" s="38" t="str">
        <f>'RB · Engineering &amp; Architecture'!F16</f>
        <v>H</v>
      </c>
      <c r="F177" s="38" t="str">
        <f>'RB · Engineering &amp; Architecture'!J16</f>
        <v>M</v>
      </c>
      <c r="G177" s="38" t="str">
        <f>'RB · Engineering &amp; Architecture'!N16</f>
        <v>L</v>
      </c>
      <c r="H177" s="38" t="str">
        <f>'RB · Engineering &amp; Architecture'!R16</f>
        <v>M</v>
      </c>
      <c r="I177" s="38" t="str">
        <f>'RB · Engineering &amp; Architecture'!V16</f>
        <v>L</v>
      </c>
      <c r="J177" s="38" t="str">
        <f>'RB · Engineering &amp; Architecture'!Z16</f>
        <v>L</v>
      </c>
      <c r="K177" s="38" t="str">
        <f>'RB · Engineering &amp; Architecture'!AD16</f>
        <v>L</v>
      </c>
    </row>
    <row r="178">
      <c r="A178" s="53" t="inlineStr">
        <is>
          <t>Engineering &amp; Architecture|B3|B-IC</t>
        </is>
      </c>
      <c r="B178" s="53" t="inlineStr">
        <is>
          <t>Engineering &amp; Architecture</t>
        </is>
      </c>
      <c r="C178" s="53" t="inlineStr">
        <is>
          <t>B3</t>
        </is>
      </c>
      <c r="D178" s="53" t="inlineStr">
        <is>
          <t>Band B · Specialist / POD Lead</t>
        </is>
      </c>
      <c r="E178" s="38" t="str">
        <f>'RB · Engineering &amp; Architecture'!F17</f>
        <v>H</v>
      </c>
      <c r="F178" s="38" t="str">
        <f>'RB · Engineering &amp; Architecture'!J17</f>
        <v>M</v>
      </c>
      <c r="G178" s="38" t="str">
        <f>'RB · Engineering &amp; Architecture'!N17</f>
        <v>L</v>
      </c>
      <c r="H178" s="38" t="str">
        <f>'RB · Engineering &amp; Architecture'!R17</f>
        <v>L</v>
      </c>
      <c r="I178" s="38" t="str">
        <f>'RB · Engineering &amp; Architecture'!V17</f>
        <v>L</v>
      </c>
      <c r="J178" s="38" t="str">
        <f>'RB · Engineering &amp; Architecture'!Z17</f>
        <v>L</v>
      </c>
      <c r="K178" s="38" t="str">
        <f>'RB · Engineering &amp; Architecture'!AD17</f>
        <v>L</v>
      </c>
    </row>
    <row r="179">
      <c r="A179" s="53" t="inlineStr">
        <is>
          <t>Engineering &amp; Architecture|B2|B-M</t>
        </is>
      </c>
      <c r="B179" s="53" t="inlineStr">
        <is>
          <t>Engineering &amp; Architecture</t>
        </is>
      </c>
      <c r="C179" s="53" t="inlineStr">
        <is>
          <t>B2</t>
        </is>
      </c>
      <c r="D179" s="53" t="inlineStr">
        <is>
          <t>Band B · People Manager</t>
        </is>
      </c>
      <c r="E179" s="38" t="str">
        <f>'RB · Engineering &amp; Architecture'!F18</f>
        <v>H</v>
      </c>
      <c r="F179" s="38" t="str">
        <f>'RB · Engineering &amp; Architecture'!J18</f>
        <v>M</v>
      </c>
      <c r="G179" s="38" t="str">
        <f>'RB · Engineering &amp; Architecture'!N18</f>
        <v>L</v>
      </c>
      <c r="H179" s="38" t="str">
        <f>'RB · Engineering &amp; Architecture'!R18</f>
        <v>M</v>
      </c>
      <c r="I179" s="38" t="str">
        <f>'RB · Engineering &amp; Architecture'!V18</f>
        <v>L</v>
      </c>
      <c r="J179" s="38" t="str">
        <f>'RB · Engineering &amp; Architecture'!Z18</f>
        <v>L</v>
      </c>
      <c r="K179" s="38" t="str">
        <f>'RB · Engineering &amp; Architecture'!AD18</f>
        <v>L</v>
      </c>
    </row>
    <row r="180">
      <c r="A180" s="53" t="inlineStr">
        <is>
          <t>Engineering &amp; Architecture|B2|B-IC</t>
        </is>
      </c>
      <c r="B180" s="53" t="inlineStr">
        <is>
          <t>Engineering &amp; Architecture</t>
        </is>
      </c>
      <c r="C180" s="53" t="inlineStr">
        <is>
          <t>B2</t>
        </is>
      </c>
      <c r="D180" s="53" t="inlineStr">
        <is>
          <t>Band B · Specialist / POD Lead</t>
        </is>
      </c>
      <c r="E180" s="38" t="str">
        <f>'RB · Engineering &amp; Architecture'!F19</f>
        <v>H</v>
      </c>
      <c r="F180" s="38" t="str">
        <f>'RB · Engineering &amp; Architecture'!J19</f>
        <v>M</v>
      </c>
      <c r="G180" s="38" t="str">
        <f>'RB · Engineering &amp; Architecture'!N19</f>
        <v>L</v>
      </c>
      <c r="H180" s="38" t="str">
        <f>'RB · Engineering &amp; Architecture'!R19</f>
        <v>L</v>
      </c>
      <c r="I180" s="38" t="str">
        <f>'RB · Engineering &amp; Architecture'!V19</f>
        <v>L</v>
      </c>
      <c r="J180" s="38" t="str">
        <f>'RB · Engineering &amp; Architecture'!Z19</f>
        <v>L</v>
      </c>
      <c r="K180" s="38" t="str">
        <f>'RB · Engineering &amp; Architecture'!AD19</f>
        <v>L</v>
      </c>
    </row>
    <row r="181">
      <c r="A181" s="53" t="inlineStr">
        <is>
          <t>Engineering &amp; Architecture|B1|B-M</t>
        </is>
      </c>
      <c r="B181" s="53" t="inlineStr">
        <is>
          <t>Engineering &amp; Architecture</t>
        </is>
      </c>
      <c r="C181" s="53" t="inlineStr">
        <is>
          <t>B1</t>
        </is>
      </c>
      <c r="D181" s="53" t="inlineStr">
        <is>
          <t>Band B · People Manager</t>
        </is>
      </c>
      <c r="E181" s="38" t="str">
        <f>'RB · Engineering &amp; Architecture'!F20</f>
        <v>H</v>
      </c>
      <c r="F181" s="38" t="str">
        <f>'RB · Engineering &amp; Architecture'!J20</f>
        <v>M</v>
      </c>
      <c r="G181" s="38" t="str">
        <f>'RB · Engineering &amp; Architecture'!N20</f>
        <v>L</v>
      </c>
      <c r="H181" s="38" t="str">
        <f>'RB · Engineering &amp; Architecture'!R20</f>
        <v>M</v>
      </c>
      <c r="I181" s="38" t="str">
        <f>'RB · Engineering &amp; Architecture'!V20</f>
        <v>L</v>
      </c>
      <c r="J181" s="38" t="str">
        <f>'RB · Engineering &amp; Architecture'!Z20</f>
        <v>L</v>
      </c>
      <c r="K181" s="38" t="str">
        <f>'RB · Engineering &amp; Architecture'!AD20</f>
        <v>L</v>
      </c>
    </row>
    <row r="182">
      <c r="A182" s="53" t="inlineStr">
        <is>
          <t>Engineering &amp; Architecture|B1|B-IC</t>
        </is>
      </c>
      <c r="B182" s="53" t="inlineStr">
        <is>
          <t>Engineering &amp; Architecture</t>
        </is>
      </c>
      <c r="C182" s="53" t="inlineStr">
        <is>
          <t>B1</t>
        </is>
      </c>
      <c r="D182" s="53" t="inlineStr">
        <is>
          <t>Band B · Specialist / POD Lead</t>
        </is>
      </c>
      <c r="E182" s="38" t="str">
        <f>'RB · Engineering &amp; Architecture'!F21</f>
        <v>H</v>
      </c>
      <c r="F182" s="38" t="str">
        <f>'RB · Engineering &amp; Architecture'!J21</f>
        <v>M</v>
      </c>
      <c r="G182" s="38" t="str">
        <f>'RB · Engineering &amp; Architecture'!N21</f>
        <v>L</v>
      </c>
      <c r="H182" s="38" t="str">
        <f>'RB · Engineering &amp; Architecture'!R21</f>
        <v>L</v>
      </c>
      <c r="I182" s="38" t="str">
        <f>'RB · Engineering &amp; Architecture'!V21</f>
        <v>L</v>
      </c>
      <c r="J182" s="38" t="str">
        <f>'RB · Engineering &amp; Architecture'!Z21</f>
        <v>L</v>
      </c>
      <c r="K182" s="38" t="str">
        <f>'RB · Engineering &amp; Architecture'!AD21</f>
        <v>L</v>
      </c>
    </row>
    <row r="183">
      <c r="A183" s="53" t="inlineStr">
        <is>
          <t>Engineering &amp; Architecture|A3|A</t>
        </is>
      </c>
      <c r="B183" s="53" t="inlineStr">
        <is>
          <t>Engineering &amp; Architecture</t>
        </is>
      </c>
      <c r="C183" s="53" t="inlineStr">
        <is>
          <t>A3</t>
        </is>
      </c>
      <c r="D183" s="53" t="inlineStr">
        <is>
          <t>Band A · all tracks</t>
        </is>
      </c>
      <c r="E183" s="38" t="str">
        <f>'RB · Engineering &amp; Architecture'!F22</f>
        <v>H</v>
      </c>
      <c r="F183" s="38" t="str">
        <f>'RB · Engineering &amp; Architecture'!J22</f>
        <v>M</v>
      </c>
      <c r="G183" s="38" t="str">
        <f>'RB · Engineering &amp; Architecture'!N22</f>
        <v>L</v>
      </c>
      <c r="H183" s="38" t="str">
        <f>'RB · Engineering &amp; Architecture'!R22</f>
        <v>L</v>
      </c>
      <c r="I183" s="38" t="str">
        <f>'RB · Engineering &amp; Architecture'!V22</f>
        <v>L</v>
      </c>
      <c r="J183" s="38" t="str">
        <f>'RB · Engineering &amp; Architecture'!Z22</f>
        <v>L</v>
      </c>
      <c r="K183" s="38" t="str">
        <f>'RB · Engineering &amp; Architecture'!AD22</f>
        <v>L</v>
      </c>
    </row>
    <row r="184">
      <c r="A184" s="53" t="inlineStr">
        <is>
          <t>Engineering &amp; Architecture|A2|A</t>
        </is>
      </c>
      <c r="B184" s="53" t="inlineStr">
        <is>
          <t>Engineering &amp; Architecture</t>
        </is>
      </c>
      <c r="C184" s="53" t="inlineStr">
        <is>
          <t>A2</t>
        </is>
      </c>
      <c r="D184" s="53" t="inlineStr">
        <is>
          <t>Band A · all tracks</t>
        </is>
      </c>
      <c r="E184" s="38" t="str">
        <f>'RB · Engineering &amp; Architecture'!F23</f>
        <v>H</v>
      </c>
      <c r="F184" s="38" t="str">
        <f>'RB · Engineering &amp; Architecture'!J23</f>
        <v>M</v>
      </c>
      <c r="G184" s="38" t="str">
        <f>'RB · Engineering &amp; Architecture'!N23</f>
        <v>L</v>
      </c>
      <c r="H184" s="38" t="str">
        <f>'RB · Engineering &amp; Architecture'!R23</f>
        <v>L</v>
      </c>
      <c r="I184" s="38" t="str">
        <f>'RB · Engineering &amp; Architecture'!V23</f>
        <v>L</v>
      </c>
      <c r="J184" s="38" t="str">
        <f>'RB · Engineering &amp; Architecture'!Z23</f>
        <v>L</v>
      </c>
      <c r="K184" s="38" t="str">
        <f>'RB · Engineering &amp; Architecture'!AD23</f>
        <v>L</v>
      </c>
    </row>
    <row r="185">
      <c r="A185" s="53" t="inlineStr">
        <is>
          <t>Engineering &amp; Architecture|A1|A</t>
        </is>
      </c>
      <c r="B185" s="53" t="inlineStr">
        <is>
          <t>Engineering &amp; Architecture</t>
        </is>
      </c>
      <c r="C185" s="53" t="inlineStr">
        <is>
          <t>A1</t>
        </is>
      </c>
      <c r="D185" s="53" t="inlineStr">
        <is>
          <t>Band A · all tracks</t>
        </is>
      </c>
      <c r="E185" s="38" t="str">
        <f>'RB · Engineering &amp; Architecture'!F24</f>
        <v>H</v>
      </c>
      <c r="F185" s="38" t="str">
        <f>'RB · Engineering &amp; Architecture'!J24</f>
        <v>M</v>
      </c>
      <c r="G185" s="38" t="str">
        <f>'RB · Engineering &amp; Architecture'!N24</f>
        <v>L</v>
      </c>
      <c r="H185" s="38" t="str">
        <f>'RB · Engineering &amp; Architecture'!R24</f>
        <v>L</v>
      </c>
      <c r="I185" s="38" t="str">
        <f>'RB · Engineering &amp; Architecture'!V24</f>
        <v>L</v>
      </c>
      <c r="J185" s="38" t="str">
        <f>'RB · Engineering &amp; Architecture'!Z24</f>
        <v>L</v>
      </c>
      <c r="K185" s="38" t="str">
        <f>'RB · Engineering &amp; Architecture'!AD24</f>
        <v>L</v>
      </c>
    </row>
    <row r="186">
      <c r="A186" s="53" t="inlineStr">
        <is>
          <t>Engineering &amp; Development|E2|DE</t>
        </is>
      </c>
      <c r="B186" s="53" t="inlineStr">
        <is>
          <t>Engineering &amp; Development</t>
        </is>
      </c>
      <c r="C186" s="53" t="inlineStr">
        <is>
          <t>E2</t>
        </is>
      </c>
      <c r="D186" s="53" t="inlineStr">
        <is>
          <t>Bands D–E · Leadership</t>
        </is>
      </c>
      <c r="E186" s="38" t="str">
        <f>'RB · Engineering &amp; Development'!F6</f>
        <v>H</v>
      </c>
      <c r="F186" s="38" t="str">
        <f>'RB · Engineering &amp; Development'!J6</f>
        <v>M</v>
      </c>
      <c r="G186" s="38" t="str">
        <f>'RB · Engineering &amp; Development'!N6</f>
        <v>M</v>
      </c>
      <c r="H186" s="38" t="str">
        <f>'RB · Engineering &amp; Development'!R6</f>
        <v>M</v>
      </c>
      <c r="I186" s="38" t="str">
        <f>'RB · Engineering &amp; Development'!V6</f>
        <v>L</v>
      </c>
      <c r="J186" s="38" t="str">
        <f>'RB · Engineering &amp; Development'!Z6</f>
        <v>L</v>
      </c>
      <c r="K186" s="38" t="str">
        <f>'RB · Engineering &amp; Development'!AD6</f>
        <v>L</v>
      </c>
    </row>
    <row r="187">
      <c r="A187" s="53" t="inlineStr">
        <is>
          <t>Engineering &amp; Development|E1|DE</t>
        </is>
      </c>
      <c r="B187" s="53" t="inlineStr">
        <is>
          <t>Engineering &amp; Development</t>
        </is>
      </c>
      <c r="C187" s="53" t="inlineStr">
        <is>
          <t>E1</t>
        </is>
      </c>
      <c r="D187" s="53" t="inlineStr">
        <is>
          <t>Bands D–E · Leadership</t>
        </is>
      </c>
      <c r="E187" s="38" t="str">
        <f>'RB · Engineering &amp; Development'!F7</f>
        <v>H</v>
      </c>
      <c r="F187" s="38" t="str">
        <f>'RB · Engineering &amp; Development'!J7</f>
        <v>M</v>
      </c>
      <c r="G187" s="38" t="str">
        <f>'RB · Engineering &amp; Development'!N7</f>
        <v>M</v>
      </c>
      <c r="H187" s="38" t="str">
        <f>'RB · Engineering &amp; Development'!R7</f>
        <v>M</v>
      </c>
      <c r="I187" s="38" t="str">
        <f>'RB · Engineering &amp; Development'!V7</f>
        <v>L</v>
      </c>
      <c r="J187" s="38" t="str">
        <f>'RB · Engineering &amp; Development'!Z7</f>
        <v>L</v>
      </c>
      <c r="K187" s="38" t="str">
        <f>'RB · Engineering &amp; Development'!AD7</f>
        <v>L</v>
      </c>
    </row>
    <row r="188">
      <c r="A188" s="53" t="inlineStr">
        <is>
          <t>Engineering &amp; Development|D2|DE</t>
        </is>
      </c>
      <c r="B188" s="53" t="inlineStr">
        <is>
          <t>Engineering &amp; Development</t>
        </is>
      </c>
      <c r="C188" s="53" t="inlineStr">
        <is>
          <t>D2</t>
        </is>
      </c>
      <c r="D188" s="53" t="inlineStr">
        <is>
          <t>Bands D–E · Leadership</t>
        </is>
      </c>
      <c r="E188" s="38" t="str">
        <f>'RB · Engineering &amp; Development'!F8</f>
        <v>H</v>
      </c>
      <c r="F188" s="38" t="str">
        <f>'RB · Engineering &amp; Development'!J8</f>
        <v>M</v>
      </c>
      <c r="G188" s="38" t="str">
        <f>'RB · Engineering &amp; Development'!N8</f>
        <v>M</v>
      </c>
      <c r="H188" s="38" t="str">
        <f>'RB · Engineering &amp; Development'!R8</f>
        <v>M</v>
      </c>
      <c r="I188" s="38" t="str">
        <f>'RB · Engineering &amp; Development'!V8</f>
        <v>L</v>
      </c>
      <c r="J188" s="38" t="str">
        <f>'RB · Engineering &amp; Development'!Z8</f>
        <v>L</v>
      </c>
      <c r="K188" s="38" t="str">
        <f>'RB · Engineering &amp; Development'!AD8</f>
        <v>L</v>
      </c>
    </row>
    <row r="189">
      <c r="A189" s="53" t="inlineStr">
        <is>
          <t>Engineering &amp; Development|D1|DE</t>
        </is>
      </c>
      <c r="B189" s="53" t="inlineStr">
        <is>
          <t>Engineering &amp; Development</t>
        </is>
      </c>
      <c r="C189" s="53" t="inlineStr">
        <is>
          <t>D1</t>
        </is>
      </c>
      <c r="D189" s="53" t="inlineStr">
        <is>
          <t>Bands D–E · Leadership</t>
        </is>
      </c>
      <c r="E189" s="38" t="str">
        <f>'RB · Engineering &amp; Development'!F9</f>
        <v>H</v>
      </c>
      <c r="F189" s="38" t="str">
        <f>'RB · Engineering &amp; Development'!J9</f>
        <v>M</v>
      </c>
      <c r="G189" s="38" t="str">
        <f>'RB · Engineering &amp; Development'!N9</f>
        <v>M</v>
      </c>
      <c r="H189" s="38" t="str">
        <f>'RB · Engineering &amp; Development'!R9</f>
        <v>M</v>
      </c>
      <c r="I189" s="38" t="str">
        <f>'RB · Engineering &amp; Development'!V9</f>
        <v>L</v>
      </c>
      <c r="J189" s="38" t="str">
        <f>'RB · Engineering &amp; Development'!Z9</f>
        <v>L</v>
      </c>
      <c r="K189" s="38" t="str">
        <f>'RB · Engineering &amp; Development'!AD9</f>
        <v>L</v>
      </c>
    </row>
    <row r="190">
      <c r="A190" s="53" t="inlineStr">
        <is>
          <t>Engineering &amp; Development|C+|C+</t>
        </is>
      </c>
      <c r="B190" s="53" t="inlineStr">
        <is>
          <t>Engineering &amp; Development</t>
        </is>
      </c>
      <c r="C190" s="53" t="inlineStr">
        <is>
          <t>C+</t>
        </is>
      </c>
      <c r="D190" s="53" t="inlineStr">
        <is>
          <t>C+ · Player-Coach</t>
        </is>
      </c>
      <c r="E190" s="38" t="str">
        <f>'RB · Engineering &amp; Development'!F10</f>
        <v>H</v>
      </c>
      <c r="F190" s="38" t="str">
        <f>'RB · Engineering &amp; Development'!J10</f>
        <v>M</v>
      </c>
      <c r="G190" s="38" t="str">
        <f>'RB · Engineering &amp; Development'!N10</f>
        <v>M</v>
      </c>
      <c r="H190" s="38" t="str">
        <f>'RB · Engineering &amp; Development'!R10</f>
        <v>M</v>
      </c>
      <c r="I190" s="38" t="str">
        <f>'RB · Engineering &amp; Development'!V10</f>
        <v>L</v>
      </c>
      <c r="J190" s="38" t="str">
        <f>'RB · Engineering &amp; Development'!Z10</f>
        <v>L</v>
      </c>
      <c r="K190" s="38" t="str">
        <f>'RB · Engineering &amp; Development'!AD10</f>
        <v>L</v>
      </c>
    </row>
    <row r="191">
      <c r="A191" s="53" t="inlineStr">
        <is>
          <t>Engineering &amp; Development|C2|C-M</t>
        </is>
      </c>
      <c r="B191" s="53" t="inlineStr">
        <is>
          <t>Engineering &amp; Development</t>
        </is>
      </c>
      <c r="C191" s="53" t="inlineStr">
        <is>
          <t>C2</t>
        </is>
      </c>
      <c r="D191" s="53" t="inlineStr">
        <is>
          <t>Band C · Head / manager</t>
        </is>
      </c>
      <c r="E191" s="38" t="str">
        <f>'RB · Engineering &amp; Development'!F11</f>
        <v>H</v>
      </c>
      <c r="F191" s="38" t="str">
        <f>'RB · Engineering &amp; Development'!J11</f>
        <v>M</v>
      </c>
      <c r="G191" s="38" t="str">
        <f>'RB · Engineering &amp; Development'!N11</f>
        <v>L</v>
      </c>
      <c r="H191" s="38" t="str">
        <f>'RB · Engineering &amp; Development'!R11</f>
        <v>M</v>
      </c>
      <c r="I191" s="38" t="str">
        <f>'RB · Engineering &amp; Development'!V11</f>
        <v>L</v>
      </c>
      <c r="J191" s="38" t="str">
        <f>'RB · Engineering &amp; Development'!Z11</f>
        <v>L</v>
      </c>
      <c r="K191" s="38" t="str">
        <f>'RB · Engineering &amp; Development'!AD11</f>
        <v>L</v>
      </c>
    </row>
    <row r="192">
      <c r="A192" s="53" t="inlineStr">
        <is>
          <t>Engineering &amp; Development|C2|C-IC</t>
        </is>
      </c>
      <c r="B192" s="53" t="inlineStr">
        <is>
          <t>Engineering &amp; Development</t>
        </is>
      </c>
      <c r="C192" s="53" t="inlineStr">
        <is>
          <t>C2</t>
        </is>
      </c>
      <c r="D192" s="53" t="inlineStr">
        <is>
          <t>Band C · Principal specialist</t>
        </is>
      </c>
      <c r="E192" s="38" t="str">
        <f>'RB · Engineering &amp; Development'!F12</f>
        <v>H</v>
      </c>
      <c r="F192" s="38" t="str">
        <f>'RB · Engineering &amp; Development'!J12</f>
        <v>M</v>
      </c>
      <c r="G192" s="38" t="str">
        <f>'RB · Engineering &amp; Development'!N12</f>
        <v>L</v>
      </c>
      <c r="H192" s="38" t="str">
        <f>'RB · Engineering &amp; Development'!R12</f>
        <v>L</v>
      </c>
      <c r="I192" s="38" t="str">
        <f>'RB · Engineering &amp; Development'!V12</f>
        <v>L</v>
      </c>
      <c r="J192" s="38" t="str">
        <f>'RB · Engineering &amp; Development'!Z12</f>
        <v>L</v>
      </c>
      <c r="K192" s="38" t="str">
        <f>'RB · Engineering &amp; Development'!AD12</f>
        <v>L</v>
      </c>
    </row>
    <row r="193">
      <c r="A193" s="53" t="inlineStr">
        <is>
          <t>Engineering &amp; Development|C1|C-M</t>
        </is>
      </c>
      <c r="B193" s="53" t="inlineStr">
        <is>
          <t>Engineering &amp; Development</t>
        </is>
      </c>
      <c r="C193" s="53" t="inlineStr">
        <is>
          <t>C1</t>
        </is>
      </c>
      <c r="D193" s="53" t="inlineStr">
        <is>
          <t>Band C · Head / manager</t>
        </is>
      </c>
      <c r="E193" s="38" t="str">
        <f>'RB · Engineering &amp; Development'!F13</f>
        <v>H</v>
      </c>
      <c r="F193" s="38" t="str">
        <f>'RB · Engineering &amp; Development'!J13</f>
        <v>M</v>
      </c>
      <c r="G193" s="38" t="str">
        <f>'RB · Engineering &amp; Development'!N13</f>
        <v>L</v>
      </c>
      <c r="H193" s="38" t="str">
        <f>'RB · Engineering &amp; Development'!R13</f>
        <v>M</v>
      </c>
      <c r="I193" s="38" t="str">
        <f>'RB · Engineering &amp; Development'!V13</f>
        <v>L</v>
      </c>
      <c r="J193" s="38" t="str">
        <f>'RB · Engineering &amp; Development'!Z13</f>
        <v>L</v>
      </c>
      <c r="K193" s="38" t="str">
        <f>'RB · Engineering &amp; Development'!AD13</f>
        <v>L</v>
      </c>
    </row>
    <row r="194">
      <c r="A194" s="53" t="inlineStr">
        <is>
          <t>Engineering &amp; Development|C1|C-IC</t>
        </is>
      </c>
      <c r="B194" s="53" t="inlineStr">
        <is>
          <t>Engineering &amp; Development</t>
        </is>
      </c>
      <c r="C194" s="53" t="inlineStr">
        <is>
          <t>C1</t>
        </is>
      </c>
      <c r="D194" s="53" t="inlineStr">
        <is>
          <t>Band C · Principal specialist</t>
        </is>
      </c>
      <c r="E194" s="38" t="str">
        <f>'RB · Engineering &amp; Development'!F14</f>
        <v>H</v>
      </c>
      <c r="F194" s="38" t="str">
        <f>'RB · Engineering &amp; Development'!J14</f>
        <v>M</v>
      </c>
      <c r="G194" s="38" t="str">
        <f>'RB · Engineering &amp; Development'!N14</f>
        <v>L</v>
      </c>
      <c r="H194" s="38" t="str">
        <f>'RB · Engineering &amp; Development'!R14</f>
        <v>L</v>
      </c>
      <c r="I194" s="38" t="str">
        <f>'RB · Engineering &amp; Development'!V14</f>
        <v>L</v>
      </c>
      <c r="J194" s="38" t="str">
        <f>'RB · Engineering &amp; Development'!Z14</f>
        <v>L</v>
      </c>
      <c r="K194" s="38" t="str">
        <f>'RB · Engineering &amp; Development'!AD14</f>
        <v>L</v>
      </c>
    </row>
    <row r="195">
      <c r="A195" s="53" t="inlineStr">
        <is>
          <t>Engineering &amp; Development|B+|B+</t>
        </is>
      </c>
      <c r="B195" s="53" t="inlineStr">
        <is>
          <t>Engineering &amp; Development</t>
        </is>
      </c>
      <c r="C195" s="53" t="inlineStr">
        <is>
          <t>B+</t>
        </is>
      </c>
      <c r="D195" s="53" t="inlineStr">
        <is>
          <t>B+ · Player-Coach</t>
        </is>
      </c>
      <c r="E195" s="38" t="str">
        <f>'RB · Engineering &amp; Development'!F15</f>
        <v>H</v>
      </c>
      <c r="F195" s="38" t="str">
        <f>'RB · Engineering &amp; Development'!J15</f>
        <v>M</v>
      </c>
      <c r="G195" s="38" t="str">
        <f>'RB · Engineering &amp; Development'!N15</f>
        <v>L</v>
      </c>
      <c r="H195" s="38" t="str">
        <f>'RB · Engineering &amp; Development'!R15</f>
        <v>M</v>
      </c>
      <c r="I195" s="38" t="str">
        <f>'RB · Engineering &amp; Development'!V15</f>
        <v>L</v>
      </c>
      <c r="J195" s="38" t="str">
        <f>'RB · Engineering &amp; Development'!Z15</f>
        <v>L</v>
      </c>
      <c r="K195" s="38" t="str">
        <f>'RB · Engineering &amp; Development'!AD15</f>
        <v>L</v>
      </c>
    </row>
    <row r="196">
      <c r="A196" s="53" t="inlineStr">
        <is>
          <t>Engineering &amp; Development|B3|B-M</t>
        </is>
      </c>
      <c r="B196" s="53" t="inlineStr">
        <is>
          <t>Engineering &amp; Development</t>
        </is>
      </c>
      <c r="C196" s="53" t="inlineStr">
        <is>
          <t>B3</t>
        </is>
      </c>
      <c r="D196" s="53" t="inlineStr">
        <is>
          <t>Band B · People Manager</t>
        </is>
      </c>
      <c r="E196" s="38" t="str">
        <f>'RB · Engineering &amp; Development'!F16</f>
        <v>H</v>
      </c>
      <c r="F196" s="38" t="str">
        <f>'RB · Engineering &amp; Development'!J16</f>
        <v>M</v>
      </c>
      <c r="G196" s="38" t="str">
        <f>'RB · Engineering &amp; Development'!N16</f>
        <v>L</v>
      </c>
      <c r="H196" s="38" t="str">
        <f>'RB · Engineering &amp; Development'!R16</f>
        <v>M</v>
      </c>
      <c r="I196" s="38" t="str">
        <f>'RB · Engineering &amp; Development'!V16</f>
        <v>L</v>
      </c>
      <c r="J196" s="38" t="str">
        <f>'RB · Engineering &amp; Development'!Z16</f>
        <v>L</v>
      </c>
      <c r="K196" s="38" t="str">
        <f>'RB · Engineering &amp; Development'!AD16</f>
        <v>L</v>
      </c>
    </row>
    <row r="197">
      <c r="A197" s="53" t="inlineStr">
        <is>
          <t>Engineering &amp; Development|B3|B-IC</t>
        </is>
      </c>
      <c r="B197" s="53" t="inlineStr">
        <is>
          <t>Engineering &amp; Development</t>
        </is>
      </c>
      <c r="C197" s="53" t="inlineStr">
        <is>
          <t>B3</t>
        </is>
      </c>
      <c r="D197" s="53" t="inlineStr">
        <is>
          <t>Band B · Specialist / POD Lead</t>
        </is>
      </c>
      <c r="E197" s="38" t="str">
        <f>'RB · Engineering &amp; Development'!F17</f>
        <v>H</v>
      </c>
      <c r="F197" s="38" t="str">
        <f>'RB · Engineering &amp; Development'!J17</f>
        <v>M</v>
      </c>
      <c r="G197" s="38" t="str">
        <f>'RB · Engineering &amp; Development'!N17</f>
        <v>L</v>
      </c>
      <c r="H197" s="38" t="str">
        <f>'RB · Engineering &amp; Development'!R17</f>
        <v>L</v>
      </c>
      <c r="I197" s="38" t="str">
        <f>'RB · Engineering &amp; Development'!V17</f>
        <v>L</v>
      </c>
      <c r="J197" s="38" t="str">
        <f>'RB · Engineering &amp; Development'!Z17</f>
        <v>L</v>
      </c>
      <c r="K197" s="38" t="str">
        <f>'RB · Engineering &amp; Development'!AD17</f>
        <v>L</v>
      </c>
    </row>
    <row r="198">
      <c r="A198" s="53" t="inlineStr">
        <is>
          <t>Engineering &amp; Development|B2|B-M</t>
        </is>
      </c>
      <c r="B198" s="53" t="inlineStr">
        <is>
          <t>Engineering &amp; Development</t>
        </is>
      </c>
      <c r="C198" s="53" t="inlineStr">
        <is>
          <t>B2</t>
        </is>
      </c>
      <c r="D198" s="53" t="inlineStr">
        <is>
          <t>Band B · People Manager</t>
        </is>
      </c>
      <c r="E198" s="38" t="str">
        <f>'RB · Engineering &amp; Development'!F18</f>
        <v>H</v>
      </c>
      <c r="F198" s="38" t="str">
        <f>'RB · Engineering &amp; Development'!J18</f>
        <v>M</v>
      </c>
      <c r="G198" s="38" t="str">
        <f>'RB · Engineering &amp; Development'!N18</f>
        <v>L</v>
      </c>
      <c r="H198" s="38" t="str">
        <f>'RB · Engineering &amp; Development'!R18</f>
        <v>M</v>
      </c>
      <c r="I198" s="38" t="str">
        <f>'RB · Engineering &amp; Development'!V18</f>
        <v>L</v>
      </c>
      <c r="J198" s="38" t="str">
        <f>'RB · Engineering &amp; Development'!Z18</f>
        <v>L</v>
      </c>
      <c r="K198" s="38" t="str">
        <f>'RB · Engineering &amp; Development'!AD18</f>
        <v>L</v>
      </c>
    </row>
    <row r="199">
      <c r="A199" s="53" t="inlineStr">
        <is>
          <t>Engineering &amp; Development|B2|B-IC</t>
        </is>
      </c>
      <c r="B199" s="53" t="inlineStr">
        <is>
          <t>Engineering &amp; Development</t>
        </is>
      </c>
      <c r="C199" s="53" t="inlineStr">
        <is>
          <t>B2</t>
        </is>
      </c>
      <c r="D199" s="53" t="inlineStr">
        <is>
          <t>Band B · Specialist / POD Lead</t>
        </is>
      </c>
      <c r="E199" s="38" t="str">
        <f>'RB · Engineering &amp; Development'!F19</f>
        <v>H</v>
      </c>
      <c r="F199" s="38" t="str">
        <f>'RB · Engineering &amp; Development'!J19</f>
        <v>M</v>
      </c>
      <c r="G199" s="38" t="str">
        <f>'RB · Engineering &amp; Development'!N19</f>
        <v>L</v>
      </c>
      <c r="H199" s="38" t="str">
        <f>'RB · Engineering &amp; Development'!R19</f>
        <v>L</v>
      </c>
      <c r="I199" s="38" t="str">
        <f>'RB · Engineering &amp; Development'!V19</f>
        <v>L</v>
      </c>
      <c r="J199" s="38" t="str">
        <f>'RB · Engineering &amp; Development'!Z19</f>
        <v>L</v>
      </c>
      <c r="K199" s="38" t="str">
        <f>'RB · Engineering &amp; Development'!AD19</f>
        <v>L</v>
      </c>
    </row>
    <row r="200">
      <c r="A200" s="53" t="inlineStr">
        <is>
          <t>Engineering &amp; Development|B1|B-M</t>
        </is>
      </c>
      <c r="B200" s="53" t="inlineStr">
        <is>
          <t>Engineering &amp; Development</t>
        </is>
      </c>
      <c r="C200" s="53" t="inlineStr">
        <is>
          <t>B1</t>
        </is>
      </c>
      <c r="D200" s="53" t="inlineStr">
        <is>
          <t>Band B · People Manager</t>
        </is>
      </c>
      <c r="E200" s="38" t="str">
        <f>'RB · Engineering &amp; Development'!F20</f>
        <v>H</v>
      </c>
      <c r="F200" s="38" t="str">
        <f>'RB · Engineering &amp; Development'!J20</f>
        <v>M</v>
      </c>
      <c r="G200" s="38" t="str">
        <f>'RB · Engineering &amp; Development'!N20</f>
        <v>L</v>
      </c>
      <c r="H200" s="38" t="str">
        <f>'RB · Engineering &amp; Development'!R20</f>
        <v>M</v>
      </c>
      <c r="I200" s="38" t="str">
        <f>'RB · Engineering &amp; Development'!V20</f>
        <v>L</v>
      </c>
      <c r="J200" s="38" t="str">
        <f>'RB · Engineering &amp; Development'!Z20</f>
        <v>L</v>
      </c>
      <c r="K200" s="38" t="str">
        <f>'RB · Engineering &amp; Development'!AD20</f>
        <v>L</v>
      </c>
    </row>
    <row r="201">
      <c r="A201" s="53" t="inlineStr">
        <is>
          <t>Engineering &amp; Development|B1|B-IC</t>
        </is>
      </c>
      <c r="B201" s="53" t="inlineStr">
        <is>
          <t>Engineering &amp; Development</t>
        </is>
      </c>
      <c r="C201" s="53" t="inlineStr">
        <is>
          <t>B1</t>
        </is>
      </c>
      <c r="D201" s="53" t="inlineStr">
        <is>
          <t>Band B · Specialist / POD Lead</t>
        </is>
      </c>
      <c r="E201" s="38" t="str">
        <f>'RB · Engineering &amp; Development'!F21</f>
        <v>H</v>
      </c>
      <c r="F201" s="38" t="str">
        <f>'RB · Engineering &amp; Development'!J21</f>
        <v>M</v>
      </c>
      <c r="G201" s="38" t="str">
        <f>'RB · Engineering &amp; Development'!N21</f>
        <v>L</v>
      </c>
      <c r="H201" s="38" t="str">
        <f>'RB · Engineering &amp; Development'!R21</f>
        <v>L</v>
      </c>
      <c r="I201" s="38" t="str">
        <f>'RB · Engineering &amp; Development'!V21</f>
        <v>L</v>
      </c>
      <c r="J201" s="38" t="str">
        <f>'RB · Engineering &amp; Development'!Z21</f>
        <v>L</v>
      </c>
      <c r="K201" s="38" t="str">
        <f>'RB · Engineering &amp; Development'!AD21</f>
        <v>L</v>
      </c>
    </row>
    <row r="202">
      <c r="A202" s="53" t="inlineStr">
        <is>
          <t>Engineering &amp; Development|A3|A</t>
        </is>
      </c>
      <c r="B202" s="53" t="inlineStr">
        <is>
          <t>Engineering &amp; Development</t>
        </is>
      </c>
      <c r="C202" s="53" t="inlineStr">
        <is>
          <t>A3</t>
        </is>
      </c>
      <c r="D202" s="53" t="inlineStr">
        <is>
          <t>Band A · all tracks</t>
        </is>
      </c>
      <c r="E202" s="38" t="str">
        <f>'RB · Engineering &amp; Development'!F22</f>
        <v>H</v>
      </c>
      <c r="F202" s="38" t="str">
        <f>'RB · Engineering &amp; Development'!J22</f>
        <v>M</v>
      </c>
      <c r="G202" s="38" t="str">
        <f>'RB · Engineering &amp; Development'!N22</f>
        <v>L</v>
      </c>
      <c r="H202" s="38" t="str">
        <f>'RB · Engineering &amp; Development'!R22</f>
        <v>L</v>
      </c>
      <c r="I202" s="38" t="str">
        <f>'RB · Engineering &amp; Development'!V22</f>
        <v>L</v>
      </c>
      <c r="J202" s="38" t="str">
        <f>'RB · Engineering &amp; Development'!Z22</f>
        <v>L</v>
      </c>
      <c r="K202" s="38" t="str">
        <f>'RB · Engineering &amp; Development'!AD22</f>
        <v>L</v>
      </c>
    </row>
    <row r="203">
      <c r="A203" s="53" t="inlineStr">
        <is>
          <t>Engineering &amp; Development|A2|A</t>
        </is>
      </c>
      <c r="B203" s="53" t="inlineStr">
        <is>
          <t>Engineering &amp; Development</t>
        </is>
      </c>
      <c r="C203" s="53" t="inlineStr">
        <is>
          <t>A2</t>
        </is>
      </c>
      <c r="D203" s="53" t="inlineStr">
        <is>
          <t>Band A · all tracks</t>
        </is>
      </c>
      <c r="E203" s="38" t="str">
        <f>'RB · Engineering &amp; Development'!F23</f>
        <v>H</v>
      </c>
      <c r="F203" s="38" t="str">
        <f>'RB · Engineering &amp; Development'!J23</f>
        <v>M</v>
      </c>
      <c r="G203" s="38" t="str">
        <f>'RB · Engineering &amp; Development'!N23</f>
        <v>L</v>
      </c>
      <c r="H203" s="38" t="str">
        <f>'RB · Engineering &amp; Development'!R23</f>
        <v>L</v>
      </c>
      <c r="I203" s="38" t="str">
        <f>'RB · Engineering &amp; Development'!V23</f>
        <v>L</v>
      </c>
      <c r="J203" s="38" t="str">
        <f>'RB · Engineering &amp; Development'!Z23</f>
        <v>L</v>
      </c>
      <c r="K203" s="38" t="str">
        <f>'RB · Engineering &amp; Development'!AD23</f>
        <v>L</v>
      </c>
    </row>
    <row r="204">
      <c r="A204" s="53" t="inlineStr">
        <is>
          <t>Engineering &amp; Development|A1|A</t>
        </is>
      </c>
      <c r="B204" s="53" t="inlineStr">
        <is>
          <t>Engineering &amp; Development</t>
        </is>
      </c>
      <c r="C204" s="53" t="inlineStr">
        <is>
          <t>A1</t>
        </is>
      </c>
      <c r="D204" s="53" t="inlineStr">
        <is>
          <t>Band A · all tracks</t>
        </is>
      </c>
      <c r="E204" s="38" t="str">
        <f>'RB · Engineering &amp; Development'!F24</f>
        <v>H</v>
      </c>
      <c r="F204" s="38" t="str">
        <f>'RB · Engineering &amp; Development'!J24</f>
        <v>M</v>
      </c>
      <c r="G204" s="38" t="str">
        <f>'RB · Engineering &amp; Development'!N24</f>
        <v>L</v>
      </c>
      <c r="H204" s="38" t="str">
        <f>'RB · Engineering &amp; Development'!R24</f>
        <v>L</v>
      </c>
      <c r="I204" s="38" t="str">
        <f>'RB · Engineering &amp; Development'!V24</f>
        <v>L</v>
      </c>
      <c r="J204" s="38" t="str">
        <f>'RB · Engineering &amp; Development'!Z24</f>
        <v>L</v>
      </c>
      <c r="K204" s="38" t="str">
        <f>'RB · Engineering &amp; Development'!AD24</f>
        <v>L</v>
      </c>
    </row>
    <row r="205">
      <c r="A205" s="53" t="inlineStr">
        <is>
          <t>Enterprise Leadership|E2|DE</t>
        </is>
      </c>
      <c r="B205" s="53" t="inlineStr">
        <is>
          <t>Enterprise Leadership</t>
        </is>
      </c>
      <c r="C205" s="53" t="inlineStr">
        <is>
          <t>E2</t>
        </is>
      </c>
      <c r="D205" s="53" t="inlineStr">
        <is>
          <t>Bands D–E · Leadership</t>
        </is>
      </c>
      <c r="E205" s="38" t="str">
        <f>'RB · Enterprise Leadership'!F6</f>
        <v>H</v>
      </c>
      <c r="F205" s="38" t="str">
        <f>'RB · Enterprise Leadership'!J6</f>
        <v>M</v>
      </c>
      <c r="G205" s="38" t="str">
        <f>'RB · Enterprise Leadership'!N6</f>
        <v>M</v>
      </c>
      <c r="H205" s="38" t="str">
        <f>'RB · Enterprise Leadership'!R6</f>
        <v>M</v>
      </c>
      <c r="I205" s="38" t="str">
        <f>'RB · Enterprise Leadership'!V6</f>
        <v>L</v>
      </c>
      <c r="J205" s="38" t="str">
        <f>'RB · Enterprise Leadership'!Z6</f>
        <v>L</v>
      </c>
      <c r="K205" s="38" t="str">
        <f>'RB · Enterprise Leadership'!AD6</f>
        <v>L</v>
      </c>
    </row>
    <row r="206">
      <c r="A206" s="53" t="inlineStr">
        <is>
          <t>Enterprise Leadership|E1|DE</t>
        </is>
      </c>
      <c r="B206" s="53" t="inlineStr">
        <is>
          <t>Enterprise Leadership</t>
        </is>
      </c>
      <c r="C206" s="53" t="inlineStr">
        <is>
          <t>E1</t>
        </is>
      </c>
      <c r="D206" s="53" t="inlineStr">
        <is>
          <t>Bands D–E · Leadership</t>
        </is>
      </c>
      <c r="E206" s="38" t="str">
        <f>'RB · Enterprise Leadership'!F7</f>
        <v>H</v>
      </c>
      <c r="F206" s="38" t="str">
        <f>'RB · Enterprise Leadership'!J7</f>
        <v>M</v>
      </c>
      <c r="G206" s="38" t="str">
        <f>'RB · Enterprise Leadership'!N7</f>
        <v>M</v>
      </c>
      <c r="H206" s="38" t="str">
        <f>'RB · Enterprise Leadership'!R7</f>
        <v>M</v>
      </c>
      <c r="I206" s="38" t="str">
        <f>'RB · Enterprise Leadership'!V7</f>
        <v>L</v>
      </c>
      <c r="J206" s="38" t="str">
        <f>'RB · Enterprise Leadership'!Z7</f>
        <v>L</v>
      </c>
      <c r="K206" s="38" t="str">
        <f>'RB · Enterprise Leadership'!AD7</f>
        <v>L</v>
      </c>
    </row>
    <row r="207">
      <c r="A207" s="53" t="inlineStr">
        <is>
          <t>Enterprise Leadership|D2|DE</t>
        </is>
      </c>
      <c r="B207" s="53" t="inlineStr">
        <is>
          <t>Enterprise Leadership</t>
        </is>
      </c>
      <c r="C207" s="53" t="inlineStr">
        <is>
          <t>D2</t>
        </is>
      </c>
      <c r="D207" s="53" t="inlineStr">
        <is>
          <t>Bands D–E · Leadership</t>
        </is>
      </c>
      <c r="E207" s="38" t="str">
        <f>'RB · Enterprise Leadership'!F8</f>
        <v>H</v>
      </c>
      <c r="F207" s="38" t="str">
        <f>'RB · Enterprise Leadership'!J8</f>
        <v>M</v>
      </c>
      <c r="G207" s="38" t="str">
        <f>'RB · Enterprise Leadership'!N8</f>
        <v>M</v>
      </c>
      <c r="H207" s="38" t="str">
        <f>'RB · Enterprise Leadership'!R8</f>
        <v>M</v>
      </c>
      <c r="I207" s="38" t="str">
        <f>'RB · Enterprise Leadership'!V8</f>
        <v>L</v>
      </c>
      <c r="J207" s="38" t="str">
        <f>'RB · Enterprise Leadership'!Z8</f>
        <v>L</v>
      </c>
      <c r="K207" s="38" t="str">
        <f>'RB · Enterprise Leadership'!AD8</f>
        <v>L</v>
      </c>
    </row>
    <row r="208">
      <c r="A208" s="53" t="inlineStr">
        <is>
          <t>Enterprise Leadership|D1|DE</t>
        </is>
      </c>
      <c r="B208" s="53" t="inlineStr">
        <is>
          <t>Enterprise Leadership</t>
        </is>
      </c>
      <c r="C208" s="53" t="inlineStr">
        <is>
          <t>D1</t>
        </is>
      </c>
      <c r="D208" s="53" t="inlineStr">
        <is>
          <t>Bands D–E · Leadership</t>
        </is>
      </c>
      <c r="E208" s="38" t="str">
        <f>'RB · Enterprise Leadership'!F9</f>
        <v>H</v>
      </c>
      <c r="F208" s="38" t="str">
        <f>'RB · Enterprise Leadership'!J9</f>
        <v>M</v>
      </c>
      <c r="G208" s="38" t="str">
        <f>'RB · Enterprise Leadership'!N9</f>
        <v>M</v>
      </c>
      <c r="H208" s="38" t="str">
        <f>'RB · Enterprise Leadership'!R9</f>
        <v>M</v>
      </c>
      <c r="I208" s="38" t="str">
        <f>'RB · Enterprise Leadership'!V9</f>
        <v>L</v>
      </c>
      <c r="J208" s="38" t="str">
        <f>'RB · Enterprise Leadership'!Z9</f>
        <v>L</v>
      </c>
      <c r="K208" s="38" t="str">
        <f>'RB · Enterprise Leadership'!AD9</f>
        <v>L</v>
      </c>
    </row>
    <row r="209">
      <c r="A209" s="53" t="inlineStr">
        <is>
          <t>Enterprise Leadership|C+|C+</t>
        </is>
      </c>
      <c r="B209" s="53" t="inlineStr">
        <is>
          <t>Enterprise Leadership</t>
        </is>
      </c>
      <c r="C209" s="53" t="inlineStr">
        <is>
          <t>C+</t>
        </is>
      </c>
      <c r="D209" s="53" t="inlineStr">
        <is>
          <t>C+ · Player-Coach</t>
        </is>
      </c>
      <c r="E209" s="38" t="str">
        <f>'RB · Enterprise Leadership'!F10</f>
        <v>H</v>
      </c>
      <c r="F209" s="38" t="str">
        <f>'RB · Enterprise Leadership'!J10</f>
        <v>M</v>
      </c>
      <c r="G209" s="38" t="str">
        <f>'RB · Enterprise Leadership'!N10</f>
        <v>M</v>
      </c>
      <c r="H209" s="38" t="str">
        <f>'RB · Enterprise Leadership'!R10</f>
        <v>M</v>
      </c>
      <c r="I209" s="38" t="str">
        <f>'RB · Enterprise Leadership'!V10</f>
        <v>L</v>
      </c>
      <c r="J209" s="38" t="str">
        <f>'RB · Enterprise Leadership'!Z10</f>
        <v>L</v>
      </c>
      <c r="K209" s="38" t="str">
        <f>'RB · Enterprise Leadership'!AD10</f>
        <v>L</v>
      </c>
    </row>
    <row r="210">
      <c r="A210" s="53" t="inlineStr">
        <is>
          <t>Enterprise Leadership|C2|C-M</t>
        </is>
      </c>
      <c r="B210" s="53" t="inlineStr">
        <is>
          <t>Enterprise Leadership</t>
        </is>
      </c>
      <c r="C210" s="53" t="inlineStr">
        <is>
          <t>C2</t>
        </is>
      </c>
      <c r="D210" s="53" t="inlineStr">
        <is>
          <t>Band C · Head / manager</t>
        </is>
      </c>
      <c r="E210" s="38" t="str">
        <f>'RB · Enterprise Leadership'!F11</f>
        <v>H</v>
      </c>
      <c r="F210" s="38" t="str">
        <f>'RB · Enterprise Leadership'!J11</f>
        <v>M</v>
      </c>
      <c r="G210" s="38" t="str">
        <f>'RB · Enterprise Leadership'!N11</f>
        <v>M</v>
      </c>
      <c r="H210" s="38" t="str">
        <f>'RB · Enterprise Leadership'!R11</f>
        <v>M</v>
      </c>
      <c r="I210" s="38" t="str">
        <f>'RB · Enterprise Leadership'!V11</f>
        <v>L</v>
      </c>
      <c r="J210" s="38" t="str">
        <f>'RB · Enterprise Leadership'!Z11</f>
        <v>L</v>
      </c>
      <c r="K210" s="38" t="str">
        <f>'RB · Enterprise Leadership'!AD11</f>
        <v>L</v>
      </c>
    </row>
    <row r="211">
      <c r="A211" s="53" t="inlineStr">
        <is>
          <t>Enterprise Leadership|C2|C-IC</t>
        </is>
      </c>
      <c r="B211" s="53" t="inlineStr">
        <is>
          <t>Enterprise Leadership</t>
        </is>
      </c>
      <c r="C211" s="53" t="inlineStr">
        <is>
          <t>C2</t>
        </is>
      </c>
      <c r="D211" s="53" t="inlineStr">
        <is>
          <t>Band C · Principal specialist</t>
        </is>
      </c>
      <c r="E211" s="38" t="str">
        <f>'RB · Enterprise Leadership'!F12</f>
        <v>H</v>
      </c>
      <c r="F211" s="38" t="str">
        <f>'RB · Enterprise Leadership'!J12</f>
        <v>M</v>
      </c>
      <c r="G211" s="38" t="str">
        <f>'RB · Enterprise Leadership'!N12</f>
        <v>M</v>
      </c>
      <c r="H211" s="38" t="str">
        <f>'RB · Enterprise Leadership'!R12</f>
        <v>L</v>
      </c>
      <c r="I211" s="38" t="str">
        <f>'RB · Enterprise Leadership'!V12</f>
        <v>L</v>
      </c>
      <c r="J211" s="38" t="str">
        <f>'RB · Enterprise Leadership'!Z12</f>
        <v>L</v>
      </c>
      <c r="K211" s="38" t="str">
        <f>'RB · Enterprise Leadership'!AD12</f>
        <v>L</v>
      </c>
    </row>
    <row r="212">
      <c r="A212" s="53" t="inlineStr">
        <is>
          <t>Enterprise Leadership|C1|C-M</t>
        </is>
      </c>
      <c r="B212" s="53" t="inlineStr">
        <is>
          <t>Enterprise Leadership</t>
        </is>
      </c>
      <c r="C212" s="53" t="inlineStr">
        <is>
          <t>C1</t>
        </is>
      </c>
      <c r="D212" s="53" t="inlineStr">
        <is>
          <t>Band C · Head / manager</t>
        </is>
      </c>
      <c r="E212" s="38" t="str">
        <f>'RB · Enterprise Leadership'!F13</f>
        <v>H</v>
      </c>
      <c r="F212" s="38" t="str">
        <f>'RB · Enterprise Leadership'!J13</f>
        <v>M</v>
      </c>
      <c r="G212" s="38" t="str">
        <f>'RB · Enterprise Leadership'!N13</f>
        <v>M</v>
      </c>
      <c r="H212" s="38" t="str">
        <f>'RB · Enterprise Leadership'!R13</f>
        <v>M</v>
      </c>
      <c r="I212" s="38" t="str">
        <f>'RB · Enterprise Leadership'!V13</f>
        <v>L</v>
      </c>
      <c r="J212" s="38" t="str">
        <f>'RB · Enterprise Leadership'!Z13</f>
        <v>L</v>
      </c>
      <c r="K212" s="38" t="str">
        <f>'RB · Enterprise Leadership'!AD13</f>
        <v>L</v>
      </c>
    </row>
    <row r="213">
      <c r="A213" s="53" t="inlineStr">
        <is>
          <t>Enterprise Leadership|C1|C-IC</t>
        </is>
      </c>
      <c r="B213" s="53" t="inlineStr">
        <is>
          <t>Enterprise Leadership</t>
        </is>
      </c>
      <c r="C213" s="53" t="inlineStr">
        <is>
          <t>C1</t>
        </is>
      </c>
      <c r="D213" s="53" t="inlineStr">
        <is>
          <t>Band C · Principal specialist</t>
        </is>
      </c>
      <c r="E213" s="38" t="str">
        <f>'RB · Enterprise Leadership'!F14</f>
        <v>H</v>
      </c>
      <c r="F213" s="38" t="str">
        <f>'RB · Enterprise Leadership'!J14</f>
        <v>M</v>
      </c>
      <c r="G213" s="38" t="str">
        <f>'RB · Enterprise Leadership'!N14</f>
        <v>M</v>
      </c>
      <c r="H213" s="38" t="str">
        <f>'RB · Enterprise Leadership'!R14</f>
        <v>L</v>
      </c>
      <c r="I213" s="38" t="str">
        <f>'RB · Enterprise Leadership'!V14</f>
        <v>L</v>
      </c>
      <c r="J213" s="38" t="str">
        <f>'RB · Enterprise Leadership'!Z14</f>
        <v>L</v>
      </c>
      <c r="K213" s="38" t="str">
        <f>'RB · Enterprise Leadership'!AD14</f>
        <v>L</v>
      </c>
    </row>
    <row r="214">
      <c r="A214" s="53" t="inlineStr">
        <is>
          <t>Enterprise Leadership|B+|B+</t>
        </is>
      </c>
      <c r="B214" s="53" t="inlineStr">
        <is>
          <t>Enterprise Leadership</t>
        </is>
      </c>
      <c r="C214" s="53" t="inlineStr">
        <is>
          <t>B+</t>
        </is>
      </c>
      <c r="D214" s="53" t="inlineStr">
        <is>
          <t>B+ · Player-Coach</t>
        </is>
      </c>
      <c r="E214" s="38" t="str">
        <f>'RB · Enterprise Leadership'!F15</f>
        <v>H</v>
      </c>
      <c r="F214" s="38" t="str">
        <f>'RB · Enterprise Leadership'!J15</f>
        <v>M</v>
      </c>
      <c r="G214" s="38" t="str">
        <f>'RB · Enterprise Leadership'!N15</f>
        <v>M</v>
      </c>
      <c r="H214" s="38" t="str">
        <f>'RB · Enterprise Leadership'!R15</f>
        <v>M</v>
      </c>
      <c r="I214" s="38" t="str">
        <f>'RB · Enterprise Leadership'!V15</f>
        <v>L</v>
      </c>
      <c r="J214" s="38" t="str">
        <f>'RB · Enterprise Leadership'!Z15</f>
        <v>L</v>
      </c>
      <c r="K214" s="38" t="str">
        <f>'RB · Enterprise Leadership'!AD15</f>
        <v>L</v>
      </c>
    </row>
    <row r="215">
      <c r="A215" s="53" t="inlineStr">
        <is>
          <t>Enterprise Leadership|B3|B-M</t>
        </is>
      </c>
      <c r="B215" s="53" t="inlineStr">
        <is>
          <t>Enterprise Leadership</t>
        </is>
      </c>
      <c r="C215" s="53" t="inlineStr">
        <is>
          <t>B3</t>
        </is>
      </c>
      <c r="D215" s="53" t="inlineStr">
        <is>
          <t>Band B · People Manager</t>
        </is>
      </c>
      <c r="E215" s="38" t="str">
        <f>'RB · Enterprise Leadership'!F16</f>
        <v>H</v>
      </c>
      <c r="F215" s="38" t="str">
        <f>'RB · Enterprise Leadership'!J16</f>
        <v>M</v>
      </c>
      <c r="G215" s="38" t="str">
        <f>'RB · Enterprise Leadership'!N16</f>
        <v>M</v>
      </c>
      <c r="H215" s="38" t="str">
        <f>'RB · Enterprise Leadership'!R16</f>
        <v>M</v>
      </c>
      <c r="I215" s="38" t="str">
        <f>'RB · Enterprise Leadership'!V16</f>
        <v>L</v>
      </c>
      <c r="J215" s="38" t="str">
        <f>'RB · Enterprise Leadership'!Z16</f>
        <v>L</v>
      </c>
      <c r="K215" s="38" t="str">
        <f>'RB · Enterprise Leadership'!AD16</f>
        <v>L</v>
      </c>
    </row>
    <row r="216">
      <c r="A216" s="53" t="inlineStr">
        <is>
          <t>Enterprise Leadership|B3|B-IC</t>
        </is>
      </c>
      <c r="B216" s="53" t="inlineStr">
        <is>
          <t>Enterprise Leadership</t>
        </is>
      </c>
      <c r="C216" s="53" t="inlineStr">
        <is>
          <t>B3</t>
        </is>
      </c>
      <c r="D216" s="53" t="inlineStr">
        <is>
          <t>Band B · Specialist / POD Lead</t>
        </is>
      </c>
      <c r="E216" s="38" t="str">
        <f>'RB · Enterprise Leadership'!F17</f>
        <v>H</v>
      </c>
      <c r="F216" s="38" t="str">
        <f>'RB · Enterprise Leadership'!J17</f>
        <v>M</v>
      </c>
      <c r="G216" s="38" t="str">
        <f>'RB · Enterprise Leadership'!N17</f>
        <v>M</v>
      </c>
      <c r="H216" s="38" t="str">
        <f>'RB · Enterprise Leadership'!R17</f>
        <v>L</v>
      </c>
      <c r="I216" s="38" t="str">
        <f>'RB · Enterprise Leadership'!V17</f>
        <v>L</v>
      </c>
      <c r="J216" s="38" t="str">
        <f>'RB · Enterprise Leadership'!Z17</f>
        <v>L</v>
      </c>
      <c r="K216" s="38" t="str">
        <f>'RB · Enterprise Leadership'!AD17</f>
        <v>L</v>
      </c>
    </row>
    <row r="217">
      <c r="A217" s="53" t="inlineStr">
        <is>
          <t>Enterprise Leadership|B2|B-M</t>
        </is>
      </c>
      <c r="B217" s="53" t="inlineStr">
        <is>
          <t>Enterprise Leadership</t>
        </is>
      </c>
      <c r="C217" s="53" t="inlineStr">
        <is>
          <t>B2</t>
        </is>
      </c>
      <c r="D217" s="53" t="inlineStr">
        <is>
          <t>Band B · People Manager</t>
        </is>
      </c>
      <c r="E217" s="38" t="str">
        <f>'RB · Enterprise Leadership'!F18</f>
        <v>H</v>
      </c>
      <c r="F217" s="38" t="str">
        <f>'RB · Enterprise Leadership'!J18</f>
        <v>M</v>
      </c>
      <c r="G217" s="38" t="str">
        <f>'RB · Enterprise Leadership'!N18</f>
        <v>M</v>
      </c>
      <c r="H217" s="38" t="str">
        <f>'RB · Enterprise Leadership'!R18</f>
        <v>M</v>
      </c>
      <c r="I217" s="38" t="str">
        <f>'RB · Enterprise Leadership'!V18</f>
        <v>L</v>
      </c>
      <c r="J217" s="38" t="str">
        <f>'RB · Enterprise Leadership'!Z18</f>
        <v>L</v>
      </c>
      <c r="K217" s="38" t="str">
        <f>'RB · Enterprise Leadership'!AD18</f>
        <v>L</v>
      </c>
    </row>
    <row r="218">
      <c r="A218" s="53" t="inlineStr">
        <is>
          <t>Enterprise Leadership|B2|B-IC</t>
        </is>
      </c>
      <c r="B218" s="53" t="inlineStr">
        <is>
          <t>Enterprise Leadership</t>
        </is>
      </c>
      <c r="C218" s="53" t="inlineStr">
        <is>
          <t>B2</t>
        </is>
      </c>
      <c r="D218" s="53" t="inlineStr">
        <is>
          <t>Band B · Specialist / POD Lead</t>
        </is>
      </c>
      <c r="E218" s="38" t="str">
        <f>'RB · Enterprise Leadership'!F19</f>
        <v>H</v>
      </c>
      <c r="F218" s="38" t="str">
        <f>'RB · Enterprise Leadership'!J19</f>
        <v>M</v>
      </c>
      <c r="G218" s="38" t="str">
        <f>'RB · Enterprise Leadership'!N19</f>
        <v>M</v>
      </c>
      <c r="H218" s="38" t="str">
        <f>'RB · Enterprise Leadership'!R19</f>
        <v>L</v>
      </c>
      <c r="I218" s="38" t="str">
        <f>'RB · Enterprise Leadership'!V19</f>
        <v>L</v>
      </c>
      <c r="J218" s="38" t="str">
        <f>'RB · Enterprise Leadership'!Z19</f>
        <v>L</v>
      </c>
      <c r="K218" s="38" t="str">
        <f>'RB · Enterprise Leadership'!AD19</f>
        <v>L</v>
      </c>
    </row>
    <row r="219">
      <c r="A219" s="53" t="inlineStr">
        <is>
          <t>Enterprise Leadership|B1|B-M</t>
        </is>
      </c>
      <c r="B219" s="53" t="inlineStr">
        <is>
          <t>Enterprise Leadership</t>
        </is>
      </c>
      <c r="C219" s="53" t="inlineStr">
        <is>
          <t>B1</t>
        </is>
      </c>
      <c r="D219" s="53" t="inlineStr">
        <is>
          <t>Band B · People Manager</t>
        </is>
      </c>
      <c r="E219" s="38" t="str">
        <f>'RB · Enterprise Leadership'!F20</f>
        <v>H</v>
      </c>
      <c r="F219" s="38" t="str">
        <f>'RB · Enterprise Leadership'!J20</f>
        <v>M</v>
      </c>
      <c r="G219" s="38" t="str">
        <f>'RB · Enterprise Leadership'!N20</f>
        <v>M</v>
      </c>
      <c r="H219" s="38" t="str">
        <f>'RB · Enterprise Leadership'!R20</f>
        <v>M</v>
      </c>
      <c r="I219" s="38" t="str">
        <f>'RB · Enterprise Leadership'!V20</f>
        <v>L</v>
      </c>
      <c r="J219" s="38" t="str">
        <f>'RB · Enterprise Leadership'!Z20</f>
        <v>L</v>
      </c>
      <c r="K219" s="38" t="str">
        <f>'RB · Enterprise Leadership'!AD20</f>
        <v>L</v>
      </c>
    </row>
    <row r="220">
      <c r="A220" s="53" t="inlineStr">
        <is>
          <t>Enterprise Leadership|B1|B-IC</t>
        </is>
      </c>
      <c r="B220" s="53" t="inlineStr">
        <is>
          <t>Enterprise Leadership</t>
        </is>
      </c>
      <c r="C220" s="53" t="inlineStr">
        <is>
          <t>B1</t>
        </is>
      </c>
      <c r="D220" s="53" t="inlineStr">
        <is>
          <t>Band B · Specialist / POD Lead</t>
        </is>
      </c>
      <c r="E220" s="38" t="str">
        <f>'RB · Enterprise Leadership'!F21</f>
        <v>H</v>
      </c>
      <c r="F220" s="38" t="str">
        <f>'RB · Enterprise Leadership'!J21</f>
        <v>M</v>
      </c>
      <c r="G220" s="38" t="str">
        <f>'RB · Enterprise Leadership'!N21</f>
        <v>M</v>
      </c>
      <c r="H220" s="38" t="str">
        <f>'RB · Enterprise Leadership'!R21</f>
        <v>L</v>
      </c>
      <c r="I220" s="38" t="str">
        <f>'RB · Enterprise Leadership'!V21</f>
        <v>L</v>
      </c>
      <c r="J220" s="38" t="str">
        <f>'RB · Enterprise Leadership'!Z21</f>
        <v>L</v>
      </c>
      <c r="K220" s="38" t="str">
        <f>'RB · Enterprise Leadership'!AD21</f>
        <v>L</v>
      </c>
    </row>
    <row r="221">
      <c r="A221" s="53" t="inlineStr">
        <is>
          <t>Enterprise Leadership|A3|A</t>
        </is>
      </c>
      <c r="B221" s="53" t="inlineStr">
        <is>
          <t>Enterprise Leadership</t>
        </is>
      </c>
      <c r="C221" s="53" t="inlineStr">
        <is>
          <t>A3</t>
        </is>
      </c>
      <c r="D221" s="53" t="inlineStr">
        <is>
          <t>Band A · all tracks</t>
        </is>
      </c>
      <c r="E221" s="38" t="str">
        <f>'RB · Enterprise Leadership'!F22</f>
        <v>H</v>
      </c>
      <c r="F221" s="38" t="str">
        <f>'RB · Enterprise Leadership'!J22</f>
        <v>M</v>
      </c>
      <c r="G221" s="38" t="str">
        <f>'RB · Enterprise Leadership'!N22</f>
        <v>M</v>
      </c>
      <c r="H221" s="38" t="str">
        <f>'RB · Enterprise Leadership'!R22</f>
        <v>L</v>
      </c>
      <c r="I221" s="38" t="str">
        <f>'RB · Enterprise Leadership'!V22</f>
        <v>L</v>
      </c>
      <c r="J221" s="38" t="str">
        <f>'RB · Enterprise Leadership'!Z22</f>
        <v>L</v>
      </c>
      <c r="K221" s="38" t="str">
        <f>'RB · Enterprise Leadership'!AD22</f>
        <v>L</v>
      </c>
    </row>
    <row r="222">
      <c r="A222" s="53" t="inlineStr">
        <is>
          <t>Enterprise Leadership|A2|A</t>
        </is>
      </c>
      <c r="B222" s="53" t="inlineStr">
        <is>
          <t>Enterprise Leadership</t>
        </is>
      </c>
      <c r="C222" s="53" t="inlineStr">
        <is>
          <t>A2</t>
        </is>
      </c>
      <c r="D222" s="53" t="inlineStr">
        <is>
          <t>Band A · all tracks</t>
        </is>
      </c>
      <c r="E222" s="38" t="str">
        <f>'RB · Enterprise Leadership'!F23</f>
        <v>H</v>
      </c>
      <c r="F222" s="38" t="str">
        <f>'RB · Enterprise Leadership'!J23</f>
        <v>M</v>
      </c>
      <c r="G222" s="38" t="str">
        <f>'RB · Enterprise Leadership'!N23</f>
        <v>M</v>
      </c>
      <c r="H222" s="38" t="str">
        <f>'RB · Enterprise Leadership'!R23</f>
        <v>L</v>
      </c>
      <c r="I222" s="38" t="str">
        <f>'RB · Enterprise Leadership'!V23</f>
        <v>L</v>
      </c>
      <c r="J222" s="38" t="str">
        <f>'RB · Enterprise Leadership'!Z23</f>
        <v>L</v>
      </c>
      <c r="K222" s="38" t="str">
        <f>'RB · Enterprise Leadership'!AD23</f>
        <v>L</v>
      </c>
    </row>
    <row r="223">
      <c r="A223" s="53" t="inlineStr">
        <is>
          <t>Enterprise Leadership|A1|A</t>
        </is>
      </c>
      <c r="B223" s="53" t="inlineStr">
        <is>
          <t>Enterprise Leadership</t>
        </is>
      </c>
      <c r="C223" s="53" t="inlineStr">
        <is>
          <t>A1</t>
        </is>
      </c>
      <c r="D223" s="53" t="inlineStr">
        <is>
          <t>Band A · all tracks</t>
        </is>
      </c>
      <c r="E223" s="38" t="str">
        <f>'RB · Enterprise Leadership'!F24</f>
        <v>H</v>
      </c>
      <c r="F223" s="38" t="str">
        <f>'RB · Enterprise Leadership'!J24</f>
        <v>M</v>
      </c>
      <c r="G223" s="38" t="str">
        <f>'RB · Enterprise Leadership'!N24</f>
        <v>M</v>
      </c>
      <c r="H223" s="38" t="str">
        <f>'RB · Enterprise Leadership'!R24</f>
        <v>L</v>
      </c>
      <c r="I223" s="38" t="str">
        <f>'RB · Enterprise Leadership'!V24</f>
        <v>L</v>
      </c>
      <c r="J223" s="38" t="str">
        <f>'RB · Enterprise Leadership'!Z24</f>
        <v>L</v>
      </c>
      <c r="K223" s="38" t="str">
        <f>'RB · Enterprise Leadership'!AD24</f>
        <v>L</v>
      </c>
    </row>
    <row r="224">
      <c r="A224" s="53" t="inlineStr">
        <is>
          <t>Executive Leadership|E2|DE</t>
        </is>
      </c>
      <c r="B224" s="53" t="inlineStr">
        <is>
          <t>Executive Leadership</t>
        </is>
      </c>
      <c r="C224" s="53" t="inlineStr">
        <is>
          <t>E2</t>
        </is>
      </c>
      <c r="D224" s="53" t="inlineStr">
        <is>
          <t>Bands D–E · Leadership</t>
        </is>
      </c>
      <c r="E224" s="38" t="str">
        <f>'RB · Executive Leadership'!F6</f>
        <v>H</v>
      </c>
      <c r="F224" s="38" t="str">
        <f>'RB · Executive Leadership'!J6</f>
        <v>M</v>
      </c>
      <c r="G224" s="38" t="str">
        <f>'RB · Executive Leadership'!N6</f>
        <v>M</v>
      </c>
      <c r="H224" s="38" t="str">
        <f>'RB · Executive Leadership'!R6</f>
        <v>M</v>
      </c>
      <c r="I224" s="38" t="str">
        <f>'RB · Executive Leadership'!V6</f>
        <v>L</v>
      </c>
      <c r="J224" s="38" t="str">
        <f>'RB · Executive Leadership'!Z6</f>
        <v>L</v>
      </c>
      <c r="K224" s="38" t="str">
        <f>'RB · Executive Leadership'!AD6</f>
        <v>L</v>
      </c>
    </row>
    <row r="225">
      <c r="A225" s="53" t="inlineStr">
        <is>
          <t>Executive Leadership|E1|DE</t>
        </is>
      </c>
      <c r="B225" s="53" t="inlineStr">
        <is>
          <t>Executive Leadership</t>
        </is>
      </c>
      <c r="C225" s="53" t="inlineStr">
        <is>
          <t>E1</t>
        </is>
      </c>
      <c r="D225" s="53" t="inlineStr">
        <is>
          <t>Bands D–E · Leadership</t>
        </is>
      </c>
      <c r="E225" s="38" t="str">
        <f>'RB · Executive Leadership'!F7</f>
        <v>H</v>
      </c>
      <c r="F225" s="38" t="str">
        <f>'RB · Executive Leadership'!J7</f>
        <v>M</v>
      </c>
      <c r="G225" s="38" t="str">
        <f>'RB · Executive Leadership'!N7</f>
        <v>M</v>
      </c>
      <c r="H225" s="38" t="str">
        <f>'RB · Executive Leadership'!R7</f>
        <v>M</v>
      </c>
      <c r="I225" s="38" t="str">
        <f>'RB · Executive Leadership'!V7</f>
        <v>L</v>
      </c>
      <c r="J225" s="38" t="str">
        <f>'RB · Executive Leadership'!Z7</f>
        <v>L</v>
      </c>
      <c r="K225" s="38" t="str">
        <f>'RB · Executive Leadership'!AD7</f>
        <v>L</v>
      </c>
    </row>
    <row r="226">
      <c r="A226" s="53" t="inlineStr">
        <is>
          <t>Executive Leadership|D2|DE</t>
        </is>
      </c>
      <c r="B226" s="53" t="inlineStr">
        <is>
          <t>Executive Leadership</t>
        </is>
      </c>
      <c r="C226" s="53" t="inlineStr">
        <is>
          <t>D2</t>
        </is>
      </c>
      <c r="D226" s="53" t="inlineStr">
        <is>
          <t>Bands D–E · Leadership</t>
        </is>
      </c>
      <c r="E226" s="38" t="str">
        <f>'RB · Executive Leadership'!F8</f>
        <v>H</v>
      </c>
      <c r="F226" s="38" t="str">
        <f>'RB · Executive Leadership'!J8</f>
        <v>M</v>
      </c>
      <c r="G226" s="38" t="str">
        <f>'RB · Executive Leadership'!N8</f>
        <v>M</v>
      </c>
      <c r="H226" s="38" t="str">
        <f>'RB · Executive Leadership'!R8</f>
        <v>M</v>
      </c>
      <c r="I226" s="38" t="str">
        <f>'RB · Executive Leadership'!V8</f>
        <v>L</v>
      </c>
      <c r="J226" s="38" t="str">
        <f>'RB · Executive Leadership'!Z8</f>
        <v>L</v>
      </c>
      <c r="K226" s="38" t="str">
        <f>'RB · Executive Leadership'!AD8</f>
        <v>L</v>
      </c>
    </row>
    <row r="227">
      <c r="A227" s="53" t="inlineStr">
        <is>
          <t>Executive Leadership|D1|DE</t>
        </is>
      </c>
      <c r="B227" s="53" t="inlineStr">
        <is>
          <t>Executive Leadership</t>
        </is>
      </c>
      <c r="C227" s="53" t="inlineStr">
        <is>
          <t>D1</t>
        </is>
      </c>
      <c r="D227" s="53" t="inlineStr">
        <is>
          <t>Bands D–E · Leadership</t>
        </is>
      </c>
      <c r="E227" s="38" t="str">
        <f>'RB · Executive Leadership'!F9</f>
        <v>H</v>
      </c>
      <c r="F227" s="38" t="str">
        <f>'RB · Executive Leadership'!J9</f>
        <v>M</v>
      </c>
      <c r="G227" s="38" t="str">
        <f>'RB · Executive Leadership'!N9</f>
        <v>M</v>
      </c>
      <c r="H227" s="38" t="str">
        <f>'RB · Executive Leadership'!R9</f>
        <v>M</v>
      </c>
      <c r="I227" s="38" t="str">
        <f>'RB · Executive Leadership'!V9</f>
        <v>L</v>
      </c>
      <c r="J227" s="38" t="str">
        <f>'RB · Executive Leadership'!Z9</f>
        <v>L</v>
      </c>
      <c r="K227" s="38" t="str">
        <f>'RB · Executive Leadership'!AD9</f>
        <v>L</v>
      </c>
    </row>
    <row r="228">
      <c r="A228" s="53" t="inlineStr">
        <is>
          <t>Executive Leadership|C+|C+</t>
        </is>
      </c>
      <c r="B228" s="53" t="inlineStr">
        <is>
          <t>Executive Leadership</t>
        </is>
      </c>
      <c r="C228" s="53" t="inlineStr">
        <is>
          <t>C+</t>
        </is>
      </c>
      <c r="D228" s="53" t="inlineStr">
        <is>
          <t>C+ · Player-Coach</t>
        </is>
      </c>
      <c r="E228" s="38" t="str">
        <f>'RB · Executive Leadership'!F10</f>
        <v>H</v>
      </c>
      <c r="F228" s="38" t="str">
        <f>'RB · Executive Leadership'!J10</f>
        <v>M</v>
      </c>
      <c r="G228" s="38" t="str">
        <f>'RB · Executive Leadership'!N10</f>
        <v>M</v>
      </c>
      <c r="H228" s="38" t="str">
        <f>'RB · Executive Leadership'!R10</f>
        <v>M</v>
      </c>
      <c r="I228" s="38" t="str">
        <f>'RB · Executive Leadership'!V10</f>
        <v>L</v>
      </c>
      <c r="J228" s="38" t="str">
        <f>'RB · Executive Leadership'!Z10</f>
        <v>L</v>
      </c>
      <c r="K228" s="38" t="str">
        <f>'RB · Executive Leadership'!AD10</f>
        <v>L</v>
      </c>
    </row>
    <row r="229">
      <c r="A229" s="53" t="inlineStr">
        <is>
          <t>Executive Leadership|C2|C-M</t>
        </is>
      </c>
      <c r="B229" s="53" t="inlineStr">
        <is>
          <t>Executive Leadership</t>
        </is>
      </c>
      <c r="C229" s="53" t="inlineStr">
        <is>
          <t>C2</t>
        </is>
      </c>
      <c r="D229" s="53" t="inlineStr">
        <is>
          <t>Band C · Head / manager</t>
        </is>
      </c>
      <c r="E229" s="38" t="str">
        <f>'RB · Executive Leadership'!F11</f>
        <v>H</v>
      </c>
      <c r="F229" s="38" t="str">
        <f>'RB · Executive Leadership'!J11</f>
        <v>M</v>
      </c>
      <c r="G229" s="38" t="str">
        <f>'RB · Executive Leadership'!N11</f>
        <v>M</v>
      </c>
      <c r="H229" s="38" t="str">
        <f>'RB · Executive Leadership'!R11</f>
        <v>M</v>
      </c>
      <c r="I229" s="38" t="str">
        <f>'RB · Executive Leadership'!V11</f>
        <v>L</v>
      </c>
      <c r="J229" s="38" t="str">
        <f>'RB · Executive Leadership'!Z11</f>
        <v>L</v>
      </c>
      <c r="K229" s="38" t="str">
        <f>'RB · Executive Leadership'!AD11</f>
        <v>L</v>
      </c>
    </row>
    <row r="230">
      <c r="A230" s="53" t="inlineStr">
        <is>
          <t>Executive Leadership|C2|C-IC</t>
        </is>
      </c>
      <c r="B230" s="53" t="inlineStr">
        <is>
          <t>Executive Leadership</t>
        </is>
      </c>
      <c r="C230" s="53" t="inlineStr">
        <is>
          <t>C2</t>
        </is>
      </c>
      <c r="D230" s="53" t="inlineStr">
        <is>
          <t>Band C · Principal specialist</t>
        </is>
      </c>
      <c r="E230" s="38" t="str">
        <f>'RB · Executive Leadership'!F12</f>
        <v>H</v>
      </c>
      <c r="F230" s="38" t="str">
        <f>'RB · Executive Leadership'!J12</f>
        <v>M</v>
      </c>
      <c r="G230" s="38" t="str">
        <f>'RB · Executive Leadership'!N12</f>
        <v>M</v>
      </c>
      <c r="H230" s="38" t="str">
        <f>'RB · Executive Leadership'!R12</f>
        <v>L</v>
      </c>
      <c r="I230" s="38" t="str">
        <f>'RB · Executive Leadership'!V12</f>
        <v>L</v>
      </c>
      <c r="J230" s="38" t="str">
        <f>'RB · Executive Leadership'!Z12</f>
        <v>L</v>
      </c>
      <c r="K230" s="38" t="str">
        <f>'RB · Executive Leadership'!AD12</f>
        <v>L</v>
      </c>
    </row>
    <row r="231">
      <c r="A231" s="53" t="inlineStr">
        <is>
          <t>Executive Leadership|C1|C-M</t>
        </is>
      </c>
      <c r="B231" s="53" t="inlineStr">
        <is>
          <t>Executive Leadership</t>
        </is>
      </c>
      <c r="C231" s="53" t="inlineStr">
        <is>
          <t>C1</t>
        </is>
      </c>
      <c r="D231" s="53" t="inlineStr">
        <is>
          <t>Band C · Head / manager</t>
        </is>
      </c>
      <c r="E231" s="38" t="str">
        <f>'RB · Executive Leadership'!F13</f>
        <v>H</v>
      </c>
      <c r="F231" s="38" t="str">
        <f>'RB · Executive Leadership'!J13</f>
        <v>M</v>
      </c>
      <c r="G231" s="38" t="str">
        <f>'RB · Executive Leadership'!N13</f>
        <v>M</v>
      </c>
      <c r="H231" s="38" t="str">
        <f>'RB · Executive Leadership'!R13</f>
        <v>M</v>
      </c>
      <c r="I231" s="38" t="str">
        <f>'RB · Executive Leadership'!V13</f>
        <v>L</v>
      </c>
      <c r="J231" s="38" t="str">
        <f>'RB · Executive Leadership'!Z13</f>
        <v>L</v>
      </c>
      <c r="K231" s="38" t="str">
        <f>'RB · Executive Leadership'!AD13</f>
        <v>L</v>
      </c>
    </row>
    <row r="232">
      <c r="A232" s="53" t="inlineStr">
        <is>
          <t>Executive Leadership|C1|C-IC</t>
        </is>
      </c>
      <c r="B232" s="53" t="inlineStr">
        <is>
          <t>Executive Leadership</t>
        </is>
      </c>
      <c r="C232" s="53" t="inlineStr">
        <is>
          <t>C1</t>
        </is>
      </c>
      <c r="D232" s="53" t="inlineStr">
        <is>
          <t>Band C · Principal specialist</t>
        </is>
      </c>
      <c r="E232" s="38" t="str">
        <f>'RB · Executive Leadership'!F14</f>
        <v>H</v>
      </c>
      <c r="F232" s="38" t="str">
        <f>'RB · Executive Leadership'!J14</f>
        <v>M</v>
      </c>
      <c r="G232" s="38" t="str">
        <f>'RB · Executive Leadership'!N14</f>
        <v>M</v>
      </c>
      <c r="H232" s="38" t="str">
        <f>'RB · Executive Leadership'!R14</f>
        <v>L</v>
      </c>
      <c r="I232" s="38" t="str">
        <f>'RB · Executive Leadership'!V14</f>
        <v>L</v>
      </c>
      <c r="J232" s="38" t="str">
        <f>'RB · Executive Leadership'!Z14</f>
        <v>L</v>
      </c>
      <c r="K232" s="38" t="str">
        <f>'RB · Executive Leadership'!AD14</f>
        <v>L</v>
      </c>
    </row>
    <row r="233">
      <c r="A233" s="53" t="inlineStr">
        <is>
          <t>Executive Leadership|B+|B+</t>
        </is>
      </c>
      <c r="B233" s="53" t="inlineStr">
        <is>
          <t>Executive Leadership</t>
        </is>
      </c>
      <c r="C233" s="53" t="inlineStr">
        <is>
          <t>B+</t>
        </is>
      </c>
      <c r="D233" s="53" t="inlineStr">
        <is>
          <t>B+ · Player-Coach</t>
        </is>
      </c>
      <c r="E233" s="38" t="str">
        <f>'RB · Executive Leadership'!F15</f>
        <v>H</v>
      </c>
      <c r="F233" s="38" t="str">
        <f>'RB · Executive Leadership'!J15</f>
        <v>M</v>
      </c>
      <c r="G233" s="38" t="str">
        <f>'RB · Executive Leadership'!N15</f>
        <v>M</v>
      </c>
      <c r="H233" s="38" t="str">
        <f>'RB · Executive Leadership'!R15</f>
        <v>M</v>
      </c>
      <c r="I233" s="38" t="str">
        <f>'RB · Executive Leadership'!V15</f>
        <v>L</v>
      </c>
      <c r="J233" s="38" t="str">
        <f>'RB · Executive Leadership'!Z15</f>
        <v>L</v>
      </c>
      <c r="K233" s="38" t="str">
        <f>'RB · Executive Leadership'!AD15</f>
        <v>L</v>
      </c>
    </row>
    <row r="234">
      <c r="A234" s="53" t="inlineStr">
        <is>
          <t>Executive Leadership|B3|B-M</t>
        </is>
      </c>
      <c r="B234" s="53" t="inlineStr">
        <is>
          <t>Executive Leadership</t>
        </is>
      </c>
      <c r="C234" s="53" t="inlineStr">
        <is>
          <t>B3</t>
        </is>
      </c>
      <c r="D234" s="53" t="inlineStr">
        <is>
          <t>Band B · People Manager</t>
        </is>
      </c>
      <c r="E234" s="38" t="str">
        <f>'RB · Executive Leadership'!F16</f>
        <v>H</v>
      </c>
      <c r="F234" s="38" t="str">
        <f>'RB · Executive Leadership'!J16</f>
        <v>M</v>
      </c>
      <c r="G234" s="38" t="str">
        <f>'RB · Executive Leadership'!N16</f>
        <v>M</v>
      </c>
      <c r="H234" s="38" t="str">
        <f>'RB · Executive Leadership'!R16</f>
        <v>M</v>
      </c>
      <c r="I234" s="38" t="str">
        <f>'RB · Executive Leadership'!V16</f>
        <v>L</v>
      </c>
      <c r="J234" s="38" t="str">
        <f>'RB · Executive Leadership'!Z16</f>
        <v>L</v>
      </c>
      <c r="K234" s="38" t="str">
        <f>'RB · Executive Leadership'!AD16</f>
        <v>L</v>
      </c>
    </row>
    <row r="235">
      <c r="A235" s="53" t="inlineStr">
        <is>
          <t>Executive Leadership|B3|B-IC</t>
        </is>
      </c>
      <c r="B235" s="53" t="inlineStr">
        <is>
          <t>Executive Leadership</t>
        </is>
      </c>
      <c r="C235" s="53" t="inlineStr">
        <is>
          <t>B3</t>
        </is>
      </c>
      <c r="D235" s="53" t="inlineStr">
        <is>
          <t>Band B · Specialist / POD Lead</t>
        </is>
      </c>
      <c r="E235" s="38" t="str">
        <f>'RB · Executive Leadership'!F17</f>
        <v>H</v>
      </c>
      <c r="F235" s="38" t="str">
        <f>'RB · Executive Leadership'!J17</f>
        <v>M</v>
      </c>
      <c r="G235" s="38" t="str">
        <f>'RB · Executive Leadership'!N17</f>
        <v>M</v>
      </c>
      <c r="H235" s="38" t="str">
        <f>'RB · Executive Leadership'!R17</f>
        <v>L</v>
      </c>
      <c r="I235" s="38" t="str">
        <f>'RB · Executive Leadership'!V17</f>
        <v>L</v>
      </c>
      <c r="J235" s="38" t="str">
        <f>'RB · Executive Leadership'!Z17</f>
        <v>L</v>
      </c>
      <c r="K235" s="38" t="str">
        <f>'RB · Executive Leadership'!AD17</f>
        <v>L</v>
      </c>
    </row>
    <row r="236">
      <c r="A236" s="53" t="inlineStr">
        <is>
          <t>Executive Leadership|B2|B-M</t>
        </is>
      </c>
      <c r="B236" s="53" t="inlineStr">
        <is>
          <t>Executive Leadership</t>
        </is>
      </c>
      <c r="C236" s="53" t="inlineStr">
        <is>
          <t>B2</t>
        </is>
      </c>
      <c r="D236" s="53" t="inlineStr">
        <is>
          <t>Band B · People Manager</t>
        </is>
      </c>
      <c r="E236" s="38" t="str">
        <f>'RB · Executive Leadership'!F18</f>
        <v>H</v>
      </c>
      <c r="F236" s="38" t="str">
        <f>'RB · Executive Leadership'!J18</f>
        <v>M</v>
      </c>
      <c r="G236" s="38" t="str">
        <f>'RB · Executive Leadership'!N18</f>
        <v>M</v>
      </c>
      <c r="H236" s="38" t="str">
        <f>'RB · Executive Leadership'!R18</f>
        <v>M</v>
      </c>
      <c r="I236" s="38" t="str">
        <f>'RB · Executive Leadership'!V18</f>
        <v>L</v>
      </c>
      <c r="J236" s="38" t="str">
        <f>'RB · Executive Leadership'!Z18</f>
        <v>L</v>
      </c>
      <c r="K236" s="38" t="str">
        <f>'RB · Executive Leadership'!AD18</f>
        <v>L</v>
      </c>
    </row>
    <row r="237">
      <c r="A237" s="53" t="inlineStr">
        <is>
          <t>Executive Leadership|B2|B-IC</t>
        </is>
      </c>
      <c r="B237" s="53" t="inlineStr">
        <is>
          <t>Executive Leadership</t>
        </is>
      </c>
      <c r="C237" s="53" t="inlineStr">
        <is>
          <t>B2</t>
        </is>
      </c>
      <c r="D237" s="53" t="inlineStr">
        <is>
          <t>Band B · Specialist / POD Lead</t>
        </is>
      </c>
      <c r="E237" s="38" t="str">
        <f>'RB · Executive Leadership'!F19</f>
        <v>H</v>
      </c>
      <c r="F237" s="38" t="str">
        <f>'RB · Executive Leadership'!J19</f>
        <v>M</v>
      </c>
      <c r="G237" s="38" t="str">
        <f>'RB · Executive Leadership'!N19</f>
        <v>M</v>
      </c>
      <c r="H237" s="38" t="str">
        <f>'RB · Executive Leadership'!R19</f>
        <v>L</v>
      </c>
      <c r="I237" s="38" t="str">
        <f>'RB · Executive Leadership'!V19</f>
        <v>L</v>
      </c>
      <c r="J237" s="38" t="str">
        <f>'RB · Executive Leadership'!Z19</f>
        <v>L</v>
      </c>
      <c r="K237" s="38" t="str">
        <f>'RB · Executive Leadership'!AD19</f>
        <v>L</v>
      </c>
    </row>
    <row r="238">
      <c r="A238" s="53" t="inlineStr">
        <is>
          <t>Executive Leadership|B1|B-M</t>
        </is>
      </c>
      <c r="B238" s="53" t="inlineStr">
        <is>
          <t>Executive Leadership</t>
        </is>
      </c>
      <c r="C238" s="53" t="inlineStr">
        <is>
          <t>B1</t>
        </is>
      </c>
      <c r="D238" s="53" t="inlineStr">
        <is>
          <t>Band B · People Manager</t>
        </is>
      </c>
      <c r="E238" s="38" t="str">
        <f>'RB · Executive Leadership'!F20</f>
        <v>H</v>
      </c>
      <c r="F238" s="38" t="str">
        <f>'RB · Executive Leadership'!J20</f>
        <v>M</v>
      </c>
      <c r="G238" s="38" t="str">
        <f>'RB · Executive Leadership'!N20</f>
        <v>M</v>
      </c>
      <c r="H238" s="38" t="str">
        <f>'RB · Executive Leadership'!R20</f>
        <v>M</v>
      </c>
      <c r="I238" s="38" t="str">
        <f>'RB · Executive Leadership'!V20</f>
        <v>L</v>
      </c>
      <c r="J238" s="38" t="str">
        <f>'RB · Executive Leadership'!Z20</f>
        <v>L</v>
      </c>
      <c r="K238" s="38" t="str">
        <f>'RB · Executive Leadership'!AD20</f>
        <v>L</v>
      </c>
    </row>
    <row r="239">
      <c r="A239" s="53" t="inlineStr">
        <is>
          <t>Executive Leadership|B1|B-IC</t>
        </is>
      </c>
      <c r="B239" s="53" t="inlineStr">
        <is>
          <t>Executive Leadership</t>
        </is>
      </c>
      <c r="C239" s="53" t="inlineStr">
        <is>
          <t>B1</t>
        </is>
      </c>
      <c r="D239" s="53" t="inlineStr">
        <is>
          <t>Band B · Specialist / POD Lead</t>
        </is>
      </c>
      <c r="E239" s="38" t="str">
        <f>'RB · Executive Leadership'!F21</f>
        <v>H</v>
      </c>
      <c r="F239" s="38" t="str">
        <f>'RB · Executive Leadership'!J21</f>
        <v>M</v>
      </c>
      <c r="G239" s="38" t="str">
        <f>'RB · Executive Leadership'!N21</f>
        <v>M</v>
      </c>
      <c r="H239" s="38" t="str">
        <f>'RB · Executive Leadership'!R21</f>
        <v>L</v>
      </c>
      <c r="I239" s="38" t="str">
        <f>'RB · Executive Leadership'!V21</f>
        <v>L</v>
      </c>
      <c r="J239" s="38" t="str">
        <f>'RB · Executive Leadership'!Z21</f>
        <v>L</v>
      </c>
      <c r="K239" s="38" t="str">
        <f>'RB · Executive Leadership'!AD21</f>
        <v>L</v>
      </c>
    </row>
    <row r="240">
      <c r="A240" s="53" t="inlineStr">
        <is>
          <t>Executive Leadership|A3|A</t>
        </is>
      </c>
      <c r="B240" s="53" t="inlineStr">
        <is>
          <t>Executive Leadership</t>
        </is>
      </c>
      <c r="C240" s="53" t="inlineStr">
        <is>
          <t>A3</t>
        </is>
      </c>
      <c r="D240" s="53" t="inlineStr">
        <is>
          <t>Band A · all tracks</t>
        </is>
      </c>
      <c r="E240" s="38" t="str">
        <f>'RB · Executive Leadership'!F22</f>
        <v>H</v>
      </c>
      <c r="F240" s="38" t="str">
        <f>'RB · Executive Leadership'!J22</f>
        <v>M</v>
      </c>
      <c r="G240" s="38" t="str">
        <f>'RB · Executive Leadership'!N22</f>
        <v>M</v>
      </c>
      <c r="H240" s="38" t="str">
        <f>'RB · Executive Leadership'!R22</f>
        <v>L</v>
      </c>
      <c r="I240" s="38" t="str">
        <f>'RB · Executive Leadership'!V22</f>
        <v>L</v>
      </c>
      <c r="J240" s="38" t="str">
        <f>'RB · Executive Leadership'!Z22</f>
        <v>L</v>
      </c>
      <c r="K240" s="38" t="str">
        <f>'RB · Executive Leadership'!AD22</f>
        <v>L</v>
      </c>
    </row>
    <row r="241">
      <c r="A241" s="53" t="inlineStr">
        <is>
          <t>Executive Leadership|A2|A</t>
        </is>
      </c>
      <c r="B241" s="53" t="inlineStr">
        <is>
          <t>Executive Leadership</t>
        </is>
      </c>
      <c r="C241" s="53" t="inlineStr">
        <is>
          <t>A2</t>
        </is>
      </c>
      <c r="D241" s="53" t="inlineStr">
        <is>
          <t>Band A · all tracks</t>
        </is>
      </c>
      <c r="E241" s="38" t="str">
        <f>'RB · Executive Leadership'!F23</f>
        <v>H</v>
      </c>
      <c r="F241" s="38" t="str">
        <f>'RB · Executive Leadership'!J23</f>
        <v>M</v>
      </c>
      <c r="G241" s="38" t="str">
        <f>'RB · Executive Leadership'!N23</f>
        <v>M</v>
      </c>
      <c r="H241" s="38" t="str">
        <f>'RB · Executive Leadership'!R23</f>
        <v>L</v>
      </c>
      <c r="I241" s="38" t="str">
        <f>'RB · Executive Leadership'!V23</f>
        <v>L</v>
      </c>
      <c r="J241" s="38" t="str">
        <f>'RB · Executive Leadership'!Z23</f>
        <v>L</v>
      </c>
      <c r="K241" s="38" t="str">
        <f>'RB · Executive Leadership'!AD23</f>
        <v>L</v>
      </c>
    </row>
    <row r="242">
      <c r="A242" s="53" t="inlineStr">
        <is>
          <t>Executive Leadership|A1|A</t>
        </is>
      </c>
      <c r="B242" s="53" t="inlineStr">
        <is>
          <t>Executive Leadership</t>
        </is>
      </c>
      <c r="C242" s="53" t="inlineStr">
        <is>
          <t>A1</t>
        </is>
      </c>
      <c r="D242" s="53" t="inlineStr">
        <is>
          <t>Band A · all tracks</t>
        </is>
      </c>
      <c r="E242" s="38" t="str">
        <f>'RB · Executive Leadership'!F24</f>
        <v>H</v>
      </c>
      <c r="F242" s="38" t="str">
        <f>'RB · Executive Leadership'!J24</f>
        <v>M</v>
      </c>
      <c r="G242" s="38" t="str">
        <f>'RB · Executive Leadership'!N24</f>
        <v>M</v>
      </c>
      <c r="H242" s="38" t="str">
        <f>'RB · Executive Leadership'!R24</f>
        <v>L</v>
      </c>
      <c r="I242" s="38" t="str">
        <f>'RB · Executive Leadership'!V24</f>
        <v>L</v>
      </c>
      <c r="J242" s="38" t="str">
        <f>'RB · Executive Leadership'!Z24</f>
        <v>L</v>
      </c>
      <c r="K242" s="38" t="str">
        <f>'RB · Executive Leadership'!AD24</f>
        <v>L</v>
      </c>
    </row>
    <row r="243">
      <c r="A243" s="53" t="inlineStr">
        <is>
          <t>Finance &amp; Accounts|E2|DE</t>
        </is>
      </c>
      <c r="B243" s="53" t="inlineStr">
        <is>
          <t>Finance &amp; Accounts</t>
        </is>
      </c>
      <c r="C243" s="53" t="inlineStr">
        <is>
          <t>E2</t>
        </is>
      </c>
      <c r="D243" s="53" t="inlineStr">
        <is>
          <t>Bands D–E · Leadership</t>
        </is>
      </c>
      <c r="E243" s="38" t="str">
        <f>'RB · Finance &amp; Accounts'!F6</f>
        <v>H</v>
      </c>
      <c r="F243" s="38" t="str">
        <f>'RB · Finance &amp; Accounts'!J6</f>
        <v>M</v>
      </c>
      <c r="G243" s="38" t="str">
        <f>'RB · Finance &amp; Accounts'!N6</f>
        <v>M</v>
      </c>
      <c r="H243" s="38" t="str">
        <f>'RB · Finance &amp; Accounts'!R6</f>
        <v>M</v>
      </c>
      <c r="I243" s="38" t="str">
        <f>'RB · Finance &amp; Accounts'!V6</f>
        <v>L</v>
      </c>
      <c r="J243" s="38" t="str">
        <f>'RB · Finance &amp; Accounts'!Z6</f>
        <v>L</v>
      </c>
      <c r="K243" s="38" t="str">
        <f>'RB · Finance &amp; Accounts'!AD6</f>
        <v>L</v>
      </c>
    </row>
    <row r="244">
      <c r="A244" s="53" t="inlineStr">
        <is>
          <t>Finance &amp; Accounts|E1|DE</t>
        </is>
      </c>
      <c r="B244" s="53" t="inlineStr">
        <is>
          <t>Finance &amp; Accounts</t>
        </is>
      </c>
      <c r="C244" s="53" t="inlineStr">
        <is>
          <t>E1</t>
        </is>
      </c>
      <c r="D244" s="53" t="inlineStr">
        <is>
          <t>Bands D–E · Leadership</t>
        </is>
      </c>
      <c r="E244" s="38" t="str">
        <f>'RB · Finance &amp; Accounts'!F7</f>
        <v>H</v>
      </c>
      <c r="F244" s="38" t="str">
        <f>'RB · Finance &amp; Accounts'!J7</f>
        <v>M</v>
      </c>
      <c r="G244" s="38" t="str">
        <f>'RB · Finance &amp; Accounts'!N7</f>
        <v>M</v>
      </c>
      <c r="H244" s="38" t="str">
        <f>'RB · Finance &amp; Accounts'!R7</f>
        <v>M</v>
      </c>
      <c r="I244" s="38" t="str">
        <f>'RB · Finance &amp; Accounts'!V7</f>
        <v>L</v>
      </c>
      <c r="J244" s="38" t="str">
        <f>'RB · Finance &amp; Accounts'!Z7</f>
        <v>L</v>
      </c>
      <c r="K244" s="38" t="str">
        <f>'RB · Finance &amp; Accounts'!AD7</f>
        <v>L</v>
      </c>
    </row>
    <row r="245">
      <c r="A245" s="53" t="inlineStr">
        <is>
          <t>Finance &amp; Accounts|D2|DE</t>
        </is>
      </c>
      <c r="B245" s="53" t="inlineStr">
        <is>
          <t>Finance &amp; Accounts</t>
        </is>
      </c>
      <c r="C245" s="53" t="inlineStr">
        <is>
          <t>D2</t>
        </is>
      </c>
      <c r="D245" s="53" t="inlineStr">
        <is>
          <t>Bands D–E · Leadership</t>
        </is>
      </c>
      <c r="E245" s="38" t="str">
        <f>'RB · Finance &amp; Accounts'!F8</f>
        <v>H</v>
      </c>
      <c r="F245" s="38" t="str">
        <f>'RB · Finance &amp; Accounts'!J8</f>
        <v>M</v>
      </c>
      <c r="G245" s="38" t="str">
        <f>'RB · Finance &amp; Accounts'!N8</f>
        <v>M</v>
      </c>
      <c r="H245" s="38" t="str">
        <f>'RB · Finance &amp; Accounts'!R8</f>
        <v>M</v>
      </c>
      <c r="I245" s="38" t="str">
        <f>'RB · Finance &amp; Accounts'!V8</f>
        <v>L</v>
      </c>
      <c r="J245" s="38" t="str">
        <f>'RB · Finance &amp; Accounts'!Z8</f>
        <v>L</v>
      </c>
      <c r="K245" s="38" t="str">
        <f>'RB · Finance &amp; Accounts'!AD8</f>
        <v>L</v>
      </c>
    </row>
    <row r="246">
      <c r="A246" s="53" t="inlineStr">
        <is>
          <t>Finance &amp; Accounts|D1|DE</t>
        </is>
      </c>
      <c r="B246" s="53" t="inlineStr">
        <is>
          <t>Finance &amp; Accounts</t>
        </is>
      </c>
      <c r="C246" s="53" t="inlineStr">
        <is>
          <t>D1</t>
        </is>
      </c>
      <c r="D246" s="53" t="inlineStr">
        <is>
          <t>Bands D–E · Leadership</t>
        </is>
      </c>
      <c r="E246" s="38" t="str">
        <f>'RB · Finance &amp; Accounts'!F9</f>
        <v>H</v>
      </c>
      <c r="F246" s="38" t="str">
        <f>'RB · Finance &amp; Accounts'!J9</f>
        <v>M</v>
      </c>
      <c r="G246" s="38" t="str">
        <f>'RB · Finance &amp; Accounts'!N9</f>
        <v>M</v>
      </c>
      <c r="H246" s="38" t="str">
        <f>'RB · Finance &amp; Accounts'!R9</f>
        <v>M</v>
      </c>
      <c r="I246" s="38" t="str">
        <f>'RB · Finance &amp; Accounts'!V9</f>
        <v>L</v>
      </c>
      <c r="J246" s="38" t="str">
        <f>'RB · Finance &amp; Accounts'!Z9</f>
        <v>L</v>
      </c>
      <c r="K246" s="38" t="str">
        <f>'RB · Finance &amp; Accounts'!AD9</f>
        <v>L</v>
      </c>
    </row>
    <row r="247">
      <c r="A247" s="53" t="inlineStr">
        <is>
          <t>Finance &amp; Accounts|C+|C+</t>
        </is>
      </c>
      <c r="B247" s="53" t="inlineStr">
        <is>
          <t>Finance &amp; Accounts</t>
        </is>
      </c>
      <c r="C247" s="53" t="inlineStr">
        <is>
          <t>C+</t>
        </is>
      </c>
      <c r="D247" s="53" t="inlineStr">
        <is>
          <t>C+ · Player-Coach</t>
        </is>
      </c>
      <c r="E247" s="38" t="str">
        <f>'RB · Finance &amp; Accounts'!F10</f>
        <v>H</v>
      </c>
      <c r="F247" s="38" t="str">
        <f>'RB · Finance &amp; Accounts'!J10</f>
        <v>M</v>
      </c>
      <c r="G247" s="38" t="str">
        <f>'RB · Finance &amp; Accounts'!N10</f>
        <v>M</v>
      </c>
      <c r="H247" s="38" t="str">
        <f>'RB · Finance &amp; Accounts'!R10</f>
        <v>M</v>
      </c>
      <c r="I247" s="38" t="str">
        <f>'RB · Finance &amp; Accounts'!V10</f>
        <v>L</v>
      </c>
      <c r="J247" s="38" t="str">
        <f>'RB · Finance &amp; Accounts'!Z10</f>
        <v>L</v>
      </c>
      <c r="K247" s="38" t="str">
        <f>'RB · Finance &amp; Accounts'!AD10</f>
        <v>L</v>
      </c>
    </row>
    <row r="248">
      <c r="A248" s="53" t="inlineStr">
        <is>
          <t>Finance &amp; Accounts|C2|C-M</t>
        </is>
      </c>
      <c r="B248" s="53" t="inlineStr">
        <is>
          <t>Finance &amp; Accounts</t>
        </is>
      </c>
      <c r="C248" s="53" t="inlineStr">
        <is>
          <t>C2</t>
        </is>
      </c>
      <c r="D248" s="53" t="inlineStr">
        <is>
          <t>Band C · Head / manager</t>
        </is>
      </c>
      <c r="E248" s="38" t="str">
        <f>'RB · Finance &amp; Accounts'!F11</f>
        <v>H</v>
      </c>
      <c r="F248" s="38" t="str">
        <f>'RB · Finance &amp; Accounts'!J11</f>
        <v>M</v>
      </c>
      <c r="G248" s="38" t="str">
        <f>'RB · Finance &amp; Accounts'!N11</f>
        <v>M</v>
      </c>
      <c r="H248" s="38" t="str">
        <f>'RB · Finance &amp; Accounts'!R11</f>
        <v>M</v>
      </c>
      <c r="I248" s="38" t="str">
        <f>'RB · Finance &amp; Accounts'!V11</f>
        <v>L</v>
      </c>
      <c r="J248" s="38" t="str">
        <f>'RB · Finance &amp; Accounts'!Z11</f>
        <v>L</v>
      </c>
      <c r="K248" s="38" t="str">
        <f>'RB · Finance &amp; Accounts'!AD11</f>
        <v>L</v>
      </c>
    </row>
    <row r="249">
      <c r="A249" s="53" t="inlineStr">
        <is>
          <t>Finance &amp; Accounts|C2|C-IC</t>
        </is>
      </c>
      <c r="B249" s="53" t="inlineStr">
        <is>
          <t>Finance &amp; Accounts</t>
        </is>
      </c>
      <c r="C249" s="53" t="inlineStr">
        <is>
          <t>C2</t>
        </is>
      </c>
      <c r="D249" s="53" t="inlineStr">
        <is>
          <t>Band C · Principal specialist</t>
        </is>
      </c>
      <c r="E249" s="38" t="str">
        <f>'RB · Finance &amp; Accounts'!F12</f>
        <v>H</v>
      </c>
      <c r="F249" s="38" t="str">
        <f>'RB · Finance &amp; Accounts'!J12</f>
        <v>M</v>
      </c>
      <c r="G249" s="38" t="str">
        <f>'RB · Finance &amp; Accounts'!N12</f>
        <v>M</v>
      </c>
      <c r="H249" s="38" t="str">
        <f>'RB · Finance &amp; Accounts'!R12</f>
        <v>L</v>
      </c>
      <c r="I249" s="38" t="str">
        <f>'RB · Finance &amp; Accounts'!V12</f>
        <v>L</v>
      </c>
      <c r="J249" s="38" t="str">
        <f>'RB · Finance &amp; Accounts'!Z12</f>
        <v>L</v>
      </c>
      <c r="K249" s="38" t="str">
        <f>'RB · Finance &amp; Accounts'!AD12</f>
        <v>L</v>
      </c>
    </row>
    <row r="250">
      <c r="A250" s="53" t="inlineStr">
        <is>
          <t>Finance &amp; Accounts|C1|C-M</t>
        </is>
      </c>
      <c r="B250" s="53" t="inlineStr">
        <is>
          <t>Finance &amp; Accounts</t>
        </is>
      </c>
      <c r="C250" s="53" t="inlineStr">
        <is>
          <t>C1</t>
        </is>
      </c>
      <c r="D250" s="53" t="inlineStr">
        <is>
          <t>Band C · Head / manager</t>
        </is>
      </c>
      <c r="E250" s="38" t="str">
        <f>'RB · Finance &amp; Accounts'!F13</f>
        <v>H</v>
      </c>
      <c r="F250" s="38" t="str">
        <f>'RB · Finance &amp; Accounts'!J13</f>
        <v>M</v>
      </c>
      <c r="G250" s="38" t="str">
        <f>'RB · Finance &amp; Accounts'!N13</f>
        <v>M</v>
      </c>
      <c r="H250" s="38" t="str">
        <f>'RB · Finance &amp; Accounts'!R13</f>
        <v>M</v>
      </c>
      <c r="I250" s="38" t="str">
        <f>'RB · Finance &amp; Accounts'!V13</f>
        <v>L</v>
      </c>
      <c r="J250" s="38" t="str">
        <f>'RB · Finance &amp; Accounts'!Z13</f>
        <v>L</v>
      </c>
      <c r="K250" s="38" t="str">
        <f>'RB · Finance &amp; Accounts'!AD13</f>
        <v>L</v>
      </c>
    </row>
    <row r="251">
      <c r="A251" s="53" t="inlineStr">
        <is>
          <t>Finance &amp; Accounts|C1|C-IC</t>
        </is>
      </c>
      <c r="B251" s="53" t="inlineStr">
        <is>
          <t>Finance &amp; Accounts</t>
        </is>
      </c>
      <c r="C251" s="53" t="inlineStr">
        <is>
          <t>C1</t>
        </is>
      </c>
      <c r="D251" s="53" t="inlineStr">
        <is>
          <t>Band C · Principal specialist</t>
        </is>
      </c>
      <c r="E251" s="38" t="str">
        <f>'RB · Finance &amp; Accounts'!F14</f>
        <v>H</v>
      </c>
      <c r="F251" s="38" t="str">
        <f>'RB · Finance &amp; Accounts'!J14</f>
        <v>M</v>
      </c>
      <c r="G251" s="38" t="str">
        <f>'RB · Finance &amp; Accounts'!N14</f>
        <v>M</v>
      </c>
      <c r="H251" s="38" t="str">
        <f>'RB · Finance &amp; Accounts'!R14</f>
        <v>L</v>
      </c>
      <c r="I251" s="38" t="str">
        <f>'RB · Finance &amp; Accounts'!V14</f>
        <v>L</v>
      </c>
      <c r="J251" s="38" t="str">
        <f>'RB · Finance &amp; Accounts'!Z14</f>
        <v>L</v>
      </c>
      <c r="K251" s="38" t="str">
        <f>'RB · Finance &amp; Accounts'!AD14</f>
        <v>L</v>
      </c>
    </row>
    <row r="252">
      <c r="A252" s="53" t="inlineStr">
        <is>
          <t>Finance &amp; Accounts|B+|B+</t>
        </is>
      </c>
      <c r="B252" s="53" t="inlineStr">
        <is>
          <t>Finance &amp; Accounts</t>
        </is>
      </c>
      <c r="C252" s="53" t="inlineStr">
        <is>
          <t>B+</t>
        </is>
      </c>
      <c r="D252" s="53" t="inlineStr">
        <is>
          <t>B+ · Player-Coach</t>
        </is>
      </c>
      <c r="E252" s="38" t="str">
        <f>'RB · Finance &amp; Accounts'!F15</f>
        <v>H</v>
      </c>
      <c r="F252" s="38" t="str">
        <f>'RB · Finance &amp; Accounts'!J15</f>
        <v>M</v>
      </c>
      <c r="G252" s="38" t="str">
        <f>'RB · Finance &amp; Accounts'!N15</f>
        <v>M</v>
      </c>
      <c r="H252" s="38" t="str">
        <f>'RB · Finance &amp; Accounts'!R15</f>
        <v>M</v>
      </c>
      <c r="I252" s="38" t="str">
        <f>'RB · Finance &amp; Accounts'!V15</f>
        <v>L</v>
      </c>
      <c r="J252" s="38" t="str">
        <f>'RB · Finance &amp; Accounts'!Z15</f>
        <v>L</v>
      </c>
      <c r="K252" s="38" t="str">
        <f>'RB · Finance &amp; Accounts'!AD15</f>
        <v>M</v>
      </c>
    </row>
    <row r="253">
      <c r="A253" s="53" t="inlineStr">
        <is>
          <t>Finance &amp; Accounts|B3|B-M</t>
        </is>
      </c>
      <c r="B253" s="53" t="inlineStr">
        <is>
          <t>Finance &amp; Accounts</t>
        </is>
      </c>
      <c r="C253" s="53" t="inlineStr">
        <is>
          <t>B3</t>
        </is>
      </c>
      <c r="D253" s="53" t="inlineStr">
        <is>
          <t>Band B · People Manager</t>
        </is>
      </c>
      <c r="E253" s="38" t="str">
        <f>'RB · Finance &amp; Accounts'!F16</f>
        <v>H</v>
      </c>
      <c r="F253" s="38" t="str">
        <f>'RB · Finance &amp; Accounts'!J16</f>
        <v>M</v>
      </c>
      <c r="G253" s="38" t="str">
        <f>'RB · Finance &amp; Accounts'!N16</f>
        <v>M</v>
      </c>
      <c r="H253" s="38" t="str">
        <f>'RB · Finance &amp; Accounts'!R16</f>
        <v>M</v>
      </c>
      <c r="I253" s="38" t="str">
        <f>'RB · Finance &amp; Accounts'!V16</f>
        <v>L</v>
      </c>
      <c r="J253" s="38" t="str">
        <f>'RB · Finance &amp; Accounts'!Z16</f>
        <v>L</v>
      </c>
      <c r="K253" s="38" t="str">
        <f>'RB · Finance &amp; Accounts'!AD16</f>
        <v>L</v>
      </c>
    </row>
    <row r="254">
      <c r="A254" s="53" t="inlineStr">
        <is>
          <t>Finance &amp; Accounts|B3|B-IC</t>
        </is>
      </c>
      <c r="B254" s="53" t="inlineStr">
        <is>
          <t>Finance &amp; Accounts</t>
        </is>
      </c>
      <c r="C254" s="53" t="inlineStr">
        <is>
          <t>B3</t>
        </is>
      </c>
      <c r="D254" s="53" t="inlineStr">
        <is>
          <t>Band B · Specialist / POD Lead</t>
        </is>
      </c>
      <c r="E254" s="38" t="str">
        <f>'RB · Finance &amp; Accounts'!F17</f>
        <v>H</v>
      </c>
      <c r="F254" s="38" t="str">
        <f>'RB · Finance &amp; Accounts'!J17</f>
        <v>M</v>
      </c>
      <c r="G254" s="38" t="str">
        <f>'RB · Finance &amp; Accounts'!N17</f>
        <v>M</v>
      </c>
      <c r="H254" s="38" t="str">
        <f>'RB · Finance &amp; Accounts'!R17</f>
        <v>L</v>
      </c>
      <c r="I254" s="38" t="str">
        <f>'RB · Finance &amp; Accounts'!V17</f>
        <v>L</v>
      </c>
      <c r="J254" s="38" t="str">
        <f>'RB · Finance &amp; Accounts'!Z17</f>
        <v>L</v>
      </c>
      <c r="K254" s="38" t="str">
        <f>'RB · Finance &amp; Accounts'!AD17</f>
        <v>L</v>
      </c>
    </row>
    <row r="255">
      <c r="A255" s="53" t="inlineStr">
        <is>
          <t>Finance &amp; Accounts|B2|B-M</t>
        </is>
      </c>
      <c r="B255" s="53" t="inlineStr">
        <is>
          <t>Finance &amp; Accounts</t>
        </is>
      </c>
      <c r="C255" s="53" t="inlineStr">
        <is>
          <t>B2</t>
        </is>
      </c>
      <c r="D255" s="53" t="inlineStr">
        <is>
          <t>Band B · People Manager</t>
        </is>
      </c>
      <c r="E255" s="38" t="str">
        <f>'RB · Finance &amp; Accounts'!F18</f>
        <v>H</v>
      </c>
      <c r="F255" s="38" t="str">
        <f>'RB · Finance &amp; Accounts'!J18</f>
        <v>M</v>
      </c>
      <c r="G255" s="38" t="str">
        <f>'RB · Finance &amp; Accounts'!N18</f>
        <v>M</v>
      </c>
      <c r="H255" s="38" t="str">
        <f>'RB · Finance &amp; Accounts'!R18</f>
        <v>M</v>
      </c>
      <c r="I255" s="38" t="str">
        <f>'RB · Finance &amp; Accounts'!V18</f>
        <v>L</v>
      </c>
      <c r="J255" s="38" t="str">
        <f>'RB · Finance &amp; Accounts'!Z18</f>
        <v>L</v>
      </c>
      <c r="K255" s="38" t="str">
        <f>'RB · Finance &amp; Accounts'!AD18</f>
        <v>L</v>
      </c>
    </row>
    <row r="256">
      <c r="A256" s="53" t="inlineStr">
        <is>
          <t>Finance &amp; Accounts|B2|B-IC</t>
        </is>
      </c>
      <c r="B256" s="53" t="inlineStr">
        <is>
          <t>Finance &amp; Accounts</t>
        </is>
      </c>
      <c r="C256" s="53" t="inlineStr">
        <is>
          <t>B2</t>
        </is>
      </c>
      <c r="D256" s="53" t="inlineStr">
        <is>
          <t>Band B · Specialist / POD Lead</t>
        </is>
      </c>
      <c r="E256" s="38" t="str">
        <f>'RB · Finance &amp; Accounts'!F19</f>
        <v>H</v>
      </c>
      <c r="F256" s="38" t="str">
        <f>'RB · Finance &amp; Accounts'!J19</f>
        <v>M</v>
      </c>
      <c r="G256" s="38" t="str">
        <f>'RB · Finance &amp; Accounts'!N19</f>
        <v>M</v>
      </c>
      <c r="H256" s="38" t="str">
        <f>'RB · Finance &amp; Accounts'!R19</f>
        <v>L</v>
      </c>
      <c r="I256" s="38" t="str">
        <f>'RB · Finance &amp; Accounts'!V19</f>
        <v>L</v>
      </c>
      <c r="J256" s="38" t="str">
        <f>'RB · Finance &amp; Accounts'!Z19</f>
        <v>L</v>
      </c>
      <c r="K256" s="38" t="str">
        <f>'RB · Finance &amp; Accounts'!AD19</f>
        <v>L</v>
      </c>
    </row>
    <row r="257">
      <c r="A257" s="53" t="inlineStr">
        <is>
          <t>Finance &amp; Accounts|B1|B-M</t>
        </is>
      </c>
      <c r="B257" s="53" t="inlineStr">
        <is>
          <t>Finance &amp; Accounts</t>
        </is>
      </c>
      <c r="C257" s="53" t="inlineStr">
        <is>
          <t>B1</t>
        </is>
      </c>
      <c r="D257" s="53" t="inlineStr">
        <is>
          <t>Band B · People Manager</t>
        </is>
      </c>
      <c r="E257" s="38" t="str">
        <f>'RB · Finance &amp; Accounts'!F20</f>
        <v>H</v>
      </c>
      <c r="F257" s="38" t="str">
        <f>'RB · Finance &amp; Accounts'!J20</f>
        <v>M</v>
      </c>
      <c r="G257" s="38" t="str">
        <f>'RB · Finance &amp; Accounts'!N20</f>
        <v>M</v>
      </c>
      <c r="H257" s="38" t="str">
        <f>'RB · Finance &amp; Accounts'!R20</f>
        <v>M</v>
      </c>
      <c r="I257" s="38" t="str">
        <f>'RB · Finance &amp; Accounts'!V20</f>
        <v>L</v>
      </c>
      <c r="J257" s="38" t="str">
        <f>'RB · Finance &amp; Accounts'!Z20</f>
        <v>L</v>
      </c>
      <c r="K257" s="38" t="str">
        <f>'RB · Finance &amp; Accounts'!AD20</f>
        <v>L</v>
      </c>
    </row>
    <row r="258">
      <c r="A258" s="53" t="inlineStr">
        <is>
          <t>Finance &amp; Accounts|B1|B-IC</t>
        </is>
      </c>
      <c r="B258" s="53" t="inlineStr">
        <is>
          <t>Finance &amp; Accounts</t>
        </is>
      </c>
      <c r="C258" s="53" t="inlineStr">
        <is>
          <t>B1</t>
        </is>
      </c>
      <c r="D258" s="53" t="inlineStr">
        <is>
          <t>Band B · Specialist / POD Lead</t>
        </is>
      </c>
      <c r="E258" s="38" t="str">
        <f>'RB · Finance &amp; Accounts'!F21</f>
        <v>H</v>
      </c>
      <c r="F258" s="38" t="str">
        <f>'RB · Finance &amp; Accounts'!J21</f>
        <v>M</v>
      </c>
      <c r="G258" s="38" t="str">
        <f>'RB · Finance &amp; Accounts'!N21</f>
        <v>M</v>
      </c>
      <c r="H258" s="38" t="str">
        <f>'RB · Finance &amp; Accounts'!R21</f>
        <v>L</v>
      </c>
      <c r="I258" s="38" t="str">
        <f>'RB · Finance &amp; Accounts'!V21</f>
        <v>L</v>
      </c>
      <c r="J258" s="38" t="str">
        <f>'RB · Finance &amp; Accounts'!Z21</f>
        <v>L</v>
      </c>
      <c r="K258" s="38" t="str">
        <f>'RB · Finance &amp; Accounts'!AD21</f>
        <v>L</v>
      </c>
    </row>
    <row r="259">
      <c r="A259" s="53" t="inlineStr">
        <is>
          <t>Finance &amp; Accounts|A3|A</t>
        </is>
      </c>
      <c r="B259" s="53" t="inlineStr">
        <is>
          <t>Finance &amp; Accounts</t>
        </is>
      </c>
      <c r="C259" s="53" t="inlineStr">
        <is>
          <t>A3</t>
        </is>
      </c>
      <c r="D259" s="53" t="inlineStr">
        <is>
          <t>Band A · all tracks</t>
        </is>
      </c>
      <c r="E259" s="38" t="str">
        <f>'RB · Finance &amp; Accounts'!F22</f>
        <v>H</v>
      </c>
      <c r="F259" s="38" t="str">
        <f>'RB · Finance &amp; Accounts'!J22</f>
        <v>M</v>
      </c>
      <c r="G259" s="38" t="str">
        <f>'RB · Finance &amp; Accounts'!N22</f>
        <v>M</v>
      </c>
      <c r="H259" s="38" t="str">
        <f>'RB · Finance &amp; Accounts'!R22</f>
        <v>L</v>
      </c>
      <c r="I259" s="38" t="str">
        <f>'RB · Finance &amp; Accounts'!V22</f>
        <v>L</v>
      </c>
      <c r="J259" s="38" t="str">
        <f>'RB · Finance &amp; Accounts'!Z22</f>
        <v>L</v>
      </c>
      <c r="K259" s="38" t="str">
        <f>'RB · Finance &amp; Accounts'!AD22</f>
        <v>M</v>
      </c>
    </row>
    <row r="260">
      <c r="A260" s="53" t="inlineStr">
        <is>
          <t>Finance &amp; Accounts|A2|A</t>
        </is>
      </c>
      <c r="B260" s="53" t="inlineStr">
        <is>
          <t>Finance &amp; Accounts</t>
        </is>
      </c>
      <c r="C260" s="53" t="inlineStr">
        <is>
          <t>A2</t>
        </is>
      </c>
      <c r="D260" s="53" t="inlineStr">
        <is>
          <t>Band A · all tracks</t>
        </is>
      </c>
      <c r="E260" s="38" t="str">
        <f>'RB · Finance &amp; Accounts'!F23</f>
        <v>H</v>
      </c>
      <c r="F260" s="38" t="str">
        <f>'RB · Finance &amp; Accounts'!J23</f>
        <v>M</v>
      </c>
      <c r="G260" s="38" t="str">
        <f>'RB · Finance &amp; Accounts'!N23</f>
        <v>M</v>
      </c>
      <c r="H260" s="38" t="str">
        <f>'RB · Finance &amp; Accounts'!R23</f>
        <v>L</v>
      </c>
      <c r="I260" s="38" t="str">
        <f>'RB · Finance &amp; Accounts'!V23</f>
        <v>L</v>
      </c>
      <c r="J260" s="38" t="str">
        <f>'RB · Finance &amp; Accounts'!Z23</f>
        <v>L</v>
      </c>
      <c r="K260" s="38" t="str">
        <f>'RB · Finance &amp; Accounts'!AD23</f>
        <v>M</v>
      </c>
    </row>
    <row r="261">
      <c r="A261" s="53" t="inlineStr">
        <is>
          <t>Finance &amp; Accounts|A1|A</t>
        </is>
      </c>
      <c r="B261" s="53" t="inlineStr">
        <is>
          <t>Finance &amp; Accounts</t>
        </is>
      </c>
      <c r="C261" s="53" t="inlineStr">
        <is>
          <t>A1</t>
        </is>
      </c>
      <c r="D261" s="53" t="inlineStr">
        <is>
          <t>Band A · all tracks</t>
        </is>
      </c>
      <c r="E261" s="38" t="str">
        <f>'RB · Finance &amp; Accounts'!F24</f>
        <v>H</v>
      </c>
      <c r="F261" s="38" t="str">
        <f>'RB · Finance &amp; Accounts'!J24</f>
        <v>M</v>
      </c>
      <c r="G261" s="38" t="str">
        <f>'RB · Finance &amp; Accounts'!N24</f>
        <v>M</v>
      </c>
      <c r="H261" s="38" t="str">
        <f>'RB · Finance &amp; Accounts'!R24</f>
        <v>L</v>
      </c>
      <c r="I261" s="38" t="str">
        <f>'RB · Finance &amp; Accounts'!V24</f>
        <v>L</v>
      </c>
      <c r="J261" s="38" t="str">
        <f>'RB · Finance &amp; Accounts'!Z24</f>
        <v>L</v>
      </c>
      <c r="K261" s="38" t="str">
        <f>'RB · Finance &amp; Accounts'!AD24</f>
        <v>M</v>
      </c>
    </row>
    <row r="262">
      <c r="A262" s="53" t="inlineStr">
        <is>
          <t>Human Resources|E2|DE</t>
        </is>
      </c>
      <c r="B262" s="53" t="inlineStr">
        <is>
          <t>Human Resources</t>
        </is>
      </c>
      <c r="C262" s="53" t="inlineStr">
        <is>
          <t>E2</t>
        </is>
      </c>
      <c r="D262" s="53" t="inlineStr">
        <is>
          <t>Bands D–E · Leadership</t>
        </is>
      </c>
      <c r="E262" s="38" t="str">
        <f>'RB · Human Resources'!F6</f>
        <v>H</v>
      </c>
      <c r="F262" s="38" t="str">
        <f>'RB · Human Resources'!J6</f>
        <v>M</v>
      </c>
      <c r="G262" s="38" t="str">
        <f>'RB · Human Resources'!N6</f>
        <v>M</v>
      </c>
      <c r="H262" s="38" t="str">
        <f>'RB · Human Resources'!R6</f>
        <v>M</v>
      </c>
      <c r="I262" s="38" t="str">
        <f>'RB · Human Resources'!V6</f>
        <v>L</v>
      </c>
      <c r="J262" s="38" t="str">
        <f>'RB · Human Resources'!Z6</f>
        <v>L</v>
      </c>
      <c r="K262" s="38" t="str">
        <f>'RB · Human Resources'!AD6</f>
        <v>L</v>
      </c>
    </row>
    <row r="263">
      <c r="A263" s="53" t="inlineStr">
        <is>
          <t>Human Resources|E1|DE</t>
        </is>
      </c>
      <c r="B263" s="53" t="inlineStr">
        <is>
          <t>Human Resources</t>
        </is>
      </c>
      <c r="C263" s="53" t="inlineStr">
        <is>
          <t>E1</t>
        </is>
      </c>
      <c r="D263" s="53" t="inlineStr">
        <is>
          <t>Bands D–E · Leadership</t>
        </is>
      </c>
      <c r="E263" s="38" t="str">
        <f>'RB · Human Resources'!F7</f>
        <v>H</v>
      </c>
      <c r="F263" s="38" t="str">
        <f>'RB · Human Resources'!J7</f>
        <v>M</v>
      </c>
      <c r="G263" s="38" t="str">
        <f>'RB · Human Resources'!N7</f>
        <v>M</v>
      </c>
      <c r="H263" s="38" t="str">
        <f>'RB · Human Resources'!R7</f>
        <v>M</v>
      </c>
      <c r="I263" s="38" t="str">
        <f>'RB · Human Resources'!V7</f>
        <v>L</v>
      </c>
      <c r="J263" s="38" t="str">
        <f>'RB · Human Resources'!Z7</f>
        <v>L</v>
      </c>
      <c r="K263" s="38" t="str">
        <f>'RB · Human Resources'!AD7</f>
        <v>L</v>
      </c>
    </row>
    <row r="264">
      <c r="A264" s="53" t="inlineStr">
        <is>
          <t>Human Resources|D2|DE</t>
        </is>
      </c>
      <c r="B264" s="53" t="inlineStr">
        <is>
          <t>Human Resources</t>
        </is>
      </c>
      <c r="C264" s="53" t="inlineStr">
        <is>
          <t>D2</t>
        </is>
      </c>
      <c r="D264" s="53" t="inlineStr">
        <is>
          <t>Bands D–E · Leadership</t>
        </is>
      </c>
      <c r="E264" s="38" t="str">
        <f>'RB · Human Resources'!F8</f>
        <v>H</v>
      </c>
      <c r="F264" s="38" t="str">
        <f>'RB · Human Resources'!J8</f>
        <v>M</v>
      </c>
      <c r="G264" s="38" t="str">
        <f>'RB · Human Resources'!N8</f>
        <v>M</v>
      </c>
      <c r="H264" s="38" t="str">
        <f>'RB · Human Resources'!R8</f>
        <v>M</v>
      </c>
      <c r="I264" s="38" t="str">
        <f>'RB · Human Resources'!V8</f>
        <v>L</v>
      </c>
      <c r="J264" s="38" t="str">
        <f>'RB · Human Resources'!Z8</f>
        <v>L</v>
      </c>
      <c r="K264" s="38" t="str">
        <f>'RB · Human Resources'!AD8</f>
        <v>L</v>
      </c>
    </row>
    <row r="265">
      <c r="A265" s="53" t="inlineStr">
        <is>
          <t>Human Resources|D1|DE</t>
        </is>
      </c>
      <c r="B265" s="53" t="inlineStr">
        <is>
          <t>Human Resources</t>
        </is>
      </c>
      <c r="C265" s="53" t="inlineStr">
        <is>
          <t>D1</t>
        </is>
      </c>
      <c r="D265" s="53" t="inlineStr">
        <is>
          <t>Bands D–E · Leadership</t>
        </is>
      </c>
      <c r="E265" s="38" t="str">
        <f>'RB · Human Resources'!F9</f>
        <v>H</v>
      </c>
      <c r="F265" s="38" t="str">
        <f>'RB · Human Resources'!J9</f>
        <v>M</v>
      </c>
      <c r="G265" s="38" t="str">
        <f>'RB · Human Resources'!N9</f>
        <v>M</v>
      </c>
      <c r="H265" s="38" t="str">
        <f>'RB · Human Resources'!R9</f>
        <v>M</v>
      </c>
      <c r="I265" s="38" t="str">
        <f>'RB · Human Resources'!V9</f>
        <v>L</v>
      </c>
      <c r="J265" s="38" t="str">
        <f>'RB · Human Resources'!Z9</f>
        <v>L</v>
      </c>
      <c r="K265" s="38" t="str">
        <f>'RB · Human Resources'!AD9</f>
        <v>L</v>
      </c>
    </row>
    <row r="266">
      <c r="A266" s="53" t="inlineStr">
        <is>
          <t>Human Resources|C+|C+</t>
        </is>
      </c>
      <c r="B266" s="53" t="inlineStr">
        <is>
          <t>Human Resources</t>
        </is>
      </c>
      <c r="C266" s="53" t="inlineStr">
        <is>
          <t>C+</t>
        </is>
      </c>
      <c r="D266" s="53" t="inlineStr">
        <is>
          <t>C+ · Player-Coach</t>
        </is>
      </c>
      <c r="E266" s="38" t="str">
        <f>'RB · Human Resources'!F10</f>
        <v>H</v>
      </c>
      <c r="F266" s="38" t="str">
        <f>'RB · Human Resources'!J10</f>
        <v>M</v>
      </c>
      <c r="G266" s="38" t="str">
        <f>'RB · Human Resources'!N10</f>
        <v>M</v>
      </c>
      <c r="H266" s="38" t="str">
        <f>'RB · Human Resources'!R10</f>
        <v>M</v>
      </c>
      <c r="I266" s="38" t="str">
        <f>'RB · Human Resources'!V10</f>
        <v>L</v>
      </c>
      <c r="J266" s="38" t="str">
        <f>'RB · Human Resources'!Z10</f>
        <v>L</v>
      </c>
      <c r="K266" s="38" t="str">
        <f>'RB · Human Resources'!AD10</f>
        <v>L</v>
      </c>
    </row>
    <row r="267">
      <c r="A267" s="53" t="inlineStr">
        <is>
          <t>Human Resources|C2|C-M</t>
        </is>
      </c>
      <c r="B267" s="53" t="inlineStr">
        <is>
          <t>Human Resources</t>
        </is>
      </c>
      <c r="C267" s="53" t="inlineStr">
        <is>
          <t>C2</t>
        </is>
      </c>
      <c r="D267" s="53" t="inlineStr">
        <is>
          <t>Band C · Head / manager</t>
        </is>
      </c>
      <c r="E267" s="38" t="str">
        <f>'RB · Human Resources'!F11</f>
        <v>H</v>
      </c>
      <c r="F267" s="38" t="str">
        <f>'RB · Human Resources'!J11</f>
        <v>M</v>
      </c>
      <c r="G267" s="38" t="str">
        <f>'RB · Human Resources'!N11</f>
        <v>M</v>
      </c>
      <c r="H267" s="38" t="str">
        <f>'RB · Human Resources'!R11</f>
        <v>M</v>
      </c>
      <c r="I267" s="38" t="str">
        <f>'RB · Human Resources'!V11</f>
        <v>L</v>
      </c>
      <c r="J267" s="38" t="str">
        <f>'RB · Human Resources'!Z11</f>
        <v>L</v>
      </c>
      <c r="K267" s="38" t="str">
        <f>'RB · Human Resources'!AD11</f>
        <v>L</v>
      </c>
    </row>
    <row r="268">
      <c r="A268" s="53" t="inlineStr">
        <is>
          <t>Human Resources|C2|C-IC</t>
        </is>
      </c>
      <c r="B268" s="53" t="inlineStr">
        <is>
          <t>Human Resources</t>
        </is>
      </c>
      <c r="C268" s="53" t="inlineStr">
        <is>
          <t>C2</t>
        </is>
      </c>
      <c r="D268" s="53" t="inlineStr">
        <is>
          <t>Band C · Principal specialist</t>
        </is>
      </c>
      <c r="E268" s="38" t="str">
        <f>'RB · Human Resources'!F12</f>
        <v>H</v>
      </c>
      <c r="F268" s="38" t="str">
        <f>'RB · Human Resources'!J12</f>
        <v>M</v>
      </c>
      <c r="G268" s="38" t="str">
        <f>'RB · Human Resources'!N12</f>
        <v>M</v>
      </c>
      <c r="H268" s="38" t="str">
        <f>'RB · Human Resources'!R12</f>
        <v>L</v>
      </c>
      <c r="I268" s="38" t="str">
        <f>'RB · Human Resources'!V12</f>
        <v>L</v>
      </c>
      <c r="J268" s="38" t="str">
        <f>'RB · Human Resources'!Z12</f>
        <v>L</v>
      </c>
      <c r="K268" s="38" t="str">
        <f>'RB · Human Resources'!AD12</f>
        <v>L</v>
      </c>
    </row>
    <row r="269">
      <c r="A269" s="53" t="inlineStr">
        <is>
          <t>Human Resources|C1|C-M</t>
        </is>
      </c>
      <c r="B269" s="53" t="inlineStr">
        <is>
          <t>Human Resources</t>
        </is>
      </c>
      <c r="C269" s="53" t="inlineStr">
        <is>
          <t>C1</t>
        </is>
      </c>
      <c r="D269" s="53" t="inlineStr">
        <is>
          <t>Band C · Head / manager</t>
        </is>
      </c>
      <c r="E269" s="38" t="str">
        <f>'RB · Human Resources'!F13</f>
        <v>H</v>
      </c>
      <c r="F269" s="38" t="str">
        <f>'RB · Human Resources'!J13</f>
        <v>M</v>
      </c>
      <c r="G269" s="38" t="str">
        <f>'RB · Human Resources'!N13</f>
        <v>M</v>
      </c>
      <c r="H269" s="38" t="str">
        <f>'RB · Human Resources'!R13</f>
        <v>M</v>
      </c>
      <c r="I269" s="38" t="str">
        <f>'RB · Human Resources'!V13</f>
        <v>L</v>
      </c>
      <c r="J269" s="38" t="str">
        <f>'RB · Human Resources'!Z13</f>
        <v>L</v>
      </c>
      <c r="K269" s="38" t="str">
        <f>'RB · Human Resources'!AD13</f>
        <v>L</v>
      </c>
    </row>
    <row r="270">
      <c r="A270" s="53" t="inlineStr">
        <is>
          <t>Human Resources|C1|C-IC</t>
        </is>
      </c>
      <c r="B270" s="53" t="inlineStr">
        <is>
          <t>Human Resources</t>
        </is>
      </c>
      <c r="C270" s="53" t="inlineStr">
        <is>
          <t>C1</t>
        </is>
      </c>
      <c r="D270" s="53" t="inlineStr">
        <is>
          <t>Band C · Principal specialist</t>
        </is>
      </c>
      <c r="E270" s="38" t="str">
        <f>'RB · Human Resources'!F14</f>
        <v>H</v>
      </c>
      <c r="F270" s="38" t="str">
        <f>'RB · Human Resources'!J14</f>
        <v>M</v>
      </c>
      <c r="G270" s="38" t="str">
        <f>'RB · Human Resources'!N14</f>
        <v>M</v>
      </c>
      <c r="H270" s="38" t="str">
        <f>'RB · Human Resources'!R14</f>
        <v>L</v>
      </c>
      <c r="I270" s="38" t="str">
        <f>'RB · Human Resources'!V14</f>
        <v>L</v>
      </c>
      <c r="J270" s="38" t="str">
        <f>'RB · Human Resources'!Z14</f>
        <v>L</v>
      </c>
      <c r="K270" s="38" t="str">
        <f>'RB · Human Resources'!AD14</f>
        <v>L</v>
      </c>
    </row>
    <row r="271">
      <c r="A271" s="53" t="inlineStr">
        <is>
          <t>Human Resources|B+|B+</t>
        </is>
      </c>
      <c r="B271" s="53" t="inlineStr">
        <is>
          <t>Human Resources</t>
        </is>
      </c>
      <c r="C271" s="53" t="inlineStr">
        <is>
          <t>B+</t>
        </is>
      </c>
      <c r="D271" s="53" t="inlineStr">
        <is>
          <t>B+ · Player-Coach</t>
        </is>
      </c>
      <c r="E271" s="38" t="str">
        <f>'RB · Human Resources'!F15</f>
        <v>H</v>
      </c>
      <c r="F271" s="38" t="str">
        <f>'RB · Human Resources'!J15</f>
        <v>M</v>
      </c>
      <c r="G271" s="38" t="str">
        <f>'RB · Human Resources'!N15</f>
        <v>M</v>
      </c>
      <c r="H271" s="38" t="str">
        <f>'RB · Human Resources'!R15</f>
        <v>M</v>
      </c>
      <c r="I271" s="38" t="str">
        <f>'RB · Human Resources'!V15</f>
        <v>L</v>
      </c>
      <c r="J271" s="38" t="str">
        <f>'RB · Human Resources'!Z15</f>
        <v>L</v>
      </c>
      <c r="K271" s="38" t="str">
        <f>'RB · Human Resources'!AD15</f>
        <v>M</v>
      </c>
    </row>
    <row r="272">
      <c r="A272" s="53" t="inlineStr">
        <is>
          <t>Human Resources|B3|B-M</t>
        </is>
      </c>
      <c r="B272" s="53" t="inlineStr">
        <is>
          <t>Human Resources</t>
        </is>
      </c>
      <c r="C272" s="53" t="inlineStr">
        <is>
          <t>B3</t>
        </is>
      </c>
      <c r="D272" s="53" t="inlineStr">
        <is>
          <t>Band B · People Manager</t>
        </is>
      </c>
      <c r="E272" s="38" t="str">
        <f>'RB · Human Resources'!F16</f>
        <v>H</v>
      </c>
      <c r="F272" s="38" t="str">
        <f>'RB · Human Resources'!J16</f>
        <v>M</v>
      </c>
      <c r="G272" s="38" t="str">
        <f>'RB · Human Resources'!N16</f>
        <v>M</v>
      </c>
      <c r="H272" s="38" t="str">
        <f>'RB · Human Resources'!R16</f>
        <v>M</v>
      </c>
      <c r="I272" s="38" t="str">
        <f>'RB · Human Resources'!V16</f>
        <v>L</v>
      </c>
      <c r="J272" s="38" t="str">
        <f>'RB · Human Resources'!Z16</f>
        <v>L</v>
      </c>
      <c r="K272" s="38" t="str">
        <f>'RB · Human Resources'!AD16</f>
        <v>L</v>
      </c>
    </row>
    <row r="273">
      <c r="A273" s="53" t="inlineStr">
        <is>
          <t>Human Resources|B3|B-IC</t>
        </is>
      </c>
      <c r="B273" s="53" t="inlineStr">
        <is>
          <t>Human Resources</t>
        </is>
      </c>
      <c r="C273" s="53" t="inlineStr">
        <is>
          <t>B3</t>
        </is>
      </c>
      <c r="D273" s="53" t="inlineStr">
        <is>
          <t>Band B · Specialist / POD Lead</t>
        </is>
      </c>
      <c r="E273" s="38" t="str">
        <f>'RB · Human Resources'!F17</f>
        <v>H</v>
      </c>
      <c r="F273" s="38" t="str">
        <f>'RB · Human Resources'!J17</f>
        <v>M</v>
      </c>
      <c r="G273" s="38" t="str">
        <f>'RB · Human Resources'!N17</f>
        <v>M</v>
      </c>
      <c r="H273" s="38" t="str">
        <f>'RB · Human Resources'!R17</f>
        <v>L</v>
      </c>
      <c r="I273" s="38" t="str">
        <f>'RB · Human Resources'!V17</f>
        <v>L</v>
      </c>
      <c r="J273" s="38" t="str">
        <f>'RB · Human Resources'!Z17</f>
        <v>L</v>
      </c>
      <c r="K273" s="38" t="str">
        <f>'RB · Human Resources'!AD17</f>
        <v>L</v>
      </c>
    </row>
    <row r="274">
      <c r="A274" s="53" t="inlineStr">
        <is>
          <t>Human Resources|B2|B-M</t>
        </is>
      </c>
      <c r="B274" s="53" t="inlineStr">
        <is>
          <t>Human Resources</t>
        </is>
      </c>
      <c r="C274" s="53" t="inlineStr">
        <is>
          <t>B2</t>
        </is>
      </c>
      <c r="D274" s="53" t="inlineStr">
        <is>
          <t>Band B · People Manager</t>
        </is>
      </c>
      <c r="E274" s="38" t="str">
        <f>'RB · Human Resources'!F18</f>
        <v>H</v>
      </c>
      <c r="F274" s="38" t="str">
        <f>'RB · Human Resources'!J18</f>
        <v>M</v>
      </c>
      <c r="G274" s="38" t="str">
        <f>'RB · Human Resources'!N18</f>
        <v>M</v>
      </c>
      <c r="H274" s="38" t="str">
        <f>'RB · Human Resources'!R18</f>
        <v>M</v>
      </c>
      <c r="I274" s="38" t="str">
        <f>'RB · Human Resources'!V18</f>
        <v>L</v>
      </c>
      <c r="J274" s="38" t="str">
        <f>'RB · Human Resources'!Z18</f>
        <v>L</v>
      </c>
      <c r="K274" s="38" t="str">
        <f>'RB · Human Resources'!AD18</f>
        <v>L</v>
      </c>
    </row>
    <row r="275">
      <c r="A275" s="53" t="inlineStr">
        <is>
          <t>Human Resources|B2|B-IC</t>
        </is>
      </c>
      <c r="B275" s="53" t="inlineStr">
        <is>
          <t>Human Resources</t>
        </is>
      </c>
      <c r="C275" s="53" t="inlineStr">
        <is>
          <t>B2</t>
        </is>
      </c>
      <c r="D275" s="53" t="inlineStr">
        <is>
          <t>Band B · Specialist / POD Lead</t>
        </is>
      </c>
      <c r="E275" s="38" t="str">
        <f>'RB · Human Resources'!F19</f>
        <v>H</v>
      </c>
      <c r="F275" s="38" t="str">
        <f>'RB · Human Resources'!J19</f>
        <v>M</v>
      </c>
      <c r="G275" s="38" t="str">
        <f>'RB · Human Resources'!N19</f>
        <v>M</v>
      </c>
      <c r="H275" s="38" t="str">
        <f>'RB · Human Resources'!R19</f>
        <v>L</v>
      </c>
      <c r="I275" s="38" t="str">
        <f>'RB · Human Resources'!V19</f>
        <v>L</v>
      </c>
      <c r="J275" s="38" t="str">
        <f>'RB · Human Resources'!Z19</f>
        <v>L</v>
      </c>
      <c r="K275" s="38" t="str">
        <f>'RB · Human Resources'!AD19</f>
        <v>L</v>
      </c>
    </row>
    <row r="276">
      <c r="A276" s="53" t="inlineStr">
        <is>
          <t>Human Resources|B1|B-M</t>
        </is>
      </c>
      <c r="B276" s="53" t="inlineStr">
        <is>
          <t>Human Resources</t>
        </is>
      </c>
      <c r="C276" s="53" t="inlineStr">
        <is>
          <t>B1</t>
        </is>
      </c>
      <c r="D276" s="53" t="inlineStr">
        <is>
          <t>Band B · People Manager</t>
        </is>
      </c>
      <c r="E276" s="38" t="str">
        <f>'RB · Human Resources'!F20</f>
        <v>H</v>
      </c>
      <c r="F276" s="38" t="str">
        <f>'RB · Human Resources'!J20</f>
        <v>M</v>
      </c>
      <c r="G276" s="38" t="str">
        <f>'RB · Human Resources'!N20</f>
        <v>M</v>
      </c>
      <c r="H276" s="38" t="str">
        <f>'RB · Human Resources'!R20</f>
        <v>M</v>
      </c>
      <c r="I276" s="38" t="str">
        <f>'RB · Human Resources'!V20</f>
        <v>L</v>
      </c>
      <c r="J276" s="38" t="str">
        <f>'RB · Human Resources'!Z20</f>
        <v>L</v>
      </c>
      <c r="K276" s="38" t="str">
        <f>'RB · Human Resources'!AD20</f>
        <v>L</v>
      </c>
    </row>
    <row r="277">
      <c r="A277" s="53" t="inlineStr">
        <is>
          <t>Human Resources|B1|B-IC</t>
        </is>
      </c>
      <c r="B277" s="53" t="inlineStr">
        <is>
          <t>Human Resources</t>
        </is>
      </c>
      <c r="C277" s="53" t="inlineStr">
        <is>
          <t>B1</t>
        </is>
      </c>
      <c r="D277" s="53" t="inlineStr">
        <is>
          <t>Band B · Specialist / POD Lead</t>
        </is>
      </c>
      <c r="E277" s="38" t="str">
        <f>'RB · Human Resources'!F21</f>
        <v>H</v>
      </c>
      <c r="F277" s="38" t="str">
        <f>'RB · Human Resources'!J21</f>
        <v>M</v>
      </c>
      <c r="G277" s="38" t="str">
        <f>'RB · Human Resources'!N21</f>
        <v>M</v>
      </c>
      <c r="H277" s="38" t="str">
        <f>'RB · Human Resources'!R21</f>
        <v>L</v>
      </c>
      <c r="I277" s="38" t="str">
        <f>'RB · Human Resources'!V21</f>
        <v>L</v>
      </c>
      <c r="J277" s="38" t="str">
        <f>'RB · Human Resources'!Z21</f>
        <v>L</v>
      </c>
      <c r="K277" s="38" t="str">
        <f>'RB · Human Resources'!AD21</f>
        <v>L</v>
      </c>
    </row>
    <row r="278">
      <c r="A278" s="53" t="inlineStr">
        <is>
          <t>Human Resources|A3|A</t>
        </is>
      </c>
      <c r="B278" s="53" t="inlineStr">
        <is>
          <t>Human Resources</t>
        </is>
      </c>
      <c r="C278" s="53" t="inlineStr">
        <is>
          <t>A3</t>
        </is>
      </c>
      <c r="D278" s="53" t="inlineStr">
        <is>
          <t>Band A · all tracks</t>
        </is>
      </c>
      <c r="E278" s="38" t="str">
        <f>'RB · Human Resources'!F22</f>
        <v>H</v>
      </c>
      <c r="F278" s="38" t="str">
        <f>'RB · Human Resources'!J22</f>
        <v>M</v>
      </c>
      <c r="G278" s="38" t="str">
        <f>'RB · Human Resources'!N22</f>
        <v>M</v>
      </c>
      <c r="H278" s="38" t="str">
        <f>'RB · Human Resources'!R22</f>
        <v>L</v>
      </c>
      <c r="I278" s="38" t="str">
        <f>'RB · Human Resources'!V22</f>
        <v>L</v>
      </c>
      <c r="J278" s="38" t="str">
        <f>'RB · Human Resources'!Z22</f>
        <v>L</v>
      </c>
      <c r="K278" s="38" t="str">
        <f>'RB · Human Resources'!AD22</f>
        <v>M</v>
      </c>
    </row>
    <row r="279">
      <c r="A279" s="53" t="inlineStr">
        <is>
          <t>Human Resources|A2|A</t>
        </is>
      </c>
      <c r="B279" s="53" t="inlineStr">
        <is>
          <t>Human Resources</t>
        </is>
      </c>
      <c r="C279" s="53" t="inlineStr">
        <is>
          <t>A2</t>
        </is>
      </c>
      <c r="D279" s="53" t="inlineStr">
        <is>
          <t>Band A · all tracks</t>
        </is>
      </c>
      <c r="E279" s="38" t="str">
        <f>'RB · Human Resources'!F23</f>
        <v>H</v>
      </c>
      <c r="F279" s="38" t="str">
        <f>'RB · Human Resources'!J23</f>
        <v>M</v>
      </c>
      <c r="G279" s="38" t="str">
        <f>'RB · Human Resources'!N23</f>
        <v>M</v>
      </c>
      <c r="H279" s="38" t="str">
        <f>'RB · Human Resources'!R23</f>
        <v>L</v>
      </c>
      <c r="I279" s="38" t="str">
        <f>'RB · Human Resources'!V23</f>
        <v>L</v>
      </c>
      <c r="J279" s="38" t="str">
        <f>'RB · Human Resources'!Z23</f>
        <v>L</v>
      </c>
      <c r="K279" s="38" t="str">
        <f>'RB · Human Resources'!AD23</f>
        <v>M</v>
      </c>
    </row>
    <row r="280">
      <c r="A280" s="53" t="inlineStr">
        <is>
          <t>Human Resources|A1|A</t>
        </is>
      </c>
      <c r="B280" s="53" t="inlineStr">
        <is>
          <t>Human Resources</t>
        </is>
      </c>
      <c r="C280" s="53" t="inlineStr">
        <is>
          <t>A1</t>
        </is>
      </c>
      <c r="D280" s="53" t="inlineStr">
        <is>
          <t>Band A · all tracks</t>
        </is>
      </c>
      <c r="E280" s="38" t="str">
        <f>'RB · Human Resources'!F24</f>
        <v>H</v>
      </c>
      <c r="F280" s="38" t="str">
        <f>'RB · Human Resources'!J24</f>
        <v>M</v>
      </c>
      <c r="G280" s="38" t="str">
        <f>'RB · Human Resources'!N24</f>
        <v>M</v>
      </c>
      <c r="H280" s="38" t="str">
        <f>'RB · Human Resources'!R24</f>
        <v>L</v>
      </c>
      <c r="I280" s="38" t="str">
        <f>'RB · Human Resources'!V24</f>
        <v>L</v>
      </c>
      <c r="J280" s="38" t="str">
        <f>'RB · Human Resources'!Z24</f>
        <v>L</v>
      </c>
      <c r="K280" s="38" t="str">
        <f>'RB · Human Resources'!AD24</f>
        <v>M</v>
      </c>
    </row>
    <row r="281">
      <c r="A281" s="53" t="inlineStr">
        <is>
          <t>IT &amp; Infrastructure|E2|DE</t>
        </is>
      </c>
      <c r="B281" s="53" t="inlineStr">
        <is>
          <t>IT &amp; Infrastructure</t>
        </is>
      </c>
      <c r="C281" s="53" t="inlineStr">
        <is>
          <t>E2</t>
        </is>
      </c>
      <c r="D281" s="53" t="inlineStr">
        <is>
          <t>Bands D–E · Leadership</t>
        </is>
      </c>
      <c r="E281" s="38" t="str">
        <f>'RB · IT &amp; Infrastructure'!F6</f>
        <v>H</v>
      </c>
      <c r="F281" s="38" t="str">
        <f>'RB · IT &amp; Infrastructure'!J6</f>
        <v>M</v>
      </c>
      <c r="G281" s="38" t="str">
        <f>'RB · IT &amp; Infrastructure'!N6</f>
        <v>M</v>
      </c>
      <c r="H281" s="38" t="str">
        <f>'RB · IT &amp; Infrastructure'!R6</f>
        <v>M</v>
      </c>
      <c r="I281" s="38" t="str">
        <f>'RB · IT &amp; Infrastructure'!V6</f>
        <v>L</v>
      </c>
      <c r="J281" s="38" t="str">
        <f>'RB · IT &amp; Infrastructure'!Z6</f>
        <v>L</v>
      </c>
      <c r="K281" s="38" t="str">
        <f>'RB · IT &amp; Infrastructure'!AD6</f>
        <v>L</v>
      </c>
    </row>
    <row r="282">
      <c r="A282" s="53" t="inlineStr">
        <is>
          <t>IT &amp; Infrastructure|E1|DE</t>
        </is>
      </c>
      <c r="B282" s="53" t="inlineStr">
        <is>
          <t>IT &amp; Infrastructure</t>
        </is>
      </c>
      <c r="C282" s="53" t="inlineStr">
        <is>
          <t>E1</t>
        </is>
      </c>
      <c r="D282" s="53" t="inlineStr">
        <is>
          <t>Bands D–E · Leadership</t>
        </is>
      </c>
      <c r="E282" s="38" t="str">
        <f>'RB · IT &amp; Infrastructure'!F7</f>
        <v>H</v>
      </c>
      <c r="F282" s="38" t="str">
        <f>'RB · IT &amp; Infrastructure'!J7</f>
        <v>M</v>
      </c>
      <c r="G282" s="38" t="str">
        <f>'RB · IT &amp; Infrastructure'!N7</f>
        <v>M</v>
      </c>
      <c r="H282" s="38" t="str">
        <f>'RB · IT &amp; Infrastructure'!R7</f>
        <v>M</v>
      </c>
      <c r="I282" s="38" t="str">
        <f>'RB · IT &amp; Infrastructure'!V7</f>
        <v>L</v>
      </c>
      <c r="J282" s="38" t="str">
        <f>'RB · IT &amp; Infrastructure'!Z7</f>
        <v>L</v>
      </c>
      <c r="K282" s="38" t="str">
        <f>'RB · IT &amp; Infrastructure'!AD7</f>
        <v>L</v>
      </c>
    </row>
    <row r="283">
      <c r="A283" s="53" t="inlineStr">
        <is>
          <t>IT &amp; Infrastructure|D2|DE</t>
        </is>
      </c>
      <c r="B283" s="53" t="inlineStr">
        <is>
          <t>IT &amp; Infrastructure</t>
        </is>
      </c>
      <c r="C283" s="53" t="inlineStr">
        <is>
          <t>D2</t>
        </is>
      </c>
      <c r="D283" s="53" t="inlineStr">
        <is>
          <t>Bands D–E · Leadership</t>
        </is>
      </c>
      <c r="E283" s="38" t="str">
        <f>'RB · IT &amp; Infrastructure'!F8</f>
        <v>H</v>
      </c>
      <c r="F283" s="38" t="str">
        <f>'RB · IT &amp; Infrastructure'!J8</f>
        <v>M</v>
      </c>
      <c r="G283" s="38" t="str">
        <f>'RB · IT &amp; Infrastructure'!N8</f>
        <v>M</v>
      </c>
      <c r="H283" s="38" t="str">
        <f>'RB · IT &amp; Infrastructure'!R8</f>
        <v>M</v>
      </c>
      <c r="I283" s="38" t="str">
        <f>'RB · IT &amp; Infrastructure'!V8</f>
        <v>L</v>
      </c>
      <c r="J283" s="38" t="str">
        <f>'RB · IT &amp; Infrastructure'!Z8</f>
        <v>L</v>
      </c>
      <c r="K283" s="38" t="str">
        <f>'RB · IT &amp; Infrastructure'!AD8</f>
        <v>L</v>
      </c>
    </row>
    <row r="284">
      <c r="A284" s="53" t="inlineStr">
        <is>
          <t>IT &amp; Infrastructure|D1|DE</t>
        </is>
      </c>
      <c r="B284" s="53" t="inlineStr">
        <is>
          <t>IT &amp; Infrastructure</t>
        </is>
      </c>
      <c r="C284" s="53" t="inlineStr">
        <is>
          <t>D1</t>
        </is>
      </c>
      <c r="D284" s="53" t="inlineStr">
        <is>
          <t>Bands D–E · Leadership</t>
        </is>
      </c>
      <c r="E284" s="38" t="str">
        <f>'RB · IT &amp; Infrastructure'!F9</f>
        <v>H</v>
      </c>
      <c r="F284" s="38" t="str">
        <f>'RB · IT &amp; Infrastructure'!J9</f>
        <v>M</v>
      </c>
      <c r="G284" s="38" t="str">
        <f>'RB · IT &amp; Infrastructure'!N9</f>
        <v>M</v>
      </c>
      <c r="H284" s="38" t="str">
        <f>'RB · IT &amp; Infrastructure'!R9</f>
        <v>M</v>
      </c>
      <c r="I284" s="38" t="str">
        <f>'RB · IT &amp; Infrastructure'!V9</f>
        <v>L</v>
      </c>
      <c r="J284" s="38" t="str">
        <f>'RB · IT &amp; Infrastructure'!Z9</f>
        <v>L</v>
      </c>
      <c r="K284" s="38" t="str">
        <f>'RB · IT &amp; Infrastructure'!AD9</f>
        <v>L</v>
      </c>
    </row>
    <row r="285">
      <c r="A285" s="53" t="inlineStr">
        <is>
          <t>IT &amp; Infrastructure|C+|C+</t>
        </is>
      </c>
      <c r="B285" s="53" t="inlineStr">
        <is>
          <t>IT &amp; Infrastructure</t>
        </is>
      </c>
      <c r="C285" s="53" t="inlineStr">
        <is>
          <t>C+</t>
        </is>
      </c>
      <c r="D285" s="53" t="inlineStr">
        <is>
          <t>C+ · Player-Coach</t>
        </is>
      </c>
      <c r="E285" s="38" t="str">
        <f>'RB · IT &amp; Infrastructure'!F10</f>
        <v>H</v>
      </c>
      <c r="F285" s="38" t="str">
        <f>'RB · IT &amp; Infrastructure'!J10</f>
        <v>M</v>
      </c>
      <c r="G285" s="38" t="str">
        <f>'RB · IT &amp; Infrastructure'!N10</f>
        <v>M</v>
      </c>
      <c r="H285" s="38" t="str">
        <f>'RB · IT &amp; Infrastructure'!R10</f>
        <v>M</v>
      </c>
      <c r="I285" s="38" t="str">
        <f>'RB · IT &amp; Infrastructure'!V10</f>
        <v>L</v>
      </c>
      <c r="J285" s="38" t="str">
        <f>'RB · IT &amp; Infrastructure'!Z10</f>
        <v>L</v>
      </c>
      <c r="K285" s="38" t="str">
        <f>'RB · IT &amp; Infrastructure'!AD10</f>
        <v>L</v>
      </c>
    </row>
    <row r="286">
      <c r="A286" s="53" t="inlineStr">
        <is>
          <t>IT &amp; Infrastructure|C2|C-M</t>
        </is>
      </c>
      <c r="B286" s="53" t="inlineStr">
        <is>
          <t>IT &amp; Infrastructure</t>
        </is>
      </c>
      <c r="C286" s="53" t="inlineStr">
        <is>
          <t>C2</t>
        </is>
      </c>
      <c r="D286" s="53" t="inlineStr">
        <is>
          <t>Band C · Head / manager</t>
        </is>
      </c>
      <c r="E286" s="38" t="str">
        <f>'RB · IT &amp; Infrastructure'!F11</f>
        <v>H</v>
      </c>
      <c r="F286" s="38" t="str">
        <f>'RB · IT &amp; Infrastructure'!J11</f>
        <v>M</v>
      </c>
      <c r="G286" s="38" t="str">
        <f>'RB · IT &amp; Infrastructure'!N11</f>
        <v>L</v>
      </c>
      <c r="H286" s="38" t="str">
        <f>'RB · IT &amp; Infrastructure'!R11</f>
        <v>M</v>
      </c>
      <c r="I286" s="38" t="str">
        <f>'RB · IT &amp; Infrastructure'!V11</f>
        <v>L</v>
      </c>
      <c r="J286" s="38" t="str">
        <f>'RB · IT &amp; Infrastructure'!Z11</f>
        <v>L</v>
      </c>
      <c r="K286" s="38" t="str">
        <f>'RB · IT &amp; Infrastructure'!AD11</f>
        <v>L</v>
      </c>
    </row>
    <row r="287">
      <c r="A287" s="53" t="inlineStr">
        <is>
          <t>IT &amp; Infrastructure|C2|C-IC</t>
        </is>
      </c>
      <c r="B287" s="53" t="inlineStr">
        <is>
          <t>IT &amp; Infrastructure</t>
        </is>
      </c>
      <c r="C287" s="53" t="inlineStr">
        <is>
          <t>C2</t>
        </is>
      </c>
      <c r="D287" s="53" t="inlineStr">
        <is>
          <t>Band C · Principal specialist</t>
        </is>
      </c>
      <c r="E287" s="38" t="str">
        <f>'RB · IT &amp; Infrastructure'!F12</f>
        <v>H</v>
      </c>
      <c r="F287" s="38" t="str">
        <f>'RB · IT &amp; Infrastructure'!J12</f>
        <v>M</v>
      </c>
      <c r="G287" s="38" t="str">
        <f>'RB · IT &amp; Infrastructure'!N12</f>
        <v>L</v>
      </c>
      <c r="H287" s="38" t="str">
        <f>'RB · IT &amp; Infrastructure'!R12</f>
        <v>L</v>
      </c>
      <c r="I287" s="38" t="str">
        <f>'RB · IT &amp; Infrastructure'!V12</f>
        <v>L</v>
      </c>
      <c r="J287" s="38" t="str">
        <f>'RB · IT &amp; Infrastructure'!Z12</f>
        <v>L</v>
      </c>
      <c r="K287" s="38" t="str">
        <f>'RB · IT &amp; Infrastructure'!AD12</f>
        <v>L</v>
      </c>
    </row>
    <row r="288">
      <c r="A288" s="53" t="inlineStr">
        <is>
          <t>IT &amp; Infrastructure|C1|C-M</t>
        </is>
      </c>
      <c r="B288" s="53" t="inlineStr">
        <is>
          <t>IT &amp; Infrastructure</t>
        </is>
      </c>
      <c r="C288" s="53" t="inlineStr">
        <is>
          <t>C1</t>
        </is>
      </c>
      <c r="D288" s="53" t="inlineStr">
        <is>
          <t>Band C · Head / manager</t>
        </is>
      </c>
      <c r="E288" s="38" t="str">
        <f>'RB · IT &amp; Infrastructure'!F13</f>
        <v>H</v>
      </c>
      <c r="F288" s="38" t="str">
        <f>'RB · IT &amp; Infrastructure'!J13</f>
        <v>M</v>
      </c>
      <c r="G288" s="38" t="str">
        <f>'RB · IT &amp; Infrastructure'!N13</f>
        <v>L</v>
      </c>
      <c r="H288" s="38" t="str">
        <f>'RB · IT &amp; Infrastructure'!R13</f>
        <v>M</v>
      </c>
      <c r="I288" s="38" t="str">
        <f>'RB · IT &amp; Infrastructure'!V13</f>
        <v>L</v>
      </c>
      <c r="J288" s="38" t="str">
        <f>'RB · IT &amp; Infrastructure'!Z13</f>
        <v>L</v>
      </c>
      <c r="K288" s="38" t="str">
        <f>'RB · IT &amp; Infrastructure'!AD13</f>
        <v>L</v>
      </c>
    </row>
    <row r="289">
      <c r="A289" s="53" t="inlineStr">
        <is>
          <t>IT &amp; Infrastructure|C1|C-IC</t>
        </is>
      </c>
      <c r="B289" s="53" t="inlineStr">
        <is>
          <t>IT &amp; Infrastructure</t>
        </is>
      </c>
      <c r="C289" s="53" t="inlineStr">
        <is>
          <t>C1</t>
        </is>
      </c>
      <c r="D289" s="53" t="inlineStr">
        <is>
          <t>Band C · Principal specialist</t>
        </is>
      </c>
      <c r="E289" s="38" t="str">
        <f>'RB · IT &amp; Infrastructure'!F14</f>
        <v>H</v>
      </c>
      <c r="F289" s="38" t="str">
        <f>'RB · IT &amp; Infrastructure'!J14</f>
        <v>M</v>
      </c>
      <c r="G289" s="38" t="str">
        <f>'RB · IT &amp; Infrastructure'!N14</f>
        <v>L</v>
      </c>
      <c r="H289" s="38" t="str">
        <f>'RB · IT &amp; Infrastructure'!R14</f>
        <v>L</v>
      </c>
      <c r="I289" s="38" t="str">
        <f>'RB · IT &amp; Infrastructure'!V14</f>
        <v>L</v>
      </c>
      <c r="J289" s="38" t="str">
        <f>'RB · IT &amp; Infrastructure'!Z14</f>
        <v>L</v>
      </c>
      <c r="K289" s="38" t="str">
        <f>'RB · IT &amp; Infrastructure'!AD14</f>
        <v>L</v>
      </c>
    </row>
    <row r="290">
      <c r="A290" s="53" t="inlineStr">
        <is>
          <t>IT &amp; Infrastructure|B+|B+</t>
        </is>
      </c>
      <c r="B290" s="53" t="inlineStr">
        <is>
          <t>IT &amp; Infrastructure</t>
        </is>
      </c>
      <c r="C290" s="53" t="inlineStr">
        <is>
          <t>B+</t>
        </is>
      </c>
      <c r="D290" s="53" t="inlineStr">
        <is>
          <t>B+ · Player-Coach</t>
        </is>
      </c>
      <c r="E290" s="38" t="str">
        <f>'RB · IT &amp; Infrastructure'!F15</f>
        <v>H</v>
      </c>
      <c r="F290" s="38" t="str">
        <f>'RB · IT &amp; Infrastructure'!J15</f>
        <v>M</v>
      </c>
      <c r="G290" s="38" t="str">
        <f>'RB · IT &amp; Infrastructure'!N15</f>
        <v>L</v>
      </c>
      <c r="H290" s="38" t="str">
        <f>'RB · IT &amp; Infrastructure'!R15</f>
        <v>M</v>
      </c>
      <c r="I290" s="38" t="str">
        <f>'RB · IT &amp; Infrastructure'!V15</f>
        <v>L</v>
      </c>
      <c r="J290" s="38" t="str">
        <f>'RB · IT &amp; Infrastructure'!Z15</f>
        <v>L</v>
      </c>
      <c r="K290" s="38" t="str">
        <f>'RB · IT &amp; Infrastructure'!AD15</f>
        <v>L</v>
      </c>
    </row>
    <row r="291">
      <c r="A291" s="53" t="inlineStr">
        <is>
          <t>IT &amp; Infrastructure|B3|B-M</t>
        </is>
      </c>
      <c r="B291" s="53" t="inlineStr">
        <is>
          <t>IT &amp; Infrastructure</t>
        </is>
      </c>
      <c r="C291" s="53" t="inlineStr">
        <is>
          <t>B3</t>
        </is>
      </c>
      <c r="D291" s="53" t="inlineStr">
        <is>
          <t>Band B · People Manager</t>
        </is>
      </c>
      <c r="E291" s="38" t="str">
        <f>'RB · IT &amp; Infrastructure'!F16</f>
        <v>H</v>
      </c>
      <c r="F291" s="38" t="str">
        <f>'RB · IT &amp; Infrastructure'!J16</f>
        <v>M</v>
      </c>
      <c r="G291" s="38" t="str">
        <f>'RB · IT &amp; Infrastructure'!N16</f>
        <v>L</v>
      </c>
      <c r="H291" s="38" t="str">
        <f>'RB · IT &amp; Infrastructure'!R16</f>
        <v>M</v>
      </c>
      <c r="I291" s="38" t="str">
        <f>'RB · IT &amp; Infrastructure'!V16</f>
        <v>L</v>
      </c>
      <c r="J291" s="38" t="str">
        <f>'RB · IT &amp; Infrastructure'!Z16</f>
        <v>L</v>
      </c>
      <c r="K291" s="38" t="str">
        <f>'RB · IT &amp; Infrastructure'!AD16</f>
        <v>L</v>
      </c>
    </row>
    <row r="292">
      <c r="A292" s="53" t="inlineStr">
        <is>
          <t>IT &amp; Infrastructure|B3|B-IC</t>
        </is>
      </c>
      <c r="B292" s="53" t="inlineStr">
        <is>
          <t>IT &amp; Infrastructure</t>
        </is>
      </c>
      <c r="C292" s="53" t="inlineStr">
        <is>
          <t>B3</t>
        </is>
      </c>
      <c r="D292" s="53" t="inlineStr">
        <is>
          <t>Band B · Specialist / POD Lead</t>
        </is>
      </c>
      <c r="E292" s="38" t="str">
        <f>'RB · IT &amp; Infrastructure'!F17</f>
        <v>H</v>
      </c>
      <c r="F292" s="38" t="str">
        <f>'RB · IT &amp; Infrastructure'!J17</f>
        <v>M</v>
      </c>
      <c r="G292" s="38" t="str">
        <f>'RB · IT &amp; Infrastructure'!N17</f>
        <v>L</v>
      </c>
      <c r="H292" s="38" t="str">
        <f>'RB · IT &amp; Infrastructure'!R17</f>
        <v>L</v>
      </c>
      <c r="I292" s="38" t="str">
        <f>'RB · IT &amp; Infrastructure'!V17</f>
        <v>L</v>
      </c>
      <c r="J292" s="38" t="str">
        <f>'RB · IT &amp; Infrastructure'!Z17</f>
        <v>L</v>
      </c>
      <c r="K292" s="38" t="str">
        <f>'RB · IT &amp; Infrastructure'!AD17</f>
        <v>L</v>
      </c>
    </row>
    <row r="293">
      <c r="A293" s="53" t="inlineStr">
        <is>
          <t>IT &amp; Infrastructure|B2|B-M</t>
        </is>
      </c>
      <c r="B293" s="53" t="inlineStr">
        <is>
          <t>IT &amp; Infrastructure</t>
        </is>
      </c>
      <c r="C293" s="53" t="inlineStr">
        <is>
          <t>B2</t>
        </is>
      </c>
      <c r="D293" s="53" t="inlineStr">
        <is>
          <t>Band B · People Manager</t>
        </is>
      </c>
      <c r="E293" s="38" t="str">
        <f>'RB · IT &amp; Infrastructure'!F18</f>
        <v>H</v>
      </c>
      <c r="F293" s="38" t="str">
        <f>'RB · IT &amp; Infrastructure'!J18</f>
        <v>M</v>
      </c>
      <c r="G293" s="38" t="str">
        <f>'RB · IT &amp; Infrastructure'!N18</f>
        <v>L</v>
      </c>
      <c r="H293" s="38" t="str">
        <f>'RB · IT &amp; Infrastructure'!R18</f>
        <v>M</v>
      </c>
      <c r="I293" s="38" t="str">
        <f>'RB · IT &amp; Infrastructure'!V18</f>
        <v>L</v>
      </c>
      <c r="J293" s="38" t="str">
        <f>'RB · IT &amp; Infrastructure'!Z18</f>
        <v>L</v>
      </c>
      <c r="K293" s="38" t="str">
        <f>'RB · IT &amp; Infrastructure'!AD18</f>
        <v>L</v>
      </c>
    </row>
    <row r="294">
      <c r="A294" s="53" t="inlineStr">
        <is>
          <t>IT &amp; Infrastructure|B2|B-IC</t>
        </is>
      </c>
      <c r="B294" s="53" t="inlineStr">
        <is>
          <t>IT &amp; Infrastructure</t>
        </is>
      </c>
      <c r="C294" s="53" t="inlineStr">
        <is>
          <t>B2</t>
        </is>
      </c>
      <c r="D294" s="53" t="inlineStr">
        <is>
          <t>Band B · Specialist / POD Lead</t>
        </is>
      </c>
      <c r="E294" s="38" t="str">
        <f>'RB · IT &amp; Infrastructure'!F19</f>
        <v>H</v>
      </c>
      <c r="F294" s="38" t="str">
        <f>'RB · IT &amp; Infrastructure'!J19</f>
        <v>M</v>
      </c>
      <c r="G294" s="38" t="str">
        <f>'RB · IT &amp; Infrastructure'!N19</f>
        <v>L</v>
      </c>
      <c r="H294" s="38" t="str">
        <f>'RB · IT &amp; Infrastructure'!R19</f>
        <v>L</v>
      </c>
      <c r="I294" s="38" t="str">
        <f>'RB · IT &amp; Infrastructure'!V19</f>
        <v>L</v>
      </c>
      <c r="J294" s="38" t="str">
        <f>'RB · IT &amp; Infrastructure'!Z19</f>
        <v>L</v>
      </c>
      <c r="K294" s="38" t="str">
        <f>'RB · IT &amp; Infrastructure'!AD19</f>
        <v>L</v>
      </c>
    </row>
    <row r="295">
      <c r="A295" s="53" t="inlineStr">
        <is>
          <t>IT &amp; Infrastructure|B1|B-M</t>
        </is>
      </c>
      <c r="B295" s="53" t="inlineStr">
        <is>
          <t>IT &amp; Infrastructure</t>
        </is>
      </c>
      <c r="C295" s="53" t="inlineStr">
        <is>
          <t>B1</t>
        </is>
      </c>
      <c r="D295" s="53" t="inlineStr">
        <is>
          <t>Band B · People Manager</t>
        </is>
      </c>
      <c r="E295" s="38" t="str">
        <f>'RB · IT &amp; Infrastructure'!F20</f>
        <v>H</v>
      </c>
      <c r="F295" s="38" t="str">
        <f>'RB · IT &amp; Infrastructure'!J20</f>
        <v>M</v>
      </c>
      <c r="G295" s="38" t="str">
        <f>'RB · IT &amp; Infrastructure'!N20</f>
        <v>L</v>
      </c>
      <c r="H295" s="38" t="str">
        <f>'RB · IT &amp; Infrastructure'!R20</f>
        <v>M</v>
      </c>
      <c r="I295" s="38" t="str">
        <f>'RB · IT &amp; Infrastructure'!V20</f>
        <v>L</v>
      </c>
      <c r="J295" s="38" t="str">
        <f>'RB · IT &amp; Infrastructure'!Z20</f>
        <v>L</v>
      </c>
      <c r="K295" s="38" t="str">
        <f>'RB · IT &amp; Infrastructure'!AD20</f>
        <v>L</v>
      </c>
    </row>
    <row r="296">
      <c r="A296" s="53" t="inlineStr">
        <is>
          <t>IT &amp; Infrastructure|B1|B-IC</t>
        </is>
      </c>
      <c r="B296" s="53" t="inlineStr">
        <is>
          <t>IT &amp; Infrastructure</t>
        </is>
      </c>
      <c r="C296" s="53" t="inlineStr">
        <is>
          <t>B1</t>
        </is>
      </c>
      <c r="D296" s="53" t="inlineStr">
        <is>
          <t>Band B · Specialist / POD Lead</t>
        </is>
      </c>
      <c r="E296" s="38" t="str">
        <f>'RB · IT &amp; Infrastructure'!F21</f>
        <v>H</v>
      </c>
      <c r="F296" s="38" t="str">
        <f>'RB · IT &amp; Infrastructure'!J21</f>
        <v>M</v>
      </c>
      <c r="G296" s="38" t="str">
        <f>'RB · IT &amp; Infrastructure'!N21</f>
        <v>L</v>
      </c>
      <c r="H296" s="38" t="str">
        <f>'RB · IT &amp; Infrastructure'!R21</f>
        <v>L</v>
      </c>
      <c r="I296" s="38" t="str">
        <f>'RB · IT &amp; Infrastructure'!V21</f>
        <v>L</v>
      </c>
      <c r="J296" s="38" t="str">
        <f>'RB · IT &amp; Infrastructure'!Z21</f>
        <v>L</v>
      </c>
      <c r="K296" s="38" t="str">
        <f>'RB · IT &amp; Infrastructure'!AD21</f>
        <v>L</v>
      </c>
    </row>
    <row r="297">
      <c r="A297" s="53" t="inlineStr">
        <is>
          <t>IT &amp; Infrastructure|A3|A</t>
        </is>
      </c>
      <c r="B297" s="53" t="inlineStr">
        <is>
          <t>IT &amp; Infrastructure</t>
        </is>
      </c>
      <c r="C297" s="53" t="inlineStr">
        <is>
          <t>A3</t>
        </is>
      </c>
      <c r="D297" s="53" t="inlineStr">
        <is>
          <t>Band A · all tracks</t>
        </is>
      </c>
      <c r="E297" s="38" t="str">
        <f>'RB · IT &amp; Infrastructure'!F22</f>
        <v>H</v>
      </c>
      <c r="F297" s="38" t="str">
        <f>'RB · IT &amp; Infrastructure'!J22</f>
        <v>M</v>
      </c>
      <c r="G297" s="38" t="str">
        <f>'RB · IT &amp; Infrastructure'!N22</f>
        <v>L</v>
      </c>
      <c r="H297" s="38" t="str">
        <f>'RB · IT &amp; Infrastructure'!R22</f>
        <v>L</v>
      </c>
      <c r="I297" s="38" t="str">
        <f>'RB · IT &amp; Infrastructure'!V22</f>
        <v>L</v>
      </c>
      <c r="J297" s="38" t="str">
        <f>'RB · IT &amp; Infrastructure'!Z22</f>
        <v>L</v>
      </c>
      <c r="K297" s="38" t="str">
        <f>'RB · IT &amp; Infrastructure'!AD22</f>
        <v>L</v>
      </c>
    </row>
    <row r="298">
      <c r="A298" s="53" t="inlineStr">
        <is>
          <t>IT &amp; Infrastructure|A2|A</t>
        </is>
      </c>
      <c r="B298" s="53" t="inlineStr">
        <is>
          <t>IT &amp; Infrastructure</t>
        </is>
      </c>
      <c r="C298" s="53" t="inlineStr">
        <is>
          <t>A2</t>
        </is>
      </c>
      <c r="D298" s="53" t="inlineStr">
        <is>
          <t>Band A · all tracks</t>
        </is>
      </c>
      <c r="E298" s="38" t="str">
        <f>'RB · IT &amp; Infrastructure'!F23</f>
        <v>H</v>
      </c>
      <c r="F298" s="38" t="str">
        <f>'RB · IT &amp; Infrastructure'!J23</f>
        <v>M</v>
      </c>
      <c r="G298" s="38" t="str">
        <f>'RB · IT &amp; Infrastructure'!N23</f>
        <v>L</v>
      </c>
      <c r="H298" s="38" t="str">
        <f>'RB · IT &amp; Infrastructure'!R23</f>
        <v>L</v>
      </c>
      <c r="I298" s="38" t="str">
        <f>'RB · IT &amp; Infrastructure'!V23</f>
        <v>L</v>
      </c>
      <c r="J298" s="38" t="str">
        <f>'RB · IT &amp; Infrastructure'!Z23</f>
        <v>L</v>
      </c>
      <c r="K298" s="38" t="str">
        <f>'RB · IT &amp; Infrastructure'!AD23</f>
        <v>L</v>
      </c>
    </row>
    <row r="299">
      <c r="A299" s="53" t="inlineStr">
        <is>
          <t>IT &amp; Infrastructure|A1|A</t>
        </is>
      </c>
      <c r="B299" s="53" t="inlineStr">
        <is>
          <t>IT &amp; Infrastructure</t>
        </is>
      </c>
      <c r="C299" s="53" t="inlineStr">
        <is>
          <t>A1</t>
        </is>
      </c>
      <c r="D299" s="53" t="inlineStr">
        <is>
          <t>Band A · all tracks</t>
        </is>
      </c>
      <c r="E299" s="38" t="str">
        <f>'RB · IT &amp; Infrastructure'!F24</f>
        <v>H</v>
      </c>
      <c r="F299" s="38" t="str">
        <f>'RB · IT &amp; Infrastructure'!J24</f>
        <v>M</v>
      </c>
      <c r="G299" s="38" t="str">
        <f>'RB · IT &amp; Infrastructure'!N24</f>
        <v>L</v>
      </c>
      <c r="H299" s="38" t="str">
        <f>'RB · IT &amp; Infrastructure'!R24</f>
        <v>L</v>
      </c>
      <c r="I299" s="38" t="str">
        <f>'RB · IT &amp; Infrastructure'!V24</f>
        <v>L</v>
      </c>
      <c r="J299" s="38" t="str">
        <f>'RB · IT &amp; Infrastructure'!Z24</f>
        <v>L</v>
      </c>
      <c r="K299" s="38" t="str">
        <f>'RB · IT &amp; Infrastructure'!AD24</f>
        <v>L</v>
      </c>
    </row>
    <row r="300">
      <c r="A300" s="53" t="inlineStr">
        <is>
          <t>Marketing &amp; Communications|E2|DE</t>
        </is>
      </c>
      <c r="B300" s="53" t="inlineStr">
        <is>
          <t>Marketing &amp; Communications</t>
        </is>
      </c>
      <c r="C300" s="53" t="inlineStr">
        <is>
          <t>E2</t>
        </is>
      </c>
      <c r="D300" s="53" t="inlineStr">
        <is>
          <t>Bands D–E · Leadership</t>
        </is>
      </c>
      <c r="E300" s="38" t="str">
        <f>'RB · Marketing &amp; Communications'!F6</f>
        <v>H</v>
      </c>
      <c r="F300" s="38" t="str">
        <f>'RB · Marketing &amp; Communications'!J6</f>
        <v>M</v>
      </c>
      <c r="G300" s="38" t="str">
        <f>'RB · Marketing &amp; Communications'!N6</f>
        <v>M</v>
      </c>
      <c r="H300" s="38" t="str">
        <f>'RB · Marketing &amp; Communications'!R6</f>
        <v>M</v>
      </c>
      <c r="I300" s="38" t="str">
        <f>'RB · Marketing &amp; Communications'!V6</f>
        <v>L</v>
      </c>
      <c r="J300" s="38" t="str">
        <f>'RB · Marketing &amp; Communications'!Z6</f>
        <v>L</v>
      </c>
      <c r="K300" s="38" t="str">
        <f>'RB · Marketing &amp; Communications'!AD6</f>
        <v>L</v>
      </c>
    </row>
    <row r="301">
      <c r="A301" s="53" t="inlineStr">
        <is>
          <t>Marketing &amp; Communications|E1|DE</t>
        </is>
      </c>
      <c r="B301" s="53" t="inlineStr">
        <is>
          <t>Marketing &amp; Communications</t>
        </is>
      </c>
      <c r="C301" s="53" t="inlineStr">
        <is>
          <t>E1</t>
        </is>
      </c>
      <c r="D301" s="53" t="inlineStr">
        <is>
          <t>Bands D–E · Leadership</t>
        </is>
      </c>
      <c r="E301" s="38" t="str">
        <f>'RB · Marketing &amp; Communications'!F7</f>
        <v>H</v>
      </c>
      <c r="F301" s="38" t="str">
        <f>'RB · Marketing &amp; Communications'!J7</f>
        <v>M</v>
      </c>
      <c r="G301" s="38" t="str">
        <f>'RB · Marketing &amp; Communications'!N7</f>
        <v>M</v>
      </c>
      <c r="H301" s="38" t="str">
        <f>'RB · Marketing &amp; Communications'!R7</f>
        <v>M</v>
      </c>
      <c r="I301" s="38" t="str">
        <f>'RB · Marketing &amp; Communications'!V7</f>
        <v>L</v>
      </c>
      <c r="J301" s="38" t="str">
        <f>'RB · Marketing &amp; Communications'!Z7</f>
        <v>L</v>
      </c>
      <c r="K301" s="38" t="str">
        <f>'RB · Marketing &amp; Communications'!AD7</f>
        <v>L</v>
      </c>
    </row>
    <row r="302">
      <c r="A302" s="53" t="inlineStr">
        <is>
          <t>Marketing &amp; Communications|D2|DE</t>
        </is>
      </c>
      <c r="B302" s="53" t="inlineStr">
        <is>
          <t>Marketing &amp; Communications</t>
        </is>
      </c>
      <c r="C302" s="53" t="inlineStr">
        <is>
          <t>D2</t>
        </is>
      </c>
      <c r="D302" s="53" t="inlineStr">
        <is>
          <t>Bands D–E · Leadership</t>
        </is>
      </c>
      <c r="E302" s="38" t="str">
        <f>'RB · Marketing &amp; Communications'!F8</f>
        <v>H</v>
      </c>
      <c r="F302" s="38" t="str">
        <f>'RB · Marketing &amp; Communications'!J8</f>
        <v>M</v>
      </c>
      <c r="G302" s="38" t="str">
        <f>'RB · Marketing &amp; Communications'!N8</f>
        <v>M</v>
      </c>
      <c r="H302" s="38" t="str">
        <f>'RB · Marketing &amp; Communications'!R8</f>
        <v>M</v>
      </c>
      <c r="I302" s="38" t="str">
        <f>'RB · Marketing &amp; Communications'!V8</f>
        <v>L</v>
      </c>
      <c r="J302" s="38" t="str">
        <f>'RB · Marketing &amp; Communications'!Z8</f>
        <v>L</v>
      </c>
      <c r="K302" s="38" t="str">
        <f>'RB · Marketing &amp; Communications'!AD8</f>
        <v>L</v>
      </c>
    </row>
    <row r="303">
      <c r="A303" s="53" t="inlineStr">
        <is>
          <t>Marketing &amp; Communications|D1|DE</t>
        </is>
      </c>
      <c r="B303" s="53" t="inlineStr">
        <is>
          <t>Marketing &amp; Communications</t>
        </is>
      </c>
      <c r="C303" s="53" t="inlineStr">
        <is>
          <t>D1</t>
        </is>
      </c>
      <c r="D303" s="53" t="inlineStr">
        <is>
          <t>Bands D–E · Leadership</t>
        </is>
      </c>
      <c r="E303" s="38" t="str">
        <f>'RB · Marketing &amp; Communications'!F9</f>
        <v>H</v>
      </c>
      <c r="F303" s="38" t="str">
        <f>'RB · Marketing &amp; Communications'!J9</f>
        <v>M</v>
      </c>
      <c r="G303" s="38" t="str">
        <f>'RB · Marketing &amp; Communications'!N9</f>
        <v>M</v>
      </c>
      <c r="H303" s="38" t="str">
        <f>'RB · Marketing &amp; Communications'!R9</f>
        <v>M</v>
      </c>
      <c r="I303" s="38" t="str">
        <f>'RB · Marketing &amp; Communications'!V9</f>
        <v>L</v>
      </c>
      <c r="J303" s="38" t="str">
        <f>'RB · Marketing &amp; Communications'!Z9</f>
        <v>L</v>
      </c>
      <c r="K303" s="38" t="str">
        <f>'RB · Marketing &amp; Communications'!AD9</f>
        <v>L</v>
      </c>
    </row>
    <row r="304">
      <c r="A304" s="53" t="inlineStr">
        <is>
          <t>Marketing &amp; Communications|C+|C+</t>
        </is>
      </c>
      <c r="B304" s="53" t="inlineStr">
        <is>
          <t>Marketing &amp; Communications</t>
        </is>
      </c>
      <c r="C304" s="53" t="inlineStr">
        <is>
          <t>C+</t>
        </is>
      </c>
      <c r="D304" s="53" t="inlineStr">
        <is>
          <t>C+ · Player-Coach</t>
        </is>
      </c>
      <c r="E304" s="38" t="str">
        <f>'RB · Marketing &amp; Communications'!F10</f>
        <v>H</v>
      </c>
      <c r="F304" s="38" t="str">
        <f>'RB · Marketing &amp; Communications'!J10</f>
        <v>M</v>
      </c>
      <c r="G304" s="38" t="str">
        <f>'RB · Marketing &amp; Communications'!N10</f>
        <v>M</v>
      </c>
      <c r="H304" s="38" t="str">
        <f>'RB · Marketing &amp; Communications'!R10</f>
        <v>M</v>
      </c>
      <c r="I304" s="38" t="str">
        <f>'RB · Marketing &amp; Communications'!V10</f>
        <v>L</v>
      </c>
      <c r="J304" s="38" t="str">
        <f>'RB · Marketing &amp; Communications'!Z10</f>
        <v>L</v>
      </c>
      <c r="K304" s="38" t="str">
        <f>'RB · Marketing &amp; Communications'!AD10</f>
        <v>L</v>
      </c>
    </row>
    <row r="305">
      <c r="A305" s="53" t="inlineStr">
        <is>
          <t>Marketing &amp; Communications|C2|C-M</t>
        </is>
      </c>
      <c r="B305" s="53" t="inlineStr">
        <is>
          <t>Marketing &amp; Communications</t>
        </is>
      </c>
      <c r="C305" s="53" t="inlineStr">
        <is>
          <t>C2</t>
        </is>
      </c>
      <c r="D305" s="53" t="inlineStr">
        <is>
          <t>Band C · Head / manager</t>
        </is>
      </c>
      <c r="E305" s="38" t="str">
        <f>'RB · Marketing &amp; Communications'!F11</f>
        <v>H</v>
      </c>
      <c r="F305" s="38" t="str">
        <f>'RB · Marketing &amp; Communications'!J11</f>
        <v>M</v>
      </c>
      <c r="G305" s="38" t="str">
        <f>'RB · Marketing &amp; Communications'!N11</f>
        <v>L</v>
      </c>
      <c r="H305" s="38" t="str">
        <f>'RB · Marketing &amp; Communications'!R11</f>
        <v>M</v>
      </c>
      <c r="I305" s="38" t="str">
        <f>'RB · Marketing &amp; Communications'!V11</f>
        <v>M</v>
      </c>
      <c r="J305" s="38" t="str">
        <f>'RB · Marketing &amp; Communications'!Z11</f>
        <v>L</v>
      </c>
      <c r="K305" s="38" t="str">
        <f>'RB · Marketing &amp; Communications'!AD11</f>
        <v>L</v>
      </c>
    </row>
    <row r="306">
      <c r="A306" s="53" t="inlineStr">
        <is>
          <t>Marketing &amp; Communications|C2|C-IC</t>
        </is>
      </c>
      <c r="B306" s="53" t="inlineStr">
        <is>
          <t>Marketing &amp; Communications</t>
        </is>
      </c>
      <c r="C306" s="53" t="inlineStr">
        <is>
          <t>C2</t>
        </is>
      </c>
      <c r="D306" s="53" t="inlineStr">
        <is>
          <t>Band C · Principal specialist</t>
        </is>
      </c>
      <c r="E306" s="38" t="str">
        <f>'RB · Marketing &amp; Communications'!F12</f>
        <v>H</v>
      </c>
      <c r="F306" s="38" t="str">
        <f>'RB · Marketing &amp; Communications'!J12</f>
        <v>M</v>
      </c>
      <c r="G306" s="38" t="str">
        <f>'RB · Marketing &amp; Communications'!N12</f>
        <v>L</v>
      </c>
      <c r="H306" s="38" t="str">
        <f>'RB · Marketing &amp; Communications'!R12</f>
        <v>L</v>
      </c>
      <c r="I306" s="38" t="str">
        <f>'RB · Marketing &amp; Communications'!V12</f>
        <v>M</v>
      </c>
      <c r="J306" s="38" t="str">
        <f>'RB · Marketing &amp; Communications'!Z12</f>
        <v>L</v>
      </c>
      <c r="K306" s="38" t="str">
        <f>'RB · Marketing &amp; Communications'!AD12</f>
        <v>L</v>
      </c>
    </row>
    <row r="307">
      <c r="A307" s="53" t="inlineStr">
        <is>
          <t>Marketing &amp; Communications|C1|C-M</t>
        </is>
      </c>
      <c r="B307" s="53" t="inlineStr">
        <is>
          <t>Marketing &amp; Communications</t>
        </is>
      </c>
      <c r="C307" s="53" t="inlineStr">
        <is>
          <t>C1</t>
        </is>
      </c>
      <c r="D307" s="53" t="inlineStr">
        <is>
          <t>Band C · Head / manager</t>
        </is>
      </c>
      <c r="E307" s="38" t="str">
        <f>'RB · Marketing &amp; Communications'!F13</f>
        <v>H</v>
      </c>
      <c r="F307" s="38" t="str">
        <f>'RB · Marketing &amp; Communications'!J13</f>
        <v>M</v>
      </c>
      <c r="G307" s="38" t="str">
        <f>'RB · Marketing &amp; Communications'!N13</f>
        <v>L</v>
      </c>
      <c r="H307" s="38" t="str">
        <f>'RB · Marketing &amp; Communications'!R13</f>
        <v>M</v>
      </c>
      <c r="I307" s="38" t="str">
        <f>'RB · Marketing &amp; Communications'!V13</f>
        <v>M</v>
      </c>
      <c r="J307" s="38" t="str">
        <f>'RB · Marketing &amp; Communications'!Z13</f>
        <v>L</v>
      </c>
      <c r="K307" s="38" t="str">
        <f>'RB · Marketing &amp; Communications'!AD13</f>
        <v>L</v>
      </c>
    </row>
    <row r="308">
      <c r="A308" s="53" t="inlineStr">
        <is>
          <t>Marketing &amp; Communications|C1|C-IC</t>
        </is>
      </c>
      <c r="B308" s="53" t="inlineStr">
        <is>
          <t>Marketing &amp; Communications</t>
        </is>
      </c>
      <c r="C308" s="53" t="inlineStr">
        <is>
          <t>C1</t>
        </is>
      </c>
      <c r="D308" s="53" t="inlineStr">
        <is>
          <t>Band C · Principal specialist</t>
        </is>
      </c>
      <c r="E308" s="38" t="str">
        <f>'RB · Marketing &amp; Communications'!F14</f>
        <v>H</v>
      </c>
      <c r="F308" s="38" t="str">
        <f>'RB · Marketing &amp; Communications'!J14</f>
        <v>M</v>
      </c>
      <c r="G308" s="38" t="str">
        <f>'RB · Marketing &amp; Communications'!N14</f>
        <v>L</v>
      </c>
      <c r="H308" s="38" t="str">
        <f>'RB · Marketing &amp; Communications'!R14</f>
        <v>L</v>
      </c>
      <c r="I308" s="38" t="str">
        <f>'RB · Marketing &amp; Communications'!V14</f>
        <v>M</v>
      </c>
      <c r="J308" s="38" t="str">
        <f>'RB · Marketing &amp; Communications'!Z14</f>
        <v>L</v>
      </c>
      <c r="K308" s="38" t="str">
        <f>'RB · Marketing &amp; Communications'!AD14</f>
        <v>L</v>
      </c>
    </row>
    <row r="309">
      <c r="A309" s="53" t="inlineStr">
        <is>
          <t>Marketing &amp; Communications|B+|B+</t>
        </is>
      </c>
      <c r="B309" s="53" t="inlineStr">
        <is>
          <t>Marketing &amp; Communications</t>
        </is>
      </c>
      <c r="C309" s="53" t="inlineStr">
        <is>
          <t>B+</t>
        </is>
      </c>
      <c r="D309" s="53" t="inlineStr">
        <is>
          <t>B+ · Player-Coach</t>
        </is>
      </c>
      <c r="E309" s="38" t="str">
        <f>'RB · Marketing &amp; Communications'!F15</f>
        <v>H</v>
      </c>
      <c r="F309" s="38" t="str">
        <f>'RB · Marketing &amp; Communications'!J15</f>
        <v>M</v>
      </c>
      <c r="G309" s="38" t="str">
        <f>'RB · Marketing &amp; Communications'!N15</f>
        <v>L</v>
      </c>
      <c r="H309" s="38" t="str">
        <f>'RB · Marketing &amp; Communications'!R15</f>
        <v>M</v>
      </c>
      <c r="I309" s="38" t="str">
        <f>'RB · Marketing &amp; Communications'!V15</f>
        <v>M</v>
      </c>
      <c r="J309" s="38" t="str">
        <f>'RB · Marketing &amp; Communications'!Z15</f>
        <v>L</v>
      </c>
      <c r="K309" s="38" t="str">
        <f>'RB · Marketing &amp; Communications'!AD15</f>
        <v>L</v>
      </c>
    </row>
    <row r="310">
      <c r="A310" s="53" t="inlineStr">
        <is>
          <t>Marketing &amp; Communications|B3|B-M</t>
        </is>
      </c>
      <c r="B310" s="53" t="inlineStr">
        <is>
          <t>Marketing &amp; Communications</t>
        </is>
      </c>
      <c r="C310" s="53" t="inlineStr">
        <is>
          <t>B3</t>
        </is>
      </c>
      <c r="D310" s="53" t="inlineStr">
        <is>
          <t>Band B · People Manager</t>
        </is>
      </c>
      <c r="E310" s="38" t="str">
        <f>'RB · Marketing &amp; Communications'!F16</f>
        <v>H</v>
      </c>
      <c r="F310" s="38" t="str">
        <f>'RB · Marketing &amp; Communications'!J16</f>
        <v>M</v>
      </c>
      <c r="G310" s="38" t="str">
        <f>'RB · Marketing &amp; Communications'!N16</f>
        <v>L</v>
      </c>
      <c r="H310" s="38" t="str">
        <f>'RB · Marketing &amp; Communications'!R16</f>
        <v>M</v>
      </c>
      <c r="I310" s="38" t="str">
        <f>'RB · Marketing &amp; Communications'!V16</f>
        <v>M</v>
      </c>
      <c r="J310" s="38" t="str">
        <f>'RB · Marketing &amp; Communications'!Z16</f>
        <v>L</v>
      </c>
      <c r="K310" s="38" t="str">
        <f>'RB · Marketing &amp; Communications'!AD16</f>
        <v>L</v>
      </c>
    </row>
    <row r="311">
      <c r="A311" s="53" t="inlineStr">
        <is>
          <t>Marketing &amp; Communications|B3|B-IC</t>
        </is>
      </c>
      <c r="B311" s="53" t="inlineStr">
        <is>
          <t>Marketing &amp; Communications</t>
        </is>
      </c>
      <c r="C311" s="53" t="inlineStr">
        <is>
          <t>B3</t>
        </is>
      </c>
      <c r="D311" s="53" t="inlineStr">
        <is>
          <t>Band B · Specialist / POD Lead</t>
        </is>
      </c>
      <c r="E311" s="38" t="str">
        <f>'RB · Marketing &amp; Communications'!F17</f>
        <v>H</v>
      </c>
      <c r="F311" s="38" t="str">
        <f>'RB · Marketing &amp; Communications'!J17</f>
        <v>M</v>
      </c>
      <c r="G311" s="38" t="str">
        <f>'RB · Marketing &amp; Communications'!N17</f>
        <v>L</v>
      </c>
      <c r="H311" s="38" t="str">
        <f>'RB · Marketing &amp; Communications'!R17</f>
        <v>L</v>
      </c>
      <c r="I311" s="38" t="str">
        <f>'RB · Marketing &amp; Communications'!V17</f>
        <v>M</v>
      </c>
      <c r="J311" s="38" t="str">
        <f>'RB · Marketing &amp; Communications'!Z17</f>
        <v>L</v>
      </c>
      <c r="K311" s="38" t="str">
        <f>'RB · Marketing &amp; Communications'!AD17</f>
        <v>L</v>
      </c>
    </row>
    <row r="312">
      <c r="A312" s="53" t="inlineStr">
        <is>
          <t>Marketing &amp; Communications|B2|B-M</t>
        </is>
      </c>
      <c r="B312" s="53" t="inlineStr">
        <is>
          <t>Marketing &amp; Communications</t>
        </is>
      </c>
      <c r="C312" s="53" t="inlineStr">
        <is>
          <t>B2</t>
        </is>
      </c>
      <c r="D312" s="53" t="inlineStr">
        <is>
          <t>Band B · People Manager</t>
        </is>
      </c>
      <c r="E312" s="38" t="str">
        <f>'RB · Marketing &amp; Communications'!F18</f>
        <v>H</v>
      </c>
      <c r="F312" s="38" t="str">
        <f>'RB · Marketing &amp; Communications'!J18</f>
        <v>M</v>
      </c>
      <c r="G312" s="38" t="str">
        <f>'RB · Marketing &amp; Communications'!N18</f>
        <v>L</v>
      </c>
      <c r="H312" s="38" t="str">
        <f>'RB · Marketing &amp; Communications'!R18</f>
        <v>M</v>
      </c>
      <c r="I312" s="38" t="str">
        <f>'RB · Marketing &amp; Communications'!V18</f>
        <v>M</v>
      </c>
      <c r="J312" s="38" t="str">
        <f>'RB · Marketing &amp; Communications'!Z18</f>
        <v>L</v>
      </c>
      <c r="K312" s="38" t="str">
        <f>'RB · Marketing &amp; Communications'!AD18</f>
        <v>L</v>
      </c>
    </row>
    <row r="313">
      <c r="A313" s="53" t="inlineStr">
        <is>
          <t>Marketing &amp; Communications|B2|B-IC</t>
        </is>
      </c>
      <c r="B313" s="53" t="inlineStr">
        <is>
          <t>Marketing &amp; Communications</t>
        </is>
      </c>
      <c r="C313" s="53" t="inlineStr">
        <is>
          <t>B2</t>
        </is>
      </c>
      <c r="D313" s="53" t="inlineStr">
        <is>
          <t>Band B · Specialist / POD Lead</t>
        </is>
      </c>
      <c r="E313" s="38" t="str">
        <f>'RB · Marketing &amp; Communications'!F19</f>
        <v>H</v>
      </c>
      <c r="F313" s="38" t="str">
        <f>'RB · Marketing &amp; Communications'!J19</f>
        <v>M</v>
      </c>
      <c r="G313" s="38" t="str">
        <f>'RB · Marketing &amp; Communications'!N19</f>
        <v>L</v>
      </c>
      <c r="H313" s="38" t="str">
        <f>'RB · Marketing &amp; Communications'!R19</f>
        <v>L</v>
      </c>
      <c r="I313" s="38" t="str">
        <f>'RB · Marketing &amp; Communications'!V19</f>
        <v>M</v>
      </c>
      <c r="J313" s="38" t="str">
        <f>'RB · Marketing &amp; Communications'!Z19</f>
        <v>L</v>
      </c>
      <c r="K313" s="38" t="str">
        <f>'RB · Marketing &amp; Communications'!AD19</f>
        <v>L</v>
      </c>
    </row>
    <row r="314">
      <c r="A314" s="53" t="inlineStr">
        <is>
          <t>Marketing &amp; Communications|B1|B-M</t>
        </is>
      </c>
      <c r="B314" s="53" t="inlineStr">
        <is>
          <t>Marketing &amp; Communications</t>
        </is>
      </c>
      <c r="C314" s="53" t="inlineStr">
        <is>
          <t>B1</t>
        </is>
      </c>
      <c r="D314" s="53" t="inlineStr">
        <is>
          <t>Band B · People Manager</t>
        </is>
      </c>
      <c r="E314" s="38" t="str">
        <f>'RB · Marketing &amp; Communications'!F20</f>
        <v>H</v>
      </c>
      <c r="F314" s="38" t="str">
        <f>'RB · Marketing &amp; Communications'!J20</f>
        <v>M</v>
      </c>
      <c r="G314" s="38" t="str">
        <f>'RB · Marketing &amp; Communications'!N20</f>
        <v>L</v>
      </c>
      <c r="H314" s="38" t="str">
        <f>'RB · Marketing &amp; Communications'!R20</f>
        <v>M</v>
      </c>
      <c r="I314" s="38" t="str">
        <f>'RB · Marketing &amp; Communications'!V20</f>
        <v>M</v>
      </c>
      <c r="J314" s="38" t="str">
        <f>'RB · Marketing &amp; Communications'!Z20</f>
        <v>L</v>
      </c>
      <c r="K314" s="38" t="str">
        <f>'RB · Marketing &amp; Communications'!AD20</f>
        <v>L</v>
      </c>
    </row>
    <row r="315">
      <c r="A315" s="53" t="inlineStr">
        <is>
          <t>Marketing &amp; Communications|B1|B-IC</t>
        </is>
      </c>
      <c r="B315" s="53" t="inlineStr">
        <is>
          <t>Marketing &amp; Communications</t>
        </is>
      </c>
      <c r="C315" s="53" t="inlineStr">
        <is>
          <t>B1</t>
        </is>
      </c>
      <c r="D315" s="53" t="inlineStr">
        <is>
          <t>Band B · Specialist / POD Lead</t>
        </is>
      </c>
      <c r="E315" s="38" t="str">
        <f>'RB · Marketing &amp; Communications'!F21</f>
        <v>H</v>
      </c>
      <c r="F315" s="38" t="str">
        <f>'RB · Marketing &amp; Communications'!J21</f>
        <v>M</v>
      </c>
      <c r="G315" s="38" t="str">
        <f>'RB · Marketing &amp; Communications'!N21</f>
        <v>L</v>
      </c>
      <c r="H315" s="38" t="str">
        <f>'RB · Marketing &amp; Communications'!R21</f>
        <v>L</v>
      </c>
      <c r="I315" s="38" t="str">
        <f>'RB · Marketing &amp; Communications'!V21</f>
        <v>M</v>
      </c>
      <c r="J315" s="38" t="str">
        <f>'RB · Marketing &amp; Communications'!Z21</f>
        <v>L</v>
      </c>
      <c r="K315" s="38" t="str">
        <f>'RB · Marketing &amp; Communications'!AD21</f>
        <v>L</v>
      </c>
    </row>
    <row r="316">
      <c r="A316" s="53" t="inlineStr">
        <is>
          <t>Marketing &amp; Communications|A3|A</t>
        </is>
      </c>
      <c r="B316" s="53" t="inlineStr">
        <is>
          <t>Marketing &amp; Communications</t>
        </is>
      </c>
      <c r="C316" s="53" t="inlineStr">
        <is>
          <t>A3</t>
        </is>
      </c>
      <c r="D316" s="53" t="inlineStr">
        <is>
          <t>Band A · all tracks</t>
        </is>
      </c>
      <c r="E316" s="38" t="str">
        <f>'RB · Marketing &amp; Communications'!F22</f>
        <v>H</v>
      </c>
      <c r="F316" s="38" t="str">
        <f>'RB · Marketing &amp; Communications'!J22</f>
        <v>M</v>
      </c>
      <c r="G316" s="38" t="str">
        <f>'RB · Marketing &amp; Communications'!N22</f>
        <v>L</v>
      </c>
      <c r="H316" s="38" t="str">
        <f>'RB · Marketing &amp; Communications'!R22</f>
        <v>L</v>
      </c>
      <c r="I316" s="38" t="str">
        <f>'RB · Marketing &amp; Communications'!V22</f>
        <v>M</v>
      </c>
      <c r="J316" s="38" t="str">
        <f>'RB · Marketing &amp; Communications'!Z22</f>
        <v>L</v>
      </c>
      <c r="K316" s="38" t="str">
        <f>'RB · Marketing &amp; Communications'!AD22</f>
        <v>L</v>
      </c>
    </row>
    <row r="317">
      <c r="A317" s="53" t="inlineStr">
        <is>
          <t>Marketing &amp; Communications|A2|A</t>
        </is>
      </c>
      <c r="B317" s="53" t="inlineStr">
        <is>
          <t>Marketing &amp; Communications</t>
        </is>
      </c>
      <c r="C317" s="53" t="inlineStr">
        <is>
          <t>A2</t>
        </is>
      </c>
      <c r="D317" s="53" t="inlineStr">
        <is>
          <t>Band A · all tracks</t>
        </is>
      </c>
      <c r="E317" s="38" t="str">
        <f>'RB · Marketing &amp; Communications'!F23</f>
        <v>H</v>
      </c>
      <c r="F317" s="38" t="str">
        <f>'RB · Marketing &amp; Communications'!J23</f>
        <v>M</v>
      </c>
      <c r="G317" s="38" t="str">
        <f>'RB · Marketing &amp; Communications'!N23</f>
        <v>L</v>
      </c>
      <c r="H317" s="38" t="str">
        <f>'RB · Marketing &amp; Communications'!R23</f>
        <v>L</v>
      </c>
      <c r="I317" s="38" t="str">
        <f>'RB · Marketing &amp; Communications'!V23</f>
        <v>M</v>
      </c>
      <c r="J317" s="38" t="str">
        <f>'RB · Marketing &amp; Communications'!Z23</f>
        <v>L</v>
      </c>
      <c r="K317" s="38" t="str">
        <f>'RB · Marketing &amp; Communications'!AD23</f>
        <v>L</v>
      </c>
    </row>
    <row r="318">
      <c r="A318" s="53" t="inlineStr">
        <is>
          <t>Marketing &amp; Communications|A1|A</t>
        </is>
      </c>
      <c r="B318" s="53" t="inlineStr">
        <is>
          <t>Marketing &amp; Communications</t>
        </is>
      </c>
      <c r="C318" s="53" t="inlineStr">
        <is>
          <t>A1</t>
        </is>
      </c>
      <c r="D318" s="53" t="inlineStr">
        <is>
          <t>Band A · all tracks</t>
        </is>
      </c>
      <c r="E318" s="38" t="str">
        <f>'RB · Marketing &amp; Communications'!F24</f>
        <v>H</v>
      </c>
      <c r="F318" s="38" t="str">
        <f>'RB · Marketing &amp; Communications'!J24</f>
        <v>M</v>
      </c>
      <c r="G318" s="38" t="str">
        <f>'RB · Marketing &amp; Communications'!N24</f>
        <v>L</v>
      </c>
      <c r="H318" s="38" t="str">
        <f>'RB · Marketing &amp; Communications'!R24</f>
        <v>L</v>
      </c>
      <c r="I318" s="38" t="str">
        <f>'RB · Marketing &amp; Communications'!V24</f>
        <v>M</v>
      </c>
      <c r="J318" s="38" t="str">
        <f>'RB · Marketing &amp; Communications'!Z24</f>
        <v>L</v>
      </c>
      <c r="K318" s="38" t="str">
        <f>'RB · Marketing &amp; Communications'!AD24</f>
        <v>L</v>
      </c>
    </row>
    <row r="319">
      <c r="A319" s="53" t="inlineStr">
        <is>
          <t>Product Management|E2|DE</t>
        </is>
      </c>
      <c r="B319" s="53" t="inlineStr">
        <is>
          <t>Product Management</t>
        </is>
      </c>
      <c r="C319" s="53" t="inlineStr">
        <is>
          <t>E2</t>
        </is>
      </c>
      <c r="D319" s="53" t="inlineStr">
        <is>
          <t>Bands D–E · Leadership</t>
        </is>
      </c>
      <c r="E319" s="38" t="str">
        <f>'RB · Product Management'!F6</f>
        <v>H</v>
      </c>
      <c r="F319" s="38" t="str">
        <f>'RB · Product Management'!J6</f>
        <v>M</v>
      </c>
      <c r="G319" s="38" t="str">
        <f>'RB · Product Management'!N6</f>
        <v>M</v>
      </c>
      <c r="H319" s="38" t="str">
        <f>'RB · Product Management'!R6</f>
        <v>M</v>
      </c>
      <c r="I319" s="38" t="str">
        <f>'RB · Product Management'!V6</f>
        <v>L</v>
      </c>
      <c r="J319" s="38" t="str">
        <f>'RB · Product Management'!Z6</f>
        <v>L</v>
      </c>
      <c r="K319" s="38" t="str">
        <f>'RB · Product Management'!AD6</f>
        <v>L</v>
      </c>
    </row>
    <row r="320">
      <c r="A320" s="53" t="inlineStr">
        <is>
          <t>Product Management|E1|DE</t>
        </is>
      </c>
      <c r="B320" s="53" t="inlineStr">
        <is>
          <t>Product Management</t>
        </is>
      </c>
      <c r="C320" s="53" t="inlineStr">
        <is>
          <t>E1</t>
        </is>
      </c>
      <c r="D320" s="53" t="inlineStr">
        <is>
          <t>Bands D–E · Leadership</t>
        </is>
      </c>
      <c r="E320" s="38" t="str">
        <f>'RB · Product Management'!F7</f>
        <v>H</v>
      </c>
      <c r="F320" s="38" t="str">
        <f>'RB · Product Management'!J7</f>
        <v>M</v>
      </c>
      <c r="G320" s="38" t="str">
        <f>'RB · Product Management'!N7</f>
        <v>M</v>
      </c>
      <c r="H320" s="38" t="str">
        <f>'RB · Product Management'!R7</f>
        <v>M</v>
      </c>
      <c r="I320" s="38" t="str">
        <f>'RB · Product Management'!V7</f>
        <v>L</v>
      </c>
      <c r="J320" s="38" t="str">
        <f>'RB · Product Management'!Z7</f>
        <v>L</v>
      </c>
      <c r="K320" s="38" t="str">
        <f>'RB · Product Management'!AD7</f>
        <v>L</v>
      </c>
    </row>
    <row r="321">
      <c r="A321" s="53" t="inlineStr">
        <is>
          <t>Product Management|D2|DE</t>
        </is>
      </c>
      <c r="B321" s="53" t="inlineStr">
        <is>
          <t>Product Management</t>
        </is>
      </c>
      <c r="C321" s="53" t="inlineStr">
        <is>
          <t>D2</t>
        </is>
      </c>
      <c r="D321" s="53" t="inlineStr">
        <is>
          <t>Bands D–E · Leadership</t>
        </is>
      </c>
      <c r="E321" s="38" t="str">
        <f>'RB · Product Management'!F8</f>
        <v>H</v>
      </c>
      <c r="F321" s="38" t="str">
        <f>'RB · Product Management'!J8</f>
        <v>M</v>
      </c>
      <c r="G321" s="38" t="str">
        <f>'RB · Product Management'!N8</f>
        <v>M</v>
      </c>
      <c r="H321" s="38" t="str">
        <f>'RB · Product Management'!R8</f>
        <v>M</v>
      </c>
      <c r="I321" s="38" t="str">
        <f>'RB · Product Management'!V8</f>
        <v>L</v>
      </c>
      <c r="J321" s="38" t="str">
        <f>'RB · Product Management'!Z8</f>
        <v>L</v>
      </c>
      <c r="K321" s="38" t="str">
        <f>'RB · Product Management'!AD8</f>
        <v>L</v>
      </c>
    </row>
    <row r="322">
      <c r="A322" s="53" t="inlineStr">
        <is>
          <t>Product Management|D1|DE</t>
        </is>
      </c>
      <c r="B322" s="53" t="inlineStr">
        <is>
          <t>Product Management</t>
        </is>
      </c>
      <c r="C322" s="53" t="inlineStr">
        <is>
          <t>D1</t>
        </is>
      </c>
      <c r="D322" s="53" t="inlineStr">
        <is>
          <t>Bands D–E · Leadership</t>
        </is>
      </c>
      <c r="E322" s="38" t="str">
        <f>'RB · Product Management'!F9</f>
        <v>H</v>
      </c>
      <c r="F322" s="38" t="str">
        <f>'RB · Product Management'!J9</f>
        <v>M</v>
      </c>
      <c r="G322" s="38" t="str">
        <f>'RB · Product Management'!N9</f>
        <v>M</v>
      </c>
      <c r="H322" s="38" t="str">
        <f>'RB · Product Management'!R9</f>
        <v>M</v>
      </c>
      <c r="I322" s="38" t="str">
        <f>'RB · Product Management'!V9</f>
        <v>L</v>
      </c>
      <c r="J322" s="38" t="str">
        <f>'RB · Product Management'!Z9</f>
        <v>L</v>
      </c>
      <c r="K322" s="38" t="str">
        <f>'RB · Product Management'!AD9</f>
        <v>L</v>
      </c>
    </row>
    <row r="323">
      <c r="A323" s="53" t="inlineStr">
        <is>
          <t>Product Management|C+|C+</t>
        </is>
      </c>
      <c r="B323" s="53" t="inlineStr">
        <is>
          <t>Product Management</t>
        </is>
      </c>
      <c r="C323" s="53" t="inlineStr">
        <is>
          <t>C+</t>
        </is>
      </c>
      <c r="D323" s="53" t="inlineStr">
        <is>
          <t>C+ · Player-Coach</t>
        </is>
      </c>
      <c r="E323" s="38" t="str">
        <f>'RB · Product Management'!F10</f>
        <v>H</v>
      </c>
      <c r="F323" s="38" t="str">
        <f>'RB · Product Management'!J10</f>
        <v>M</v>
      </c>
      <c r="G323" s="38" t="str">
        <f>'RB · Product Management'!N10</f>
        <v>M</v>
      </c>
      <c r="H323" s="38" t="str">
        <f>'RB · Product Management'!R10</f>
        <v>M</v>
      </c>
      <c r="I323" s="38" t="str">
        <f>'RB · Product Management'!V10</f>
        <v>L</v>
      </c>
      <c r="J323" s="38" t="str">
        <f>'RB · Product Management'!Z10</f>
        <v>L</v>
      </c>
      <c r="K323" s="38" t="str">
        <f>'RB · Product Management'!AD10</f>
        <v>L</v>
      </c>
    </row>
    <row r="324">
      <c r="A324" s="53" t="inlineStr">
        <is>
          <t>Product Management|C2|C-M</t>
        </is>
      </c>
      <c r="B324" s="53" t="inlineStr">
        <is>
          <t>Product Management</t>
        </is>
      </c>
      <c r="C324" s="53" t="inlineStr">
        <is>
          <t>C2</t>
        </is>
      </c>
      <c r="D324" s="53" t="inlineStr">
        <is>
          <t>Band C · Head / manager</t>
        </is>
      </c>
      <c r="E324" s="38" t="str">
        <f>'RB · Product Management'!F11</f>
        <v>H</v>
      </c>
      <c r="F324" s="38" t="str">
        <f>'RB · Product Management'!J11</f>
        <v>M</v>
      </c>
      <c r="G324" s="38" t="str">
        <f>'RB · Product Management'!N11</f>
        <v>M</v>
      </c>
      <c r="H324" s="38" t="str">
        <f>'RB · Product Management'!R11</f>
        <v>M</v>
      </c>
      <c r="I324" s="38" t="str">
        <f>'RB · Product Management'!V11</f>
        <v>L</v>
      </c>
      <c r="J324" s="38" t="str">
        <f>'RB · Product Management'!Z11</f>
        <v>L</v>
      </c>
      <c r="K324" s="38" t="str">
        <f>'RB · Product Management'!AD11</f>
        <v>L</v>
      </c>
    </row>
    <row r="325">
      <c r="A325" s="53" t="inlineStr">
        <is>
          <t>Product Management|C2|C-IC</t>
        </is>
      </c>
      <c r="B325" s="53" t="inlineStr">
        <is>
          <t>Product Management</t>
        </is>
      </c>
      <c r="C325" s="53" t="inlineStr">
        <is>
          <t>C2</t>
        </is>
      </c>
      <c r="D325" s="53" t="inlineStr">
        <is>
          <t>Band C · Principal specialist</t>
        </is>
      </c>
      <c r="E325" s="38" t="str">
        <f>'RB · Product Management'!F12</f>
        <v>H</v>
      </c>
      <c r="F325" s="38" t="str">
        <f>'RB · Product Management'!J12</f>
        <v>M</v>
      </c>
      <c r="G325" s="38" t="str">
        <f>'RB · Product Management'!N12</f>
        <v>M</v>
      </c>
      <c r="H325" s="38" t="str">
        <f>'RB · Product Management'!R12</f>
        <v>L</v>
      </c>
      <c r="I325" s="38" t="str">
        <f>'RB · Product Management'!V12</f>
        <v>L</v>
      </c>
      <c r="J325" s="38" t="str">
        <f>'RB · Product Management'!Z12</f>
        <v>L</v>
      </c>
      <c r="K325" s="38" t="str">
        <f>'RB · Product Management'!AD12</f>
        <v>L</v>
      </c>
    </row>
    <row r="326">
      <c r="A326" s="53" t="inlineStr">
        <is>
          <t>Product Management|C1|C-M</t>
        </is>
      </c>
      <c r="B326" s="53" t="inlineStr">
        <is>
          <t>Product Management</t>
        </is>
      </c>
      <c r="C326" s="53" t="inlineStr">
        <is>
          <t>C1</t>
        </is>
      </c>
      <c r="D326" s="53" t="inlineStr">
        <is>
          <t>Band C · Head / manager</t>
        </is>
      </c>
      <c r="E326" s="38" t="str">
        <f>'RB · Product Management'!F13</f>
        <v>H</v>
      </c>
      <c r="F326" s="38" t="str">
        <f>'RB · Product Management'!J13</f>
        <v>M</v>
      </c>
      <c r="G326" s="38" t="str">
        <f>'RB · Product Management'!N13</f>
        <v>M</v>
      </c>
      <c r="H326" s="38" t="str">
        <f>'RB · Product Management'!R13</f>
        <v>M</v>
      </c>
      <c r="I326" s="38" t="str">
        <f>'RB · Product Management'!V13</f>
        <v>L</v>
      </c>
      <c r="J326" s="38" t="str">
        <f>'RB · Product Management'!Z13</f>
        <v>L</v>
      </c>
      <c r="K326" s="38" t="str">
        <f>'RB · Product Management'!AD13</f>
        <v>L</v>
      </c>
    </row>
    <row r="327">
      <c r="A327" s="53" t="inlineStr">
        <is>
          <t>Product Management|C1|C-IC</t>
        </is>
      </c>
      <c r="B327" s="53" t="inlineStr">
        <is>
          <t>Product Management</t>
        </is>
      </c>
      <c r="C327" s="53" t="inlineStr">
        <is>
          <t>C1</t>
        </is>
      </c>
      <c r="D327" s="53" t="inlineStr">
        <is>
          <t>Band C · Principal specialist</t>
        </is>
      </c>
      <c r="E327" s="38" t="str">
        <f>'RB · Product Management'!F14</f>
        <v>H</v>
      </c>
      <c r="F327" s="38" t="str">
        <f>'RB · Product Management'!J14</f>
        <v>M</v>
      </c>
      <c r="G327" s="38" t="str">
        <f>'RB · Product Management'!N14</f>
        <v>M</v>
      </c>
      <c r="H327" s="38" t="str">
        <f>'RB · Product Management'!R14</f>
        <v>L</v>
      </c>
      <c r="I327" s="38" t="str">
        <f>'RB · Product Management'!V14</f>
        <v>L</v>
      </c>
      <c r="J327" s="38" t="str">
        <f>'RB · Product Management'!Z14</f>
        <v>L</v>
      </c>
      <c r="K327" s="38" t="str">
        <f>'RB · Product Management'!AD14</f>
        <v>L</v>
      </c>
    </row>
    <row r="328">
      <c r="A328" s="53" t="inlineStr">
        <is>
          <t>Product Management|B+|B+</t>
        </is>
      </c>
      <c r="B328" s="53" t="inlineStr">
        <is>
          <t>Product Management</t>
        </is>
      </c>
      <c r="C328" s="53" t="inlineStr">
        <is>
          <t>B+</t>
        </is>
      </c>
      <c r="D328" s="53" t="inlineStr">
        <is>
          <t>B+ · Player-Coach</t>
        </is>
      </c>
      <c r="E328" s="38" t="str">
        <f>'RB · Product Management'!F15</f>
        <v>H</v>
      </c>
      <c r="F328" s="38" t="str">
        <f>'RB · Product Management'!J15</f>
        <v>M</v>
      </c>
      <c r="G328" s="38" t="str">
        <f>'RB · Product Management'!N15</f>
        <v>M</v>
      </c>
      <c r="H328" s="38" t="str">
        <f>'RB · Product Management'!R15</f>
        <v>M</v>
      </c>
      <c r="I328" s="38" t="str">
        <f>'RB · Product Management'!V15</f>
        <v>L</v>
      </c>
      <c r="J328" s="38" t="str">
        <f>'RB · Product Management'!Z15</f>
        <v>L</v>
      </c>
      <c r="K328" s="38" t="str">
        <f>'RB · Product Management'!AD15</f>
        <v>L</v>
      </c>
    </row>
    <row r="329">
      <c r="A329" s="53" t="inlineStr">
        <is>
          <t>Product Management|B3|B-M</t>
        </is>
      </c>
      <c r="B329" s="53" t="inlineStr">
        <is>
          <t>Product Management</t>
        </is>
      </c>
      <c r="C329" s="53" t="inlineStr">
        <is>
          <t>B3</t>
        </is>
      </c>
      <c r="D329" s="53" t="inlineStr">
        <is>
          <t>Band B · People Manager</t>
        </is>
      </c>
      <c r="E329" s="38" t="str">
        <f>'RB · Product Management'!F16</f>
        <v>H</v>
      </c>
      <c r="F329" s="38" t="str">
        <f>'RB · Product Management'!J16</f>
        <v>M</v>
      </c>
      <c r="G329" s="38" t="str">
        <f>'RB · Product Management'!N16</f>
        <v>M</v>
      </c>
      <c r="H329" s="38" t="str">
        <f>'RB · Product Management'!R16</f>
        <v>M</v>
      </c>
      <c r="I329" s="38" t="str">
        <f>'RB · Product Management'!V16</f>
        <v>L</v>
      </c>
      <c r="J329" s="38" t="str">
        <f>'RB · Product Management'!Z16</f>
        <v>L</v>
      </c>
      <c r="K329" s="38" t="str">
        <f>'RB · Product Management'!AD16</f>
        <v>L</v>
      </c>
    </row>
    <row r="330">
      <c r="A330" s="53" t="inlineStr">
        <is>
          <t>Product Management|B3|B-IC</t>
        </is>
      </c>
      <c r="B330" s="53" t="inlineStr">
        <is>
          <t>Product Management</t>
        </is>
      </c>
      <c r="C330" s="53" t="inlineStr">
        <is>
          <t>B3</t>
        </is>
      </c>
      <c r="D330" s="53" t="inlineStr">
        <is>
          <t>Band B · Specialist / POD Lead</t>
        </is>
      </c>
      <c r="E330" s="38" t="str">
        <f>'RB · Product Management'!F17</f>
        <v>H</v>
      </c>
      <c r="F330" s="38" t="str">
        <f>'RB · Product Management'!J17</f>
        <v>M</v>
      </c>
      <c r="G330" s="38" t="str">
        <f>'RB · Product Management'!N17</f>
        <v>M</v>
      </c>
      <c r="H330" s="38" t="str">
        <f>'RB · Product Management'!R17</f>
        <v>L</v>
      </c>
      <c r="I330" s="38" t="str">
        <f>'RB · Product Management'!V17</f>
        <v>L</v>
      </c>
      <c r="J330" s="38" t="str">
        <f>'RB · Product Management'!Z17</f>
        <v>L</v>
      </c>
      <c r="K330" s="38" t="str">
        <f>'RB · Product Management'!AD17</f>
        <v>L</v>
      </c>
    </row>
    <row r="331">
      <c r="A331" s="53" t="inlineStr">
        <is>
          <t>Product Management|B2|B-M</t>
        </is>
      </c>
      <c r="B331" s="53" t="inlineStr">
        <is>
          <t>Product Management</t>
        </is>
      </c>
      <c r="C331" s="53" t="inlineStr">
        <is>
          <t>B2</t>
        </is>
      </c>
      <c r="D331" s="53" t="inlineStr">
        <is>
          <t>Band B · People Manager</t>
        </is>
      </c>
      <c r="E331" s="38" t="str">
        <f>'RB · Product Management'!F18</f>
        <v>H</v>
      </c>
      <c r="F331" s="38" t="str">
        <f>'RB · Product Management'!J18</f>
        <v>M</v>
      </c>
      <c r="G331" s="38" t="str">
        <f>'RB · Product Management'!N18</f>
        <v>M</v>
      </c>
      <c r="H331" s="38" t="str">
        <f>'RB · Product Management'!R18</f>
        <v>M</v>
      </c>
      <c r="I331" s="38" t="str">
        <f>'RB · Product Management'!V18</f>
        <v>L</v>
      </c>
      <c r="J331" s="38" t="str">
        <f>'RB · Product Management'!Z18</f>
        <v>L</v>
      </c>
      <c r="K331" s="38" t="str">
        <f>'RB · Product Management'!AD18</f>
        <v>L</v>
      </c>
    </row>
    <row r="332">
      <c r="A332" s="53" t="inlineStr">
        <is>
          <t>Product Management|B2|B-IC</t>
        </is>
      </c>
      <c r="B332" s="53" t="inlineStr">
        <is>
          <t>Product Management</t>
        </is>
      </c>
      <c r="C332" s="53" t="inlineStr">
        <is>
          <t>B2</t>
        </is>
      </c>
      <c r="D332" s="53" t="inlineStr">
        <is>
          <t>Band B · Specialist / POD Lead</t>
        </is>
      </c>
      <c r="E332" s="38" t="str">
        <f>'RB · Product Management'!F19</f>
        <v>H</v>
      </c>
      <c r="F332" s="38" t="str">
        <f>'RB · Product Management'!J19</f>
        <v>M</v>
      </c>
      <c r="G332" s="38" t="str">
        <f>'RB · Product Management'!N19</f>
        <v>M</v>
      </c>
      <c r="H332" s="38" t="str">
        <f>'RB · Product Management'!R19</f>
        <v>L</v>
      </c>
      <c r="I332" s="38" t="str">
        <f>'RB · Product Management'!V19</f>
        <v>L</v>
      </c>
      <c r="J332" s="38" t="str">
        <f>'RB · Product Management'!Z19</f>
        <v>L</v>
      </c>
      <c r="K332" s="38" t="str">
        <f>'RB · Product Management'!AD19</f>
        <v>L</v>
      </c>
    </row>
    <row r="333">
      <c r="A333" s="53" t="inlineStr">
        <is>
          <t>Product Management|B1|B-M</t>
        </is>
      </c>
      <c r="B333" s="53" t="inlineStr">
        <is>
          <t>Product Management</t>
        </is>
      </c>
      <c r="C333" s="53" t="inlineStr">
        <is>
          <t>B1</t>
        </is>
      </c>
      <c r="D333" s="53" t="inlineStr">
        <is>
          <t>Band B · People Manager</t>
        </is>
      </c>
      <c r="E333" s="38" t="str">
        <f>'RB · Product Management'!F20</f>
        <v>H</v>
      </c>
      <c r="F333" s="38" t="str">
        <f>'RB · Product Management'!J20</f>
        <v>M</v>
      </c>
      <c r="G333" s="38" t="str">
        <f>'RB · Product Management'!N20</f>
        <v>M</v>
      </c>
      <c r="H333" s="38" t="str">
        <f>'RB · Product Management'!R20</f>
        <v>M</v>
      </c>
      <c r="I333" s="38" t="str">
        <f>'RB · Product Management'!V20</f>
        <v>L</v>
      </c>
      <c r="J333" s="38" t="str">
        <f>'RB · Product Management'!Z20</f>
        <v>L</v>
      </c>
      <c r="K333" s="38" t="str">
        <f>'RB · Product Management'!AD20</f>
        <v>L</v>
      </c>
    </row>
    <row r="334">
      <c r="A334" s="53" t="inlineStr">
        <is>
          <t>Product Management|B1|B-IC</t>
        </is>
      </c>
      <c r="B334" s="53" t="inlineStr">
        <is>
          <t>Product Management</t>
        </is>
      </c>
      <c r="C334" s="53" t="inlineStr">
        <is>
          <t>B1</t>
        </is>
      </c>
      <c r="D334" s="53" t="inlineStr">
        <is>
          <t>Band B · Specialist / POD Lead</t>
        </is>
      </c>
      <c r="E334" s="38" t="str">
        <f>'RB · Product Management'!F21</f>
        <v>H</v>
      </c>
      <c r="F334" s="38" t="str">
        <f>'RB · Product Management'!J21</f>
        <v>M</v>
      </c>
      <c r="G334" s="38" t="str">
        <f>'RB · Product Management'!N21</f>
        <v>M</v>
      </c>
      <c r="H334" s="38" t="str">
        <f>'RB · Product Management'!R21</f>
        <v>L</v>
      </c>
      <c r="I334" s="38" t="str">
        <f>'RB · Product Management'!V21</f>
        <v>L</v>
      </c>
      <c r="J334" s="38" t="str">
        <f>'RB · Product Management'!Z21</f>
        <v>L</v>
      </c>
      <c r="K334" s="38" t="str">
        <f>'RB · Product Management'!AD21</f>
        <v>L</v>
      </c>
    </row>
    <row r="335">
      <c r="A335" s="53" t="inlineStr">
        <is>
          <t>Product Management|A3|A</t>
        </is>
      </c>
      <c r="B335" s="53" t="inlineStr">
        <is>
          <t>Product Management</t>
        </is>
      </c>
      <c r="C335" s="53" t="inlineStr">
        <is>
          <t>A3</t>
        </is>
      </c>
      <c r="D335" s="53" t="inlineStr">
        <is>
          <t>Band A · all tracks</t>
        </is>
      </c>
      <c r="E335" s="38" t="str">
        <f>'RB · Product Management'!F22</f>
        <v>H</v>
      </c>
      <c r="F335" s="38" t="str">
        <f>'RB · Product Management'!J22</f>
        <v>M</v>
      </c>
      <c r="G335" s="38" t="str">
        <f>'RB · Product Management'!N22</f>
        <v>M</v>
      </c>
      <c r="H335" s="38" t="str">
        <f>'RB · Product Management'!R22</f>
        <v>L</v>
      </c>
      <c r="I335" s="38" t="str">
        <f>'RB · Product Management'!V22</f>
        <v>L</v>
      </c>
      <c r="J335" s="38" t="str">
        <f>'RB · Product Management'!Z22</f>
        <v>L</v>
      </c>
      <c r="K335" s="38" t="str">
        <f>'RB · Product Management'!AD22</f>
        <v>L</v>
      </c>
    </row>
    <row r="336">
      <c r="A336" s="53" t="inlineStr">
        <is>
          <t>Product Management|A2|A</t>
        </is>
      </c>
      <c r="B336" s="53" t="inlineStr">
        <is>
          <t>Product Management</t>
        </is>
      </c>
      <c r="C336" s="53" t="inlineStr">
        <is>
          <t>A2</t>
        </is>
      </c>
      <c r="D336" s="53" t="inlineStr">
        <is>
          <t>Band A · all tracks</t>
        </is>
      </c>
      <c r="E336" s="38" t="str">
        <f>'RB · Product Management'!F23</f>
        <v>H</v>
      </c>
      <c r="F336" s="38" t="str">
        <f>'RB · Product Management'!J23</f>
        <v>M</v>
      </c>
      <c r="G336" s="38" t="str">
        <f>'RB · Product Management'!N23</f>
        <v>M</v>
      </c>
      <c r="H336" s="38" t="str">
        <f>'RB · Product Management'!R23</f>
        <v>L</v>
      </c>
      <c r="I336" s="38" t="str">
        <f>'RB · Product Management'!V23</f>
        <v>L</v>
      </c>
      <c r="J336" s="38" t="str">
        <f>'RB · Product Management'!Z23</f>
        <v>L</v>
      </c>
      <c r="K336" s="38" t="str">
        <f>'RB · Product Management'!AD23</f>
        <v>L</v>
      </c>
    </row>
    <row r="337">
      <c r="A337" s="53" t="inlineStr">
        <is>
          <t>Product Management|A1|A</t>
        </is>
      </c>
      <c r="B337" s="53" t="inlineStr">
        <is>
          <t>Product Management</t>
        </is>
      </c>
      <c r="C337" s="53" t="inlineStr">
        <is>
          <t>A1</t>
        </is>
      </c>
      <c r="D337" s="53" t="inlineStr">
        <is>
          <t>Band A · all tracks</t>
        </is>
      </c>
      <c r="E337" s="38" t="str">
        <f>'RB · Product Management'!F24</f>
        <v>H</v>
      </c>
      <c r="F337" s="38" t="str">
        <f>'RB · Product Management'!J24</f>
        <v>M</v>
      </c>
      <c r="G337" s="38" t="str">
        <f>'RB · Product Management'!N24</f>
        <v>M</v>
      </c>
      <c r="H337" s="38" t="str">
        <f>'RB · Product Management'!R24</f>
        <v>L</v>
      </c>
      <c r="I337" s="38" t="str">
        <f>'RB · Product Management'!V24</f>
        <v>L</v>
      </c>
      <c r="J337" s="38" t="str">
        <f>'RB · Product Management'!Z24</f>
        <v>L</v>
      </c>
      <c r="K337" s="38" t="str">
        <f>'RB · Product Management'!AD24</f>
        <v>L</v>
      </c>
    </row>
    <row r="338">
      <c r="A338" s="53" t="inlineStr">
        <is>
          <t>Project &amp; Program Management|E2|DE</t>
        </is>
      </c>
      <c r="B338" s="53" t="inlineStr">
        <is>
          <t>Project &amp; Program Management</t>
        </is>
      </c>
      <c r="C338" s="53" t="inlineStr">
        <is>
          <t>E2</t>
        </is>
      </c>
      <c r="D338" s="53" t="inlineStr">
        <is>
          <t>Bands D–E · Leadership</t>
        </is>
      </c>
      <c r="E338" s="38" t="str">
        <f>'RB · Project &amp; Program Manageme'!F6</f>
        <v>H</v>
      </c>
      <c r="F338" s="38" t="str">
        <f>'RB · Project &amp; Program Manageme'!J6</f>
        <v>M</v>
      </c>
      <c r="G338" s="38" t="str">
        <f>'RB · Project &amp; Program Manageme'!N6</f>
        <v>M</v>
      </c>
      <c r="H338" s="38" t="str">
        <f>'RB · Project &amp; Program Manageme'!R6</f>
        <v>M</v>
      </c>
      <c r="I338" s="38" t="str">
        <f>'RB · Project &amp; Program Manageme'!V6</f>
        <v>L</v>
      </c>
      <c r="J338" s="38" t="str">
        <f>'RB · Project &amp; Program Manageme'!Z6</f>
        <v>L</v>
      </c>
      <c r="K338" s="38" t="str">
        <f>'RB · Project &amp; Program Manageme'!AD6</f>
        <v>L</v>
      </c>
    </row>
    <row r="339">
      <c r="A339" s="53" t="inlineStr">
        <is>
          <t>Project &amp; Program Management|E1|DE</t>
        </is>
      </c>
      <c r="B339" s="53" t="inlineStr">
        <is>
          <t>Project &amp; Program Management</t>
        </is>
      </c>
      <c r="C339" s="53" t="inlineStr">
        <is>
          <t>E1</t>
        </is>
      </c>
      <c r="D339" s="53" t="inlineStr">
        <is>
          <t>Bands D–E · Leadership</t>
        </is>
      </c>
      <c r="E339" s="38" t="str">
        <f>'RB · Project &amp; Program Manageme'!F7</f>
        <v>H</v>
      </c>
      <c r="F339" s="38" t="str">
        <f>'RB · Project &amp; Program Manageme'!J7</f>
        <v>M</v>
      </c>
      <c r="G339" s="38" t="str">
        <f>'RB · Project &amp; Program Manageme'!N7</f>
        <v>M</v>
      </c>
      <c r="H339" s="38" t="str">
        <f>'RB · Project &amp; Program Manageme'!R7</f>
        <v>M</v>
      </c>
      <c r="I339" s="38" t="str">
        <f>'RB · Project &amp; Program Manageme'!V7</f>
        <v>L</v>
      </c>
      <c r="J339" s="38" t="str">
        <f>'RB · Project &amp; Program Manageme'!Z7</f>
        <v>L</v>
      </c>
      <c r="K339" s="38" t="str">
        <f>'RB · Project &amp; Program Manageme'!AD7</f>
        <v>L</v>
      </c>
    </row>
    <row r="340">
      <c r="A340" s="53" t="inlineStr">
        <is>
          <t>Project &amp; Program Management|D2|DE</t>
        </is>
      </c>
      <c r="B340" s="53" t="inlineStr">
        <is>
          <t>Project &amp; Program Management</t>
        </is>
      </c>
      <c r="C340" s="53" t="inlineStr">
        <is>
          <t>D2</t>
        </is>
      </c>
      <c r="D340" s="53" t="inlineStr">
        <is>
          <t>Bands D–E · Leadership</t>
        </is>
      </c>
      <c r="E340" s="38" t="str">
        <f>'RB · Project &amp; Program Manageme'!F8</f>
        <v>H</v>
      </c>
      <c r="F340" s="38" t="str">
        <f>'RB · Project &amp; Program Manageme'!J8</f>
        <v>M</v>
      </c>
      <c r="G340" s="38" t="str">
        <f>'RB · Project &amp; Program Manageme'!N8</f>
        <v>M</v>
      </c>
      <c r="H340" s="38" t="str">
        <f>'RB · Project &amp; Program Manageme'!R8</f>
        <v>M</v>
      </c>
      <c r="I340" s="38" t="str">
        <f>'RB · Project &amp; Program Manageme'!V8</f>
        <v>L</v>
      </c>
      <c r="J340" s="38" t="str">
        <f>'RB · Project &amp; Program Manageme'!Z8</f>
        <v>L</v>
      </c>
      <c r="K340" s="38" t="str">
        <f>'RB · Project &amp; Program Manageme'!AD8</f>
        <v>L</v>
      </c>
    </row>
    <row r="341">
      <c r="A341" s="53" t="inlineStr">
        <is>
          <t>Project &amp; Program Management|D1|DE</t>
        </is>
      </c>
      <c r="B341" s="53" t="inlineStr">
        <is>
          <t>Project &amp; Program Management</t>
        </is>
      </c>
      <c r="C341" s="53" t="inlineStr">
        <is>
          <t>D1</t>
        </is>
      </c>
      <c r="D341" s="53" t="inlineStr">
        <is>
          <t>Bands D–E · Leadership</t>
        </is>
      </c>
      <c r="E341" s="38" t="str">
        <f>'RB · Project &amp; Program Manageme'!F9</f>
        <v>H</v>
      </c>
      <c r="F341" s="38" t="str">
        <f>'RB · Project &amp; Program Manageme'!J9</f>
        <v>M</v>
      </c>
      <c r="G341" s="38" t="str">
        <f>'RB · Project &amp; Program Manageme'!N9</f>
        <v>M</v>
      </c>
      <c r="H341" s="38" t="str">
        <f>'RB · Project &amp; Program Manageme'!R9</f>
        <v>M</v>
      </c>
      <c r="I341" s="38" t="str">
        <f>'RB · Project &amp; Program Manageme'!V9</f>
        <v>L</v>
      </c>
      <c r="J341" s="38" t="str">
        <f>'RB · Project &amp; Program Manageme'!Z9</f>
        <v>L</v>
      </c>
      <c r="K341" s="38" t="str">
        <f>'RB · Project &amp; Program Manageme'!AD9</f>
        <v>L</v>
      </c>
    </row>
    <row r="342">
      <c r="A342" s="53" t="inlineStr">
        <is>
          <t>Project &amp; Program Management|C+|C+</t>
        </is>
      </c>
      <c r="B342" s="53" t="inlineStr">
        <is>
          <t>Project &amp; Program Management</t>
        </is>
      </c>
      <c r="C342" s="53" t="inlineStr">
        <is>
          <t>C+</t>
        </is>
      </c>
      <c r="D342" s="53" t="inlineStr">
        <is>
          <t>C+ · Player-Coach</t>
        </is>
      </c>
      <c r="E342" s="38" t="str">
        <f>'RB · Project &amp; Program Manageme'!F10</f>
        <v>H</v>
      </c>
      <c r="F342" s="38" t="str">
        <f>'RB · Project &amp; Program Manageme'!J10</f>
        <v>M</v>
      </c>
      <c r="G342" s="38" t="str">
        <f>'RB · Project &amp; Program Manageme'!N10</f>
        <v>M</v>
      </c>
      <c r="H342" s="38" t="str">
        <f>'RB · Project &amp; Program Manageme'!R10</f>
        <v>M</v>
      </c>
      <c r="I342" s="38" t="str">
        <f>'RB · Project &amp; Program Manageme'!V10</f>
        <v>L</v>
      </c>
      <c r="J342" s="38" t="str">
        <f>'RB · Project &amp; Program Manageme'!Z10</f>
        <v>L</v>
      </c>
      <c r="K342" s="38" t="str">
        <f>'RB · Project &amp; Program Manageme'!AD10</f>
        <v>L</v>
      </c>
    </row>
    <row r="343">
      <c r="A343" s="53" t="inlineStr">
        <is>
          <t>Project &amp; Program Management|C2|C-M</t>
        </is>
      </c>
      <c r="B343" s="53" t="inlineStr">
        <is>
          <t>Project &amp; Program Management</t>
        </is>
      </c>
      <c r="C343" s="53" t="inlineStr">
        <is>
          <t>C2</t>
        </is>
      </c>
      <c r="D343" s="53" t="inlineStr">
        <is>
          <t>Band C · Head / manager</t>
        </is>
      </c>
      <c r="E343" s="38" t="str">
        <f>'RB · Project &amp; Program Manageme'!F11</f>
        <v>H</v>
      </c>
      <c r="F343" s="38" t="str">
        <f>'RB · Project &amp; Program Manageme'!J11</f>
        <v>M</v>
      </c>
      <c r="G343" s="38" t="str">
        <f>'RB · Project &amp; Program Manageme'!N11</f>
        <v>L</v>
      </c>
      <c r="H343" s="38" t="str">
        <f>'RB · Project &amp; Program Manageme'!R11</f>
        <v>M</v>
      </c>
      <c r="I343" s="38" t="str">
        <f>'RB · Project &amp; Program Manageme'!V11</f>
        <v>L</v>
      </c>
      <c r="J343" s="38" t="str">
        <f>'RB · Project &amp; Program Manageme'!Z11</f>
        <v>L</v>
      </c>
      <c r="K343" s="38" t="str">
        <f>'RB · Project &amp; Program Manageme'!AD11</f>
        <v>L</v>
      </c>
    </row>
    <row r="344">
      <c r="A344" s="53" t="inlineStr">
        <is>
          <t>Project &amp; Program Management|C2|C-IC</t>
        </is>
      </c>
      <c r="B344" s="53" t="inlineStr">
        <is>
          <t>Project &amp; Program Management</t>
        </is>
      </c>
      <c r="C344" s="53" t="inlineStr">
        <is>
          <t>C2</t>
        </is>
      </c>
      <c r="D344" s="53" t="inlineStr">
        <is>
          <t>Band C · Principal specialist</t>
        </is>
      </c>
      <c r="E344" s="38" t="str">
        <f>'RB · Project &amp; Program Manageme'!F12</f>
        <v>H</v>
      </c>
      <c r="F344" s="38" t="str">
        <f>'RB · Project &amp; Program Manageme'!J12</f>
        <v>M</v>
      </c>
      <c r="G344" s="38" t="str">
        <f>'RB · Project &amp; Program Manageme'!N12</f>
        <v>L</v>
      </c>
      <c r="H344" s="38" t="str">
        <f>'RB · Project &amp; Program Manageme'!R12</f>
        <v>L</v>
      </c>
      <c r="I344" s="38" t="str">
        <f>'RB · Project &amp; Program Manageme'!V12</f>
        <v>L</v>
      </c>
      <c r="J344" s="38" t="str">
        <f>'RB · Project &amp; Program Manageme'!Z12</f>
        <v>L</v>
      </c>
      <c r="K344" s="38" t="str">
        <f>'RB · Project &amp; Program Manageme'!AD12</f>
        <v>L</v>
      </c>
    </row>
    <row r="345">
      <c r="A345" s="53" t="inlineStr">
        <is>
          <t>Project &amp; Program Management|C1|C-M</t>
        </is>
      </c>
      <c r="B345" s="53" t="inlineStr">
        <is>
          <t>Project &amp; Program Management</t>
        </is>
      </c>
      <c r="C345" s="53" t="inlineStr">
        <is>
          <t>C1</t>
        </is>
      </c>
      <c r="D345" s="53" t="inlineStr">
        <is>
          <t>Band C · Head / manager</t>
        </is>
      </c>
      <c r="E345" s="38" t="str">
        <f>'RB · Project &amp; Program Manageme'!F13</f>
        <v>H</v>
      </c>
      <c r="F345" s="38" t="str">
        <f>'RB · Project &amp; Program Manageme'!J13</f>
        <v>M</v>
      </c>
      <c r="G345" s="38" t="str">
        <f>'RB · Project &amp; Program Manageme'!N13</f>
        <v>L</v>
      </c>
      <c r="H345" s="38" t="str">
        <f>'RB · Project &amp; Program Manageme'!R13</f>
        <v>M</v>
      </c>
      <c r="I345" s="38" t="str">
        <f>'RB · Project &amp; Program Manageme'!V13</f>
        <v>L</v>
      </c>
      <c r="J345" s="38" t="str">
        <f>'RB · Project &amp; Program Manageme'!Z13</f>
        <v>L</v>
      </c>
      <c r="K345" s="38" t="str">
        <f>'RB · Project &amp; Program Manageme'!AD13</f>
        <v>L</v>
      </c>
    </row>
    <row r="346">
      <c r="A346" s="53" t="inlineStr">
        <is>
          <t>Project &amp; Program Management|C1|C-IC</t>
        </is>
      </c>
      <c r="B346" s="53" t="inlineStr">
        <is>
          <t>Project &amp; Program Management</t>
        </is>
      </c>
      <c r="C346" s="53" t="inlineStr">
        <is>
          <t>C1</t>
        </is>
      </c>
      <c r="D346" s="53" t="inlineStr">
        <is>
          <t>Band C · Principal specialist</t>
        </is>
      </c>
      <c r="E346" s="38" t="str">
        <f>'RB · Project &amp; Program Manageme'!F14</f>
        <v>H</v>
      </c>
      <c r="F346" s="38" t="str">
        <f>'RB · Project &amp; Program Manageme'!J14</f>
        <v>M</v>
      </c>
      <c r="G346" s="38" t="str">
        <f>'RB · Project &amp; Program Manageme'!N14</f>
        <v>L</v>
      </c>
      <c r="H346" s="38" t="str">
        <f>'RB · Project &amp; Program Manageme'!R14</f>
        <v>L</v>
      </c>
      <c r="I346" s="38" t="str">
        <f>'RB · Project &amp; Program Manageme'!V14</f>
        <v>L</v>
      </c>
      <c r="J346" s="38" t="str">
        <f>'RB · Project &amp; Program Manageme'!Z14</f>
        <v>L</v>
      </c>
      <c r="K346" s="38" t="str">
        <f>'RB · Project &amp; Program Manageme'!AD14</f>
        <v>L</v>
      </c>
    </row>
    <row r="347">
      <c r="A347" s="53" t="inlineStr">
        <is>
          <t>Project &amp; Program Management|B+|B+</t>
        </is>
      </c>
      <c r="B347" s="53" t="inlineStr">
        <is>
          <t>Project &amp; Program Management</t>
        </is>
      </c>
      <c r="C347" s="53" t="inlineStr">
        <is>
          <t>B+</t>
        </is>
      </c>
      <c r="D347" s="53" t="inlineStr">
        <is>
          <t>B+ · Player-Coach</t>
        </is>
      </c>
      <c r="E347" s="38" t="str">
        <f>'RB · Project &amp; Program Manageme'!F15</f>
        <v>H</v>
      </c>
      <c r="F347" s="38" t="str">
        <f>'RB · Project &amp; Program Manageme'!J15</f>
        <v>M</v>
      </c>
      <c r="G347" s="38" t="str">
        <f>'RB · Project &amp; Program Manageme'!N15</f>
        <v>L</v>
      </c>
      <c r="H347" s="38" t="str">
        <f>'RB · Project &amp; Program Manageme'!R15</f>
        <v>M</v>
      </c>
      <c r="I347" s="38" t="str">
        <f>'RB · Project &amp; Program Manageme'!V15</f>
        <v>L</v>
      </c>
      <c r="J347" s="38" t="str">
        <f>'RB · Project &amp; Program Manageme'!Z15</f>
        <v>L</v>
      </c>
      <c r="K347" s="38" t="str">
        <f>'RB · Project &amp; Program Manageme'!AD15</f>
        <v>L</v>
      </c>
    </row>
    <row r="348">
      <c r="A348" s="53" t="inlineStr">
        <is>
          <t>Project &amp; Program Management|B3|B-M</t>
        </is>
      </c>
      <c r="B348" s="53" t="inlineStr">
        <is>
          <t>Project &amp; Program Management</t>
        </is>
      </c>
      <c r="C348" s="53" t="inlineStr">
        <is>
          <t>B3</t>
        </is>
      </c>
      <c r="D348" s="53" t="inlineStr">
        <is>
          <t>Band B · People Manager</t>
        </is>
      </c>
      <c r="E348" s="38" t="str">
        <f>'RB · Project &amp; Program Manageme'!F16</f>
        <v>H</v>
      </c>
      <c r="F348" s="38" t="str">
        <f>'RB · Project &amp; Program Manageme'!J16</f>
        <v>M</v>
      </c>
      <c r="G348" s="38" t="str">
        <f>'RB · Project &amp; Program Manageme'!N16</f>
        <v>L</v>
      </c>
      <c r="H348" s="38" t="str">
        <f>'RB · Project &amp; Program Manageme'!R16</f>
        <v>M</v>
      </c>
      <c r="I348" s="38" t="str">
        <f>'RB · Project &amp; Program Manageme'!V16</f>
        <v>L</v>
      </c>
      <c r="J348" s="38" t="str">
        <f>'RB · Project &amp; Program Manageme'!Z16</f>
        <v>L</v>
      </c>
      <c r="K348" s="38" t="str">
        <f>'RB · Project &amp; Program Manageme'!AD16</f>
        <v>L</v>
      </c>
    </row>
    <row r="349">
      <c r="A349" s="53" t="inlineStr">
        <is>
          <t>Project &amp; Program Management|B3|B-IC</t>
        </is>
      </c>
      <c r="B349" s="53" t="inlineStr">
        <is>
          <t>Project &amp; Program Management</t>
        </is>
      </c>
      <c r="C349" s="53" t="inlineStr">
        <is>
          <t>B3</t>
        </is>
      </c>
      <c r="D349" s="53" t="inlineStr">
        <is>
          <t>Band B · Specialist / POD Lead</t>
        </is>
      </c>
      <c r="E349" s="38" t="str">
        <f>'RB · Project &amp; Program Manageme'!F17</f>
        <v>H</v>
      </c>
      <c r="F349" s="38" t="str">
        <f>'RB · Project &amp; Program Manageme'!J17</f>
        <v>M</v>
      </c>
      <c r="G349" s="38" t="str">
        <f>'RB · Project &amp; Program Manageme'!N17</f>
        <v>L</v>
      </c>
      <c r="H349" s="38" t="str">
        <f>'RB · Project &amp; Program Manageme'!R17</f>
        <v>L</v>
      </c>
      <c r="I349" s="38" t="str">
        <f>'RB · Project &amp; Program Manageme'!V17</f>
        <v>L</v>
      </c>
      <c r="J349" s="38" t="str">
        <f>'RB · Project &amp; Program Manageme'!Z17</f>
        <v>L</v>
      </c>
      <c r="K349" s="38" t="str">
        <f>'RB · Project &amp; Program Manageme'!AD17</f>
        <v>L</v>
      </c>
    </row>
    <row r="350">
      <c r="A350" s="53" t="inlineStr">
        <is>
          <t>Project &amp; Program Management|B2|B-M</t>
        </is>
      </c>
      <c r="B350" s="53" t="inlineStr">
        <is>
          <t>Project &amp; Program Management</t>
        </is>
      </c>
      <c r="C350" s="53" t="inlineStr">
        <is>
          <t>B2</t>
        </is>
      </c>
      <c r="D350" s="53" t="inlineStr">
        <is>
          <t>Band B · People Manager</t>
        </is>
      </c>
      <c r="E350" s="38" t="str">
        <f>'RB · Project &amp; Program Manageme'!F18</f>
        <v>H</v>
      </c>
      <c r="F350" s="38" t="str">
        <f>'RB · Project &amp; Program Manageme'!J18</f>
        <v>M</v>
      </c>
      <c r="G350" s="38" t="str">
        <f>'RB · Project &amp; Program Manageme'!N18</f>
        <v>L</v>
      </c>
      <c r="H350" s="38" t="str">
        <f>'RB · Project &amp; Program Manageme'!R18</f>
        <v>M</v>
      </c>
      <c r="I350" s="38" t="str">
        <f>'RB · Project &amp; Program Manageme'!V18</f>
        <v>L</v>
      </c>
      <c r="J350" s="38" t="str">
        <f>'RB · Project &amp; Program Manageme'!Z18</f>
        <v>L</v>
      </c>
      <c r="K350" s="38" t="str">
        <f>'RB · Project &amp; Program Manageme'!AD18</f>
        <v>L</v>
      </c>
    </row>
    <row r="351">
      <c r="A351" s="53" t="inlineStr">
        <is>
          <t>Project &amp; Program Management|B2|B-IC</t>
        </is>
      </c>
      <c r="B351" s="53" t="inlineStr">
        <is>
          <t>Project &amp; Program Management</t>
        </is>
      </c>
      <c r="C351" s="53" t="inlineStr">
        <is>
          <t>B2</t>
        </is>
      </c>
      <c r="D351" s="53" t="inlineStr">
        <is>
          <t>Band B · Specialist / POD Lead</t>
        </is>
      </c>
      <c r="E351" s="38" t="str">
        <f>'RB · Project &amp; Program Manageme'!F19</f>
        <v>H</v>
      </c>
      <c r="F351" s="38" t="str">
        <f>'RB · Project &amp; Program Manageme'!J19</f>
        <v>M</v>
      </c>
      <c r="G351" s="38" t="str">
        <f>'RB · Project &amp; Program Manageme'!N19</f>
        <v>L</v>
      </c>
      <c r="H351" s="38" t="str">
        <f>'RB · Project &amp; Program Manageme'!R19</f>
        <v>L</v>
      </c>
      <c r="I351" s="38" t="str">
        <f>'RB · Project &amp; Program Manageme'!V19</f>
        <v>L</v>
      </c>
      <c r="J351" s="38" t="str">
        <f>'RB · Project &amp; Program Manageme'!Z19</f>
        <v>L</v>
      </c>
      <c r="K351" s="38" t="str">
        <f>'RB · Project &amp; Program Manageme'!AD19</f>
        <v>L</v>
      </c>
    </row>
    <row r="352">
      <c r="A352" s="53" t="inlineStr">
        <is>
          <t>Project &amp; Program Management|B1|B-M</t>
        </is>
      </c>
      <c r="B352" s="53" t="inlineStr">
        <is>
          <t>Project &amp; Program Management</t>
        </is>
      </c>
      <c r="C352" s="53" t="inlineStr">
        <is>
          <t>B1</t>
        </is>
      </c>
      <c r="D352" s="53" t="inlineStr">
        <is>
          <t>Band B · People Manager</t>
        </is>
      </c>
      <c r="E352" s="38" t="str">
        <f>'RB · Project &amp; Program Manageme'!F20</f>
        <v>H</v>
      </c>
      <c r="F352" s="38" t="str">
        <f>'RB · Project &amp; Program Manageme'!J20</f>
        <v>M</v>
      </c>
      <c r="G352" s="38" t="str">
        <f>'RB · Project &amp; Program Manageme'!N20</f>
        <v>L</v>
      </c>
      <c r="H352" s="38" t="str">
        <f>'RB · Project &amp; Program Manageme'!R20</f>
        <v>M</v>
      </c>
      <c r="I352" s="38" t="str">
        <f>'RB · Project &amp; Program Manageme'!V20</f>
        <v>L</v>
      </c>
      <c r="J352" s="38" t="str">
        <f>'RB · Project &amp; Program Manageme'!Z20</f>
        <v>L</v>
      </c>
      <c r="K352" s="38" t="str">
        <f>'RB · Project &amp; Program Manageme'!AD20</f>
        <v>L</v>
      </c>
    </row>
    <row r="353">
      <c r="A353" s="53" t="inlineStr">
        <is>
          <t>Project &amp; Program Management|B1|B-IC</t>
        </is>
      </c>
      <c r="B353" s="53" t="inlineStr">
        <is>
          <t>Project &amp; Program Management</t>
        </is>
      </c>
      <c r="C353" s="53" t="inlineStr">
        <is>
          <t>B1</t>
        </is>
      </c>
      <c r="D353" s="53" t="inlineStr">
        <is>
          <t>Band B · Specialist / POD Lead</t>
        </is>
      </c>
      <c r="E353" s="38" t="str">
        <f>'RB · Project &amp; Program Manageme'!F21</f>
        <v>H</v>
      </c>
      <c r="F353" s="38" t="str">
        <f>'RB · Project &amp; Program Manageme'!J21</f>
        <v>M</v>
      </c>
      <c r="G353" s="38" t="str">
        <f>'RB · Project &amp; Program Manageme'!N21</f>
        <v>L</v>
      </c>
      <c r="H353" s="38" t="str">
        <f>'RB · Project &amp; Program Manageme'!R21</f>
        <v>L</v>
      </c>
      <c r="I353" s="38" t="str">
        <f>'RB · Project &amp; Program Manageme'!V21</f>
        <v>L</v>
      </c>
      <c r="J353" s="38" t="str">
        <f>'RB · Project &amp; Program Manageme'!Z21</f>
        <v>L</v>
      </c>
      <c r="K353" s="38" t="str">
        <f>'RB · Project &amp; Program Manageme'!AD21</f>
        <v>L</v>
      </c>
    </row>
    <row r="354">
      <c r="A354" s="53" t="inlineStr">
        <is>
          <t>Project &amp; Program Management|A3|A</t>
        </is>
      </c>
      <c r="B354" s="53" t="inlineStr">
        <is>
          <t>Project &amp; Program Management</t>
        </is>
      </c>
      <c r="C354" s="53" t="inlineStr">
        <is>
          <t>A3</t>
        </is>
      </c>
      <c r="D354" s="53" t="inlineStr">
        <is>
          <t>Band A · all tracks</t>
        </is>
      </c>
      <c r="E354" s="38" t="str">
        <f>'RB · Project &amp; Program Manageme'!F22</f>
        <v>H</v>
      </c>
      <c r="F354" s="38" t="str">
        <f>'RB · Project &amp; Program Manageme'!J22</f>
        <v>M</v>
      </c>
      <c r="G354" s="38" t="str">
        <f>'RB · Project &amp; Program Manageme'!N22</f>
        <v>L</v>
      </c>
      <c r="H354" s="38" t="str">
        <f>'RB · Project &amp; Program Manageme'!R22</f>
        <v>L</v>
      </c>
      <c r="I354" s="38" t="str">
        <f>'RB · Project &amp; Program Manageme'!V22</f>
        <v>L</v>
      </c>
      <c r="J354" s="38" t="str">
        <f>'RB · Project &amp; Program Manageme'!Z22</f>
        <v>L</v>
      </c>
      <c r="K354" s="38" t="str">
        <f>'RB · Project &amp; Program Manageme'!AD22</f>
        <v>L</v>
      </c>
    </row>
    <row r="355">
      <c r="A355" s="53" t="inlineStr">
        <is>
          <t>Project &amp; Program Management|A2|A</t>
        </is>
      </c>
      <c r="B355" s="53" t="inlineStr">
        <is>
          <t>Project &amp; Program Management</t>
        </is>
      </c>
      <c r="C355" s="53" t="inlineStr">
        <is>
          <t>A2</t>
        </is>
      </c>
      <c r="D355" s="53" t="inlineStr">
        <is>
          <t>Band A · all tracks</t>
        </is>
      </c>
      <c r="E355" s="38" t="str">
        <f>'RB · Project &amp; Program Manageme'!F23</f>
        <v>H</v>
      </c>
      <c r="F355" s="38" t="str">
        <f>'RB · Project &amp; Program Manageme'!J23</f>
        <v>M</v>
      </c>
      <c r="G355" s="38" t="str">
        <f>'RB · Project &amp; Program Manageme'!N23</f>
        <v>L</v>
      </c>
      <c r="H355" s="38" t="str">
        <f>'RB · Project &amp; Program Manageme'!R23</f>
        <v>L</v>
      </c>
      <c r="I355" s="38" t="str">
        <f>'RB · Project &amp; Program Manageme'!V23</f>
        <v>L</v>
      </c>
      <c r="J355" s="38" t="str">
        <f>'RB · Project &amp; Program Manageme'!Z23</f>
        <v>L</v>
      </c>
      <c r="K355" s="38" t="str">
        <f>'RB · Project &amp; Program Manageme'!AD23</f>
        <v>L</v>
      </c>
    </row>
    <row r="356">
      <c r="A356" s="53" t="inlineStr">
        <is>
          <t>Project &amp; Program Management|A1|A</t>
        </is>
      </c>
      <c r="B356" s="53" t="inlineStr">
        <is>
          <t>Project &amp; Program Management</t>
        </is>
      </c>
      <c r="C356" s="53" t="inlineStr">
        <is>
          <t>A1</t>
        </is>
      </c>
      <c r="D356" s="53" t="inlineStr">
        <is>
          <t>Band A · all tracks</t>
        </is>
      </c>
      <c r="E356" s="38" t="str">
        <f>'RB · Project &amp; Program Manageme'!F24</f>
        <v>H</v>
      </c>
      <c r="F356" s="38" t="str">
        <f>'RB · Project &amp; Program Manageme'!J24</f>
        <v>M</v>
      </c>
      <c r="G356" s="38" t="str">
        <f>'RB · Project &amp; Program Manageme'!N24</f>
        <v>L</v>
      </c>
      <c r="H356" s="38" t="str">
        <f>'RB · Project &amp; Program Manageme'!R24</f>
        <v>L</v>
      </c>
      <c r="I356" s="38" t="str">
        <f>'RB · Project &amp; Program Manageme'!V24</f>
        <v>L</v>
      </c>
      <c r="J356" s="38" t="str">
        <f>'RB · Project &amp; Program Manageme'!Z24</f>
        <v>L</v>
      </c>
      <c r="K356" s="38" t="str">
        <f>'RB · Project &amp; Program Manageme'!AD24</f>
        <v>L</v>
      </c>
    </row>
    <row r="357">
      <c r="A357" s="53" t="inlineStr">
        <is>
          <t>Quality Assurance|E2|DE</t>
        </is>
      </c>
      <c r="B357" s="53" t="inlineStr">
        <is>
          <t>Quality Assurance</t>
        </is>
      </c>
      <c r="C357" s="53" t="inlineStr">
        <is>
          <t>E2</t>
        </is>
      </c>
      <c r="D357" s="53" t="inlineStr">
        <is>
          <t>Bands D–E · Leadership</t>
        </is>
      </c>
      <c r="E357" s="38" t="str">
        <f>'RB · Quality Assurance'!F6</f>
        <v>H</v>
      </c>
      <c r="F357" s="38" t="str">
        <f>'RB · Quality Assurance'!J6</f>
        <v>M</v>
      </c>
      <c r="G357" s="38" t="str">
        <f>'RB · Quality Assurance'!N6</f>
        <v>M</v>
      </c>
      <c r="H357" s="38" t="str">
        <f>'RB · Quality Assurance'!R6</f>
        <v>M</v>
      </c>
      <c r="I357" s="38" t="str">
        <f>'RB · Quality Assurance'!V6</f>
        <v>L</v>
      </c>
      <c r="J357" s="38" t="str">
        <f>'RB · Quality Assurance'!Z6</f>
        <v>L</v>
      </c>
      <c r="K357" s="38" t="str">
        <f>'RB · Quality Assurance'!AD6</f>
        <v>L</v>
      </c>
    </row>
    <row r="358">
      <c r="A358" s="53" t="inlineStr">
        <is>
          <t>Quality Assurance|E1|DE</t>
        </is>
      </c>
      <c r="B358" s="53" t="inlineStr">
        <is>
          <t>Quality Assurance</t>
        </is>
      </c>
      <c r="C358" s="53" t="inlineStr">
        <is>
          <t>E1</t>
        </is>
      </c>
      <c r="D358" s="53" t="inlineStr">
        <is>
          <t>Bands D–E · Leadership</t>
        </is>
      </c>
      <c r="E358" s="38" t="str">
        <f>'RB · Quality Assurance'!F7</f>
        <v>H</v>
      </c>
      <c r="F358" s="38" t="str">
        <f>'RB · Quality Assurance'!J7</f>
        <v>M</v>
      </c>
      <c r="G358" s="38" t="str">
        <f>'RB · Quality Assurance'!N7</f>
        <v>M</v>
      </c>
      <c r="H358" s="38" t="str">
        <f>'RB · Quality Assurance'!R7</f>
        <v>M</v>
      </c>
      <c r="I358" s="38" t="str">
        <f>'RB · Quality Assurance'!V7</f>
        <v>L</v>
      </c>
      <c r="J358" s="38" t="str">
        <f>'RB · Quality Assurance'!Z7</f>
        <v>L</v>
      </c>
      <c r="K358" s="38" t="str">
        <f>'RB · Quality Assurance'!AD7</f>
        <v>L</v>
      </c>
    </row>
    <row r="359">
      <c r="A359" s="53" t="inlineStr">
        <is>
          <t>Quality Assurance|D2|DE</t>
        </is>
      </c>
      <c r="B359" s="53" t="inlineStr">
        <is>
          <t>Quality Assurance</t>
        </is>
      </c>
      <c r="C359" s="53" t="inlineStr">
        <is>
          <t>D2</t>
        </is>
      </c>
      <c r="D359" s="53" t="inlineStr">
        <is>
          <t>Bands D–E · Leadership</t>
        </is>
      </c>
      <c r="E359" s="38" t="str">
        <f>'RB · Quality Assurance'!F8</f>
        <v>H</v>
      </c>
      <c r="F359" s="38" t="str">
        <f>'RB · Quality Assurance'!J8</f>
        <v>M</v>
      </c>
      <c r="G359" s="38" t="str">
        <f>'RB · Quality Assurance'!N8</f>
        <v>M</v>
      </c>
      <c r="H359" s="38" t="str">
        <f>'RB · Quality Assurance'!R8</f>
        <v>M</v>
      </c>
      <c r="I359" s="38" t="str">
        <f>'RB · Quality Assurance'!V8</f>
        <v>L</v>
      </c>
      <c r="J359" s="38" t="str">
        <f>'RB · Quality Assurance'!Z8</f>
        <v>L</v>
      </c>
      <c r="K359" s="38" t="str">
        <f>'RB · Quality Assurance'!AD8</f>
        <v>L</v>
      </c>
    </row>
    <row r="360">
      <c r="A360" s="53" t="inlineStr">
        <is>
          <t>Quality Assurance|D1|DE</t>
        </is>
      </c>
      <c r="B360" s="53" t="inlineStr">
        <is>
          <t>Quality Assurance</t>
        </is>
      </c>
      <c r="C360" s="53" t="inlineStr">
        <is>
          <t>D1</t>
        </is>
      </c>
      <c r="D360" s="53" t="inlineStr">
        <is>
          <t>Bands D–E · Leadership</t>
        </is>
      </c>
      <c r="E360" s="38" t="str">
        <f>'RB · Quality Assurance'!F9</f>
        <v>H</v>
      </c>
      <c r="F360" s="38" t="str">
        <f>'RB · Quality Assurance'!J9</f>
        <v>M</v>
      </c>
      <c r="G360" s="38" t="str">
        <f>'RB · Quality Assurance'!N9</f>
        <v>M</v>
      </c>
      <c r="H360" s="38" t="str">
        <f>'RB · Quality Assurance'!R9</f>
        <v>M</v>
      </c>
      <c r="I360" s="38" t="str">
        <f>'RB · Quality Assurance'!V9</f>
        <v>L</v>
      </c>
      <c r="J360" s="38" t="str">
        <f>'RB · Quality Assurance'!Z9</f>
        <v>L</v>
      </c>
      <c r="K360" s="38" t="str">
        <f>'RB · Quality Assurance'!AD9</f>
        <v>L</v>
      </c>
    </row>
    <row r="361">
      <c r="A361" s="53" t="inlineStr">
        <is>
          <t>Quality Assurance|C+|C+</t>
        </is>
      </c>
      <c r="B361" s="53" t="inlineStr">
        <is>
          <t>Quality Assurance</t>
        </is>
      </c>
      <c r="C361" s="53" t="inlineStr">
        <is>
          <t>C+</t>
        </is>
      </c>
      <c r="D361" s="53" t="inlineStr">
        <is>
          <t>C+ · Player-Coach</t>
        </is>
      </c>
      <c r="E361" s="38" t="str">
        <f>'RB · Quality Assurance'!F10</f>
        <v>H</v>
      </c>
      <c r="F361" s="38" t="str">
        <f>'RB · Quality Assurance'!J10</f>
        <v>M</v>
      </c>
      <c r="G361" s="38" t="str">
        <f>'RB · Quality Assurance'!N10</f>
        <v>M</v>
      </c>
      <c r="H361" s="38" t="str">
        <f>'RB · Quality Assurance'!R10</f>
        <v>M</v>
      </c>
      <c r="I361" s="38" t="str">
        <f>'RB · Quality Assurance'!V10</f>
        <v>L</v>
      </c>
      <c r="J361" s="38" t="str">
        <f>'RB · Quality Assurance'!Z10</f>
        <v>L</v>
      </c>
      <c r="K361" s="38" t="str">
        <f>'RB · Quality Assurance'!AD10</f>
        <v>L</v>
      </c>
    </row>
    <row r="362">
      <c r="A362" s="53" t="inlineStr">
        <is>
          <t>Quality Assurance|C2|C-M</t>
        </is>
      </c>
      <c r="B362" s="53" t="inlineStr">
        <is>
          <t>Quality Assurance</t>
        </is>
      </c>
      <c r="C362" s="53" t="inlineStr">
        <is>
          <t>C2</t>
        </is>
      </c>
      <c r="D362" s="53" t="inlineStr">
        <is>
          <t>Band C · Head / manager</t>
        </is>
      </c>
      <c r="E362" s="38" t="str">
        <f>'RB · Quality Assurance'!F11</f>
        <v>H</v>
      </c>
      <c r="F362" s="38" t="str">
        <f>'RB · Quality Assurance'!J11</f>
        <v>M</v>
      </c>
      <c r="G362" s="38" t="str">
        <f>'RB · Quality Assurance'!N11</f>
        <v>L</v>
      </c>
      <c r="H362" s="38" t="str">
        <f>'RB · Quality Assurance'!R11</f>
        <v>M</v>
      </c>
      <c r="I362" s="38" t="str">
        <f>'RB · Quality Assurance'!V11</f>
        <v>L</v>
      </c>
      <c r="J362" s="38" t="str">
        <f>'RB · Quality Assurance'!Z11</f>
        <v>L</v>
      </c>
      <c r="K362" s="38" t="str">
        <f>'RB · Quality Assurance'!AD11</f>
        <v>L</v>
      </c>
    </row>
    <row r="363">
      <c r="A363" s="53" t="inlineStr">
        <is>
          <t>Quality Assurance|C2|C-IC</t>
        </is>
      </c>
      <c r="B363" s="53" t="inlineStr">
        <is>
          <t>Quality Assurance</t>
        </is>
      </c>
      <c r="C363" s="53" t="inlineStr">
        <is>
          <t>C2</t>
        </is>
      </c>
      <c r="D363" s="53" t="inlineStr">
        <is>
          <t>Band C · Principal specialist</t>
        </is>
      </c>
      <c r="E363" s="38" t="str">
        <f>'RB · Quality Assurance'!F12</f>
        <v>H</v>
      </c>
      <c r="F363" s="38" t="str">
        <f>'RB · Quality Assurance'!J12</f>
        <v>M</v>
      </c>
      <c r="G363" s="38" t="str">
        <f>'RB · Quality Assurance'!N12</f>
        <v>L</v>
      </c>
      <c r="H363" s="38" t="str">
        <f>'RB · Quality Assurance'!R12</f>
        <v>L</v>
      </c>
      <c r="I363" s="38" t="str">
        <f>'RB · Quality Assurance'!V12</f>
        <v>L</v>
      </c>
      <c r="J363" s="38" t="str">
        <f>'RB · Quality Assurance'!Z12</f>
        <v>L</v>
      </c>
      <c r="K363" s="38" t="str">
        <f>'RB · Quality Assurance'!AD12</f>
        <v>L</v>
      </c>
    </row>
    <row r="364">
      <c r="A364" s="53" t="inlineStr">
        <is>
          <t>Quality Assurance|C1|C-M</t>
        </is>
      </c>
      <c r="B364" s="53" t="inlineStr">
        <is>
          <t>Quality Assurance</t>
        </is>
      </c>
      <c r="C364" s="53" t="inlineStr">
        <is>
          <t>C1</t>
        </is>
      </c>
      <c r="D364" s="53" t="inlineStr">
        <is>
          <t>Band C · Head / manager</t>
        </is>
      </c>
      <c r="E364" s="38" t="str">
        <f>'RB · Quality Assurance'!F13</f>
        <v>H</v>
      </c>
      <c r="F364" s="38" t="str">
        <f>'RB · Quality Assurance'!J13</f>
        <v>M</v>
      </c>
      <c r="G364" s="38" t="str">
        <f>'RB · Quality Assurance'!N13</f>
        <v>L</v>
      </c>
      <c r="H364" s="38" t="str">
        <f>'RB · Quality Assurance'!R13</f>
        <v>M</v>
      </c>
      <c r="I364" s="38" t="str">
        <f>'RB · Quality Assurance'!V13</f>
        <v>L</v>
      </c>
      <c r="J364" s="38" t="str">
        <f>'RB · Quality Assurance'!Z13</f>
        <v>L</v>
      </c>
      <c r="K364" s="38" t="str">
        <f>'RB · Quality Assurance'!AD13</f>
        <v>L</v>
      </c>
    </row>
    <row r="365">
      <c r="A365" s="53" t="inlineStr">
        <is>
          <t>Quality Assurance|C1|C-IC</t>
        </is>
      </c>
      <c r="B365" s="53" t="inlineStr">
        <is>
          <t>Quality Assurance</t>
        </is>
      </c>
      <c r="C365" s="53" t="inlineStr">
        <is>
          <t>C1</t>
        </is>
      </c>
      <c r="D365" s="53" t="inlineStr">
        <is>
          <t>Band C · Principal specialist</t>
        </is>
      </c>
      <c r="E365" s="38" t="str">
        <f>'RB · Quality Assurance'!F14</f>
        <v>H</v>
      </c>
      <c r="F365" s="38" t="str">
        <f>'RB · Quality Assurance'!J14</f>
        <v>M</v>
      </c>
      <c r="G365" s="38" t="str">
        <f>'RB · Quality Assurance'!N14</f>
        <v>L</v>
      </c>
      <c r="H365" s="38" t="str">
        <f>'RB · Quality Assurance'!R14</f>
        <v>L</v>
      </c>
      <c r="I365" s="38" t="str">
        <f>'RB · Quality Assurance'!V14</f>
        <v>L</v>
      </c>
      <c r="J365" s="38" t="str">
        <f>'RB · Quality Assurance'!Z14</f>
        <v>L</v>
      </c>
      <c r="K365" s="38" t="str">
        <f>'RB · Quality Assurance'!AD14</f>
        <v>L</v>
      </c>
    </row>
    <row r="366">
      <c r="A366" s="53" t="inlineStr">
        <is>
          <t>Quality Assurance|B+|B+</t>
        </is>
      </c>
      <c r="B366" s="53" t="inlineStr">
        <is>
          <t>Quality Assurance</t>
        </is>
      </c>
      <c r="C366" s="53" t="inlineStr">
        <is>
          <t>B+</t>
        </is>
      </c>
      <c r="D366" s="53" t="inlineStr">
        <is>
          <t>B+ · Player-Coach</t>
        </is>
      </c>
      <c r="E366" s="38" t="str">
        <f>'RB · Quality Assurance'!F15</f>
        <v>H</v>
      </c>
      <c r="F366" s="38" t="str">
        <f>'RB · Quality Assurance'!J15</f>
        <v>M</v>
      </c>
      <c r="G366" s="38" t="str">
        <f>'RB · Quality Assurance'!N15</f>
        <v>L</v>
      </c>
      <c r="H366" s="38" t="str">
        <f>'RB · Quality Assurance'!R15</f>
        <v>M</v>
      </c>
      <c r="I366" s="38" t="str">
        <f>'RB · Quality Assurance'!V15</f>
        <v>L</v>
      </c>
      <c r="J366" s="38" t="str">
        <f>'RB · Quality Assurance'!Z15</f>
        <v>L</v>
      </c>
      <c r="K366" s="38" t="str">
        <f>'RB · Quality Assurance'!AD15</f>
        <v>L</v>
      </c>
    </row>
    <row r="367">
      <c r="A367" s="53" t="inlineStr">
        <is>
          <t>Quality Assurance|B3|B-M</t>
        </is>
      </c>
      <c r="B367" s="53" t="inlineStr">
        <is>
          <t>Quality Assurance</t>
        </is>
      </c>
      <c r="C367" s="53" t="inlineStr">
        <is>
          <t>B3</t>
        </is>
      </c>
      <c r="D367" s="53" t="inlineStr">
        <is>
          <t>Band B · People Manager</t>
        </is>
      </c>
      <c r="E367" s="38" t="str">
        <f>'RB · Quality Assurance'!F16</f>
        <v>H</v>
      </c>
      <c r="F367" s="38" t="str">
        <f>'RB · Quality Assurance'!J16</f>
        <v>M</v>
      </c>
      <c r="G367" s="38" t="str">
        <f>'RB · Quality Assurance'!N16</f>
        <v>L</v>
      </c>
      <c r="H367" s="38" t="str">
        <f>'RB · Quality Assurance'!R16</f>
        <v>M</v>
      </c>
      <c r="I367" s="38" t="str">
        <f>'RB · Quality Assurance'!V16</f>
        <v>L</v>
      </c>
      <c r="J367" s="38" t="str">
        <f>'RB · Quality Assurance'!Z16</f>
        <v>L</v>
      </c>
      <c r="K367" s="38" t="str">
        <f>'RB · Quality Assurance'!AD16</f>
        <v>L</v>
      </c>
    </row>
    <row r="368">
      <c r="A368" s="53" t="inlineStr">
        <is>
          <t>Quality Assurance|B3|B-IC</t>
        </is>
      </c>
      <c r="B368" s="53" t="inlineStr">
        <is>
          <t>Quality Assurance</t>
        </is>
      </c>
      <c r="C368" s="53" t="inlineStr">
        <is>
          <t>B3</t>
        </is>
      </c>
      <c r="D368" s="53" t="inlineStr">
        <is>
          <t>Band B · Specialist / POD Lead</t>
        </is>
      </c>
      <c r="E368" s="38" t="str">
        <f>'RB · Quality Assurance'!F17</f>
        <v>H</v>
      </c>
      <c r="F368" s="38" t="str">
        <f>'RB · Quality Assurance'!J17</f>
        <v>M</v>
      </c>
      <c r="G368" s="38" t="str">
        <f>'RB · Quality Assurance'!N17</f>
        <v>L</v>
      </c>
      <c r="H368" s="38" t="str">
        <f>'RB · Quality Assurance'!R17</f>
        <v>L</v>
      </c>
      <c r="I368" s="38" t="str">
        <f>'RB · Quality Assurance'!V17</f>
        <v>L</v>
      </c>
      <c r="J368" s="38" t="str">
        <f>'RB · Quality Assurance'!Z17</f>
        <v>L</v>
      </c>
      <c r="K368" s="38" t="str">
        <f>'RB · Quality Assurance'!AD17</f>
        <v>L</v>
      </c>
    </row>
    <row r="369">
      <c r="A369" s="53" t="inlineStr">
        <is>
          <t>Quality Assurance|B2|B-M</t>
        </is>
      </c>
      <c r="B369" s="53" t="inlineStr">
        <is>
          <t>Quality Assurance</t>
        </is>
      </c>
      <c r="C369" s="53" t="inlineStr">
        <is>
          <t>B2</t>
        </is>
      </c>
      <c r="D369" s="53" t="inlineStr">
        <is>
          <t>Band B · People Manager</t>
        </is>
      </c>
      <c r="E369" s="38" t="str">
        <f>'RB · Quality Assurance'!F18</f>
        <v>H</v>
      </c>
      <c r="F369" s="38" t="str">
        <f>'RB · Quality Assurance'!J18</f>
        <v>M</v>
      </c>
      <c r="G369" s="38" t="str">
        <f>'RB · Quality Assurance'!N18</f>
        <v>L</v>
      </c>
      <c r="H369" s="38" t="str">
        <f>'RB · Quality Assurance'!R18</f>
        <v>M</v>
      </c>
      <c r="I369" s="38" t="str">
        <f>'RB · Quality Assurance'!V18</f>
        <v>L</v>
      </c>
      <c r="J369" s="38" t="str">
        <f>'RB · Quality Assurance'!Z18</f>
        <v>L</v>
      </c>
      <c r="K369" s="38" t="str">
        <f>'RB · Quality Assurance'!AD18</f>
        <v>L</v>
      </c>
    </row>
    <row r="370">
      <c r="A370" s="53" t="inlineStr">
        <is>
          <t>Quality Assurance|B2|B-IC</t>
        </is>
      </c>
      <c r="B370" s="53" t="inlineStr">
        <is>
          <t>Quality Assurance</t>
        </is>
      </c>
      <c r="C370" s="53" t="inlineStr">
        <is>
          <t>B2</t>
        </is>
      </c>
      <c r="D370" s="53" t="inlineStr">
        <is>
          <t>Band B · Specialist / POD Lead</t>
        </is>
      </c>
      <c r="E370" s="38" t="str">
        <f>'RB · Quality Assurance'!F19</f>
        <v>H</v>
      </c>
      <c r="F370" s="38" t="str">
        <f>'RB · Quality Assurance'!J19</f>
        <v>M</v>
      </c>
      <c r="G370" s="38" t="str">
        <f>'RB · Quality Assurance'!N19</f>
        <v>L</v>
      </c>
      <c r="H370" s="38" t="str">
        <f>'RB · Quality Assurance'!R19</f>
        <v>L</v>
      </c>
      <c r="I370" s="38" t="str">
        <f>'RB · Quality Assurance'!V19</f>
        <v>L</v>
      </c>
      <c r="J370" s="38" t="str">
        <f>'RB · Quality Assurance'!Z19</f>
        <v>L</v>
      </c>
      <c r="K370" s="38" t="str">
        <f>'RB · Quality Assurance'!AD19</f>
        <v>L</v>
      </c>
    </row>
    <row r="371">
      <c r="A371" s="53" t="inlineStr">
        <is>
          <t>Quality Assurance|B1|B-M</t>
        </is>
      </c>
      <c r="B371" s="53" t="inlineStr">
        <is>
          <t>Quality Assurance</t>
        </is>
      </c>
      <c r="C371" s="53" t="inlineStr">
        <is>
          <t>B1</t>
        </is>
      </c>
      <c r="D371" s="53" t="inlineStr">
        <is>
          <t>Band B · People Manager</t>
        </is>
      </c>
      <c r="E371" s="38" t="str">
        <f>'RB · Quality Assurance'!F20</f>
        <v>H</v>
      </c>
      <c r="F371" s="38" t="str">
        <f>'RB · Quality Assurance'!J20</f>
        <v>M</v>
      </c>
      <c r="G371" s="38" t="str">
        <f>'RB · Quality Assurance'!N20</f>
        <v>L</v>
      </c>
      <c r="H371" s="38" t="str">
        <f>'RB · Quality Assurance'!R20</f>
        <v>M</v>
      </c>
      <c r="I371" s="38" t="str">
        <f>'RB · Quality Assurance'!V20</f>
        <v>L</v>
      </c>
      <c r="J371" s="38" t="str">
        <f>'RB · Quality Assurance'!Z20</f>
        <v>L</v>
      </c>
      <c r="K371" s="38" t="str">
        <f>'RB · Quality Assurance'!AD20</f>
        <v>L</v>
      </c>
    </row>
    <row r="372">
      <c r="A372" s="53" t="inlineStr">
        <is>
          <t>Quality Assurance|B1|B-IC</t>
        </is>
      </c>
      <c r="B372" s="53" t="inlineStr">
        <is>
          <t>Quality Assurance</t>
        </is>
      </c>
      <c r="C372" s="53" t="inlineStr">
        <is>
          <t>B1</t>
        </is>
      </c>
      <c r="D372" s="53" t="inlineStr">
        <is>
          <t>Band B · Specialist / POD Lead</t>
        </is>
      </c>
      <c r="E372" s="38" t="str">
        <f>'RB · Quality Assurance'!F21</f>
        <v>H</v>
      </c>
      <c r="F372" s="38" t="str">
        <f>'RB · Quality Assurance'!J21</f>
        <v>M</v>
      </c>
      <c r="G372" s="38" t="str">
        <f>'RB · Quality Assurance'!N21</f>
        <v>L</v>
      </c>
      <c r="H372" s="38" t="str">
        <f>'RB · Quality Assurance'!R21</f>
        <v>L</v>
      </c>
      <c r="I372" s="38" t="str">
        <f>'RB · Quality Assurance'!V21</f>
        <v>L</v>
      </c>
      <c r="J372" s="38" t="str">
        <f>'RB · Quality Assurance'!Z21</f>
        <v>L</v>
      </c>
      <c r="K372" s="38" t="str">
        <f>'RB · Quality Assurance'!AD21</f>
        <v>L</v>
      </c>
    </row>
    <row r="373">
      <c r="A373" s="53" t="inlineStr">
        <is>
          <t>Quality Assurance|A3|A</t>
        </is>
      </c>
      <c r="B373" s="53" t="inlineStr">
        <is>
          <t>Quality Assurance</t>
        </is>
      </c>
      <c r="C373" s="53" t="inlineStr">
        <is>
          <t>A3</t>
        </is>
      </c>
      <c r="D373" s="53" t="inlineStr">
        <is>
          <t>Band A · all tracks</t>
        </is>
      </c>
      <c r="E373" s="38" t="str">
        <f>'RB · Quality Assurance'!F22</f>
        <v>H</v>
      </c>
      <c r="F373" s="38" t="str">
        <f>'RB · Quality Assurance'!J22</f>
        <v>M</v>
      </c>
      <c r="G373" s="38" t="str">
        <f>'RB · Quality Assurance'!N22</f>
        <v>L</v>
      </c>
      <c r="H373" s="38" t="str">
        <f>'RB · Quality Assurance'!R22</f>
        <v>L</v>
      </c>
      <c r="I373" s="38" t="str">
        <f>'RB · Quality Assurance'!V22</f>
        <v>L</v>
      </c>
      <c r="J373" s="38" t="str">
        <f>'RB · Quality Assurance'!Z22</f>
        <v>L</v>
      </c>
      <c r="K373" s="38" t="str">
        <f>'RB · Quality Assurance'!AD22</f>
        <v>L</v>
      </c>
    </row>
    <row r="374">
      <c r="A374" s="53" t="inlineStr">
        <is>
          <t>Quality Assurance|A2|A</t>
        </is>
      </c>
      <c r="B374" s="53" t="inlineStr">
        <is>
          <t>Quality Assurance</t>
        </is>
      </c>
      <c r="C374" s="53" t="inlineStr">
        <is>
          <t>A2</t>
        </is>
      </c>
      <c r="D374" s="53" t="inlineStr">
        <is>
          <t>Band A · all tracks</t>
        </is>
      </c>
      <c r="E374" s="38" t="str">
        <f>'RB · Quality Assurance'!F23</f>
        <v>H</v>
      </c>
      <c r="F374" s="38" t="str">
        <f>'RB · Quality Assurance'!J23</f>
        <v>M</v>
      </c>
      <c r="G374" s="38" t="str">
        <f>'RB · Quality Assurance'!N23</f>
        <v>L</v>
      </c>
      <c r="H374" s="38" t="str">
        <f>'RB · Quality Assurance'!R23</f>
        <v>L</v>
      </c>
      <c r="I374" s="38" t="str">
        <f>'RB · Quality Assurance'!V23</f>
        <v>L</v>
      </c>
      <c r="J374" s="38" t="str">
        <f>'RB · Quality Assurance'!Z23</f>
        <v>L</v>
      </c>
      <c r="K374" s="38" t="str">
        <f>'RB · Quality Assurance'!AD23</f>
        <v>L</v>
      </c>
    </row>
    <row r="375">
      <c r="A375" s="53" t="inlineStr">
        <is>
          <t>Quality Assurance|A1|A</t>
        </is>
      </c>
      <c r="B375" s="53" t="inlineStr">
        <is>
          <t>Quality Assurance</t>
        </is>
      </c>
      <c r="C375" s="53" t="inlineStr">
        <is>
          <t>A1</t>
        </is>
      </c>
      <c r="D375" s="53" t="inlineStr">
        <is>
          <t>Band A · all tracks</t>
        </is>
      </c>
      <c r="E375" s="38" t="str">
        <f>'RB · Quality Assurance'!F24</f>
        <v>H</v>
      </c>
      <c r="F375" s="38" t="str">
        <f>'RB · Quality Assurance'!J24</f>
        <v>M</v>
      </c>
      <c r="G375" s="38" t="str">
        <f>'RB · Quality Assurance'!N24</f>
        <v>L</v>
      </c>
      <c r="H375" s="38" t="str">
        <f>'RB · Quality Assurance'!R24</f>
        <v>L</v>
      </c>
      <c r="I375" s="38" t="str">
        <f>'RB · Quality Assurance'!V24</f>
        <v>L</v>
      </c>
      <c r="J375" s="38" t="str">
        <f>'RB · Quality Assurance'!Z24</f>
        <v>L</v>
      </c>
      <c r="K375" s="38" t="str">
        <f>'RB · Quality Assurance'!AD24</f>
        <v>L</v>
      </c>
    </row>
    <row r="376">
      <c r="A376" s="53" t="inlineStr">
        <is>
          <t>Sales &amp; Business Development|E2|DE</t>
        </is>
      </c>
      <c r="B376" s="53" t="inlineStr">
        <is>
          <t>Sales &amp; Business Development</t>
        </is>
      </c>
      <c r="C376" s="53" t="inlineStr">
        <is>
          <t>E2</t>
        </is>
      </c>
      <c r="D376" s="53" t="inlineStr">
        <is>
          <t>Bands D–E · Leadership</t>
        </is>
      </c>
      <c r="E376" s="38" t="str">
        <f>'RB · Sales &amp; Business Developme'!F15</f>
        <v>H</v>
      </c>
      <c r="F376" s="38" t="str">
        <f>'RB · Sales &amp; Business Developme'!J15</f>
        <v>M</v>
      </c>
      <c r="G376" s="38" t="str">
        <f>'RB · Sales &amp; Business Developme'!N15</f>
        <v>M</v>
      </c>
      <c r="H376" s="38" t="str">
        <f>'RB · Sales &amp; Business Developme'!R15</f>
        <v>M</v>
      </c>
      <c r="I376" s="38" t="str">
        <f>'RB · Sales &amp; Business Developme'!V15</f>
        <v>L</v>
      </c>
      <c r="J376" s="38" t="str">
        <f>'RB · Sales &amp; Business Developme'!Z15</f>
        <v>L</v>
      </c>
      <c r="K376" s="38" t="str">
        <f>'RB · Sales &amp; Business Developme'!AD15</f>
        <v>L</v>
      </c>
    </row>
    <row r="377">
      <c r="A377" s="53" t="inlineStr">
        <is>
          <t>Sales &amp; Business Development|E1|DE</t>
        </is>
      </c>
      <c r="B377" s="53" t="inlineStr">
        <is>
          <t>Sales &amp; Business Development</t>
        </is>
      </c>
      <c r="C377" s="53" t="inlineStr">
        <is>
          <t>E1</t>
        </is>
      </c>
      <c r="D377" s="53" t="inlineStr">
        <is>
          <t>Bands D–E · Leadership</t>
        </is>
      </c>
      <c r="E377" s="38" t="str">
        <f>'RB · Sales &amp; Business Developme'!F16</f>
        <v>H</v>
      </c>
      <c r="F377" s="38" t="str">
        <f>'RB · Sales &amp; Business Developme'!J16</f>
        <v>M</v>
      </c>
      <c r="G377" s="38" t="str">
        <f>'RB · Sales &amp; Business Developme'!N16</f>
        <v>M</v>
      </c>
      <c r="H377" s="38" t="str">
        <f>'RB · Sales &amp; Business Developme'!R16</f>
        <v>M</v>
      </c>
      <c r="I377" s="38" t="str">
        <f>'RB · Sales &amp; Business Developme'!V16</f>
        <v>L</v>
      </c>
      <c r="J377" s="38" t="str">
        <f>'RB · Sales &amp; Business Developme'!Z16</f>
        <v>L</v>
      </c>
      <c r="K377" s="38" t="str">
        <f>'RB · Sales &amp; Business Developme'!AD16</f>
        <v>L</v>
      </c>
    </row>
    <row r="378">
      <c r="A378" s="53" t="inlineStr">
        <is>
          <t>Sales &amp; Business Development|D2|DE</t>
        </is>
      </c>
      <c r="B378" s="53" t="inlineStr">
        <is>
          <t>Sales &amp; Business Development</t>
        </is>
      </c>
      <c r="C378" s="53" t="inlineStr">
        <is>
          <t>D2</t>
        </is>
      </c>
      <c r="D378" s="53" t="inlineStr">
        <is>
          <t>Bands D–E · Leadership</t>
        </is>
      </c>
      <c r="E378" s="38" t="str">
        <f>'RB · Sales &amp; Business Developme'!F17</f>
        <v>H</v>
      </c>
      <c r="F378" s="38" t="str">
        <f>'RB · Sales &amp; Business Developme'!J17</f>
        <v>M</v>
      </c>
      <c r="G378" s="38" t="str">
        <f>'RB · Sales &amp; Business Developme'!N17</f>
        <v>M</v>
      </c>
      <c r="H378" s="38" t="str">
        <f>'RB · Sales &amp; Business Developme'!R17</f>
        <v>M</v>
      </c>
      <c r="I378" s="38" t="str">
        <f>'RB · Sales &amp; Business Developme'!V17</f>
        <v>L</v>
      </c>
      <c r="J378" s="38" t="str">
        <f>'RB · Sales &amp; Business Developme'!Z17</f>
        <v>L</v>
      </c>
      <c r="K378" s="38" t="str">
        <f>'RB · Sales &amp; Business Developme'!AD17</f>
        <v>L</v>
      </c>
    </row>
    <row r="379">
      <c r="A379" s="53" t="inlineStr">
        <is>
          <t>Sales &amp; Business Development|D1|DE</t>
        </is>
      </c>
      <c r="B379" s="53" t="inlineStr">
        <is>
          <t>Sales &amp; Business Development</t>
        </is>
      </c>
      <c r="C379" s="53" t="inlineStr">
        <is>
          <t>D1</t>
        </is>
      </c>
      <c r="D379" s="53" t="inlineStr">
        <is>
          <t>Bands D–E · Leadership</t>
        </is>
      </c>
      <c r="E379" s="38" t="str">
        <f>'RB · Sales &amp; Business Developme'!F18</f>
        <v>H</v>
      </c>
      <c r="F379" s="38" t="str">
        <f>'RB · Sales &amp; Business Developme'!J18</f>
        <v>M</v>
      </c>
      <c r="G379" s="38" t="str">
        <f>'RB · Sales &amp; Business Developme'!N18</f>
        <v>M</v>
      </c>
      <c r="H379" s="38" t="str">
        <f>'RB · Sales &amp; Business Developme'!R18</f>
        <v>M</v>
      </c>
      <c r="I379" s="38" t="str">
        <f>'RB · Sales &amp; Business Developme'!V18</f>
        <v>L</v>
      </c>
      <c r="J379" s="38" t="str">
        <f>'RB · Sales &amp; Business Developme'!Z18</f>
        <v>L</v>
      </c>
      <c r="K379" s="38" t="str">
        <f>'RB · Sales &amp; Business Developme'!AD18</f>
        <v>L</v>
      </c>
    </row>
    <row r="380">
      <c r="A380" s="53" t="inlineStr">
        <is>
          <t>Sales &amp; Business Development|C+|C+</t>
        </is>
      </c>
      <c r="B380" s="53" t="inlineStr">
        <is>
          <t>Sales &amp; Business Development</t>
        </is>
      </c>
      <c r="C380" s="53" t="inlineStr">
        <is>
          <t>C+</t>
        </is>
      </c>
      <c r="D380" s="53" t="inlineStr">
        <is>
          <t>C+ · Player-Coach</t>
        </is>
      </c>
      <c r="E380" s="38" t="str">
        <f>'RB · Sales &amp; Business Developme'!F19</f>
        <v>H</v>
      </c>
      <c r="F380" s="38" t="str">
        <f>'RB · Sales &amp; Business Developme'!J19</f>
        <v>M</v>
      </c>
      <c r="G380" s="38" t="str">
        <f>'RB · Sales &amp; Business Developme'!N19</f>
        <v>M</v>
      </c>
      <c r="H380" s="38" t="str">
        <f>'RB · Sales &amp; Business Developme'!R19</f>
        <v>M</v>
      </c>
      <c r="I380" s="38" t="str">
        <f>'RB · Sales &amp; Business Developme'!V19</f>
        <v>L</v>
      </c>
      <c r="J380" s="38" t="str">
        <f>'RB · Sales &amp; Business Developme'!Z19</f>
        <v>L</v>
      </c>
      <c r="K380" s="38" t="str">
        <f>'RB · Sales &amp; Business Developme'!AD19</f>
        <v>L</v>
      </c>
    </row>
    <row r="381">
      <c r="A381" s="53" t="inlineStr">
        <is>
          <t>Sales &amp; Business Development|C2|C-M</t>
        </is>
      </c>
      <c r="B381" s="53" t="inlineStr">
        <is>
          <t>Sales &amp; Business Development</t>
        </is>
      </c>
      <c r="C381" s="53" t="inlineStr">
        <is>
          <t>C2</t>
        </is>
      </c>
      <c r="D381" s="53" t="inlineStr">
        <is>
          <t>Band C · Head / manager</t>
        </is>
      </c>
      <c r="E381" s="38" t="str">
        <f>'RB · Sales &amp; Business Developme'!F20</f>
        <v>H</v>
      </c>
      <c r="F381" s="38" t="str">
        <f>'RB · Sales &amp; Business Developme'!J20</f>
        <v>M</v>
      </c>
      <c r="G381" s="38" t="str">
        <f>'RB · Sales &amp; Business Developme'!N20</f>
        <v>L</v>
      </c>
      <c r="H381" s="38" t="str">
        <f>'RB · Sales &amp; Business Developme'!R20</f>
        <v>M</v>
      </c>
      <c r="I381" s="38" t="str">
        <f>'RB · Sales &amp; Business Developme'!V20</f>
        <v>M</v>
      </c>
      <c r="J381" s="38" t="str">
        <f>'RB · Sales &amp; Business Developme'!Z20</f>
        <v>L</v>
      </c>
      <c r="K381" s="38" t="str">
        <f>'RB · Sales &amp; Business Developme'!AD20</f>
        <v>L</v>
      </c>
    </row>
    <row r="382">
      <c r="A382" s="53" t="inlineStr">
        <is>
          <t>Sales &amp; Business Development|C2|C-IC</t>
        </is>
      </c>
      <c r="B382" s="53" t="inlineStr">
        <is>
          <t>Sales &amp; Business Development</t>
        </is>
      </c>
      <c r="C382" s="53" t="inlineStr">
        <is>
          <t>C2</t>
        </is>
      </c>
      <c r="D382" s="53" t="inlineStr">
        <is>
          <t>Band C · Principal specialist</t>
        </is>
      </c>
      <c r="E382" s="38" t="str">
        <f>'RB · Sales &amp; Business Developme'!F21</f>
        <v>H</v>
      </c>
      <c r="F382" s="38" t="str">
        <f>'RB · Sales &amp; Business Developme'!J21</f>
        <v>M</v>
      </c>
      <c r="G382" s="38" t="str">
        <f>'RB · Sales &amp; Business Developme'!N21</f>
        <v>L</v>
      </c>
      <c r="H382" s="38" t="str">
        <f>'RB · Sales &amp; Business Developme'!R21</f>
        <v>L</v>
      </c>
      <c r="I382" s="38" t="str">
        <f>'RB · Sales &amp; Business Developme'!V21</f>
        <v>M</v>
      </c>
      <c r="J382" s="38" t="str">
        <f>'RB · Sales &amp; Business Developme'!Z21</f>
        <v>L</v>
      </c>
      <c r="K382" s="38" t="str">
        <f>'RB · Sales &amp; Business Developme'!AD21</f>
        <v>L</v>
      </c>
    </row>
    <row r="383">
      <c r="A383" s="53" t="inlineStr">
        <is>
          <t>Sales &amp; Business Development|C1|C-M</t>
        </is>
      </c>
      <c r="B383" s="53" t="inlineStr">
        <is>
          <t>Sales &amp; Business Development</t>
        </is>
      </c>
      <c r="C383" s="53" t="inlineStr">
        <is>
          <t>C1</t>
        </is>
      </c>
      <c r="D383" s="53" t="inlineStr">
        <is>
          <t>Band C · Head / manager</t>
        </is>
      </c>
      <c r="E383" s="38" t="str">
        <f>'RB · Sales &amp; Business Developme'!F22</f>
        <v>H</v>
      </c>
      <c r="F383" s="38" t="str">
        <f>'RB · Sales &amp; Business Developme'!J22</f>
        <v>M</v>
      </c>
      <c r="G383" s="38" t="str">
        <f>'RB · Sales &amp; Business Developme'!N22</f>
        <v>L</v>
      </c>
      <c r="H383" s="38" t="str">
        <f>'RB · Sales &amp; Business Developme'!R22</f>
        <v>M</v>
      </c>
      <c r="I383" s="38" t="str">
        <f>'RB · Sales &amp; Business Developme'!V22</f>
        <v>M</v>
      </c>
      <c r="J383" s="38" t="str">
        <f>'RB · Sales &amp; Business Developme'!Z22</f>
        <v>L</v>
      </c>
      <c r="K383" s="38" t="str">
        <f>'RB · Sales &amp; Business Developme'!AD22</f>
        <v>L</v>
      </c>
    </row>
    <row r="384">
      <c r="A384" s="53" t="inlineStr">
        <is>
          <t>Sales &amp; Business Development|C1|C-IC</t>
        </is>
      </c>
      <c r="B384" s="53" t="inlineStr">
        <is>
          <t>Sales &amp; Business Development</t>
        </is>
      </c>
      <c r="C384" s="53" t="inlineStr">
        <is>
          <t>C1</t>
        </is>
      </c>
      <c r="D384" s="53" t="inlineStr">
        <is>
          <t>Band C · Principal specialist</t>
        </is>
      </c>
      <c r="E384" s="38" t="str">
        <f>'RB · Sales &amp; Business Developme'!F23</f>
        <v>H</v>
      </c>
      <c r="F384" s="38" t="str">
        <f>'RB · Sales &amp; Business Developme'!J23</f>
        <v>M</v>
      </c>
      <c r="G384" s="38" t="str">
        <f>'RB · Sales &amp; Business Developme'!N23</f>
        <v>L</v>
      </c>
      <c r="H384" s="38" t="str">
        <f>'RB · Sales &amp; Business Developme'!R23</f>
        <v>L</v>
      </c>
      <c r="I384" s="38" t="str">
        <f>'RB · Sales &amp; Business Developme'!V23</f>
        <v>M</v>
      </c>
      <c r="J384" s="38" t="str">
        <f>'RB · Sales &amp; Business Developme'!Z23</f>
        <v>L</v>
      </c>
      <c r="K384" s="38" t="str">
        <f>'RB · Sales &amp; Business Developme'!AD23</f>
        <v>L</v>
      </c>
    </row>
    <row r="385">
      <c r="A385" s="53" t="inlineStr">
        <is>
          <t>Sales &amp; Business Development|B+|B+</t>
        </is>
      </c>
      <c r="B385" s="53" t="inlineStr">
        <is>
          <t>Sales &amp; Business Development</t>
        </is>
      </c>
      <c r="C385" s="53" t="inlineStr">
        <is>
          <t>B+</t>
        </is>
      </c>
      <c r="D385" s="53" t="inlineStr">
        <is>
          <t>B+ · Player-Coach</t>
        </is>
      </c>
      <c r="E385" s="38" t="str">
        <f>'RB · Sales &amp; Business Developme'!F24</f>
        <v>H</v>
      </c>
      <c r="F385" s="38" t="str">
        <f>'RB · Sales &amp; Business Developme'!J24</f>
        <v>M</v>
      </c>
      <c r="G385" s="38" t="str">
        <f>'RB · Sales &amp; Business Developme'!N24</f>
        <v>L</v>
      </c>
      <c r="H385" s="38" t="str">
        <f>'RB · Sales &amp; Business Developme'!R24</f>
        <v>M</v>
      </c>
      <c r="I385" s="38" t="str">
        <f>'RB · Sales &amp; Business Developme'!V24</f>
        <v>M</v>
      </c>
      <c r="J385" s="38" t="str">
        <f>'RB · Sales &amp; Business Developme'!Z24</f>
        <v>L</v>
      </c>
      <c r="K385" s="38" t="str">
        <f>'RB · Sales &amp; Business Developme'!AD24</f>
        <v>L</v>
      </c>
    </row>
    <row r="386">
      <c r="A386" s="53" t="inlineStr">
        <is>
          <t>Sales &amp; Business Development|B3|B-M</t>
        </is>
      </c>
      <c r="B386" s="53" t="inlineStr">
        <is>
          <t>Sales &amp; Business Development</t>
        </is>
      </c>
      <c r="C386" s="53" t="inlineStr">
        <is>
          <t>B3</t>
        </is>
      </c>
      <c r="D386" s="53" t="inlineStr">
        <is>
          <t>Band B · People Manager</t>
        </is>
      </c>
      <c r="E386" s="38" t="str">
        <f>'RB · Sales &amp; Business Developme'!F25</f>
        <v>H</v>
      </c>
      <c r="F386" s="38" t="str">
        <f>'RB · Sales &amp; Business Developme'!J25</f>
        <v>M</v>
      </c>
      <c r="G386" s="38" t="str">
        <f>'RB · Sales &amp; Business Developme'!N25</f>
        <v>L</v>
      </c>
      <c r="H386" s="38" t="str">
        <f>'RB · Sales &amp; Business Developme'!R25</f>
        <v>M</v>
      </c>
      <c r="I386" s="38" t="str">
        <f>'RB · Sales &amp; Business Developme'!V25</f>
        <v>M</v>
      </c>
      <c r="J386" s="38" t="str">
        <f>'RB · Sales &amp; Business Developme'!Z25</f>
        <v>L</v>
      </c>
      <c r="K386" s="38" t="str">
        <f>'RB · Sales &amp; Business Developme'!AD25</f>
        <v>L</v>
      </c>
    </row>
    <row r="387">
      <c r="A387" s="53" t="inlineStr">
        <is>
          <t>Sales &amp; Business Development|B3|B-IC</t>
        </is>
      </c>
      <c r="B387" s="53" t="inlineStr">
        <is>
          <t>Sales &amp; Business Development</t>
        </is>
      </c>
      <c r="C387" s="53" t="inlineStr">
        <is>
          <t>B3</t>
        </is>
      </c>
      <c r="D387" s="53" t="inlineStr">
        <is>
          <t>Band B · Specialist / POD Lead</t>
        </is>
      </c>
      <c r="E387" s="38" t="str">
        <f>'RB · Sales &amp; Business Developme'!F26</f>
        <v>H</v>
      </c>
      <c r="F387" s="38" t="str">
        <f>'RB · Sales &amp; Business Developme'!J26</f>
        <v>M</v>
      </c>
      <c r="G387" s="38" t="str">
        <f>'RB · Sales &amp; Business Developme'!N26</f>
        <v>L</v>
      </c>
      <c r="H387" s="38" t="str">
        <f>'RB · Sales &amp; Business Developme'!R26</f>
        <v>L</v>
      </c>
      <c r="I387" s="38" t="str">
        <f>'RB · Sales &amp; Business Developme'!V26</f>
        <v>M</v>
      </c>
      <c r="J387" s="38" t="str">
        <f>'RB · Sales &amp; Business Developme'!Z26</f>
        <v>L</v>
      </c>
      <c r="K387" s="38" t="str">
        <f>'RB · Sales &amp; Business Developme'!AD26</f>
        <v>L</v>
      </c>
    </row>
    <row r="388">
      <c r="A388" s="53" t="inlineStr">
        <is>
          <t>Sales &amp; Business Development|B2|B-M</t>
        </is>
      </c>
      <c r="B388" s="53" t="inlineStr">
        <is>
          <t>Sales &amp; Business Development</t>
        </is>
      </c>
      <c r="C388" s="53" t="inlineStr">
        <is>
          <t>B2</t>
        </is>
      </c>
      <c r="D388" s="53" t="inlineStr">
        <is>
          <t>Band B · People Manager</t>
        </is>
      </c>
      <c r="E388" s="38" t="str">
        <f>'RB · Sales &amp; Business Developme'!F27</f>
        <v>H</v>
      </c>
      <c r="F388" s="38" t="str">
        <f>'RB · Sales &amp; Business Developme'!J27</f>
        <v>M</v>
      </c>
      <c r="G388" s="38" t="str">
        <f>'RB · Sales &amp; Business Developme'!N27</f>
        <v>L</v>
      </c>
      <c r="H388" s="38" t="str">
        <f>'RB · Sales &amp; Business Developme'!R27</f>
        <v>M</v>
      </c>
      <c r="I388" s="38" t="str">
        <f>'RB · Sales &amp; Business Developme'!V27</f>
        <v>M</v>
      </c>
      <c r="J388" s="38" t="str">
        <f>'RB · Sales &amp; Business Developme'!Z27</f>
        <v>L</v>
      </c>
      <c r="K388" s="38" t="str">
        <f>'RB · Sales &amp; Business Developme'!AD27</f>
        <v>L</v>
      </c>
    </row>
    <row r="389">
      <c r="A389" s="53" t="inlineStr">
        <is>
          <t>Sales &amp; Business Development|B2|B-IC</t>
        </is>
      </c>
      <c r="B389" s="53" t="inlineStr">
        <is>
          <t>Sales &amp; Business Development</t>
        </is>
      </c>
      <c r="C389" s="53" t="inlineStr">
        <is>
          <t>B2</t>
        </is>
      </c>
      <c r="D389" s="53" t="inlineStr">
        <is>
          <t>Band B · Specialist / POD Lead</t>
        </is>
      </c>
      <c r="E389" s="38" t="str">
        <f>'RB · Sales &amp; Business Developme'!F28</f>
        <v>H</v>
      </c>
      <c r="F389" s="38" t="str">
        <f>'RB · Sales &amp; Business Developme'!J28</f>
        <v>M</v>
      </c>
      <c r="G389" s="38" t="str">
        <f>'RB · Sales &amp; Business Developme'!N28</f>
        <v>L</v>
      </c>
      <c r="H389" s="38" t="str">
        <f>'RB · Sales &amp; Business Developme'!R28</f>
        <v>L</v>
      </c>
      <c r="I389" s="38" t="str">
        <f>'RB · Sales &amp; Business Developme'!V28</f>
        <v>M</v>
      </c>
      <c r="J389" s="38" t="str">
        <f>'RB · Sales &amp; Business Developme'!Z28</f>
        <v>L</v>
      </c>
      <c r="K389" s="38" t="str">
        <f>'RB · Sales &amp; Business Developme'!AD28</f>
        <v>L</v>
      </c>
    </row>
    <row r="390">
      <c r="A390" s="53" t="inlineStr">
        <is>
          <t>Sales &amp; Business Development|B1|B-M</t>
        </is>
      </c>
      <c r="B390" s="53" t="inlineStr">
        <is>
          <t>Sales &amp; Business Development</t>
        </is>
      </c>
      <c r="C390" s="53" t="inlineStr">
        <is>
          <t>B1</t>
        </is>
      </c>
      <c r="D390" s="53" t="inlineStr">
        <is>
          <t>Band B · People Manager</t>
        </is>
      </c>
      <c r="E390" s="38" t="str">
        <f>'RB · Sales &amp; Business Developme'!F29</f>
        <v>H</v>
      </c>
      <c r="F390" s="38" t="str">
        <f>'RB · Sales &amp; Business Developme'!J29</f>
        <v>M</v>
      </c>
      <c r="G390" s="38" t="str">
        <f>'RB · Sales &amp; Business Developme'!N29</f>
        <v>L</v>
      </c>
      <c r="H390" s="38" t="str">
        <f>'RB · Sales &amp; Business Developme'!R29</f>
        <v>M</v>
      </c>
      <c r="I390" s="38" t="str">
        <f>'RB · Sales &amp; Business Developme'!V29</f>
        <v>M</v>
      </c>
      <c r="J390" s="38" t="str">
        <f>'RB · Sales &amp; Business Developme'!Z29</f>
        <v>L</v>
      </c>
      <c r="K390" s="38" t="str">
        <f>'RB · Sales &amp; Business Developme'!AD29</f>
        <v>L</v>
      </c>
    </row>
    <row r="391">
      <c r="A391" s="53" t="inlineStr">
        <is>
          <t>Sales &amp; Business Development|B1|B-IC</t>
        </is>
      </c>
      <c r="B391" s="53" t="inlineStr">
        <is>
          <t>Sales &amp; Business Development</t>
        </is>
      </c>
      <c r="C391" s="53" t="inlineStr">
        <is>
          <t>B1</t>
        </is>
      </c>
      <c r="D391" s="53" t="inlineStr">
        <is>
          <t>Band B · Specialist / POD Lead</t>
        </is>
      </c>
      <c r="E391" s="38" t="str">
        <f>'RB · Sales &amp; Business Developme'!F30</f>
        <v>H</v>
      </c>
      <c r="F391" s="38" t="str">
        <f>'RB · Sales &amp; Business Developme'!J30</f>
        <v>M</v>
      </c>
      <c r="G391" s="38" t="str">
        <f>'RB · Sales &amp; Business Developme'!N30</f>
        <v>L</v>
      </c>
      <c r="H391" s="38" t="str">
        <f>'RB · Sales &amp; Business Developme'!R30</f>
        <v>L</v>
      </c>
      <c r="I391" s="38" t="str">
        <f>'RB · Sales &amp; Business Developme'!V30</f>
        <v>M</v>
      </c>
      <c r="J391" s="38" t="str">
        <f>'RB · Sales &amp; Business Developme'!Z30</f>
        <v>L</v>
      </c>
      <c r="K391" s="38" t="str">
        <f>'RB · Sales &amp; Business Developme'!AD30</f>
        <v>L</v>
      </c>
    </row>
    <row r="392">
      <c r="A392" s="53" t="inlineStr">
        <is>
          <t>Sales &amp; Business Development|A3|A</t>
        </is>
      </c>
      <c r="B392" s="53" t="inlineStr">
        <is>
          <t>Sales &amp; Business Development</t>
        </is>
      </c>
      <c r="C392" s="53" t="inlineStr">
        <is>
          <t>A3</t>
        </is>
      </c>
      <c r="D392" s="53" t="inlineStr">
        <is>
          <t>Band A · all tracks</t>
        </is>
      </c>
      <c r="E392" s="38" t="str">
        <f>'RB · Sales &amp; Business Developme'!F31</f>
        <v>H</v>
      </c>
      <c r="F392" s="38" t="str">
        <f>'RB · Sales &amp; Business Developme'!J31</f>
        <v>M</v>
      </c>
      <c r="G392" s="38" t="str">
        <f>'RB · Sales &amp; Business Developme'!N31</f>
        <v>L</v>
      </c>
      <c r="H392" s="38" t="str">
        <f>'RB · Sales &amp; Business Developme'!R31</f>
        <v>L</v>
      </c>
      <c r="I392" s="38" t="str">
        <f>'RB · Sales &amp; Business Developme'!V31</f>
        <v>M</v>
      </c>
      <c r="J392" s="38" t="str">
        <f>'RB · Sales &amp; Business Developme'!Z31</f>
        <v>L</v>
      </c>
      <c r="K392" s="38" t="str">
        <f>'RB · Sales &amp; Business Developme'!AD31</f>
        <v>L</v>
      </c>
    </row>
    <row r="393">
      <c r="A393" s="53" t="inlineStr">
        <is>
          <t>Sales &amp; Business Development|A2|A</t>
        </is>
      </c>
      <c r="B393" s="53" t="inlineStr">
        <is>
          <t>Sales &amp; Business Development</t>
        </is>
      </c>
      <c r="C393" s="53" t="inlineStr">
        <is>
          <t>A2</t>
        </is>
      </c>
      <c r="D393" s="53" t="inlineStr">
        <is>
          <t>Band A · all tracks</t>
        </is>
      </c>
      <c r="E393" s="38" t="str">
        <f>'RB · Sales &amp; Business Developme'!F32</f>
        <v>H</v>
      </c>
      <c r="F393" s="38" t="str">
        <f>'RB · Sales &amp; Business Developme'!J32</f>
        <v>M</v>
      </c>
      <c r="G393" s="38" t="str">
        <f>'RB · Sales &amp; Business Developme'!N32</f>
        <v>L</v>
      </c>
      <c r="H393" s="38" t="str">
        <f>'RB · Sales &amp; Business Developme'!R32</f>
        <v>L</v>
      </c>
      <c r="I393" s="38" t="str">
        <f>'RB · Sales &amp; Business Developme'!V32</f>
        <v>M</v>
      </c>
      <c r="J393" s="38" t="str">
        <f>'RB · Sales &amp; Business Developme'!Z32</f>
        <v>L</v>
      </c>
      <c r="K393" s="38" t="str">
        <f>'RB · Sales &amp; Business Developme'!AD32</f>
        <v>L</v>
      </c>
    </row>
    <row r="394">
      <c r="A394" s="53" t="inlineStr">
        <is>
          <t>Sales &amp; Business Development|A1|A</t>
        </is>
      </c>
      <c r="B394" s="53" t="inlineStr">
        <is>
          <t>Sales &amp; Business Development</t>
        </is>
      </c>
      <c r="C394" s="53" t="inlineStr">
        <is>
          <t>A1</t>
        </is>
      </c>
      <c r="D394" s="53" t="inlineStr">
        <is>
          <t>Band A · all tracks</t>
        </is>
      </c>
      <c r="E394" s="38" t="str">
        <f>'RB · Sales &amp; Business Developme'!F33</f>
        <v>H</v>
      </c>
      <c r="F394" s="38" t="str">
        <f>'RB · Sales &amp; Business Developme'!J33</f>
        <v>M</v>
      </c>
      <c r="G394" s="38" t="str">
        <f>'RB · Sales &amp; Business Developme'!N33</f>
        <v>L</v>
      </c>
      <c r="H394" s="38" t="str">
        <f>'RB · Sales &amp; Business Developme'!R33</f>
        <v>L</v>
      </c>
      <c r="I394" s="38" t="str">
        <f>'RB · Sales &amp; Business Developme'!V33</f>
        <v>M</v>
      </c>
      <c r="J394" s="38" t="str">
        <f>'RB · Sales &amp; Business Developme'!Z33</f>
        <v>L</v>
      </c>
      <c r="K394" s="38" t="str">
        <f>'RB · Sales &amp; Business Developme'!AD33</f>
        <v>L</v>
      </c>
    </row>
    <row r="395">
      <c r="A395" s="53" t="inlineStr">
        <is>
          <t>Solution Consulting &amp; Implementation|E2|DE</t>
        </is>
      </c>
      <c r="B395" s="53" t="inlineStr">
        <is>
          <t>Solution Consulting &amp; Implementation</t>
        </is>
      </c>
      <c r="C395" s="53" t="inlineStr">
        <is>
          <t>E2</t>
        </is>
      </c>
      <c r="D395" s="53" t="inlineStr">
        <is>
          <t>Bands D–E · Leadership</t>
        </is>
      </c>
      <c r="E395" s="38" t="str">
        <f>'RB · Solution Consulting &amp; Impl'!F6</f>
        <v>H</v>
      </c>
      <c r="F395" s="38" t="str">
        <f>'RB · Solution Consulting &amp; Impl'!J6</f>
        <v>M</v>
      </c>
      <c r="G395" s="38" t="str">
        <f>'RB · Solution Consulting &amp; Impl'!N6</f>
        <v>M</v>
      </c>
      <c r="H395" s="38" t="str">
        <f>'RB · Solution Consulting &amp; Impl'!R6</f>
        <v>M</v>
      </c>
      <c r="I395" s="38" t="str">
        <f>'RB · Solution Consulting &amp; Impl'!V6</f>
        <v>L</v>
      </c>
      <c r="J395" s="38" t="str">
        <f>'RB · Solution Consulting &amp; Impl'!Z6</f>
        <v>L</v>
      </c>
      <c r="K395" s="38" t="str">
        <f>'RB · Solution Consulting &amp; Impl'!AD6</f>
        <v>L</v>
      </c>
    </row>
    <row r="396">
      <c r="A396" s="53" t="inlineStr">
        <is>
          <t>Solution Consulting &amp; Implementation|E1|DE</t>
        </is>
      </c>
      <c r="B396" s="53" t="inlineStr">
        <is>
          <t>Solution Consulting &amp; Implementation</t>
        </is>
      </c>
      <c r="C396" s="53" t="inlineStr">
        <is>
          <t>E1</t>
        </is>
      </c>
      <c r="D396" s="53" t="inlineStr">
        <is>
          <t>Bands D–E · Leadership</t>
        </is>
      </c>
      <c r="E396" s="38" t="str">
        <f>'RB · Solution Consulting &amp; Impl'!F7</f>
        <v>H</v>
      </c>
      <c r="F396" s="38" t="str">
        <f>'RB · Solution Consulting &amp; Impl'!J7</f>
        <v>M</v>
      </c>
      <c r="G396" s="38" t="str">
        <f>'RB · Solution Consulting &amp; Impl'!N7</f>
        <v>M</v>
      </c>
      <c r="H396" s="38" t="str">
        <f>'RB · Solution Consulting &amp; Impl'!R7</f>
        <v>M</v>
      </c>
      <c r="I396" s="38" t="str">
        <f>'RB · Solution Consulting &amp; Impl'!V7</f>
        <v>L</v>
      </c>
      <c r="J396" s="38" t="str">
        <f>'RB · Solution Consulting &amp; Impl'!Z7</f>
        <v>L</v>
      </c>
      <c r="K396" s="38" t="str">
        <f>'RB · Solution Consulting &amp; Impl'!AD7</f>
        <v>L</v>
      </c>
    </row>
    <row r="397">
      <c r="A397" s="53" t="inlineStr">
        <is>
          <t>Solution Consulting &amp; Implementation|D2|DE</t>
        </is>
      </c>
      <c r="B397" s="53" t="inlineStr">
        <is>
          <t>Solution Consulting &amp; Implementation</t>
        </is>
      </c>
      <c r="C397" s="53" t="inlineStr">
        <is>
          <t>D2</t>
        </is>
      </c>
      <c r="D397" s="53" t="inlineStr">
        <is>
          <t>Bands D–E · Leadership</t>
        </is>
      </c>
      <c r="E397" s="38" t="str">
        <f>'RB · Solution Consulting &amp; Impl'!F8</f>
        <v>H</v>
      </c>
      <c r="F397" s="38" t="str">
        <f>'RB · Solution Consulting &amp; Impl'!J8</f>
        <v>M</v>
      </c>
      <c r="G397" s="38" t="str">
        <f>'RB · Solution Consulting &amp; Impl'!N8</f>
        <v>M</v>
      </c>
      <c r="H397" s="38" t="str">
        <f>'RB · Solution Consulting &amp; Impl'!R8</f>
        <v>M</v>
      </c>
      <c r="I397" s="38" t="str">
        <f>'RB · Solution Consulting &amp; Impl'!V8</f>
        <v>L</v>
      </c>
      <c r="J397" s="38" t="str">
        <f>'RB · Solution Consulting &amp; Impl'!Z8</f>
        <v>L</v>
      </c>
      <c r="K397" s="38" t="str">
        <f>'RB · Solution Consulting &amp; Impl'!AD8</f>
        <v>L</v>
      </c>
    </row>
    <row r="398">
      <c r="A398" s="53" t="inlineStr">
        <is>
          <t>Solution Consulting &amp; Implementation|D1|DE</t>
        </is>
      </c>
      <c r="B398" s="53" t="inlineStr">
        <is>
          <t>Solution Consulting &amp; Implementation</t>
        </is>
      </c>
      <c r="C398" s="53" t="inlineStr">
        <is>
          <t>D1</t>
        </is>
      </c>
      <c r="D398" s="53" t="inlineStr">
        <is>
          <t>Bands D–E · Leadership</t>
        </is>
      </c>
      <c r="E398" s="38" t="str">
        <f>'RB · Solution Consulting &amp; Impl'!F9</f>
        <v>H</v>
      </c>
      <c r="F398" s="38" t="str">
        <f>'RB · Solution Consulting &amp; Impl'!J9</f>
        <v>M</v>
      </c>
      <c r="G398" s="38" t="str">
        <f>'RB · Solution Consulting &amp; Impl'!N9</f>
        <v>M</v>
      </c>
      <c r="H398" s="38" t="str">
        <f>'RB · Solution Consulting &amp; Impl'!R9</f>
        <v>M</v>
      </c>
      <c r="I398" s="38" t="str">
        <f>'RB · Solution Consulting &amp; Impl'!V9</f>
        <v>L</v>
      </c>
      <c r="J398" s="38" t="str">
        <f>'RB · Solution Consulting &amp; Impl'!Z9</f>
        <v>L</v>
      </c>
      <c r="K398" s="38" t="str">
        <f>'RB · Solution Consulting &amp; Impl'!AD9</f>
        <v>L</v>
      </c>
    </row>
    <row r="399">
      <c r="A399" s="53" t="inlineStr">
        <is>
          <t>Solution Consulting &amp; Implementation|C+|C+</t>
        </is>
      </c>
      <c r="B399" s="53" t="inlineStr">
        <is>
          <t>Solution Consulting &amp; Implementation</t>
        </is>
      </c>
      <c r="C399" s="53" t="inlineStr">
        <is>
          <t>C+</t>
        </is>
      </c>
      <c r="D399" s="53" t="inlineStr">
        <is>
          <t>C+ · Player-Coach</t>
        </is>
      </c>
      <c r="E399" s="38" t="str">
        <f>'RB · Solution Consulting &amp; Impl'!F10</f>
        <v>H</v>
      </c>
      <c r="F399" s="38" t="str">
        <f>'RB · Solution Consulting &amp; Impl'!J10</f>
        <v>M</v>
      </c>
      <c r="G399" s="38" t="str">
        <f>'RB · Solution Consulting &amp; Impl'!N10</f>
        <v>M</v>
      </c>
      <c r="H399" s="38" t="str">
        <f>'RB · Solution Consulting &amp; Impl'!R10</f>
        <v>M</v>
      </c>
      <c r="I399" s="38" t="str">
        <f>'RB · Solution Consulting &amp; Impl'!V10</f>
        <v>L</v>
      </c>
      <c r="J399" s="38" t="str">
        <f>'RB · Solution Consulting &amp; Impl'!Z10</f>
        <v>L</v>
      </c>
      <c r="K399" s="38" t="str">
        <f>'RB · Solution Consulting &amp; Impl'!AD10</f>
        <v>L</v>
      </c>
    </row>
    <row r="400">
      <c r="A400" s="53" t="inlineStr">
        <is>
          <t>Solution Consulting &amp; Implementation|C2|C-M</t>
        </is>
      </c>
      <c r="B400" s="53" t="inlineStr">
        <is>
          <t>Solution Consulting &amp; Implementation</t>
        </is>
      </c>
      <c r="C400" s="53" t="inlineStr">
        <is>
          <t>C2</t>
        </is>
      </c>
      <c r="D400" s="53" t="inlineStr">
        <is>
          <t>Band C · Head / manager</t>
        </is>
      </c>
      <c r="E400" s="38" t="str">
        <f>'RB · Solution Consulting &amp; Impl'!F11</f>
        <v>H</v>
      </c>
      <c r="F400" s="38" t="str">
        <f>'RB · Solution Consulting &amp; Impl'!J11</f>
        <v>M</v>
      </c>
      <c r="G400" s="38" t="str">
        <f>'RB · Solution Consulting &amp; Impl'!N11</f>
        <v>M</v>
      </c>
      <c r="H400" s="38" t="str">
        <f>'RB · Solution Consulting &amp; Impl'!R11</f>
        <v>M</v>
      </c>
      <c r="I400" s="38" t="str">
        <f>'RB · Solution Consulting &amp; Impl'!V11</f>
        <v>L</v>
      </c>
      <c r="J400" s="38" t="str">
        <f>'RB · Solution Consulting &amp; Impl'!Z11</f>
        <v>L</v>
      </c>
      <c r="K400" s="38" t="str">
        <f>'RB · Solution Consulting &amp; Impl'!AD11</f>
        <v>L</v>
      </c>
    </row>
    <row r="401">
      <c r="A401" s="53" t="inlineStr">
        <is>
          <t>Solution Consulting &amp; Implementation|C2|C-IC</t>
        </is>
      </c>
      <c r="B401" s="53" t="inlineStr">
        <is>
          <t>Solution Consulting &amp; Implementation</t>
        </is>
      </c>
      <c r="C401" s="53" t="inlineStr">
        <is>
          <t>C2</t>
        </is>
      </c>
      <c r="D401" s="53" t="inlineStr">
        <is>
          <t>Band C · Principal specialist</t>
        </is>
      </c>
      <c r="E401" s="38" t="str">
        <f>'RB · Solution Consulting &amp; Impl'!F12</f>
        <v>H</v>
      </c>
      <c r="F401" s="38" t="str">
        <f>'RB · Solution Consulting &amp; Impl'!J12</f>
        <v>M</v>
      </c>
      <c r="G401" s="38" t="str">
        <f>'RB · Solution Consulting &amp; Impl'!N12</f>
        <v>M</v>
      </c>
      <c r="H401" s="38" t="str">
        <f>'RB · Solution Consulting &amp; Impl'!R12</f>
        <v>L</v>
      </c>
      <c r="I401" s="38" t="str">
        <f>'RB · Solution Consulting &amp; Impl'!V12</f>
        <v>L</v>
      </c>
      <c r="J401" s="38" t="str">
        <f>'RB · Solution Consulting &amp; Impl'!Z12</f>
        <v>L</v>
      </c>
      <c r="K401" s="38" t="str">
        <f>'RB · Solution Consulting &amp; Impl'!AD12</f>
        <v>L</v>
      </c>
    </row>
    <row r="402">
      <c r="A402" s="53" t="inlineStr">
        <is>
          <t>Solution Consulting &amp; Implementation|C1|C-M</t>
        </is>
      </c>
      <c r="B402" s="53" t="inlineStr">
        <is>
          <t>Solution Consulting &amp; Implementation</t>
        </is>
      </c>
      <c r="C402" s="53" t="inlineStr">
        <is>
          <t>C1</t>
        </is>
      </c>
      <c r="D402" s="53" t="inlineStr">
        <is>
          <t>Band C · Head / manager</t>
        </is>
      </c>
      <c r="E402" s="38" t="str">
        <f>'RB · Solution Consulting &amp; Impl'!F13</f>
        <v>H</v>
      </c>
      <c r="F402" s="38" t="str">
        <f>'RB · Solution Consulting &amp; Impl'!J13</f>
        <v>M</v>
      </c>
      <c r="G402" s="38" t="str">
        <f>'RB · Solution Consulting &amp; Impl'!N13</f>
        <v>M</v>
      </c>
      <c r="H402" s="38" t="str">
        <f>'RB · Solution Consulting &amp; Impl'!R13</f>
        <v>M</v>
      </c>
      <c r="I402" s="38" t="str">
        <f>'RB · Solution Consulting &amp; Impl'!V13</f>
        <v>L</v>
      </c>
      <c r="J402" s="38" t="str">
        <f>'RB · Solution Consulting &amp; Impl'!Z13</f>
        <v>L</v>
      </c>
      <c r="K402" s="38" t="str">
        <f>'RB · Solution Consulting &amp; Impl'!AD13</f>
        <v>L</v>
      </c>
    </row>
    <row r="403">
      <c r="A403" s="53" t="inlineStr">
        <is>
          <t>Solution Consulting &amp; Implementation|C1|C-IC</t>
        </is>
      </c>
      <c r="B403" s="53" t="inlineStr">
        <is>
          <t>Solution Consulting &amp; Implementation</t>
        </is>
      </c>
      <c r="C403" s="53" t="inlineStr">
        <is>
          <t>C1</t>
        </is>
      </c>
      <c r="D403" s="53" t="inlineStr">
        <is>
          <t>Band C · Principal specialist</t>
        </is>
      </c>
      <c r="E403" s="38" t="str">
        <f>'RB · Solution Consulting &amp; Impl'!F14</f>
        <v>H</v>
      </c>
      <c r="F403" s="38" t="str">
        <f>'RB · Solution Consulting &amp; Impl'!J14</f>
        <v>M</v>
      </c>
      <c r="G403" s="38" t="str">
        <f>'RB · Solution Consulting &amp; Impl'!N14</f>
        <v>M</v>
      </c>
      <c r="H403" s="38" t="str">
        <f>'RB · Solution Consulting &amp; Impl'!R14</f>
        <v>L</v>
      </c>
      <c r="I403" s="38" t="str">
        <f>'RB · Solution Consulting &amp; Impl'!V14</f>
        <v>L</v>
      </c>
      <c r="J403" s="38" t="str">
        <f>'RB · Solution Consulting &amp; Impl'!Z14</f>
        <v>L</v>
      </c>
      <c r="K403" s="38" t="str">
        <f>'RB · Solution Consulting &amp; Impl'!AD14</f>
        <v>L</v>
      </c>
    </row>
    <row r="404">
      <c r="A404" s="53" t="inlineStr">
        <is>
          <t>Solution Consulting &amp; Implementation|B+|B+</t>
        </is>
      </c>
      <c r="B404" s="53" t="inlineStr">
        <is>
          <t>Solution Consulting &amp; Implementation</t>
        </is>
      </c>
      <c r="C404" s="53" t="inlineStr">
        <is>
          <t>B+</t>
        </is>
      </c>
      <c r="D404" s="53" t="inlineStr">
        <is>
          <t>B+ · Player-Coach</t>
        </is>
      </c>
      <c r="E404" s="38" t="str">
        <f>'RB · Solution Consulting &amp; Impl'!F15</f>
        <v>H</v>
      </c>
      <c r="F404" s="38" t="str">
        <f>'RB · Solution Consulting &amp; Impl'!J15</f>
        <v>M</v>
      </c>
      <c r="G404" s="38" t="str">
        <f>'RB · Solution Consulting &amp; Impl'!N15</f>
        <v>M</v>
      </c>
      <c r="H404" s="38" t="str">
        <f>'RB · Solution Consulting &amp; Impl'!R15</f>
        <v>M</v>
      </c>
      <c r="I404" s="38" t="str">
        <f>'RB · Solution Consulting &amp; Impl'!V15</f>
        <v>L</v>
      </c>
      <c r="J404" s="38" t="str">
        <f>'RB · Solution Consulting &amp; Impl'!Z15</f>
        <v>L</v>
      </c>
      <c r="K404" s="38" t="str">
        <f>'RB · Solution Consulting &amp; Impl'!AD15</f>
        <v>L</v>
      </c>
    </row>
    <row r="405">
      <c r="A405" s="53" t="inlineStr">
        <is>
          <t>Solution Consulting &amp; Implementation|B3|B-M</t>
        </is>
      </c>
      <c r="B405" s="53" t="inlineStr">
        <is>
          <t>Solution Consulting &amp; Implementation</t>
        </is>
      </c>
      <c r="C405" s="53" t="inlineStr">
        <is>
          <t>B3</t>
        </is>
      </c>
      <c r="D405" s="53" t="inlineStr">
        <is>
          <t>Band B · People Manager</t>
        </is>
      </c>
      <c r="E405" s="38" t="str">
        <f>'RB · Solution Consulting &amp; Impl'!F16</f>
        <v>H</v>
      </c>
      <c r="F405" s="38" t="str">
        <f>'RB · Solution Consulting &amp; Impl'!J16</f>
        <v>M</v>
      </c>
      <c r="G405" s="38" t="str">
        <f>'RB · Solution Consulting &amp; Impl'!N16</f>
        <v>M</v>
      </c>
      <c r="H405" s="38" t="str">
        <f>'RB · Solution Consulting &amp; Impl'!R16</f>
        <v>M</v>
      </c>
      <c r="I405" s="38" t="str">
        <f>'RB · Solution Consulting &amp; Impl'!V16</f>
        <v>L</v>
      </c>
      <c r="J405" s="38" t="str">
        <f>'RB · Solution Consulting &amp; Impl'!Z16</f>
        <v>L</v>
      </c>
      <c r="K405" s="38" t="str">
        <f>'RB · Solution Consulting &amp; Impl'!AD16</f>
        <v>L</v>
      </c>
    </row>
    <row r="406">
      <c r="A406" s="53" t="inlineStr">
        <is>
          <t>Solution Consulting &amp; Implementation|B3|B-IC</t>
        </is>
      </c>
      <c r="B406" s="53" t="inlineStr">
        <is>
          <t>Solution Consulting &amp; Implementation</t>
        </is>
      </c>
      <c r="C406" s="53" t="inlineStr">
        <is>
          <t>B3</t>
        </is>
      </c>
      <c r="D406" s="53" t="inlineStr">
        <is>
          <t>Band B · Specialist / POD Lead</t>
        </is>
      </c>
      <c r="E406" s="38" t="str">
        <f>'RB · Solution Consulting &amp; Impl'!F17</f>
        <v>H</v>
      </c>
      <c r="F406" s="38" t="str">
        <f>'RB · Solution Consulting &amp; Impl'!J17</f>
        <v>M</v>
      </c>
      <c r="G406" s="38" t="str">
        <f>'RB · Solution Consulting &amp; Impl'!N17</f>
        <v>M</v>
      </c>
      <c r="H406" s="38" t="str">
        <f>'RB · Solution Consulting &amp; Impl'!R17</f>
        <v>L</v>
      </c>
      <c r="I406" s="38" t="str">
        <f>'RB · Solution Consulting &amp; Impl'!V17</f>
        <v>L</v>
      </c>
      <c r="J406" s="38" t="str">
        <f>'RB · Solution Consulting &amp; Impl'!Z17</f>
        <v>L</v>
      </c>
      <c r="K406" s="38" t="str">
        <f>'RB · Solution Consulting &amp; Impl'!AD17</f>
        <v>L</v>
      </c>
    </row>
    <row r="407">
      <c r="A407" s="53" t="inlineStr">
        <is>
          <t>Solution Consulting &amp; Implementation|B2|B-M</t>
        </is>
      </c>
      <c r="B407" s="53" t="inlineStr">
        <is>
          <t>Solution Consulting &amp; Implementation</t>
        </is>
      </c>
      <c r="C407" s="53" t="inlineStr">
        <is>
          <t>B2</t>
        </is>
      </c>
      <c r="D407" s="53" t="inlineStr">
        <is>
          <t>Band B · People Manager</t>
        </is>
      </c>
      <c r="E407" s="38" t="str">
        <f>'RB · Solution Consulting &amp; Impl'!F18</f>
        <v>H</v>
      </c>
      <c r="F407" s="38" t="str">
        <f>'RB · Solution Consulting &amp; Impl'!J18</f>
        <v>M</v>
      </c>
      <c r="G407" s="38" t="str">
        <f>'RB · Solution Consulting &amp; Impl'!N18</f>
        <v>M</v>
      </c>
      <c r="H407" s="38" t="str">
        <f>'RB · Solution Consulting &amp; Impl'!R18</f>
        <v>M</v>
      </c>
      <c r="I407" s="38" t="str">
        <f>'RB · Solution Consulting &amp; Impl'!V18</f>
        <v>L</v>
      </c>
      <c r="J407" s="38" t="str">
        <f>'RB · Solution Consulting &amp; Impl'!Z18</f>
        <v>L</v>
      </c>
      <c r="K407" s="38" t="str">
        <f>'RB · Solution Consulting &amp; Impl'!AD18</f>
        <v>L</v>
      </c>
    </row>
    <row r="408">
      <c r="A408" s="53" t="inlineStr">
        <is>
          <t>Solution Consulting &amp; Implementation|B2|B-IC</t>
        </is>
      </c>
      <c r="B408" s="53" t="inlineStr">
        <is>
          <t>Solution Consulting &amp; Implementation</t>
        </is>
      </c>
      <c r="C408" s="53" t="inlineStr">
        <is>
          <t>B2</t>
        </is>
      </c>
      <c r="D408" s="53" t="inlineStr">
        <is>
          <t>Band B · Specialist / POD Lead</t>
        </is>
      </c>
      <c r="E408" s="38" t="str">
        <f>'RB · Solution Consulting &amp; Impl'!F19</f>
        <v>H</v>
      </c>
      <c r="F408" s="38" t="str">
        <f>'RB · Solution Consulting &amp; Impl'!J19</f>
        <v>M</v>
      </c>
      <c r="G408" s="38" t="str">
        <f>'RB · Solution Consulting &amp; Impl'!N19</f>
        <v>M</v>
      </c>
      <c r="H408" s="38" t="str">
        <f>'RB · Solution Consulting &amp; Impl'!R19</f>
        <v>L</v>
      </c>
      <c r="I408" s="38" t="str">
        <f>'RB · Solution Consulting &amp; Impl'!V19</f>
        <v>L</v>
      </c>
      <c r="J408" s="38" t="str">
        <f>'RB · Solution Consulting &amp; Impl'!Z19</f>
        <v>L</v>
      </c>
      <c r="K408" s="38" t="str">
        <f>'RB · Solution Consulting &amp; Impl'!AD19</f>
        <v>L</v>
      </c>
    </row>
    <row r="409">
      <c r="A409" s="53" t="inlineStr">
        <is>
          <t>Solution Consulting &amp; Implementation|B1|B-M</t>
        </is>
      </c>
      <c r="B409" s="53" t="inlineStr">
        <is>
          <t>Solution Consulting &amp; Implementation</t>
        </is>
      </c>
      <c r="C409" s="53" t="inlineStr">
        <is>
          <t>B1</t>
        </is>
      </c>
      <c r="D409" s="53" t="inlineStr">
        <is>
          <t>Band B · People Manager</t>
        </is>
      </c>
      <c r="E409" s="38" t="str">
        <f>'RB · Solution Consulting &amp; Impl'!F20</f>
        <v>H</v>
      </c>
      <c r="F409" s="38" t="str">
        <f>'RB · Solution Consulting &amp; Impl'!J20</f>
        <v>M</v>
      </c>
      <c r="G409" s="38" t="str">
        <f>'RB · Solution Consulting &amp; Impl'!N20</f>
        <v>M</v>
      </c>
      <c r="H409" s="38" t="str">
        <f>'RB · Solution Consulting &amp; Impl'!R20</f>
        <v>M</v>
      </c>
      <c r="I409" s="38" t="str">
        <f>'RB · Solution Consulting &amp; Impl'!V20</f>
        <v>L</v>
      </c>
      <c r="J409" s="38" t="str">
        <f>'RB · Solution Consulting &amp; Impl'!Z20</f>
        <v>L</v>
      </c>
      <c r="K409" s="38" t="str">
        <f>'RB · Solution Consulting &amp; Impl'!AD20</f>
        <v>L</v>
      </c>
    </row>
    <row r="410">
      <c r="A410" s="53" t="inlineStr">
        <is>
          <t>Solution Consulting &amp; Implementation|B1|B-IC</t>
        </is>
      </c>
      <c r="B410" s="53" t="inlineStr">
        <is>
          <t>Solution Consulting &amp; Implementation</t>
        </is>
      </c>
      <c r="C410" s="53" t="inlineStr">
        <is>
          <t>B1</t>
        </is>
      </c>
      <c r="D410" s="53" t="inlineStr">
        <is>
          <t>Band B · Specialist / POD Lead</t>
        </is>
      </c>
      <c r="E410" s="38" t="str">
        <f>'RB · Solution Consulting &amp; Impl'!F21</f>
        <v>H</v>
      </c>
      <c r="F410" s="38" t="str">
        <f>'RB · Solution Consulting &amp; Impl'!J21</f>
        <v>M</v>
      </c>
      <c r="G410" s="38" t="str">
        <f>'RB · Solution Consulting &amp; Impl'!N21</f>
        <v>M</v>
      </c>
      <c r="H410" s="38" t="str">
        <f>'RB · Solution Consulting &amp; Impl'!R21</f>
        <v>L</v>
      </c>
      <c r="I410" s="38" t="str">
        <f>'RB · Solution Consulting &amp; Impl'!V21</f>
        <v>L</v>
      </c>
      <c r="J410" s="38" t="str">
        <f>'RB · Solution Consulting &amp; Impl'!Z21</f>
        <v>L</v>
      </c>
      <c r="K410" s="38" t="str">
        <f>'RB · Solution Consulting &amp; Impl'!AD21</f>
        <v>L</v>
      </c>
    </row>
    <row r="411">
      <c r="A411" s="53" t="inlineStr">
        <is>
          <t>Solution Consulting &amp; Implementation|A3|A</t>
        </is>
      </c>
      <c r="B411" s="53" t="inlineStr">
        <is>
          <t>Solution Consulting &amp; Implementation</t>
        </is>
      </c>
      <c r="C411" s="53" t="inlineStr">
        <is>
          <t>A3</t>
        </is>
      </c>
      <c r="D411" s="53" t="inlineStr">
        <is>
          <t>Band A · all tracks</t>
        </is>
      </c>
      <c r="E411" s="38" t="str">
        <f>'RB · Solution Consulting &amp; Impl'!F22</f>
        <v>H</v>
      </c>
      <c r="F411" s="38" t="str">
        <f>'RB · Solution Consulting &amp; Impl'!J22</f>
        <v>M</v>
      </c>
      <c r="G411" s="38" t="str">
        <f>'RB · Solution Consulting &amp; Impl'!N22</f>
        <v>M</v>
      </c>
      <c r="H411" s="38" t="str">
        <f>'RB · Solution Consulting &amp; Impl'!R22</f>
        <v>L</v>
      </c>
      <c r="I411" s="38" t="str">
        <f>'RB · Solution Consulting &amp; Impl'!V22</f>
        <v>L</v>
      </c>
      <c r="J411" s="38" t="str">
        <f>'RB · Solution Consulting &amp; Impl'!Z22</f>
        <v>L</v>
      </c>
      <c r="K411" s="38" t="str">
        <f>'RB · Solution Consulting &amp; Impl'!AD22</f>
        <v>L</v>
      </c>
    </row>
    <row r="412">
      <c r="A412" s="53" t="inlineStr">
        <is>
          <t>Solution Consulting &amp; Implementation|A2|A</t>
        </is>
      </c>
      <c r="B412" s="53" t="inlineStr">
        <is>
          <t>Solution Consulting &amp; Implementation</t>
        </is>
      </c>
      <c r="C412" s="53" t="inlineStr">
        <is>
          <t>A2</t>
        </is>
      </c>
      <c r="D412" s="53" t="inlineStr">
        <is>
          <t>Band A · all tracks</t>
        </is>
      </c>
      <c r="E412" s="38" t="str">
        <f>'RB · Solution Consulting &amp; Impl'!F23</f>
        <v>H</v>
      </c>
      <c r="F412" s="38" t="str">
        <f>'RB · Solution Consulting &amp; Impl'!J23</f>
        <v>M</v>
      </c>
      <c r="G412" s="38" t="str">
        <f>'RB · Solution Consulting &amp; Impl'!N23</f>
        <v>M</v>
      </c>
      <c r="H412" s="38" t="str">
        <f>'RB · Solution Consulting &amp; Impl'!R23</f>
        <v>L</v>
      </c>
      <c r="I412" s="38" t="str">
        <f>'RB · Solution Consulting &amp; Impl'!V23</f>
        <v>L</v>
      </c>
      <c r="J412" s="38" t="str">
        <f>'RB · Solution Consulting &amp; Impl'!Z23</f>
        <v>L</v>
      </c>
      <c r="K412" s="38" t="str">
        <f>'RB · Solution Consulting &amp; Impl'!AD23</f>
        <v>L</v>
      </c>
    </row>
    <row r="413">
      <c r="A413" s="53" t="inlineStr">
        <is>
          <t>Solution Consulting &amp; Implementation|A1|A</t>
        </is>
      </c>
      <c r="B413" s="53" t="inlineStr">
        <is>
          <t>Solution Consulting &amp; Implementation</t>
        </is>
      </c>
      <c r="C413" s="53" t="inlineStr">
        <is>
          <t>A1</t>
        </is>
      </c>
      <c r="D413" s="53" t="inlineStr">
        <is>
          <t>Band A · all tracks</t>
        </is>
      </c>
      <c r="E413" s="38" t="str">
        <f>'RB · Solution Consulting &amp; Impl'!F24</f>
        <v>H</v>
      </c>
      <c r="F413" s="38" t="str">
        <f>'RB · Solution Consulting &amp; Impl'!J24</f>
        <v>M</v>
      </c>
      <c r="G413" s="38" t="str">
        <f>'RB · Solution Consulting &amp; Impl'!N24</f>
        <v>M</v>
      </c>
      <c r="H413" s="38" t="str">
        <f>'RB · Solution Consulting &amp; Impl'!R24</f>
        <v>L</v>
      </c>
      <c r="I413" s="38" t="str">
        <f>'RB · Solution Consulting &amp; Impl'!V24</f>
        <v>L</v>
      </c>
      <c r="J413" s="38" t="str">
        <f>'RB · Solution Consulting &amp; Impl'!Z24</f>
        <v>L</v>
      </c>
      <c r="K413" s="38" t="str">
        <f>'RB · Solution Consulting &amp; Impl'!AD24</f>
        <v>L</v>
      </c>
    </row>
    <row r="414">
      <c r="A414" s="53" t="inlineStr">
        <is>
          <t>Unassigned|E2|DE</t>
        </is>
      </c>
      <c r="B414" s="53" t="inlineStr">
        <is>
          <t>Unassigned</t>
        </is>
      </c>
      <c r="C414" s="53" t="inlineStr">
        <is>
          <t>E2</t>
        </is>
      </c>
      <c r="D414" s="53" t="inlineStr">
        <is>
          <t>Bands D–E · Leadership</t>
        </is>
      </c>
      <c r="E414" s="38" t="str">
        <f>'RB · Unassigned'!F6</f>
        <v>H</v>
      </c>
      <c r="F414" s="38" t="str">
        <f>'RB · Unassigned'!J6</f>
        <v>M</v>
      </c>
      <c r="G414" s="38" t="str">
        <f>'RB · Unassigned'!N6</f>
        <v>M</v>
      </c>
      <c r="H414" s="38" t="str">
        <f>'RB · Unassigned'!R6</f>
        <v>M</v>
      </c>
      <c r="I414" s="38" t="str">
        <f>'RB · Unassigned'!V6</f>
        <v>L</v>
      </c>
      <c r="J414" s="38" t="str">
        <f>'RB · Unassigned'!Z6</f>
        <v>L</v>
      </c>
      <c r="K414" s="38" t="str">
        <f>'RB · Unassigned'!AD6</f>
        <v>L</v>
      </c>
    </row>
    <row r="415">
      <c r="A415" s="53" t="inlineStr">
        <is>
          <t>Unassigned|E1|DE</t>
        </is>
      </c>
      <c r="B415" s="53" t="inlineStr">
        <is>
          <t>Unassigned</t>
        </is>
      </c>
      <c r="C415" s="53" t="inlineStr">
        <is>
          <t>E1</t>
        </is>
      </c>
      <c r="D415" s="53" t="inlineStr">
        <is>
          <t>Bands D–E · Leadership</t>
        </is>
      </c>
      <c r="E415" s="38" t="str">
        <f>'RB · Unassigned'!F7</f>
        <v>H</v>
      </c>
      <c r="F415" s="38" t="str">
        <f>'RB · Unassigned'!J7</f>
        <v>M</v>
      </c>
      <c r="G415" s="38" t="str">
        <f>'RB · Unassigned'!N7</f>
        <v>M</v>
      </c>
      <c r="H415" s="38" t="str">
        <f>'RB · Unassigned'!R7</f>
        <v>M</v>
      </c>
      <c r="I415" s="38" t="str">
        <f>'RB · Unassigned'!V7</f>
        <v>L</v>
      </c>
      <c r="J415" s="38" t="str">
        <f>'RB · Unassigned'!Z7</f>
        <v>L</v>
      </c>
      <c r="K415" s="38" t="str">
        <f>'RB · Unassigned'!AD7</f>
        <v>L</v>
      </c>
    </row>
    <row r="416">
      <c r="A416" s="53" t="inlineStr">
        <is>
          <t>Unassigned|D2|DE</t>
        </is>
      </c>
      <c r="B416" s="53" t="inlineStr">
        <is>
          <t>Unassigned</t>
        </is>
      </c>
      <c r="C416" s="53" t="inlineStr">
        <is>
          <t>D2</t>
        </is>
      </c>
      <c r="D416" s="53" t="inlineStr">
        <is>
          <t>Bands D–E · Leadership</t>
        </is>
      </c>
      <c r="E416" s="38" t="str">
        <f>'RB · Unassigned'!F8</f>
        <v>H</v>
      </c>
      <c r="F416" s="38" t="str">
        <f>'RB · Unassigned'!J8</f>
        <v>M</v>
      </c>
      <c r="G416" s="38" t="str">
        <f>'RB · Unassigned'!N8</f>
        <v>M</v>
      </c>
      <c r="H416" s="38" t="str">
        <f>'RB · Unassigned'!R8</f>
        <v>M</v>
      </c>
      <c r="I416" s="38" t="str">
        <f>'RB · Unassigned'!V8</f>
        <v>L</v>
      </c>
      <c r="J416" s="38" t="str">
        <f>'RB · Unassigned'!Z8</f>
        <v>L</v>
      </c>
      <c r="K416" s="38" t="str">
        <f>'RB · Unassigned'!AD8</f>
        <v>L</v>
      </c>
    </row>
    <row r="417">
      <c r="A417" s="53" t="inlineStr">
        <is>
          <t>Unassigned|D1|DE</t>
        </is>
      </c>
      <c r="B417" s="53" t="inlineStr">
        <is>
          <t>Unassigned</t>
        </is>
      </c>
      <c r="C417" s="53" t="inlineStr">
        <is>
          <t>D1</t>
        </is>
      </c>
      <c r="D417" s="53" t="inlineStr">
        <is>
          <t>Bands D–E · Leadership</t>
        </is>
      </c>
      <c r="E417" s="38" t="str">
        <f>'RB · Unassigned'!F9</f>
        <v>H</v>
      </c>
      <c r="F417" s="38" t="str">
        <f>'RB · Unassigned'!J9</f>
        <v>M</v>
      </c>
      <c r="G417" s="38" t="str">
        <f>'RB · Unassigned'!N9</f>
        <v>M</v>
      </c>
      <c r="H417" s="38" t="str">
        <f>'RB · Unassigned'!R9</f>
        <v>M</v>
      </c>
      <c r="I417" s="38" t="str">
        <f>'RB · Unassigned'!V9</f>
        <v>L</v>
      </c>
      <c r="J417" s="38" t="str">
        <f>'RB · Unassigned'!Z9</f>
        <v>L</v>
      </c>
      <c r="K417" s="38" t="str">
        <f>'RB · Unassigned'!AD9</f>
        <v>L</v>
      </c>
    </row>
    <row r="418">
      <c r="A418" s="53" t="inlineStr">
        <is>
          <t>Unassigned|C+|C+</t>
        </is>
      </c>
      <c r="B418" s="53" t="inlineStr">
        <is>
          <t>Unassigned</t>
        </is>
      </c>
      <c r="C418" s="53" t="inlineStr">
        <is>
          <t>C+</t>
        </is>
      </c>
      <c r="D418" s="53" t="inlineStr">
        <is>
          <t>C+ · Player-Coach</t>
        </is>
      </c>
      <c r="E418" s="38" t="str">
        <f>'RB · Unassigned'!F10</f>
        <v>H</v>
      </c>
      <c r="F418" s="38" t="str">
        <f>'RB · Unassigned'!J10</f>
        <v>M</v>
      </c>
      <c r="G418" s="38" t="str">
        <f>'RB · Unassigned'!N10</f>
        <v>M</v>
      </c>
      <c r="H418" s="38" t="str">
        <f>'RB · Unassigned'!R10</f>
        <v>M</v>
      </c>
      <c r="I418" s="38" t="str">
        <f>'RB · Unassigned'!V10</f>
        <v>L</v>
      </c>
      <c r="J418" s="38" t="str">
        <f>'RB · Unassigned'!Z10</f>
        <v>L</v>
      </c>
      <c r="K418" s="38" t="str">
        <f>'RB · Unassigned'!AD10</f>
        <v>L</v>
      </c>
    </row>
    <row r="419">
      <c r="A419" s="53" t="inlineStr">
        <is>
          <t>Unassigned|C2|C-M</t>
        </is>
      </c>
      <c r="B419" s="53" t="inlineStr">
        <is>
          <t>Unassigned</t>
        </is>
      </c>
      <c r="C419" s="53" t="inlineStr">
        <is>
          <t>C2</t>
        </is>
      </c>
      <c r="D419" s="53" t="inlineStr">
        <is>
          <t>Band C · Head / manager</t>
        </is>
      </c>
      <c r="E419" s="38" t="str">
        <f>'RB · Unassigned'!F11</f>
        <v>H</v>
      </c>
      <c r="F419" s="38" t="str">
        <f>'RB · Unassigned'!J11</f>
        <v>M</v>
      </c>
      <c r="G419" s="38" t="str">
        <f>'RB · Unassigned'!N11</f>
        <v>M</v>
      </c>
      <c r="H419" s="38" t="str">
        <f>'RB · Unassigned'!R11</f>
        <v>M</v>
      </c>
      <c r="I419" s="38" t="str">
        <f>'RB · Unassigned'!V11</f>
        <v>L</v>
      </c>
      <c r="J419" s="38" t="str">
        <f>'RB · Unassigned'!Z11</f>
        <v>L</v>
      </c>
      <c r="K419" s="38" t="str">
        <f>'RB · Unassigned'!AD11</f>
        <v>L</v>
      </c>
    </row>
    <row r="420">
      <c r="A420" s="53" t="inlineStr">
        <is>
          <t>Unassigned|C2|C-IC</t>
        </is>
      </c>
      <c r="B420" s="53" t="inlineStr">
        <is>
          <t>Unassigned</t>
        </is>
      </c>
      <c r="C420" s="53" t="inlineStr">
        <is>
          <t>C2</t>
        </is>
      </c>
      <c r="D420" s="53" t="inlineStr">
        <is>
          <t>Band C · Principal specialist</t>
        </is>
      </c>
      <c r="E420" s="38" t="str">
        <f>'RB · Unassigned'!F12</f>
        <v>H</v>
      </c>
      <c r="F420" s="38" t="str">
        <f>'RB · Unassigned'!J12</f>
        <v>M</v>
      </c>
      <c r="G420" s="38" t="str">
        <f>'RB · Unassigned'!N12</f>
        <v>M</v>
      </c>
      <c r="H420" s="38" t="str">
        <f>'RB · Unassigned'!R12</f>
        <v>L</v>
      </c>
      <c r="I420" s="38" t="str">
        <f>'RB · Unassigned'!V12</f>
        <v>L</v>
      </c>
      <c r="J420" s="38" t="str">
        <f>'RB · Unassigned'!Z12</f>
        <v>L</v>
      </c>
      <c r="K420" s="38" t="str">
        <f>'RB · Unassigned'!AD12</f>
        <v>L</v>
      </c>
    </row>
    <row r="421">
      <c r="A421" s="53" t="inlineStr">
        <is>
          <t>Unassigned|C1|C-M</t>
        </is>
      </c>
      <c r="B421" s="53" t="inlineStr">
        <is>
          <t>Unassigned</t>
        </is>
      </c>
      <c r="C421" s="53" t="inlineStr">
        <is>
          <t>C1</t>
        </is>
      </c>
      <c r="D421" s="53" t="inlineStr">
        <is>
          <t>Band C · Head / manager</t>
        </is>
      </c>
      <c r="E421" s="38" t="str">
        <f>'RB · Unassigned'!F13</f>
        <v>H</v>
      </c>
      <c r="F421" s="38" t="str">
        <f>'RB · Unassigned'!J13</f>
        <v>M</v>
      </c>
      <c r="G421" s="38" t="str">
        <f>'RB · Unassigned'!N13</f>
        <v>M</v>
      </c>
      <c r="H421" s="38" t="str">
        <f>'RB · Unassigned'!R13</f>
        <v>M</v>
      </c>
      <c r="I421" s="38" t="str">
        <f>'RB · Unassigned'!V13</f>
        <v>L</v>
      </c>
      <c r="J421" s="38" t="str">
        <f>'RB · Unassigned'!Z13</f>
        <v>L</v>
      </c>
      <c r="K421" s="38" t="str">
        <f>'RB · Unassigned'!AD13</f>
        <v>L</v>
      </c>
    </row>
    <row r="422">
      <c r="A422" s="53" t="inlineStr">
        <is>
          <t>Unassigned|C1|C-IC</t>
        </is>
      </c>
      <c r="B422" s="53" t="inlineStr">
        <is>
          <t>Unassigned</t>
        </is>
      </c>
      <c r="C422" s="53" t="inlineStr">
        <is>
          <t>C1</t>
        </is>
      </c>
      <c r="D422" s="53" t="inlineStr">
        <is>
          <t>Band C · Principal specialist</t>
        </is>
      </c>
      <c r="E422" s="38" t="str">
        <f>'RB · Unassigned'!F14</f>
        <v>H</v>
      </c>
      <c r="F422" s="38" t="str">
        <f>'RB · Unassigned'!J14</f>
        <v>M</v>
      </c>
      <c r="G422" s="38" t="str">
        <f>'RB · Unassigned'!N14</f>
        <v>M</v>
      </c>
      <c r="H422" s="38" t="str">
        <f>'RB · Unassigned'!R14</f>
        <v>L</v>
      </c>
      <c r="I422" s="38" t="str">
        <f>'RB · Unassigned'!V14</f>
        <v>L</v>
      </c>
      <c r="J422" s="38" t="str">
        <f>'RB · Unassigned'!Z14</f>
        <v>L</v>
      </c>
      <c r="K422" s="38" t="str">
        <f>'RB · Unassigned'!AD14</f>
        <v>L</v>
      </c>
    </row>
    <row r="423">
      <c r="A423" s="53" t="inlineStr">
        <is>
          <t>Unassigned|B+|B+</t>
        </is>
      </c>
      <c r="B423" s="53" t="inlineStr">
        <is>
          <t>Unassigned</t>
        </is>
      </c>
      <c r="C423" s="53" t="inlineStr">
        <is>
          <t>B+</t>
        </is>
      </c>
      <c r="D423" s="53" t="inlineStr">
        <is>
          <t>B+ · Player-Coach</t>
        </is>
      </c>
      <c r="E423" s="38" t="str">
        <f>'RB · Unassigned'!F15</f>
        <v>H</v>
      </c>
      <c r="F423" s="38" t="str">
        <f>'RB · Unassigned'!J15</f>
        <v>M</v>
      </c>
      <c r="G423" s="38" t="str">
        <f>'RB · Unassigned'!N15</f>
        <v>M</v>
      </c>
      <c r="H423" s="38" t="str">
        <f>'RB · Unassigned'!R15</f>
        <v>M</v>
      </c>
      <c r="I423" s="38" t="str">
        <f>'RB · Unassigned'!V15</f>
        <v>L</v>
      </c>
      <c r="J423" s="38" t="str">
        <f>'RB · Unassigned'!Z15</f>
        <v>L</v>
      </c>
      <c r="K423" s="38" t="str">
        <f>'RB · Unassigned'!AD15</f>
        <v>L</v>
      </c>
    </row>
    <row r="424">
      <c r="A424" s="53" t="inlineStr">
        <is>
          <t>Unassigned|B3|B-M</t>
        </is>
      </c>
      <c r="B424" s="53" t="inlineStr">
        <is>
          <t>Unassigned</t>
        </is>
      </c>
      <c r="C424" s="53" t="inlineStr">
        <is>
          <t>B3</t>
        </is>
      </c>
      <c r="D424" s="53" t="inlineStr">
        <is>
          <t>Band B · People Manager</t>
        </is>
      </c>
      <c r="E424" s="38" t="str">
        <f>'RB · Unassigned'!F16</f>
        <v>H</v>
      </c>
      <c r="F424" s="38" t="str">
        <f>'RB · Unassigned'!J16</f>
        <v>M</v>
      </c>
      <c r="G424" s="38" t="str">
        <f>'RB · Unassigned'!N16</f>
        <v>M</v>
      </c>
      <c r="H424" s="38" t="str">
        <f>'RB · Unassigned'!R16</f>
        <v>M</v>
      </c>
      <c r="I424" s="38" t="str">
        <f>'RB · Unassigned'!V16</f>
        <v>L</v>
      </c>
      <c r="J424" s="38" t="str">
        <f>'RB · Unassigned'!Z16</f>
        <v>L</v>
      </c>
      <c r="K424" s="38" t="str">
        <f>'RB · Unassigned'!AD16</f>
        <v>L</v>
      </c>
    </row>
    <row r="425">
      <c r="A425" s="53" t="inlineStr">
        <is>
          <t>Unassigned|B3|B-IC</t>
        </is>
      </c>
      <c r="B425" s="53" t="inlineStr">
        <is>
          <t>Unassigned</t>
        </is>
      </c>
      <c r="C425" s="53" t="inlineStr">
        <is>
          <t>B3</t>
        </is>
      </c>
      <c r="D425" s="53" t="inlineStr">
        <is>
          <t>Band B · Specialist / POD Lead</t>
        </is>
      </c>
      <c r="E425" s="38" t="str">
        <f>'RB · Unassigned'!F17</f>
        <v>H</v>
      </c>
      <c r="F425" s="38" t="str">
        <f>'RB · Unassigned'!J17</f>
        <v>M</v>
      </c>
      <c r="G425" s="38" t="str">
        <f>'RB · Unassigned'!N17</f>
        <v>M</v>
      </c>
      <c r="H425" s="38" t="str">
        <f>'RB · Unassigned'!R17</f>
        <v>L</v>
      </c>
      <c r="I425" s="38" t="str">
        <f>'RB · Unassigned'!V17</f>
        <v>L</v>
      </c>
      <c r="J425" s="38" t="str">
        <f>'RB · Unassigned'!Z17</f>
        <v>L</v>
      </c>
      <c r="K425" s="38" t="str">
        <f>'RB · Unassigned'!AD17</f>
        <v>L</v>
      </c>
    </row>
    <row r="426">
      <c r="A426" s="53" t="inlineStr">
        <is>
          <t>Unassigned|B2|B-M</t>
        </is>
      </c>
      <c r="B426" s="53" t="inlineStr">
        <is>
          <t>Unassigned</t>
        </is>
      </c>
      <c r="C426" s="53" t="inlineStr">
        <is>
          <t>B2</t>
        </is>
      </c>
      <c r="D426" s="53" t="inlineStr">
        <is>
          <t>Band B · People Manager</t>
        </is>
      </c>
      <c r="E426" s="38" t="str">
        <f>'RB · Unassigned'!F18</f>
        <v>H</v>
      </c>
      <c r="F426" s="38" t="str">
        <f>'RB · Unassigned'!J18</f>
        <v>M</v>
      </c>
      <c r="G426" s="38" t="str">
        <f>'RB · Unassigned'!N18</f>
        <v>M</v>
      </c>
      <c r="H426" s="38" t="str">
        <f>'RB · Unassigned'!R18</f>
        <v>M</v>
      </c>
      <c r="I426" s="38" t="str">
        <f>'RB · Unassigned'!V18</f>
        <v>L</v>
      </c>
      <c r="J426" s="38" t="str">
        <f>'RB · Unassigned'!Z18</f>
        <v>L</v>
      </c>
      <c r="K426" s="38" t="str">
        <f>'RB · Unassigned'!AD18</f>
        <v>L</v>
      </c>
    </row>
    <row r="427">
      <c r="A427" s="53" t="inlineStr">
        <is>
          <t>Unassigned|B2|B-IC</t>
        </is>
      </c>
      <c r="B427" s="53" t="inlineStr">
        <is>
          <t>Unassigned</t>
        </is>
      </c>
      <c r="C427" s="53" t="inlineStr">
        <is>
          <t>B2</t>
        </is>
      </c>
      <c r="D427" s="53" t="inlineStr">
        <is>
          <t>Band B · Specialist / POD Lead</t>
        </is>
      </c>
      <c r="E427" s="38" t="str">
        <f>'RB · Unassigned'!F19</f>
        <v>H</v>
      </c>
      <c r="F427" s="38" t="str">
        <f>'RB · Unassigned'!J19</f>
        <v>M</v>
      </c>
      <c r="G427" s="38" t="str">
        <f>'RB · Unassigned'!N19</f>
        <v>M</v>
      </c>
      <c r="H427" s="38" t="str">
        <f>'RB · Unassigned'!R19</f>
        <v>L</v>
      </c>
      <c r="I427" s="38" t="str">
        <f>'RB · Unassigned'!V19</f>
        <v>L</v>
      </c>
      <c r="J427" s="38" t="str">
        <f>'RB · Unassigned'!Z19</f>
        <v>L</v>
      </c>
      <c r="K427" s="38" t="str">
        <f>'RB · Unassigned'!AD19</f>
        <v>L</v>
      </c>
    </row>
    <row r="428">
      <c r="A428" s="53" t="inlineStr">
        <is>
          <t>Unassigned|B1|B-M</t>
        </is>
      </c>
      <c r="B428" s="53" t="inlineStr">
        <is>
          <t>Unassigned</t>
        </is>
      </c>
      <c r="C428" s="53" t="inlineStr">
        <is>
          <t>B1</t>
        </is>
      </c>
      <c r="D428" s="53" t="inlineStr">
        <is>
          <t>Band B · People Manager</t>
        </is>
      </c>
      <c r="E428" s="38" t="str">
        <f>'RB · Unassigned'!F20</f>
        <v>H</v>
      </c>
      <c r="F428" s="38" t="str">
        <f>'RB · Unassigned'!J20</f>
        <v>M</v>
      </c>
      <c r="G428" s="38" t="str">
        <f>'RB · Unassigned'!N20</f>
        <v>M</v>
      </c>
      <c r="H428" s="38" t="str">
        <f>'RB · Unassigned'!R20</f>
        <v>M</v>
      </c>
      <c r="I428" s="38" t="str">
        <f>'RB · Unassigned'!V20</f>
        <v>L</v>
      </c>
      <c r="J428" s="38" t="str">
        <f>'RB · Unassigned'!Z20</f>
        <v>L</v>
      </c>
      <c r="K428" s="38" t="str">
        <f>'RB · Unassigned'!AD20</f>
        <v>L</v>
      </c>
    </row>
    <row r="429">
      <c r="A429" s="53" t="inlineStr">
        <is>
          <t>Unassigned|B1|B-IC</t>
        </is>
      </c>
      <c r="B429" s="53" t="inlineStr">
        <is>
          <t>Unassigned</t>
        </is>
      </c>
      <c r="C429" s="53" t="inlineStr">
        <is>
          <t>B1</t>
        </is>
      </c>
      <c r="D429" s="53" t="inlineStr">
        <is>
          <t>Band B · Specialist / POD Lead</t>
        </is>
      </c>
      <c r="E429" s="38" t="str">
        <f>'RB · Unassigned'!F21</f>
        <v>H</v>
      </c>
      <c r="F429" s="38" t="str">
        <f>'RB · Unassigned'!J21</f>
        <v>M</v>
      </c>
      <c r="G429" s="38" t="str">
        <f>'RB · Unassigned'!N21</f>
        <v>M</v>
      </c>
      <c r="H429" s="38" t="str">
        <f>'RB · Unassigned'!R21</f>
        <v>L</v>
      </c>
      <c r="I429" s="38" t="str">
        <f>'RB · Unassigned'!V21</f>
        <v>L</v>
      </c>
      <c r="J429" s="38" t="str">
        <f>'RB · Unassigned'!Z21</f>
        <v>L</v>
      </c>
      <c r="K429" s="38" t="str">
        <f>'RB · Unassigned'!AD21</f>
        <v>L</v>
      </c>
    </row>
    <row r="430">
      <c r="A430" s="53" t="inlineStr">
        <is>
          <t>Unassigned|A3|A</t>
        </is>
      </c>
      <c r="B430" s="53" t="inlineStr">
        <is>
          <t>Unassigned</t>
        </is>
      </c>
      <c r="C430" s="53" t="inlineStr">
        <is>
          <t>A3</t>
        </is>
      </c>
      <c r="D430" s="53" t="inlineStr">
        <is>
          <t>Band A · all tracks</t>
        </is>
      </c>
      <c r="E430" s="38" t="str">
        <f>'RB · Unassigned'!F22</f>
        <v>H</v>
      </c>
      <c r="F430" s="38" t="str">
        <f>'RB · Unassigned'!J22</f>
        <v>M</v>
      </c>
      <c r="G430" s="38" t="str">
        <f>'RB · Unassigned'!N22</f>
        <v>M</v>
      </c>
      <c r="H430" s="38" t="str">
        <f>'RB · Unassigned'!R22</f>
        <v>L</v>
      </c>
      <c r="I430" s="38" t="str">
        <f>'RB · Unassigned'!V22</f>
        <v>L</v>
      </c>
      <c r="J430" s="38" t="str">
        <f>'RB · Unassigned'!Z22</f>
        <v>L</v>
      </c>
      <c r="K430" s="38" t="str">
        <f>'RB · Unassigned'!AD22</f>
        <v>L</v>
      </c>
    </row>
    <row r="431">
      <c r="A431" s="53" t="inlineStr">
        <is>
          <t>Unassigned|A2|A</t>
        </is>
      </c>
      <c r="B431" s="53" t="inlineStr">
        <is>
          <t>Unassigned</t>
        </is>
      </c>
      <c r="C431" s="53" t="inlineStr">
        <is>
          <t>A2</t>
        </is>
      </c>
      <c r="D431" s="53" t="inlineStr">
        <is>
          <t>Band A · all tracks</t>
        </is>
      </c>
      <c r="E431" s="38" t="str">
        <f>'RB · Unassigned'!F23</f>
        <v>H</v>
      </c>
      <c r="F431" s="38" t="str">
        <f>'RB · Unassigned'!J23</f>
        <v>M</v>
      </c>
      <c r="G431" s="38" t="str">
        <f>'RB · Unassigned'!N23</f>
        <v>M</v>
      </c>
      <c r="H431" s="38" t="str">
        <f>'RB · Unassigned'!R23</f>
        <v>L</v>
      </c>
      <c r="I431" s="38" t="str">
        <f>'RB · Unassigned'!V23</f>
        <v>L</v>
      </c>
      <c r="J431" s="38" t="str">
        <f>'RB · Unassigned'!Z23</f>
        <v>L</v>
      </c>
      <c r="K431" s="38" t="str">
        <f>'RB · Unassigned'!AD23</f>
        <v>L</v>
      </c>
    </row>
    <row r="432">
      <c r="A432" s="53" t="inlineStr">
        <is>
          <t>Unassigned|A1|A</t>
        </is>
      </c>
      <c r="B432" s="53" t="inlineStr">
        <is>
          <t>Unassigned</t>
        </is>
      </c>
      <c r="C432" s="53" t="inlineStr">
        <is>
          <t>A1</t>
        </is>
      </c>
      <c r="D432" s="53" t="inlineStr">
        <is>
          <t>Band A · all tracks</t>
        </is>
      </c>
      <c r="E432" s="38" t="str">
        <f>'RB · Unassigned'!F24</f>
        <v>H</v>
      </c>
      <c r="F432" s="38" t="str">
        <f>'RB · Unassigned'!J24</f>
        <v>M</v>
      </c>
      <c r="G432" s="38" t="str">
        <f>'RB · Unassigned'!N24</f>
        <v>M</v>
      </c>
      <c r="H432" s="38" t="str">
        <f>'RB · Unassigned'!R24</f>
        <v>L</v>
      </c>
      <c r="I432" s="38" t="str">
        <f>'RB · Unassigned'!V24</f>
        <v>L</v>
      </c>
      <c r="J432" s="38" t="str">
        <f>'RB · Unassigned'!Z24</f>
        <v>L</v>
      </c>
      <c r="K432" s="38" t="str">
        <f>'RB · Unassigned'!AD24</f>
        <v>L</v>
      </c>
    </row>
    <row r="434">
      <c r="A434" s="6" t="inlineStr">
        <is>
          <t>LISTS</t>
        </is>
      </c>
    </row>
    <row r="435">
      <c r="A435" s="53" t="inlineStr">
        <is>
          <t>L</t>
        </is>
      </c>
    </row>
    <row r="436">
      <c r="A436" s="53" t="inlineStr">
        <is>
          <t>M</t>
        </is>
      </c>
    </row>
    <row r="437">
      <c r="A437" s="53" t="inlineStr">
        <is>
          <t>H</t>
        </is>
      </c>
    </row>
  </sheetData>
  <mergeCells count="2">
    <mergeCell ref="A10:H10"/>
    <mergeCell ref="A2:J2"/>
  </mergeCells>
  <hyperlinks>
    <hyperlink xmlns:r="http://schemas.openxmlformats.org/officeDocument/2006/relationships" ref="K1"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2026-10-12T17:54:46Z</dcterms:created>
  <dcterms:modified xmlns:dcterms="http://purl.org/dc/terms/" xmlns:xsi="http://www.w3.org/2001/XMLSchema-instance" xsi:type="dcterms:W3CDTF">2026-10-12T17:55:21Z</dcterms:modified>
</cp:coreProperties>
</file>